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LootTable" sheetId="1" r:id="rId4"/>
    <sheet state="hidden" name="Mobs" sheetId="2" r:id="rId5"/>
    <sheet state="hidden" name="SpellsNatPowers" sheetId="3" r:id="rId6"/>
    <sheet state="hidden" name="Equipment" sheetId="4" r:id="rId7"/>
    <sheet state="hidden" name="Loot" sheetId="5" r:id="rId8"/>
    <sheet state="hidden" name="Items" sheetId="6" r:id="rId9"/>
    <sheet state="hidden" name="DMGCap" sheetId="7" r:id="rId10"/>
    <sheet state="hidden" name="Classes" sheetId="8" r:id="rId11"/>
    <sheet state="hidden" name="ClassesEnhanced" sheetId="9" r:id="rId12"/>
    <sheet state="hidden" name="Races" sheetId="10" r:id="rId13"/>
    <sheet state="hidden" name="MoneyRates" sheetId="11" r:id="rId14"/>
    <sheet state="hidden" name="AstrologicalSigns" sheetId="12" r:id="rId15"/>
    <sheet state="hidden" name="TownsArea" sheetId="13" r:id="rId16"/>
    <sheet state="hidden" name="Resistances" sheetId="14" r:id="rId17"/>
    <sheet state="hidden" name="Vulnerabilities" sheetId="15" r:id="rId18"/>
    <sheet state="hidden" name="MobsPics" sheetId="16" r:id="rId19"/>
    <sheet state="hidden" name="Stat Block" sheetId="17" r:id="rId20"/>
    <sheet state="visible" name="Encounters" sheetId="18" r:id="rId21"/>
    <sheet state="visible" name="BadEncounters" sheetId="19" r:id="rId22"/>
    <sheet state="visible" name="GoodEncounters" sheetId="20" r:id="rId23"/>
    <sheet state="visible" name="NeutEncounters" sheetId="21" r:id="rId24"/>
    <sheet state="visible" name="PossibleEncountersRegioned" sheetId="22" r:id="rId25"/>
    <sheet state="hidden" name="SelectedWorldRegionMobs" sheetId="23" r:id="rId26"/>
    <sheet state="hidden" name="SelectedWorldRegions" sheetId="24" r:id="rId27"/>
    <sheet state="hidden" name="Worlds" sheetId="25" r:id="rId28"/>
    <sheet state="hidden" name="Regions" sheetId="26" r:id="rId29"/>
    <sheet state="hidden" name="Equipconvert" sheetId="27" r:id="rId30"/>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Half Race: Select the stat bonus of one race and the ability of another</t>
      </text>
    </comment>
  </commentList>
</comments>
</file>

<file path=xl/sharedStrings.xml><?xml version="1.0" encoding="utf-8"?>
<sst xmlns="http://schemas.openxmlformats.org/spreadsheetml/2006/main" count="381" uniqueCount="125">
  <si>
    <t>Actual Level</t>
  </si>
  <si>
    <t>Ancient Volcanic Worm</t>
  </si>
  <si>
    <t>&lt;- Search for mob by drop down or typing in name</t>
  </si>
  <si>
    <t xml:space="preserve">Level Increase: </t>
  </si>
  <si>
    <t>Attack</t>
  </si>
  <si>
    <t>Accuracy</t>
  </si>
  <si>
    <t>Defence</t>
  </si>
  <si>
    <t>Wisdom</t>
  </si>
  <si>
    <t>Mobility</t>
  </si>
  <si>
    <t>Evasion</t>
  </si>
  <si>
    <t>Charisma</t>
  </si>
  <si>
    <t>Intimidation</t>
  </si>
  <si>
    <t>Dmg Taken</t>
  </si>
  <si>
    <t>SP Used</t>
  </si>
  <si>
    <t>👑 (1) Head:</t>
  </si>
  <si>
    <t>📿 (3) Neck:</t>
  </si>
  <si>
    <t>🎒(1) Shoulders</t>
  </si>
  <si>
    <t>🧥 (1) Torso:</t>
  </si>
  <si>
    <t>💪(1) Arms</t>
  </si>
  <si>
    <t>🖐 (1) L. Hand:</t>
  </si>
  <si>
    <t>🖐 (1) R. Hand:</t>
  </si>
  <si>
    <t>💍 (10) Fingers:</t>
  </si>
  <si>
    <t>👖 (1) Legs:</t>
  </si>
  <si>
    <t>🥾 (1) Feet:</t>
  </si>
  <si>
    <t>Actions</t>
  </si>
  <si>
    <t>Rank</t>
  </si>
  <si>
    <t>SP Cost</t>
  </si>
  <si>
    <t>HP Cost</t>
  </si>
  <si>
    <t>Name</t>
  </si>
  <si>
    <t>Effect</t>
  </si>
  <si>
    <t>Type</t>
  </si>
  <si>
    <t>Element</t>
  </si>
  <si>
    <t>Number</t>
  </si>
  <si>
    <t>World:</t>
  </si>
  <si>
    <t>Land of Spira</t>
  </si>
  <si>
    <t>SET REGIONS DURING TRAVEL !!!</t>
  </si>
  <si>
    <t>Weather</t>
  </si>
  <si>
    <t>Percentages</t>
  </si>
  <si>
    <t>Region:</t>
  </si>
  <si>
    <t>All</t>
  </si>
  <si>
    <t>AND/OR</t>
  </si>
  <si>
    <t>Clear</t>
  </si>
  <si>
    <t>Randomizer</t>
  </si>
  <si>
    <t>Storming</t>
  </si>
  <si>
    <t>Foggy</t>
  </si>
  <si>
    <t>Freezing</t>
  </si>
  <si>
    <t>Days of Travel</t>
  </si>
  <si>
    <t>Extreme Heat</t>
  </si>
  <si>
    <t>Random Mob:</t>
  </si>
  <si>
    <t>Days of travel</t>
  </si>
  <si>
    <t>Good/Neut/Bad</t>
  </si>
  <si>
    <t>Rolled</t>
  </si>
  <si>
    <t>Bad</t>
  </si>
  <si>
    <t>Good</t>
  </si>
  <si>
    <t>Bad Encounter</t>
  </si>
  <si>
    <t>Region</t>
  </si>
  <si>
    <t>World</t>
  </si>
  <si>
    <t>Random Non-Permanent Curse</t>
  </si>
  <si>
    <t>Random Non-Permanent Disease</t>
  </si>
  <si>
    <t>Good Encounter</t>
  </si>
  <si>
    <t>Gold Portal</t>
  </si>
  <si>
    <t>Abstara</t>
  </si>
  <si>
    <t>Solreach</t>
  </si>
  <si>
    <t>Dragonscale Island</t>
  </si>
  <si>
    <t>10,000G</t>
  </si>
  <si>
    <t>25,000G</t>
  </si>
  <si>
    <t>50,000G</t>
  </si>
  <si>
    <t>100,000G</t>
  </si>
  <si>
    <t>250,000G</t>
  </si>
  <si>
    <t>500,000G</t>
  </si>
  <si>
    <t>750,000G</t>
  </si>
  <si>
    <t>1,000,000G</t>
  </si>
  <si>
    <t>10,000UC</t>
  </si>
  <si>
    <t>25,000UC</t>
  </si>
  <si>
    <t>50,000UC</t>
  </si>
  <si>
    <t>100,000UC</t>
  </si>
  <si>
    <t>250,000UC</t>
  </si>
  <si>
    <t>500,000UC</t>
  </si>
  <si>
    <t>750,000UC</t>
  </si>
  <si>
    <t>1,000,000UC</t>
  </si>
  <si>
    <t>Four-Leaf Clover - +4 To turn order for the next battle. (Does not stack)</t>
  </si>
  <si>
    <t>Gold</t>
  </si>
  <si>
    <t>Iron</t>
  </si>
  <si>
    <t>Dragon scales</t>
  </si>
  <si>
    <t>Desert Emerald</t>
  </si>
  <si>
    <t>Desert</t>
  </si>
  <si>
    <t>Desert Ruby</t>
  </si>
  <si>
    <t>Diamonds</t>
  </si>
  <si>
    <t>Bricks</t>
  </si>
  <si>
    <t>Obsidian</t>
  </si>
  <si>
    <t>Sand</t>
  </si>
  <si>
    <t>Steel</t>
  </si>
  <si>
    <t>Silver</t>
  </si>
  <si>
    <t>Chains</t>
  </si>
  <si>
    <t>Murky Emerald</t>
  </si>
  <si>
    <t>Swamp</t>
  </si>
  <si>
    <t>Block of Ice</t>
  </si>
  <si>
    <t>Tundra</t>
  </si>
  <si>
    <t>Fossilized Water Dragon Bones</t>
  </si>
  <si>
    <t>Ocean</t>
  </si>
  <si>
    <t>Bronze</t>
  </si>
  <si>
    <t>Diamond</t>
  </si>
  <si>
    <t>Wood</t>
  </si>
  <si>
    <t>Stone</t>
  </si>
  <si>
    <t>Dragon Scales</t>
  </si>
  <si>
    <t>Neptunes Fortune: A giant hand statue holding a d10 Treasure Chest that has a 75% chance to grab the target taking the chest and respawning them at the nearest town.</t>
  </si>
  <si>
    <t>Neutral Encounter</t>
  </si>
  <si>
    <t>Glowing Red Herb</t>
  </si>
  <si>
    <t>Lost Child</t>
  </si>
  <si>
    <t>Nothing</t>
  </si>
  <si>
    <t>Halloween Kingdom</t>
  </si>
  <si>
    <t>Land of The Forgotten</t>
  </si>
  <si>
    <t>Beggar</t>
  </si>
  <si>
    <t>Red Portal</t>
  </si>
  <si>
    <t>Blue Portal</t>
  </si>
  <si>
    <t>Green Portal</t>
  </si>
  <si>
    <t xml:space="preserve">Traveling Guard - Will escort corrupt guards you arrested during travel to the nearest courthouse for you if this day is the next day of travel. </t>
  </si>
  <si>
    <t>Traveling Guard - Will escort corrupt guards you arrested during travel to the nearest courthouse for you if this day is the next day of travel.</t>
  </si>
  <si>
    <t>Bounty Hunter - A player with a bounty in the party will be engaged in battle.</t>
  </si>
  <si>
    <t>Mysterious Merchant (Spira)</t>
  </si>
  <si>
    <t>Mysterious Merchant (DragonScale)</t>
  </si>
  <si>
    <t>Mysterious Merchant (Abstara)</t>
  </si>
  <si>
    <t>Mysterious Merchant (Solreach)</t>
  </si>
  <si>
    <t>Mysterious Merchant 2 (Spira)</t>
  </si>
  <si>
    <t>Neutral</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</si>
</sst>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
  </numFmts>
  <fonts count="36">
    <font>
      <sz val="10.0"/>
      <color rgb="FF000000"/>
      <name val="Arial"/>
      <scheme val="minor"/>
    </font>
    <font>
      <color theme="1"/>
      <name val="Arial"/>
      <scheme val="minor"/>
    </font>
    <font>
      <color theme="1"/>
      <name val="Arial"/>
    </font>
    <font>
      <color rgb="FF000000"/>
      <name val="Arial"/>
    </font>
    <font>
      <b/>
      <sz val="11.0"/>
      <color theme="1"/>
      <name val="Arial"/>
    </font>
    <font>
      <sz val="11.0"/>
      <color rgb="FF000000"/>
      <name val="Arial"/>
    </font>
    <font>
      <b/>
      <sz val="11.0"/>
      <color rgb="FFFF0000"/>
      <name val="Arial"/>
    </font>
    <font>
      <b/>
      <sz val="11.0"/>
      <color rgb="FF0B5394"/>
      <name val="Arial"/>
    </font>
    <font>
      <b/>
      <sz val="11.0"/>
      <color rgb="FF351C75"/>
      <name val="Arial"/>
    </font>
    <font>
      <b/>
      <sz val="11.0"/>
      <color rgb="FF62402E"/>
      <name val="Arial"/>
    </font>
    <font>
      <b/>
      <sz val="11.0"/>
      <color rgb="FFEFEFEF"/>
      <name val="Arial"/>
    </font>
    <font>
      <b/>
      <sz val="11.0"/>
      <color rgb="FF000000"/>
      <name val="Arial"/>
    </font>
    <font>
      <sz val="11.0"/>
      <color rgb="FFB7B7B7"/>
      <name val="Arial"/>
    </font>
    <font>
      <b/>
      <sz val="11.0"/>
      <color rgb="FFF1C232"/>
      <name val="Arial"/>
    </font>
    <font>
      <b/>
      <sz val="11.0"/>
      <color rgb="FFCC4125"/>
      <name val="Arial"/>
    </font>
    <font>
      <b/>
      <sz val="11.0"/>
      <color rgb="FF38761D"/>
      <name val="Arial"/>
    </font>
    <font>
      <b/>
      <i/>
      <sz val="11.0"/>
      <color rgb="FF000000"/>
      <name val="Arial"/>
    </font>
    <font>
      <b/>
      <sz val="11.0"/>
      <color rgb="FF980000"/>
      <name val="Arial"/>
    </font>
    <font>
      <sz val="11.0"/>
      <color rgb="FFFFFF00"/>
      <name val="Arial"/>
    </font>
    <font>
      <b/>
      <sz val="11.0"/>
      <color rgb="FF6AA84F"/>
      <name val="Arial"/>
    </font>
    <font>
      <b/>
      <sz val="11.0"/>
      <color rgb="FF0000FF"/>
      <name val="Arial"/>
    </font>
    <font>
      <b/>
      <sz val="11.0"/>
      <color rgb="FF999999"/>
      <name val="Arial"/>
    </font>
    <font>
      <sz val="11.0"/>
      <color theme="1"/>
      <name val="Arial"/>
    </font>
    <font>
      <sz val="11.0"/>
      <color rgb="FF000000"/>
      <name val="Calibri"/>
    </font>
    <font>
      <sz val="10.0"/>
      <color rgb="FF000000"/>
      <name val="Arial"/>
    </font>
    <font>
      <b/>
      <i/>
      <sz val="11.0"/>
      <color theme="1"/>
      <name val="Arial"/>
    </font>
    <font>
      <b/>
      <sz val="11.0"/>
      <color rgb="FFFF9900"/>
      <name val="Arial"/>
    </font>
    <font>
      <b/>
      <sz val="11.0"/>
      <color rgb="FFFF6D01"/>
      <name val="Arial"/>
    </font>
    <font>
      <color rgb="FF000000"/>
      <name val="Roboto"/>
    </font>
    <font>
      <b/>
      <sz val="14.0"/>
      <color rgb="FF000000"/>
      <name val="Arial"/>
    </font>
    <font>
      <b/>
      <color theme="1"/>
      <name val="Arial"/>
      <scheme val="minor"/>
    </font>
    <font>
      <u/>
      <color rgb="FF0000FF"/>
    </font>
    <font/>
    <font>
      <sz val="11.0"/>
      <color rgb="FF000000"/>
      <name val="Inconsolata"/>
    </font>
    <font>
      <b/>
      <color rgb="FFFF0000"/>
      <name val="Arial"/>
      <scheme val="minor"/>
    </font>
    <font>
      <color rgb="FFFF0000"/>
      <name val="Arial"/>
      <scheme val="minor"/>
    </font>
  </fonts>
  <fills count="10">
    <fill>
      <patternFill patternType="none"/>
    </fill>
    <fill>
      <patternFill patternType="lightGray"/>
    </fill>
    <fill>
      <patternFill patternType="solid">
        <fgColor rgb="FFFFFFFF"/>
        <bgColor rgb="FFFFFFFF"/>
      </patternFill>
    </fill>
    <fill>
      <patternFill patternType="solid">
        <fgColor rgb="FF000000"/>
        <bgColor rgb="FF000000"/>
      </patternFill>
    </fill>
    <fill>
      <patternFill patternType="solid">
        <fgColor rgb="FFF1C232"/>
        <bgColor rgb="FFF1C232"/>
      </patternFill>
    </fill>
    <fill>
      <patternFill patternType="solid">
        <fgColor rgb="FF073763"/>
        <bgColor rgb="FF073763"/>
      </patternFill>
    </fill>
    <fill>
      <patternFill patternType="solid">
        <fgColor rgb="FFF3F3F3"/>
        <bgColor rgb="FFF3F3F3"/>
      </patternFill>
    </fill>
    <fill>
      <patternFill patternType="solid">
        <fgColor theme="6"/>
        <bgColor theme="6"/>
      </patternFill>
    </fill>
    <fill>
      <patternFill patternType="solid">
        <fgColor rgb="FFFBBC04"/>
        <bgColor rgb="FFFBBC04"/>
      </patternFill>
    </fill>
    <fill>
      <patternFill patternType="solid">
        <fgColor rgb="FFFF0000"/>
        <bgColor rgb="FFFF0000"/>
      </patternFill>
    </fill>
  </fills>
  <borders count="6">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rder>
  </borders>
  <cellStyleXfs count="1">
    <xf borderId="0" fillId="0" fontId="0" numFmtId="0" applyAlignment="1" applyFont="1"/>
  </cellStyleXfs>
  <cellXfs count="133">
    <xf borderId="0" fillId="0" fontId="0" numFmtId="0" xfId="0" applyAlignment="1" applyFont="1">
      <alignment readingOrder="0" shrinkToFit="0" vertical="bottom" wrapText="0"/>
    </xf>
    <xf borderId="0" fillId="0" fontId="1" numFmtId="0" xfId="0" applyFont="1"/>
    <xf borderId="0" fillId="0" fontId="2" numFmtId="0" xfId="0" applyFont="1"/>
    <xf borderId="0" fillId="0" fontId="2" numFmtId="0" xfId="0" applyAlignment="1" applyFont="1">
      <alignment vertical="bottom"/>
    </xf>
    <xf borderId="0" fillId="0" fontId="2" numFmtId="0" xfId="0" applyAlignment="1" applyFont="1">
      <alignment shrinkToFit="0" vertical="bottom" wrapText="0"/>
    </xf>
    <xf borderId="0" fillId="0" fontId="2" numFmtId="3" xfId="0" applyFont="1" applyNumberFormat="1"/>
    <xf borderId="0" fillId="2" fontId="3" numFmtId="3" xfId="0" applyAlignment="1" applyFill="1" applyFont="1" applyNumberFormat="1">
      <alignment horizontal="right"/>
    </xf>
    <xf borderId="0" fillId="0" fontId="1" numFmtId="3" xfId="0" applyFont="1" applyNumberFormat="1"/>
    <xf borderId="0" fillId="2" fontId="3" numFmtId="0" xfId="0" applyAlignment="1" applyFont="1">
      <alignment horizontal="left"/>
    </xf>
    <xf borderId="0" fillId="0" fontId="1" numFmtId="0" xfId="0" applyAlignment="1" applyFont="1">
      <alignment shrinkToFit="0" wrapText="0"/>
    </xf>
    <xf borderId="0" fillId="0" fontId="2" numFmtId="3" xfId="0" applyAlignment="1" applyFont="1" applyNumberFormat="1">
      <alignment horizontal="right" vertical="bottom"/>
    </xf>
    <xf borderId="0" fillId="0" fontId="2" numFmtId="0" xfId="0" applyAlignment="1" applyFont="1">
      <alignment horizontal="right" vertical="bottom"/>
    </xf>
    <xf borderId="0" fillId="0" fontId="2" numFmtId="3" xfId="0" applyAlignment="1" applyFont="1" applyNumberFormat="1">
      <alignment vertical="bottom"/>
    </xf>
    <xf borderId="0" fillId="0" fontId="2" numFmtId="0" xfId="0" applyAlignment="1" applyFont="1">
      <alignment readingOrder="0" vertical="bottom"/>
    </xf>
    <xf borderId="1" fillId="0" fontId="4" numFmtId="0" xfId="0" applyAlignment="1" applyBorder="1" applyFont="1">
      <alignment shrinkToFit="0" vertical="bottom" wrapText="1"/>
    </xf>
    <xf borderId="1" fillId="0" fontId="4" numFmtId="1" xfId="0" applyAlignment="1" applyBorder="1" applyFont="1" applyNumberFormat="1">
      <alignment shrinkToFit="0" vertical="bottom" wrapText="1"/>
    </xf>
    <xf borderId="1" fillId="0" fontId="5" numFmtId="0" xfId="0" applyAlignment="1" applyBorder="1" applyFont="1">
      <alignment horizontal="left" shrinkToFit="0" wrapText="1"/>
    </xf>
    <xf borderId="1" fillId="0" fontId="5" numFmtId="1" xfId="0" applyAlignment="1" applyBorder="1" applyFont="1" applyNumberFormat="1">
      <alignment horizontal="left" shrinkToFit="0" wrapText="1"/>
    </xf>
    <xf borderId="1" fillId="0" fontId="2" numFmtId="0" xfId="0" applyAlignment="1" applyBorder="1" applyFont="1">
      <alignment shrinkToFit="0" wrapText="1"/>
    </xf>
    <xf borderId="1" fillId="0" fontId="6" numFmtId="0" xfId="0" applyBorder="1" applyFont="1"/>
    <xf borderId="1" fillId="0" fontId="2" numFmtId="0" xfId="0" applyAlignment="1" applyBorder="1" applyFont="1">
      <alignment readingOrder="0" shrinkToFit="0" wrapText="1"/>
    </xf>
    <xf borderId="1" fillId="0" fontId="2" numFmtId="0" xfId="0" applyBorder="1" applyFont="1"/>
    <xf borderId="1" fillId="0" fontId="5" numFmtId="3" xfId="0" applyAlignment="1" applyBorder="1" applyFont="1" applyNumberFormat="1">
      <alignment horizontal="left" shrinkToFit="0" wrapText="1"/>
    </xf>
    <xf borderId="1" fillId="0" fontId="7" numFmtId="0" xfId="0" applyBorder="1" applyFont="1"/>
    <xf borderId="1" fillId="0" fontId="2" numFmtId="0" xfId="0" applyAlignment="1" applyBorder="1" applyFont="1">
      <alignment horizontal="left" shrinkToFit="0" vertical="top" wrapText="1"/>
    </xf>
    <xf borderId="1" fillId="2" fontId="5" numFmtId="0" xfId="0" applyAlignment="1" applyBorder="1" applyFont="1">
      <alignment horizontal="left" shrinkToFit="0" wrapText="1"/>
    </xf>
    <xf borderId="1" fillId="0" fontId="2" numFmtId="1" xfId="0" applyAlignment="1" applyBorder="1" applyFont="1" applyNumberFormat="1">
      <alignment horizontal="left" shrinkToFit="0" vertical="top" wrapText="1"/>
    </xf>
    <xf borderId="1" fillId="0" fontId="8" numFmtId="0" xfId="0" applyBorder="1" applyFont="1"/>
    <xf borderId="1" fillId="0" fontId="9" numFmtId="0" xfId="0" applyBorder="1" applyFont="1"/>
    <xf borderId="1" fillId="0" fontId="5" numFmtId="49" xfId="0" applyAlignment="1" applyBorder="1" applyFont="1" applyNumberFormat="1">
      <alignment horizontal="left" shrinkToFit="0" wrapText="1"/>
    </xf>
    <xf borderId="1" fillId="3" fontId="10" numFmtId="0" xfId="0" applyBorder="1" applyFill="1" applyFont="1"/>
    <xf borderId="1" fillId="2" fontId="5" numFmtId="0" xfId="0" applyAlignment="1" applyBorder="1" applyFont="1">
      <alignment horizontal="left"/>
    </xf>
    <xf borderId="1" fillId="0" fontId="5" numFmtId="0" xfId="0" applyAlignment="1" applyBorder="1" applyFont="1">
      <alignment horizontal="left" readingOrder="0" shrinkToFit="0" wrapText="1"/>
    </xf>
    <xf borderId="1" fillId="0" fontId="5" numFmtId="0" xfId="0" applyAlignment="1" applyBorder="1" applyFont="1">
      <alignment readingOrder="0"/>
    </xf>
    <xf borderId="1" fillId="0" fontId="5" numFmtId="1" xfId="0" applyAlignment="1" applyBorder="1" applyFont="1" applyNumberFormat="1">
      <alignment horizontal="left" readingOrder="0" shrinkToFit="0" wrapText="1"/>
    </xf>
    <xf borderId="1" fillId="0" fontId="2" numFmtId="0" xfId="0" applyAlignment="1" applyBorder="1" applyFont="1">
      <alignment horizontal="left" readingOrder="0" shrinkToFit="0" vertical="top" wrapText="1"/>
    </xf>
    <xf borderId="1" fillId="0" fontId="11" numFmtId="0" xfId="0" applyBorder="1" applyFont="1"/>
    <xf borderId="1" fillId="0" fontId="2" numFmtId="0" xfId="0" applyAlignment="1" applyBorder="1" applyFont="1">
      <alignment readingOrder="0"/>
    </xf>
    <xf borderId="1" fillId="0" fontId="12" numFmtId="0" xfId="0" applyAlignment="1" applyBorder="1" applyFont="1">
      <alignment readingOrder="0"/>
    </xf>
    <xf borderId="1" fillId="0" fontId="13" numFmtId="0" xfId="0" applyBorder="1" applyFont="1"/>
    <xf borderId="1" fillId="0" fontId="14" numFmtId="0" xfId="0" applyBorder="1" applyFont="1"/>
    <xf borderId="1" fillId="0" fontId="15" numFmtId="0" xfId="0" applyBorder="1" applyFont="1"/>
    <xf borderId="1" fillId="0" fontId="16" numFmtId="0" xfId="0" applyBorder="1" applyFont="1"/>
    <xf borderId="1" fillId="4" fontId="17" numFmtId="0" xfId="0" applyBorder="1" applyFill="1" applyFont="1"/>
    <xf borderId="1" fillId="3" fontId="18" numFmtId="0" xfId="0" applyBorder="1" applyFont="1"/>
    <xf borderId="1" fillId="3" fontId="19" numFmtId="0" xfId="0" applyBorder="1" applyFont="1"/>
    <xf borderId="1" fillId="3" fontId="17" numFmtId="0" xfId="0" applyBorder="1" applyFont="1"/>
    <xf borderId="1" fillId="5" fontId="20" numFmtId="0" xfId="0" applyBorder="1" applyFill="1" applyFont="1"/>
    <xf borderId="1" fillId="0" fontId="5" numFmtId="0" xfId="0" applyAlignment="1" applyBorder="1" applyFont="1">
      <alignment shrinkToFit="0" wrapText="1"/>
    </xf>
    <xf borderId="1" fillId="0" fontId="21" numFmtId="0" xfId="0" applyBorder="1" applyFont="1"/>
    <xf borderId="1" fillId="2" fontId="11" numFmtId="0" xfId="0" applyBorder="1" applyFont="1"/>
    <xf borderId="1" fillId="2" fontId="11" numFmtId="0" xfId="0" applyAlignment="1" applyBorder="1" applyFont="1">
      <alignment horizontal="left"/>
    </xf>
    <xf borderId="1" fillId="6" fontId="11" numFmtId="0" xfId="0" applyBorder="1" applyFill="1" applyFont="1"/>
    <xf borderId="1" fillId="7" fontId="11" numFmtId="0" xfId="0" applyBorder="1" applyFill="1" applyFont="1"/>
    <xf borderId="1" fillId="0" fontId="11" numFmtId="0" xfId="0" applyAlignment="1" applyBorder="1" applyFont="1">
      <alignment horizontal="left"/>
    </xf>
    <xf borderId="1" fillId="0" fontId="22" numFmtId="0" xfId="0" applyAlignment="1" applyBorder="1" applyFont="1">
      <alignment shrinkToFit="0" vertical="bottom" wrapText="1"/>
    </xf>
    <xf borderId="1" fillId="0" fontId="22" numFmtId="1" xfId="0" applyAlignment="1" applyBorder="1" applyFont="1" applyNumberFormat="1">
      <alignment shrinkToFit="0" vertical="bottom" wrapText="1"/>
    </xf>
    <xf borderId="1" fillId="0" fontId="22" numFmtId="3" xfId="0" applyAlignment="1" applyBorder="1" applyFont="1" applyNumberFormat="1">
      <alignment shrinkToFit="0" vertical="bottom" wrapText="1"/>
    </xf>
    <xf borderId="1" fillId="0" fontId="2" numFmtId="0" xfId="0" applyAlignment="1" applyBorder="1" applyFont="1">
      <alignment shrinkToFit="0" vertical="bottom" wrapText="1"/>
    </xf>
    <xf borderId="1" fillId="0" fontId="2" numFmtId="1" xfId="0" applyBorder="1" applyFont="1" applyNumberFormat="1"/>
    <xf borderId="1" fillId="0" fontId="2" numFmtId="3" xfId="0" applyBorder="1" applyFont="1" applyNumberFormat="1"/>
    <xf borderId="1" fillId="0" fontId="5" numFmtId="1" xfId="0" applyBorder="1" applyFont="1" applyNumberFormat="1"/>
    <xf borderId="0" fillId="0" fontId="1" numFmtId="1" xfId="0" applyFont="1" applyNumberFormat="1"/>
    <xf borderId="0" fillId="0" fontId="2" numFmtId="0" xfId="0" applyAlignment="1" applyFont="1">
      <alignment readingOrder="0"/>
    </xf>
    <xf borderId="0" fillId="0" fontId="23" numFmtId="0" xfId="0" applyAlignment="1" applyFont="1">
      <alignment shrinkToFit="0" vertical="bottom" wrapText="0"/>
    </xf>
    <xf borderId="0" fillId="0" fontId="23" numFmtId="0" xfId="0" applyAlignment="1" applyFont="1">
      <alignment readingOrder="0" shrinkToFit="0" vertical="bottom" wrapText="0"/>
    </xf>
    <xf borderId="0" fillId="0" fontId="2" numFmtId="164" xfId="0" applyFont="1" applyNumberFormat="1"/>
    <xf borderId="0" fillId="0" fontId="5" numFmtId="0" xfId="0" applyFont="1"/>
    <xf borderId="0" fillId="0" fontId="24" numFmtId="0" xfId="0" applyFont="1"/>
    <xf borderId="0" fillId="2" fontId="5" numFmtId="0" xfId="0" applyAlignment="1" applyFont="1">
      <alignment horizontal="left"/>
    </xf>
    <xf borderId="0" fillId="0" fontId="5" numFmtId="0" xfId="0" applyAlignment="1" applyFont="1">
      <alignment readingOrder="0"/>
    </xf>
    <xf borderId="1" fillId="0" fontId="5" numFmtId="0" xfId="0" applyBorder="1" applyFont="1"/>
    <xf borderId="0" fillId="0" fontId="2" numFmtId="49" xfId="0" applyFont="1" applyNumberFormat="1"/>
    <xf borderId="0" fillId="0" fontId="1" numFmtId="49" xfId="0" applyFont="1" applyNumberFormat="1"/>
    <xf borderId="0" fillId="0" fontId="6" numFmtId="0" xfId="0" applyAlignment="1" applyFont="1">
      <alignment vertical="bottom"/>
    </xf>
    <xf borderId="1" fillId="0" fontId="7" numFmtId="0" xfId="0" applyAlignment="1" applyBorder="1" applyFont="1">
      <alignment vertical="bottom"/>
    </xf>
    <xf borderId="1" fillId="0" fontId="8" numFmtId="0" xfId="0" applyAlignment="1" applyBorder="1" applyFont="1">
      <alignment vertical="bottom"/>
    </xf>
    <xf borderId="1" fillId="0" fontId="9" numFmtId="0" xfId="0" applyAlignment="1" applyBorder="1" applyFont="1">
      <alignment vertical="bottom"/>
    </xf>
    <xf borderId="1" fillId="3" fontId="10" numFmtId="0" xfId="0" applyAlignment="1" applyBorder="1" applyFont="1">
      <alignment vertical="bottom"/>
    </xf>
    <xf borderId="1" fillId="0" fontId="4" numFmtId="0" xfId="0" applyAlignment="1" applyBorder="1" applyFont="1">
      <alignment vertical="bottom"/>
    </xf>
    <xf borderId="1" fillId="0" fontId="12" numFmtId="0" xfId="0" applyAlignment="1" applyBorder="1" applyFont="1">
      <alignment readingOrder="0" vertical="bottom"/>
    </xf>
    <xf borderId="1" fillId="0" fontId="13" numFmtId="0" xfId="0" applyAlignment="1" applyBorder="1" applyFont="1">
      <alignment vertical="bottom"/>
    </xf>
    <xf borderId="1" fillId="0" fontId="14" numFmtId="0" xfId="0" applyAlignment="1" applyBorder="1" applyFont="1">
      <alignment vertical="bottom"/>
    </xf>
    <xf borderId="1" fillId="0" fontId="15" numFmtId="0" xfId="0" applyAlignment="1" applyBorder="1" applyFont="1">
      <alignment vertical="bottom"/>
    </xf>
    <xf borderId="1" fillId="0" fontId="25" numFmtId="0" xfId="0" applyAlignment="1" applyBorder="1" applyFont="1">
      <alignment vertical="bottom"/>
    </xf>
    <xf borderId="1" fillId="4" fontId="17" numFmtId="0" xfId="0" applyAlignment="1" applyBorder="1" applyFont="1">
      <alignment vertical="bottom"/>
    </xf>
    <xf borderId="1" fillId="3" fontId="18" numFmtId="0" xfId="0" applyAlignment="1" applyBorder="1" applyFont="1">
      <alignment vertical="bottom"/>
    </xf>
    <xf borderId="1" fillId="3" fontId="19" numFmtId="0" xfId="0" applyAlignment="1" applyBorder="1" applyFont="1">
      <alignment vertical="bottom"/>
    </xf>
    <xf borderId="1" fillId="3" fontId="17" numFmtId="0" xfId="0" applyAlignment="1" applyBorder="1" applyFont="1">
      <alignment vertical="bottom"/>
    </xf>
    <xf borderId="1" fillId="5" fontId="26" numFmtId="0" xfId="0" applyAlignment="1" applyBorder="1" applyFont="1">
      <alignment vertical="bottom"/>
    </xf>
    <xf borderId="1" fillId="0" fontId="21" numFmtId="0" xfId="0" applyAlignment="1" applyBorder="1" applyFont="1">
      <alignment vertical="bottom"/>
    </xf>
    <xf borderId="1" fillId="2" fontId="4" numFmtId="0" xfId="0" applyAlignment="1" applyBorder="1" applyFont="1">
      <alignment readingOrder="0" vertical="bottom"/>
    </xf>
    <xf borderId="1" fillId="6" fontId="4" numFmtId="0" xfId="0" applyAlignment="1" applyBorder="1" applyFont="1">
      <alignment vertical="bottom"/>
    </xf>
    <xf borderId="1" fillId="8" fontId="27" numFmtId="0" xfId="0" applyAlignment="1" applyBorder="1" applyFill="1" applyFont="1">
      <alignment readingOrder="0" vertical="bottom"/>
    </xf>
    <xf borderId="0" fillId="8" fontId="27" numFmtId="0" xfId="0" applyAlignment="1" applyFont="1">
      <alignment readingOrder="0" vertical="bottom"/>
    </xf>
    <xf borderId="0" fillId="0" fontId="1" numFmtId="0" xfId="0" applyAlignment="1" applyFont="1">
      <alignment readingOrder="0" shrinkToFit="0" wrapText="0"/>
    </xf>
    <xf borderId="0" fillId="0" fontId="2" numFmtId="0" xfId="0" applyAlignment="1" applyFont="1">
      <alignment vertical="bottom"/>
    </xf>
    <xf borderId="1" fillId="0" fontId="2" numFmtId="0" xfId="0" applyAlignment="1" applyBorder="1" applyFont="1">
      <alignment vertical="bottom"/>
    </xf>
    <xf borderId="0" fillId="0" fontId="5" numFmtId="0" xfId="0" applyAlignment="1" applyFont="1">
      <alignment readingOrder="0" shrinkToFit="0" wrapText="0"/>
    </xf>
    <xf borderId="0" fillId="2" fontId="28" numFmtId="0" xfId="0" applyAlignment="1" applyFont="1">
      <alignment readingOrder="0" shrinkToFit="0" wrapText="0"/>
    </xf>
    <xf borderId="1" fillId="0" fontId="29" numFmtId="0" xfId="0" applyAlignment="1" applyBorder="1" applyFont="1">
      <alignment horizontal="left" readingOrder="0" shrinkToFit="0" wrapText="1"/>
    </xf>
    <xf borderId="0" fillId="0" fontId="30" numFmtId="0" xfId="0" applyAlignment="1" applyFont="1">
      <alignment readingOrder="0"/>
    </xf>
    <xf borderId="0" fillId="0" fontId="1" numFmtId="164" xfId="0" applyFont="1" applyNumberFormat="1"/>
    <xf borderId="0" fillId="0" fontId="31" numFmtId="0" xfId="0" applyFont="1"/>
    <xf borderId="0" fillId="9" fontId="3" numFmtId="0" xfId="0" applyFill="1" applyFont="1"/>
    <xf borderId="0" fillId="7" fontId="2" numFmtId="0" xfId="0" applyFont="1"/>
    <xf borderId="0" fillId="0" fontId="2" numFmtId="3" xfId="0" applyAlignment="1" applyFont="1" applyNumberFormat="1">
      <alignment readingOrder="0"/>
    </xf>
    <xf borderId="0" fillId="0" fontId="1" numFmtId="0" xfId="0" applyAlignment="1" applyFont="1">
      <alignment readingOrder="0"/>
    </xf>
    <xf borderId="2" fillId="0" fontId="22" numFmtId="0" xfId="0" applyAlignment="1" applyBorder="1" applyFont="1">
      <alignment shrinkToFit="0" vertical="bottom" wrapText="1"/>
    </xf>
    <xf borderId="3" fillId="0" fontId="22" numFmtId="0" xfId="0" applyAlignment="1" applyBorder="1" applyFont="1">
      <alignment horizontal="center" shrinkToFit="0" vertical="bottom" wrapText="1"/>
    </xf>
    <xf borderId="4" fillId="0" fontId="32" numFmtId="0" xfId="0" applyBorder="1" applyFont="1"/>
    <xf borderId="3" fillId="0" fontId="32" numFmtId="0" xfId="0" applyBorder="1" applyFont="1"/>
    <xf borderId="5" fillId="0" fontId="2" numFmtId="0" xfId="0" applyAlignment="1" applyBorder="1" applyFont="1">
      <alignment vertical="bottom"/>
    </xf>
    <xf borderId="5" fillId="0" fontId="2" numFmtId="0" xfId="0" applyAlignment="1" applyBorder="1" applyFont="1">
      <alignment horizontal="right" vertical="bottom"/>
    </xf>
    <xf borderId="0" fillId="0" fontId="2" numFmtId="0" xfId="0" applyAlignment="1" applyFont="1">
      <alignment horizontal="right" vertical="bottom"/>
    </xf>
    <xf borderId="0" fillId="0" fontId="2" numFmtId="3" xfId="0" applyAlignment="1" applyFont="1" applyNumberFormat="1">
      <alignment horizontal="right" readingOrder="0" vertical="bottom"/>
    </xf>
    <xf borderId="0" fillId="0" fontId="2" numFmtId="0" xfId="0" applyAlignment="1" applyFont="1">
      <alignment horizontal="right" readingOrder="0" vertical="bottom"/>
    </xf>
    <xf borderId="5" fillId="0" fontId="2" numFmtId="0" xfId="0" applyAlignment="1" applyBorder="1" applyFont="1">
      <alignment vertical="bottom"/>
    </xf>
    <xf borderId="0" fillId="0" fontId="2" numFmtId="0" xfId="0" applyAlignment="1" applyFont="1">
      <alignment vertical="bottom"/>
    </xf>
    <xf borderId="5" fillId="0" fontId="2" numFmtId="3" xfId="0" applyAlignment="1" applyBorder="1" applyFont="1" applyNumberFormat="1">
      <alignment horizontal="right" vertical="bottom"/>
    </xf>
    <xf borderId="0" fillId="0" fontId="2" numFmtId="0" xfId="0" applyAlignment="1" applyFont="1">
      <alignment horizontal="right" vertical="bottom"/>
    </xf>
    <xf borderId="5" fillId="0" fontId="2" numFmtId="0" xfId="0" applyAlignment="1" applyBorder="1" applyFont="1">
      <alignment vertical="bottom"/>
    </xf>
    <xf borderId="5" fillId="0" fontId="2" numFmtId="3" xfId="0" applyAlignment="1" applyBorder="1" applyFont="1" applyNumberFormat="1">
      <alignment horizontal="right" readingOrder="0" vertical="bottom"/>
    </xf>
    <xf borderId="0" fillId="2" fontId="33" numFmtId="0" xfId="0" applyAlignment="1" applyFont="1">
      <alignment readingOrder="0"/>
    </xf>
    <xf borderId="0" fillId="0" fontId="2" numFmtId="0" xfId="0" applyAlignment="1" applyFont="1">
      <alignment shrinkToFit="0" wrapText="1"/>
    </xf>
    <xf borderId="0" fillId="0" fontId="2" numFmtId="0" xfId="0" applyAlignment="1" applyFont="1">
      <alignment readingOrder="0" shrinkToFit="0" wrapText="1"/>
    </xf>
    <xf borderId="0" fillId="2" fontId="5" numFmtId="0" xfId="0" applyAlignment="1" applyFont="1">
      <alignment shrinkToFit="0" wrapText="1"/>
    </xf>
    <xf borderId="0" fillId="0" fontId="34" numFmtId="0" xfId="0" applyAlignment="1" applyFont="1">
      <alignment readingOrder="0"/>
    </xf>
    <xf borderId="0" fillId="0" fontId="30" numFmtId="0" xfId="0" applyAlignment="1" applyFont="1">
      <alignment horizontal="center" readingOrder="0"/>
    </xf>
    <xf borderId="0" fillId="0" fontId="35" numFmtId="0" xfId="0" applyAlignment="1" applyFont="1">
      <alignment readingOrder="0"/>
    </xf>
    <xf borderId="0" fillId="0" fontId="30" numFmtId="0" xfId="0" applyAlignment="1" applyFont="1">
      <alignment horizontal="center"/>
    </xf>
    <xf borderId="0" fillId="0" fontId="1" numFmtId="0" xfId="0" applyAlignment="1" applyFont="1">
      <alignment horizontal="center"/>
    </xf>
    <xf borderId="0" fillId="2" fontId="3" numFmtId="0" xfId="0" applyAlignment="1" applyFont="1">
      <alignment horizontal="right"/>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0" Type="http://schemas.openxmlformats.org/officeDocument/2006/relationships/worksheet" Target="worksheets/sheet27.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0.xml"/><Relationship Id="rId3"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90" Type="http://schemas.openxmlformats.org/officeDocument/2006/relationships/hyperlink" Target="https://www.google.com/url?q=https://c4.wallpaperflare.com/wallpaper/165/183/743/pharaoh-fantasy-art-artwork-gun-hd-wallpaper-thumb.jpg&amp;sa=D&amp;source=editors&amp;ust=1685916875848321&amp;usg=AOvVaw1l9hNcfJSdN1ipKmULfiC5" TargetMode="External"/><Relationship Id="rId194" Type="http://schemas.openxmlformats.org/officeDocument/2006/relationships/hyperlink" Target="https://www.google.com/url?q=https://i.pinimg.com/originals/ab/2e/34/ab2e343cfb3072be204663206e1210b5.jpg&amp;sa=D&amp;source=editors&amp;ust=1685916875836601&amp;usg=AOvVaw1kKE5LyT_yEAKD8VUDCNNl" TargetMode="External"/><Relationship Id="rId193" Type="http://schemas.openxmlformats.org/officeDocument/2006/relationships/hyperlink" Target="https://www.google.com/url?q=https://i.pinimg.com/originals/40/de/b2/40deb2bbb949d7d67337972d574087ed.jpg&amp;sa=D&amp;source=editors&amp;ust=1685916875840927&amp;usg=AOvVaw0GctiZf4rMAvVPoinGc5og" TargetMode="External"/><Relationship Id="rId192" Type="http://schemas.openxmlformats.org/officeDocument/2006/relationships/hyperlink" Target="https://www.google.com/url?q=https://s-media-cache-ak0.pinimg.com/originals/53/25/47/532547e8b5d68b66add02249b5a7c571.jpg&amp;sa=D&amp;source=editors&amp;ust=1685916875841024&amp;usg=AOvVaw1BGTusxapOju23zI3fmDsf" TargetMode="External"/><Relationship Id="rId191" Type="http://schemas.openxmlformats.org/officeDocument/2006/relationships/hyperlink" Target="https://www.google.com/url?q=https://w0.peakpx.com/wallpaper/293/688/HD-wallpaper-mummy-queen-staff-fantasy-queen-skull-mummy.jpg&amp;sa=D&amp;source=editors&amp;ust=1685916875840837&amp;usg=AOvVaw3jUt_szlfywX3mq8PvvruB" TargetMode="External"/><Relationship Id="rId187" Type="http://schemas.openxmlformats.org/officeDocument/2006/relationships/hyperlink" Target="https://t0.gstatic.com/images?q=tbn:ANd9GcTjHlqL8tNfoIt7mOf1nZbH8vPR3PEY_BxvV9173O-py_-GBRon" TargetMode="External"/><Relationship Id="rId186" Type="http://schemas.openxmlformats.org/officeDocument/2006/relationships/hyperlink" Target="https://cdnb.artstation.com/p/assets/images/images/053/880/791/large/digital-forms-banshee-p.jpg?1663241016" TargetMode="External"/><Relationship Id="rId185" Type="http://schemas.openxmlformats.org/officeDocument/2006/relationships/hyperlink" Target="https://static.wikia.nocookie.net/the-legendary-moonlight-sculptor/images/7/72/Unicorn_black.jpg/revision/latest?cb=20160905204750" TargetMode="External"/><Relationship Id="rId184" Type="http://schemas.openxmlformats.org/officeDocument/2006/relationships/hyperlink" Target="https://drive.google.com/uc?export=view&amp;id=1t_Wi6o4if-E5y_7ia1w_yWV_i99tysvT" TargetMode="External"/><Relationship Id="rId189" Type="http://schemas.openxmlformats.org/officeDocument/2006/relationships/hyperlink" Target="https://www.google.com/url?q=https://artfiles.alphacoders.com/516/thumb-51601.jpg&amp;sa=D&amp;source=editors&amp;ust=1685916875841119&amp;usg=AOvVaw3mApZ0R0txB9u1ai2PcCAG" TargetMode="External"/><Relationship Id="rId188" Type="http://schemas.openxmlformats.org/officeDocument/2006/relationships/hyperlink" Target="https://www.google.com/url?q=https://drive.google.com/uc?export%3Dview%26id%3D1UqAfbYaSOZVec5EKVnCIL4mYX8vnRK7K&amp;sa=D&amp;source=editors&amp;ust=1685916875848876&amp;usg=AOvVaw1hpJ11lqXX2hDLg5toQOWx" TargetMode="External"/><Relationship Id="rId183" Type="http://schemas.openxmlformats.org/officeDocument/2006/relationships/hyperlink" Target="https://www.google.com/url?q=https://i.pinimg.com/originals/c3/95/f9/c395f97dc331057a9ac47d1eab8a9687.jpg&amp;sa=D&amp;source=editors&amp;ust=1685916875837062&amp;usg=AOvVaw2YLXnGUp4UFgd4DZjhPdKp" TargetMode="External"/><Relationship Id="rId182" Type="http://schemas.openxmlformats.org/officeDocument/2006/relationships/hyperlink" Target="https://www.google.com/url?q=https://i.pinimg.com/736x/53/77/ca/5377ca2b88198b6f53397f76709e0be2.jpg&amp;sa=D&amp;source=editors&amp;ust=1685916875838065&amp;usg=AOvVaw0s7gmYtPMyKD9dqUPjJBxv" TargetMode="External"/><Relationship Id="rId181" Type="http://schemas.openxmlformats.org/officeDocument/2006/relationships/hyperlink" Target="https://www.google.com/url?q=https://i.pinimg.com/736x/53/77/ca/5377ca2b88198b6f53397f76709e0be2.jpg&amp;sa=D&amp;source=editors&amp;ust=1685916875838065&amp;usg=AOvVaw0s7gmYtPMyKD9dqUPjJBxv" TargetMode="External"/><Relationship Id="rId180" Type="http://schemas.openxmlformats.org/officeDocument/2006/relationships/hyperlink" Target="https://cdnb.artstation.com/p/assets/images/images/005/477/891/large/pawel-parol-turtlle-v2.jpg?1491465146" TargetMode="External"/><Relationship Id="rId176" Type="http://schemas.openxmlformats.org/officeDocument/2006/relationships/hyperlink" Target="https://i.pinimg.com/originals/91/f7/be/91f7be85b0a266bfe5bfc05d0789e8f7.png" TargetMode="External"/><Relationship Id="rId297" Type="http://schemas.openxmlformats.org/officeDocument/2006/relationships/hyperlink" Target="https://i.pinimg.com/474x/4d/40/9e/4d409e459cd0fc809aecbb53aa96545a.jpg" TargetMode="External"/><Relationship Id="rId175" Type="http://schemas.openxmlformats.org/officeDocument/2006/relationships/hyperlink" Target="https://cdn.openart.ai/stable_diffusion/8e80c1fef0eaa97bcba857c34cbb47f5f6bdf20c_2000x2000.webp" TargetMode="External"/><Relationship Id="rId296" Type="http://schemas.openxmlformats.org/officeDocument/2006/relationships/hyperlink" Target="https://images-wixmp-ed30a86b8c4ca887773594c2.wixmp.com/f/2e84ba6d-5dfa-4927-9f63-f3df9f2bf986/dgf01pv-a3d5fab5-e142-416d-bbd1-caf85a0ce929.jpg?token=eyJ0eXAiOiJKV1QiLCJhbGciOiJIUzI1NiJ9.eyJzdWIiOiJ1cm46YXBwOjdlMGQxODg5ODIyNjQzNzNhNWYwZDQxNWVhMGQyNmUwIiwiaXNzIjoidXJuOmFwcDo3ZTBkMTg4OTgyMjY0MzczYTVmMGQ0MTVlYTBkMjZlMCIsIm9iaiI6W1t7InBhdGgiOiJcL2ZcLzJlODRiYTZkLTVkZmEtNDkyNy05ZjYzLWYzZGY5ZjJiZjk4NlwvZGdmMDFwdi1hM2Q1ZmFiNS1lMTQyLTQxNmQtYmJkMS1jYWY4NWEwY2U5MjkuanBnIn1dXSwiYXVkIjpbInVybjpzZXJ2aWNlOmZpbGUuZG93bmxvYWQiXX0.oAE3glunFbfUUJC_VVNrouTvJMCHAsT3HK8a1UwjfO4" TargetMode="External"/><Relationship Id="rId174" Type="http://schemas.openxmlformats.org/officeDocument/2006/relationships/hyperlink" Target="https://i.pinimg.com/736x/9d/12/b3/9d12b3b6041fb20f5ead6ace6e3c1e98.jpg" TargetMode="External"/><Relationship Id="rId295" Type="http://schemas.openxmlformats.org/officeDocument/2006/relationships/hyperlink" Target="https://i.pinimg.com/originals/1f/0a/a8/1f0aa89abab988ca17c0312be3c59b69.jpg" TargetMode="External"/><Relationship Id="rId173" Type="http://schemas.openxmlformats.org/officeDocument/2006/relationships/hyperlink" Target="https://cdn.discordapp.com/attachments/884643894489403402/1221653956351103108/image.png?ex=66135ce8&amp;is=6600e7e8&amp;hm=125c18f531475a1a3c6c0a0736d3814e74cb1c401c71f370295d0dd2371dd937&amp;" TargetMode="External"/><Relationship Id="rId294" Type="http://schemas.openxmlformats.org/officeDocument/2006/relationships/hyperlink" Target="https://i.pinimg.com/originals/3c/53/6d/3c536dd79738cb71451aa63b34b95b19.jpg" TargetMode="External"/><Relationship Id="rId179" Type="http://schemas.openxmlformats.org/officeDocument/2006/relationships/hyperlink" Target="https://t3.ftcdn.net/jpg/05/70/65/84/360_F_570658463_Z4c7C4iwKNTjtrT3dohO6mnSeN2YgwtO.jpg" TargetMode="External"/><Relationship Id="rId178" Type="http://schemas.openxmlformats.org/officeDocument/2006/relationships/hyperlink" Target="https://imagedelivery.net/9sCnq8t6WEGNay0RAQNdvQ/UUID-cl9dsxoys4935qqouxkaq9oca/public" TargetMode="External"/><Relationship Id="rId299" Type="http://schemas.openxmlformats.org/officeDocument/2006/relationships/hyperlink" Target="https://i.pinimg.com/474x/b5/a3/d1/b5a3d1e7e05098c4f6a7cc341f8f153b.jpg" TargetMode="External"/><Relationship Id="rId177" Type="http://schemas.openxmlformats.org/officeDocument/2006/relationships/hyperlink" Target="https://t2.gstatic.com/images?q=tbn:ANd9GcQk8tHtkzvLCSedNrERIUXAPqwp_cCh_e-gM7m-aa5rFZt5-g8h" TargetMode="External"/><Relationship Id="rId298" Type="http://schemas.openxmlformats.org/officeDocument/2006/relationships/hyperlink" Target="https://i.pinimg.com/474x/9f/ab/d8/9fabd8a4ac75a62f28bed098d17108b0.jpg" TargetMode="External"/><Relationship Id="rId198" Type="http://schemas.openxmlformats.org/officeDocument/2006/relationships/hyperlink" Target="https://www.google.com/url?q=https://www.mtgnexus.com/img/gallery/1210-moat-piranhas.jpg&amp;sa=D&amp;source=editors&amp;ust=1685916875837805&amp;usg=AOvVaw0J9v-0hVbbriB21G0TIyyH" TargetMode="External"/><Relationship Id="rId197" Type="http://schemas.openxmlformats.org/officeDocument/2006/relationships/hyperlink" Target="https://www.google.com/url?q=https://www.mtgnexus.com/img/gallery/1210-moat-piranhas.jpg&amp;sa=D&amp;source=editors&amp;ust=1685916875837805&amp;usg=AOvVaw0J9v-0hVbbriB21G0TIyyH" TargetMode="External"/><Relationship Id="rId196" Type="http://schemas.openxmlformats.org/officeDocument/2006/relationships/hyperlink" Target="https://www.google.com/url?q=https://64.media.tumblr.com/8353ca24310856a247c1531b086a5039/2e7b561a80f95273-13/s640x960/c2de4562d42e4af0d860945ee0ccb4cb261f121c.jpg&amp;sa=D&amp;source=editors&amp;ust=1685916875837515&amp;usg=AOvVaw0SxIfQ1rq_7gjE9zf0oqWi" TargetMode="External"/><Relationship Id="rId195" Type="http://schemas.openxmlformats.org/officeDocument/2006/relationships/hyperlink" Target="https://www.google.com/url?q=https://i.pinimg.com/originals/ab/2e/34/ab2e343cfb3072be204663206e1210b5.jpg&amp;sa=D&amp;source=editors&amp;ust=1685916875836601&amp;usg=AOvVaw1kKE5LyT_yEAKD8VUDCNNl" TargetMode="External"/><Relationship Id="rId199" Type="http://schemas.openxmlformats.org/officeDocument/2006/relationships/hyperlink" Target="https://www.google.com/url?q=https://qph.cf2.quoracdn.net/main-qimg-a52fb4f9abf08ee3abe90b8c818f4cc8-lq&amp;sa=D&amp;source=editors&amp;ust=1685916875837888&amp;usg=AOvVaw3oHq3Kz-2lV7sR9b9Wx0p4" TargetMode="External"/><Relationship Id="rId150" Type="http://schemas.openxmlformats.org/officeDocument/2006/relationships/hyperlink" Target="https://encrypted-tbn3.gstatic.com/images?q=tbn:ANd9GcR5b5C0-UAZ4qAF5Pq8oGk3fyfAdrB5GqEnuq-HdJvnvbfV1CIl" TargetMode="External"/><Relationship Id="rId271" Type="http://schemas.openxmlformats.org/officeDocument/2006/relationships/hyperlink" Target="https://i.pinimg.com/originals/13/30/47/13304738fa786e503523576be09292f1.jpg" TargetMode="External"/><Relationship Id="rId392" Type="http://schemas.openxmlformats.org/officeDocument/2006/relationships/hyperlink" Target="https://storage.googleapis.com/pai-images/214123d8395b4deaa0285329bc1ddafe.jpeg" TargetMode="External"/><Relationship Id="rId270" Type="http://schemas.openxmlformats.org/officeDocument/2006/relationships/hyperlink" Target="https://static.wikia.nocookie.net/forgottenrealms/images/b/bb/GiantClam-2e.png/revision/latest?cb=20210124191709" TargetMode="External"/><Relationship Id="rId391" Type="http://schemas.openxmlformats.org/officeDocument/2006/relationships/hyperlink" Target="https://storage.googleapis.com/pai-images/214123d8395b4deaa0285329bc1ddafe.jpeg" TargetMode="External"/><Relationship Id="rId390" Type="http://schemas.openxmlformats.org/officeDocument/2006/relationships/hyperlink" Target="https://i.pinimg.com/236x/72/93/af/7293af721a442b90190d9c41c9bc2502.jpg" TargetMode="External"/><Relationship Id="rId1" Type="http://schemas.openxmlformats.org/officeDocument/2006/relationships/hyperlink" Target="https://i.pinimg.com/originals/20/02/d3/2002d3214a41bc756183bbb74b1e2084.jpg" TargetMode="External"/><Relationship Id="rId2" Type="http://schemas.openxmlformats.org/officeDocument/2006/relationships/hyperlink" Target="https://static.wikia.nocookie.net/gamelore/images/5/56/Acidic_Slime.jpg/revision/latest?cb=20130501112219" TargetMode="External"/><Relationship Id="rId3" Type="http://schemas.openxmlformats.org/officeDocument/2006/relationships/hyperlink" Target="https://i.pinimg.com/originals/54/dd/67/54dd67aa6b91b1f2d03d68500cc4996c.jpg" TargetMode="External"/><Relationship Id="rId149" Type="http://schemas.openxmlformats.org/officeDocument/2006/relationships/hyperlink" Target="https://encrypted-tbn0.gstatic.com/images?q=tbn:ANd9GcTwFPj5Qf79hT7h3Tg7H5G0twUjQTw1-Qdsl7y_YsSCg1PwWM9B" TargetMode="External"/><Relationship Id="rId4" Type="http://schemas.openxmlformats.org/officeDocument/2006/relationships/hyperlink" Target="https://media.istockphoto.com/id/1172866617/vector/man-encountering-the-legendary-deer.jpg?s=612x612&amp;w=0&amp;k=20&amp;c=ApPEcMD-2uDxlPnX3UtiG5vHNDZMxiPjj3ma1gapdXU=" TargetMode="External"/><Relationship Id="rId148" Type="http://schemas.openxmlformats.org/officeDocument/2006/relationships/hyperlink" Target="https://i.pinimg.com/originals/72/a4/4d/72a44d7156a216ef0e14eee66149be1b.jpg" TargetMode="External"/><Relationship Id="rId269" Type="http://schemas.openxmlformats.org/officeDocument/2006/relationships/hyperlink" Target="https://images.nightcafe.studio/jobs/j6ZtMxVEc71KjusyG9c7/j6ZtMxVEc71KjusyG9c7--1--pbs6c.jpg?tr=w-1600,c-at_max" TargetMode="External"/><Relationship Id="rId9" Type="http://schemas.openxmlformats.org/officeDocument/2006/relationships/hyperlink" Target="https://cdna.artstation.com/p/assets/images/images/021/098/140/large/martin-malek-fireballostrich09-b.jpg?1570394497" TargetMode="External"/><Relationship Id="rId143" Type="http://schemas.openxmlformats.org/officeDocument/2006/relationships/hyperlink" Target="https://i.pinimg.com/236x/59/8b/ff/598bffe03feeac4c9cac851462fd2718.jpg" TargetMode="External"/><Relationship Id="rId264" Type="http://schemas.openxmlformats.org/officeDocument/2006/relationships/hyperlink" Target="https://i.pinimg.com/736x/b4/ee/2e/b4ee2e9bc28136b9b6c3e98fa062434c.jpg" TargetMode="External"/><Relationship Id="rId385" Type="http://schemas.openxmlformats.org/officeDocument/2006/relationships/hyperlink" Target="https://www.wallpaperup.com/uploads/wallpapers/2015/04/29/674345/11b9f13ecdd67d32f7767d4851153487-700.jpg" TargetMode="External"/><Relationship Id="rId142" Type="http://schemas.openxmlformats.org/officeDocument/2006/relationships/hyperlink" Target="https://cdna.artstation.com/p/assets/images/images/012/370/394/large/_dak-liber-_-img-3350.jpg?1534438494" TargetMode="External"/><Relationship Id="rId263" Type="http://schemas.openxmlformats.org/officeDocument/2006/relationships/hyperlink" Target="https://encrypted-tbn2.gstatic.com/images?q=tbn:ANd9GcTfs-uxwwBY7ENHEo3mLQ1r8UnDSeeH_ioZ1UCSqwL55Uv8q6Lp" TargetMode="External"/><Relationship Id="rId384" Type="http://schemas.openxmlformats.org/officeDocument/2006/relationships/hyperlink" Target="https://www.originalmagicart.store/cdn/shop/products/Swanland_UginSpiritDragon_Print_5000x.jpg?v=1603674292" TargetMode="External"/><Relationship Id="rId141" Type="http://schemas.openxmlformats.org/officeDocument/2006/relationships/hyperlink" Target="https://i.pinimg.com/236x/ce/ad/86/cead86b05ba305cdb07d8e70def211c9.jpg" TargetMode="External"/><Relationship Id="rId262" Type="http://schemas.openxmlformats.org/officeDocument/2006/relationships/hyperlink" Target="https://cdnb.artstation.com/p/assets/images/images/031/844/267/large/mikael-eriksson-concept-1.jpg?1604761294" TargetMode="External"/><Relationship Id="rId383" Type="http://schemas.openxmlformats.org/officeDocument/2006/relationships/hyperlink" Target="https://static.wikia.nocookie.net/charm-of-soul-pets-cosp/images/1/1a/C2tu6z8kg4s51.jpg/revision/latest?cb=20210512170831" TargetMode="External"/><Relationship Id="rId140" Type="http://schemas.openxmlformats.org/officeDocument/2006/relationships/hyperlink" Target="https://media.discordapp.net/attachments/1035710302953676902/1224157462509256765/document.png?ex=661c787a&amp;is=660a037a&amp;hm=288ffc55a08f8bd8d526e48012a6167da9657eae6d2cb6ad96c9ec40fb5464d6&amp;=&amp;format=webp&amp;quality=lossless&amp;width=671&amp;height=671" TargetMode="External"/><Relationship Id="rId261" Type="http://schemas.openxmlformats.org/officeDocument/2006/relationships/hyperlink" Target="https://pbs.twimg.com/media/EkcGz7gXgAEoR6j.jpg:large" TargetMode="External"/><Relationship Id="rId382" Type="http://schemas.openxmlformats.org/officeDocument/2006/relationships/hyperlink" Target="https://images.squarespace-cdn.com/content/v1/56f56ea1ecb9287a7016b02f/1559934511718-3A3CVPZW18J1BHHM72RB/king+of+Winter.jpg?format=500w" TargetMode="External"/><Relationship Id="rId5" Type="http://schemas.openxmlformats.org/officeDocument/2006/relationships/hyperlink" Target="https://cdn.wallpapersafari.com/43/30/CH4uiU.jpg" TargetMode="External"/><Relationship Id="rId147" Type="http://schemas.openxmlformats.org/officeDocument/2006/relationships/hyperlink" Target="https://i.pinimg.com/originals/0b/24/3a/0b243a477fd3257de4b036b2c7e4e52b.jpg" TargetMode="External"/><Relationship Id="rId268" Type="http://schemas.openxmlformats.org/officeDocument/2006/relationships/hyperlink" Target="https://i.pinimg.com/originals/4c/d9/48/4cd948266c0fbbadbcc097fc606729b5.png" TargetMode="External"/><Relationship Id="rId389" Type="http://schemas.openxmlformats.org/officeDocument/2006/relationships/hyperlink" Target="https://i.pinimg.com/236x/a8/b4/2d/a8b42d6b9f873095670be71c83c19a64.jpg" TargetMode="External"/><Relationship Id="rId6" Type="http://schemas.openxmlformats.org/officeDocument/2006/relationships/hyperlink" Target="https://i.pinimg.com/550x/3e/98/72/3e98725d088b55632ed4a26bd9236948.jpg" TargetMode="External"/><Relationship Id="rId146" Type="http://schemas.openxmlformats.org/officeDocument/2006/relationships/hyperlink" Target="https://e0.pxfuel.com/wallpapers/831/360/desktop-wallpaper-creepy-crow-halloween-moon-scary-scarecrow-space-moons-thumbnail.jpg" TargetMode="External"/><Relationship Id="rId267" Type="http://schemas.openxmlformats.org/officeDocument/2006/relationships/hyperlink" Target="https://storage.googleapis.com/pai-images/edf09ada6ec947a5b6723571d13eef2f.jpeg" TargetMode="External"/><Relationship Id="rId388" Type="http://schemas.openxmlformats.org/officeDocument/2006/relationships/hyperlink" Target="https://images-wixmp-ed30a86b8c4ca887773594c2.wixmp.com/f/829dde96-a3f9-4506-a222-87d88adab205/dfqw09q-02f18045-ad67-4ddf-8905-2dfa5cf95528.jpg/v1/fill/w_717,h_1115,q_70,strp/reptile_mage_by_fyrgor_dfqw09q-pre.jpg?token=eyJ0eXAiOiJKV1QiLCJhbGciOiJIUzI1NiJ9.eyJzdWIiOiJ1cm46YXBwOjdlMGQxODg5ODIyNjQzNzNhNWYwZDQxNWVhMGQyNmUwIiwiaXNzIjoidXJuOmFwcDo3ZTBkMTg4OTgyMjY0MzczYTVmMGQ0MTVlYTBkMjZlMCIsIm9iaiI6W1t7ImhlaWdodCI6Ijw9Mjk4NyIsInBhdGgiOiJcL2ZcLzgyOWRkZTk2LWEzZjktNDUwNi1hMjIyLTg3ZDg4YWRhYjIwNVwvZGZxdzA5cS0wMmYxODA0NS1hZDY3LTRkZGYtODkwNS0yZGZhNWNmOTU1MjguanBnIiwid2lkdGgiOiI8PTE5MjAifV1dLCJhdWQiOlsidXJuOnNlcnZpY2U6aW1hZ2Uub3BlcmF0aW9ucyJdfQ.YnKPPHesx8E-N_z102ECFNjw9TlqFcbaGVeKhijo5tI" TargetMode="External"/><Relationship Id="rId7" Type="http://schemas.openxmlformats.org/officeDocument/2006/relationships/hyperlink" Target="https://cdna.artstation.com/p/assets/images/images/041/588/730/large/thiago-almeida-fire-sentinel-09.jpg?1632142631" TargetMode="External"/><Relationship Id="rId145" Type="http://schemas.openxmlformats.org/officeDocument/2006/relationships/hyperlink" Target="https://static.displate.com/280x392/displate/2020-07-03/1d28cd1cd68f3cd89f0ef1dd4166cfef_1d4f381fb1b2e6f19943265d1e813a56.jpg" TargetMode="External"/><Relationship Id="rId266" Type="http://schemas.openxmlformats.org/officeDocument/2006/relationships/hyperlink" Target="https://i.pinimg.com/736x/c7/e6/53/c7e653ef9076c5bf5fc5691799816cab.jpg" TargetMode="External"/><Relationship Id="rId387" Type="http://schemas.openxmlformats.org/officeDocument/2006/relationships/hyperlink" Target="https://i.pinimg.com/originals/c5/c4/f1/c5c4f16c6b756db55373075d9661b3a0.jpg" TargetMode="External"/><Relationship Id="rId8" Type="http://schemas.openxmlformats.org/officeDocument/2006/relationships/hyperlink" Target="https://neural.love/cdn/thumbnails/1ed9580f-c542-62d2-8bea-dd9d118dc1b7/0fb9c331-f71a-51fe-ad3e-9cfea414f345.webp?Expires=1735689599&amp;Signature=KFEDcWZ8Bs2~TazisYakTl8tEmz0gO-msAmGlTgKhj0shVZNgaAN9Wi5FaoH9CCEQg03bdAjPNXDSgOetUB4ubiDJE4bi1ZKC3uaFuStPgSKuS6ziIiKTt88Uhm7VJ3tWdDLbaYN1TtoYh7GtBaJ2~lvmg6DQ5GE~IGiNJvazTOMDq6zDzH1HRNkd5HHuZ0RUUj0AmVMtu9Yo1loeDVQkKVKIRONtba2B~Gjf1ywR0Cp8zpWpHfO9fAHhlvt0WnqI43rUCjJ~Jy54dJe5GgQzQj7WMyvY9NaszyTDprhBziqkvzvhp0kdKDMv4LKKaw7Tvwvhc95bAag4l1z77uFJA__&amp;Key-Pair-Id=K2RFTOXRBNSROX" TargetMode="External"/><Relationship Id="rId144" Type="http://schemas.openxmlformats.org/officeDocument/2006/relationships/hyperlink" Target="https://i.pinimg.com/236x/29/55/2b/29552ba748a4442210c323d0732a3835.jpg" TargetMode="External"/><Relationship Id="rId265" Type="http://schemas.openxmlformats.org/officeDocument/2006/relationships/hyperlink" Target="https://i.pinimg.com/originals/62/19/04/6219046c7bcc34982211521df3eecc7b.jpg" TargetMode="External"/><Relationship Id="rId386" Type="http://schemas.openxmlformats.org/officeDocument/2006/relationships/hyperlink" Target="https://i.pinimg.com/736x/1f/b8/0d/1fb80dce083393ee16874fcc04ccf1a5.jpg" TargetMode="External"/><Relationship Id="rId260" Type="http://schemas.openxmlformats.org/officeDocument/2006/relationships/hyperlink" Target="https://i.pinimg.com/originals/02/76/7d/02767db0f7f06962782b1357d0243d63.jpg" TargetMode="External"/><Relationship Id="rId381" Type="http://schemas.openxmlformats.org/officeDocument/2006/relationships/hyperlink" Target="https://www.wallpaperup.com/uploads/wallpapers/2015/03/30/649871/c57c9388e263a93f386c1242f7f289ad-700.jpg" TargetMode="External"/><Relationship Id="rId380" Type="http://schemas.openxmlformats.org/officeDocument/2006/relationships/hyperlink" Target="https://w0.peakpx.com/wallpaper/495/31/HD-wallpaper-dragon-art-fantasy-wings-dark-black-blue.jpg" TargetMode="External"/><Relationship Id="rId139" Type="http://schemas.openxmlformats.org/officeDocument/2006/relationships/hyperlink" Target="https://i.pinimg.com/236x/47/4c/5c/474c5ce7d6431d4155ad6e548ca40888.jpg" TargetMode="External"/><Relationship Id="rId138" Type="http://schemas.openxmlformats.org/officeDocument/2006/relationships/hyperlink" Target="https://static0.gamerantimages.com/wordpress/wp-content/uploads/2022/03/guts-berserker-armor-1.jpg?q=50&amp;fit=contain&amp;w=1140&amp;h=&amp;dpr=1.5" TargetMode="External"/><Relationship Id="rId259" Type="http://schemas.openxmlformats.org/officeDocument/2006/relationships/hyperlink" Target="https://cdna.artstation.com/p/assets/images/images/025/338/878/large/-5-3-11-sea.jpg?1585495316" TargetMode="External"/><Relationship Id="rId137" Type="http://schemas.openxmlformats.org/officeDocument/2006/relationships/hyperlink" Target="https://static0.gamerantimages.com/wordpress/wp-content/uploads/2022/03/guts-berserker-armor-1.jpg?q=50&amp;fit=contain&amp;w=1140&amp;h=&amp;dpr=1.5" TargetMode="External"/><Relationship Id="rId258" Type="http://schemas.openxmlformats.org/officeDocument/2006/relationships/hyperlink" Target="https://storage.googleapis.com/pai-images/6bb2782048234a0a9295908b28fc3cca.jpeg" TargetMode="External"/><Relationship Id="rId379" Type="http://schemas.openxmlformats.org/officeDocument/2006/relationships/hyperlink" Target="https://i.pinimg.com/originals/e8/87/c9/e887c9edf5f5f24e110e1db64f7296a5.jpg" TargetMode="External"/><Relationship Id="rId132" Type="http://schemas.openxmlformats.org/officeDocument/2006/relationships/hyperlink" Target="https://i.pinimg.com/236x/b3/44/8c/b3448c43e89ad1f9c217cc75296e01f2.jpg" TargetMode="External"/><Relationship Id="rId253" Type="http://schemas.openxmlformats.org/officeDocument/2006/relationships/hyperlink" Target="https://cdnb.artstation.com/p/assets/images/images/007/383/319/large/caio-monteiro-pzo9099-zombie-shark-fight.jpg" TargetMode="External"/><Relationship Id="rId374" Type="http://schemas.openxmlformats.org/officeDocument/2006/relationships/hyperlink" Target="https://i.pinimg.com/736x/1f/b8/0d/1fb80dce083393ee16874fcc04ccf1a5.jpg" TargetMode="External"/><Relationship Id="rId131" Type="http://schemas.openxmlformats.org/officeDocument/2006/relationships/hyperlink" Target="https://ih1.redbubble.net/image.5030669503.9011/bg,f8f8f8-flat,750x,075,f-pad,750x1000,f8f8f8.jpg" TargetMode="External"/><Relationship Id="rId252" Type="http://schemas.openxmlformats.org/officeDocument/2006/relationships/hyperlink" Target="https://www.google.com/url?q=https://64.media.tumblr.com/20bc48903f3923018943e60751ef3331/tumblr_p3elalf65g1tibuboo1_1280.jpg&amp;sa=D&amp;source=editors&amp;ust=1685916875836504&amp;usg=AOvVaw0p093THLHF5jFxKw1zToC1" TargetMode="External"/><Relationship Id="rId373" Type="http://schemas.openxmlformats.org/officeDocument/2006/relationships/hyperlink" Target="https://static.wikia.nocookie.net/vampirehunterd/images/5/53/RED_FIRE_BREATHING_FIRE_DRAGON_KNIGHT_BATTLE_CASTLE_AGE_HEART_GAME_CONCEPT_ART_1_2_II_BY_KEKAI_3.jpg/revision/latest/scale-to-width-down/1195" TargetMode="External"/><Relationship Id="rId130" Type="http://schemas.openxmlformats.org/officeDocument/2006/relationships/hyperlink" Target="https://ih1.redbubble.net/image.5066507321.2762/flat,750x,075,f-pad,750x1000,f8f8f8.jpg" TargetMode="External"/><Relationship Id="rId251" Type="http://schemas.openxmlformats.org/officeDocument/2006/relationships/hyperlink" Target="https://www.google.com/url?q=https://i.pinimg.com/originals/96/d0/79/96d079624c3825a228164df27e6fad94.jpg&amp;sa=D&amp;source=editors&amp;ust=1685916875836414&amp;usg=AOvVaw2OF_FlticPiTWAG-V8180k" TargetMode="External"/><Relationship Id="rId372" Type="http://schemas.openxmlformats.org/officeDocument/2006/relationships/hyperlink" Target="https://www.originalmagicart.store/cdn/shop/products/Swanland_UginSpiritDragon_Print_5000x.jpg?v=1603674292" TargetMode="External"/><Relationship Id="rId250" Type="http://schemas.openxmlformats.org/officeDocument/2006/relationships/hyperlink" Target="https://cdna.artstation.com/p/assets/images/images/027/215/736/large/geoffrey-orban-the-wandering-pumpkin.jpg?1590925896" TargetMode="External"/><Relationship Id="rId371" Type="http://schemas.openxmlformats.org/officeDocument/2006/relationships/hyperlink" Target="https://static.wikia.nocookie.net/charm-of-soul-pets-cosp/images/1/1a/C2tu6z8kg4s51.jpg/revision/latest?cb=20210512170831" TargetMode="External"/><Relationship Id="rId136" Type="http://schemas.openxmlformats.org/officeDocument/2006/relationships/hyperlink" Target="https://static0.gamerantimages.com/wordpress/wp-content/uploads/2022/03/guts-berserker-armor-1.jpg?q=50&amp;fit=contain&amp;w=1140&amp;h=&amp;dpr=1.5" TargetMode="External"/><Relationship Id="rId257" Type="http://schemas.openxmlformats.org/officeDocument/2006/relationships/hyperlink" Target="https://i.pinimg.com/originals/d3/ea/57/d3ea5774347adec1db07fc99e3f5beab.jpg" TargetMode="External"/><Relationship Id="rId378" Type="http://schemas.openxmlformats.org/officeDocument/2006/relationships/hyperlink" Target="https://i.pinimg.com/originals/c1/8e/1a/c18e1a06b0d67090e3e0c20a445952a3.jpg" TargetMode="External"/><Relationship Id="rId135" Type="http://schemas.openxmlformats.org/officeDocument/2006/relationships/hyperlink" Target="https://static0.gamerantimages.com/wordpress/wp-content/uploads/2022/03/guts-berserker-armor-1.jpg?q=50&amp;fit=contain&amp;w=1140&amp;h=&amp;dpr=1.5" TargetMode="External"/><Relationship Id="rId256" Type="http://schemas.openxmlformats.org/officeDocument/2006/relationships/hyperlink" Target="https://cdn.discordapp.com/attachments/1035710302953676902/1224151174286934127/document.png?ex=661c729f&amp;is=6609fd9f&amp;hm=4591dffda75c2002aa7a78b081f180602a97c81b0430691f38660469c477b80b&amp;" TargetMode="External"/><Relationship Id="rId377" Type="http://schemas.openxmlformats.org/officeDocument/2006/relationships/hyperlink" Target="https://i.redd.it/vl2ec0kys2u51.jpg" TargetMode="External"/><Relationship Id="rId134" Type="http://schemas.openxmlformats.org/officeDocument/2006/relationships/hyperlink" Target="https://i.pinimg.com/236x/90/0d/1b/900d1b82b06fde186a460d82293a1b52.jpg" TargetMode="External"/><Relationship Id="rId255" Type="http://schemas.openxmlformats.org/officeDocument/2006/relationships/hyperlink" Target="https://ih1.redbubble.net/image.4672479412.6233/flat,750x,075,f-pad,750x1000,f8f8f8.jpg" TargetMode="External"/><Relationship Id="rId376" Type="http://schemas.openxmlformats.org/officeDocument/2006/relationships/hyperlink" Target="https://i.pinimg.com/originals/20/02/d3/2002d3214a41bc756183bbb74b1e2084.jpg" TargetMode="External"/><Relationship Id="rId133" Type="http://schemas.openxmlformats.org/officeDocument/2006/relationships/hyperlink" Target="https://i.pinimg.com/236x/ee/7c/42/ee7c428df2ac1e05dccacba4b6956604.jpg" TargetMode="External"/><Relationship Id="rId254" Type="http://schemas.openxmlformats.org/officeDocument/2006/relationships/hyperlink" Target="https://images-wixmp-ed30a86b8c4ca887773594c2.wixmp.com/f/05ad84d0-a11b-49fd-b166-d538ce123c84/dg01sjb-48905292-f947-4bd8-b40c-295e6bbdb287.png/v1/fill/w_1024,h_1024,q_80,strp/pirate_by_stormfantasyart_dg01sjb-fullview.jpg?token=eyJ0eXAiOiJKV1QiLCJhbGciOiJIUzI1NiJ9.eyJzdWIiOiJ1cm46YXBwOjdlMGQxODg5ODIyNjQzNzNhNWYwZDQxNWVhMGQyNmUwIiwiaXNzIjoidXJuOmFwcDo3ZTBkMTg4OTgyMjY0MzczYTVmMGQ0MTVlYTBkMjZlMCIsIm9iaiI6W1t7InBhdGgiOiJcL2ZcLzA1YWQ4NGQwLWExMWItNDlmZC1iMTY2LWQ1MzhjZTEyM2M4NFwvZGcwMXNqYi00ODkwNTI5Mi1mOTQ3LTRiZDgtYjQwYy0yOTVlNmJiZGIyODcucG5nIiwiaGVpZ2h0IjoiPD0xMDI0Iiwid2lkdGgiOiI8PTEwMjQifV1dLCJhdWQiOlsidXJuOnNlcnZpY2U6aW1hZ2Uud2F0ZXJtYXJrIl0sIndtayI6eyJwYXRoIjoiXC93bVwvMDVhZDg0ZDAtYTExYi00OWZkLWIxNjYtZDUzOGNlMTIzYzg0XC9zdG9ybWZhbnRhc3lhcnQtNC5wbmciLCJvcGFjaXR5Ijo5NSwicHJvcG9ydGlvbnMiOjAuNDUsImdyYXZpdHkiOiJjZW50ZXIifX0.zaYKz0ifdxsXpCl6xxAXqnhLHQ_P4zPltAam7sy7o5I" TargetMode="External"/><Relationship Id="rId375" Type="http://schemas.openxmlformats.org/officeDocument/2006/relationships/hyperlink" Target="https://i.pinimg.com/originals/c5/c4/f1/c5c4f16c6b756db55373075d9661b3a0.jpg" TargetMode="External"/><Relationship Id="rId172" Type="http://schemas.openxmlformats.org/officeDocument/2006/relationships/hyperlink" Target="https://drive.google.com/uc?export=view&amp;id=1CKwmhguRycejQrbEniQu2pMSlRMkcoOK" TargetMode="External"/><Relationship Id="rId293" Type="http://schemas.openxmlformats.org/officeDocument/2006/relationships/hyperlink" Target="https://wallpapercave.com/wp/wp3749161.jpg" TargetMode="External"/><Relationship Id="rId171" Type="http://schemas.openxmlformats.org/officeDocument/2006/relationships/hyperlink" Target="https://www.google.com/url?q=https://i.pinimg.com/originals/ad/dd/4a/addd4a47e48681e325c11806119767b1.png&amp;sa=D&amp;source=editors&amp;ust=1685916875837715&amp;usg=AOvVaw1UBuakGyo0FjLINjttikBe" TargetMode="External"/><Relationship Id="rId292" Type="http://schemas.openxmlformats.org/officeDocument/2006/relationships/hyperlink" Target="https://cdn.discordapp.com/attachments/1146968765842608128/1192345466617208844/mWUZ1vitMtppVWRH9I4Q--1--ugmi5.png?ex=65b1f7bf&amp;is=659f82bf&amp;hm=d1a7abf6571358fc59fbc18ec2e7111046fc966638ac44aae53d2d8c29792b97&amp;" TargetMode="External"/><Relationship Id="rId170" Type="http://schemas.openxmlformats.org/officeDocument/2006/relationships/hyperlink" Target="https://encrypted-tbn3.gstatic.com/images?q=tbn:ANd9GcTn7VBx8RLpMb6EhACIJiWaR2z9Li30s3NNXV16z58DQI5mDUI8" TargetMode="External"/><Relationship Id="rId291" Type="http://schemas.openxmlformats.org/officeDocument/2006/relationships/hyperlink" Target="https://i.pinimg.com/564x/ec/54/d4/ec54d43f3d053f1e77d6e1948f826815.jpg" TargetMode="External"/><Relationship Id="rId290" Type="http://schemas.openxmlformats.org/officeDocument/2006/relationships/hyperlink" Target="https://i.pinimg.com/236x/b1/86/44/b186446fea6b47d9dac05c64424f28ac.jpg" TargetMode="External"/><Relationship Id="rId165" Type="http://schemas.openxmlformats.org/officeDocument/2006/relationships/hyperlink" Target="https://images-wixmp-ed30a86b8c4ca887773594c2.wixmp.com/f/dc883e74-6426-4770-9961-f6e8d9e2d5be/d5z86b2-8cb4207c-ed52-4f79-a04c-c413da132416.jpg/v1/fill/w_1024,h_469,q_75,strp/lava_squid_by_melconcept_d5z86b2-fullview.jpg?token=eyJ0eXAiOiJKV1QiLCJhbGciOiJIUzI1NiJ9.eyJzdWIiOiJ1cm46YXBwOjdlMGQxODg5ODIyNjQzNzNhNWYwZDQxNWVhMGQyNmUwIiwiaXNzIjoidXJuOmFwcDo3ZTBkMTg4OTgyMjY0MzczYTVmMGQ0MTVlYTBkMjZlMCIsIm9iaiI6W1t7ImhlaWdodCI6Ijw9NDY5IiwicGF0aCI6IlwvZlwvZGM4ODNlNzQtNjQyNi00NzcwLTk5NjEtZjZlOGQ5ZTJkNWJlXC9kNXo4NmIyLThjYjQyMDdjLWVkNTItNGY3OS1hMDRjLWM0MTNkYTEzMjQxNi5qcGciLCJ3aWR0aCI6Ijw9MTAyNCJ9XV0sImF1ZCI6WyJ1cm46c2VydmljZTppbWFnZS5vcGVyYXRpb25zIl19.iWkXrZLUSHp_eXslglUZpCDjMn2Xwf8kHOGDjriKJpM" TargetMode="External"/><Relationship Id="rId286" Type="http://schemas.openxmlformats.org/officeDocument/2006/relationships/hyperlink" Target="https://i.pinimg.com/564x/9b/2b/16/9b2b16e0c1ed056ec29603ff6eb0f722.jpg" TargetMode="External"/><Relationship Id="rId164" Type="http://schemas.openxmlformats.org/officeDocument/2006/relationships/hyperlink" Target="https://www.google.com/url?q=https://drive.google.com/uc?export%3Dview%26id%3D1kScZuAtrDaqmvLeHte4Nd_WRRxY9W5SS&amp;sa=D&amp;source=editors&amp;ust=1685916875848784&amp;usg=AOvVaw3YRoGFRK2fq5KjzdNdq38f" TargetMode="External"/><Relationship Id="rId285" Type="http://schemas.openxmlformats.org/officeDocument/2006/relationships/hyperlink" Target="https://i.pinimg.com/564x/3c/f3/8f/3cf38ffaed451f14de36e5e1c8259794.jpg" TargetMode="External"/><Relationship Id="rId163" Type="http://schemas.openxmlformats.org/officeDocument/2006/relationships/hyperlink" Target="https://cdn.discordapp.com/attachments/884643894489403402/1221653590582755338/image.png?ex=66135c91&amp;is=6600e791&amp;hm=ce7b26d5512e0faa72cf1a2d53f8f2c512f5eb5121ec228e54a98ad6ae737974&amp;" TargetMode="External"/><Relationship Id="rId284" Type="http://schemas.openxmlformats.org/officeDocument/2006/relationships/hyperlink" Target="https://storage.googleapis.com/pai-images/f7202533c00d4df08331cee4f5dd4e96.jpeg" TargetMode="External"/><Relationship Id="rId162" Type="http://schemas.openxmlformats.org/officeDocument/2006/relationships/hyperlink" Target="https://www.google.com/url?q=https://i.pinimg.com/originals/91/9f/36/919f366fd540a53a94194b97e7a611c7.jpg&amp;sa=D&amp;source=editors&amp;ust=1685916875836155&amp;usg=AOvVaw3k-p5ClGEuXakbBxMsh7LI" TargetMode="External"/><Relationship Id="rId283" Type="http://schemas.openxmlformats.org/officeDocument/2006/relationships/hyperlink" Target="https://i.pinimg.com/564x/7a/55/e3/7a55e3a2ab970ecf3b971d8deea3cfef.jpg" TargetMode="External"/><Relationship Id="rId169" Type="http://schemas.openxmlformats.org/officeDocument/2006/relationships/hyperlink" Target="https://encrypted-tbn1.gstatic.com/images?q=tbn:ANd9GcREPo8ZEspRFJOUiE4t_3hABJkEiai_ai9ulV2m1YR5DvTOeV_t" TargetMode="External"/><Relationship Id="rId168" Type="http://schemas.openxmlformats.org/officeDocument/2006/relationships/hyperlink" Target="https://encrypted-tbn1.gstatic.com/images?q=tbn:ANd9GcR5bJI7LWMzGx5KtKRBqghxV-HfQKqLgxxucllCpYmmplXn1spW" TargetMode="External"/><Relationship Id="rId289" Type="http://schemas.openxmlformats.org/officeDocument/2006/relationships/hyperlink" Target="https://mir-s3-cdn-cf.behance.net/project_modules/max_1200/bef8aa12303671.5628ebf194ba4.jpg" TargetMode="External"/><Relationship Id="rId167" Type="http://schemas.openxmlformats.org/officeDocument/2006/relationships/hyperlink" Target="https://lh3.googleusercontent.com/Nwfp8I_DHc1yVTfMm_e3wAvrxjM2CNhByAzAMS6VQlLbTYyK689nb5POblxdziyX_KyJXQjE5F9Z6dHMR1NhgAVm5J2X2L_iDAmCsarDNg" TargetMode="External"/><Relationship Id="rId288" Type="http://schemas.openxmlformats.org/officeDocument/2006/relationships/hyperlink" Target="https://static.wikia.nocookie.net/typemoon/images/6/6e/FGO_Tengu_sprite.webp/revision/latest?cb=20210308191230" TargetMode="External"/><Relationship Id="rId166" Type="http://schemas.openxmlformats.org/officeDocument/2006/relationships/hyperlink" Target="https://cdna.artstation.com/p/assets/images/images/044/292/652/large/jiri-kus-lizard-temple-final-33.jpg?1639593446" TargetMode="External"/><Relationship Id="rId287" Type="http://schemas.openxmlformats.org/officeDocument/2006/relationships/hyperlink" Target="https://i.pinimg.com/736x/6c/1c/da/6c1cda499d7fb2c1a07555bcffd498a6.jpg" TargetMode="External"/><Relationship Id="rId161" Type="http://schemas.openxmlformats.org/officeDocument/2006/relationships/hyperlink" Target="https://www.google.com/url?q=https://i.pinimg.com/originals/91/9f/36/919f366fd540a53a94194b97e7a611c7.jpg&amp;sa=D&amp;source=editors&amp;ust=1685916875836155&amp;usg=AOvVaw3k-p5ClGEuXakbBxMsh7LI" TargetMode="External"/><Relationship Id="rId282" Type="http://schemas.openxmlformats.org/officeDocument/2006/relationships/hyperlink" Target="https://i.pinimg.com/736x/46/5b/bd/465bbd3507f912f82f99fcaebf503be8.jpg" TargetMode="External"/><Relationship Id="rId160" Type="http://schemas.openxmlformats.org/officeDocument/2006/relationships/hyperlink" Target="https://i.pinimg.com/236x/9c/31/a8/9c31a8234bfa3f69ceb2ec4224d01201--chinese-fantasy-creatures.jpg" TargetMode="External"/><Relationship Id="rId281" Type="http://schemas.openxmlformats.org/officeDocument/2006/relationships/hyperlink" Target="https://images-wixmp-ed30a86b8c4ca887773594c2.wixmp.com/f/29d84ce3-fd4f-4b61-b7ec-9d8057319ae1/deur7j3-8013c49f-3ce9-4474-9fe2-64a910d2f643.jpg?token=eyJ0eXAiOiJKV1QiLCJhbGciOiJIUzI1NiJ9.eyJzdWIiOiJ1cm46YXBwOjdlMGQxODg5ODIyNjQzNzNhNWYwZDQxNWVhMGQyNmUwIiwiaXNzIjoidXJuOmFwcDo3ZTBkMTg4OTgyMjY0MzczYTVmMGQ0MTVlYTBkMjZlMCIsIm9iaiI6W1t7InBhdGgiOiJcL2ZcLzI5ZDg0Y2UzLWZkNGYtNGI2MS1iN2VjLTlkODA1NzMxOWFlMVwvZGV1cjdqMy04MDEzYzQ5Zi0zY2U5LTQ0NzQtOWZlMi02NGE5MTBkMmY2NDMuanBnIn1dXSwiYXVkIjpbInVybjpzZXJ2aWNlOmZpbGUuZG93bmxvYWQiXX0.eFbWC0842eccrweOiNJpb3E_j8fGuSW8FLj1CIW7mWU" TargetMode="External"/><Relationship Id="rId280" Type="http://schemas.openxmlformats.org/officeDocument/2006/relationships/hyperlink" Target="https://images-wixmp-ed30a86b8c4ca887773594c2.wixmp.com/f/29d84ce3-fd4f-4b61-b7ec-9d8057319ae1/deur7j3-8013c49f-3ce9-4474-9fe2-64a910d2f643.jpg?token=eyJ0eXAiOiJKV1QiLCJhbGciOiJIUzI1NiJ9.eyJzdWIiOiJ1cm46YXBwOjdlMGQxODg5ODIyNjQzNzNhNWYwZDQxNWVhMGQyNmUwIiwiaXNzIjoidXJuOmFwcDo3ZTBkMTg4OTgyMjY0MzczYTVmMGQ0MTVlYTBkMjZlMCIsIm9iaiI6W1t7InBhdGgiOiJcL2ZcLzI5ZDg0Y2UzLWZkNGYtNGI2MS1iN2VjLTlkODA1NzMxOWFlMVwvZGV1cjdqMy04MDEzYzQ5Zi0zY2U5LTQ0NzQtOWZlMi02NGE5MTBkMmY2NDMuanBnIn1dXSwiYXVkIjpbInVybjpzZXJ2aWNlOmZpbGUuZG93bmxvYWQiXX0.eFbWC0842eccrweOiNJpb3E_j8fGuSW8FLj1CIW7mWU" TargetMode="External"/><Relationship Id="rId159" Type="http://schemas.openxmlformats.org/officeDocument/2006/relationships/hyperlink" Target="https://encrypted-tbn2.gstatic.com/images?q=tbn:ANd9GcS-avwU25-3S0Zi27C3hKMrgStjfm-z8E78icgpSqqGDYCR74Sw" TargetMode="External"/><Relationship Id="rId154" Type="http://schemas.openxmlformats.org/officeDocument/2006/relationships/hyperlink" Target="https://media.discordapp.net/attachments/1035710302953676902/1224158558413914162/ad470ef06cb5be6e70dd4d20146e561d.png?ex=661c7980&amp;is=660a0480&amp;hm=13b55f422f35d6b6a606d09fa5b521c633f1d9295a9a456922fc1ce0c45facf7&amp;=&amp;format=webp&amp;quality=lossless" TargetMode="External"/><Relationship Id="rId275" Type="http://schemas.openxmlformats.org/officeDocument/2006/relationships/hyperlink" Target="https://t3.gstatic.com/images?q=tbn:ANd9GcSqdtU2YXhHrYbRMCsknLxRgcACFvgVXNv7Lza5ph6qt48-6fdw" TargetMode="External"/><Relationship Id="rId396" Type="http://schemas.openxmlformats.org/officeDocument/2006/relationships/hyperlink" Target="https://storage.prompt-hunt.workers.dev/clhnvt3xd000bmh08dfcyjrrp_1" TargetMode="External"/><Relationship Id="rId153" Type="http://schemas.openxmlformats.org/officeDocument/2006/relationships/hyperlink" Target="https://i.pinimg.com/originals/55/72/50/5572503c3f83cbff738960f2695ea055.jpg" TargetMode="External"/><Relationship Id="rId274" Type="http://schemas.openxmlformats.org/officeDocument/2006/relationships/hyperlink" Target="https://wrathofzombie.files.wordpress.com/2017/04/trap-3.jpg?w=640" TargetMode="External"/><Relationship Id="rId395" Type="http://schemas.openxmlformats.org/officeDocument/2006/relationships/hyperlink" Target="https://storage.prompt-hunt.workers.dev/clhnvt3xd000bmh08dfcyjrrp_1" TargetMode="External"/><Relationship Id="rId152" Type="http://schemas.openxmlformats.org/officeDocument/2006/relationships/hyperlink" Target="https://encrypted-tbn0.gstatic.com/images?q=tbn:ANd9GcTdSWye7I4v2a7yCWivanpbXAxeMD-T7ZjnULpenLjfAGMBBUja" TargetMode="External"/><Relationship Id="rId273" Type="http://schemas.openxmlformats.org/officeDocument/2006/relationships/hyperlink" Target="https://i.pinimg.com/564x/be/fa/e5/befae52a354f447b522a211ea7eb8172.jpg" TargetMode="External"/><Relationship Id="rId394" Type="http://schemas.openxmlformats.org/officeDocument/2006/relationships/hyperlink" Target="https://storage.prompt-hunt.workers.dev/clhnvt3xd000bmh08dfcyjrrp_1" TargetMode="External"/><Relationship Id="rId151" Type="http://schemas.openxmlformats.org/officeDocument/2006/relationships/hyperlink" Target="https://t2.gstatic.com/images?q=tbn:ANd9GcTum8eoZK8yHj3xaiTXYFwalZNhRuduum538UxODAugSBNJxCF5" TargetMode="External"/><Relationship Id="rId272" Type="http://schemas.openxmlformats.org/officeDocument/2006/relationships/hyperlink" Target="https://i.pinimg.com/originals/f3/85/1e/f3851e505cda95727a81dedf90a207e5.jpg" TargetMode="External"/><Relationship Id="rId393" Type="http://schemas.openxmlformats.org/officeDocument/2006/relationships/hyperlink" Target="https://storage.googleapis.com/pai-images/214123d8395b4deaa0285329bc1ddafe.jpeg" TargetMode="External"/><Relationship Id="rId158" Type="http://schemas.openxmlformats.org/officeDocument/2006/relationships/hyperlink" Target="https://encrypted-tbn2.gstatic.com/images?q=tbn:ANd9GcR1qDMvOw6tVHYOa48L_usHbWoKak0IghupoLLvLcSc_716AHLE" TargetMode="External"/><Relationship Id="rId279" Type="http://schemas.openxmlformats.org/officeDocument/2006/relationships/hyperlink" Target="https://i.pinimg.com/originals/13/d0/6b/13d06b363b2ea1285f0a3e0b25346da6.jpg" TargetMode="External"/><Relationship Id="rId157" Type="http://schemas.openxmlformats.org/officeDocument/2006/relationships/hyperlink" Target="https://static.wikia.nocookie.net/heroines-fantasy/images/e/e0/Imperial_Archbishop_%281%29.jpg/revision/latest?cb=20190817224806" TargetMode="External"/><Relationship Id="rId278" Type="http://schemas.openxmlformats.org/officeDocument/2006/relationships/hyperlink" Target="https://i.pinimg.com/originals/fc/76/eb/fc76eb240fbedf68a06eda0c2cbb6be8.png" TargetMode="External"/><Relationship Id="rId399" Type="http://schemas.openxmlformats.org/officeDocument/2006/relationships/hyperlink" Target="https://generations.krea.ai/images/391505a4-1bf9-43cd-af90-25e843be8b49.webp" TargetMode="External"/><Relationship Id="rId156" Type="http://schemas.openxmlformats.org/officeDocument/2006/relationships/hyperlink" Target="https://media.discordapp.net/attachments/1035710302953676902/1224160469934411786/document.png?ex=661c7b47&amp;is=660a0647&amp;hm=280f7dc1d19e543c87024fdb10b88c33ae83725c02ad10aa97d04835497d792f&amp;=&amp;format=webp&amp;quality=lossless&amp;width=671&amp;height=671" TargetMode="External"/><Relationship Id="rId277" Type="http://schemas.openxmlformats.org/officeDocument/2006/relationships/hyperlink" Target="https://static.wikia.nocookie.net/witcher/images/7/76/Gwent_cardart_scoiatael_pit_trap.jpg/revision/latest?cb=20180404213442" TargetMode="External"/><Relationship Id="rId398" Type="http://schemas.openxmlformats.org/officeDocument/2006/relationships/hyperlink" Target="https://generations.krea.ai/images/391505a4-1bf9-43cd-af90-25e843be8b49.webp" TargetMode="External"/><Relationship Id="rId155" Type="http://schemas.openxmlformats.org/officeDocument/2006/relationships/hyperlink" Target="https://img6.arthub.ai/64c0d9b7-dd89.webp" TargetMode="External"/><Relationship Id="rId276" Type="http://schemas.openxmlformats.org/officeDocument/2006/relationships/hyperlink" Target="https://i.pinimg.com/originals/c6/01/58/c60158208dcd2a4a60a3a546aa2591f5.png" TargetMode="External"/><Relationship Id="rId397" Type="http://schemas.openxmlformats.org/officeDocument/2006/relationships/hyperlink" Target="https://generations.krea.ai/images/391505a4-1bf9-43cd-af90-25e843be8b49.webp" TargetMode="External"/><Relationship Id="rId40" Type="http://schemas.openxmlformats.org/officeDocument/2006/relationships/hyperlink" Target="https://wallpapers.com/images/hd/cerberus-pictures-gdudzpkdyet0a4qe.jpg" TargetMode="External"/><Relationship Id="rId42" Type="http://schemas.openxmlformats.org/officeDocument/2006/relationships/hyperlink" Target="https://www.google.com/url?q=https://drive.google.com/uc?export%3Dview%26id%3D1kWx7JJeUTL2xAxy1XLHhKlnjZsZhChth&amp;sa=D&amp;source=editors&amp;ust=1685916875848417&amp;usg=AOvVaw3R23je0eDgYolPRzvZ_peD" TargetMode="External"/><Relationship Id="rId41" Type="http://schemas.openxmlformats.org/officeDocument/2006/relationships/hyperlink" Target="https://i.pinimg.com/originals/e8/87/c9/e887c9edf5f5f24e110e1db64f7296a5.jpg" TargetMode="External"/><Relationship Id="rId44" Type="http://schemas.openxmlformats.org/officeDocument/2006/relationships/hyperlink" Target="https://www.google.com/url?q=https://drive.google.com/uc?export%3Dview%26id%3D17Ss72Afxm7Wix-mY9-blPegojifygBIm&amp;sa=D&amp;source=editors&amp;ust=1685916875848692&amp;usg=AOvVaw1x98bPiPO_PuuZUEoFa5DH" TargetMode="External"/><Relationship Id="rId43" Type="http://schemas.openxmlformats.org/officeDocument/2006/relationships/hyperlink" Target="https://www.google.com/url?q=https://drive.google.com/uc?export%3Dview%26id%3D1R4o5DUEMnebrCwdAR&amp;sa=D&amp;source=editors&amp;ust=1685916875848509&amp;usg=AOvVaw24sBOnEKpAm4MWA8FTIL02" TargetMode="External"/><Relationship Id="rId46" Type="http://schemas.openxmlformats.org/officeDocument/2006/relationships/hyperlink" Target="https://www.google.com/url?q=https://i.pinimg.com/736x/65/7d/69/657d6986ee0bfd660a2bc7e628eba5f1.jpg&amp;sa=D&amp;source=editors&amp;ust=1685916875840575&amp;usg=AOvVaw0toUL7AhiJ_G1acHGsQIWn" TargetMode="External"/><Relationship Id="rId45" Type="http://schemas.openxmlformats.org/officeDocument/2006/relationships/hyperlink" Target="https://www.google.com/url?q=https://drive.google.com/uc?export%3Dview%26id%3D1zm8lY_CocL8ZJgpxZxdhb1gH5tS9mVO4&amp;sa=D&amp;source=editors&amp;ust=1685916875848975&amp;usg=AOvVaw0roKdVJ7--cMdSVlWqePvl" TargetMode="External"/><Relationship Id="rId48" Type="http://schemas.openxmlformats.org/officeDocument/2006/relationships/hyperlink" Target="https://media.discordapp.net/attachments/1035710302953676902/1224154181602902036/document.png?ex=661c756c&amp;is=660a006c&amp;hm=b3f378fa3b474c2ec02bad93c073ca691e14cd9506de4ff63658d4d7bfd1a91e&amp;=&amp;format=webp&amp;quality=lossless&amp;width=671&amp;height=671" TargetMode="External"/><Relationship Id="rId47" Type="http://schemas.openxmlformats.org/officeDocument/2006/relationships/hyperlink" Target="https://storage.googleapis.com/pai-images/d6e2bf402d044cc582f0c065404a076a.jpeg" TargetMode="External"/><Relationship Id="rId49" Type="http://schemas.openxmlformats.org/officeDocument/2006/relationships/hyperlink" Target="https://i.pinimg.com/originals/3a/04/f1/3a04f11155301f7761e6980ced4e912b.jpg" TargetMode="External"/><Relationship Id="rId31" Type="http://schemas.openxmlformats.org/officeDocument/2006/relationships/hyperlink" Target="https://i.pinimg.com/originals/cb/00/aa/cb00aa5e35724fda9738587ca90ef194.png" TargetMode="External"/><Relationship Id="rId30" Type="http://schemas.openxmlformats.org/officeDocument/2006/relationships/hyperlink" Target="https://wallpapersmug.com/download/1024x768/1aa06f/mother-owl-fantasy-art.jpg" TargetMode="External"/><Relationship Id="rId33" Type="http://schemas.openxmlformats.org/officeDocument/2006/relationships/hyperlink" Target="https://media.discordapp.net/attachments/1035710302953676902/1224152427582980179/document.png?ex=661c73ca&amp;is=6609feca&amp;hm=c29aa4505c83080d18f3271af4497f505f870edb6318e38eefba5ece5c13c461&amp;=&amp;format=webp&amp;quality=lossless&amp;width=671&amp;height=671" TargetMode="External"/><Relationship Id="rId32" Type="http://schemas.openxmlformats.org/officeDocument/2006/relationships/hyperlink" Target="https://encrypted-tbn2.gstatic.com/images?q=tbn:ANd9GcTVuZIf6B0YlLuzOFmp0PJYtJt83kUSWpkzkTwItXjETDaqRQOn" TargetMode="External"/><Relationship Id="rId35" Type="http://schemas.openxmlformats.org/officeDocument/2006/relationships/hyperlink" Target="https://i.pinimg.com/originals/4c/a0/6b/4ca06b8103b3d8e983f22d82f8735a40.jpg" TargetMode="External"/><Relationship Id="rId34" Type="http://schemas.openxmlformats.org/officeDocument/2006/relationships/hyperlink" Target="https://t1.gstatic.com/images?q=tbn:ANd9GcRBFyTIipE99Dt2HS1Bp5VKHLJ7WLTr9Rf0FLV0k-KdenjcZXSi" TargetMode="External"/><Relationship Id="rId37" Type="http://schemas.openxmlformats.org/officeDocument/2006/relationships/hyperlink" Target="https://t0.gstatic.com/images?q=tbn:ANd9GcRTlvAR3IT-MZI8DeK4CpraC6TgxSmuy-KU6OMALjg5_oaYi_gG" TargetMode="External"/><Relationship Id="rId36" Type="http://schemas.openxmlformats.org/officeDocument/2006/relationships/hyperlink" Target="https://cdnb.artstation.com/p/assets/images/images/060/286/545/large/andrew-clark-bounty-hunter.jpg?1678224103&amp;dl=1" TargetMode="External"/><Relationship Id="rId39" Type="http://schemas.openxmlformats.org/officeDocument/2006/relationships/hyperlink" Target="https://i.pinimg.com/originals/c1/8e/1a/c18e1a06b0d67090e3e0c20a445952a3.jpg" TargetMode="External"/><Relationship Id="rId38" Type="http://schemas.openxmlformats.org/officeDocument/2006/relationships/hyperlink" Target="https://i.pinimg.com/originals/ce/9c/d8/ce9cd88486c67d34d9458f73f4d6ba06.jpg" TargetMode="External"/><Relationship Id="rId20" Type="http://schemas.openxmlformats.org/officeDocument/2006/relationships/hyperlink" Target="https://64.media.tumblr.com/8a222dc6678fe1e014f8814ee64c839d/tumblr_psev916DFd1w2dbe6o1_1280.jpg" TargetMode="External"/><Relationship Id="rId22" Type="http://schemas.openxmlformats.org/officeDocument/2006/relationships/hyperlink" Target="https://i.pinimg.com/564x/3f/2d/24/3f2d242c6a85ac83be8f8e9c0ce6dfbb.jpg" TargetMode="External"/><Relationship Id="rId21" Type="http://schemas.openxmlformats.org/officeDocument/2006/relationships/hyperlink" Target="https://limitless-adventures.com/preview/Volcano_Preview.png" TargetMode="External"/><Relationship Id="rId24" Type="http://schemas.openxmlformats.org/officeDocument/2006/relationships/hyperlink" Target="https://rare-gallery.com/mocahbig/449333-Kan-Liu-fantasy-art-dark-sea-underwater-creature.jpg" TargetMode="External"/><Relationship Id="rId23" Type="http://schemas.openxmlformats.org/officeDocument/2006/relationships/hyperlink" Target="https://i.pinimg.com/564x/3f/2d/24/3f2d242c6a85ac83be8f8e9c0ce6dfbb.jpg" TargetMode="External"/><Relationship Id="rId409" Type="http://schemas.openxmlformats.org/officeDocument/2006/relationships/hyperlink" Target="https://drive.google.com/uc?export=view&amp;id=1uBqFP-9QPpiu8UGDL0qzE4fhwEl1-bWC" TargetMode="External"/><Relationship Id="rId404" Type="http://schemas.openxmlformats.org/officeDocument/2006/relationships/hyperlink" Target="https://drive.google.com/uc?export=view&amp;id=1annaFAfYLggO4jVBXHeGecRxSdsg2q_i" TargetMode="External"/><Relationship Id="rId403" Type="http://schemas.openxmlformats.org/officeDocument/2006/relationships/hyperlink" Target="https://i.pinimg.com/originals/12/35/55/123555fa1ac0e853ded11b494b3ab0bf.jpg" TargetMode="External"/><Relationship Id="rId402" Type="http://schemas.openxmlformats.org/officeDocument/2006/relationships/hyperlink" Target="https://img.freepik.com/premium-photo/chameleon-with-humanoid-body-tribal-member-wearing-intricate-clothing-accessories_846204-860.jpg" TargetMode="External"/><Relationship Id="rId401" Type="http://schemas.openxmlformats.org/officeDocument/2006/relationships/hyperlink" Target="https://img.freepik.com/premium-photo/chameleon-with-humanoid-body-tribal-member-wearing-intricate-clothing-accessories_846204-860.jpg" TargetMode="External"/><Relationship Id="rId408" Type="http://schemas.openxmlformats.org/officeDocument/2006/relationships/hyperlink" Target="https://drive.google.com/uc?export=view&amp;id=1uBqFP-9QPpiu8UGDL0qzE4fhwEl1-bWC" TargetMode="External"/><Relationship Id="rId407" Type="http://schemas.openxmlformats.org/officeDocument/2006/relationships/hyperlink" Target="https://drive.google.com/uc?export=view&amp;id=1uBqFP-9QPpiu8UGDL0qzE4fhwEl1-bWC" TargetMode="External"/><Relationship Id="rId406" Type="http://schemas.openxmlformats.org/officeDocument/2006/relationships/hyperlink" Target="https://drive.google.com/uc?export=view&amp;id=1uBqFP-9QPpiu8UGDL0qzE4fhwEl1-bWC" TargetMode="External"/><Relationship Id="rId405" Type="http://schemas.openxmlformats.org/officeDocument/2006/relationships/hyperlink" Target="https://drive.google.com/uc?export=view&amp;id=1uBqFP-9QPpiu8UGDL0qzE4fhwEl1-bWC" TargetMode="External"/><Relationship Id="rId26" Type="http://schemas.openxmlformats.org/officeDocument/2006/relationships/hyperlink" Target="https://i.redd.it/vl2ec0kys2u51.jpg" TargetMode="External"/><Relationship Id="rId25" Type="http://schemas.openxmlformats.org/officeDocument/2006/relationships/hyperlink" Target="https://i.pinimg.com/474x/26/bc/e2/26bce2606f87efb366d46d783000f15e--horror-art-dark-fantasy.jpg" TargetMode="External"/><Relationship Id="rId28" Type="http://schemas.openxmlformats.org/officeDocument/2006/relationships/hyperlink" Target="https://i.redd.it/fp9x9rqknhj81.jpg" TargetMode="External"/><Relationship Id="rId27" Type="http://schemas.openxmlformats.org/officeDocument/2006/relationships/hyperlink" Target="https://cdnb.artstation.com/p/assets/images/images/040/470/779/large/juan-silva-infested-baboon-jpg.jpg?1628952317" TargetMode="External"/><Relationship Id="rId400" Type="http://schemas.openxmlformats.org/officeDocument/2006/relationships/hyperlink" Target="https://img.freepik.com/premium-photo/chameleon-with-humanoid-body-tribal-member-wearing-intricate-clothing-accessories_846204-860.jpg" TargetMode="External"/><Relationship Id="rId29" Type="http://schemas.openxmlformats.org/officeDocument/2006/relationships/hyperlink" Target="https://64.media.tumblr.com/86e9cadece6184e815daee913e37b709/0f5068847820facd-24/s1280x1920/fba2aa8650c6efbfd342c790738e2a163475c185.jpg" TargetMode="External"/><Relationship Id="rId11" Type="http://schemas.openxmlformats.org/officeDocument/2006/relationships/hyperlink" Target="https://i.pinimg.com/236x/69/40/6c/69406c316f7785f1fe56576643bab2b3--mystic-heroes.jpg" TargetMode="External"/><Relationship Id="rId10" Type="http://schemas.openxmlformats.org/officeDocument/2006/relationships/hyperlink" Target="https://i.pinimg.com/originals/84/06/37/840637b0782d1f2f1130998b52323f2f.jpg" TargetMode="External"/><Relationship Id="rId13" Type="http://schemas.openxmlformats.org/officeDocument/2006/relationships/hyperlink" Target="https://64.media.tumblr.com/933d3cacc2489301f26e3e0cdae7fc4a/tumblr_nfpl5mXmaN1tv3g49o1_640.jpg" TargetMode="External"/><Relationship Id="rId12" Type="http://schemas.openxmlformats.org/officeDocument/2006/relationships/hyperlink" Target="https://cdnb.artstation.com/p/assets/images/images/023/228/359/large/nail-enikeev-ogr-3.jpg?1578518907" TargetMode="External"/><Relationship Id="rId15" Type="http://schemas.openxmlformats.org/officeDocument/2006/relationships/hyperlink" Target="https://cdn.discordapp.com/attachments/1146968765842608128/1192328087749283901/artworks-eNG3jvcSA7BHeYJ1-0sK2gw-t500x500.png?ex=65a8ad10&amp;is=65963810&amp;hm=bb329c3861dd8ac0d0b50309b1a5a1f32325807073c3294f82a7ebb00b080a3d&amp;" TargetMode="External"/><Relationship Id="rId14" Type="http://schemas.openxmlformats.org/officeDocument/2006/relationships/hyperlink" Target="https://i.pinimg.com/564x/b9/d0/49/b9d0494a3876174ef259d340cf2b05fe.jpg" TargetMode="External"/><Relationship Id="rId17" Type="http://schemas.openxmlformats.org/officeDocument/2006/relationships/hyperlink" Target="https://img.freepik.com/premium-photo/epic-fantasy-illustration-featuring-mythical-sea-creature-beautiful-magic-mysterious-tale-generative-ai_742252-9510.jpg?w=2000" TargetMode="External"/><Relationship Id="rId16" Type="http://schemas.openxmlformats.org/officeDocument/2006/relationships/hyperlink" Target="https://img.freepik.com/premium-photo/epic-fantasy-illustration-featuring-mythical-sea-creature-beautiful-magic-mysterious-tale-generative-ai_742252-9510.jpg?w=2000" TargetMode="External"/><Relationship Id="rId19" Type="http://schemas.openxmlformats.org/officeDocument/2006/relationships/hyperlink" Target="https://www.zastavki.com/pictures/originals/2015/Fantasy_Stone_guards_at_the_entrance_to_the_temple__fantasy_098084_.jpg" TargetMode="External"/><Relationship Id="rId18" Type="http://schemas.openxmlformats.org/officeDocument/2006/relationships/hyperlink" Target="https://i.redd.it/saos4o2imfv11.jpg" TargetMode="External"/><Relationship Id="rId84" Type="http://schemas.openxmlformats.org/officeDocument/2006/relationships/hyperlink" Target="https://imagedelivery.net/9sCnq8t6WEGNay0RAQNdvQ/UUID-cl9jnb8pc0210pnot4j6c5zv8/public" TargetMode="External"/><Relationship Id="rId83" Type="http://schemas.openxmlformats.org/officeDocument/2006/relationships/hyperlink" Target="https://static.wikia.nocookie.net/vampirehunterd/images/5/53/RED_FIRE_BREATHING_FIRE_DRAGON_KNIGHT_BATTLE_CASTLE_AGE_HEART_GAME_CONCEPT_ART_1_2_II_BY_KEKAI_3.jpg/revision/latest/scale-to-width-down/1195" TargetMode="External"/><Relationship Id="rId86" Type="http://schemas.openxmlformats.org/officeDocument/2006/relationships/hyperlink" Target="https://i.pinimg.com/originals/f9/e6/39/f9e6394668d71df3bc37d6a56b226f2d.jpg" TargetMode="External"/><Relationship Id="rId85" Type="http://schemas.openxmlformats.org/officeDocument/2006/relationships/hyperlink" Target="https://i.pinimg.com/originals/f7/0c/87/f70c87a3fadb809f531bb4111329874d.jpg" TargetMode="External"/><Relationship Id="rId88" Type="http://schemas.openxmlformats.org/officeDocument/2006/relationships/hyperlink" Target="https://encrypted-tbn2.gstatic.com/images?q=tbn:ANd9GcRrZu5ulOuxMRGu42DU8OUvMYDYg6FZQnsy0l806_N_dq9iE_Dy" TargetMode="External"/><Relationship Id="rId87" Type="http://schemas.openxmlformats.org/officeDocument/2006/relationships/hyperlink" Target="https://coolvibe.com/wp-content/uploads/2013/07/2D-Art-Alex-Ruiz-Zombie-Mechs.jpg" TargetMode="External"/><Relationship Id="rId89" Type="http://schemas.openxmlformats.org/officeDocument/2006/relationships/hyperlink" Target="https://i.pinimg.com/originals/90/c1/bd/90c1bd53a5c69f93b2c569dc0476a1e5.jpg" TargetMode="External"/><Relationship Id="rId80" Type="http://schemas.openxmlformats.org/officeDocument/2006/relationships/hyperlink" Target="https://e0.pxfuel.com/wallpapers/10/800/desktop-wallpaper-artwork-dragon-fire-black-dark-data-src-fantasy-shadow-dragon-tip-shadow-monster.jpg" TargetMode="External"/><Relationship Id="rId82" Type="http://schemas.openxmlformats.org/officeDocument/2006/relationships/hyperlink" Target="https://images-wixmp-ed30a86b8c4ca887773594c2.wixmp.com/f/564dd511-c653-48d2-829d-31d9d4ac5511/d6fqq8y-b553b059-9f9c-4341-be7d-7d9c2741cb3e.jpg/v1/fill/w_300,h_400,q_70,strp/moth_of_death__advanced_by_johnsilva_d6fqq8y-400t.jpg?token=eyJ0eXAiOiJKV1QiLCJhbGciOiJIUzI1NiJ9.eyJzdWIiOiJ1cm46YXBwOjdlMGQxODg5ODIyNjQzNzNhNWYwZDQxNWVhMGQyNmUwIiwiaXNzIjoidXJuOmFwcDo3ZTBkMTg4OTgyMjY0MzczYTVmMGQ0MTVlYTBkMjZlMCIsIm9iaiI6W1t7ImhlaWdodCI6Ijw9MTMzMiIsInBhdGgiOiJcL2ZcLzU2NGRkNTExLWM2NTMtNDhkMi04MjlkLTMxZDlkNGFjNTUxMVwvZDZmcXE4eS1iNTUzYjA1OS05ZjljLTQzNDEtYmU3ZC03ZDljMjc0MWNiM2UuanBnIiwid2lkdGgiOiI8PTk5OSJ9XV0sImF1ZCI6WyJ1cm46c2VydmljZTppbWFnZS5vcGVyYXRpb25zIl19.HOGXXCooYE8q_SAL8Q-uNYiHwOMHDyqQ8Kvibq0HK3s" TargetMode="External"/><Relationship Id="rId81" Type="http://schemas.openxmlformats.org/officeDocument/2006/relationships/hyperlink" Target="https://i.pinimg.com/236x/53/1f/60/531f6021a08f09c77f9f74b1939b14d2.jpg" TargetMode="External"/><Relationship Id="rId73" Type="http://schemas.openxmlformats.org/officeDocument/2006/relationships/hyperlink" Target="https://media.discordapp.net/attachments/1035710302953676902/1224155610996543579/rtQQB4AAAAASUVORK5CYII.png?ex=661c76c1&amp;is=660a01c1&amp;hm=3d154b9038aba110beae27593d157994e9fd8c861cf34b307b35807f53ac746f&amp;=&amp;format=webp&amp;quality=lossless" TargetMode="External"/><Relationship Id="rId72" Type="http://schemas.openxmlformats.org/officeDocument/2006/relationships/hyperlink" Target="https://www.wallpaperflare.com/static/561/1018/479/fire-dragon-teeth-scales-wallpaper.jpg" TargetMode="External"/><Relationship Id="rId75" Type="http://schemas.openxmlformats.org/officeDocument/2006/relationships/hyperlink" Target="https://www.worldanvil.com/uploads/images/8323772636927ea0f994dc19300eb4da.png" TargetMode="External"/><Relationship Id="rId74" Type="http://schemas.openxmlformats.org/officeDocument/2006/relationships/hyperlink" Target="https://w0.peakpx.com/wallpaper/586/1008/HD-wallpaper-dragon-summoner-female-warrior-summoner-fighter-china-beauty-dragon.jpg" TargetMode="External"/><Relationship Id="rId77" Type="http://schemas.openxmlformats.org/officeDocument/2006/relationships/hyperlink" Target="https://e0.pxfuel.com/wallpapers/168/1008/desktop-wallpaper-fantasy-bird-art-artistic-creature-eagle.jpg" TargetMode="External"/><Relationship Id="rId76" Type="http://schemas.openxmlformats.org/officeDocument/2006/relationships/hyperlink" Target="https://c4.wallpaperflare.com/wallpaper/685/546/348/blue-creature-eye-monster-wallpaper-preview.jpg" TargetMode="External"/><Relationship Id="rId79" Type="http://schemas.openxmlformats.org/officeDocument/2006/relationships/hyperlink" Target="https://i.pinimg.com/236x/f6/41/33/f64133e354f4acb5d99c141c8a6e7c1e.jpg" TargetMode="External"/><Relationship Id="rId78" Type="http://schemas.openxmlformats.org/officeDocument/2006/relationships/hyperlink" Target="https://e0.pxfuel.com/wallpapers/168/1008/desktop-wallpaper-fantasy-bird-art-artistic-creature-eagle.jpg" TargetMode="External"/><Relationship Id="rId71" Type="http://schemas.openxmlformats.org/officeDocument/2006/relationships/hyperlink" Target="https://cdn.shopify.com/s/files/1/2362/8001/products/blue-crystal-dragon-paint-with-diamonds-fall-sale-fantasy-february-2019-round_229_1024x1024.jpg?v=1614929210" TargetMode="External"/><Relationship Id="rId70" Type="http://schemas.openxmlformats.org/officeDocument/2006/relationships/hyperlink" Target="https://i.pinimg.com/originals/0c/5a/f6/0c5af62b0e48e1ce94a87e9baf3c7d5a.jpg" TargetMode="External"/><Relationship Id="rId62" Type="http://schemas.openxmlformats.org/officeDocument/2006/relationships/hyperlink" Target="https://www.google.com/url?q=http://drive.google.com/uc?export%3Dview%26id%3D1fTOqsOkiBPJyX_PJjYXP3r_EXxF1BZtm&amp;sa=D&amp;source=editors&amp;ust=1685916875840111&amp;usg=AOvVaw08DGpKhqFgwMXYPIKxQcBr" TargetMode="External"/><Relationship Id="rId61" Type="http://schemas.openxmlformats.org/officeDocument/2006/relationships/hyperlink" Target="https://cdn.openart.ai/stable_diffusion/68141c57eedfef3c6cd00d9bad285539ccfe2f41_2000x2000.webp" TargetMode="External"/><Relationship Id="rId64" Type="http://schemas.openxmlformats.org/officeDocument/2006/relationships/hyperlink" Target="https://i.pinimg.com/originals/3f/8d/d1/3f8dd1ead651d9d4b1fb5a874af1022f.jpg" TargetMode="External"/><Relationship Id="rId63" Type="http://schemas.openxmlformats.org/officeDocument/2006/relationships/hyperlink" Target="https://i.pinimg.com/736x/51/68/d2/5168d299adfb699961c350bc08f8485c--art-blog-challenges.jpg" TargetMode="External"/><Relationship Id="rId66" Type="http://schemas.openxmlformats.org/officeDocument/2006/relationships/hyperlink" Target="https://i.pinimg.com/736x/27/3b/e7/273be790bebc0bbc3bca4e9a5264ca0d.jpg" TargetMode="External"/><Relationship Id="rId65" Type="http://schemas.openxmlformats.org/officeDocument/2006/relationships/hyperlink" Target="https://www.wallpaperup.com/uploads/wallpapers/2015/03/30/649871/c57c9388e263a93f386c1242f7f289ad-700.jpg" TargetMode="External"/><Relationship Id="rId68" Type="http://schemas.openxmlformats.org/officeDocument/2006/relationships/hyperlink" Target="https://i.pinimg.com/originals/01/43/e1/0143e115cb3f7f01072aca289fea0bd2.jpg" TargetMode="External"/><Relationship Id="rId67" Type="http://schemas.openxmlformats.org/officeDocument/2006/relationships/hyperlink" Target="https://i.pinimg.com/736x/dc/1b/85/dc1b85880f048fffce15fbed2c60d369.jpg" TargetMode="External"/><Relationship Id="rId60" Type="http://schemas.openxmlformats.org/officeDocument/2006/relationships/hyperlink" Target="https://i.pinimg.com/originals/9e/47/13/9e4713f2b72a040ff3243636c111eb8a.jpg" TargetMode="External"/><Relationship Id="rId69" Type="http://schemas.openxmlformats.org/officeDocument/2006/relationships/hyperlink" Target="https://cdnb.artstation.com/p/assets/images/images/006/020/639/large/sathoryn-bruno-henriques-camel-9s.jpg?1495474695" TargetMode="External"/><Relationship Id="rId51" Type="http://schemas.openxmlformats.org/officeDocument/2006/relationships/hyperlink" Target="https://pbs.twimg.com/media/CusP9YQXEAERGuj.jpg:large" TargetMode="External"/><Relationship Id="rId50" Type="http://schemas.openxmlformats.org/officeDocument/2006/relationships/hyperlink" Target="https://i.pinimg.com/originals/c5/c4/f1/c5c4f16c6b756db55373075d9661b3a0.jpg" TargetMode="External"/><Relationship Id="rId53" Type="http://schemas.openxmlformats.org/officeDocument/2006/relationships/hyperlink" Target="https://encrypted-tbn1.gstatic.com/images?q=tbn:ANd9GcTvMx522kqCNH6QSrBwdNHiwIS58mgsiwYSZSZOgv8kGxKj1dsN" TargetMode="External"/><Relationship Id="rId52" Type="http://schemas.openxmlformats.org/officeDocument/2006/relationships/hyperlink" Target="https://c4.wallpaperflare.com/wallpaper/317/750/500/artwork-cthulhu-artstation-digital-art-fantasy-art-hd-wallpaper-preview.jpg" TargetMode="External"/><Relationship Id="rId55" Type="http://schemas.openxmlformats.org/officeDocument/2006/relationships/hyperlink" Target="https://t3.ftcdn.net/jpg/05/61/33/58/360_F_561335839_XPIleWtY5WVFWBy3P3aP2Yt7nPmKKvPD.webp" TargetMode="External"/><Relationship Id="rId54" Type="http://schemas.openxmlformats.org/officeDocument/2006/relationships/hyperlink" Target="https://encrypted-tbn2.gstatic.com/images?q=tbn:ANd9GcSjsj2YW88yWJIVwxthXd4QzbCG5_Z8M7X-NRGw-NwuxL3sDZzT" TargetMode="External"/><Relationship Id="rId57" Type="http://schemas.openxmlformats.org/officeDocument/2006/relationships/hyperlink" Target="https://i.pinimg.com/originals/5f/28/ae/5f28ae88d2704e6b5be7f0d630483801.jpg" TargetMode="External"/><Relationship Id="rId56" Type="http://schemas.openxmlformats.org/officeDocument/2006/relationships/hyperlink" Target="https://img.freepik.com/premium-photo/ghost-warrior-samurai-heavy-armour-ronin-samurai-fantasy-character-generative-ai_751108-3262.jpg?w=2000" TargetMode="External"/><Relationship Id="rId59" Type="http://schemas.openxmlformats.org/officeDocument/2006/relationships/hyperlink" Target="https://i.pinimg.com/originals/f4/3f/fd/f43ffd3a9c74f97511c0051567b8f650.jpg" TargetMode="External"/><Relationship Id="rId58" Type="http://schemas.openxmlformats.org/officeDocument/2006/relationships/hyperlink" Target="https://w0.peakpx.com/wallpaper/495/31/HD-wallpaper-dragon-art-fantasy-wings-dark-black-blue.jpg" TargetMode="External"/><Relationship Id="rId107" Type="http://schemas.openxmlformats.org/officeDocument/2006/relationships/hyperlink" Target="https://i.pinimg.com/originals/9e/74/b8/9e74b811e98511a0496ee216e86bf378.jpg" TargetMode="External"/><Relationship Id="rId228" Type="http://schemas.openxmlformats.org/officeDocument/2006/relationships/hyperlink" Target="https://e0.pxfuel.com/wallpapers/163/71/desktop-wallpaper-birds-art-dark-demon-ghost.jpg" TargetMode="External"/><Relationship Id="rId349" Type="http://schemas.openxmlformats.org/officeDocument/2006/relationships/hyperlink" Target="https://i.pinimg.com/564x/3f/2d/24/3f2d242c6a85ac83be8f8e9c0ce6dfbb.jpg" TargetMode="External"/><Relationship Id="rId106" Type="http://schemas.openxmlformats.org/officeDocument/2006/relationships/hyperlink" Target="https://www.google.com/url?q=https://drive.google.com/uc?export%3Dview%26id%3D1yfmLihf5KYgKBttnv4FWTTxyhVPqdyGc&amp;sa=D&amp;source=editors&amp;ust=1685916875848601&amp;usg=AOvVaw1dWZVhSAZcQ_b_xJrJwMve" TargetMode="External"/><Relationship Id="rId227" Type="http://schemas.openxmlformats.org/officeDocument/2006/relationships/hyperlink" Target="https://i.pinimg.com/474x/14/e2/1c/14e21c6b9851054135c3e97a9c383bbd.jpg" TargetMode="External"/><Relationship Id="rId348" Type="http://schemas.openxmlformats.org/officeDocument/2006/relationships/hyperlink" Target="https://i.pinimg.com/originals/20/02/d3/2002d3214a41bc756183bbb74b1e2084.jpg" TargetMode="External"/><Relationship Id="rId105" Type="http://schemas.openxmlformats.org/officeDocument/2006/relationships/hyperlink" Target="https://static.wikia.nocookie.net/blackbandos-homebrew/images/2/24/949ed60c87e9f3bfd44398ac30ff5899.jpg/revision/latest?cb=20190212033909" TargetMode="External"/><Relationship Id="rId226" Type="http://schemas.openxmlformats.org/officeDocument/2006/relationships/hyperlink" Target="https://i.pinimg.com/564x/46/76/ff/4676fff3892b599f8a4a445b4240c4e1.jpg" TargetMode="External"/><Relationship Id="rId347" Type="http://schemas.openxmlformats.org/officeDocument/2006/relationships/hyperlink" Target="https://i.pinimg.com/originals/c5/c4/f1/c5c4f16c6b756db55373075d9661b3a0.jpg" TargetMode="External"/><Relationship Id="rId104" Type="http://schemas.openxmlformats.org/officeDocument/2006/relationships/hyperlink" Target="https://imagedelivery.net/9sCnq8t6WEGNay0RAQNdvQ/UUID-cl90h8kht4179199tqy512xqooa/public" TargetMode="External"/><Relationship Id="rId225" Type="http://schemas.openxmlformats.org/officeDocument/2006/relationships/hyperlink" Target="https://i.pinimg.com/originals/dd/f5/fe/ddf5fec7a9248d9192810e6b7d8aa8d6.jpg" TargetMode="External"/><Relationship Id="rId346" Type="http://schemas.openxmlformats.org/officeDocument/2006/relationships/hyperlink" Target="https://i.pinimg.com/736x/1f/b8/0d/1fb80dce083393ee16874fcc04ccf1a5.jpg" TargetMode="External"/><Relationship Id="rId109" Type="http://schemas.openxmlformats.org/officeDocument/2006/relationships/hyperlink" Target="https://assets.mycast.io/actor_images/actor-frilled-shark-246285_large.jpg?1627045515" TargetMode="External"/><Relationship Id="rId108" Type="http://schemas.openxmlformats.org/officeDocument/2006/relationships/hyperlink" Target="https://encrypted-tbn3.gstatic.com/images?q=tbn:ANd9GcQ4heNtRxRBjv9yUypQ5wHNNw7bEaW6Lzu0pMnYbRkfa5KKC31s" TargetMode="External"/><Relationship Id="rId229" Type="http://schemas.openxmlformats.org/officeDocument/2006/relationships/hyperlink" Target="https://i.pinimg.com/originals/33/ab/9d/33ab9db352b82ec6db31d630b310b237.png" TargetMode="External"/><Relationship Id="rId220" Type="http://schemas.openxmlformats.org/officeDocument/2006/relationships/hyperlink" Target="https://static.wikia.nocookie.net/charm-of-soul-pets-cosp/images/1/1a/C2tu6z8kg4s51.jpg/revision/latest?cb=20210512170831" TargetMode="External"/><Relationship Id="rId341" Type="http://schemas.openxmlformats.org/officeDocument/2006/relationships/hyperlink" Target="https://prod-cdn-07.storenvy.com/product_photos/74369319/file_2f98e1e112_original.jpg" TargetMode="External"/><Relationship Id="rId340" Type="http://schemas.openxmlformats.org/officeDocument/2006/relationships/hyperlink" Target="https://www.wallpaperup.com/uploads/wallpapers/2015/03/30/649871/c57c9388e263a93f386c1242f7f289ad-700.jpg" TargetMode="External"/><Relationship Id="rId103" Type="http://schemas.openxmlformats.org/officeDocument/2006/relationships/hyperlink" Target="https://imagedelivery.net/9sCnq8t6WEGNay0RAQNdvQ/UUID-cl90h8kht4179199tqy512xqooa/public" TargetMode="External"/><Relationship Id="rId224" Type="http://schemas.openxmlformats.org/officeDocument/2006/relationships/hyperlink" Target="https://www.google.com/url?q=https://i.pinimg.com/736x/85/61/9e/85619e2e007b6255cc712a165e4a9890.jpg&amp;sa=D&amp;source=editors&amp;ust=1685916875836243&amp;usg=AOvVaw3uRZn2A0AqA7RfHjuHmcwe" TargetMode="External"/><Relationship Id="rId345" Type="http://schemas.openxmlformats.org/officeDocument/2006/relationships/hyperlink" Target="https://static.wikia.nocookie.net/vampirehunterd/images/5/53/RED_FIRE_BREATHING_FIRE_DRAGON_KNIGHT_BATTLE_CASTLE_AGE_HEART_GAME_CONCEPT_ART_1_2_II_BY_KEKAI_3.jpg/revision/latest/scale-to-width-down/1195" TargetMode="External"/><Relationship Id="rId102" Type="http://schemas.openxmlformats.org/officeDocument/2006/relationships/hyperlink" Target="https://i.pinimg.com/736x/17/b9/c9/17b9c98c3f7c6aac98f013554ce4b554.jpg" TargetMode="External"/><Relationship Id="rId223" Type="http://schemas.openxmlformats.org/officeDocument/2006/relationships/hyperlink" Target="https://www.google.com/url?q=https://i.pinimg.com/736x/85/61/9e/85619e2e007b6255cc712a165e4a9890.jpg&amp;sa=D&amp;source=editors&amp;ust=1685916875836243&amp;usg=AOvVaw3uRZn2A0AqA7RfHjuHmcwe" TargetMode="External"/><Relationship Id="rId344" Type="http://schemas.openxmlformats.org/officeDocument/2006/relationships/hyperlink" Target="https://www.originalmagicart.store/cdn/shop/products/Swanland_UginSpiritDragon_Print_5000x.jpg?v=1603674292" TargetMode="External"/><Relationship Id="rId101" Type="http://schemas.openxmlformats.org/officeDocument/2006/relationships/hyperlink" Target="https://i.etsystatic.com/40196720/r/il/378a95/4559458180/il_fullxfull.4559458180_bcc1.jpg" TargetMode="External"/><Relationship Id="rId222" Type="http://schemas.openxmlformats.org/officeDocument/2006/relationships/hyperlink" Target="https://images-wixmp-ed30a86b8c4ca887773594c2.wixmp.com/f/2cd14227-019a-41e2-864d-d9206f96dca2/d1o30nj-166faadc-aa3a-4af7-bb3e-1cd8498715f4.jpg?token=eyJ0eXAiOiJKV1QiLCJhbGciOiJIUzI1NiJ9.eyJzdWIiOiJ1cm46YXBwOjdlMGQxODg5ODIyNjQzNzNhNWYwZDQxNWVhMGQyNmUwIiwiaXNzIjoidXJuOmFwcDo3ZTBkMTg4OTgyMjY0MzczYTVmMGQ0MTVlYTBkMjZlMCIsIm9iaiI6W1t7InBhdGgiOiJcL2ZcLzJjZDE0MjI3LTAxOWEtNDFlMi04NjRkLWQ5MjA2Zjk2ZGNhMlwvZDFvMzBuai0xNjZmYWFkYy1hYTNhLTRhZjctYmIzZS0xY2Q4NDk4NzE1ZjQuanBnIn1dXSwiYXVkIjpbInVybjpzZXJ2aWNlOmZpbGUuZG93bmxvYWQiXX0.3VHKgRaEK8pd5pc16P2V85byga65jvqF0V83puOtfSI" TargetMode="External"/><Relationship Id="rId343" Type="http://schemas.openxmlformats.org/officeDocument/2006/relationships/hyperlink" Target="https://static.wikia.nocookie.net/charm-of-soul-pets-cosp/images/1/1a/C2tu6z8kg4s51.jpg/revision/latest?cb=20210512170831" TargetMode="External"/><Relationship Id="rId100" Type="http://schemas.openxmlformats.org/officeDocument/2006/relationships/hyperlink" Target="https://images.squarespace-cdn.com/content/v1/56f56ea1ecb9287a7016b02f/1559934511718-3A3CVPZW18J1BHHM72RB/king+of+Winter.jpg?format=500w" TargetMode="External"/><Relationship Id="rId221" Type="http://schemas.openxmlformats.org/officeDocument/2006/relationships/hyperlink" Target="https://www.originalmagicart.store/cdn/shop/products/Swanland_UginSpiritDragon_Print_5000x.jpg?v=1603674292" TargetMode="External"/><Relationship Id="rId342" Type="http://schemas.openxmlformats.org/officeDocument/2006/relationships/hyperlink" Target="https://images.squarespace-cdn.com/content/v1/56f56ea1ecb9287a7016b02f/1559934511718-3A3CVPZW18J1BHHM72RB/king+of+Winter.jpg?format=500w" TargetMode="External"/><Relationship Id="rId217" Type="http://schemas.openxmlformats.org/officeDocument/2006/relationships/hyperlink" Target="https://www.google.com/url?q=https://w0.peakpx.com/wallpaper/473/31/HD-wallpaper-dark-warrior-fantasy-art-skeleton-dark.jpg&amp;sa=D&amp;source=editors&amp;ust=1685916875836778&amp;usg=AOvVaw2sWCi0iS-708Z_jKssw-y3" TargetMode="External"/><Relationship Id="rId338" Type="http://schemas.openxmlformats.org/officeDocument/2006/relationships/hyperlink" Target="https://i.pinimg.com/originals/e8/87/c9/e887c9edf5f5f24e110e1db64f7296a5.jpg" TargetMode="External"/><Relationship Id="rId216" Type="http://schemas.openxmlformats.org/officeDocument/2006/relationships/hyperlink" Target="https://www.google.com/url?q=https://i.pinimg.com/474x/7d/40/4c/7d404cc660f103d1db31a7ea28262d52--monster-shark-crabs.jpg&amp;sa=D&amp;source=editors&amp;ust=1685916875836960&amp;usg=AOvVaw1PChtfFVZaWBFhQaLVLSc9" TargetMode="External"/><Relationship Id="rId337" Type="http://schemas.openxmlformats.org/officeDocument/2006/relationships/hyperlink" Target="https://i.pinimg.com/originals/c1/8e/1a/c18e1a06b0d67090e3e0c20a445952a3.jpg" TargetMode="External"/><Relationship Id="rId215" Type="http://schemas.openxmlformats.org/officeDocument/2006/relationships/hyperlink" Target="https://www.google.com/url?q=https://i.pinimg.com/474x/7d/40/4c/7d404cc660f103d1db31a7ea28262d52--monster-shark-crabs.jpg&amp;sa=D&amp;source=editors&amp;ust=1685916875836960&amp;usg=AOvVaw1PChtfFVZaWBFhQaLVLSc9" TargetMode="External"/><Relationship Id="rId336" Type="http://schemas.openxmlformats.org/officeDocument/2006/relationships/hyperlink" Target="https://i.redd.it/vl2ec0kys2u51.jpg" TargetMode="External"/><Relationship Id="rId214" Type="http://schemas.openxmlformats.org/officeDocument/2006/relationships/hyperlink" Target="https://i.pinimg.com/474x/ba/82/0d/ba820d2e02a1606fa7b6eff369a69719.jpg" TargetMode="External"/><Relationship Id="rId335" Type="http://schemas.openxmlformats.org/officeDocument/2006/relationships/hyperlink" Target="https://i.pinimg.com/564x/3f/2d/24/3f2d242c6a85ac83be8f8e9c0ce6dfbb.jpg" TargetMode="External"/><Relationship Id="rId219" Type="http://schemas.openxmlformats.org/officeDocument/2006/relationships/hyperlink" Target="https://www.google.com/url?q=https://i.pinimg.com/originals/90/72/f6/9072f6b4655cc66ce92a54fb3782241c.jpg&amp;sa=D&amp;source=editors&amp;ust=1685916875835544&amp;usg=AOvVaw0ywzdpTvQUDr-w_rWy1SmQ" TargetMode="External"/><Relationship Id="rId218" Type="http://schemas.openxmlformats.org/officeDocument/2006/relationships/hyperlink" Target="https://images-wixmp-ed30a86b8c4ca887773594c2.wixmp.com/f/30314805-0284-4dac-99bc-19935cbc4642/d8ksizt-c93f7ba5-9528-48de-9928-d68ecefdef4d.jpg/v1/fill/w_739,h_842,q_75,strp/skeleton_lord_by_raphtor_d8ksizt-fullview.jpg?token=eyJ0eXAiOiJKV1QiLCJhbGciOiJIUzI1NiJ9.eyJzdWIiOiJ1cm46YXBwOjdlMGQxODg5ODIyNjQzNzNhNWYwZDQxNWVhMGQyNmUwIiwiaXNzIjoidXJuOmFwcDo3ZTBkMTg4OTgyMjY0MzczYTVmMGQ0MTVlYTBkMjZlMCIsIm9iaiI6W1t7ImhlaWdodCI6Ijw9ODQyIiwicGF0aCI6IlwvZlwvMzAzMTQ4MDUtMDI4NC00ZGFjLTk5YmMtMTk5MzVjYmM0NjQyXC9kOGtzaXp0LWM5M2Y3YmE1LTk1MjgtNDhkZS05OTI4LWQ2OGVjZWZkZWY0ZC5qcGciLCJ3aWR0aCI6Ijw9NzM5In1dXSwiYXVkIjpbInVybjpzZXJ2aWNlOmltYWdlLm9wZXJhdGlvbnMiXX0.Bx0_9vJU1ajYc1I69zr06U5rb6-6RUipudhhxS9YmMk" TargetMode="External"/><Relationship Id="rId339" Type="http://schemas.openxmlformats.org/officeDocument/2006/relationships/hyperlink" Target="https://w0.peakpx.com/wallpaper/495/31/HD-wallpaper-dragon-art-fantasy-wings-dark-black-blue.jpg" TargetMode="External"/><Relationship Id="rId330" Type="http://schemas.openxmlformats.org/officeDocument/2006/relationships/hyperlink" Target="https://encrypted-tbn0.gstatic.com/images?q=tbn:ANd9GcQN7I4As29GDkyX8YBGgni_wGzv_zeIGvBHthF0QcTMN4Mz8CzX" TargetMode="External"/><Relationship Id="rId213" Type="http://schemas.openxmlformats.org/officeDocument/2006/relationships/hyperlink" Target="https://res.cloudinary.com/jerrick/image/upload/c_scale,f_jpg,q_auto/ejhogmhegi2iqjcufiar.jpg" TargetMode="External"/><Relationship Id="rId334" Type="http://schemas.openxmlformats.org/officeDocument/2006/relationships/hyperlink" Target="https://i.pinimg.com/originals/20/02/d3/2002d3214a41bc756183bbb74b1e2084.jpg" TargetMode="External"/><Relationship Id="rId212" Type="http://schemas.openxmlformats.org/officeDocument/2006/relationships/hyperlink" Target="https://res.cloudinary.com/jerrick/image/upload/c_scale,f_jpg,q_auto/ejhogmhegi2iqjcufiar.jpg" TargetMode="External"/><Relationship Id="rId333" Type="http://schemas.openxmlformats.org/officeDocument/2006/relationships/hyperlink" Target="https://encrypted-tbn1.gstatic.com/images?q=tbn:ANd9GcQtZF8kAjEV4yN3Q1WxDxfqH1_4jBJD5mLiwwgblO6Im7zdux7R" TargetMode="External"/><Relationship Id="rId211" Type="http://schemas.openxmlformats.org/officeDocument/2006/relationships/hyperlink" Target="https://www.google.com/url?q=https://wallup.net/wp-content/uploads/2016/04/10/268701-digital_art-fantasy_art-creature-sea_monsters-underwater-sea-men-divers-fangs-bubbles-tail-fish.jpg&amp;sa=D&amp;source=editors&amp;ust=1685916875838423&amp;usg=AOvVaw3bmQ2gh9rn_UmoBLZO5S99" TargetMode="External"/><Relationship Id="rId332" Type="http://schemas.openxmlformats.org/officeDocument/2006/relationships/hyperlink" Target="https://images-wixmp-ed30a86b8c4ca887773594c2.wixmp.com/f/e7bb2cc5-8a0c-4d59-b8bd-5cd91a042782/dg1zmy0-bdea879f-5e0c-47b1-b355-9d7eaf3af381.jpg/v1/fill/w_1280,h_1280,q_75,strp/sloop_in_storm_by_seraphim_ai_dg1zmy0-fullview.jpg?token=eyJ0eXAiOiJKV1QiLCJhbGciOiJIUzI1NiJ9.eyJzdWIiOiJ1cm46YXBwOjdlMGQxODg5ODIyNjQzNzNhNWYwZDQxNWVhMGQyNmUwIiwiaXNzIjoidXJuOmFwcDo3ZTBkMTg4OTgyMjY0MzczYTVmMGQ0MTVlYTBkMjZlMCIsIm9iaiI6W1t7ImhlaWdodCI6Ijw9MTI4MCIsInBhdGgiOiJcL2ZcL2U3YmIyY2M1LThhMGMtNGQ1OS1iOGJkLTVjZDkxYTA0Mjc4MlwvZGcxem15MC1iZGVhODc5Zi01ZTBjLTQ3YjEtYjM1NS05ZDdlYWYzYWYzODEuanBnIiwid2lkdGgiOiI8PTEyODAifV1dLCJhdWQiOlsidXJuOnNlcnZpY2U6aW1hZ2Uub3BlcmF0aW9ucyJdfQ.kv5EhEYSrfM8hLzXkJ0Qx9_3YigJzTdqpvrDwOKfnC0" TargetMode="External"/><Relationship Id="rId210" Type="http://schemas.openxmlformats.org/officeDocument/2006/relationships/hyperlink" Target="https://www.google.com/url?q=https://wallup.net/wp-content/uploads/2016/04/10/268701-digital_art-fantasy_art-creature-sea_monsters-underwater-sea-men-divers-fangs-bubbles-tail-fish.jpg&amp;sa=D&amp;source=editors&amp;ust=1685916875838423&amp;usg=AOvVaw3bmQ2gh9rn_UmoBLZO5S99" TargetMode="External"/><Relationship Id="rId331" Type="http://schemas.openxmlformats.org/officeDocument/2006/relationships/hyperlink" Target="https://images-wixmp-ed30a86b8c4ca887773594c2.wixmp.com/f/ff39023a-dc5a-4b3f-a1d6-c5e49400c378/dg9qfov-a659d56b-f869-42c7-a581-da8f3bbc3366.jpg/v1/fill/w_1280,h_854,q_75,strp/brigantine_by_comiconly_dg9qfov-fullview.jpg?token=eyJ0eXAiOiJKV1QiLCJhbGciOiJIUzI1NiJ9.eyJzdWIiOiJ1cm46YXBwOjdlMGQxODg5ODIyNjQzNzNhNWYwZDQxNWVhMGQyNmUwIiwiaXNzIjoidXJuOmFwcDo3ZTBkMTg4OTgyMjY0MzczYTVmMGQ0MTVlYTBkMjZlMCIsIm9iaiI6W1t7ImhlaWdodCI6Ijw9ODU0IiwicGF0aCI6IlwvZlwvZmYzOTAyM2EtZGM1YS00YjNmLWExZDYtYzVlNDk0MDBjMzc4XC9kZzlxZm92LWE2NTlkNTZiLWY4NjktNDJjNy1hNTgxLWRhOGYzYmJjMzM2Ni5qcGciLCJ3aWR0aCI6Ijw9MTI4MCJ9XV0sImF1ZCI6WyJ1cm46c2VydmljZTppbWFnZS5vcGVyYXRpb25zIl19.ohG3kXlz7wf_lGqHXXwcJXtMTibpuCxIS61J8KbPI3U" TargetMode="External"/><Relationship Id="rId370" Type="http://schemas.openxmlformats.org/officeDocument/2006/relationships/hyperlink" Target="https://images.squarespace-cdn.com/content/v1/56f56ea1ecb9287a7016b02f/1559934511718-3A3CVPZW18J1BHHM72RB/king+of+Winter.jpg?format=500w" TargetMode="External"/><Relationship Id="rId129" Type="http://schemas.openxmlformats.org/officeDocument/2006/relationships/hyperlink" Target="https://i.pinimg.com/564x/8c/8a/fd/8c8afd4fe5a452149e0781dc44d13899.jpg" TargetMode="External"/><Relationship Id="rId128" Type="http://schemas.openxmlformats.org/officeDocument/2006/relationships/hyperlink" Target="https://i.pinimg.com/236x/02/4f/15/024f159105b552e078583e5c9126d1cc.jpg" TargetMode="External"/><Relationship Id="rId249" Type="http://schemas.openxmlformats.org/officeDocument/2006/relationships/hyperlink" Target="https://t2.gstatic.com/images?q=tbn:ANd9GcR7aa9ZNyJs1GbKTh3e8z6LvGefqepRldGaocUBtnsqd4yK42wH" TargetMode="External"/><Relationship Id="rId127" Type="http://schemas.openxmlformats.org/officeDocument/2006/relationships/hyperlink" Target="https://cdna.artstation.com/p/assets/images/images/021/080/248/large/vladimir-lemajic-sea-uchain222.jpg?1570317644" TargetMode="External"/><Relationship Id="rId248" Type="http://schemas.openxmlformats.org/officeDocument/2006/relationships/hyperlink" Target="https://t3.gstatic.com/images?q=tbn:ANd9GcRgeJ0ffNruMUUA4aiZPb8LFAQse26ucnAZm_q3oiEaF-6jKIJ-" TargetMode="External"/><Relationship Id="rId369" Type="http://schemas.openxmlformats.org/officeDocument/2006/relationships/hyperlink" Target="https://prod-cdn-07.storenvy.com/product_photos/74369319/file_2f98e1e112_original.jpg" TargetMode="External"/><Relationship Id="rId126" Type="http://schemas.openxmlformats.org/officeDocument/2006/relationships/hyperlink" Target="https://i.pinimg.com/736x/c6/8d/ec/c68decfd887e7ae81bdea8869f79c72d--surfing-images-surfing-pictures.jpg" TargetMode="External"/><Relationship Id="rId247" Type="http://schemas.openxmlformats.org/officeDocument/2006/relationships/hyperlink" Target="https://t2.gstatic.com/images?q=tbn:ANd9GcTervEpkuaIqPKLZx6Uyih76TtQT1k1RqRQFEavQcsbLzsd7tgs" TargetMode="External"/><Relationship Id="rId368" Type="http://schemas.openxmlformats.org/officeDocument/2006/relationships/hyperlink" Target="https://i.pinimg.com/originals/20/02/d3/2002d3214a41bc756183bbb74b1e2084.jpg" TargetMode="External"/><Relationship Id="rId121" Type="http://schemas.openxmlformats.org/officeDocument/2006/relationships/hyperlink" Target="https://c4.wallpaperflare.com/wallpaper/279/554/406/tiger-art-mystic-tiger-raph04art-wallpaper-thumb.jpg" TargetMode="External"/><Relationship Id="rId242" Type="http://schemas.openxmlformats.org/officeDocument/2006/relationships/hyperlink" Target="https://imagedelivery.net/9sCnq8t6WEGNay0RAQNdvQ/UUID-cl90hbh9i7116979tqyhl7jt114/public" TargetMode="External"/><Relationship Id="rId363" Type="http://schemas.openxmlformats.org/officeDocument/2006/relationships/hyperlink" Target="https://i.pinimg.com/564x/3f/2d/24/3f2d242c6a85ac83be8f8e9c0ce6dfbb.jpg" TargetMode="External"/><Relationship Id="rId120" Type="http://schemas.openxmlformats.org/officeDocument/2006/relationships/hyperlink" Target="https://i.pinimg.com/550x/fa/d7/b3/fad7b3b7a453720aabe317882480ec70.jpg" TargetMode="External"/><Relationship Id="rId241" Type="http://schemas.openxmlformats.org/officeDocument/2006/relationships/hyperlink" Target="https://i.pinimg.com/1200x/f9/ab/e0/f9abe02e9249c769200dcfd8b6bc9d7f.jpg" TargetMode="External"/><Relationship Id="rId362" Type="http://schemas.openxmlformats.org/officeDocument/2006/relationships/hyperlink" Target="https://i.pinimg.com/originals/20/02/d3/2002d3214a41bc756183bbb74b1e2084.jpg" TargetMode="External"/><Relationship Id="rId240" Type="http://schemas.openxmlformats.org/officeDocument/2006/relationships/hyperlink" Target="https://i.pinimg.com/236x/a6/60/26/a6602664130618e7d2905cc1a9aa5524.jpg" TargetMode="External"/><Relationship Id="rId361" Type="http://schemas.openxmlformats.org/officeDocument/2006/relationships/hyperlink" Target="https://i.pinimg.com/originals/c5/c4/f1/c5c4f16c6b756db55373075d9661b3a0.jpg" TargetMode="External"/><Relationship Id="rId360" Type="http://schemas.openxmlformats.org/officeDocument/2006/relationships/hyperlink" Target="https://i.pinimg.com/736x/1f/b8/0d/1fb80dce083393ee16874fcc04ccf1a5.jpg" TargetMode="External"/><Relationship Id="rId125" Type="http://schemas.openxmlformats.org/officeDocument/2006/relationships/hyperlink" Target="https://i.pinimg.com/564x/79/27/d9/7927d9dc14ed652be5ca00bcd2c03f1b.jpg" TargetMode="External"/><Relationship Id="rId246" Type="http://schemas.openxmlformats.org/officeDocument/2006/relationships/hyperlink" Target="https://i.pinimg.com/1200x/31/ae/39/31ae39c3607ff73113667a0bc2649525.jpg" TargetMode="External"/><Relationship Id="rId367" Type="http://schemas.openxmlformats.org/officeDocument/2006/relationships/hyperlink" Target="https://i.pinimg.com/originals/20/02/d3/2002d3214a41bc756183bbb74b1e2084.jpg" TargetMode="External"/><Relationship Id="rId124" Type="http://schemas.openxmlformats.org/officeDocument/2006/relationships/hyperlink" Target="https://i.pinimg.com/736x/7a/a5/b8/7aa5b834145585c30006b3a284a1332a.jpg" TargetMode="External"/><Relationship Id="rId245" Type="http://schemas.openxmlformats.org/officeDocument/2006/relationships/hyperlink" Target="https://cdna.artstation.com/p/assets/images/images/010/746/680/large/mady-madnoliet-king-vampire-madnoliet.jpg?1526001189" TargetMode="External"/><Relationship Id="rId366" Type="http://schemas.openxmlformats.org/officeDocument/2006/relationships/hyperlink" Target="https://i.pinimg.com/originals/20/02/d3/2002d3214a41bc756183bbb74b1e2084.jpg" TargetMode="External"/><Relationship Id="rId123" Type="http://schemas.openxmlformats.org/officeDocument/2006/relationships/hyperlink" Target="https://i.pinimg.com/736x/f4/d3/b0/f4d3b05fb82f46dbe64773ae1267cd5d.jpg" TargetMode="External"/><Relationship Id="rId244" Type="http://schemas.openxmlformats.org/officeDocument/2006/relationships/hyperlink" Target="https://i.pinimg.com/originals/fe/04/c6/fe04c6a7848d56cc3a8b49c6b8ed1321.jpg" TargetMode="External"/><Relationship Id="rId365" Type="http://schemas.openxmlformats.org/officeDocument/2006/relationships/hyperlink" Target="https://i.pinimg.com/originals/20/02/d3/2002d3214a41bc756183bbb74b1e2084.jpg" TargetMode="External"/><Relationship Id="rId122" Type="http://schemas.openxmlformats.org/officeDocument/2006/relationships/hyperlink" Target="https://i.pinimg.com/736x/e8/d8/c6/e8d8c66e656d256e1daa3247af82bc87.jpg" TargetMode="External"/><Relationship Id="rId243" Type="http://schemas.openxmlformats.org/officeDocument/2006/relationships/hyperlink" Target="https://i.pinimg.com/736x/1f/b8/0d/1fb80dce083393ee16874fcc04ccf1a5.jpg" TargetMode="External"/><Relationship Id="rId364" Type="http://schemas.openxmlformats.org/officeDocument/2006/relationships/hyperlink" Target="https://i.pinimg.com/originals/20/02/d3/2002d3214a41bc756183bbb74b1e2084.jpg" TargetMode="External"/><Relationship Id="rId95" Type="http://schemas.openxmlformats.org/officeDocument/2006/relationships/hyperlink" Target="https://i.pinimg.com/originals/a3/3f/9e/a33f9e833f6a279403d18f8690624c85.jpg" TargetMode="External"/><Relationship Id="rId94" Type="http://schemas.openxmlformats.org/officeDocument/2006/relationships/hyperlink" Target="https://lh3.googleusercontent.com/yhl6zh2KDReArIR-0AYBqbZ150msWz9zTfNS2STDY4ICIjCWk6jms7lABMv-uSFoipiBz0SDhxiTs4KvmK4CZSXsauC-8M7HylxU2Pk" TargetMode="External"/><Relationship Id="rId97" Type="http://schemas.openxmlformats.org/officeDocument/2006/relationships/hyperlink" Target="https://prod-cdn-07.storenvy.com/product_photos/74369319/file_2f98e1e112_original.jpg" TargetMode="External"/><Relationship Id="rId96" Type="http://schemas.openxmlformats.org/officeDocument/2006/relationships/hyperlink" Target="https://c4.wallpaperflare.com/wallpaper/207/631/680/fantasy-art-skull-planet-dirt-road-wallpaper-preview.jpg" TargetMode="External"/><Relationship Id="rId99" Type="http://schemas.openxmlformats.org/officeDocument/2006/relationships/hyperlink" Target="https://i.pinimg.com/236x/64/f5/08/64f5089aafb59bb8a41a586e38c4dc96.jpg" TargetMode="External"/><Relationship Id="rId98" Type="http://schemas.openxmlformats.org/officeDocument/2006/relationships/hyperlink" Target="https://i.pinimg.com/originals/43/43/74/434374486a019c2d8ba70b2bdaea33fa.jpg" TargetMode="External"/><Relationship Id="rId91" Type="http://schemas.openxmlformats.org/officeDocument/2006/relationships/hyperlink" Target="https://rare-gallery.com/uploads/posts/1080747-fantasy-art-dragon-mythology-flame-screenshot-computer-wallpaper.jpg" TargetMode="External"/><Relationship Id="rId90" Type="http://schemas.openxmlformats.org/officeDocument/2006/relationships/hyperlink" Target="https://encrypted-tbn0.gstatic.com/images?q=tbn:ANd9GcS7jjo4Lr8TIji22A2Ks90YaQlSLB07BDqP3l_y-EyT4BR5D_0p" TargetMode="External"/><Relationship Id="rId93" Type="http://schemas.openxmlformats.org/officeDocument/2006/relationships/hyperlink" Target="https://lh3.googleusercontent.com/UW2_aUWrb0JcyHXSVVTvlzo_CDJZieqHVr_5bYl9m7gQ9jcPmaeyVozykRRsirSCtJrc8kWUgFwls2WN-0jbqZIIXomj957NfEmqH6efsQ" TargetMode="External"/><Relationship Id="rId92" Type="http://schemas.openxmlformats.org/officeDocument/2006/relationships/hyperlink" Target="https://encrypted-tbn1.gstatic.com/images?q=tbn:ANd9GcRmkhrVSE0ndC7wq1Est2dcvcxtEk5kFZPgC7maSuLm5yLX4fC1" TargetMode="External"/><Relationship Id="rId118" Type="http://schemas.openxmlformats.org/officeDocument/2006/relationships/hyperlink" Target="https://encrypted-tbn3.gstatic.com/images?q=tbn:ANd9GcRAKoAaDlOjoY3Cz52HGIn_UFpa5Uvi7ZjnnhxaIgH-zdXIgJhZ" TargetMode="External"/><Relationship Id="rId239" Type="http://schemas.openxmlformats.org/officeDocument/2006/relationships/hyperlink" Target="https://i.pinimg.com/originals/b8/58/0f/b8580f986f78c3394c2544b8ef19f795.jpg" TargetMode="External"/><Relationship Id="rId117" Type="http://schemas.openxmlformats.org/officeDocument/2006/relationships/hyperlink" Target="https://cdnb.artstation.com/p/assets/images/images/026/424/619/large/peter-lee-w4rebirth-of-ragnaros03.jpg?1588749009" TargetMode="External"/><Relationship Id="rId238" Type="http://schemas.openxmlformats.org/officeDocument/2006/relationships/hyperlink" Target="https://cdna.artstation.com/p/assets/images/images/014/122/308/large/todd-ulrich-turkeyhydra.jpg?1542575910" TargetMode="External"/><Relationship Id="rId359" Type="http://schemas.openxmlformats.org/officeDocument/2006/relationships/hyperlink" Target="https://static.wikia.nocookie.net/vampirehunterd/images/5/53/RED_FIRE_BREATHING_FIRE_DRAGON_KNIGHT_BATTLE_CASTLE_AGE_HEART_GAME_CONCEPT_ART_1_2_II_BY_KEKAI_3.jpg/revision/latest/scale-to-width-down/1195" TargetMode="External"/><Relationship Id="rId116" Type="http://schemas.openxmlformats.org/officeDocument/2006/relationships/hyperlink" Target="https://t1.gstatic.com/images?q=tbn:ANd9GcSwiYLwxXUP_uDUBWCS49M_ddK7cnjqQGjbr78gRLHoLkLLsix9" TargetMode="External"/><Relationship Id="rId237" Type="http://schemas.openxmlformats.org/officeDocument/2006/relationships/hyperlink" Target="https://i.pinimg.com/736x/7f/60/ff/7f60ff579e6e3e13e99a29ed4ec562a2--warhammer-fantasy-dark-fantasy.jpg" TargetMode="External"/><Relationship Id="rId358" Type="http://schemas.openxmlformats.org/officeDocument/2006/relationships/hyperlink" Target="https://www.originalmagicart.store/cdn/shop/products/Swanland_UginSpiritDragon_Print_5000x.jpg?v=1603674292" TargetMode="External"/><Relationship Id="rId115" Type="http://schemas.openxmlformats.org/officeDocument/2006/relationships/hyperlink" Target="https://i.pinimg.com/736x/e2/bb/03/e2bb030be6ae3f5bb2530990754b2f12--fantasy-kreaturen-fantasy-monster.jpg" TargetMode="External"/><Relationship Id="rId236" Type="http://schemas.openxmlformats.org/officeDocument/2006/relationships/hyperlink" Target="https://i.pinimg.com/1200x/bb/3b/2b/bb3b2b058519d9a38044e2d768c53f93.jpg" TargetMode="External"/><Relationship Id="rId357" Type="http://schemas.openxmlformats.org/officeDocument/2006/relationships/hyperlink" Target="https://static.wikia.nocookie.net/charm-of-soul-pets-cosp/images/1/1a/C2tu6z8kg4s51.jpg/revision/latest?cb=20210512170831" TargetMode="External"/><Relationship Id="rId119" Type="http://schemas.openxmlformats.org/officeDocument/2006/relationships/hyperlink" Target="https://encrypted-tbn1.gstatic.com/images?q=tbn:ANd9GcRy5XnZq6gmTJ9FANa8tQds4JY04Zj1yDDqkBCeEskkm4sZ5bhb" TargetMode="External"/><Relationship Id="rId110" Type="http://schemas.openxmlformats.org/officeDocument/2006/relationships/hyperlink" Target="https://i.pinimg.com/originals/8e/3f/d0/8e3fd06c588c0106dab622da9e62b46c.jpg" TargetMode="External"/><Relationship Id="rId231" Type="http://schemas.openxmlformats.org/officeDocument/2006/relationships/hyperlink" Target="https://cdn.domestika.org/c_limit,dpr_1.0,f_auto,q_80,w_610/v1518621781/content-items/002/256/914/16.francisco-martin-mocaran-ilustracion-original.jpg?1518621781" TargetMode="External"/><Relationship Id="rId352" Type="http://schemas.openxmlformats.org/officeDocument/2006/relationships/hyperlink" Target="https://i.pinimg.com/originals/e8/87/c9/e887c9edf5f5f24e110e1db64f7296a5.jpg" TargetMode="External"/><Relationship Id="rId230" Type="http://schemas.openxmlformats.org/officeDocument/2006/relationships/hyperlink" Target="https://cdn.wallpapersafari.com/38/25/W0jrZb.jpg" TargetMode="External"/><Relationship Id="rId351" Type="http://schemas.openxmlformats.org/officeDocument/2006/relationships/hyperlink" Target="https://i.pinimg.com/originals/c1/8e/1a/c18e1a06b0d67090e3e0c20a445952a3.jpg" TargetMode="External"/><Relationship Id="rId350" Type="http://schemas.openxmlformats.org/officeDocument/2006/relationships/hyperlink" Target="https://i.redd.it/vl2ec0kys2u51.jpg" TargetMode="External"/><Relationship Id="rId114" Type="http://schemas.openxmlformats.org/officeDocument/2006/relationships/hyperlink" Target="https://assets-global.website-files.com/632ac1a36830f75c7e5b16f0/64f1ff3a411912d5954ec1cf_4Ig1PT-jbiEEv_s03CcE0lhH_D8YiHQ7J_NDcMtJW-g.webp" TargetMode="External"/><Relationship Id="rId235" Type="http://schemas.openxmlformats.org/officeDocument/2006/relationships/hyperlink" Target="https://encrypted-tbn1.gstatic.com/images?q=tbn:ANd9GcSpobaTNlV5KtLFrfD_PVSK_B_NQ1fQImZIjoz3zGeXaUn8Msdw" TargetMode="External"/><Relationship Id="rId356" Type="http://schemas.openxmlformats.org/officeDocument/2006/relationships/hyperlink" Target="https://images.squarespace-cdn.com/content/v1/56f56ea1ecb9287a7016b02f/1559934511718-3A3CVPZW18J1BHHM72RB/king+of+Winter.jpg?format=500w" TargetMode="External"/><Relationship Id="rId113" Type="http://schemas.openxmlformats.org/officeDocument/2006/relationships/hyperlink" Target="https://imagedelivery.net/9sCnq8t6WEGNay0RAQNdvQ/UUID-cl90hmdeh2275209tqyi5xv5rdl/public" TargetMode="External"/><Relationship Id="rId234" Type="http://schemas.openxmlformats.org/officeDocument/2006/relationships/hyperlink" Target="https://i.pinimg.com/736x/fd/6a/8f/fd6a8fcd5238c4d8448b11ecf0f04617--fantasy-creatures-mythical-creatures.jpg" TargetMode="External"/><Relationship Id="rId355" Type="http://schemas.openxmlformats.org/officeDocument/2006/relationships/hyperlink" Target="https://prod-cdn-07.storenvy.com/product_photos/74369319/file_2f98e1e112_original.jpg" TargetMode="External"/><Relationship Id="rId112" Type="http://schemas.openxmlformats.org/officeDocument/2006/relationships/hyperlink" Target="https://i.pinimg.com/originals/c9/43/55/c94355ff752085af5bcb05038ff3aae3.jpg" TargetMode="External"/><Relationship Id="rId233" Type="http://schemas.openxmlformats.org/officeDocument/2006/relationships/hyperlink" Target="https://images-wixmp-ed30a86b8c4ca887773594c2.wixmp.com/f/31ceaf1a-99f3-4df5-8194-e978d9f836fe/dfw9omx-6c666bc0-2f8a-4130-bd53-0602b795b879.jpg/v1/fill/w_1280,h_1603,q_75,strp/a_hooded_dark_angel_by_tyhjus_dfw9omx-fullview.jpg?token=eyJ0eXAiOiJKV1QiLCJhbGciOiJIUzI1NiJ9.eyJzdWIiOiJ1cm46YXBwOjdlMGQxODg5ODIyNjQzNzNhNWYwZDQxNWVhMGQyNmUwIiwiaXNzIjoidXJuOmFwcDo3ZTBkMTg4OTgyMjY0MzczYTVmMGQ0MTVlYTBkMjZlMCIsIm9iaiI6W1t7ImhlaWdodCI6Ijw9MTYwMyIsInBhdGgiOiJcL2ZcLzMxY2VhZjFhLTk5ZjMtNGRmNS04MTk0LWU5NzhkOWY4MzZmZVwvZGZ3OW9teC02YzY2NmJjMC0yZjhhLTQxMzAtYmQ1My0wNjAyYjc5NWI4NzkuanBnIiwid2lkdGgiOiI8PTEyODAifV1dLCJhdWQiOlsidXJuOnNlcnZpY2U6aW1hZ2Uub3BlcmF0aW9ucyJdfQ.nweIeY-RqwVW3fXpirFwU4L50V6GibW95ByC8F3hN84" TargetMode="External"/><Relationship Id="rId354" Type="http://schemas.openxmlformats.org/officeDocument/2006/relationships/hyperlink" Target="https://www.wallpaperup.com/uploads/wallpapers/2015/03/30/649871/c57c9388e263a93f386c1242f7f289ad-700.jpg" TargetMode="External"/><Relationship Id="rId111" Type="http://schemas.openxmlformats.org/officeDocument/2006/relationships/hyperlink" Target="https://imagedelivery.net/9sCnq8t6WEGNay0RAQNdvQ/UUID-cl9i62h4h3847q0ovfu9k5k7s/public" TargetMode="External"/><Relationship Id="rId232" Type="http://schemas.openxmlformats.org/officeDocument/2006/relationships/hyperlink" Target="https://i.pinimg.com/236x/9d/0f/0d/9d0f0ddef6ccbb848cabe33b1846f5df.jpg" TargetMode="External"/><Relationship Id="rId353" Type="http://schemas.openxmlformats.org/officeDocument/2006/relationships/hyperlink" Target="https://w0.peakpx.com/wallpaper/495/31/HD-wallpaper-dragon-art-fantasy-wings-dark-black-blue.jpg" TargetMode="External"/><Relationship Id="rId305" Type="http://schemas.openxmlformats.org/officeDocument/2006/relationships/hyperlink" Target="https://i.pinimg.com/474x/73/1d/41/731d41d0d8e667bcd892067f8dd905b9.jpg" TargetMode="External"/><Relationship Id="rId304" Type="http://schemas.openxmlformats.org/officeDocument/2006/relationships/hyperlink" Target="https://i.pinimg.com/474x/02/f5/df/02f5df7b21b2d0c5a6f1d575e6ed22f2.jpg" TargetMode="External"/><Relationship Id="rId303" Type="http://schemas.openxmlformats.org/officeDocument/2006/relationships/hyperlink" Target="https://i.pinimg.com/474x/c7/72/d0/c772d0ef098d4ba2fe2239568d147661.jpg" TargetMode="External"/><Relationship Id="rId302" Type="http://schemas.openxmlformats.org/officeDocument/2006/relationships/hyperlink" Target="https://i.pinimg.com/474x/b2/71/d0/b271d040b37496691d55ec2e506d9d58.jpg" TargetMode="External"/><Relationship Id="rId309" Type="http://schemas.openxmlformats.org/officeDocument/2006/relationships/hyperlink" Target="https://cdn.openart.ai/stable_diffusion/688694b323b1c707632346f478810280e647a568_2000x2000.webp" TargetMode="External"/><Relationship Id="rId308" Type="http://schemas.openxmlformats.org/officeDocument/2006/relationships/hyperlink" Target="https://i.pinimg.com/474x/74/44/64/744464c1596225a4d1e43d0065255a04.jpg" TargetMode="External"/><Relationship Id="rId307" Type="http://schemas.openxmlformats.org/officeDocument/2006/relationships/hyperlink" Target="https://i.pinimg.com/474x/76/d3/c7/76d3c785f4a94ae72cb28c02bbb8e942.jpg" TargetMode="External"/><Relationship Id="rId306" Type="http://schemas.openxmlformats.org/officeDocument/2006/relationships/hyperlink" Target="https://i.pinimg.com/474x/76/d3/c7/76d3c785f4a94ae72cb28c02bbb8e942.jpg" TargetMode="External"/><Relationship Id="rId301" Type="http://schemas.openxmlformats.org/officeDocument/2006/relationships/hyperlink" Target="https://i.pinimg.com/474x/5f/54/48/5f544872955490c434d50e85c990568c.jpg" TargetMode="External"/><Relationship Id="rId300" Type="http://schemas.openxmlformats.org/officeDocument/2006/relationships/hyperlink" Target="https://i.pinimg.com/474x/72/91/b1/7291b1e19ece5715438544cbcfe6f43f.jpg" TargetMode="External"/><Relationship Id="rId411" Type="http://schemas.openxmlformats.org/officeDocument/2006/relationships/drawing" Target="../drawings/drawing16.xml"/><Relationship Id="rId410" Type="http://schemas.openxmlformats.org/officeDocument/2006/relationships/hyperlink" Target="https://cdna.artstation.com/p/assets/images/images/002/602/996/large/eric-hu-sand-worms.jpg?1463535906" TargetMode="External"/><Relationship Id="rId206" Type="http://schemas.openxmlformats.org/officeDocument/2006/relationships/hyperlink" Target="https://static.wikia.nocookie.net/turok/images/0/01/Sabertooth.jpg/revision/latest?cb=20120511065302" TargetMode="External"/><Relationship Id="rId327" Type="http://schemas.openxmlformats.org/officeDocument/2006/relationships/hyperlink" Target="https://i.pinimg.com/550x/cf/db/25/cfdb2526584acfac3fd8307ac842613b.jpg" TargetMode="External"/><Relationship Id="rId205" Type="http://schemas.openxmlformats.org/officeDocument/2006/relationships/hyperlink" Target="https://i.pinimg.com/474x/35/1e/b6/351eb6ae3d59fbc7b3a2b177fb814e22.jpg" TargetMode="External"/><Relationship Id="rId326" Type="http://schemas.openxmlformats.org/officeDocument/2006/relationships/hyperlink" Target="https://i.pinimg.com/236x/26/cc/0c/26cc0c8c77c2eb4894cb407440ec7037.jpg" TargetMode="External"/><Relationship Id="rId204" Type="http://schemas.openxmlformats.org/officeDocument/2006/relationships/hyperlink" Target="https://cache.desktopnexus.com/thumbseg/2532/2532791-bigthumbnail.jpg" TargetMode="External"/><Relationship Id="rId325" Type="http://schemas.openxmlformats.org/officeDocument/2006/relationships/hyperlink" Target="https://i.pinimg.com/236x/d7/16/1e/d7161ed9ad08fd2b175352e03f7666e4.jpg" TargetMode="External"/><Relationship Id="rId203" Type="http://schemas.openxmlformats.org/officeDocument/2006/relationships/hyperlink" Target="https://www.google.com/url?q=https://i.pinimg.com/originals/8f/67/30/8f67307feeef96bce5a62f7b847b02ad.jpg&amp;sa=D&amp;source=editors&amp;ust=1685916875836694&amp;usg=AOvVaw3HYOaz0wS0Jnigshga2IsA" TargetMode="External"/><Relationship Id="rId324" Type="http://schemas.openxmlformats.org/officeDocument/2006/relationships/hyperlink" Target="https://encrypted-tbn0.gstatic.com/images?q=tbn:ANd9GcTbi6q-R0jDPerz4unQ5719xdv-tdiGPl0g9g&amp;usqp=CAU" TargetMode="External"/><Relationship Id="rId209" Type="http://schemas.openxmlformats.org/officeDocument/2006/relationships/hyperlink" Target="https://i.pinimg.com/474x/b5/2d/a8/b52da8116dbf43d3a8719952e491f7f6.jpg" TargetMode="External"/><Relationship Id="rId208" Type="http://schemas.openxmlformats.org/officeDocument/2006/relationships/hyperlink" Target="https://www.google.com/url?q=https://i.redd.it/z78abirorck51.jpg&amp;sa=D&amp;source=editors&amp;ust=1685916875836330&amp;usg=AOvVaw2Lt9WS6cJm5XLZVU8K5m25" TargetMode="External"/><Relationship Id="rId329" Type="http://schemas.openxmlformats.org/officeDocument/2006/relationships/hyperlink" Target="https://storage.googleapis.com/pai-images/6df90f17551c43d4810dd4ae7a5eb831.jpeg" TargetMode="External"/><Relationship Id="rId207" Type="http://schemas.openxmlformats.org/officeDocument/2006/relationships/hyperlink" Target="https://coolvibe.com/wp-content/uploads/2013/04/Sci-fi-Art-A.J.-Trahan-Sandworms.jpg" TargetMode="External"/><Relationship Id="rId328" Type="http://schemas.openxmlformats.org/officeDocument/2006/relationships/hyperlink" Target="https://i.pinimg.com/236x/b3/44/8c/b3448c43e89ad1f9c217cc75296e01f2.jpg" TargetMode="External"/><Relationship Id="rId202" Type="http://schemas.openxmlformats.org/officeDocument/2006/relationships/hyperlink" Target="https://i.pinimg.com/236x/ae/44/c7/ae44c7c0685eb01c0f5f54c956228790--dominique-dose.jpg" TargetMode="External"/><Relationship Id="rId323" Type="http://schemas.openxmlformats.org/officeDocument/2006/relationships/hyperlink" Target="https://static.wikia.nocookie.net/superhuman-characters-and-their-powers/images/7/7e/Physis.jpg/revision/latest?cb=20200426034627" TargetMode="External"/><Relationship Id="rId201" Type="http://schemas.openxmlformats.org/officeDocument/2006/relationships/hyperlink" Target="https://rare-gallery.com/uploads/posts/1202012-Halloween-holiday-Jack-O039-Lantern-pumpkin-artwork.jpg" TargetMode="External"/><Relationship Id="rId322" Type="http://schemas.openxmlformats.org/officeDocument/2006/relationships/hyperlink" Target="https://upload.wikimedia.org/wikipedia/commons/thumb/c/c8/Vanad.png/330px-Vanad.png" TargetMode="External"/><Relationship Id="rId200" Type="http://schemas.openxmlformats.org/officeDocument/2006/relationships/hyperlink" Target="https://images-wixmp-ed30a86b8c4ca887773594c2.wixmp.com/f/915f8f81-0ae6-4fa4-809b-e7f9c7062231/d9f00dh-2781fefe-0a6c-43c8-b0e6-9b4ea9601ed1.jpg/v1/fill/w_946,h_844,q_70,strp/possessed_pumpkin_by_dante_cg_d9f00dh-pre.jpg?token=eyJ0eXAiOiJKV1QiLCJhbGciOiJIUzI1NiJ9.eyJzdWIiOiJ1cm46YXBwOjdlMGQxODg5ODIyNjQzNzNhNWYwZDQxNWVhMGQyNmUwIiwiaXNzIjoidXJuOmFwcDo3ZTBkMTg4OTgyMjY0MzczYTVmMGQ0MTVlYTBkMjZlMCIsIm9iaiI6W1t7ImhlaWdodCI6Ijw9MTE0MiIsInBhdGgiOiJcL2ZcLzkxNWY4ZjgxLTBhZTYtNGZhNC04MDliLWU3ZjljNzA2MjIzMVwvZDlmMDBkaC0yNzgxZmVmZS0wYTZjLTQzYzgtYjBlNi05YjRlYTk2MDFlZDEuanBnIiwid2lkdGgiOiI8PTEyODAifV1dLCJhdWQiOlsidXJuOnNlcnZpY2U6aW1hZ2Uub3BlcmF0aW9ucyJdfQ.Ezj8QJcdSKmxLm8RjKzxr-XBnvl7ZsQnSMbkfh4ql0k" TargetMode="External"/><Relationship Id="rId321" Type="http://schemas.openxmlformats.org/officeDocument/2006/relationships/hyperlink" Target="https://cdn.pixabay.com/photo/2022/12/28/17/45/hephaestus-7683486_1280.jpg" TargetMode="External"/><Relationship Id="rId320" Type="http://schemas.openxmlformats.org/officeDocument/2006/relationships/hyperlink" Target="https://i.redd.it/sbfm7okwu8241.jpg" TargetMode="External"/><Relationship Id="rId316" Type="http://schemas.openxmlformats.org/officeDocument/2006/relationships/hyperlink" Target="https://cdnb.artstation.com/p/assets/images/images/015/107/375/large/denis-loebner-firewitch.jpg?1547076578" TargetMode="External"/><Relationship Id="rId315" Type="http://schemas.openxmlformats.org/officeDocument/2006/relationships/hyperlink" Target="https://cdnb.artstation.com/p/assets/images/images/004/795/089/large/miyoung-kim-volcano-02s.jpg?1486332907" TargetMode="External"/><Relationship Id="rId314" Type="http://schemas.openxmlformats.org/officeDocument/2006/relationships/hyperlink" Target="https://cdna.artstation.com/p/assets/images/images/010/372/590/4k/shan-qiao-polished001.jpg?1524074474" TargetMode="External"/><Relationship Id="rId313" Type="http://schemas.openxmlformats.org/officeDocument/2006/relationships/hyperlink" Target="https://static.wikia.nocookie.net/nanatsu-no-taizai-fanon/images/0/06/3a04512566fbd254087c1cba017371cd.jpg/revision/latest?cb=20200708070101" TargetMode="External"/><Relationship Id="rId319" Type="http://schemas.openxmlformats.org/officeDocument/2006/relationships/hyperlink" Target="https://i.pinimg.com/236x/0a/22/72/0a2272b7483aba31469e3544335eb989.jpg" TargetMode="External"/><Relationship Id="rId318" Type="http://schemas.openxmlformats.org/officeDocument/2006/relationships/hyperlink" Target="https://encrypted-tbn0.gstatic.com/images?q=tbn:ANd9GcT66UJcEZOFZTg4xNxzlZ5TCHOfrfvTGoGINg&amp;usqp=CAU" TargetMode="External"/><Relationship Id="rId317" Type="http://schemas.openxmlformats.org/officeDocument/2006/relationships/hyperlink" Target="https://images-wixmp-ed30a86b8c4ca887773594c2.wixmp.com/f/998dc8bf-a8a7-4f74-9539-a37a40673004/d6s4jp4-52c529ea-8890-4200-a294-8faf71a7d89a.jpg/v1/fit/w_828,h_1102,q_70,strp/cronos_by_darenhorley_d6s4jp4-414w-2x.jpg?token=eyJ0eXAiOiJKV1QiLCJhbGciOiJIUzI1NiJ9.eyJzdWIiOiJ1cm46YXBwOjdlMGQxODg5ODIyNjQzNzNhNWYwZDQxNWVhMGQyNmUwIiwiaXNzIjoidXJuOmFwcDo3ZTBkMTg4OTgyMjY0MzczYTVmMGQ0MTVlYTBkMjZlMCIsIm9iaiI6W1t7ImhlaWdodCI6Ijw9MTE1NCIsInBhdGgiOiJcL2ZcLzk5OGRjOGJmLWE4YTctNGY3NC05NTM5LWEzN2E0MDY3MzAwNFwvZDZzNGpwNC01MmM1MjllYS04ODkwLTQyMDAtYTI5NC04ZmFmNzFhN2Q4OWEuanBnIiwid2lkdGgiOiI8PTg2NyJ9XV0sImF1ZCI6WyJ1cm46c2VydmljZTppbWFnZS5vcGVyYXRpb25zIl19.VP2cUN1z9O_ewFC0NdKzCWpVa5Q4CZQ8Fgvdb8KjOZc" TargetMode="External"/><Relationship Id="rId312" Type="http://schemas.openxmlformats.org/officeDocument/2006/relationships/hyperlink" Target="https://t3.ftcdn.net/jpg/05/76/50/64/360_F_576506478_ubv2s3QyI67WMaGL3pNVRJEasElwqaiM.jpg" TargetMode="External"/><Relationship Id="rId311" Type="http://schemas.openxmlformats.org/officeDocument/2006/relationships/hyperlink" Target="https://i.pinimg.com/1200x/f6/20/50/f62050604867e669bcebbeba4deb61d9.jpg" TargetMode="External"/><Relationship Id="rId310" Type="http://schemas.openxmlformats.org/officeDocument/2006/relationships/hyperlink" Target="https://i.pinimg.com/1200x/6e/7b/fd/6e7bfd9a0c04fcde6b485c056fd2f883.jpg"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tr">
        <f>IFERROR(__xludf.DUMMYFUNCTION("IMPORTRANGE(""https://docs.google.com/spreadsheets/d/1HXoAI5UG3zq1UHqU5n7fPdbQk93qOha2VQb1r7iRi1o"",""LootTable!A:BJ"")"),"Name")</f>
        <v>Name</v>
      </c>
      <c r="B1" s="1" t="str">
        <f>IFERROR(__xludf.DUMMYFUNCTION("""COMPUTED_VALUE"""),"Description")</f>
        <v>Description</v>
      </c>
      <c r="C1" s="1" t="str">
        <f>IFERROR(__xludf.DUMMYFUNCTION("""COMPUTED_VALUE"""),"Add manual loot entrys above the line. If you need more rows rightclick insert 1 row above")</f>
        <v>Add manual loot entrys above the line. If you need more rows rightclick insert 1 row above</v>
      </c>
      <c r="D1" s="1"/>
      <c r="E1" s="1"/>
      <c r="F1" s="1"/>
      <c r="G1" s="1"/>
      <c r="H1" s="1"/>
      <c r="I1" s="1"/>
      <c r="J1" s="1"/>
      <c r="K1" s="1"/>
      <c r="L1" s="1"/>
      <c r="M1" s="1"/>
      <c r="N1" s="1"/>
      <c r="O1" s="1"/>
      <c r="P1" s="1"/>
      <c r="Q1" s="1"/>
      <c r="R1" s="1"/>
      <c r="S1" s="1"/>
      <c r="T1" s="1"/>
      <c r="U1" s="1"/>
      <c r="V1" s="1"/>
      <c r="W1" s="1"/>
      <c r="X1" s="1"/>
      <c r="Y1" s="1"/>
      <c r="Z1" s="1"/>
    </row>
    <row r="2">
      <c r="A2" s="1" t="str">
        <f>IFERROR(__xludf.DUMMYFUNCTION("""COMPUTED_VALUE"""),"1,000G-20,000G")</f>
        <v>1,000G-20,000G</v>
      </c>
      <c r="B2" s="1" t="str">
        <f>IFERROR(__xludf.DUMMYFUNCTION("""COMPUTED_VALUE"""),"roll a d20 to determine amount")</f>
        <v>roll a d20 to determine amount</v>
      </c>
      <c r="C2" s="1"/>
      <c r="D2" s="1"/>
      <c r="E2" s="1"/>
      <c r="F2" s="1"/>
      <c r="G2" s="1"/>
      <c r="H2" s="1"/>
      <c r="I2" s="1"/>
      <c r="J2" s="1"/>
      <c r="K2" s="1"/>
      <c r="L2" s="1"/>
      <c r="M2" s="1"/>
      <c r="N2" s="1"/>
      <c r="O2" s="1"/>
      <c r="P2" s="1"/>
      <c r="Q2" s="1"/>
      <c r="R2" s="1"/>
      <c r="S2" s="1"/>
      <c r="T2" s="1"/>
      <c r="U2" s="1"/>
      <c r="V2" s="1"/>
      <c r="W2" s="1"/>
      <c r="X2" s="1"/>
      <c r="Y2" s="1"/>
      <c r="Z2" s="1"/>
    </row>
    <row r="3">
      <c r="A3" s="1" t="str">
        <f>IFERROR(__xludf.DUMMYFUNCTION("""COMPUTED_VALUE"""),"20,000G-40,000G")</f>
        <v>20,000G-40,000G</v>
      </c>
      <c r="B3" s="1" t="str">
        <f>IFERROR(__xludf.DUMMYFUNCTION("""COMPUTED_VALUE"""),"roll a d20 to determine amount")</f>
        <v>roll a d20 to determine amount</v>
      </c>
      <c r="C3" s="1"/>
      <c r="D3" s="1"/>
      <c r="E3" s="1"/>
      <c r="F3" s="1"/>
      <c r="G3" s="1"/>
      <c r="H3" s="1"/>
      <c r="I3" s="1"/>
      <c r="J3" s="1"/>
      <c r="K3" s="1"/>
      <c r="L3" s="1"/>
      <c r="M3" s="1"/>
      <c r="N3" s="1"/>
      <c r="O3" s="1"/>
      <c r="P3" s="1"/>
      <c r="Q3" s="1"/>
      <c r="R3" s="1"/>
      <c r="S3" s="1"/>
      <c r="T3" s="1"/>
      <c r="U3" s="1"/>
      <c r="V3" s="1"/>
      <c r="W3" s="1"/>
      <c r="X3" s="1"/>
      <c r="Y3" s="1"/>
      <c r="Z3" s="1"/>
    </row>
    <row r="4">
      <c r="A4" s="1" t="str">
        <f>IFERROR(__xludf.DUMMYFUNCTION("""COMPUTED_VALUE"""),"40,000G-60,000G")</f>
        <v>40,000G-60,000G</v>
      </c>
      <c r="B4" s="1" t="str">
        <f>IFERROR(__xludf.DUMMYFUNCTION("""COMPUTED_VALUE"""),"roll a d20 to determine amount")</f>
        <v>roll a d20 to determine amount</v>
      </c>
      <c r="C4" s="1"/>
      <c r="D4" s="1"/>
      <c r="E4" s="1"/>
      <c r="F4" s="1"/>
      <c r="G4" s="1"/>
      <c r="H4" s="1"/>
      <c r="I4" s="1"/>
      <c r="J4" s="1"/>
      <c r="K4" s="1"/>
      <c r="L4" s="1"/>
      <c r="M4" s="1"/>
      <c r="N4" s="1"/>
      <c r="O4" s="1"/>
      <c r="P4" s="1"/>
      <c r="Q4" s="1"/>
      <c r="R4" s="1"/>
      <c r="S4" s="1"/>
      <c r="T4" s="1"/>
      <c r="U4" s="1"/>
      <c r="V4" s="1"/>
      <c r="W4" s="1"/>
      <c r="X4" s="1"/>
      <c r="Y4" s="1"/>
      <c r="Z4" s="1"/>
    </row>
    <row r="5">
      <c r="A5" s="1" t="str">
        <f>IFERROR(__xludf.DUMMYFUNCTION("""COMPUTED_VALUE"""),"60,000G-80,000G")</f>
        <v>60,000G-80,000G</v>
      </c>
      <c r="B5" s="1" t="str">
        <f>IFERROR(__xludf.DUMMYFUNCTION("""COMPUTED_VALUE"""),"roll a d20 to determine amount")</f>
        <v>roll a d20 to determine amount</v>
      </c>
      <c r="C5" s="1"/>
      <c r="D5" s="1"/>
      <c r="E5" s="1"/>
      <c r="F5" s="1"/>
      <c r="G5" s="1"/>
      <c r="H5" s="1"/>
      <c r="I5" s="1"/>
      <c r="J5" s="1"/>
      <c r="K5" s="1"/>
      <c r="L5" s="1"/>
      <c r="M5" s="1"/>
      <c r="N5" s="1"/>
      <c r="O5" s="1"/>
      <c r="P5" s="1"/>
      <c r="Q5" s="1"/>
      <c r="R5" s="1"/>
      <c r="S5" s="1"/>
      <c r="T5" s="1"/>
      <c r="U5" s="1"/>
      <c r="V5" s="1"/>
      <c r="W5" s="1"/>
      <c r="X5" s="1"/>
      <c r="Y5" s="1"/>
      <c r="Z5" s="1"/>
    </row>
    <row r="6">
      <c r="A6" s="1" t="str">
        <f>IFERROR(__xludf.DUMMYFUNCTION("""COMPUTED_VALUE"""),"80,000G-100,000G")</f>
        <v>80,000G-100,000G</v>
      </c>
      <c r="B6" s="1" t="str">
        <f>IFERROR(__xludf.DUMMYFUNCTION("""COMPUTED_VALUE"""),"roll a d20 to determine amount")</f>
        <v>roll a d20 to determine amount</v>
      </c>
      <c r="C6" s="1"/>
      <c r="D6" s="1"/>
      <c r="E6" s="1"/>
      <c r="F6" s="1"/>
      <c r="G6" s="1"/>
      <c r="H6" s="1"/>
      <c r="I6" s="1"/>
      <c r="J6" s="1"/>
      <c r="K6" s="1"/>
      <c r="L6" s="1"/>
      <c r="M6" s="1"/>
      <c r="N6" s="1"/>
      <c r="O6" s="1"/>
      <c r="P6" s="1"/>
      <c r="Q6" s="1"/>
      <c r="R6" s="1"/>
      <c r="S6" s="1"/>
      <c r="T6" s="1"/>
      <c r="U6" s="1"/>
      <c r="V6" s="1"/>
      <c r="W6" s="1"/>
      <c r="X6" s="1"/>
      <c r="Y6" s="1"/>
      <c r="Z6" s="1"/>
    </row>
    <row r="7">
      <c r="A7" s="1" t="str">
        <f>IFERROR(__xludf.DUMMYFUNCTION("""COMPUTED_VALUE"""),"500,000G-1,000,000G")</f>
        <v>500,000G-1,000,000G</v>
      </c>
      <c r="B7" s="1" t="str">
        <f>IFERROR(__xludf.DUMMYFUNCTION("""COMPUTED_VALUE"""),"roll a d5 to determine amount")</f>
        <v>roll a d5 to determine amount</v>
      </c>
      <c r="C7" s="1"/>
      <c r="D7" s="1"/>
      <c r="E7" s="1"/>
      <c r="F7" s="1"/>
      <c r="G7" s="1"/>
      <c r="H7" s="1"/>
      <c r="I7" s="1"/>
      <c r="J7" s="1"/>
      <c r="K7" s="1"/>
      <c r="L7" s="1"/>
      <c r="M7" s="1"/>
      <c r="N7" s="1"/>
      <c r="O7" s="1"/>
      <c r="P7" s="1"/>
      <c r="Q7" s="1"/>
      <c r="R7" s="1"/>
      <c r="S7" s="1"/>
      <c r="T7" s="1"/>
      <c r="U7" s="1"/>
      <c r="V7" s="1"/>
      <c r="W7" s="1"/>
      <c r="X7" s="1"/>
      <c r="Y7" s="1"/>
      <c r="Z7" s="1"/>
    </row>
    <row r="8">
      <c r="A8" s="1" t="str">
        <f>IFERROR(__xludf.DUMMYFUNCTION("""COMPUTED_VALUE"""),"1,000,000G-20,000,000G")</f>
        <v>1,000,000G-20,000,000G</v>
      </c>
      <c r="B8" s="1" t="str">
        <f>IFERROR(__xludf.DUMMYFUNCTION("""COMPUTED_VALUE"""),"roll a d20 to determine amount")</f>
        <v>roll a d20 to determine amount</v>
      </c>
      <c r="C8" s="1"/>
      <c r="D8" s="1"/>
      <c r="E8" s="1"/>
      <c r="F8" s="1"/>
      <c r="G8" s="1"/>
      <c r="H8" s="1"/>
      <c r="I8" s="1"/>
      <c r="J8" s="1"/>
      <c r="K8" s="1"/>
      <c r="L8" s="1"/>
      <c r="M8" s="1"/>
      <c r="N8" s="1"/>
      <c r="O8" s="1"/>
      <c r="P8" s="1"/>
      <c r="Q8" s="1"/>
      <c r="R8" s="1"/>
      <c r="S8" s="1"/>
      <c r="T8" s="1"/>
      <c r="U8" s="1"/>
      <c r="V8" s="1"/>
      <c r="W8" s="1"/>
      <c r="X8" s="1"/>
      <c r="Y8" s="1"/>
      <c r="Z8" s="1"/>
    </row>
    <row r="9">
      <c r="A9" s="1" t="str">
        <f>IFERROR(__xludf.DUMMYFUNCTION("""COMPUTED_VALUE"""),"20,000,000G-40,000,000G")</f>
        <v>20,000,000G-40,000,000G</v>
      </c>
      <c r="B9" s="1" t="str">
        <f>IFERROR(__xludf.DUMMYFUNCTION("""COMPUTED_VALUE"""),"roll a d20 to determine amount")</f>
        <v>roll a d20 to determine amount</v>
      </c>
      <c r="C9" s="1"/>
      <c r="D9" s="1"/>
      <c r="E9" s="1"/>
      <c r="F9" s="1"/>
      <c r="G9" s="1"/>
      <c r="H9" s="1"/>
      <c r="I9" s="1"/>
      <c r="J9" s="1"/>
      <c r="K9" s="1"/>
      <c r="L9" s="1"/>
      <c r="M9" s="1"/>
      <c r="N9" s="1"/>
      <c r="O9" s="1"/>
      <c r="P9" s="1"/>
      <c r="Q9" s="1"/>
      <c r="R9" s="1"/>
      <c r="S9" s="1"/>
      <c r="T9" s="1"/>
      <c r="U9" s="1"/>
      <c r="V9" s="1"/>
      <c r="W9" s="1"/>
      <c r="X9" s="1"/>
      <c r="Y9" s="1"/>
      <c r="Z9" s="1"/>
    </row>
    <row r="10">
      <c r="A10" s="1" t="str">
        <f>IFERROR(__xludf.DUMMYFUNCTION("""COMPUTED_VALUE"""),"40,000,000G-60,000,000G")</f>
        <v>40,000,000G-60,000,000G</v>
      </c>
      <c r="B10" s="1" t="str">
        <f>IFERROR(__xludf.DUMMYFUNCTION("""COMPUTED_VALUE"""),"roll a d20 to determine amount")</f>
        <v>roll a d20 to determine amount</v>
      </c>
      <c r="C10" s="1"/>
      <c r="D10" s="1"/>
      <c r="E10" s="1"/>
      <c r="F10" s="1"/>
      <c r="G10" s="1"/>
      <c r="H10" s="1"/>
      <c r="I10" s="1"/>
      <c r="J10" s="1"/>
      <c r="K10" s="1"/>
      <c r="L10" s="1"/>
      <c r="M10" s="1"/>
      <c r="N10" s="1"/>
      <c r="O10" s="1"/>
      <c r="P10" s="1"/>
      <c r="Q10" s="1"/>
      <c r="R10" s="1"/>
      <c r="S10" s="1"/>
      <c r="T10" s="1"/>
      <c r="U10" s="1"/>
      <c r="V10" s="1"/>
      <c r="W10" s="1"/>
      <c r="X10" s="1"/>
      <c r="Y10" s="1"/>
      <c r="Z10" s="1"/>
    </row>
    <row r="11">
      <c r="A11" s="1" t="str">
        <f>IFERROR(__xludf.DUMMYFUNCTION("""COMPUTED_VALUE"""),"60,000,000G-80,000,000G")</f>
        <v>60,000,000G-80,000,000G</v>
      </c>
      <c r="B11" s="1" t="str">
        <f>IFERROR(__xludf.DUMMYFUNCTION("""COMPUTED_VALUE"""),"roll a d20 to determine amount")</f>
        <v>roll a d20 to determine amount</v>
      </c>
      <c r="C11" s="1"/>
      <c r="D11" s="1"/>
      <c r="E11" s="1"/>
      <c r="F11" s="1"/>
      <c r="G11" s="1"/>
      <c r="H11" s="1"/>
      <c r="I11" s="1"/>
      <c r="J11" s="1"/>
      <c r="K11" s="1"/>
      <c r="L11" s="1"/>
      <c r="M11" s="1"/>
      <c r="N11" s="1"/>
      <c r="O11" s="1"/>
      <c r="P11" s="1"/>
      <c r="Q11" s="1"/>
      <c r="R11" s="1"/>
      <c r="S11" s="1"/>
      <c r="T11" s="1"/>
      <c r="U11" s="1"/>
      <c r="V11" s="1"/>
      <c r="W11" s="1"/>
      <c r="X11" s="1"/>
      <c r="Y11" s="1"/>
      <c r="Z11" s="1"/>
    </row>
    <row r="12">
      <c r="A12" s="1" t="str">
        <f>IFERROR(__xludf.DUMMYFUNCTION("""COMPUTED_VALUE"""),"80,000,000G-100,000,000G")</f>
        <v>80,000,000G-100,000,000G</v>
      </c>
      <c r="B12" s="1" t="str">
        <f>IFERROR(__xludf.DUMMYFUNCTION("""COMPUTED_VALUE"""),"roll a d20 to determine amount")</f>
        <v>roll a d20 to determine amount</v>
      </c>
      <c r="C12" s="1"/>
      <c r="D12" s="1"/>
      <c r="E12" s="1"/>
      <c r="F12" s="1"/>
      <c r="G12" s="1"/>
      <c r="H12" s="1"/>
      <c r="I12" s="1"/>
      <c r="J12" s="1"/>
      <c r="K12" s="1"/>
      <c r="L12" s="1"/>
      <c r="M12" s="1"/>
      <c r="N12" s="1"/>
      <c r="O12" s="1"/>
      <c r="P12" s="1"/>
      <c r="Q12" s="1"/>
      <c r="R12" s="1"/>
      <c r="S12" s="1"/>
      <c r="T12" s="1"/>
      <c r="U12" s="1"/>
      <c r="V12" s="1"/>
      <c r="W12" s="1"/>
      <c r="X12" s="1"/>
      <c r="Y12" s="1"/>
      <c r="Z12" s="1"/>
    </row>
    <row r="13">
      <c r="A13" s="1" t="str">
        <f>IFERROR(__xludf.DUMMYFUNCTION("""COMPUTED_VALUE"""),"100,000,000G-500,000,000G")</f>
        <v>100,000,000G-500,000,000G</v>
      </c>
      <c r="B13" s="1" t="str">
        <f>IFERROR(__xludf.DUMMYFUNCTION("""COMPUTED_VALUE"""),"roll a d20 to determine amount")</f>
        <v>roll a d20 to determine amount</v>
      </c>
      <c r="C13" s="1"/>
      <c r="D13" s="1"/>
      <c r="E13" s="1"/>
      <c r="F13" s="1"/>
      <c r="G13" s="1"/>
      <c r="H13" s="1"/>
      <c r="I13" s="1"/>
      <c r="J13" s="1"/>
      <c r="K13" s="1"/>
      <c r="L13" s="1"/>
      <c r="M13" s="1"/>
      <c r="N13" s="1"/>
      <c r="O13" s="1"/>
      <c r="P13" s="1"/>
      <c r="Q13" s="1"/>
      <c r="R13" s="1"/>
      <c r="S13" s="1"/>
      <c r="T13" s="1"/>
      <c r="U13" s="1"/>
      <c r="V13" s="1"/>
      <c r="W13" s="1"/>
      <c r="X13" s="1"/>
      <c r="Y13" s="1"/>
      <c r="Z13" s="1"/>
    </row>
    <row r="14">
      <c r="A14" s="1" t="str">
        <f>IFERROR(__xludf.DUMMYFUNCTION("""COMPUTED_VALUE"""),"500,000,000G-1,000,000,000G")</f>
        <v>500,000,000G-1,000,000,000G</v>
      </c>
      <c r="B14" s="1" t="str">
        <f>IFERROR(__xludf.DUMMYFUNCTION("""COMPUTED_VALUE"""),"roll a d5 to determine amount")</f>
        <v>roll a d5 to determine amount</v>
      </c>
      <c r="C14" s="1"/>
      <c r="D14" s="1"/>
      <c r="E14" s="1"/>
      <c r="F14" s="1"/>
      <c r="G14" s="1"/>
      <c r="H14" s="1"/>
      <c r="I14" s="1"/>
      <c r="J14" s="1"/>
      <c r="K14" s="1"/>
      <c r="L14" s="1"/>
      <c r="M14" s="1"/>
      <c r="N14" s="1"/>
      <c r="O14" s="1"/>
      <c r="P14" s="1"/>
      <c r="Q14" s="1"/>
      <c r="R14" s="1"/>
      <c r="S14" s="1"/>
      <c r="T14" s="1"/>
      <c r="U14" s="1"/>
      <c r="V14" s="1"/>
      <c r="W14" s="1"/>
      <c r="X14" s="1"/>
      <c r="Y14" s="1"/>
      <c r="Z14" s="1"/>
    </row>
    <row r="15">
      <c r="A15" s="1" t="str">
        <f>IFERROR(__xludf.DUMMYFUNCTION("""COMPUTED_VALUE"""),"1,000UC-20,000UC")</f>
        <v>1,000UC-20,000UC</v>
      </c>
      <c r="B15" s="1" t="str">
        <f>IFERROR(__xludf.DUMMYFUNCTION("""COMPUTED_VALUE"""),"roll a d20 to determine amount")</f>
        <v>roll a d20 to determine amount</v>
      </c>
      <c r="C15" s="1"/>
      <c r="D15" s="1"/>
      <c r="E15" s="1"/>
      <c r="F15" s="1"/>
      <c r="G15" s="1"/>
      <c r="H15" s="1"/>
      <c r="I15" s="1"/>
      <c r="J15" s="1"/>
      <c r="K15" s="1"/>
      <c r="L15" s="1"/>
      <c r="M15" s="1"/>
      <c r="N15" s="1"/>
      <c r="O15" s="1"/>
      <c r="P15" s="1"/>
      <c r="Q15" s="1"/>
      <c r="R15" s="1"/>
      <c r="S15" s="1"/>
      <c r="T15" s="1"/>
      <c r="U15" s="1"/>
      <c r="V15" s="1"/>
      <c r="W15" s="1"/>
      <c r="X15" s="1"/>
      <c r="Y15" s="1"/>
      <c r="Z15" s="1"/>
    </row>
    <row r="16">
      <c r="A16" s="1" t="str">
        <f>IFERROR(__xludf.DUMMYFUNCTION("""COMPUTED_VALUE"""),"20,000UC-40,000UC")</f>
        <v>20,000UC-40,000UC</v>
      </c>
      <c r="B16" s="1" t="str">
        <f>IFERROR(__xludf.DUMMYFUNCTION("""COMPUTED_VALUE"""),"roll a d20 to determine amount")</f>
        <v>roll a d20 to determine amount</v>
      </c>
      <c r="C16" s="1"/>
      <c r="D16" s="1"/>
      <c r="E16" s="1"/>
      <c r="F16" s="1"/>
      <c r="G16" s="1"/>
      <c r="H16" s="1"/>
      <c r="I16" s="1"/>
      <c r="J16" s="1"/>
      <c r="K16" s="1"/>
      <c r="L16" s="1"/>
      <c r="M16" s="1"/>
      <c r="N16" s="1"/>
      <c r="O16" s="1"/>
      <c r="P16" s="1"/>
      <c r="Q16" s="1"/>
      <c r="R16" s="1"/>
      <c r="S16" s="1"/>
      <c r="T16" s="1"/>
      <c r="U16" s="1"/>
      <c r="V16" s="1"/>
      <c r="W16" s="1"/>
      <c r="X16" s="1"/>
      <c r="Y16" s="1"/>
      <c r="Z16" s="1"/>
    </row>
    <row r="17">
      <c r="A17" s="1" t="str">
        <f>IFERROR(__xludf.DUMMYFUNCTION("""COMPUTED_VALUE"""),"40,000UC-60,000UC")</f>
        <v>40,000UC-60,000UC</v>
      </c>
      <c r="B17" s="1" t="str">
        <f>IFERROR(__xludf.DUMMYFUNCTION("""COMPUTED_VALUE"""),"roll a d20 to determine amount")</f>
        <v>roll a d20 to determine amount</v>
      </c>
      <c r="C17" s="1"/>
      <c r="D17" s="1"/>
      <c r="E17" s="1"/>
      <c r="F17" s="1"/>
      <c r="G17" s="1"/>
      <c r="H17" s="1"/>
      <c r="I17" s="1"/>
      <c r="J17" s="1"/>
      <c r="K17" s="1"/>
      <c r="L17" s="1"/>
      <c r="M17" s="1"/>
      <c r="N17" s="1"/>
      <c r="O17" s="1"/>
      <c r="P17" s="1"/>
      <c r="Q17" s="1"/>
      <c r="R17" s="1"/>
      <c r="S17" s="1"/>
      <c r="T17" s="1"/>
      <c r="U17" s="1"/>
      <c r="V17" s="1"/>
      <c r="W17" s="1"/>
      <c r="X17" s="1"/>
      <c r="Y17" s="1"/>
      <c r="Z17" s="1"/>
    </row>
    <row r="18">
      <c r="A18" s="1" t="str">
        <f>IFERROR(__xludf.DUMMYFUNCTION("""COMPUTED_VALUE"""),"60,000UC-80,000UC")</f>
        <v>60,000UC-80,000UC</v>
      </c>
      <c r="B18" s="1" t="str">
        <f>IFERROR(__xludf.DUMMYFUNCTION("""COMPUTED_VALUE"""),"roll a d20 to determine amount")</f>
        <v>roll a d20 to determine amount</v>
      </c>
      <c r="C18" s="1"/>
      <c r="D18" s="1"/>
      <c r="E18" s="1"/>
      <c r="F18" s="1"/>
      <c r="G18" s="1"/>
      <c r="H18" s="1"/>
      <c r="I18" s="1"/>
      <c r="J18" s="1"/>
      <c r="K18" s="1"/>
      <c r="L18" s="1"/>
      <c r="M18" s="1"/>
      <c r="N18" s="1"/>
      <c r="O18" s="1"/>
      <c r="P18" s="1"/>
      <c r="Q18" s="1"/>
      <c r="R18" s="1"/>
      <c r="S18" s="1"/>
      <c r="T18" s="1"/>
      <c r="U18" s="1"/>
      <c r="V18" s="1"/>
      <c r="W18" s="1"/>
      <c r="X18" s="1"/>
      <c r="Y18" s="1"/>
      <c r="Z18" s="1"/>
    </row>
    <row r="19">
      <c r="A19" s="1" t="str">
        <f>IFERROR(__xludf.DUMMYFUNCTION("""COMPUTED_VALUE"""),"80,000G-100,000UC")</f>
        <v>80,000G-100,000UC</v>
      </c>
      <c r="B19" s="1" t="str">
        <f>IFERROR(__xludf.DUMMYFUNCTION("""COMPUTED_VALUE"""),"roll a d20 to determine amount")</f>
        <v>roll a d20 to determine amount</v>
      </c>
      <c r="C19" s="1"/>
      <c r="D19" s="1"/>
      <c r="E19" s="1"/>
      <c r="F19" s="1"/>
      <c r="G19" s="1"/>
      <c r="H19" s="1"/>
      <c r="I19" s="1"/>
      <c r="J19" s="1"/>
      <c r="K19" s="1"/>
      <c r="L19" s="1"/>
      <c r="M19" s="1"/>
      <c r="N19" s="1"/>
      <c r="O19" s="1"/>
      <c r="P19" s="1"/>
      <c r="Q19" s="1"/>
      <c r="R19" s="1"/>
      <c r="S19" s="1"/>
      <c r="T19" s="1"/>
      <c r="U19" s="1"/>
      <c r="V19" s="1"/>
      <c r="W19" s="1"/>
      <c r="X19" s="1"/>
      <c r="Y19" s="1"/>
      <c r="Z19" s="1"/>
    </row>
    <row r="20">
      <c r="A20" s="1" t="str">
        <f>IFERROR(__xludf.DUMMYFUNCTION("""COMPUTED_VALUE"""),"500,000G-1,000,000UC")</f>
        <v>500,000G-1,000,000UC</v>
      </c>
      <c r="B20" s="1" t="str">
        <f>IFERROR(__xludf.DUMMYFUNCTION("""COMPUTED_VALUE"""),"roll a d6 to determine amount")</f>
        <v>roll a d6 to determine amount</v>
      </c>
      <c r="C20" s="1"/>
      <c r="D20" s="1"/>
      <c r="E20" s="1"/>
      <c r="F20" s="1"/>
      <c r="G20" s="1"/>
      <c r="H20" s="1"/>
      <c r="I20" s="1"/>
      <c r="J20" s="1"/>
      <c r="K20" s="1"/>
      <c r="L20" s="1"/>
      <c r="M20" s="1"/>
      <c r="N20" s="1"/>
      <c r="O20" s="1"/>
      <c r="P20" s="1"/>
      <c r="Q20" s="1"/>
      <c r="R20" s="1"/>
      <c r="S20" s="1"/>
      <c r="T20" s="1"/>
      <c r="U20" s="1"/>
      <c r="V20" s="1"/>
      <c r="W20" s="1"/>
      <c r="X20" s="1"/>
      <c r="Y20" s="1"/>
      <c r="Z20" s="1"/>
    </row>
    <row r="21">
      <c r="A21" s="1" t="str">
        <f>IFERROR(__xludf.DUMMYFUNCTION("""COMPUTED_VALUE"""),"1,000,000UC-20,000,000UC")</f>
        <v>1,000,000UC-20,000,000UC</v>
      </c>
      <c r="B21" s="1" t="str">
        <f>IFERROR(__xludf.DUMMYFUNCTION("""COMPUTED_VALUE"""),"roll a d20 to determine amount")</f>
        <v>roll a d20 to determine amount</v>
      </c>
      <c r="C21" s="1"/>
      <c r="D21" s="1"/>
      <c r="E21" s="1"/>
      <c r="F21" s="1"/>
      <c r="G21" s="1"/>
      <c r="H21" s="1"/>
      <c r="I21" s="1"/>
      <c r="J21" s="1"/>
      <c r="K21" s="1"/>
      <c r="L21" s="1"/>
      <c r="M21" s="1"/>
      <c r="N21" s="1"/>
      <c r="O21" s="1"/>
      <c r="P21" s="1"/>
      <c r="Q21" s="1"/>
      <c r="R21" s="1"/>
      <c r="S21" s="1"/>
      <c r="T21" s="1"/>
      <c r="U21" s="1"/>
      <c r="V21" s="1"/>
      <c r="W21" s="1"/>
      <c r="X21" s="1"/>
      <c r="Y21" s="1"/>
      <c r="Z21" s="1"/>
    </row>
    <row r="22">
      <c r="A22" s="1" t="str">
        <f>IFERROR(__xludf.DUMMYFUNCTION("""COMPUTED_VALUE"""),"20,000,000UC-40,000,000UC")</f>
        <v>20,000,000UC-40,000,000UC</v>
      </c>
      <c r="B22" s="1" t="str">
        <f>IFERROR(__xludf.DUMMYFUNCTION("""COMPUTED_VALUE"""),"roll a d20 to determine amount")</f>
        <v>roll a d20 to determine amount</v>
      </c>
      <c r="C22" s="1"/>
      <c r="D22" s="1"/>
      <c r="E22" s="1"/>
      <c r="F22" s="1"/>
      <c r="G22" s="1"/>
      <c r="H22" s="1"/>
      <c r="I22" s="1"/>
      <c r="J22" s="1"/>
      <c r="K22" s="1"/>
      <c r="L22" s="1"/>
      <c r="M22" s="1"/>
      <c r="N22" s="1"/>
      <c r="O22" s="1"/>
      <c r="P22" s="1"/>
      <c r="Q22" s="1"/>
      <c r="R22" s="1"/>
      <c r="S22" s="1"/>
      <c r="T22" s="1"/>
      <c r="U22" s="1"/>
      <c r="V22" s="1"/>
      <c r="W22" s="1"/>
      <c r="X22" s="1"/>
      <c r="Y22" s="1"/>
      <c r="Z22" s="1"/>
    </row>
    <row r="23">
      <c r="A23" s="1" t="str">
        <f>IFERROR(__xludf.DUMMYFUNCTION("""COMPUTED_VALUE"""),"40,000,000UC-60,000,000UC")</f>
        <v>40,000,000UC-60,000,000UC</v>
      </c>
      <c r="B23" s="1" t="str">
        <f>IFERROR(__xludf.DUMMYFUNCTION("""COMPUTED_VALUE"""),"roll a d20 to determine amount")</f>
        <v>roll a d20 to determine amount</v>
      </c>
      <c r="C23" s="1"/>
      <c r="D23" s="1"/>
      <c r="E23" s="1"/>
      <c r="F23" s="1"/>
      <c r="G23" s="1"/>
      <c r="H23" s="1"/>
      <c r="I23" s="1"/>
      <c r="J23" s="1"/>
      <c r="K23" s="1"/>
      <c r="L23" s="1"/>
      <c r="M23" s="1"/>
      <c r="N23" s="1"/>
      <c r="O23" s="1"/>
      <c r="P23" s="1"/>
      <c r="Q23" s="1"/>
      <c r="R23" s="1"/>
      <c r="S23" s="1"/>
      <c r="T23" s="1"/>
      <c r="U23" s="1"/>
      <c r="V23" s="1"/>
      <c r="W23" s="1"/>
      <c r="X23" s="1"/>
      <c r="Y23" s="1"/>
      <c r="Z23" s="1"/>
    </row>
    <row r="24">
      <c r="A24" s="1" t="str">
        <f>IFERROR(__xludf.DUMMYFUNCTION("""COMPUTED_VALUE"""),"60,000,000UC-80,000,000UC")</f>
        <v>60,000,000UC-80,000,000UC</v>
      </c>
      <c r="B24" s="1" t="str">
        <f>IFERROR(__xludf.DUMMYFUNCTION("""COMPUTED_VALUE"""),"roll a d20 to determine amount")</f>
        <v>roll a d20 to determine amount</v>
      </c>
      <c r="C24" s="1"/>
      <c r="D24" s="1"/>
      <c r="E24" s="1"/>
      <c r="F24" s="1"/>
      <c r="G24" s="1"/>
      <c r="H24" s="1"/>
      <c r="I24" s="1"/>
      <c r="J24" s="1"/>
      <c r="K24" s="1"/>
      <c r="L24" s="1"/>
      <c r="M24" s="1"/>
      <c r="N24" s="1"/>
      <c r="O24" s="1"/>
      <c r="P24" s="1"/>
      <c r="Q24" s="1"/>
      <c r="R24" s="1"/>
      <c r="S24" s="1"/>
      <c r="T24" s="1"/>
      <c r="U24" s="1"/>
      <c r="V24" s="1"/>
      <c r="W24" s="1"/>
      <c r="X24" s="1"/>
      <c r="Y24" s="1"/>
      <c r="Z24" s="1"/>
    </row>
    <row r="25">
      <c r="A25" s="1" t="str">
        <f>IFERROR(__xludf.DUMMYFUNCTION("""COMPUTED_VALUE"""),"80,000,000UC-100,000,000UC")</f>
        <v>80,000,000UC-100,000,000UC</v>
      </c>
      <c r="B25" s="1" t="str">
        <f>IFERROR(__xludf.DUMMYFUNCTION("""COMPUTED_VALUE"""),"roll a d20 to determine amount")</f>
        <v>roll a d20 to determine amount</v>
      </c>
      <c r="C25" s="1"/>
      <c r="D25" s="1"/>
      <c r="E25" s="1"/>
      <c r="F25" s="1"/>
      <c r="G25" s="1"/>
      <c r="H25" s="1"/>
      <c r="I25" s="1"/>
      <c r="J25" s="1"/>
      <c r="K25" s="1"/>
      <c r="L25" s="1"/>
      <c r="M25" s="1"/>
      <c r="N25" s="1"/>
      <c r="O25" s="1"/>
      <c r="P25" s="1"/>
      <c r="Q25" s="1"/>
      <c r="R25" s="1"/>
      <c r="S25" s="1"/>
      <c r="T25" s="1"/>
      <c r="U25" s="1"/>
      <c r="V25" s="1"/>
      <c r="W25" s="1"/>
      <c r="X25" s="1"/>
      <c r="Y25" s="1"/>
      <c r="Z25" s="1"/>
    </row>
    <row r="26">
      <c r="A26" s="1" t="str">
        <f>IFERROR(__xludf.DUMMYFUNCTION("""COMPUTED_VALUE"""),"100,000,000UC-500,000,000UC")</f>
        <v>100,000,000UC-500,000,000UC</v>
      </c>
      <c r="B26" s="1" t="str">
        <f>IFERROR(__xludf.DUMMYFUNCTION("""COMPUTED_VALUE"""),"roll a d6 to determine amount")</f>
        <v>roll a d6 to determine amount</v>
      </c>
      <c r="C26" s="1"/>
      <c r="D26" s="1"/>
      <c r="E26" s="1"/>
      <c r="F26" s="1"/>
      <c r="G26" s="1"/>
      <c r="H26" s="1"/>
      <c r="I26" s="1"/>
      <c r="J26" s="1"/>
      <c r="K26" s="1"/>
      <c r="L26" s="1"/>
      <c r="M26" s="1"/>
      <c r="N26" s="1"/>
      <c r="O26" s="1"/>
      <c r="P26" s="1"/>
      <c r="Q26" s="1"/>
      <c r="R26" s="1"/>
      <c r="S26" s="1"/>
      <c r="T26" s="1"/>
      <c r="U26" s="1"/>
      <c r="V26" s="1"/>
      <c r="W26" s="1"/>
      <c r="X26" s="1"/>
      <c r="Y26" s="1"/>
      <c r="Z26" s="1"/>
    </row>
    <row r="27">
      <c r="A27" s="1" t="str">
        <f>IFERROR(__xludf.DUMMYFUNCTION("""COMPUTED_VALUE"""),"500,000,000UC-1,000,000,000UC")</f>
        <v>500,000,000UC-1,000,000,000UC</v>
      </c>
      <c r="B27" s="1" t="str">
        <f>IFERROR(__xludf.DUMMYFUNCTION("""COMPUTED_VALUE"""),"roll a d6 to determine amount")</f>
        <v>roll a d6 to determine amount</v>
      </c>
      <c r="C27" s="1"/>
      <c r="D27" s="1"/>
      <c r="E27" s="1"/>
      <c r="F27" s="1"/>
      <c r="G27" s="1"/>
      <c r="H27" s="1"/>
      <c r="I27" s="1"/>
      <c r="J27" s="1"/>
      <c r="K27" s="1"/>
      <c r="L27" s="1"/>
      <c r="M27" s="1"/>
      <c r="N27" s="1"/>
      <c r="O27" s="1"/>
      <c r="P27" s="1"/>
      <c r="Q27" s="1"/>
      <c r="R27" s="1"/>
      <c r="S27" s="1"/>
      <c r="T27" s="1"/>
      <c r="U27" s="1"/>
      <c r="V27" s="1"/>
      <c r="W27" s="1"/>
      <c r="X27" s="1"/>
      <c r="Y27" s="1"/>
      <c r="Z27" s="1"/>
    </row>
    <row r="28">
      <c r="A28" s="1" t="str">
        <f>IFERROR(__xludf.DUMMYFUNCTION("""COMPUTED_VALUE"""),"Egg")</f>
        <v>Egg</v>
      </c>
      <c r="B28" s="1" t="str">
        <f>IFERROR(__xludf.DUMMYFUNCTION("""COMPUTED_VALUE"""),"Will hatch in X/X days.")</f>
        <v>Will hatch in X/X days.</v>
      </c>
      <c r="C28" s="1"/>
      <c r="D28" s="1"/>
      <c r="E28" s="1"/>
      <c r="F28" s="1"/>
      <c r="G28" s="1"/>
      <c r="H28" s="1"/>
      <c r="I28" s="1"/>
      <c r="J28" s="1"/>
      <c r="K28" s="1"/>
      <c r="L28" s="1"/>
      <c r="M28" s="1"/>
      <c r="N28" s="1"/>
      <c r="O28" s="1"/>
      <c r="P28" s="1"/>
      <c r="Q28" s="1"/>
      <c r="R28" s="1"/>
      <c r="S28" s="1"/>
      <c r="T28" s="1"/>
      <c r="U28" s="1"/>
      <c r="V28" s="1"/>
      <c r="W28" s="1"/>
      <c r="X28" s="1"/>
      <c r="Y28" s="1"/>
      <c r="Z28" s="1"/>
    </row>
    <row r="29">
      <c r="A29" s="1" t="str">
        <f>IFERROR(__xludf.DUMMYFUNCTION("""COMPUTED_VALUE"""),"1,000SC-20,000SC")</f>
        <v>1,000SC-20,000SC</v>
      </c>
      <c r="B29" s="1" t="str">
        <f>IFERROR(__xludf.DUMMYFUNCTION("""COMPUTED_VALUE"""),"roll a d20 to determine amount")</f>
        <v>roll a d20 to determine amount</v>
      </c>
      <c r="C29" s="1"/>
      <c r="D29" s="1"/>
      <c r="E29" s="1"/>
      <c r="F29" s="1"/>
      <c r="G29" s="1"/>
      <c r="H29" s="1"/>
      <c r="I29" s="1"/>
      <c r="J29" s="1"/>
      <c r="K29" s="1"/>
      <c r="L29" s="1"/>
      <c r="M29" s="1"/>
      <c r="N29" s="1"/>
      <c r="O29" s="1"/>
      <c r="P29" s="1"/>
      <c r="Q29" s="1"/>
      <c r="R29" s="1"/>
      <c r="S29" s="1"/>
      <c r="T29" s="1"/>
      <c r="U29" s="1"/>
      <c r="V29" s="1"/>
      <c r="W29" s="1"/>
      <c r="X29" s="1"/>
      <c r="Y29" s="1"/>
      <c r="Z29" s="1"/>
    </row>
    <row r="30">
      <c r="A30" s="1" t="str">
        <f>IFERROR(__xludf.DUMMYFUNCTION("""COMPUTED_VALUE"""),"20,000GSC-40,000SC")</f>
        <v>20,000GSC-40,000SC</v>
      </c>
      <c r="B30" s="1" t="str">
        <f>IFERROR(__xludf.DUMMYFUNCTION("""COMPUTED_VALUE"""),"roll a d20 to determine amount")</f>
        <v>roll a d20 to determine amount</v>
      </c>
      <c r="C30" s="1"/>
      <c r="D30" s="1"/>
      <c r="E30" s="1"/>
      <c r="F30" s="1"/>
      <c r="G30" s="1"/>
      <c r="H30" s="1"/>
      <c r="I30" s="1"/>
      <c r="J30" s="1"/>
      <c r="K30" s="1"/>
      <c r="L30" s="1"/>
      <c r="M30" s="1"/>
      <c r="N30" s="1"/>
      <c r="O30" s="1"/>
      <c r="P30" s="1"/>
      <c r="Q30" s="1"/>
      <c r="R30" s="1"/>
      <c r="S30" s="1"/>
      <c r="T30" s="1"/>
      <c r="U30" s="1"/>
      <c r="V30" s="1"/>
      <c r="W30" s="1"/>
      <c r="X30" s="1"/>
      <c r="Y30" s="1"/>
      <c r="Z30" s="1"/>
    </row>
    <row r="31">
      <c r="A31" s="1" t="str">
        <f>IFERROR(__xludf.DUMMYFUNCTION("""COMPUTED_VALUE"""),"40,000SC-60,000SC")</f>
        <v>40,000SC-60,000SC</v>
      </c>
      <c r="B31" s="1" t="str">
        <f>IFERROR(__xludf.DUMMYFUNCTION("""COMPUTED_VALUE"""),"roll a d20 to determine amount")</f>
        <v>roll a d20 to determine amount</v>
      </c>
      <c r="C31" s="1"/>
      <c r="D31" s="1"/>
      <c r="E31" s="1"/>
      <c r="F31" s="1"/>
      <c r="G31" s="1"/>
      <c r="H31" s="1"/>
      <c r="I31" s="1"/>
      <c r="J31" s="1"/>
      <c r="K31" s="1"/>
      <c r="L31" s="1"/>
      <c r="M31" s="1"/>
      <c r="N31" s="1"/>
      <c r="O31" s="1"/>
      <c r="P31" s="1"/>
      <c r="Q31" s="1"/>
      <c r="R31" s="1"/>
      <c r="S31" s="1"/>
      <c r="T31" s="1"/>
      <c r="U31" s="1"/>
      <c r="V31" s="1"/>
      <c r="W31" s="1"/>
      <c r="X31" s="1"/>
      <c r="Y31" s="1"/>
      <c r="Z31" s="1"/>
    </row>
    <row r="32">
      <c r="A32" s="1" t="str">
        <f>IFERROR(__xludf.DUMMYFUNCTION("""COMPUTED_VALUE"""),"60,000SC-80,000SC")</f>
        <v>60,000SC-80,000SC</v>
      </c>
      <c r="B32" s="1" t="str">
        <f>IFERROR(__xludf.DUMMYFUNCTION("""COMPUTED_VALUE"""),"roll a d20 to determine amount")</f>
        <v>roll a d20 to determine amount</v>
      </c>
      <c r="C32" s="1"/>
      <c r="D32" s="1"/>
      <c r="E32" s="1"/>
      <c r="F32" s="1"/>
      <c r="G32" s="1"/>
      <c r="H32" s="1"/>
      <c r="I32" s="1"/>
      <c r="J32" s="1"/>
      <c r="K32" s="1"/>
      <c r="L32" s="1"/>
      <c r="M32" s="1"/>
      <c r="N32" s="1"/>
      <c r="O32" s="1"/>
      <c r="P32" s="1"/>
      <c r="Q32" s="1"/>
      <c r="R32" s="1"/>
      <c r="S32" s="1"/>
      <c r="T32" s="1"/>
      <c r="U32" s="1"/>
      <c r="V32" s="1"/>
      <c r="W32" s="1"/>
      <c r="X32" s="1"/>
      <c r="Y32" s="1"/>
      <c r="Z32" s="1"/>
    </row>
    <row r="33">
      <c r="A33" s="1" t="str">
        <f>IFERROR(__xludf.DUMMYFUNCTION("""COMPUTED_VALUE"""),"80,000SC-100,000SC")</f>
        <v>80,000SC-100,000SC</v>
      </c>
      <c r="B33" s="1" t="str">
        <f>IFERROR(__xludf.DUMMYFUNCTION("""COMPUTED_VALUE"""),"roll a d20 to determine amount")</f>
        <v>roll a d20 to determine amount</v>
      </c>
      <c r="C33" s="1"/>
      <c r="D33" s="1"/>
      <c r="E33" s="1"/>
      <c r="F33" s="1"/>
      <c r="G33" s="1"/>
      <c r="H33" s="1"/>
      <c r="I33" s="1"/>
      <c r="J33" s="1"/>
      <c r="K33" s="1"/>
      <c r="L33" s="1"/>
      <c r="M33" s="1"/>
      <c r="N33" s="1"/>
      <c r="O33" s="1"/>
      <c r="P33" s="1"/>
      <c r="Q33" s="1"/>
      <c r="R33" s="1"/>
      <c r="S33" s="1"/>
      <c r="T33" s="1"/>
      <c r="U33" s="1"/>
      <c r="V33" s="1"/>
      <c r="W33" s="1"/>
      <c r="X33" s="1"/>
      <c r="Y33" s="1"/>
      <c r="Z33" s="1"/>
    </row>
    <row r="34">
      <c r="A34" s="1" t="str">
        <f>IFERROR(__xludf.DUMMYFUNCTION("""COMPUTED_VALUE"""),"500,000SC-1,000,000SC")</f>
        <v>500,000SC-1,000,000SC</v>
      </c>
      <c r="B34" s="1" t="str">
        <f>IFERROR(__xludf.DUMMYFUNCTION("""COMPUTED_VALUE"""),"roll a d5 to determine amount")</f>
        <v>roll a d5 to determine amount</v>
      </c>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t="str">
        <f>IFERROR(__xludf.DUMMYFUNCTION("""COMPUTED_VALUE"""),"""Hellfire Club"" Vest of Metal Harmony's")</f>
        <v>"Hellfire Club" Vest of Metal Harmony's</v>
      </c>
      <c r="B37" s="1" t="str">
        <f>IFERROR(__xludf.DUMMYFUNCTION("""COMPUTED_VALUE""")," () lvl:200, DEF: +10000 ++When dealing damage with an instrument you will regain sp equal to the damage you caused.")</f>
        <v> () lvl:200, DEF: +10000 ++When dealing damage with an instrument you will regain sp equal to the damage you caused.</v>
      </c>
      <c r="C37" s="1"/>
      <c r="D37" s="1"/>
      <c r="E37" s="1"/>
      <c r="F37" s="1"/>
      <c r="G37" s="1"/>
      <c r="H37" s="1"/>
      <c r="I37" s="1"/>
      <c r="J37" s="1"/>
      <c r="K37" s="1"/>
      <c r="L37" s="1"/>
      <c r="M37" s="1"/>
      <c r="N37" s="1"/>
      <c r="O37" s="1"/>
      <c r="P37" s="1"/>
      <c r="Q37" s="1"/>
      <c r="R37" s="1"/>
      <c r="S37" s="1"/>
      <c r="T37" s="1"/>
      <c r="U37" s="1"/>
      <c r="V37" s="1"/>
      <c r="W37" s="1"/>
      <c r="X37" s="1"/>
      <c r="Y37" s="1"/>
      <c r="Z37" s="1"/>
    </row>
    <row r="38">
      <c r="A38" s="1" t="str">
        <f>IFERROR(__xludf.DUMMYFUNCTION("""COMPUTED_VALUE"""),"""Sweetheart"" Guitar of The Upside Down")</f>
        <v>"Sweetheart" Guitar of The Upside Down</v>
      </c>
      <c r="B38" s="1" t="str">
        <f>IFERROR(__xludf.DUMMYFUNCTION("""COMPUTED_VALUE""")," (Instrument) lvl:200, DMG: +2500, Fire DMG: +2500, Dark DMG: +2500, Chaos DMG: +2500 ++This instrument will deal X2 damage while it's equipped. ++Any spells that deal damage for the user will now do an additional X2. ++25% chance to port the target you h"&amp;"it to a random location.")</f>
        <v> (Instrument) lvl:200, DMG: +2500, Fire DMG: +2500, Dark DMG: +2500, Chaos DMG: +2500 ++This instrument will deal X2 damage while it's equipped. ++Any spells that deal damage for the user will now do an additional X2. ++25% chance to port the target you hit to a random location.</v>
      </c>
      <c r="C38" s="1"/>
      <c r="D38" s="1"/>
      <c r="E38" s="1"/>
      <c r="F38" s="1"/>
      <c r="G38" s="1"/>
      <c r="H38" s="1"/>
      <c r="I38" s="1"/>
      <c r="J38" s="1"/>
      <c r="K38" s="1"/>
      <c r="L38" s="1"/>
      <c r="M38" s="1"/>
      <c r="N38" s="1"/>
      <c r="O38" s="1"/>
      <c r="P38" s="1"/>
      <c r="Q38" s="1"/>
      <c r="R38" s="1"/>
      <c r="S38" s="1"/>
      <c r="T38" s="1"/>
      <c r="U38" s="1"/>
      <c r="V38" s="1"/>
      <c r="W38" s="1"/>
      <c r="X38" s="1"/>
      <c r="Y38" s="1"/>
      <c r="Z38" s="1"/>
    </row>
    <row r="39">
      <c r="A39" s="1" t="str">
        <f>IFERROR(__xludf.DUMMYFUNCTION("""COMPUTED_VALUE"""),"Alpha Sword")</f>
        <v>Alpha Sword</v>
      </c>
      <c r="B39" s="1" t="str">
        <f>IFERROR(__xludf.DUMMYFUNCTION("""COMPUTED_VALUE""")," (Sword) lvl:4000, DMG: +100000, Dark DMG: +100000 ++If you kill an enemy using this weapon you may attack another enemy once more using this weapon on the same turn but this can only be done once per turn.")</f>
        <v> (Sword) lvl:4000, DMG: +100000, Dark DMG: +100000 ++If you kill an enemy using this weapon you may attack another enemy once more using this weapon on the same turn but this can only be done once per turn.</v>
      </c>
      <c r="C39" s="1"/>
      <c r="D39" s="1"/>
      <c r="E39" s="1"/>
      <c r="F39" s="1"/>
      <c r="G39" s="1"/>
      <c r="H39" s="1"/>
      <c r="I39" s="1"/>
      <c r="J39" s="1"/>
      <c r="K39" s="1"/>
      <c r="L39" s="1"/>
      <c r="M39" s="1"/>
      <c r="N39" s="1"/>
      <c r="O39" s="1"/>
      <c r="P39" s="1"/>
      <c r="Q39" s="1"/>
      <c r="R39" s="1"/>
      <c r="S39" s="1"/>
      <c r="T39" s="1"/>
      <c r="U39" s="1"/>
      <c r="V39" s="1"/>
      <c r="W39" s="1"/>
      <c r="X39" s="1"/>
      <c r="Y39" s="1"/>
      <c r="Z39" s="1"/>
    </row>
    <row r="40">
      <c r="A40" s="1" t="str">
        <f>IFERROR(__xludf.DUMMYFUNCTION("""COMPUTED_VALUE"""),"Ancient Colossus Forest Hammer")</f>
        <v>Ancient Colossus Forest Hammer</v>
      </c>
      <c r="B40" s="1" t="str">
        <f>IFERROR(__xludf.DUMMYFUNCTION("""COMPUTED_VALUE""")," (Club) lvl:700, DMG: +25000, Nature DMG: +10000 ++When in a Natural environment all attacks with this weapon will roll twice and take the higher number")</f>
        <v> (Club) lvl:700, DMG: +25000, Nature DMG: +10000 ++When in a Natural environment all attacks with this weapon will roll twice and take the higher number</v>
      </c>
      <c r="C40" s="1"/>
      <c r="D40" s="1"/>
      <c r="E40" s="1"/>
      <c r="F40" s="1"/>
      <c r="G40" s="1"/>
      <c r="H40" s="1"/>
      <c r="I40" s="1"/>
      <c r="J40" s="1"/>
      <c r="K40" s="1"/>
      <c r="L40" s="1"/>
      <c r="M40" s="1"/>
      <c r="N40" s="1"/>
      <c r="O40" s="1"/>
      <c r="P40" s="1"/>
      <c r="Q40" s="1"/>
      <c r="R40" s="1"/>
      <c r="S40" s="1"/>
      <c r="T40" s="1"/>
      <c r="U40" s="1"/>
      <c r="V40" s="1"/>
      <c r="W40" s="1"/>
      <c r="X40" s="1"/>
      <c r="Y40" s="1"/>
      <c r="Z40" s="1"/>
    </row>
    <row r="41">
      <c r="A41" s="1" t="str">
        <f>IFERROR(__xludf.DUMMYFUNCTION("""COMPUTED_VALUE"""),"Ancient Samurai Sword")</f>
        <v>Ancient Samurai Sword</v>
      </c>
      <c r="B41" s="1" t="str">
        <f>IFERROR(__xludf.DUMMYFUNCTION("""COMPUTED_VALUE""")," (Sword) lvl:800, DMG: +10000, Fire DMG: +10000, Light DMG: +10000, Order DMG: +10000 ++Doubles the chance for the Sword ability to activate")</f>
        <v> (Sword) lvl:800, DMG: +10000, Fire DMG: +10000, Light DMG: +10000, Order DMG: +10000 ++Doubles the chance for the Sword ability to activate</v>
      </c>
      <c r="C41" s="1"/>
      <c r="D41" s="1"/>
      <c r="E41" s="1"/>
      <c r="F41" s="1"/>
      <c r="G41" s="1"/>
      <c r="H41" s="1"/>
      <c r="I41" s="1"/>
      <c r="J41" s="1"/>
      <c r="K41" s="1"/>
      <c r="L41" s="1"/>
      <c r="M41" s="1"/>
      <c r="N41" s="1"/>
      <c r="O41" s="1"/>
      <c r="P41" s="1"/>
      <c r="Q41" s="1"/>
      <c r="R41" s="1"/>
      <c r="S41" s="1"/>
      <c r="T41" s="1"/>
      <c r="U41" s="1"/>
      <c r="V41" s="1"/>
      <c r="W41" s="1"/>
      <c r="X41" s="1"/>
      <c r="Y41" s="1"/>
      <c r="Z41" s="1"/>
    </row>
    <row r="42">
      <c r="A42" s="1" t="str">
        <f>IFERROR(__xludf.DUMMYFUNCTION("""COMPUTED_VALUE"""),"Ancient Stone Guardians Sword")</f>
        <v>Ancient Stone Guardians Sword</v>
      </c>
      <c r="B42" s="1" t="str">
        <f>IFERROR(__xludf.DUMMYFUNCTION("""COMPUTED_VALUE""")," (Sword) lvl:1200, DMG: +20000, Earth DMG: +20000, Light DMG: +20000 ++X2 Defense for all allies")</f>
        <v> (Sword) lvl:1200, DMG: +20000, Earth DMG: +20000, Light DMG: +20000 ++X2 Defense for all allies</v>
      </c>
      <c r="C42" s="1"/>
      <c r="D42" s="1"/>
      <c r="E42" s="1"/>
      <c r="F42" s="1"/>
      <c r="G42" s="1"/>
      <c r="H42" s="1"/>
      <c r="I42" s="1"/>
      <c r="J42" s="1"/>
      <c r="K42" s="1"/>
      <c r="L42" s="1"/>
      <c r="M42" s="1"/>
      <c r="N42" s="1"/>
      <c r="O42" s="1"/>
      <c r="P42" s="1"/>
      <c r="Q42" s="1"/>
      <c r="R42" s="1"/>
      <c r="S42" s="1"/>
      <c r="T42" s="1"/>
      <c r="U42" s="1"/>
      <c r="V42" s="1"/>
      <c r="W42" s="1"/>
      <c r="X42" s="1"/>
      <c r="Y42" s="1"/>
      <c r="Z42" s="1"/>
    </row>
    <row r="43">
      <c r="A43" s="1" t="str">
        <f>IFERROR(__xludf.DUMMYFUNCTION("""COMPUTED_VALUE"""),"Aqua Robe")</f>
        <v>Aqua Robe</v>
      </c>
      <c r="B43" s="1" t="str">
        <f>IFERROR(__xludf.DUMMYFUNCTION("""COMPUTED_VALUE""")," () lvl:40, DEF: +1000, Water DEF: +1000 ++X4 damage additional water damage for the user.")</f>
        <v> () lvl:40, DEF: +1000, Water DEF: +1000 ++X4 damage additional water damage for the user.</v>
      </c>
      <c r="C43" s="1"/>
      <c r="D43" s="1"/>
      <c r="E43" s="1"/>
      <c r="F43" s="1"/>
      <c r="G43" s="1"/>
      <c r="H43" s="1"/>
      <c r="I43" s="1"/>
      <c r="J43" s="1"/>
      <c r="K43" s="1"/>
      <c r="L43" s="1"/>
      <c r="M43" s="1"/>
      <c r="N43" s="1"/>
      <c r="O43" s="1"/>
      <c r="P43" s="1"/>
      <c r="Q43" s="1"/>
      <c r="R43" s="1"/>
      <c r="S43" s="1"/>
      <c r="T43" s="1"/>
      <c r="U43" s="1"/>
      <c r="V43" s="1"/>
      <c r="W43" s="1"/>
      <c r="X43" s="1"/>
      <c r="Y43" s="1"/>
      <c r="Z43" s="1"/>
    </row>
    <row r="44">
      <c r="A44" s="1" t="str">
        <f>IFERROR(__xludf.DUMMYFUNCTION("""COMPUTED_VALUE"""),"Aquatic Boots of Atlantis")</f>
        <v>Aquatic Boots of Atlantis</v>
      </c>
      <c r="B44" s="1" t="str">
        <f>IFERROR(__xludf.DUMMYFUNCTION("""COMPUTED_VALUE""")," () lvl:300, DEF: +7500, Water DEF: +7500 ++X6 additional water damage for self.")</f>
        <v> () lvl:300, DEF: +7500, Water DEF: +7500 ++X6 additional water damage for self.</v>
      </c>
      <c r="C44" s="1"/>
      <c r="D44" s="1"/>
      <c r="E44" s="1"/>
      <c r="F44" s="1"/>
      <c r="G44" s="1"/>
      <c r="H44" s="1"/>
      <c r="I44" s="1"/>
      <c r="J44" s="1"/>
      <c r="K44" s="1"/>
      <c r="L44" s="1"/>
      <c r="M44" s="1"/>
      <c r="N44" s="1"/>
      <c r="O44" s="1"/>
      <c r="P44" s="1"/>
      <c r="Q44" s="1"/>
      <c r="R44" s="1"/>
      <c r="S44" s="1"/>
      <c r="T44" s="1"/>
      <c r="U44" s="1"/>
      <c r="V44" s="1"/>
      <c r="W44" s="1"/>
      <c r="X44" s="1"/>
      <c r="Y44" s="1"/>
      <c r="Z44" s="1"/>
    </row>
    <row r="45">
      <c r="A45" s="1" t="str">
        <f>IFERROR(__xludf.DUMMYFUNCTION("""COMPUTED_VALUE"""),"Aquatic Chestplate of Atlantis")</f>
        <v>Aquatic Chestplate of Atlantis</v>
      </c>
      <c r="B45" s="1" t="str">
        <f>IFERROR(__xludf.DUMMYFUNCTION("""COMPUTED_VALUE""")," () lvl:600, DEF: +15000, Water DEF: +15000 ++X6 additional water damage for self.  ++X8 Defense for self and allies if you have all Aquatic Atlantis Equipment Equipped.")</f>
        <v> () lvl:600, DEF: +15000, Water DEF: +15000 ++X6 additional water damage for self.  ++X8 Defense for self and allies if you have all Aquatic Atlantis Equipment Equipped.</v>
      </c>
      <c r="C45" s="1"/>
      <c r="D45" s="1"/>
      <c r="E45" s="1"/>
      <c r="F45" s="1"/>
      <c r="G45" s="1"/>
      <c r="H45" s="1"/>
      <c r="I45" s="1"/>
      <c r="J45" s="1"/>
      <c r="K45" s="1"/>
      <c r="L45" s="1"/>
      <c r="M45" s="1"/>
      <c r="N45" s="1"/>
      <c r="O45" s="1"/>
      <c r="P45" s="1"/>
      <c r="Q45" s="1"/>
      <c r="R45" s="1"/>
      <c r="S45" s="1"/>
      <c r="T45" s="1"/>
      <c r="U45" s="1"/>
      <c r="V45" s="1"/>
      <c r="W45" s="1"/>
      <c r="X45" s="1"/>
      <c r="Y45" s="1"/>
      <c r="Z45" s="1"/>
    </row>
    <row r="46">
      <c r="A46" s="1" t="str">
        <f>IFERROR(__xludf.DUMMYFUNCTION("""COMPUTED_VALUE"""),"Aquatic Greaves of Atlantis")</f>
        <v>Aquatic Greaves of Atlantis</v>
      </c>
      <c r="B46" s="1" t="str">
        <f>IFERROR(__xludf.DUMMYFUNCTION("""COMPUTED_VALUE""")," () lvl:300, DEF: +7500, Water DEF: +7500 ++X6 additional water damage for self.")</f>
        <v> () lvl:300, DEF: +7500, Water DEF: +7500 ++X6 additional water damage for self.</v>
      </c>
      <c r="C46" s="1"/>
      <c r="D46" s="1"/>
      <c r="E46" s="1"/>
      <c r="F46" s="1"/>
      <c r="G46" s="1"/>
      <c r="H46" s="1"/>
      <c r="I46" s="1"/>
      <c r="J46" s="1"/>
      <c r="K46" s="1"/>
      <c r="L46" s="1"/>
      <c r="M46" s="1"/>
      <c r="N46" s="1"/>
      <c r="O46" s="1"/>
      <c r="P46" s="1"/>
      <c r="Q46" s="1"/>
      <c r="R46" s="1"/>
      <c r="S46" s="1"/>
      <c r="T46" s="1"/>
      <c r="U46" s="1"/>
      <c r="V46" s="1"/>
      <c r="W46" s="1"/>
      <c r="X46" s="1"/>
      <c r="Y46" s="1"/>
      <c r="Z46" s="1"/>
    </row>
    <row r="47">
      <c r="A47" s="1" t="str">
        <f>IFERROR(__xludf.DUMMYFUNCTION("""COMPUTED_VALUE"""),"Aquatic Helmet of Atlantis")</f>
        <v>Aquatic Helmet of Atlantis</v>
      </c>
      <c r="B47" s="1" t="str">
        <f>IFERROR(__xludf.DUMMYFUNCTION("""COMPUTED_VALUE""")," () lvl:300, DEF: +7500, Water DEF: +7500 ++X6 additional water damage for self.")</f>
        <v> () lvl:300, DEF: +7500, Water DEF: +7500 ++X6 additional water damage for self.</v>
      </c>
      <c r="C47" s="1"/>
      <c r="D47" s="1"/>
      <c r="E47" s="1"/>
      <c r="F47" s="1"/>
      <c r="G47" s="1"/>
      <c r="H47" s="1"/>
      <c r="I47" s="1"/>
      <c r="J47" s="1"/>
      <c r="K47" s="1"/>
      <c r="L47" s="1"/>
      <c r="M47" s="1"/>
      <c r="N47" s="1"/>
      <c r="O47" s="1"/>
      <c r="P47" s="1"/>
      <c r="Q47" s="1"/>
      <c r="R47" s="1"/>
      <c r="S47" s="1"/>
      <c r="T47" s="1"/>
      <c r="U47" s="1"/>
      <c r="V47" s="1"/>
      <c r="W47" s="1"/>
      <c r="X47" s="1"/>
      <c r="Y47" s="1"/>
      <c r="Z47" s="1"/>
    </row>
    <row r="48">
      <c r="A48" s="1" t="str">
        <f>IFERROR(__xludf.DUMMYFUNCTION("""COMPUTED_VALUE"""),"Aquatic Pauldrons of Atlantis")</f>
        <v>Aquatic Pauldrons of Atlantis</v>
      </c>
      <c r="B48" s="1" t="str">
        <f>IFERROR(__xludf.DUMMYFUNCTION("""COMPUTED_VALUE""")," () lvl:300, DEF: +7500, Water DEF: +7500 ++X6 additional water damage for self.")</f>
        <v> () lvl:300, DEF: +7500, Water DEF: +7500 ++X6 additional water damage for self.</v>
      </c>
      <c r="C48" s="1"/>
      <c r="D48" s="1"/>
      <c r="E48" s="1"/>
      <c r="F48" s="1"/>
      <c r="G48" s="1"/>
      <c r="H48" s="1"/>
      <c r="I48" s="1"/>
      <c r="J48" s="1"/>
      <c r="K48" s="1"/>
      <c r="L48" s="1"/>
      <c r="M48" s="1"/>
      <c r="N48" s="1"/>
      <c r="O48" s="1"/>
      <c r="P48" s="1"/>
      <c r="Q48" s="1"/>
      <c r="R48" s="1"/>
      <c r="S48" s="1"/>
      <c r="T48" s="1"/>
      <c r="U48" s="1"/>
      <c r="V48" s="1"/>
      <c r="W48" s="1"/>
      <c r="X48" s="1"/>
      <c r="Y48" s="1"/>
      <c r="Z48" s="1"/>
    </row>
    <row r="49">
      <c r="A49" s="1" t="str">
        <f>IFERROR(__xludf.DUMMYFUNCTION("""COMPUTED_VALUE"""),"Aquatic Sword of Atlantis")</f>
        <v>Aquatic Sword of Atlantis</v>
      </c>
      <c r="B49" s="1" t="str">
        <f>IFERROR(__xludf.DUMMYFUNCTION("""COMPUTED_VALUE""")," (Sword) lvl:1200, DMG: +30000, Water DMG: +30000 ++X6 additional water damage for self, ++Tides of Atlantis: Upon a successful hit this weapon has a 50% chance to cast Tsunami for no sp cost. Cannot be duplicated.")</f>
        <v> (Sword) lvl:1200, DMG: +30000, Water DMG: +30000 ++X6 additional water damage for self, ++Tides of Atlantis: Upon a successful hit this weapon has a 50% chance to cast Tsunami for no sp cost. Cannot be duplicated.</v>
      </c>
      <c r="C49" s="1"/>
      <c r="D49" s="1"/>
      <c r="E49" s="1"/>
      <c r="F49" s="1"/>
      <c r="G49" s="1"/>
      <c r="H49" s="1"/>
      <c r="I49" s="1"/>
      <c r="J49" s="1"/>
      <c r="K49" s="1"/>
      <c r="L49" s="1"/>
      <c r="M49" s="1"/>
      <c r="N49" s="1"/>
      <c r="O49" s="1"/>
      <c r="P49" s="1"/>
      <c r="Q49" s="1"/>
      <c r="R49" s="1"/>
      <c r="S49" s="1"/>
      <c r="T49" s="1"/>
      <c r="U49" s="1"/>
      <c r="V49" s="1"/>
      <c r="W49" s="1"/>
      <c r="X49" s="1"/>
      <c r="Y49" s="1"/>
      <c r="Z49" s="1"/>
    </row>
    <row r="50">
      <c r="A50" s="1" t="str">
        <f>IFERROR(__xludf.DUMMYFUNCTION("""COMPUTED_VALUE"""),"Aquatic Vambraces of Atlantis")</f>
        <v>Aquatic Vambraces of Atlantis</v>
      </c>
      <c r="B50" s="1" t="str">
        <f>IFERROR(__xludf.DUMMYFUNCTION("""COMPUTED_VALUE""")," () lvl:300, DEF: +7500, Water DEF: +7500 X6 additional water damage for self.")</f>
        <v> () lvl:300, DEF: +7500, Water DEF: +7500 X6 additional water damage for self.</v>
      </c>
      <c r="C50" s="1"/>
      <c r="D50" s="1"/>
      <c r="E50" s="1"/>
      <c r="F50" s="1"/>
      <c r="G50" s="1"/>
      <c r="H50" s="1"/>
      <c r="I50" s="1"/>
      <c r="J50" s="1"/>
      <c r="K50" s="1"/>
      <c r="L50" s="1"/>
      <c r="M50" s="1"/>
      <c r="N50" s="1"/>
      <c r="O50" s="1"/>
      <c r="P50" s="1"/>
      <c r="Q50" s="1"/>
      <c r="R50" s="1"/>
      <c r="S50" s="1"/>
      <c r="T50" s="1"/>
      <c r="U50" s="1"/>
      <c r="V50" s="1"/>
      <c r="W50" s="1"/>
      <c r="X50" s="1"/>
      <c r="Y50" s="1"/>
      <c r="Z50" s="1"/>
    </row>
    <row r="51">
      <c r="A51" s="1" t="str">
        <f>IFERROR(__xludf.DUMMYFUNCTION("""COMPUTED_VALUE"""),"Archer’s Cloaked Vest")</f>
        <v>Archer’s Cloaked Vest</v>
      </c>
      <c r="B51" s="1" t="str">
        <f>IFERROR(__xludf.DUMMYFUNCTION("""COMPUTED_VALUE""")," () lvl:20, DEF: +800 (Ranger Set) ++Half the Arrow - Range Spells cost half the sp cost, ++Ranger Enrage - All Ranged Spells do double in damage ++only archers can equip")</f>
        <v> () lvl:20, DEF: +800 (Ranger Set) ++Half the Arrow - Range Spells cost half the sp cost, ++Ranger Enrage - All Ranged Spells do double in damage ++only archers can equip</v>
      </c>
      <c r="C51" s="1"/>
      <c r="D51" s="1"/>
      <c r="E51" s="1"/>
      <c r="F51" s="1"/>
      <c r="G51" s="1"/>
      <c r="H51" s="1"/>
      <c r="I51" s="1"/>
      <c r="J51" s="1"/>
      <c r="K51" s="1"/>
      <c r="L51" s="1"/>
      <c r="M51" s="1"/>
      <c r="N51" s="1"/>
      <c r="O51" s="1"/>
      <c r="P51" s="1"/>
      <c r="Q51" s="1"/>
      <c r="R51" s="1"/>
      <c r="S51" s="1"/>
      <c r="T51" s="1"/>
      <c r="U51" s="1"/>
      <c r="V51" s="1"/>
      <c r="W51" s="1"/>
      <c r="X51" s="1"/>
      <c r="Y51" s="1"/>
      <c r="Z51" s="1"/>
    </row>
    <row r="52">
      <c r="A52" s="1" t="str">
        <f>IFERROR(__xludf.DUMMYFUNCTION("""COMPUTED_VALUE"""),"Archers Boots")</f>
        <v>Archers Boots</v>
      </c>
      <c r="B52" s="1" t="str">
        <f>IFERROR(__xludf.DUMMYFUNCTION("""COMPUTED_VALUE""")," () lvl:1, : + (Ranger Set) ++5 evasion ++Only archers can equip, +-Cannot be duplicated or forged.")</f>
        <v> () lvl:1, : + (Ranger Set) ++5 evasion ++Only archers can equip, +-Cannot be duplicated or forged.</v>
      </c>
      <c r="C52" s="1"/>
      <c r="D52" s="1"/>
      <c r="E52" s="1"/>
      <c r="F52" s="1"/>
      <c r="G52" s="1"/>
      <c r="H52" s="1"/>
      <c r="I52" s="1"/>
      <c r="J52" s="1"/>
      <c r="K52" s="1"/>
      <c r="L52" s="1"/>
      <c r="M52" s="1"/>
      <c r="N52" s="1"/>
      <c r="O52" s="1"/>
      <c r="P52" s="1"/>
      <c r="Q52" s="1"/>
      <c r="R52" s="1"/>
      <c r="S52" s="1"/>
      <c r="T52" s="1"/>
      <c r="U52" s="1"/>
      <c r="V52" s="1"/>
      <c r="W52" s="1"/>
      <c r="X52" s="1"/>
      <c r="Y52" s="1"/>
      <c r="Z52" s="1"/>
    </row>
    <row r="53">
      <c r="A53" s="1" t="str">
        <f>IFERROR(__xludf.DUMMYFUNCTION("""COMPUTED_VALUE"""),"Archers Cloak")</f>
        <v>Archers Cloak</v>
      </c>
      <c r="B53" s="1" t="str">
        <f>IFERROR(__xludf.DUMMYFUNCTION("""COMPUTED_VALUE""")," () lvl:1, : + (Ranger Set) ++Ranged Spells cost half the sp cost ++Only archers can equip")</f>
        <v> () lvl:1, : + (Ranger Set) ++Ranged Spells cost half the sp cost ++Only archers can equip</v>
      </c>
      <c r="C53" s="1"/>
      <c r="D53" s="1"/>
      <c r="E53" s="1"/>
      <c r="F53" s="1"/>
      <c r="G53" s="1"/>
      <c r="H53" s="1"/>
      <c r="I53" s="1"/>
      <c r="J53" s="1"/>
      <c r="K53" s="1"/>
      <c r="L53" s="1"/>
      <c r="M53" s="1"/>
      <c r="N53" s="1"/>
      <c r="O53" s="1"/>
      <c r="P53" s="1"/>
      <c r="Q53" s="1"/>
      <c r="R53" s="1"/>
      <c r="S53" s="1"/>
      <c r="T53" s="1"/>
      <c r="U53" s="1"/>
      <c r="V53" s="1"/>
      <c r="W53" s="1"/>
      <c r="X53" s="1"/>
      <c r="Y53" s="1"/>
      <c r="Z53" s="1"/>
    </row>
    <row r="54">
      <c r="A54" s="1" t="str">
        <f>IFERROR(__xludf.DUMMYFUNCTION("""COMPUTED_VALUE"""),"Armor Of Cthulhu")</f>
        <v>Armor Of Cthulhu</v>
      </c>
      <c r="B54" s="1" t="str">
        <f>IFERROR(__xludf.DUMMYFUNCTION("""COMPUTED_VALUE""")," () lvl:400, DEF: +20000 (Cthulhu Set) ++Curse of Cthulhu - When the wearer takes damage the wearer will gain half the damage back as HP and SP.")</f>
        <v> () lvl:400, DEF: +20000 (Cthulhu Set) ++Curse of Cthulhu - When the wearer takes damage the wearer will gain half the damage back as HP and SP.</v>
      </c>
      <c r="C54" s="1"/>
      <c r="D54" s="1"/>
      <c r="E54" s="1"/>
      <c r="F54" s="1"/>
      <c r="G54" s="1"/>
      <c r="H54" s="1"/>
      <c r="I54" s="1"/>
      <c r="J54" s="1"/>
      <c r="K54" s="1"/>
      <c r="L54" s="1"/>
      <c r="M54" s="1"/>
      <c r="N54" s="1"/>
      <c r="O54" s="1"/>
      <c r="P54" s="1"/>
      <c r="Q54" s="1"/>
      <c r="R54" s="1"/>
      <c r="S54" s="1"/>
      <c r="T54" s="1"/>
      <c r="U54" s="1"/>
      <c r="V54" s="1"/>
      <c r="W54" s="1"/>
      <c r="X54" s="1"/>
      <c r="Y54" s="1"/>
      <c r="Z54" s="1"/>
    </row>
    <row r="55">
      <c r="A55" s="1" t="str">
        <f>IFERROR(__xludf.DUMMYFUNCTION("""COMPUTED_VALUE"""),"Armor Of Zeldron")</f>
        <v>Armor Of Zeldron</v>
      </c>
      <c r="B55" s="1" t="str">
        <f>IFERROR(__xludf.DUMMYFUNCTION("""COMPUTED_VALUE"""),"Made of gold () lvl:400, DEF: +10000, Order DEF: +10000")</f>
        <v>Made of gold () lvl:400, DEF: +10000, Order DEF: +10000</v>
      </c>
      <c r="C55" s="1"/>
      <c r="D55" s="1"/>
      <c r="E55" s="1"/>
      <c r="F55" s="1"/>
      <c r="G55" s="1"/>
      <c r="H55" s="1"/>
      <c r="I55" s="1"/>
      <c r="J55" s="1"/>
      <c r="K55" s="1"/>
      <c r="L55" s="1"/>
      <c r="M55" s="1"/>
      <c r="N55" s="1"/>
      <c r="O55" s="1"/>
      <c r="P55" s="1"/>
      <c r="Q55" s="1"/>
      <c r="R55" s="1"/>
      <c r="S55" s="1"/>
      <c r="T55" s="1"/>
      <c r="U55" s="1"/>
      <c r="V55" s="1"/>
      <c r="W55" s="1"/>
      <c r="X55" s="1"/>
      <c r="Y55" s="1"/>
      <c r="Z55" s="1"/>
    </row>
    <row r="56">
      <c r="A56" s="1" t="str">
        <f>IFERROR(__xludf.DUMMYFUNCTION("""COMPUTED_VALUE"""),"Ashen Pole Axe")</f>
        <v>Ashen Pole Axe</v>
      </c>
      <c r="B56" s="1" t="str">
        <f>IFERROR(__xludf.DUMMYFUNCTION("""COMPUTED_VALUE""")," (Axe) lvl:20, DMG: +500, Fire DMG: +500 ++Inflicts Burn 500")</f>
        <v> (Axe) lvl:20, DMG: +500, Fire DMG: +500 ++Inflicts Burn 500</v>
      </c>
      <c r="C56" s="1"/>
      <c r="D56" s="1"/>
      <c r="E56" s="1"/>
      <c r="F56" s="1"/>
      <c r="G56" s="1"/>
      <c r="H56" s="1"/>
      <c r="I56" s="1"/>
      <c r="J56" s="1"/>
      <c r="K56" s="1"/>
      <c r="L56" s="1"/>
      <c r="M56" s="1"/>
      <c r="N56" s="1"/>
      <c r="O56" s="1"/>
      <c r="P56" s="1"/>
      <c r="Q56" s="1"/>
      <c r="R56" s="1"/>
      <c r="S56" s="1"/>
      <c r="T56" s="1"/>
      <c r="U56" s="1"/>
      <c r="V56" s="1"/>
      <c r="W56" s="1"/>
      <c r="X56" s="1"/>
      <c r="Y56" s="1"/>
      <c r="Z56" s="1"/>
    </row>
    <row r="57">
      <c r="A57" s="1" t="str">
        <f>IFERROR(__xludf.DUMMYFUNCTION("""COMPUTED_VALUE"""),"Bamboo Spear")</f>
        <v>Bamboo Spear</v>
      </c>
      <c r="B57" s="1" t="str">
        <f>IFERROR(__xludf.DUMMYFUNCTION("""COMPUTED_VALUE""")," (Spear) lvl:60, DMG: +1000, Nature DMG: +1000, Blood DMG: +1000 ++When striking an enemy with this weapon, they X2 additional Nature damage.")</f>
        <v> (Spear) lvl:60, DMG: +1000, Nature DMG: +1000, Blood DMG: +1000 ++When striking an enemy with this weapon, they X2 additional Nature damage.</v>
      </c>
      <c r="C57" s="1"/>
      <c r="D57" s="1"/>
      <c r="E57" s="1"/>
      <c r="F57" s="1"/>
      <c r="G57" s="1"/>
      <c r="H57" s="1"/>
      <c r="I57" s="1"/>
      <c r="J57" s="1"/>
      <c r="K57" s="1"/>
      <c r="L57" s="1"/>
      <c r="M57" s="1"/>
      <c r="N57" s="1"/>
      <c r="O57" s="1"/>
      <c r="P57" s="1"/>
      <c r="Q57" s="1"/>
      <c r="R57" s="1"/>
      <c r="S57" s="1"/>
      <c r="T57" s="1"/>
      <c r="U57" s="1"/>
      <c r="V57" s="1"/>
      <c r="W57" s="1"/>
      <c r="X57" s="1"/>
      <c r="Y57" s="1"/>
      <c r="Z57" s="1"/>
    </row>
    <row r="58">
      <c r="A58" s="1" t="str">
        <f>IFERROR(__xludf.DUMMYFUNCTION("""COMPUTED_VALUE"""),"Baosheng’s Restore Pendant")</f>
        <v>Baosheng’s Restore Pendant</v>
      </c>
      <c r="B58" s="1" t="str">
        <f>IFERROR(__xludf.DUMMYFUNCTION("""COMPUTED_VALUE""")," () lvl:1, : + ++Restores 100 HP and SP per round during battle.")</f>
        <v> () lvl:1, : + ++Restores 100 HP and SP per round during battle.</v>
      </c>
      <c r="C58" s="1"/>
      <c r="D58" s="1"/>
      <c r="E58" s="1"/>
      <c r="F58" s="1"/>
      <c r="G58" s="1"/>
      <c r="H58" s="1"/>
      <c r="I58" s="1"/>
      <c r="J58" s="1"/>
      <c r="K58" s="1"/>
      <c r="L58" s="1"/>
      <c r="M58" s="1"/>
      <c r="N58" s="1"/>
      <c r="O58" s="1"/>
      <c r="P58" s="1"/>
      <c r="Q58" s="1"/>
      <c r="R58" s="1"/>
      <c r="S58" s="1"/>
      <c r="T58" s="1"/>
      <c r="U58" s="1"/>
      <c r="V58" s="1"/>
      <c r="W58" s="1"/>
      <c r="X58" s="1"/>
      <c r="Y58" s="1"/>
      <c r="Z58" s="1"/>
    </row>
    <row r="59">
      <c r="A59" s="1" t="str">
        <f>IFERROR(__xludf.DUMMYFUNCTION("""COMPUTED_VALUE"""),"Basic Cannon")</f>
        <v>Basic Cannon</v>
      </c>
      <c r="B59" s="1" t="str">
        <f>IFERROR(__xludf.DUMMYFUNCTION("""COMPUTED_VALUE""")," (Firearm) lvl:400, DMG: +20000")</f>
        <v> (Firearm) lvl:400, DMG: +20000</v>
      </c>
      <c r="C59" s="1"/>
      <c r="D59" s="1"/>
      <c r="E59" s="1"/>
      <c r="F59" s="1"/>
      <c r="G59" s="1"/>
      <c r="H59" s="1"/>
      <c r="I59" s="1"/>
      <c r="J59" s="1"/>
      <c r="K59" s="1"/>
      <c r="L59" s="1"/>
      <c r="M59" s="1"/>
      <c r="N59" s="1"/>
      <c r="O59" s="1"/>
      <c r="P59" s="1"/>
      <c r="Q59" s="1"/>
      <c r="R59" s="1"/>
      <c r="S59" s="1"/>
      <c r="T59" s="1"/>
      <c r="U59" s="1"/>
      <c r="V59" s="1"/>
      <c r="W59" s="1"/>
      <c r="X59" s="1"/>
      <c r="Y59" s="1"/>
      <c r="Z59" s="1"/>
    </row>
    <row r="60">
      <c r="A60" s="1" t="str">
        <f>IFERROR(__xludf.DUMMYFUNCTION("""COMPUTED_VALUE"""),"Beltane Floral crown")</f>
        <v>Beltane Floral crown</v>
      </c>
      <c r="B60" s="1" t="str">
        <f>IFERROR(__xludf.DUMMYFUNCTION("""COMPUTED_VALUE""")," () lvl:1, : + ++Grants immunity to Nature.")</f>
        <v> () lvl:1, : + ++Grants immunity to Nature.</v>
      </c>
      <c r="C60" s="1"/>
      <c r="D60" s="1"/>
      <c r="E60" s="1"/>
      <c r="F60" s="1"/>
      <c r="G60" s="1"/>
      <c r="H60" s="1"/>
      <c r="I60" s="1"/>
      <c r="J60" s="1"/>
      <c r="K60" s="1"/>
      <c r="L60" s="1"/>
      <c r="M60" s="1"/>
      <c r="N60" s="1"/>
      <c r="O60" s="1"/>
      <c r="P60" s="1"/>
      <c r="Q60" s="1"/>
      <c r="R60" s="1"/>
      <c r="S60" s="1"/>
      <c r="T60" s="1"/>
      <c r="U60" s="1"/>
      <c r="V60" s="1"/>
      <c r="W60" s="1"/>
      <c r="X60" s="1"/>
      <c r="Y60" s="1"/>
      <c r="Z60" s="1"/>
    </row>
    <row r="61">
      <c r="A61" s="1" t="str">
        <f>IFERROR(__xludf.DUMMYFUNCTION("""COMPUTED_VALUE"""),"Beta Sword")</f>
        <v>Beta Sword</v>
      </c>
      <c r="B61" s="1" t="str">
        <f>IFERROR(__xludf.DUMMYFUNCTION("""COMPUTED_VALUE""")," () lvl:3000, DMG: +125000, Dark DMG: +25000 ++Allows you to use another party members companion on your turn as a second action.")</f>
        <v> () lvl:3000, DMG: +125000, Dark DMG: +25000 ++Allows you to use another party members companion on your turn as a second action.</v>
      </c>
      <c r="C61" s="1"/>
      <c r="D61" s="1"/>
      <c r="E61" s="1"/>
      <c r="F61" s="1"/>
      <c r="G61" s="1"/>
      <c r="H61" s="1"/>
      <c r="I61" s="1"/>
      <c r="J61" s="1"/>
      <c r="K61" s="1"/>
      <c r="L61" s="1"/>
      <c r="M61" s="1"/>
      <c r="N61" s="1"/>
      <c r="O61" s="1"/>
      <c r="P61" s="1"/>
      <c r="Q61" s="1"/>
      <c r="R61" s="1"/>
      <c r="S61" s="1"/>
      <c r="T61" s="1"/>
      <c r="U61" s="1"/>
      <c r="V61" s="1"/>
      <c r="W61" s="1"/>
      <c r="X61" s="1"/>
      <c r="Y61" s="1"/>
      <c r="Z61" s="1"/>
    </row>
    <row r="62">
      <c r="A62" s="1" t="str">
        <f>IFERROR(__xludf.DUMMYFUNCTION("""COMPUTED_VALUE"""),"Black Crystal Necklace of Luck")</f>
        <v>Black Crystal Necklace of Luck</v>
      </c>
      <c r="B62" s="1" t="str">
        <f>IFERROR(__xludf.DUMMYFUNCTION("""COMPUTED_VALUE""")," () lvl:1, : + ++Plus 2 is added to whatever number you roll on a d20 ++can only wear one, +-Cannot be forged or duplicated.")</f>
        <v> () lvl:1, : + ++Plus 2 is added to whatever number you roll on a d20 ++can only wear one, +-Cannot be forged or duplicated.</v>
      </c>
      <c r="C62" s="1"/>
      <c r="D62" s="1"/>
      <c r="E62" s="1"/>
      <c r="F62" s="1"/>
      <c r="G62" s="1"/>
      <c r="H62" s="1"/>
      <c r="I62" s="1"/>
      <c r="J62" s="1"/>
      <c r="K62" s="1"/>
      <c r="L62" s="1"/>
      <c r="M62" s="1"/>
      <c r="N62" s="1"/>
      <c r="O62" s="1"/>
      <c r="P62" s="1"/>
      <c r="Q62" s="1"/>
      <c r="R62" s="1"/>
      <c r="S62" s="1"/>
      <c r="T62" s="1"/>
      <c r="U62" s="1"/>
      <c r="V62" s="1"/>
      <c r="W62" s="1"/>
      <c r="X62" s="1"/>
      <c r="Y62" s="1"/>
      <c r="Z62" s="1"/>
    </row>
    <row r="63">
      <c r="A63" s="1" t="str">
        <f>IFERROR(__xludf.DUMMYFUNCTION("""COMPUTED_VALUE"""),"Black Serpent Dragon Pendant")</f>
        <v>Black Serpent Dragon Pendant</v>
      </c>
      <c r="B63" s="1" t="str">
        <f>IFERROR(__xludf.DUMMYFUNCTION("""COMPUTED_VALUE""")," () lvl:1, : + ++Immunity to dark and water damage. ++X2 additional dark and water damage for the wearer.")</f>
        <v> () lvl:1, : + ++Immunity to dark and water damage. ++X2 additional dark and water damage for the wearer.</v>
      </c>
      <c r="C63" s="1"/>
      <c r="D63" s="1"/>
      <c r="E63" s="1"/>
      <c r="F63" s="1"/>
      <c r="G63" s="1"/>
      <c r="H63" s="1"/>
      <c r="I63" s="1"/>
      <c r="J63" s="1"/>
      <c r="K63" s="1"/>
      <c r="L63" s="1"/>
      <c r="M63" s="1"/>
      <c r="N63" s="1"/>
      <c r="O63" s="1"/>
      <c r="P63" s="1"/>
      <c r="Q63" s="1"/>
      <c r="R63" s="1"/>
      <c r="S63" s="1"/>
      <c r="T63" s="1"/>
      <c r="U63" s="1"/>
      <c r="V63" s="1"/>
      <c r="W63" s="1"/>
      <c r="X63" s="1"/>
      <c r="Y63" s="1"/>
      <c r="Z63" s="1"/>
    </row>
    <row r="64">
      <c r="A64" s="1" t="str">
        <f>IFERROR(__xludf.DUMMYFUNCTION("""COMPUTED_VALUE"""),"Blade of Burning Energy")</f>
        <v>Blade of Burning Energy</v>
      </c>
      <c r="B64" s="1" t="str">
        <f>IFERROR(__xludf.DUMMYFUNCTION("""COMPUTED_VALUE""")," (Sword) lvl:400, DMG: +10000, Fire DMG: +10000 ++Burn 5000")</f>
        <v> (Sword) lvl:400, DMG: +10000, Fire DMG: +10000 ++Burn 5000</v>
      </c>
      <c r="C64" s="1"/>
      <c r="D64" s="1"/>
      <c r="E64" s="1"/>
      <c r="F64" s="1"/>
      <c r="G64" s="1"/>
      <c r="H64" s="1"/>
      <c r="I64" s="1"/>
      <c r="J64" s="1"/>
      <c r="K64" s="1"/>
      <c r="L64" s="1"/>
      <c r="M64" s="1"/>
      <c r="N64" s="1"/>
      <c r="O64" s="1"/>
      <c r="P64" s="1"/>
      <c r="Q64" s="1"/>
      <c r="R64" s="1"/>
      <c r="S64" s="1"/>
      <c r="T64" s="1"/>
      <c r="U64" s="1"/>
      <c r="V64" s="1"/>
      <c r="W64" s="1"/>
      <c r="X64" s="1"/>
      <c r="Y64" s="1"/>
      <c r="Z64" s="1"/>
    </row>
    <row r="65">
      <c r="A65" s="1" t="str">
        <f>IFERROR(__xludf.DUMMYFUNCTION("""COMPUTED_VALUE"""),"Blood Katana")</f>
        <v>Blood Katana</v>
      </c>
      <c r="B65" s="1" t="str">
        <f>IFERROR(__xludf.DUMMYFUNCTION("""COMPUTED_VALUE""")," (Sword) lvl:400, DMG: +10000, Blood DMG: +10000 ++X2 blood damage for spells and weapons. +-Cannot be duplicated.")</f>
        <v> (Sword) lvl:400, DMG: +10000, Blood DMG: +10000 ++X2 blood damage for spells and weapons. +-Cannot be duplicated.</v>
      </c>
      <c r="C65" s="1"/>
      <c r="D65" s="1"/>
      <c r="E65" s="1"/>
      <c r="F65" s="1"/>
      <c r="G65" s="1"/>
      <c r="H65" s="1"/>
      <c r="I65" s="1"/>
      <c r="J65" s="1"/>
      <c r="K65" s="1"/>
      <c r="L65" s="1"/>
      <c r="M65" s="1"/>
      <c r="N65" s="1"/>
      <c r="O65" s="1"/>
      <c r="P65" s="1"/>
      <c r="Q65" s="1"/>
      <c r="R65" s="1"/>
      <c r="S65" s="1"/>
      <c r="T65" s="1"/>
      <c r="U65" s="1"/>
      <c r="V65" s="1"/>
      <c r="W65" s="1"/>
      <c r="X65" s="1"/>
      <c r="Y65" s="1"/>
      <c r="Z65" s="1"/>
    </row>
    <row r="66">
      <c r="A66" s="1" t="str">
        <f>IFERROR(__xludf.DUMMYFUNCTION("""COMPUTED_VALUE"""),"Blue Steel Sword")</f>
        <v>Blue Steel Sword</v>
      </c>
      <c r="B66" s="1" t="str">
        <f>IFERROR(__xludf.DUMMYFUNCTION("""COMPUTED_VALUE""")," (Sword) lvl:40, DMG: +1000, Water DMG: +1000")</f>
        <v> (Sword) lvl:40, DMG: +1000, Water DMG: +1000</v>
      </c>
      <c r="C66" s="1"/>
      <c r="D66" s="1"/>
      <c r="E66" s="1"/>
      <c r="F66" s="1"/>
      <c r="G66" s="1"/>
      <c r="H66" s="1"/>
      <c r="I66" s="1"/>
      <c r="J66" s="1"/>
      <c r="K66" s="1"/>
      <c r="L66" s="1"/>
      <c r="M66" s="1"/>
      <c r="N66" s="1"/>
      <c r="O66" s="1"/>
      <c r="P66" s="1"/>
      <c r="Q66" s="1"/>
      <c r="R66" s="1"/>
      <c r="S66" s="1"/>
      <c r="T66" s="1"/>
      <c r="U66" s="1"/>
      <c r="V66" s="1"/>
      <c r="W66" s="1"/>
      <c r="X66" s="1"/>
      <c r="Y66" s="1"/>
      <c r="Z66" s="1"/>
    </row>
    <row r="67">
      <c r="A67" s="1" t="str">
        <f>IFERROR(__xludf.DUMMYFUNCTION("""COMPUTED_VALUE"""),"Blunderbuss (Exclusive)")</f>
        <v>Blunderbuss (Exclusive)</v>
      </c>
      <c r="B67" s="1" t="str">
        <f>IFERROR(__xludf.DUMMYFUNCTION("""COMPUTED_VALUE"""),"The feast enjoyed on the first Thanksgiving didn’t hunt itself! The Pilgrims had to forage and hunt before setting the table. You can count on the Blunderbuss to help you when times are rough. (Firearm) lvl:200, : +50000, Celestial : +50000 ++This weapon "&amp;"will deal x4 damage if you are using the turkey hydra companion. +-You must take a turn to reload this weapon after using it.")</f>
        <v>The feast enjoyed on the first Thanksgiving didn’t hunt itself! The Pilgrims had to forage and hunt before setting the table. You can count on the Blunderbuss to help you when times are rough. (Firearm) lvl:200, : +50000, Celestial : +50000 ++This weapon will deal x4 damage if you are using the turkey hydra companion. +-You must take a turn to reload this weapon after using it.</v>
      </c>
      <c r="C67" s="1"/>
      <c r="D67" s="1"/>
      <c r="E67" s="1"/>
      <c r="F67" s="1"/>
      <c r="G67" s="1"/>
      <c r="H67" s="1"/>
      <c r="I67" s="1"/>
      <c r="J67" s="1"/>
      <c r="K67" s="1"/>
      <c r="L67" s="1"/>
      <c r="M67" s="1"/>
      <c r="N67" s="1"/>
      <c r="O67" s="1"/>
      <c r="P67" s="1"/>
      <c r="Q67" s="1"/>
      <c r="R67" s="1"/>
      <c r="S67" s="1"/>
      <c r="T67" s="1"/>
      <c r="U67" s="1"/>
      <c r="V67" s="1"/>
      <c r="W67" s="1"/>
      <c r="X67" s="1"/>
      <c r="Y67" s="1"/>
      <c r="Z67" s="1"/>
    </row>
    <row r="68">
      <c r="A68" s="1" t="str">
        <f>IFERROR(__xludf.DUMMYFUNCTION("""COMPUTED_VALUE"""),"Bone Sword ")</f>
        <v>Bone Sword </v>
      </c>
      <c r="B68" s="1" t="str">
        <f>IFERROR(__xludf.DUMMYFUNCTION("""COMPUTED_VALUE""")," (Sword) lvl:300, DMG: +5000, Earth DMG: +5000, Dark DMG: +5000 ++X2 Earth damage. ")</f>
        <v> (Sword) lvl:300, DMG: +5000, Earth DMG: +5000, Dark DMG: +5000 ++X2 Earth damage. </v>
      </c>
      <c r="C68" s="1"/>
      <c r="D68" s="1"/>
      <c r="E68" s="1"/>
      <c r="F68" s="1"/>
      <c r="G68" s="1"/>
      <c r="H68" s="1"/>
      <c r="I68" s="1"/>
      <c r="J68" s="1"/>
      <c r="K68" s="1"/>
      <c r="L68" s="1"/>
      <c r="M68" s="1"/>
      <c r="N68" s="1"/>
      <c r="O68" s="1"/>
      <c r="P68" s="1"/>
      <c r="Q68" s="1"/>
      <c r="R68" s="1"/>
      <c r="S68" s="1"/>
      <c r="T68" s="1"/>
      <c r="U68" s="1"/>
      <c r="V68" s="1"/>
      <c r="W68" s="1"/>
      <c r="X68" s="1"/>
      <c r="Y68" s="1"/>
      <c r="Z68" s="1"/>
    </row>
    <row r="69">
      <c r="A69" s="1" t="str">
        <f>IFERROR(__xludf.DUMMYFUNCTION("""COMPUTED_VALUE"""),"Boots of Waking Waters")</f>
        <v>Boots of Waking Waters</v>
      </c>
      <c r="B69" s="1" t="str">
        <f>IFERROR(__xludf.DUMMYFUNCTION("""COMPUTED_VALUE""")," () lvl:200, DEF: +5000, Water DEF: +5000 ++X4 additional water damage for self.")</f>
        <v> () lvl:200, DEF: +5000, Water DEF: +5000 ++X4 additional water damage for self.</v>
      </c>
      <c r="C69" s="1"/>
      <c r="D69" s="1"/>
      <c r="E69" s="1"/>
      <c r="F69" s="1"/>
      <c r="G69" s="1"/>
      <c r="H69" s="1"/>
      <c r="I69" s="1"/>
      <c r="J69" s="1"/>
      <c r="K69" s="1"/>
      <c r="L69" s="1"/>
      <c r="M69" s="1"/>
      <c r="N69" s="1"/>
      <c r="O69" s="1"/>
      <c r="P69" s="1"/>
      <c r="Q69" s="1"/>
      <c r="R69" s="1"/>
      <c r="S69" s="1"/>
      <c r="T69" s="1"/>
      <c r="U69" s="1"/>
      <c r="V69" s="1"/>
      <c r="W69" s="1"/>
      <c r="X69" s="1"/>
      <c r="Y69" s="1"/>
      <c r="Z69" s="1"/>
    </row>
    <row r="70">
      <c r="A70" s="1" t="str">
        <f>IFERROR(__xludf.DUMMYFUNCTION("""COMPUTED_VALUE"""),"Bow of Chaotic Darkness")</f>
        <v>Bow of Chaotic Darkness</v>
      </c>
      <c r="B70" s="1" t="str">
        <f>IFERROR(__xludf.DUMMYFUNCTION("""COMPUTED_VALUE""")," (Bow) lvl:4400, DMG: +140000, Dark DMG: +40000, Chaos DMG: +40000 ++You may use up to 4 arrows with this bow.")</f>
        <v> (Bow) lvl:4400, DMG: +140000, Dark DMG: +40000, Chaos DMG: +40000 ++You may use up to 4 arrows with this bow.</v>
      </c>
      <c r="C70" s="1"/>
      <c r="D70" s="1"/>
      <c r="E70" s="1"/>
      <c r="F70" s="1"/>
      <c r="G70" s="1"/>
      <c r="H70" s="1"/>
      <c r="I70" s="1"/>
      <c r="J70" s="1"/>
      <c r="K70" s="1"/>
      <c r="L70" s="1"/>
      <c r="M70" s="1"/>
      <c r="N70" s="1"/>
      <c r="O70" s="1"/>
      <c r="P70" s="1"/>
      <c r="Q70" s="1"/>
      <c r="R70" s="1"/>
      <c r="S70" s="1"/>
      <c r="T70" s="1"/>
      <c r="U70" s="1"/>
      <c r="V70" s="1"/>
      <c r="W70" s="1"/>
      <c r="X70" s="1"/>
      <c r="Y70" s="1"/>
      <c r="Z70" s="1"/>
    </row>
    <row r="71">
      <c r="A71" s="1" t="str">
        <f>IFERROR(__xludf.DUMMYFUNCTION("""COMPUTED_VALUE"""),"Bow of Luck")</f>
        <v>Bow of Luck</v>
      </c>
      <c r="B71" s="1" t="str">
        <f>IFERROR(__xludf.DUMMYFUNCTION("""COMPUTED_VALUE""")," (Bow) lvl:3000, DMG: +150000 ++You may add mobility to your attack rolls as long as you are attacking with a bow. +-Cannot be forged")</f>
        <v> (Bow) lvl:3000, DMG: +150000 ++You may add mobility to your attack rolls as long as you are attacking with a bow. +-Cannot be forged</v>
      </c>
      <c r="C71" s="1"/>
      <c r="D71" s="1"/>
      <c r="E71" s="1"/>
      <c r="F71" s="1"/>
      <c r="G71" s="1"/>
      <c r="H71" s="1"/>
      <c r="I71" s="1"/>
      <c r="J71" s="1"/>
      <c r="K71" s="1"/>
      <c r="L71" s="1"/>
      <c r="M71" s="1"/>
      <c r="N71" s="1"/>
      <c r="O71" s="1"/>
      <c r="P71" s="1"/>
      <c r="Q71" s="1"/>
      <c r="R71" s="1"/>
      <c r="S71" s="1"/>
      <c r="T71" s="1"/>
      <c r="U71" s="1"/>
      <c r="V71" s="1"/>
      <c r="W71" s="1"/>
      <c r="X71" s="1"/>
      <c r="Y71" s="1"/>
      <c r="Z71" s="1"/>
    </row>
    <row r="72">
      <c r="A72" s="1" t="str">
        <f>IFERROR(__xludf.DUMMYFUNCTION("""COMPUTED_VALUE"""),"Bow of The Sacred Druids")</f>
        <v>Bow of The Sacred Druids</v>
      </c>
      <c r="B72" s="1" t="str">
        <f>IFERROR(__xludf.DUMMYFUNCTION("""COMPUTED_VALUE""")," (Bow) lvl:200, DMG: +5000, Nature DMG: +5000 ++Druids Call - X4 additional damage for ranged weapons.")</f>
        <v> (Bow) lvl:200, DMG: +5000, Nature DMG: +5000 ++Druids Call - X4 additional damage for ranged weapons.</v>
      </c>
      <c r="C72" s="1"/>
      <c r="D72" s="1"/>
      <c r="E72" s="1"/>
      <c r="F72" s="1"/>
      <c r="G72" s="1"/>
      <c r="H72" s="1"/>
      <c r="I72" s="1"/>
      <c r="J72" s="1"/>
      <c r="K72" s="1"/>
      <c r="L72" s="1"/>
      <c r="M72" s="1"/>
      <c r="N72" s="1"/>
      <c r="O72" s="1"/>
      <c r="P72" s="1"/>
      <c r="Q72" s="1"/>
      <c r="R72" s="1"/>
      <c r="S72" s="1"/>
      <c r="T72" s="1"/>
      <c r="U72" s="1"/>
      <c r="V72" s="1"/>
      <c r="W72" s="1"/>
      <c r="X72" s="1"/>
      <c r="Y72" s="1"/>
      <c r="Z72" s="1"/>
    </row>
    <row r="73">
      <c r="A73" s="1" t="str">
        <f>IFERROR(__xludf.DUMMYFUNCTION("""COMPUTED_VALUE"""),"Bo Staff Of Zhenmay")</f>
        <v>Bo Staff Of Zhenmay</v>
      </c>
      <c r="B73" s="1" t="str">
        <f>IFERROR(__xludf.DUMMYFUNCTION("""COMPUTED_VALUE""")," (Club) lvl:3000, DMG: +100000, Zen DMG: +50000 ++Blindness 2. ")</f>
        <v> (Club) lvl:3000, DMG: +100000, Zen DMG: +50000 ++Blindness 2. </v>
      </c>
      <c r="C73" s="1"/>
      <c r="D73" s="1"/>
      <c r="E73" s="1"/>
      <c r="F73" s="1"/>
      <c r="G73" s="1"/>
      <c r="H73" s="1"/>
      <c r="I73" s="1"/>
      <c r="J73" s="1"/>
      <c r="K73" s="1"/>
      <c r="L73" s="1"/>
      <c r="M73" s="1"/>
      <c r="N73" s="1"/>
      <c r="O73" s="1"/>
      <c r="P73" s="1"/>
      <c r="Q73" s="1"/>
      <c r="R73" s="1"/>
      <c r="S73" s="1"/>
      <c r="T73" s="1"/>
      <c r="U73" s="1"/>
      <c r="V73" s="1"/>
      <c r="W73" s="1"/>
      <c r="X73" s="1"/>
      <c r="Y73" s="1"/>
      <c r="Z73" s="1"/>
    </row>
    <row r="74">
      <c r="A74" s="1" t="str">
        <f>IFERROR(__xludf.DUMMYFUNCTION("""COMPUTED_VALUE"""),"Breezy Clothes")</f>
        <v>Breezy Clothes</v>
      </c>
      <c r="B74" s="1" t="str">
        <f>IFERROR(__xludf.DUMMYFUNCTION("""COMPUTED_VALUE""")," () lvl:1, : + ++While equipped, Take half damage from fire damage, But decrease water damage you deal by half. ")</f>
        <v> () lvl:1, : + ++While equipped, Take half damage from fire damage, But decrease water damage you deal by half. </v>
      </c>
      <c r="C74" s="1"/>
      <c r="D74" s="1"/>
      <c r="E74" s="1"/>
      <c r="F74" s="1"/>
      <c r="G74" s="1"/>
      <c r="H74" s="1"/>
      <c r="I74" s="1"/>
      <c r="J74" s="1"/>
      <c r="K74" s="1"/>
      <c r="L74" s="1"/>
      <c r="M74" s="1"/>
      <c r="N74" s="1"/>
      <c r="O74" s="1"/>
      <c r="P74" s="1"/>
      <c r="Q74" s="1"/>
      <c r="R74" s="1"/>
      <c r="S74" s="1"/>
      <c r="T74" s="1"/>
      <c r="U74" s="1"/>
      <c r="V74" s="1"/>
      <c r="W74" s="1"/>
      <c r="X74" s="1"/>
      <c r="Y74" s="1"/>
      <c r="Z74" s="1"/>
    </row>
    <row r="75">
      <c r="A75" s="1" t="str">
        <f>IFERROR(__xludf.DUMMYFUNCTION("""COMPUTED_VALUE"""),"Bright Flame Sword")</f>
        <v>Bright Flame Sword</v>
      </c>
      <c r="B75" s="1" t="str">
        <f>IFERROR(__xludf.DUMMYFUNCTION("""COMPUTED_VALUE""")," (Sword) lvl:300, DMG: +10000, Fire DMG: +5000")</f>
        <v> (Sword) lvl:300, DMG: +10000, Fire DMG: +5000</v>
      </c>
      <c r="C75" s="1"/>
      <c r="D75" s="1"/>
      <c r="E75" s="1"/>
      <c r="F75" s="1"/>
      <c r="G75" s="1"/>
      <c r="H75" s="1"/>
      <c r="I75" s="1"/>
      <c r="J75" s="1"/>
      <c r="K75" s="1"/>
      <c r="L75" s="1"/>
      <c r="M75" s="1"/>
      <c r="N75" s="1"/>
      <c r="O75" s="1"/>
      <c r="P75" s="1"/>
      <c r="Q75" s="1"/>
      <c r="R75" s="1"/>
      <c r="S75" s="1"/>
      <c r="T75" s="1"/>
      <c r="U75" s="1"/>
      <c r="V75" s="1"/>
      <c r="W75" s="1"/>
      <c r="X75" s="1"/>
      <c r="Y75" s="1"/>
      <c r="Z75" s="1"/>
    </row>
    <row r="76">
      <c r="A76" s="1" t="str">
        <f>IFERROR(__xludf.DUMMYFUNCTION("""COMPUTED_VALUE"""),"Broken Sword")</f>
        <v>Broken Sword</v>
      </c>
      <c r="B76" s="1" t="str">
        <f>IFERROR(__xludf.DUMMYFUNCTION("""COMPUTED_VALUE""")," (Knife) lvl:1, DMG: +1 ++ -1 evasion")</f>
        <v> (Knife) lvl:1, DMG: +1 ++ -1 evasion</v>
      </c>
      <c r="C76" s="1"/>
      <c r="D76" s="1"/>
      <c r="E76" s="1"/>
      <c r="F76" s="1"/>
      <c r="G76" s="1"/>
      <c r="H76" s="1"/>
      <c r="I76" s="1"/>
      <c r="J76" s="1"/>
      <c r="K76" s="1"/>
      <c r="L76" s="1"/>
      <c r="M76" s="1"/>
      <c r="N76" s="1"/>
      <c r="O76" s="1"/>
      <c r="P76" s="1"/>
      <c r="Q76" s="1"/>
      <c r="R76" s="1"/>
      <c r="S76" s="1"/>
      <c r="T76" s="1"/>
      <c r="U76" s="1"/>
      <c r="V76" s="1"/>
      <c r="W76" s="1"/>
      <c r="X76" s="1"/>
      <c r="Y76" s="1"/>
      <c r="Z76" s="1"/>
    </row>
    <row r="77">
      <c r="A77" s="1" t="str">
        <f>IFERROR(__xludf.DUMMYFUNCTION("""COMPUTED_VALUE"""),"Burning Broadsword")</f>
        <v>Burning Broadsword</v>
      </c>
      <c r="B77" s="1" t="str">
        <f>IFERROR(__xludf.DUMMYFUNCTION("""COMPUTED_VALUE""")," (Sword) lvl:200, DMG: +5000, Fire DMG: +5000 ++10,000 fire damage per round for 3 rounds.")</f>
        <v> (Sword) lvl:200, DMG: +5000, Fire DMG: +5000 ++10,000 fire damage per round for 3 rounds.</v>
      </c>
      <c r="C77" s="1"/>
      <c r="D77" s="1"/>
      <c r="E77" s="1"/>
      <c r="F77" s="1"/>
      <c r="G77" s="1"/>
      <c r="H77" s="1"/>
      <c r="I77" s="1"/>
      <c r="J77" s="1"/>
      <c r="K77" s="1"/>
      <c r="L77" s="1"/>
      <c r="M77" s="1"/>
      <c r="N77" s="1"/>
      <c r="O77" s="1"/>
      <c r="P77" s="1"/>
      <c r="Q77" s="1"/>
      <c r="R77" s="1"/>
      <c r="S77" s="1"/>
      <c r="T77" s="1"/>
      <c r="U77" s="1"/>
      <c r="V77" s="1"/>
      <c r="W77" s="1"/>
      <c r="X77" s="1"/>
      <c r="Y77" s="1"/>
      <c r="Z77" s="1"/>
    </row>
    <row r="78">
      <c r="A78" s="1" t="str">
        <f>IFERROR(__xludf.DUMMYFUNCTION("""COMPUTED_VALUE"""),"Candy Corn Necklace")</f>
        <v>Candy Corn Necklace</v>
      </c>
      <c r="B78" s="1" t="str">
        <f>IFERROR(__xludf.DUMMYFUNCTION("""COMPUTED_VALUE"""),"Halloween Exclusive () lvl:1, : + ++Gives Immunity to Dark and Chaos Damage, ++ +2 Intimidation.")</f>
        <v>Halloween Exclusive () lvl:1, : + ++Gives Immunity to Dark and Chaos Damage, ++ +2 Intimidation.</v>
      </c>
      <c r="C78" s="1"/>
      <c r="D78" s="1"/>
      <c r="E78" s="1"/>
      <c r="F78" s="1"/>
      <c r="G78" s="1"/>
      <c r="H78" s="1"/>
      <c r="I78" s="1"/>
      <c r="J78" s="1"/>
      <c r="K78" s="1"/>
      <c r="L78" s="1"/>
      <c r="M78" s="1"/>
      <c r="N78" s="1"/>
      <c r="O78" s="1"/>
      <c r="P78" s="1"/>
      <c r="Q78" s="1"/>
      <c r="R78" s="1"/>
      <c r="S78" s="1"/>
      <c r="T78" s="1"/>
      <c r="U78" s="1"/>
      <c r="V78" s="1"/>
      <c r="W78" s="1"/>
      <c r="X78" s="1"/>
      <c r="Y78" s="1"/>
      <c r="Z78" s="1"/>
    </row>
    <row r="79">
      <c r="A79" s="1" t="str">
        <f>IFERROR(__xludf.DUMMYFUNCTION("""COMPUTED_VALUE"""),"Candy Corn Rifle")</f>
        <v>Candy Corn Rifle</v>
      </c>
      <c r="B79" s="1" t="str">
        <f>IFERROR(__xludf.DUMMYFUNCTION("""COMPUTED_VALUE"""),"Halloween Exclusive (Firearm) lvl:200, DMG: +10000, Fire DMG: +10000, Dark DMG: +10000, Spirit DMG: +10000, Chaos DMG: +10000, Voodoo DMG: +10000, Blood DMG: +10000, Celestial DMG: +10000 ++Uses Candy Corn as Ammunition. ++Can use mobility when attacking "&amp;"with this weapon. +-Cannot be forged or duplicated. ")</f>
        <v>Halloween Exclusive (Firearm) lvl:200, DMG: +10000, Fire DMG: +10000, Dark DMG: +10000, Spirit DMG: +10000, Chaos DMG: +10000, Voodoo DMG: +10000, Blood DMG: +10000, Celestial DMG: +10000 ++Uses Candy Corn as Ammunition. ++Can use mobility when attacking with this weapon. +-Cannot be forged or duplicated. </v>
      </c>
      <c r="C79" s="1"/>
      <c r="D79" s="1"/>
      <c r="E79" s="1"/>
      <c r="F79" s="1"/>
      <c r="G79" s="1"/>
      <c r="H79" s="1"/>
      <c r="I79" s="1"/>
      <c r="J79" s="1"/>
      <c r="K79" s="1"/>
      <c r="L79" s="1"/>
      <c r="M79" s="1"/>
      <c r="N79" s="1"/>
      <c r="O79" s="1"/>
      <c r="P79" s="1"/>
      <c r="Q79" s="1"/>
      <c r="R79" s="1"/>
      <c r="S79" s="1"/>
      <c r="T79" s="1"/>
      <c r="U79" s="1"/>
      <c r="V79" s="1"/>
      <c r="W79" s="1"/>
      <c r="X79" s="1"/>
      <c r="Y79" s="1"/>
      <c r="Z79" s="1"/>
    </row>
    <row r="80">
      <c r="A80" s="1" t="str">
        <f>IFERROR(__xludf.DUMMYFUNCTION("""COMPUTED_VALUE"""),"Cap of Metal Harmony's")</f>
        <v>Cap of Metal Harmony's</v>
      </c>
      <c r="B80" s="1" t="str">
        <f>IFERROR(__xludf.DUMMYFUNCTION("""COMPUTED_VALUE""")," () lvl:200, DEF: +10000 ++Half the SP cost for Fire, Water, Storm, Earth, and Nature spells.")</f>
        <v> () lvl:200, DEF: +10000 ++Half the SP cost for Fire, Water, Storm, Earth, and Nature spells.</v>
      </c>
      <c r="C80" s="1"/>
      <c r="D80" s="1"/>
      <c r="E80" s="1"/>
      <c r="F80" s="1"/>
      <c r="G80" s="1"/>
      <c r="H80" s="1"/>
      <c r="I80" s="1"/>
      <c r="J80" s="1"/>
      <c r="K80" s="1"/>
      <c r="L80" s="1"/>
      <c r="M80" s="1"/>
      <c r="N80" s="1"/>
      <c r="O80" s="1"/>
      <c r="P80" s="1"/>
      <c r="Q80" s="1"/>
      <c r="R80" s="1"/>
      <c r="S80" s="1"/>
      <c r="T80" s="1"/>
      <c r="U80" s="1"/>
      <c r="V80" s="1"/>
      <c r="W80" s="1"/>
      <c r="X80" s="1"/>
      <c r="Y80" s="1"/>
      <c r="Z80" s="1"/>
    </row>
    <row r="81">
      <c r="A81" s="1" t="str">
        <f>IFERROR(__xludf.DUMMYFUNCTION("""COMPUTED_VALUE"""),"Celestian Royal Shield")</f>
        <v>Celestian Royal Shield</v>
      </c>
      <c r="B81" s="1" t="str">
        <f>IFERROR(__xludf.DUMMYFUNCTION("""COMPUTED_VALUE"""),"Quest Item (Towershield) lvl:200, DEF: +100000, Light DEF: +100000, Dark DEF: +100000, Celestial DEF: +100000 ++Royal Protection: Immunity to Celestial. +-Cannot be forged or duplicated.")</f>
        <v>Quest Item (Towershield) lvl:200, DEF: +100000, Light DEF: +100000, Dark DEF: +100000, Celestial DEF: +100000 ++Royal Protection: Immunity to Celestial. +-Cannot be forged or duplicated.</v>
      </c>
      <c r="C81" s="1"/>
      <c r="D81" s="1"/>
      <c r="E81" s="1"/>
      <c r="F81" s="1"/>
      <c r="G81" s="1"/>
      <c r="H81" s="1"/>
      <c r="I81" s="1"/>
      <c r="J81" s="1"/>
      <c r="K81" s="1"/>
      <c r="L81" s="1"/>
      <c r="M81" s="1"/>
      <c r="N81" s="1"/>
      <c r="O81" s="1"/>
      <c r="P81" s="1"/>
      <c r="Q81" s="1"/>
      <c r="R81" s="1"/>
      <c r="S81" s="1"/>
      <c r="T81" s="1"/>
      <c r="U81" s="1"/>
      <c r="V81" s="1"/>
      <c r="W81" s="1"/>
      <c r="X81" s="1"/>
      <c r="Y81" s="1"/>
      <c r="Z81" s="1"/>
    </row>
    <row r="82">
      <c r="A82" s="1" t="str">
        <f>IFERROR(__xludf.DUMMYFUNCTION("""COMPUTED_VALUE"""),"Celestian Royal Sword")</f>
        <v>Celestian Royal Sword</v>
      </c>
      <c r="B82" s="1" t="str">
        <f>IFERROR(__xludf.DUMMYFUNCTION("""COMPUTED_VALUE"""),"Quest Item (Sword) lvl:200, DMG: +100000, Light DMG: +100000, Dark DMG: +100000, Celestial DMG: +100000 ++X8 Celestial Damage. +-Cannot be forged or duplicated.")</f>
        <v>Quest Item (Sword) lvl:200, DMG: +100000, Light DMG: +100000, Dark DMG: +100000, Celestial DMG: +100000 ++X8 Celestial Damage. +-Cannot be forged or duplicated.</v>
      </c>
      <c r="C82" s="1"/>
      <c r="D82" s="1"/>
      <c r="E82" s="1"/>
      <c r="F82" s="1"/>
      <c r="G82" s="1"/>
      <c r="H82" s="1"/>
      <c r="I82" s="1"/>
      <c r="J82" s="1"/>
      <c r="K82" s="1"/>
      <c r="L82" s="1"/>
      <c r="M82" s="1"/>
      <c r="N82" s="1"/>
      <c r="O82" s="1"/>
      <c r="P82" s="1"/>
      <c r="Q82" s="1"/>
      <c r="R82" s="1"/>
      <c r="S82" s="1"/>
      <c r="T82" s="1"/>
      <c r="U82" s="1"/>
      <c r="V82" s="1"/>
      <c r="W82" s="1"/>
      <c r="X82" s="1"/>
      <c r="Y82" s="1"/>
      <c r="Z82" s="1"/>
    </row>
    <row r="83">
      <c r="A83" s="1" t="str">
        <f>IFERROR(__xludf.DUMMYFUNCTION("""COMPUTED_VALUE"""),"Chain Link Armor")</f>
        <v>Chain Link Armor</v>
      </c>
      <c r="B83" s="1" t="str">
        <f>IFERROR(__xludf.DUMMYFUNCTION("""COMPUTED_VALUE""")," () lvl:40, DEF: +2000 ++Wrapped in Chains - When the wearer is attacked with a weapon; 25% chance to make the attacker drop it's weapon.")</f>
        <v> () lvl:40, DEF: +2000 ++Wrapped in Chains - When the wearer is attacked with a weapon; 25% chance to make the attacker drop it's weapon.</v>
      </c>
      <c r="C83" s="1"/>
      <c r="D83" s="1"/>
      <c r="E83" s="1"/>
      <c r="F83" s="1"/>
      <c r="G83" s="1"/>
      <c r="H83" s="1"/>
      <c r="I83" s="1"/>
      <c r="J83" s="1"/>
      <c r="K83" s="1"/>
      <c r="L83" s="1"/>
      <c r="M83" s="1"/>
      <c r="N83" s="1"/>
      <c r="O83" s="1"/>
      <c r="P83" s="1"/>
      <c r="Q83" s="1"/>
      <c r="R83" s="1"/>
      <c r="S83" s="1"/>
      <c r="T83" s="1"/>
      <c r="U83" s="1"/>
      <c r="V83" s="1"/>
      <c r="W83" s="1"/>
      <c r="X83" s="1"/>
      <c r="Y83" s="1"/>
      <c r="Z83" s="1"/>
    </row>
    <row r="84">
      <c r="A84" s="1" t="str">
        <f>IFERROR(__xludf.DUMMYFUNCTION("""COMPUTED_VALUE"""),"Chaos Sword")</f>
        <v>Chaos Sword</v>
      </c>
      <c r="B84" s="1" t="str">
        <f>IFERROR(__xludf.DUMMYFUNCTION("""COMPUTED_VALUE""")," (Sword) lvl:90, DMG: +2500, Chaos DMG: +2000 ++ +2 Intimidation. +-Cannot be duplicated. +-Can only equip one.")</f>
        <v> (Sword) lvl:90, DMG: +2500, Chaos DMG: +2000 ++ +2 Intimidation. +-Cannot be duplicated. +-Can only equip one.</v>
      </c>
      <c r="C84" s="1"/>
      <c r="D84" s="1"/>
      <c r="E84" s="1"/>
      <c r="F84" s="1"/>
      <c r="G84" s="1"/>
      <c r="H84" s="1"/>
      <c r="I84" s="1"/>
      <c r="J84" s="1"/>
      <c r="K84" s="1"/>
      <c r="L84" s="1"/>
      <c r="M84" s="1"/>
      <c r="N84" s="1"/>
      <c r="O84" s="1"/>
      <c r="P84" s="1"/>
      <c r="Q84" s="1"/>
      <c r="R84" s="1"/>
      <c r="S84" s="1"/>
      <c r="T84" s="1"/>
      <c r="U84" s="1"/>
      <c r="V84" s="1"/>
      <c r="W84" s="1"/>
      <c r="X84" s="1"/>
      <c r="Y84" s="1"/>
      <c r="Z84" s="1"/>
    </row>
    <row r="85">
      <c r="A85" s="1" t="str">
        <f>IFERROR(__xludf.DUMMYFUNCTION("""COMPUTED_VALUE"""),"Chaotic Amulet")</f>
        <v>Chaotic Amulet</v>
      </c>
      <c r="B85" s="1" t="str">
        <f>IFERROR(__xludf.DUMMYFUNCTION("""COMPUTED_VALUE""")," () lvl:1, : + ++Immunity to all Chaos Dmg, ++Deal 2x more Chaos Dmg.")</f>
        <v> () lvl:1, : + ++Immunity to all Chaos Dmg, ++Deal 2x more Chaos Dmg.</v>
      </c>
      <c r="C85" s="1"/>
      <c r="D85" s="1"/>
      <c r="E85" s="1"/>
      <c r="F85" s="1"/>
      <c r="G85" s="1"/>
      <c r="H85" s="1"/>
      <c r="I85" s="1"/>
      <c r="J85" s="1"/>
      <c r="K85" s="1"/>
      <c r="L85" s="1"/>
      <c r="M85" s="1"/>
      <c r="N85" s="1"/>
      <c r="O85" s="1"/>
      <c r="P85" s="1"/>
      <c r="Q85" s="1"/>
      <c r="R85" s="1"/>
      <c r="S85" s="1"/>
      <c r="T85" s="1"/>
      <c r="U85" s="1"/>
      <c r="V85" s="1"/>
      <c r="W85" s="1"/>
      <c r="X85" s="1"/>
      <c r="Y85" s="1"/>
      <c r="Z85" s="1"/>
    </row>
    <row r="86">
      <c r="A86" s="1" t="str">
        <f>IFERROR(__xludf.DUMMYFUNCTION("""COMPUTED_VALUE"""),"Ring")</f>
        <v>Ring</v>
      </c>
      <c r="B86" s="1" t="str">
        <f>IFERROR(__xludf.DUMMYFUNCTION("""COMPUTED_VALUE""")," () lvl:1, DMG: + ++X2 additional Chaos and Blood damage")</f>
        <v> () lvl:1, DMG: + ++X2 additional Chaos and Blood damage</v>
      </c>
      <c r="C86" s="1"/>
      <c r="D86" s="1"/>
      <c r="E86" s="1"/>
      <c r="F86" s="1"/>
      <c r="G86" s="1"/>
      <c r="H86" s="1"/>
      <c r="I86" s="1"/>
      <c r="J86" s="1"/>
      <c r="K86" s="1"/>
      <c r="L86" s="1"/>
      <c r="M86" s="1"/>
      <c r="N86" s="1"/>
      <c r="O86" s="1"/>
      <c r="P86" s="1"/>
      <c r="Q86" s="1"/>
      <c r="R86" s="1"/>
      <c r="S86" s="1"/>
      <c r="T86" s="1"/>
      <c r="U86" s="1"/>
      <c r="V86" s="1"/>
      <c r="W86" s="1"/>
      <c r="X86" s="1"/>
      <c r="Y86" s="1"/>
      <c r="Z86" s="1"/>
    </row>
    <row r="87">
      <c r="A87" s="1" t="str">
        <f>IFERROR(__xludf.DUMMYFUNCTION("""COMPUTED_VALUE"""),"Chaotic Shadow Life Orb")</f>
        <v>Chaotic Shadow Life Orb</v>
      </c>
      <c r="B87" s="1" t="str">
        <f>IFERROR(__xludf.DUMMYFUNCTION("""COMPUTED_VALUE""")," () lvl:1, : + ++Last Chance - Protected from death once per battle, can only use the effect of ""Last Chance"" once per battle.  +-Can only have one equipped. +- Cannot be duplicated.")</f>
        <v> () lvl:1, : + ++Last Chance - Protected from death once per battle, can only use the effect of "Last Chance" once per battle.  +-Can only have one equipped. +- Cannot be duplicated.</v>
      </c>
      <c r="C87" s="1"/>
      <c r="D87" s="1"/>
      <c r="E87" s="1"/>
      <c r="F87" s="1"/>
      <c r="G87" s="1"/>
      <c r="H87" s="1"/>
      <c r="I87" s="1"/>
      <c r="J87" s="1"/>
      <c r="K87" s="1"/>
      <c r="L87" s="1"/>
      <c r="M87" s="1"/>
      <c r="N87" s="1"/>
      <c r="O87" s="1"/>
      <c r="P87" s="1"/>
      <c r="Q87" s="1"/>
      <c r="R87" s="1"/>
      <c r="S87" s="1"/>
      <c r="T87" s="1"/>
      <c r="U87" s="1"/>
      <c r="V87" s="1"/>
      <c r="W87" s="1"/>
      <c r="X87" s="1"/>
      <c r="Y87" s="1"/>
      <c r="Z87" s="1"/>
    </row>
    <row r="88">
      <c r="A88" s="1" t="str">
        <f>IFERROR(__xludf.DUMMYFUNCTION("""COMPUTED_VALUE"""),"Charm of Awaken")</f>
        <v>Charm of Awaken</v>
      </c>
      <c r="B88" s="1" t="str">
        <f>IFERROR(__xludf.DUMMYFUNCTION("""COMPUTED_VALUE""")," () lvl:1, DMG: + ++Immunity to sleep.")</f>
        <v> () lvl:1, DMG: + ++Immunity to sleep.</v>
      </c>
      <c r="C88" s="1"/>
      <c r="D88" s="1"/>
      <c r="E88" s="1"/>
      <c r="F88" s="1"/>
      <c r="G88" s="1"/>
      <c r="H88" s="1"/>
      <c r="I88" s="1"/>
      <c r="J88" s="1"/>
      <c r="K88" s="1"/>
      <c r="L88" s="1"/>
      <c r="M88" s="1"/>
      <c r="N88" s="1"/>
      <c r="O88" s="1"/>
      <c r="P88" s="1"/>
      <c r="Q88" s="1"/>
      <c r="R88" s="1"/>
      <c r="S88" s="1"/>
      <c r="T88" s="1"/>
      <c r="U88" s="1"/>
      <c r="V88" s="1"/>
      <c r="W88" s="1"/>
      <c r="X88" s="1"/>
      <c r="Y88" s="1"/>
      <c r="Z88" s="1"/>
    </row>
    <row r="89">
      <c r="A89" s="1" t="str">
        <f>IFERROR(__xludf.DUMMYFUNCTION("""COMPUTED_VALUE"""),"Chestplate of Foul Night")</f>
        <v>Chestplate of Foul Night</v>
      </c>
      <c r="B89" s="1" t="str">
        <f>IFERROR(__xludf.DUMMYFUNCTION("""COMPUTED_VALUE""")," () lvl:200, DEF: +5000, Nature DEF: +5000 (Foul Night Set) ++X2 Nature and Poison damage, ++Poison Immunity.")</f>
        <v> () lvl:200, DEF: +5000, Nature DEF: +5000 (Foul Night Set) ++X2 Nature and Poison damage, ++Poison Immunity.</v>
      </c>
      <c r="C89" s="1"/>
      <c r="D89" s="1"/>
      <c r="E89" s="1"/>
      <c r="F89" s="1"/>
      <c r="G89" s="1"/>
      <c r="H89" s="1"/>
      <c r="I89" s="1"/>
      <c r="J89" s="1"/>
      <c r="K89" s="1"/>
      <c r="L89" s="1"/>
      <c r="M89" s="1"/>
      <c r="N89" s="1"/>
      <c r="O89" s="1"/>
      <c r="P89" s="1"/>
      <c r="Q89" s="1"/>
      <c r="R89" s="1"/>
      <c r="S89" s="1"/>
      <c r="T89" s="1"/>
      <c r="U89" s="1"/>
      <c r="V89" s="1"/>
      <c r="W89" s="1"/>
      <c r="X89" s="1"/>
      <c r="Y89" s="1"/>
      <c r="Z89" s="1"/>
    </row>
    <row r="90">
      <c r="A90" s="1" t="str">
        <f>IFERROR(__xludf.DUMMYFUNCTION("""COMPUTED_VALUE"""),"Chestplate of Waking Waters")</f>
        <v>Chestplate of Waking Waters</v>
      </c>
      <c r="B90" s="1" t="str">
        <f>IFERROR(__xludf.DUMMYFUNCTION("""COMPUTED_VALUE""")," () lvl:400, DEF: +10000, Water DEF: +10000 ++X4 additional water damage for self.")</f>
        <v> () lvl:400, DEF: +10000, Water DEF: +10000 ++X4 additional water damage for self.</v>
      </c>
      <c r="C90" s="1"/>
      <c r="D90" s="1"/>
      <c r="E90" s="1"/>
      <c r="F90" s="1"/>
      <c r="G90" s="1"/>
      <c r="H90" s="1"/>
      <c r="I90" s="1"/>
      <c r="J90" s="1"/>
      <c r="K90" s="1"/>
      <c r="L90" s="1"/>
      <c r="M90" s="1"/>
      <c r="N90" s="1"/>
      <c r="O90" s="1"/>
      <c r="P90" s="1"/>
      <c r="Q90" s="1"/>
      <c r="R90" s="1"/>
      <c r="S90" s="1"/>
      <c r="T90" s="1"/>
      <c r="U90" s="1"/>
      <c r="V90" s="1"/>
      <c r="W90" s="1"/>
      <c r="X90" s="1"/>
      <c r="Y90" s="1"/>
      <c r="Z90" s="1"/>
    </row>
    <row r="91">
      <c r="A91" s="1" t="str">
        <f>IFERROR(__xludf.DUMMYFUNCTION("""COMPUTED_VALUE"""),"Cloth Cap")</f>
        <v>Cloth Cap</v>
      </c>
      <c r="B91" s="1" t="str">
        <f>IFERROR(__xludf.DUMMYFUNCTION("""COMPUTED_VALUE""")," () lvl:50, DEF: +2500")</f>
        <v> () lvl:50, DEF: +2500</v>
      </c>
      <c r="C91" s="1"/>
      <c r="D91" s="1"/>
      <c r="E91" s="1"/>
      <c r="F91" s="1"/>
      <c r="G91" s="1"/>
      <c r="H91" s="1"/>
      <c r="I91" s="1"/>
      <c r="J91" s="1"/>
      <c r="K91" s="1"/>
      <c r="L91" s="1"/>
      <c r="M91" s="1"/>
      <c r="N91" s="1"/>
      <c r="O91" s="1"/>
      <c r="P91" s="1"/>
      <c r="Q91" s="1"/>
      <c r="R91" s="1"/>
      <c r="S91" s="1"/>
      <c r="T91" s="1"/>
      <c r="U91" s="1"/>
      <c r="V91" s="1"/>
      <c r="W91" s="1"/>
      <c r="X91" s="1"/>
      <c r="Y91" s="1"/>
      <c r="Z91" s="1"/>
    </row>
    <row r="92">
      <c r="A92" s="1" t="str">
        <f>IFERROR(__xludf.DUMMYFUNCTION("""COMPUTED_VALUE"""),"Colossus Bone Sword")</f>
        <v>Colossus Bone Sword</v>
      </c>
      <c r="B92" s="1" t="str">
        <f>IFERROR(__xludf.DUMMYFUNCTION("""COMPUTED_VALUE"""),"Mob Exclusive (Sword) lvl:1500, DMG: +25000, Earth DMG: +25000, Dark DMG: +25000 ++X2 additional damage for the user.")</f>
        <v>Mob Exclusive (Sword) lvl:1500, DMG: +25000, Earth DMG: +25000, Dark DMG: +25000 ++X2 additional damage for the user.</v>
      </c>
      <c r="C92" s="1"/>
      <c r="D92" s="1"/>
      <c r="E92" s="1"/>
      <c r="F92" s="1"/>
      <c r="G92" s="1"/>
      <c r="H92" s="1"/>
      <c r="I92" s="1"/>
      <c r="J92" s="1"/>
      <c r="K92" s="1"/>
      <c r="L92" s="1"/>
      <c r="M92" s="1"/>
      <c r="N92" s="1"/>
      <c r="O92" s="1"/>
      <c r="P92" s="1"/>
      <c r="Q92" s="1"/>
      <c r="R92" s="1"/>
      <c r="S92" s="1"/>
      <c r="T92" s="1"/>
      <c r="U92" s="1"/>
      <c r="V92" s="1"/>
      <c r="W92" s="1"/>
      <c r="X92" s="1"/>
      <c r="Y92" s="1"/>
      <c r="Z92" s="1"/>
    </row>
    <row r="93">
      <c r="A93" s="1" t="str">
        <f>IFERROR(__xludf.DUMMYFUNCTION("""COMPUTED_VALUE"""),"Coral Hat")</f>
        <v>Coral Hat</v>
      </c>
      <c r="B93" s="1" t="str">
        <f>IFERROR(__xludf.DUMMYFUNCTION("""COMPUTED_VALUE""")," () lvl:20, DEF: +800 ++Immunity to water damage.")</f>
        <v> () lvl:20, DEF: +800 ++Immunity to water damage.</v>
      </c>
      <c r="C93" s="1"/>
      <c r="D93" s="1"/>
      <c r="E93" s="1"/>
      <c r="F93" s="1"/>
      <c r="G93" s="1"/>
      <c r="H93" s="1"/>
      <c r="I93" s="1"/>
      <c r="J93" s="1"/>
      <c r="K93" s="1"/>
      <c r="L93" s="1"/>
      <c r="M93" s="1"/>
      <c r="N93" s="1"/>
      <c r="O93" s="1"/>
      <c r="P93" s="1"/>
      <c r="Q93" s="1"/>
      <c r="R93" s="1"/>
      <c r="S93" s="1"/>
      <c r="T93" s="1"/>
      <c r="U93" s="1"/>
      <c r="V93" s="1"/>
      <c r="W93" s="1"/>
      <c r="X93" s="1"/>
      <c r="Y93" s="1"/>
      <c r="Z93" s="1"/>
    </row>
    <row r="94">
      <c r="A94" s="1" t="str">
        <f>IFERROR(__xludf.DUMMYFUNCTION("""COMPUTED_VALUE"""),"Critical Vanish Armor")</f>
        <v>Critical Vanish Armor</v>
      </c>
      <c r="B94" s="1" t="str">
        <f>IFERROR(__xludf.DUMMYFUNCTION("""COMPUTED_VALUE""")," () lvl:10, DEF: +500 ++will negate a critical hit to the wearer")</f>
        <v> () lvl:10, DEF: +500 ++will negate a critical hit to the wearer</v>
      </c>
      <c r="C94" s="1"/>
      <c r="D94" s="1"/>
      <c r="E94" s="1"/>
      <c r="F94" s="1"/>
      <c r="G94" s="1"/>
      <c r="H94" s="1"/>
      <c r="I94" s="1"/>
      <c r="J94" s="1"/>
      <c r="K94" s="1"/>
      <c r="L94" s="1"/>
      <c r="M94" s="1"/>
      <c r="N94" s="1"/>
      <c r="O94" s="1"/>
      <c r="P94" s="1"/>
      <c r="Q94" s="1"/>
      <c r="R94" s="1"/>
      <c r="S94" s="1"/>
      <c r="T94" s="1"/>
      <c r="U94" s="1"/>
      <c r="V94" s="1"/>
      <c r="W94" s="1"/>
      <c r="X94" s="1"/>
      <c r="Y94" s="1"/>
      <c r="Z94" s="1"/>
    </row>
    <row r="95">
      <c r="A95" s="1" t="str">
        <f>IFERROR(__xludf.DUMMYFUNCTION("""COMPUTED_VALUE"""),"Crow Staff")</f>
        <v>Crow Staff</v>
      </c>
      <c r="B95" s="1" t="str">
        <f>IFERROR(__xludf.DUMMYFUNCTION("""COMPUTED_VALUE""")," (Staff) lvl:400, DMG: +10000, Dark DMG: +10000 ++Swarm: inflicts 10000 bleed to all enemies. +- 300SP")</f>
        <v> (Staff) lvl:400, DMG: +10000, Dark DMG: +10000 ++Swarm: inflicts 10000 bleed to all enemies. +- 300SP</v>
      </c>
      <c r="C95" s="1"/>
      <c r="D95" s="1"/>
      <c r="E95" s="1"/>
      <c r="F95" s="1"/>
      <c r="G95" s="1"/>
      <c r="H95" s="1"/>
      <c r="I95" s="1"/>
      <c r="J95" s="1"/>
      <c r="K95" s="1"/>
      <c r="L95" s="1"/>
      <c r="M95" s="1"/>
      <c r="N95" s="1"/>
      <c r="O95" s="1"/>
      <c r="P95" s="1"/>
      <c r="Q95" s="1"/>
      <c r="R95" s="1"/>
      <c r="S95" s="1"/>
      <c r="T95" s="1"/>
      <c r="U95" s="1"/>
      <c r="V95" s="1"/>
      <c r="W95" s="1"/>
      <c r="X95" s="1"/>
      <c r="Y95" s="1"/>
      <c r="Z95" s="1"/>
    </row>
    <row r="96">
      <c r="A96" s="1" t="str">
        <f>IFERROR(__xludf.DUMMYFUNCTION("""COMPUTED_VALUE"""),"Crown of Control")</f>
        <v>Crown of Control</v>
      </c>
      <c r="B96" s="1" t="str">
        <f>IFERROR(__xludf.DUMMYFUNCTION("""COMPUTED_VALUE""")," () lvl:300, DEF: +15000 ++Select one target and choose an action for them during your turn (This counts as a form of possession) Fail/Succeed. +-Cannot be duplicated. ")</f>
        <v> () lvl:300, DEF: +15000 ++Select one target and choose an action for them during your turn (This counts as a form of possession) Fail/Succeed. +-Cannot be duplicated. </v>
      </c>
      <c r="C96" s="1"/>
      <c r="D96" s="1"/>
      <c r="E96" s="1"/>
      <c r="F96" s="1"/>
      <c r="G96" s="1"/>
      <c r="H96" s="1"/>
      <c r="I96" s="1"/>
      <c r="J96" s="1"/>
      <c r="K96" s="1"/>
      <c r="L96" s="1"/>
      <c r="M96" s="1"/>
      <c r="N96" s="1"/>
      <c r="O96" s="1"/>
      <c r="P96" s="1"/>
      <c r="Q96" s="1"/>
      <c r="R96" s="1"/>
      <c r="S96" s="1"/>
      <c r="T96" s="1"/>
      <c r="U96" s="1"/>
      <c r="V96" s="1"/>
      <c r="W96" s="1"/>
      <c r="X96" s="1"/>
      <c r="Y96" s="1"/>
      <c r="Z96" s="1"/>
    </row>
    <row r="97">
      <c r="A97" s="1" t="str">
        <f>IFERROR(__xludf.DUMMYFUNCTION("""COMPUTED_VALUE"""),"Crown of Ice Spears")</f>
        <v>Crown of Ice Spears</v>
      </c>
      <c r="B97" s="1" t="str">
        <f>IFERROR(__xludf.DUMMYFUNCTION("""COMPUTED_VALUE""")," () lvl:200, DEF: +10000 (The Frozen Spear Master Set) ++Frost Boost- X2 Storm damage. ++All weapon attacks have a 25% chance to freeze whoever you hit")</f>
        <v> () lvl:200, DEF: +10000 (The Frozen Spear Master Set) ++Frost Boost- X2 Storm damage. ++All weapon attacks have a 25% chance to freeze whoever you hit</v>
      </c>
      <c r="C97" s="1"/>
      <c r="D97" s="1"/>
      <c r="E97" s="1"/>
      <c r="F97" s="1"/>
      <c r="G97" s="1"/>
      <c r="H97" s="1"/>
      <c r="I97" s="1"/>
      <c r="J97" s="1"/>
      <c r="K97" s="1"/>
      <c r="L97" s="1"/>
      <c r="M97" s="1"/>
      <c r="N97" s="1"/>
      <c r="O97" s="1"/>
      <c r="P97" s="1"/>
      <c r="Q97" s="1"/>
      <c r="R97" s="1"/>
      <c r="S97" s="1"/>
      <c r="T97" s="1"/>
      <c r="U97" s="1"/>
      <c r="V97" s="1"/>
      <c r="W97" s="1"/>
      <c r="X97" s="1"/>
      <c r="Y97" s="1"/>
      <c r="Z97" s="1"/>
    </row>
    <row r="98">
      <c r="A98" s="1" t="str">
        <f>IFERROR(__xludf.DUMMYFUNCTION("""COMPUTED_VALUE"""),"Crown of the Forgotten")</f>
        <v>Crown of the Forgotten</v>
      </c>
      <c r="B98" s="1" t="str">
        <f>IFERROR(__xludf.DUMMYFUNCTION("""COMPUTED_VALUE""")," () lvl:20, DEF: +1000 ++Immunity to Dark, Chaos, Fire, and Nature damage. ++Only Undead can equip. ++This item effect bypasses the Undead race ability. +-Cannot be duplicated.")</f>
        <v> () lvl:20, DEF: +1000 ++Immunity to Dark, Chaos, Fire, and Nature damage. ++Only Undead can equip. ++This item effect bypasses the Undead race ability. +-Cannot be duplicated.</v>
      </c>
      <c r="C98" s="1"/>
      <c r="D98" s="1"/>
      <c r="E98" s="1"/>
      <c r="F98" s="1"/>
      <c r="G98" s="1"/>
      <c r="H98" s="1"/>
      <c r="I98" s="1"/>
      <c r="J98" s="1"/>
      <c r="K98" s="1"/>
      <c r="L98" s="1"/>
      <c r="M98" s="1"/>
      <c r="N98" s="1"/>
      <c r="O98" s="1"/>
      <c r="P98" s="1"/>
      <c r="Q98" s="1"/>
      <c r="R98" s="1"/>
      <c r="S98" s="1"/>
      <c r="T98" s="1"/>
      <c r="U98" s="1"/>
      <c r="V98" s="1"/>
      <c r="W98" s="1"/>
      <c r="X98" s="1"/>
      <c r="Y98" s="1"/>
      <c r="Z98" s="1"/>
    </row>
    <row r="99">
      <c r="A99" s="1" t="str">
        <f>IFERROR(__xludf.DUMMYFUNCTION("""COMPUTED_VALUE"""),"Crown Of The Sea Serpent")</f>
        <v>Crown Of The Sea Serpent</v>
      </c>
      <c r="B99" s="1" t="str">
        <f>IFERROR(__xludf.DUMMYFUNCTION("""COMPUTED_VALUE""")," () lvl:1, : + ++X4 additional water damage for the user, ++Water spells cost half sp, +-Cannot be duplicated.")</f>
        <v> () lvl:1, : + ++X4 additional water damage for the user, ++Water spells cost half sp, +-Cannot be duplicated.</v>
      </c>
      <c r="C99" s="1"/>
      <c r="D99" s="1"/>
      <c r="E99" s="1"/>
      <c r="F99" s="1"/>
      <c r="G99" s="1"/>
      <c r="H99" s="1"/>
      <c r="I99" s="1"/>
      <c r="J99" s="1"/>
      <c r="K99" s="1"/>
      <c r="L99" s="1"/>
      <c r="M99" s="1"/>
      <c r="N99" s="1"/>
      <c r="O99" s="1"/>
      <c r="P99" s="1"/>
      <c r="Q99" s="1"/>
      <c r="R99" s="1"/>
      <c r="S99" s="1"/>
      <c r="T99" s="1"/>
      <c r="U99" s="1"/>
      <c r="V99" s="1"/>
      <c r="W99" s="1"/>
      <c r="X99" s="1"/>
      <c r="Y99" s="1"/>
      <c r="Z99" s="1"/>
    </row>
    <row r="100">
      <c r="A100" s="1" t="str">
        <f>IFERROR(__xludf.DUMMYFUNCTION("""COMPUTED_VALUE"""),"Crown Of Tritonoch")</f>
        <v>Crown Of Tritonoch</v>
      </c>
      <c r="B100" s="1" t="str">
        <f>IFERROR(__xludf.DUMMYFUNCTION("""COMPUTED_VALUE""")," () lvl:400, DEF: +20000 ++Waves of Entitlement - x5 additional Water damage")</f>
        <v> () lvl:400, DEF: +20000 ++Waves of Entitlement - x5 additional Water damage</v>
      </c>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t="str">
        <f>IFERROR(__xludf.DUMMYFUNCTION("""COMPUTED_VALUE"""),"Cryogenic Claymore")</f>
        <v>Cryogenic Claymore</v>
      </c>
      <c r="B101" s="1" t="str">
        <f>IFERROR(__xludf.DUMMYFUNCTION("""COMPUTED_VALUE"""),"(The Frozen Blade Master Set) (Sword) lvl:400, DMG: +10000, Water DMG: +10000 ++10% chance to freeze all enemies.")</f>
        <v>(The Frozen Blade Master Set) (Sword) lvl:400, DMG: +10000, Water DMG: +10000 ++10% chance to freeze all enemies.</v>
      </c>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t="str">
        <f>IFERROR(__xludf.DUMMYFUNCTION("""COMPUTED_VALUE"""),"Crystal Forged Helmet")</f>
        <v>Crystal Forged Helmet</v>
      </c>
      <c r="B102" s="1" t="str">
        <f>IFERROR(__xludf.DUMMYFUNCTION("""COMPUTED_VALUE""")," () lvl:200, DEF: +10000 ++When equipped, Gem and Crystal related weapons deal an additional X2 damage for the user.")</f>
        <v> () lvl:200, DEF: +10000 ++When equipped, Gem and Crystal related weapons deal an additional X2 damage for the user.</v>
      </c>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t="str">
        <f>IFERROR(__xludf.DUMMYFUNCTION("""COMPUTED_VALUE"""),"Crystal Forged Axe")</f>
        <v>Crystal Forged Axe</v>
      </c>
      <c r="B103" s="1" t="str">
        <f>IFERROR(__xludf.DUMMYFUNCTION("""COMPUTED_VALUE""")," () lvl:400, DMG: +10000, Earth DMG: +10000 ++When equipped, Gem and Crystal related weapons deal an additional X6 damage for the user.")</f>
        <v> () lvl:400, DMG: +10000, Earth DMG: +10000 ++When equipped, Gem and Crystal related weapons deal an additional X6 damage for the user.</v>
      </c>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t="str">
        <f>IFERROR(__xludf.DUMMYFUNCTION("""COMPUTED_VALUE"""),"Crystal Forged Chestplate")</f>
        <v>Crystal Forged Chestplate</v>
      </c>
      <c r="B104" s="1" t="str">
        <f>IFERROR(__xludf.DUMMYFUNCTION("""COMPUTED_VALUE""")," () lvl:200, DEF: +5000, Earth DEF: +5000 ++When equipped, Gem and Crystal related weapons deal an additional X2 damage for the user.")</f>
        <v> () lvl:200, DEF: +5000, Earth DEF: +5000 ++When equipped, Gem and Crystal related weapons deal an additional X2 damage for the user.</v>
      </c>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t="str">
        <f>IFERROR(__xludf.DUMMYFUNCTION("""COMPUTED_VALUE"""),"Crystal Healing Amulet")</f>
        <v>Crystal Healing Amulet</v>
      </c>
      <c r="B105" s="1" t="str">
        <f>IFERROR(__xludf.DUMMYFUNCTION("""COMPUTED_VALUE""")," () lvl:1, : + ++Crystal Aura - Protected from death once per battle, can only use the effect of ""Crystal Aura"" once per battle. +-Can only have one equipped.    +-Cannot be duplicated.")</f>
        <v> () lvl:1, : + ++Crystal Aura - Protected from death once per battle, can only use the effect of "Crystal Aura" once per battle. +-Can only have one equipped.    +-Cannot be duplicated.</v>
      </c>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t="str">
        <f>IFERROR(__xludf.DUMMYFUNCTION("""COMPUTED_VALUE"""),"Crystal Longsword")</f>
        <v>Crystal Longsword</v>
      </c>
      <c r="B106" s="1" t="str">
        <f>IFERROR(__xludf.DUMMYFUNCTION("""COMPUTED_VALUE""")," (Sword) lvl:200, DMG: +5000, Earth DMG: +5000 ++When equipped, Gem and Crystal related weapons deal an additional X4 damage for the user.")</f>
        <v> (Sword) lvl:200, DMG: +5000, Earth DMG: +5000 ++When equipped, Gem and Crystal related weapons deal an additional X4 damage for the user.</v>
      </c>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t="str">
        <f>IFERROR(__xludf.DUMMYFUNCTION("""COMPUTED_VALUE"""),"Crystal Ring")</f>
        <v>Crystal Ring</v>
      </c>
      <c r="B107" s="1" t="str">
        <f>IFERROR(__xludf.DUMMYFUNCTION("""COMPUTED_VALUE""")," () lvl:1, : + ++When equipped, Gem and Crystal related weapons deal an additional X2 damage for the user.")</f>
        <v> () lvl:1, : + ++When equipped, Gem and Crystal related weapons deal an additional X2 damage for the user.</v>
      </c>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t="str">
        <f>IFERROR(__xludf.DUMMYFUNCTION("""COMPUTED_VALUE"""),"Crystal Shield")</f>
        <v>Crystal Shield</v>
      </c>
      <c r="B108" s="1" t="str">
        <f>IFERROR(__xludf.DUMMYFUNCTION("""COMPUTED_VALUE""")," (Buckler) lvl:200, DEF: +10000 ++Take half damage from Gem and Crystal related weapons.")</f>
        <v> (Buckler) lvl:200, DEF: +10000 ++Take half damage from Gem and Crystal related weapons.</v>
      </c>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t="str">
        <f>IFERROR(__xludf.DUMMYFUNCTION("""COMPUTED_VALUE"""),"Crystal Staff")</f>
        <v>Crystal Staff</v>
      </c>
      <c r="B109" s="1" t="str">
        <f>IFERROR(__xludf.DUMMYFUNCTION("""COMPUTED_VALUE""")," (Staff) lvl:1, : + ++Creates a Crystal like barrier around you making it so weapons deal no damage to you for 3 rounds, 500SP. ++1000 Additional HP and SP while equipped.")</f>
        <v> (Staff) lvl:1, : + ++Creates a Crystal like barrier around you making it so weapons deal no damage to you for 3 rounds, 500SP. ++1000 Additional HP and SP while equipped.</v>
      </c>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t="str">
        <f>IFERROR(__xludf.DUMMYFUNCTION("""COMPUTED_VALUE"""),"Crystal Sword")</f>
        <v>Crystal Sword</v>
      </c>
      <c r="B110" s="1" t="str">
        <f>IFERROR(__xludf.DUMMYFUNCTION("""COMPUTED_VALUE""")," (Sword) lvl:80, DMG: +2000, Earth DMG: +2000 ++When equipped, Gem and Crystal related weapons deal an additional X2 damage for the user.")</f>
        <v> (Sword) lvl:80, DMG: +2000, Earth DMG: +2000 ++When equipped, Gem and Crystal related weapons deal an additional X2 damage for the user.</v>
      </c>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t="str">
        <f>IFERROR(__xludf.DUMMYFUNCTION("""COMPUTED_VALUE"""),"Cursed Blade")</f>
        <v>Cursed Blade</v>
      </c>
      <c r="B111" s="1" t="str">
        <f>IFERROR(__xludf.DUMMYFUNCTION("""COMPUTED_VALUE""")," (Sword) lvl:620, DMG: +30000, Dark DMG: +1000 +- -5 evasion and mobility while equipped.")</f>
        <v> (Sword) lvl:620, DMG: +30000, Dark DMG: +1000 +- -5 evasion and mobility while equipped.</v>
      </c>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t="str">
        <f>IFERROR(__xludf.DUMMYFUNCTION("""COMPUTED_VALUE"""),"Cursed Blade of The Void Realm")</f>
        <v>Cursed Blade of The Void Realm</v>
      </c>
      <c r="B112" s="1" t="str">
        <f>IFERROR(__xludf.DUMMYFUNCTION("""COMPUTED_VALUE""")," (Sword) lvl:1, : + +-When equipped this item cannot be unequipped for 3 rounds, +-Depletes 1000 SP per round.")</f>
        <v> (Sword) lvl:1, : + +-When equipped this item cannot be unequipped for 3 rounds, +-Depletes 1000 SP per round.</v>
      </c>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t="str">
        <f>IFERROR(__xludf.DUMMYFUNCTION("""COMPUTED_VALUE"""),"Dagger")</f>
        <v>Dagger</v>
      </c>
      <c r="B113" s="1" t="str">
        <f>IFERROR(__xludf.DUMMYFUNCTION("""COMPUTED_VALUE"""),"The first weapon  (Knife) lvl:20, DMG: +1000")</f>
        <v>The first weapon  (Knife) lvl:20, DMG: +1000</v>
      </c>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t="str">
        <f>IFERROR(__xludf.DUMMYFUNCTION("""COMPUTED_VALUE"""),"Dagger of Flowers")</f>
        <v>Dagger of Flowers</v>
      </c>
      <c r="B114" s="1" t="str">
        <f>IFERROR(__xludf.DUMMYFUNCTION("""COMPUTED_VALUE"""),"(Event Exclusive) (Knife) lvl:90, DMG: +3000, Nature DMG: +1500")</f>
        <v>(Event Exclusive) (Knife) lvl:90, DMG: +3000, Nature DMG: +1500</v>
      </c>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t="str">
        <f>IFERROR(__xludf.DUMMYFUNCTION("""COMPUTED_VALUE"""),"Dagger of The Cultist")</f>
        <v>Dagger of The Cultist</v>
      </c>
      <c r="B115" s="1" t="str">
        <f>IFERROR(__xludf.DUMMYFUNCTION("""COMPUTED_VALUE""")," (Knife) lvl:120, DMG: +2000, Dark DMG: +2000, Chaos DMG: +2000 (Cultist Set) ++25% chance of instant death to the target.")</f>
        <v> (Knife) lvl:120, DMG: +2000, Dark DMG: +2000, Chaos DMG: +2000 (Cultist Set) ++25% chance of instant death to the target.</v>
      </c>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t="str">
        <f>IFERROR(__xludf.DUMMYFUNCTION("""COMPUTED_VALUE"""),"Dark Ice Sword")</f>
        <v>Dark Ice Sword</v>
      </c>
      <c r="B116" s="1" t="str">
        <f>IFERROR(__xludf.DUMMYFUNCTION("""COMPUTED_VALUE""")," (Sword) lvl:20, DMG: +600 ++25% Chance to freeze target.")</f>
        <v> (Sword) lvl:20, DMG: +600 ++25% Chance to freeze target.</v>
      </c>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t="str">
        <f>IFERROR(__xludf.DUMMYFUNCTION("""COMPUTED_VALUE"""),"Dark Knight Helm")</f>
        <v>Dark Knight Helm</v>
      </c>
      <c r="B117" s="1" t="str">
        <f>IFERROR(__xludf.DUMMYFUNCTION("""COMPUTED_VALUE""")," () lvl:10, DEF: +500 ++Immune to dark damage")</f>
        <v> () lvl:10, DEF: +500 ++Immune to dark damage</v>
      </c>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t="str">
        <f>IFERROR(__xludf.DUMMYFUNCTION("""COMPUTED_VALUE"""),"Dark Wand")</f>
        <v>Dark Wand</v>
      </c>
      <c r="B118" s="1" t="str">
        <f>IFERROR(__xludf.DUMMYFUNCTION("""COMPUTED_VALUE""")," (Wand) lvl:1, : + ++Half the SP cost of dark spells")</f>
        <v> (Wand) lvl:1, : + ++Half the SP cost of dark spells</v>
      </c>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t="str">
        <f>IFERROR(__xludf.DUMMYFUNCTION("""COMPUTED_VALUE"""),"Dead Forest Blade")</f>
        <v>Dead Forest Blade</v>
      </c>
      <c r="B119" s="1" t="str">
        <f>IFERROR(__xludf.DUMMYFUNCTION("""COMPUTED_VALUE""")," (Sword) lvl:180, DMG: +5000, Dark DMG: +4000 ++Darkness Embodiment - When Equipped Any dark and chaos weapons and dark and chaos spells will deal an additional X2 damage.")</f>
        <v> (Sword) lvl:180, DMG: +5000, Dark DMG: +4000 ++Darkness Embodiment - When Equipped Any dark and chaos weapons and dark and chaos spells will deal an additional X2 damage.</v>
      </c>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t="str">
        <f>IFERROR(__xludf.DUMMYFUNCTION("""COMPUTED_VALUE"""),"Dead Forest Branch")</f>
        <v>Dead Forest Branch</v>
      </c>
      <c r="B120" s="1" t="str">
        <f>IFERROR(__xludf.DUMMYFUNCTION("""COMPUTED_VALUE""")," (Club) lvl:200, DMG: +, Celestial DMG: +10000000 ++This Branch will deal 10,000,000 celestial damage but it has a 95% chance to break")</f>
        <v> (Club) lvl:200, DMG: +, Celestial DMG: +10000000 ++This Branch will deal 10,000,000 celestial damage but it has a 95% chance to break</v>
      </c>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t="str">
        <f>IFERROR(__xludf.DUMMYFUNCTION("""COMPUTED_VALUE"""),"Death's Scythe")</f>
        <v>Death's Scythe</v>
      </c>
      <c r="B121" s="1" t="str">
        <f>IFERROR(__xludf.DUMMYFUNCTION("""COMPUTED_VALUE""")," (Scythe) lvl:600, DMG: +10000, Dark DMG: +10000, Chaos DMG: +10000 ++ +2 Intimidation, ++ +2 Wisdom when rolling a wisdom check for traps. +-Cannot be duplicated, +-Can only equip one.")</f>
        <v> (Scythe) lvl:600, DMG: +10000, Dark DMG: +10000, Chaos DMG: +10000 ++ +2 Intimidation, ++ +2 Wisdom when rolling a wisdom check for traps. +-Cannot be duplicated, +-Can only equip one.</v>
      </c>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t="str">
        <f>IFERROR(__xludf.DUMMYFUNCTION("""COMPUTED_VALUE"""),"Demonic Scythe of Chaos ")</f>
        <v>Demonic Scythe of Chaos </v>
      </c>
      <c r="B122" s="1" t="str">
        <f>IFERROR(__xludf.DUMMYFUNCTION("""COMPUTED_VALUE""")," (Scythe) lvl:3000, DMG: +50000, Fire DMG: +50000, Chaos DMG: +50000 ++X2  Additional Fire and Chaos damage. +-Cannot be duplicated.")</f>
        <v> (Scythe) lvl:3000, DMG: +50000, Fire DMG: +50000, Chaos DMG: +50000 ++X2  Additional Fire and Chaos damage. +-Cannot be duplicated.</v>
      </c>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t="str">
        <f>IFERROR(__xludf.DUMMYFUNCTION("""COMPUTED_VALUE"""),"Demonic Sword of The King")</f>
        <v>Demonic Sword of The King</v>
      </c>
      <c r="B123" s="1" t="str">
        <f>IFERROR(__xludf.DUMMYFUNCTION("""COMPUTED_VALUE""")," (Sword) lvl:200, DMG: +100000, Fire DMG: +100000, Dark DMG: +50000, Chaos DMG: +50000, Blood DMG: +50000, Celestial DMG: +50000 ++When targeted for an attack you can choose a party member to take the damage instead. +-Cannot be duplicated.")</f>
        <v> (Sword) lvl:200, DMG: +100000, Fire DMG: +100000, Dark DMG: +50000, Chaos DMG: +50000, Blood DMG: +50000, Celestial DMG: +50000 ++When targeted for an attack you can choose a party member to take the damage instead. +-Cannot be duplicated.</v>
      </c>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t="str">
        <f>IFERROR(__xludf.DUMMYFUNCTION("""COMPUTED_VALUE"""),"Dimensional Dagger")</f>
        <v>Dimensional Dagger</v>
      </c>
      <c r="B124" s="1" t="str">
        <f>IFERROR(__xludf.DUMMYFUNCTION("""COMPUTED_VALUE""")," (Knife) lvl:200, DMG: +5000, Chaos DMG: +5000 ++25% chance to teleport the target being attacked to a random location.")</f>
        <v> (Knife) lvl:200, DMG: +5000, Chaos DMG: +5000 ++25% chance to teleport the target being attacked to a random location.</v>
      </c>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t="str">
        <f>IFERROR(__xludf.DUMMYFUNCTION("""COMPUTED_VALUE"""),"Draconic Shield")</f>
        <v>Draconic Shield</v>
      </c>
      <c r="B125" s="1" t="str">
        <f>IFERROR(__xludf.DUMMYFUNCTION("""COMPUTED_VALUE""")," (Towershield) lvl:5000, DEF: +50000, Fire DEF: +50000, Dark DEF: +50000, Chaos DEF: +50000, Blood DEF: +50000 ++Draconic Block - Any damage you take in battle is now reduced to 1 for for the first round of battle.")</f>
        <v> (Towershield) lvl:5000, DEF: +50000, Fire DEF: +50000, Dark DEF: +50000, Chaos DEF: +50000, Blood DEF: +50000 ++Draconic Block - Any damage you take in battle is now reduced to 1 for for the first round of battle.</v>
      </c>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t="str">
        <f>IFERROR(__xludf.DUMMYFUNCTION("""COMPUTED_VALUE"""),"Dragon's Skull")</f>
        <v>Dragon's Skull</v>
      </c>
      <c r="B126" s="1" t="str">
        <f>IFERROR(__xludf.DUMMYFUNCTION("""COMPUTED_VALUE""")," () lvl:200, DEF: +10000 ++Any damage that is dealt to the wearer by a dragon is negated. ++(Dragon Tamers Cannot Wear This)")</f>
        <v> () lvl:200, DEF: +10000 ++Any damage that is dealt to the wearer by a dragon is negated. ++(Dragon Tamers Cannot Wear This)</v>
      </c>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t="str">
        <f>IFERROR(__xludf.DUMMYFUNCTION("""COMPUTED_VALUE"""),"Dragonbone Greatsword")</f>
        <v>Dragonbone Greatsword</v>
      </c>
      <c r="B127" s="1" t="str">
        <f>IFERROR(__xludf.DUMMYFUNCTION("""COMPUTED_VALUE""")," (Sword) lvl:200, DMG: +100000, Fire DMG: +100000, Earth DMG: +100000, Dark DMG: +100000, Blood DMG: +100000, Celestial DMG: +100000 ++If you have a dragon as a companion in the current battle this sword will deal x4 additional fire, earth, dark, blood, a"&amp;"nd celestial damage.")</f>
        <v> (Sword) lvl:200, DMG: +100000, Fire DMG: +100000, Earth DMG: +100000, Dark DMG: +100000, Blood DMG: +100000, Celestial DMG: +100000 ++If you have a dragon as a companion in the current battle this sword will deal x4 additional fire, earth, dark, blood, and celestial damage.</v>
      </c>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t="str">
        <f>IFERROR(__xludf.DUMMYFUNCTION("""COMPUTED_VALUE"""),"Dreading Wand Of Fire")</f>
        <v>Dreading Wand Of Fire</v>
      </c>
      <c r="B128" s="1" t="str">
        <f>IFERROR(__xludf.DUMMYFUNCTION("""COMPUTED_VALUE""")," (Wand) lvl:1, : + ++Half SP costs for fire spells")</f>
        <v> (Wand) lvl:1, : + ++Half SP costs for fire spells</v>
      </c>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t="str">
        <f>IFERROR(__xludf.DUMMYFUNCTION("""COMPUTED_VALUE"""),"Dy Yu’s Plated Armor")</f>
        <v>Dy Yu’s Plated Armor</v>
      </c>
      <c r="B129" s="1" t="str">
        <f>IFERROR(__xludf.DUMMYFUNCTION("""COMPUTED_VALUE""")," () lvl:4000, DEF: +50000, Fire DEF: +50000, Earth DEF: +50000, Spirit DEF: +50000 ++Roll a d20 at the beginning of battle, 11 or higher = half the damage taken from the first attack, 10 or lower = take double the damage from the first attack.")</f>
        <v> () lvl:4000, DEF: +50000, Fire DEF: +50000, Earth DEF: +50000, Spirit DEF: +50000 ++Roll a d20 at the beginning of battle, 11 or higher = half the damage taken from the first attack, 10 or lower = take double the damage from the first attack.</v>
      </c>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t="str">
        <f>IFERROR(__xludf.DUMMYFUNCTION("""COMPUTED_VALUE"""),"Easters Ring (Exclusive)")</f>
        <v>Easters Ring (Exclusive)</v>
      </c>
      <c r="B130" s="1" t="str">
        <f>IFERROR(__xludf.DUMMYFUNCTION("""COMPUTED_VALUE""")," () lvl:1, : + ++Can turn one bad day of travel into a good day of travel. +-Cannot be forged")</f>
        <v> () lvl:1, : + ++Can turn one bad day of travel into a good day of travel. +-Cannot be forged</v>
      </c>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t="str">
        <f>IFERROR(__xludf.DUMMYFUNCTION("""COMPUTED_VALUE"""),"Enchanted Chestplate of Defense")</f>
        <v>Enchanted Chestplate of Defense</v>
      </c>
      <c r="B131" s="1" t="str">
        <f>IFERROR(__xludf.DUMMYFUNCTION("""COMPUTED_VALUE""")," () lvl:100, DEF: +5000 ++Damage received by Spells and Weapons are reduced to half when wearing this.")</f>
        <v> () lvl:100, DEF: +5000 ++Damage received by Spells and Weapons are reduced to half when wearing this.</v>
      </c>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t="str">
        <f>IFERROR(__xludf.DUMMYFUNCTION("""COMPUTED_VALUE"""),"Enchanted Dagger")</f>
        <v>Enchanted Dagger</v>
      </c>
      <c r="B132" s="1" t="str">
        <f>IFERROR(__xludf.DUMMYFUNCTION("""COMPUTED_VALUE""")," (Knife) lvl:1, : +1 ++100% of instantly killing the target.")</f>
        <v> (Knife) lvl:1, : +1 ++100% of instantly killing the target.</v>
      </c>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t="str">
        <f>IFERROR(__xludf.DUMMYFUNCTION("""COMPUTED_VALUE"""),"Enchanted Falcon Blade")</f>
        <v>Enchanted Falcon Blade</v>
      </c>
      <c r="B133" s="1" t="str">
        <f>IFERROR(__xludf.DUMMYFUNCTION("""COMPUTED_VALUE""")," (Sword) lvl:60, DMG: +2000, Order DMG: +600 ++Falcon’s Power - All attacks dealt by your weapons will deal double in damage for 3 of your turns when equipped.")</f>
        <v> (Sword) lvl:60, DMG: +2000, Order DMG: +600 ++Falcon’s Power - All attacks dealt by your weapons will deal double in damage for 3 of your turns when equipped.</v>
      </c>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t="str">
        <f>IFERROR(__xludf.DUMMYFUNCTION("""COMPUTED_VALUE"""),"Energy Prong")</f>
        <v>Energy Prong</v>
      </c>
      <c r="B134" s="1" t="str">
        <f>IFERROR(__xludf.DUMMYFUNCTION("""COMPUTED_VALUE""")," (Spear) lvl:10, DMG: +500 ++50% chance of stun 3.")</f>
        <v> (Spear) lvl:10, DMG: +500 ++50% chance of stun 3.</v>
      </c>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t="str">
        <f>IFERROR(__xludf.DUMMYFUNCTION("""COMPUTED_VALUE"""),"Faery Kings Sword")</f>
        <v>Faery Kings Sword</v>
      </c>
      <c r="B135" s="1" t="str">
        <f>IFERROR(__xludf.DUMMYFUNCTION("""COMPUTED_VALUE""")," (Sword) lvl:200, DMG: +500000, Nature DMG: +25000, Celestial DMG: +25000")</f>
        <v> (Sword) lvl:200, DMG: +500000, Nature DMG: +25000, Celestial DMG: +25000</v>
      </c>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t="str">
        <f>IFERROR(__xludf.DUMMYFUNCTION("""COMPUTED_VALUE"""),"False Helmet")</f>
        <v>False Helmet</v>
      </c>
      <c r="B136" s="1" t="str">
        <f>IFERROR(__xludf.DUMMYFUNCTION("""COMPUTED_VALUE""")," () lvl:1, : + ++ ++5 Intimidation, ++ - 2 Charisma. +-Cannot be forged +-Cannot be duplicated.")</f>
        <v> () lvl:1, : + ++ ++5 Intimidation, ++ - 2 Charisma. +-Cannot be forged +-Cannot be duplicated.</v>
      </c>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t="str">
        <f>IFERROR(__xludf.DUMMYFUNCTION("""COMPUTED_VALUE"""),"Felt Cap")</f>
        <v>Felt Cap</v>
      </c>
      <c r="B137" s="1" t="str">
        <f>IFERROR(__xludf.DUMMYFUNCTION("""COMPUTED_VALUE""")," () lvl:1, : + ++ -1 Evasion ++ +2 Intimidation, +-Can only wear one, +-Cannot be duplicated.")</f>
        <v> () lvl:1, : + ++ -1 Evasion ++ +2 Intimidation, +-Can only wear one, +-Cannot be duplicated.</v>
      </c>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t="str">
        <f>IFERROR(__xludf.DUMMYFUNCTION("""COMPUTED_VALUE"""),"Fire Resistant Boots")</f>
        <v>Fire Resistant Boots</v>
      </c>
      <c r="B138" s="1" t="str">
        <f>IFERROR(__xludf.DUMMYFUNCTION("""COMPUTED_VALUE""")," () lvl:200, DEF: +, Fire DEF: +10000 ++Fire Immune, ++X2 Additional fire damage. +-Cannot be duplicated.")</f>
        <v> () lvl:200, DEF: +, Fire DEF: +10000 ++Fire Immune, ++X2 Additional fire damage. +-Cannot be duplicated.</v>
      </c>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t="str">
        <f>IFERROR(__xludf.DUMMYFUNCTION("""COMPUTED_VALUE"""),"Fire Ring")</f>
        <v>Fire Ring</v>
      </c>
      <c r="B139" s="1" t="str">
        <f>IFERROR(__xludf.DUMMYFUNCTION("""COMPUTED_VALUE""")," () lvl:1, : + ++Fire Immune, ++X2 Additional fire damage. +-Cannot be duplicated.")</f>
        <v> () lvl:1, : + ++Fire Immune, ++X2 Additional fire damage. +-Cannot be duplicated.</v>
      </c>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t="str">
        <f>IFERROR(__xludf.DUMMYFUNCTION("""COMPUTED_VALUE"""),"Fire Shield")</f>
        <v>Fire Shield</v>
      </c>
      <c r="B140" s="1" t="str">
        <f>IFERROR(__xludf.DUMMYFUNCTION("""COMPUTED_VALUE""")," (Towershield) lvl:200, DEF: +5000, Fire DEF: +5000 ++ Immunity to Fire, ++X2 Additional fire resistance. +-Cannot be duplicated.")</f>
        <v> (Towershield) lvl:200, DEF: +5000, Fire DEF: +5000 ++ Immunity to Fire, ++X2 Additional fire resistance. +-Cannot be duplicated.</v>
      </c>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t="str">
        <f>IFERROR(__xludf.DUMMYFUNCTION("""COMPUTED_VALUE"""),"Fire Sword")</f>
        <v>Fire Sword</v>
      </c>
      <c r="B141" s="1" t="str">
        <f>IFERROR(__xludf.DUMMYFUNCTION("""COMPUTED_VALUE""")," (Sword) lvl:200, DMG: +5000, Fire DMG: +5000 ++X2 Additional Fire damage. Burn 2500. Cannot be duplicated.")</f>
        <v> (Sword) lvl:200, DMG: +5000, Fire DMG: +5000 ++X2 Additional Fire damage. Burn 2500. Cannot be duplicated.</v>
      </c>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t="str">
        <f>IFERROR(__xludf.DUMMYFUNCTION("""COMPUTED_VALUE"""),"Fireproof Suit")</f>
        <v>Fireproof Suit</v>
      </c>
      <c r="B142" s="1" t="str">
        <f>IFERROR(__xludf.DUMMYFUNCTION("""COMPUTED_VALUE""")," () lvl:400, DEF: +5000, Fire DEF: +15000 Fire Immune, X2 Additional fire resistance. Cannot be duplicated.")</f>
        <v> () lvl:400, DEF: +5000, Fire DEF: +15000 Fire Immune, X2 Additional fire resistance. Cannot be duplicated.</v>
      </c>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t="str">
        <f>IFERROR(__xludf.DUMMYFUNCTION("""COMPUTED_VALUE"""),"Fish Pendant")</f>
        <v>Fish Pendant</v>
      </c>
      <c r="B143" s="1" t="str">
        <f>IFERROR(__xludf.DUMMYFUNCTION("""COMPUTED_VALUE""")," () lvl:1, : + ++Choose the rarity of the fish when fishing +-Cannot be forged +-Cannot be duplicated +-Can only equip one")</f>
        <v> () lvl:1, : + ++Choose the rarity of the fish when fishing +-Cannot be forged +-Cannot be duplicated +-Can only equip one</v>
      </c>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t="str">
        <f>IFERROR(__xludf.DUMMYFUNCTION("""COMPUTED_VALUE"""),"Flame Band")</f>
        <v>Flame Band</v>
      </c>
      <c r="B144" s="1" t="str">
        <f>IFERROR(__xludf.DUMMYFUNCTION("""COMPUTED_VALUE""")," () lvl:1, DMG: + Fire Immune, X2 Additional fire damage. +-Cannot be duplicated")</f>
        <v> () lvl:1, DMG: + Fire Immune, X2 Additional fire damage. +-Cannot be duplicated</v>
      </c>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t="str">
        <f>IFERROR(__xludf.DUMMYFUNCTION("""COMPUTED_VALUE"""),"Flame Mask")</f>
        <v>Flame Mask</v>
      </c>
      <c r="B145" s="1" t="str">
        <f>IFERROR(__xludf.DUMMYFUNCTION("""COMPUTED_VALUE""")," () lvl:130, DEF: +5000, Fire DEF: +1500 ++Fire Immunity, ++X2 Additional fire resistance. +-Cannot be duplicated.")</f>
        <v> () lvl:130, DEF: +5000, Fire DEF: +1500 ++Fire Immunity, ++X2 Additional fire resistance. +-Cannot be duplicated.</v>
      </c>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t="str">
        <f>IFERROR(__xludf.DUMMYFUNCTION("""COMPUTED_VALUE"""),"Flamethrower")</f>
        <v>Flamethrower</v>
      </c>
      <c r="B146" s="1" t="str">
        <f>IFERROR(__xludf.DUMMYFUNCTION("""COMPUTED_VALUE""")," (Firearm) lvl:700, DMG: +, Fire DMG: +35000 ++20% chance of hitting all enemies")</f>
        <v> (Firearm) lvl:700, DMG: +, Fire DMG: +35000 ++20% chance of hitting all enemies</v>
      </c>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t="str">
        <f>IFERROR(__xludf.DUMMYFUNCTION("""COMPUTED_VALUE"""),"Flaming Sword")</f>
        <v>Flaming Sword</v>
      </c>
      <c r="B147" s="1" t="str">
        <f>IFERROR(__xludf.DUMMYFUNCTION("""COMPUTED_VALUE""")," (Sword) lvl:300, DMG: +5000, Fire DMG: +5000, Nature DMG: +5000 ++Burn 1000")</f>
        <v> (Sword) lvl:300, DMG: +5000, Fire DMG: +5000, Nature DMG: +5000 ++Burn 1000</v>
      </c>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t="str">
        <f>IFERROR(__xludf.DUMMYFUNCTION("""COMPUTED_VALUE"""),"Foul Night Blade")</f>
        <v>Foul Night Blade</v>
      </c>
      <c r="B148" s="1" t="str">
        <f>IFERROR(__xludf.DUMMYFUNCTION("""COMPUTED_VALUE""")," (Sword) lvl:200, DMG: +5000, Nature DMG: +5000 (Foul Night Set) ++Poison 5000 for 3 rounds. ++Foul Night Embodiment - When Equipped  Any Dark, Nature or Poison damage is X4.")</f>
        <v> (Sword) lvl:200, DMG: +5000, Nature DMG: +5000 (Foul Night Set) ++Poison 5000 for 3 rounds. ++Foul Night Embodiment - When Equipped  Any Dark, Nature or Poison damage is X4.</v>
      </c>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t="str">
        <f>IFERROR(__xludf.DUMMYFUNCTION("""COMPUTED_VALUE"""),"Freezing Chains")</f>
        <v>Freezing Chains</v>
      </c>
      <c r="B149" s="1" t="str">
        <f>IFERROR(__xludf.DUMMYFUNCTION("""COMPUTED_VALUE""")," (Club) lvl:200, DMG: +5000, Water DMG: +5000 ++Frost Bind- binds the target freezing them until the end of their next turn")</f>
        <v> (Club) lvl:200, DMG: +5000, Water DMG: +5000 ++Frost Bind- binds the target freezing them until the end of their next turn</v>
      </c>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t="str">
        <f>IFERROR(__xludf.DUMMYFUNCTION("""COMPUTED_VALUE"""),"Frost Bow")</f>
        <v>Frost Bow</v>
      </c>
      <c r="B150" s="1" t="str">
        <f>IFERROR(__xludf.DUMMYFUNCTION("""COMPUTED_VALUE""")," (Bow) lvl:180, DMG: +5000, Water DMG: +4000 ++Arrows Used with this bow have a 50% chance to freeze the target(s)")</f>
        <v> (Bow) lvl:180, DMG: +5000, Water DMG: +4000 ++Arrows Used with this bow have a 50% chance to freeze the target(s)</v>
      </c>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t="str">
        <f>IFERROR(__xludf.DUMMYFUNCTION("""COMPUTED_VALUE"""),"Frost Cloak")</f>
        <v>Frost Cloak</v>
      </c>
      <c r="B151" s="1" t="str">
        <f>IFERROR(__xludf.DUMMYFUNCTION("""COMPUTED_VALUE""")," () lvl:1, : + (Frost Mage Set) ++When caster is hit by an enemy,the enemy is frozen for 5r/s caster,s cloak last for 3 r/s 90 sp")</f>
        <v> () lvl:1, : + (Frost Mage Set) ++When caster is hit by an enemy,the enemy is frozen for 5r/s caster,s cloak last for 3 r/s 90 sp</v>
      </c>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t="str">
        <f>IFERROR(__xludf.DUMMYFUNCTION("""COMPUTED_VALUE"""),"Frost Spear")</f>
        <v>Frost Spear</v>
      </c>
      <c r="B152" s="1" t="str">
        <f>IFERROR(__xludf.DUMMYFUNCTION("""COMPUTED_VALUE"""),"Event Exclusive (Spear) lvl:1000, DMG: +25000, Storm DMG: +25000 (The Frozen Spear Master Set) ++50% chance to freeze any enemies hit with this weapon")</f>
        <v>Event Exclusive (Spear) lvl:1000, DMG: +25000, Storm DMG: +25000 (The Frozen Spear Master Set) ++50% chance to freeze any enemies hit with this weapon</v>
      </c>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t="str">
        <f>IFERROR(__xludf.DUMMYFUNCTION("""COMPUTED_VALUE"""),"Frozen Carrot Dagger")</f>
        <v>Frozen Carrot Dagger</v>
      </c>
      <c r="B153" s="1" t="str">
        <f>IFERROR(__xludf.DUMMYFUNCTION("""COMPUTED_VALUE"""),"Event Exclusive (Knife) lvl:200, DMG: +5000, Water DMG: +5000")</f>
        <v>Event Exclusive (Knife) lvl:200, DMG: +5000, Water DMG: +5000</v>
      </c>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t="str">
        <f>IFERROR(__xludf.DUMMYFUNCTION("""COMPUTED_VALUE"""),"Frozen Falchion")</f>
        <v>Frozen Falchion</v>
      </c>
      <c r="B154" s="1" t="str">
        <f>IFERROR(__xludf.DUMMYFUNCTION("""COMPUTED_VALUE""")," (Sword) lvl:400, DMG: +10000, Water DMG: +10000 ++40% chance to freeze the target. ++While enemies are frozen in battle they will take 20,000 Water damage per round. +-Cannot be duplicated.")</f>
        <v> (Sword) lvl:400, DMG: +10000, Water DMG: +10000 ++40% chance to freeze the target. ++While enemies are frozen in battle they will take 20,000 Water damage per round. +-Cannot be duplicated.</v>
      </c>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t="str">
        <f>IFERROR(__xludf.DUMMYFUNCTION("""COMPUTED_VALUE"""),"Frozen Soul Lantern")</f>
        <v>Frozen Soul Lantern</v>
      </c>
      <c r="B155" s="1" t="str">
        <f>IFERROR(__xludf.DUMMYFUNCTION("""COMPUTED_VALUE""")," (Wand) lvl:1, : + ++When a spell that deals damage is casted by an enemy this item will inflict the effect Frostburn. ++Frostburn - The Targets spell damage is halved.")</f>
        <v> (Wand) lvl:1, : + ++When a spell that deals damage is casted by an enemy this item will inflict the effect Frostburn. ++Frostburn - The Targets spell damage is halved.</v>
      </c>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t="str">
        <f>IFERROR(__xludf.DUMMYFUNCTION("""COMPUTED_VALUE"""),"Gargoyle War Horn")</f>
        <v>Gargoyle War Horn</v>
      </c>
      <c r="B156" s="1" t="str">
        <f>IFERROR(__xludf.DUMMYFUNCTION("""COMPUTED_VALUE""")," (Wand) lvl:1, : + ++Summons a d2 of Gargoyles to help you in battle. +-Can only be used once per battle.")</f>
        <v> (Wand) lvl:1, : + ++Summons a d2 of Gargoyles to help you in battle. +-Can only be used once per battle.</v>
      </c>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t="str">
        <f>IFERROR(__xludf.DUMMYFUNCTION("""COMPUTED_VALUE"""),"Gargoyle’s Heavy Enchanted Bow")</f>
        <v>Gargoyle’s Heavy Enchanted Bow</v>
      </c>
      <c r="B157" s="1" t="str">
        <f>IFERROR(__xludf.DUMMYFUNCTION("""COMPUTED_VALUE""")," (Bow) lvl:3000, DMG: +100000, Earth DMG: +50000 ++Damage dealt with this bow gives you hp back equal to the damage you dealt. ")</f>
        <v> (Bow) lvl:3000, DMG: +100000, Earth DMG: +50000 ++Damage dealt with this bow gives you hp back equal to the damage you dealt. </v>
      </c>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t="str">
        <f>IFERROR(__xludf.DUMMYFUNCTION("""COMPUTED_VALUE"""),"Gargoyle’s Necklace of Luck ")</f>
        <v>Gargoyle’s Necklace of Luck </v>
      </c>
      <c r="B158" s="1" t="str">
        <f>IFERROR(__xludf.DUMMYFUNCTION("""COMPUTED_VALUE""")," () lvl:1, : + ++Allows 1 d20 roll to be a 20 once per battle or 1 rp action per day of travel. +-Cannot be forged +-Cannot be duplicated +-Can only equip one")</f>
        <v> () lvl:1, : + ++Allows 1 d20 roll to be a 20 once per battle or 1 rp action per day of travel. +-Cannot be forged +-Cannot be duplicated +-Can only equip one</v>
      </c>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t="str">
        <f>IFERROR(__xludf.DUMMYFUNCTION("""COMPUTED_VALUE"""),"Gargoyle’s Ring")</f>
        <v>Gargoyle’s Ring</v>
      </c>
      <c r="B159" s="1" t="str">
        <f>IFERROR(__xludf.DUMMYFUNCTION("""COMPUTED_VALUE""")," () lvl:1, : + ++If you chose the gargoyle race as your main starting race this ring will make it so you will not become hardened.")</f>
        <v> () lvl:1, : + ++If you chose the gargoyle race as your main starting race this ring will make it so you will not become hardened.</v>
      </c>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t="str">
        <f>IFERROR(__xludf.DUMMYFUNCTION("""COMPUTED_VALUE"""),"Giant Spider Leg")</f>
        <v>Giant Spider Leg</v>
      </c>
      <c r="B160" s="1" t="str">
        <f>IFERROR(__xludf.DUMMYFUNCTION("""COMPUTED_VALUE""")," (Knife) lvl:200, ATK: +10000 ++When hitting an enemy inflict them with poison 500")</f>
        <v> (Knife) lvl:200, ATK: +10000 ++When hitting an enemy inflict them with poison 500</v>
      </c>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t="str">
        <f>IFERROR(__xludf.DUMMYFUNCTION("""COMPUTED_VALUE"""),"Glass Shield")</f>
        <v>Glass Shield</v>
      </c>
      <c r="B161" s="1" t="str">
        <f>IFERROR(__xludf.DUMMYFUNCTION("""COMPUTED_VALUE""")," (Towershield) lvl:1000, DEF: +50000 +-has a 50% chance of breaking upon taking damage")</f>
        <v> (Towershield) lvl:1000, DEF: +50000 +-has a 50% chance of breaking upon taking damage</v>
      </c>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t="str">
        <f>IFERROR(__xludf.DUMMYFUNCTION("""COMPUTED_VALUE"""),"Goose Staff")</f>
        <v>Goose Staff</v>
      </c>
      <c r="B162" s="1" t="str">
        <f>IFERROR(__xludf.DUMMYFUNCTION("""COMPUTED_VALUE""")," (Staff) lvl:1, : + ++Summons Lord Goose to aid you in battle, 1000 SP.")</f>
        <v> (Staff) lvl:1, : + ++Summons Lord Goose to aid you in battle, 1000 SP.</v>
      </c>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t="str">
        <f>IFERROR(__xludf.DUMMYFUNCTION("""COMPUTED_VALUE"""),"Grand Hellfire Sword")</f>
        <v>Grand Hellfire Sword</v>
      </c>
      <c r="B163" s="1" t="str">
        <f>IFERROR(__xludf.DUMMYFUNCTION("""COMPUTED_VALUE""")," (Sword) lvl:200, DMG: +50000, Fire DMG: +100000, Dark DMG: +50000, Chaos DMG: +50000, Celestial DMG: +50000 ++Upon a successful hit this weapon will have a 20% chance to summon a Grand Dark and Fire Mage, Level is determined by DM/GM. +-Cannot be Duplica"&amp;"ted.")</f>
        <v> (Sword) lvl:200, DMG: +50000, Fire DMG: +100000, Dark DMG: +50000, Chaos DMG: +50000, Celestial DMG: +50000 ++Upon a successful hit this weapon will have a 20% chance to summon a Grand Dark and Fire Mage, Level is determined by DM/GM. +-Cannot be Duplicated.</v>
      </c>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t="str">
        <f>IFERROR(__xludf.DUMMYFUNCTION("""COMPUTED_VALUE"""),"Grand Master Bow")</f>
        <v>Grand Master Bow</v>
      </c>
      <c r="B164" s="1" t="str">
        <f>IFERROR(__xludf.DUMMYFUNCTION("""COMPUTED_VALUE""")," (Bow) lvl:20, DMG: +1000 ++X4 additional damage towards ranged attacks. +-Only Archers can equip. +-Cannot be duplicated. ")</f>
        <v> (Bow) lvl:20, DMG: +1000 ++X4 additional damage towards ranged attacks. +-Only Archers can equip. +-Cannot be duplicated. </v>
      </c>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t="str">
        <f>IFERROR(__xludf.DUMMYFUNCTION("""COMPUTED_VALUE"""),"Grass Sword")</f>
        <v>Grass Sword</v>
      </c>
      <c r="B165" s="1" t="str">
        <f>IFERROR(__xludf.DUMMYFUNCTION("""COMPUTED_VALUE"""),"A strong grass entity in the form of a sword (Sword) lvl:1, DMG: +250")</f>
        <v>A strong grass entity in the form of a sword (Sword) lvl:1, DMG: +250</v>
      </c>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t="str">
        <f>IFERROR(__xludf.DUMMYFUNCTION("""COMPUTED_VALUE"""),"Great Stone Gargoyle Sword")</f>
        <v>Great Stone Gargoyle Sword</v>
      </c>
      <c r="B166" s="1" t="str">
        <f>IFERROR(__xludf.DUMMYFUNCTION("""COMPUTED_VALUE""")," (Sword) lvl:4000, DMG: +100000, Earth DMG: +100000 ++When this weapon is equipped the wielder gets X2 Attack and Defence, +-Cannot be duplicated.")</f>
        <v> (Sword) lvl:4000, DMG: +100000, Earth DMG: +100000 ++When this weapon is equipped the wielder gets X2 Attack and Defence, +-Cannot be duplicated.</v>
      </c>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t="str">
        <f>IFERROR(__xludf.DUMMYFUNCTION("""COMPUTED_VALUE"""),"Greaves of The Sea Serpent")</f>
        <v>Greaves of The Sea Serpent</v>
      </c>
      <c r="B167" s="1" t="str">
        <f>IFERROR(__xludf.DUMMYFUNCTION("""COMPUTED_VALUE""")," () lvl:100, DEF: +2500, Water DEF: +2500 ++X2 additional water damage for self.")</f>
        <v> () lvl:100, DEF: +2500, Water DEF: +2500 ++X2 additional water damage for self.</v>
      </c>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t="str">
        <f>IFERROR(__xludf.DUMMYFUNCTION("""COMPUTED_VALUE"""),"Greaves of Waking Waters")</f>
        <v>Greaves of Waking Waters</v>
      </c>
      <c r="B168" s="1" t="str">
        <f>IFERROR(__xludf.DUMMYFUNCTION("""COMPUTED_VALUE""")," () lvl:200, DEF: +5000, Water DEF: +5000 ++X4 additional water damage for self.")</f>
        <v> () lvl:200, DEF: +5000, Water DEF: +5000 ++X4 additional water damage for self.</v>
      </c>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t="str">
        <f>IFERROR(__xludf.DUMMYFUNCTION("""COMPUTED_VALUE"""),"Halloween Staff")</f>
        <v>Halloween Staff</v>
      </c>
      <c r="B169" s="1" t="str">
        <f>IFERROR(__xludf.DUMMYFUNCTION("""COMPUTED_VALUE"""),"Halloween exclusive (Staff) lvl:1, : + ++Transform into the Headless Horseman for 3 rounds.")</f>
        <v>Halloween exclusive (Staff) lvl:1, : + ++Transform into the Headless Horseman for 3 rounds.</v>
      </c>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t="str">
        <f>IFERROR(__xludf.DUMMYFUNCTION("""COMPUTED_VALUE"""),"Hammer of Chaotic Shadows")</f>
        <v>Hammer of Chaotic Shadows</v>
      </c>
      <c r="B170" s="1" t="str">
        <f>IFERROR(__xludf.DUMMYFUNCTION("""COMPUTED_VALUE""")," (Club) lvl:300, DMG: +5000, Dark DMG: +5000, Chaos DMG: +5000 ++X2 Additional Dark and Chaos Damage. ")</f>
        <v> (Club) lvl:300, DMG: +5000, Dark DMG: +5000, Chaos DMG: +5000 ++X2 Additional Dark and Chaos Damage. </v>
      </c>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t="str">
        <f>IFERROR(__xludf.DUMMYFUNCTION("""COMPUTED_VALUE"""),"Hardened Ice Sickle")</f>
        <v>Hardened Ice Sickle</v>
      </c>
      <c r="B171" s="1" t="str">
        <f>IFERROR(__xludf.DUMMYFUNCTION("""COMPUTED_VALUE"""),"Event Exclusive (Knife) lvl:200, DMG: +5000, Water DMG: +5000 ++75% chance to freeze the target.")</f>
        <v>Event Exclusive (Knife) lvl:200, DMG: +5000, Water DMG: +5000 ++75% chance to freeze the target.</v>
      </c>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t="str">
        <f>IFERROR(__xludf.DUMMYFUNCTION("""COMPUTED_VALUE"""),"Haunted Katana")</f>
        <v>Haunted Katana</v>
      </c>
      <c r="B172" s="1" t="str">
        <f>IFERROR(__xludf.DUMMYFUNCTION("""COMPUTED_VALUE""")," (Sword) lvl:600, DMG: +10000, Dark DMG: +10000, Spirit DMG: +10000 +-You go last during the turn order in battle.. ")</f>
        <v> (Sword) lvl:600, DMG: +10000, Dark DMG: +10000, Spirit DMG: +10000 +-You go last during the turn order in battle.. </v>
      </c>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t="str">
        <f>IFERROR(__xludf.DUMMYFUNCTION("""COMPUTED_VALUE"""),"Haunted King's Favorite Shield")</f>
        <v>Haunted King's Favorite Shield</v>
      </c>
      <c r="B173" s="1" t="str">
        <f>IFERROR(__xludf.DUMMYFUNCTION("""COMPUTED_VALUE"""),"Halloween exclusive (Towershield) lvl:20, DEF: +1000 ++Great Block - When attacked you will take no damage until your next turn, Costs All SP and sets Users HP to 1.")</f>
        <v>Halloween exclusive (Towershield) lvl:20, DEF: +1000 ++Great Block - When attacked you will take no damage until your next turn, Costs All SP and sets Users HP to 1.</v>
      </c>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t="str">
        <f>IFERROR(__xludf.DUMMYFUNCTION("""COMPUTED_VALUE"""),"Haunted King's Favorite Sword")</f>
        <v>Haunted King's Favorite Sword</v>
      </c>
      <c r="B174" s="1" t="str">
        <f>IFERROR(__xludf.DUMMYFUNCTION("""COMPUTED_VALUE"""),"Halloween exclusive (Sword) lvl:60, DMG: +3000 ++Piercing Strike - Ignores all Def when attacking with this weapon ++gain 1000 SP upon a successful hit. +-Cannot be duplicated")</f>
        <v>Halloween exclusive (Sword) lvl:60, DMG: +3000 ++Piercing Strike - Ignores all Def when attacking with this weapon ++gain 1000 SP upon a successful hit. +-Cannot be duplicated</v>
      </c>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t="str">
        <f>IFERROR(__xludf.DUMMYFUNCTION("""COMPUTED_VALUE"""),"Heatmore Flame Golem Head")</f>
        <v>Heatmore Flame Golem Head</v>
      </c>
      <c r="B175" s="1" t="str">
        <f>IFERROR(__xludf.DUMMYFUNCTION("""COMPUTED_VALUE""")," () lvl:300, DEF: +5000, Fire DEF: +5000, Earth DEF: +5000 ++X2 additional Earth and Fire Resistance.")</f>
        <v> () lvl:300, DEF: +5000, Fire DEF: +5000, Earth DEF: +5000 ++X2 additional Earth and Fire Resistance.</v>
      </c>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t="str">
        <f>IFERROR(__xludf.DUMMYFUNCTION("""COMPUTED_VALUE"""),"Helmet of Darkness")</f>
        <v>Helmet of Darkness</v>
      </c>
      <c r="B176" s="1" t="str">
        <f>IFERROR(__xludf.DUMMYFUNCTION("""COMPUTED_VALUE""")," () lvl:400, DEF: +10000, Dark DEF: +10000 ++Immunity to Dark damage.")</f>
        <v> () lvl:400, DEF: +10000, Dark DEF: +10000 ++Immunity to Dark damage.</v>
      </c>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t="str">
        <f>IFERROR(__xludf.DUMMYFUNCTION("""COMPUTED_VALUE"""),"Helmet of Waking Waters")</f>
        <v>Helmet of Waking Waters</v>
      </c>
      <c r="B177" s="1" t="str">
        <f>IFERROR(__xludf.DUMMYFUNCTION("""COMPUTED_VALUE""")," () lvl:200, DEF: +5000, Water DEF: +5000 ++X4 additional water damage.")</f>
        <v> () lvl:200, DEF: +5000, Water DEF: +5000 ++X4 additional water damage.</v>
      </c>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t="str">
        <f>IFERROR(__xludf.DUMMYFUNCTION("""COMPUTED_VALUE"""),"High Range Bow")</f>
        <v>High Range Bow</v>
      </c>
      <c r="B178" s="1" t="str">
        <f>IFERROR(__xludf.DUMMYFUNCTION("""COMPUTED_VALUE""")," (Bow) lvl:10, DMG: +500 ++Hawkeye: X2 more arrow damage and ranged attacks deal half damage that are dealt to the wearer. ")</f>
        <v> (Bow) lvl:10, DMG: +500 ++Hawkeye: X2 more arrow damage and ranged attacks deal half damage that are dealt to the wearer. </v>
      </c>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t="str">
        <f>IFERROR(__xludf.DUMMYFUNCTION("""COMPUTED_VALUE"""),"Horn of The Forgotten")</f>
        <v>Horn of The Forgotten</v>
      </c>
      <c r="B179" s="1" t="str">
        <f>IFERROR(__xludf.DUMMYFUNCTION("""COMPUTED_VALUE""")," (Wand) lvl:1, : + ++Calls upon a lost soul to aid you in battle. The lost soul increases your max health defence and attack by double its original for the rest of battle. +-Can only be used once per battle. +-Cannot be duplicated")</f>
        <v> (Wand) lvl:1, : + ++Calls upon a lost soul to aid you in battle. The lost soul increases your max health defence and attack by double its original for the rest of battle. +-Can only be used once per battle. +-Cannot be duplicated</v>
      </c>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t="str">
        <f>IFERROR(__xludf.DUMMYFUNCTION("""COMPUTED_VALUE"""),"Houyi's Bow")</f>
        <v>Houyi's Bow</v>
      </c>
      <c r="B180" s="1" t="str">
        <f>IFERROR(__xludf.DUMMYFUNCTION("""COMPUTED_VALUE""")," (Bow) lvl:400, DMG: +20000 ++Skill Shot - gives the wielder X2 accuracy and X2 damage for bows.")</f>
        <v> (Bow) lvl:400, DMG: +20000 ++Skill Shot - gives the wielder X2 accuracy and X2 damage for bows.</v>
      </c>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t="str">
        <f>IFERROR(__xludf.DUMMYFUNCTION("""COMPUTED_VALUE"""),"Ice Blade")</f>
        <v>Ice Blade</v>
      </c>
      <c r="B181" s="1" t="str">
        <f>IFERROR(__xludf.DUMMYFUNCTION("""COMPUTED_VALUE""")," (Sword) lvl:100, DMG: +2000, Water DMG: +3000 ++50% chance to freeze the target.")</f>
        <v> (Sword) lvl:100, DMG: +2000, Water DMG: +3000 ++50% chance to freeze the target.</v>
      </c>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t="str">
        <f>IFERROR(__xludf.DUMMYFUNCTION("""COMPUTED_VALUE"""),"Inferno Staff")</f>
        <v>Inferno Staff</v>
      </c>
      <c r="B182" s="1" t="str">
        <f>IFERROR(__xludf.DUMMYFUNCTION("""COMPUTED_VALUE""")," (Staff) lvl:200, : +, Fire : +10000 ++Burn 10,000 to 1 target for 3 rounds. 100sp.")</f>
        <v> (Staff) lvl:200, : +, Fire : +10000 ++Burn 10,000 to 1 target for 3 rounds. 100sp.</v>
      </c>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t="str">
        <f>IFERROR(__xludf.DUMMYFUNCTION("""COMPUTED_VALUE"""),"Jack's Special Archer Robe")</f>
        <v>Jack's Special Archer Robe</v>
      </c>
      <c r="B183" s="1" t="str">
        <f>IFERROR(__xludf.DUMMYFUNCTION("""COMPUTED_VALUE"""),"Halloween exclusive () lvl:20, DEF: +900 ++Range Spells cost half the SP cost and all damage is doubled for ranged spells +-Archer Class Only")</f>
        <v>Halloween exclusive () lvl:20, DEF: +900 ++Range Spells cost half the SP cost and all damage is doubled for ranged spells +-Archer Class Only</v>
      </c>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t="str">
        <f>IFERROR(__xludf.DUMMYFUNCTION("""COMPUTED_VALUE"""),"Jack's Special Ring")</f>
        <v>Jack's Special Ring</v>
      </c>
      <c r="B184" s="1" t="str">
        <f>IFERROR(__xludf.DUMMYFUNCTION("""COMPUTED_VALUE"""),"Halloween exclusive () lvl:1, : + ++Increase all types of damage by X2. +-Cannot be forged +-Cannot be duplicated")</f>
        <v>Halloween exclusive () lvl:1, : + ++Increase all types of damage by X2. +-Cannot be forged +-Cannot be duplicated</v>
      </c>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t="str">
        <f>IFERROR(__xludf.DUMMYFUNCTION("""COMPUTED_VALUE"""),"Jack's Special Sword")</f>
        <v>Jack's Special Sword</v>
      </c>
      <c r="B185" s="1" t="str">
        <f>IFERROR(__xludf.DUMMYFUNCTION("""COMPUTED_VALUE"""),"Halloween exclusive (Sword) lvl:60, DMG: +1500, Dark DMG: +600, Chaos DMG: +900 ++Vampires Lust II - Any damage dealt by this sword will give you HP and SP equal to the damage dealt. +-Cannot be duplicated")</f>
        <v>Halloween exclusive (Sword) lvl:60, DMG: +1500, Dark DMG: +600, Chaos DMG: +900 ++Vampires Lust II - Any damage dealt by this sword will give you HP and SP equal to the damage dealt. +-Cannot be duplicated</v>
      </c>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t="str">
        <f>IFERROR(__xludf.DUMMYFUNCTION("""COMPUTED_VALUE"""),"Jack’o Lantern Helmet of Swampy Hallow")</f>
        <v>Jack’o Lantern Helmet of Swampy Hallow</v>
      </c>
      <c r="B186" s="1" t="str">
        <f>IFERROR(__xludf.DUMMYFUNCTION("""COMPUTED_VALUE"""),"Halloween exclusive () lvl:600, DEF: +5000, Fire DEF: +5000, Dark DEF: +5000, Spirit DEF: +5000, Chaos DEF: +5000, Nature DEF: +5000 ++Allows you to use up to Rank 9 Nature, Fire, Dark, Chaos, and Spirit Spells, ++X2 additional Nature, Fire, Dark, Chaos, "&amp;"and Spirit damage.")</f>
        <v>Halloween exclusive () lvl:600, DEF: +5000, Fire DEF: +5000, Dark DEF: +5000, Spirit DEF: +5000, Chaos DEF: +5000, Nature DEF: +5000 ++Allows you to use up to Rank 9 Nature, Fire, Dark, Chaos, and Spirit Spells, ++X2 additional Nature, Fire, Dark, Chaos, and Spirit damage.</v>
      </c>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t="str">
        <f>IFERROR(__xludf.DUMMYFUNCTION("""COMPUTED_VALUE"""),"Katana")</f>
        <v>Katana</v>
      </c>
      <c r="B187" s="1" t="str">
        <f>IFERROR(__xludf.DUMMYFUNCTION("""COMPUTED_VALUE""")," (Sword) lvl:10, DMG: +500 ++ +10% chance of the sword ability activating.")</f>
        <v> (Sword) lvl:10, DMG: +500 ++ +10% chance of the sword ability activating.</v>
      </c>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t="str">
        <f>IFERROR(__xludf.DUMMYFUNCTION("""COMPUTED_VALUE"""),"King Of Mekanas Sword")</f>
        <v>King Of Mekanas Sword</v>
      </c>
      <c r="B188" s="1" t="str">
        <f>IFERROR(__xludf.DUMMYFUNCTION("""COMPUTED_VALUE"""),"Mob Exclusive (Sword) lvl:3000, DMG: +50000, Fire DMG: +50000, Storm DMG: +50000 ++X8 additional Fire and Storm damage. ")</f>
        <v>Mob Exclusive (Sword) lvl:3000, DMG: +50000, Fire DMG: +50000, Storm DMG: +50000 ++X8 additional Fire and Storm damage. </v>
      </c>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t="str">
        <f>IFERROR(__xludf.DUMMYFUNCTION("""COMPUTED_VALUE"""),"King's Royal Sword")</f>
        <v>King's Royal Sword</v>
      </c>
      <c r="B189" s="1" t="str">
        <f>IFERROR(__xludf.DUMMYFUNCTION("""COMPUTED_VALUE"""),"Quest Item (Sword) lvl:200, DMG: +100000, Celestial DMG: +100000 ++ +5 can be added to your d20 rolls. X12 additional Celestial damage. +-Cannot be duplicated")</f>
        <v>Quest Item (Sword) lvl:200, DMG: +100000, Celestial DMG: +100000 ++ +5 can be added to your d20 rolls. X12 additional Celestial damage. +-Cannot be duplicated</v>
      </c>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t="str">
        <f>IFERROR(__xludf.DUMMYFUNCTION("""COMPUTED_VALUE"""),"Knife")</f>
        <v>Knife</v>
      </c>
      <c r="B190" s="1" t="str">
        <f>IFERROR(__xludf.DUMMYFUNCTION("""COMPUTED_VALUE""")," (Knife) lvl:20, DMG: +1000")</f>
        <v> (Knife) lvl:20, DMG: +1000</v>
      </c>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t="str">
        <f>IFERROR(__xludf.DUMMYFUNCTION("""COMPUTED_VALUE"""),"Knife of Jinx")</f>
        <v>Knife of Jinx</v>
      </c>
      <c r="B191" s="1" t="str">
        <f>IFERROR(__xludf.DUMMYFUNCTION("""COMPUTED_VALUE""")," (Knife) lvl:1, DMG: +10 ++ If this weapon is used against a character owned by James, This will instantly kill that character even if they are immune to instant death, otherwise this will deal 10 damage")</f>
        <v> (Knife) lvl:1, DMG: +10 ++ If this weapon is used against a character owned by James, This will instantly kill that character even if they are immune to instant death, otherwise this will deal 10 damage</v>
      </c>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t="str">
        <f>IFERROR(__xludf.DUMMYFUNCTION("""COMPUTED_VALUE"""),"kraken's power ring")</f>
        <v>kraken's power ring</v>
      </c>
      <c r="B192" s="1" t="str">
        <f>IFERROR(__xludf.DUMMYFUNCTION("""COMPUTED_VALUE""")," () lvl:1, : + ++water based attacks double in damage. ++sp cost is halved for water spells only")</f>
        <v> () lvl:1, : + ++water based attacks double in damage. ++sp cost is halved for water spells only</v>
      </c>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t="str">
        <f>IFERROR(__xludf.DUMMYFUNCTION("""COMPUTED_VALUE"""),"Krakens Power Ring")</f>
        <v>Krakens Power Ring</v>
      </c>
      <c r="B193" s="1" t="str">
        <f>IFERROR(__xludf.DUMMYFUNCTION("""COMPUTED_VALUE""")," () lvl:1, : + ++water based attacks deal x2 damage, ++sp is halved for water spells only. +-(one use per battle)")</f>
        <v> () lvl:1, : + ++water based attacks deal x2 damage, ++sp is halved for water spells only. +-(one use per battle)</v>
      </c>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t="str">
        <f>IFERROR(__xludf.DUMMYFUNCTION("""COMPUTED_VALUE"""),"Lava Longsword")</f>
        <v>Lava Longsword</v>
      </c>
      <c r="B194" s="1" t="str">
        <f>IFERROR(__xludf.DUMMYFUNCTION("""COMPUTED_VALUE""")," (Sword) lvl:800, DMG: +20000, Fire DMG: +20000 ++Burn 10,000 for 3 rounds.")</f>
        <v> (Sword) lvl:800, DMG: +20000, Fire DMG: +20000 ++Burn 10,000 for 3 rounds.</v>
      </c>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t="str">
        <f>IFERROR(__xludf.DUMMYFUNCTION("""COMPUTED_VALUE"""),"Lazer Infused Sword")</f>
        <v>Lazer Infused Sword</v>
      </c>
      <c r="B195" s="1" t="str">
        <f>IFERROR(__xludf.DUMMYFUNCTION("""COMPUTED_VALUE""")," (Sword) lvl:600, DMG: +10000, Fire DMG: +10000, Blood DMG: +10000 ++Ignores Defense. +-Cannot be duplicated.")</f>
        <v> (Sword) lvl:600, DMG: +10000, Fire DMG: +10000, Blood DMG: +10000 ++Ignores Defense. +-Cannot be duplicated.</v>
      </c>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t="str">
        <f>IFERROR(__xludf.DUMMYFUNCTION("""COMPUTED_VALUE"""),"Legendary Sword of Heatmore")</f>
        <v>Legendary Sword of Heatmore</v>
      </c>
      <c r="B196" s="1" t="str">
        <f>IFERROR(__xludf.DUMMYFUNCTION("""COMPUTED_VALUE""")," (Sword) lvl:200, DMG: +20000, Fire DMG: +20000, Water DMG: +20000, Celestial DMG: +20000 ++75% chance of instant death. ++X6 additional Fire damage. ++Burn 10,000. +-Cannot be duplicated")</f>
        <v> (Sword) lvl:200, DMG: +20000, Fire DMG: +20000, Water DMG: +20000, Celestial DMG: +20000 ++75% chance of instant death. ++X6 additional Fire damage. ++Burn 10,000. +-Cannot be duplicated</v>
      </c>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t="str">
        <f>IFERROR(__xludf.DUMMYFUNCTION("""COMPUTED_VALUE"""),"Legendary Tree Sword")</f>
        <v>Legendary Tree Sword</v>
      </c>
      <c r="B197" s="1" t="str">
        <f>IFERROR(__xludf.DUMMYFUNCTION("""COMPUTED_VALUE""")," (Sword) lvl:200, DMG: +50000, Nature DMG: +50000, Celestial DMG: +50000 ++X6 Additional Nature damage. ++20% chance of Incorporeal 2. +-Cannot be duplicated.")</f>
        <v> (Sword) lvl:200, DMG: +50000, Nature DMG: +50000, Celestial DMG: +50000 ++X6 Additional Nature damage. ++20% chance of Incorporeal 2. +-Cannot be duplicated.</v>
      </c>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t="str">
        <f>IFERROR(__xludf.DUMMYFUNCTION("""COMPUTED_VALUE"""),"Leggings Of Tritonoch")</f>
        <v>Leggings Of Tritonoch</v>
      </c>
      <c r="B198" s="1" t="str">
        <f>IFERROR(__xludf.DUMMYFUNCTION("""COMPUTED_VALUE""")," () lvl:400, DEF: +20000 ++Waves of Entitlement - x5 additional Water damage")</f>
        <v> () lvl:400, DEF: +20000 ++Waves of Entitlement - x5 additional Water damage</v>
      </c>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t="str">
        <f>IFERROR(__xludf.DUMMYFUNCTION("""COMPUTED_VALUE"""),"Lightning Lance")</f>
        <v>Lightning Lance</v>
      </c>
      <c r="B199" s="1" t="str">
        <f>IFERROR(__xludf.DUMMYFUNCTION("""COMPUTED_VALUE""")," (Spear) lvl:500, DMG: +10000, Storm DMG: +15000 ++Stun 2")</f>
        <v> (Spear) lvl:500, DMG: +10000, Storm DMG: +15000 ++Stun 2</v>
      </c>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t="str">
        <f>IFERROR(__xludf.DUMMYFUNCTION("""COMPUTED_VALUE"""),"Long Spear")</f>
        <v>Long Spear</v>
      </c>
      <c r="B200" s="1" t="str">
        <f>IFERROR(__xludf.DUMMYFUNCTION("""COMPUTED_VALUE""")," (Spear) lvl:10, DMG: +500 ++25% chance of instant death. ")</f>
        <v> (Spear) lvl:10, DMG: +500 ++25% chance of instant death. </v>
      </c>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t="str">
        <f>IFERROR(__xludf.DUMMYFUNCTION("""COMPUTED_VALUE"""),"Lord Dreadfuls Sword")</f>
        <v>Lord Dreadfuls Sword</v>
      </c>
      <c r="B201" s="1" t="str">
        <f>IFERROR(__xludf.DUMMYFUNCTION("""COMPUTED_VALUE""")," (Sword) lvl:800, DMG: +20000, Dark DMG: +10000, Chaos DMG: +10000")</f>
        <v> (Sword) lvl:800, DMG: +20000, Dark DMG: +10000, Chaos DMG: +10000</v>
      </c>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t="str">
        <f>IFERROR(__xludf.DUMMYFUNCTION("""COMPUTED_VALUE"""),"Magma Morningstar")</f>
        <v>Magma Morningstar</v>
      </c>
      <c r="B202" s="1" t="str">
        <f>IFERROR(__xludf.DUMMYFUNCTION("""COMPUTED_VALUE""")," (Club) lvl:20, DMG: +500, Fire DMG: +400 ++Will return to you each round when thrown")</f>
        <v> (Club) lvl:20, DMG: +500, Fire DMG: +400 ++Will return to you each round when thrown</v>
      </c>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t="str">
        <f>IFERROR(__xludf.DUMMYFUNCTION("""COMPUTED_VALUE"""),"Magma Sword")</f>
        <v>Magma Sword</v>
      </c>
      <c r="B203" s="1" t="str">
        <f>IFERROR(__xludf.DUMMYFUNCTION("""COMPUTED_VALUE"""),"A sword that turned Forest View into Ash View. (Sword) lvl:200, DMG: +50000, Fire DMG: +50000, Celestial DMG: +50000 ++X6 additional Fire damage. ++Burn 20,000 for 3 rounds. +-Cannot be duplicated")</f>
        <v>A sword that turned Forest View into Ash View. (Sword) lvl:200, DMG: +50000, Fire DMG: +50000, Celestial DMG: +50000 ++X6 additional Fire damage. ++Burn 20,000 for 3 rounds. +-Cannot be duplicated</v>
      </c>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t="str">
        <f>IFERROR(__xludf.DUMMYFUNCTION("""COMPUTED_VALUE"""),"Masking Cloak")</f>
        <v>Masking Cloak</v>
      </c>
      <c r="B204" s="1" t="str">
        <f>IFERROR(__xludf.DUMMYFUNCTION("""COMPUTED_VALUE""")," () lvl:1, : + ++5 Evasion +-(Cannot be duplicated)")</f>
        <v> () lvl:1, : + ++5 Evasion +-(Cannot be duplicated)</v>
      </c>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t="str">
        <f>IFERROR(__xludf.DUMMYFUNCTION("""COMPUTED_VALUE"""),"Mini Lucky Fish in a Bottle")</f>
        <v>Mini Lucky Fish in a Bottle</v>
      </c>
      <c r="B205" s="1" t="str">
        <f>IFERROR(__xludf.DUMMYFUNCTION("""COMPUTED_VALUE""")," (Wand) lvl:1, : + ++Percentage rolls are now increased by 10% for caster that holds this item. +-Can only equip one")</f>
        <v> (Wand) lvl:1, : + ++Percentage rolls are now increased by 10% for caster that holds this item. +-Can only equip one</v>
      </c>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t="str">
        <f>IFERROR(__xludf.DUMMYFUNCTION("""COMPUTED_VALUE"""),"Nature Faery Wand")</f>
        <v>Nature Faery Wand</v>
      </c>
      <c r="B206" s="1" t="str">
        <f>IFERROR(__xludf.DUMMYFUNCTION("""COMPUTED_VALUE""")," (Wand) lvl:1, : + ++half the sp cost of nature spells")</f>
        <v> (Wand) lvl:1, : + ++half the sp cost of nature spells</v>
      </c>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t="str">
        <f>IFERROR(__xludf.DUMMYFUNCTION("""COMPUTED_VALUE"""),"Nature's Sword")</f>
        <v>Nature's Sword</v>
      </c>
      <c r="B207" s="1" t="str">
        <f>IFERROR(__xludf.DUMMYFUNCTION("""COMPUTED_VALUE""")," (Sword) lvl:40, DMG: +800, Nature DMG: +800 ++Upon a successful hit, the next turn you will automatically use the spell Tree Stance.")</f>
        <v> (Sword) lvl:40, DMG: +800, Nature DMG: +800 ++Upon a successful hit, the next turn you will automatically use the spell Tree Stance.</v>
      </c>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t="str">
        <f>IFERROR(__xludf.DUMMYFUNCTION("""COMPUTED_VALUE"""),"Necklace o' Lending")</f>
        <v>Necklace o' Lending</v>
      </c>
      <c r="B208" s="1" t="str">
        <f>IFERROR(__xludf.DUMMYFUNCTION("""COMPUTED_VALUE""")," () lvl:1, : + ++Decrease XHP and XSP from your character sheet and add that amount to another target.")</f>
        <v> () lvl:1, : + ++Decrease XHP and XSP from your character sheet and add that amount to another target.</v>
      </c>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t="str">
        <f>IFERROR(__xludf.DUMMYFUNCTION("""COMPUTED_VALUE"""),"Necklace Of Ancient Mountains")</f>
        <v>Necklace Of Ancient Mountains</v>
      </c>
      <c r="B209" s="1" t="str">
        <f>IFERROR(__xludf.DUMMYFUNCTION("""COMPUTED_VALUE""")," () lvl:1, : + ++Forged items now deal double in damage for the wearer, ++Forging rolls cannot fail, +-Cannot be forged +-Cannot be duplicated")</f>
        <v> () lvl:1, : + ++Forged items now deal double in damage for the wearer, ++Forging rolls cannot fail, +-Cannot be forged +-Cannot be duplicated</v>
      </c>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t="str">
        <f>IFERROR(__xludf.DUMMYFUNCTION("""COMPUTED_VALUE"""),"Necklace Of Heatmore")</f>
        <v>Necklace Of Heatmore</v>
      </c>
      <c r="B210" s="1" t="str">
        <f>IFERROR(__xludf.DUMMYFUNCTION("""COMPUTED_VALUE""")," () lvl:1, : + ++ +2 is added to your d20 roll.")</f>
        <v> () lvl:1, : + ++ +2 is added to your d20 roll.</v>
      </c>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t="str">
        <f>IFERROR(__xludf.DUMMYFUNCTION("""COMPUTED_VALUE"""),"Necklace of Shards")</f>
        <v>Necklace of Shards</v>
      </c>
      <c r="B211" s="1" t="str">
        <f>IFERROR(__xludf.DUMMYFUNCTION("""COMPUTED_VALUE""")," () lvl:1, : + ++X6 Chaos and Dark Damage. +-Cannot be duplicated.")</f>
        <v> () lvl:1, : + ++X6 Chaos and Dark Damage. +-Cannot be duplicated.</v>
      </c>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t="str">
        <f>IFERROR(__xludf.DUMMYFUNCTION("""COMPUTED_VALUE"""),"Necklace of The Lost Soul")</f>
        <v>Necklace of The Lost Soul</v>
      </c>
      <c r="B212" s="1" t="str">
        <f>IFERROR(__xludf.DUMMYFUNCTION("""COMPUTED_VALUE""")," () lvl:1, DEF: +100 ++X2 Spirit Damage, ++Soul Enhanced II - Each soul you put into this item will increase its base defense by 100 up to 200,000.")</f>
        <v> () lvl:1, DEF: +100 ++X2 Spirit Damage, ++Soul Enhanced II - Each soul you put into this item will increase its base defense by 100 up to 200,000.</v>
      </c>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t="str">
        <f>IFERROR(__xludf.DUMMYFUNCTION("""COMPUTED_VALUE"""),"Necklace of the Pumpkin")</f>
        <v>Necklace of the Pumpkin</v>
      </c>
      <c r="B213" s="1" t="str">
        <f>IFERROR(__xludf.DUMMYFUNCTION("""COMPUTED_VALUE""")," () lvl:1, : + ++Gives Immunity to Fire, Dark, and Nature damage")</f>
        <v> () lvl:1, : + ++Gives Immunity to Fire, Dark, and Nature damage</v>
      </c>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t="str">
        <f>IFERROR(__xludf.DUMMYFUNCTION("""COMPUTED_VALUE"""),"Necklace Of Tritonoch")</f>
        <v>Necklace Of Tritonoch</v>
      </c>
      <c r="B214" s="1" t="str">
        <f>IFERROR(__xludf.DUMMYFUNCTION("""COMPUTED_VALUE""")," () lvl:1, DEF: + ++Any water attack dealt by the wearer has a 50% chance to freeze the targets it hits, ++Waves of Entitlement - x5 additional Water damage")</f>
        <v> () lvl:1, DEF: + ++Any water attack dealt by the wearer has a 50% chance to freeze the targets it hits, ++Waves of Entitlement - x5 additional Water damage</v>
      </c>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t="str">
        <f>IFERROR(__xludf.DUMMYFUNCTION("""COMPUTED_VALUE"""),"Necklace of Waking Waters")</f>
        <v>Necklace of Waking Waters</v>
      </c>
      <c r="B215" s="1" t="str">
        <f>IFERROR(__xludf.DUMMYFUNCTION("""COMPUTED_VALUE""")," () lvl:1, DEF: + ++Immunity to sleep. ++X4 Water damage.")</f>
        <v> () lvl:1, DEF: + ++Immunity to sleep. ++X4 Water damage.</v>
      </c>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t="str">
        <f>IFERROR(__xludf.DUMMYFUNCTION("""COMPUTED_VALUE"""),"Necklace of Water Breathing")</f>
        <v>Necklace of Water Breathing</v>
      </c>
      <c r="B216" s="1" t="str">
        <f>IFERROR(__xludf.DUMMYFUNCTION("""COMPUTED_VALUE""")," () lvl:1, : + ++Allows you to breath underwater.")</f>
        <v> () lvl:1, : + ++Allows you to breath underwater.</v>
      </c>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t="str">
        <f>IFERROR(__xludf.DUMMYFUNCTION("""COMPUTED_VALUE"""),"Obsidian Chestplate")</f>
        <v>Obsidian Chestplate</v>
      </c>
      <c r="B217" s="1" t="str">
        <f>IFERROR(__xludf.DUMMYFUNCTION("""COMPUTED_VALUE"""),"Quest Item () lvl:4000, DEF: +100000, Fire DEF: +100000 ++Fire Immunity. +-Cannot be duplicated.")</f>
        <v>Quest Item () lvl:4000, DEF: +100000, Fire DEF: +100000 ++Fire Immunity. +-Cannot be duplicated.</v>
      </c>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t="str">
        <f>IFERROR(__xludf.DUMMYFUNCTION("""COMPUTED_VALUE"""),"Ancient Oni Mask")</f>
        <v>Ancient Oni Mask</v>
      </c>
      <c r="B218" s="1"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damage for all elements. +-Only Samurai's, Monks, and Ninjas can equip. +-Cannot be forged +-Cannot be duplicated")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t="str">
        <f>IFERROR(__xludf.DUMMYFUNCTION("""COMPUTED_VALUE"""),"Pauldrons of Waking Waters")</f>
        <v>Pauldrons of Waking Waters</v>
      </c>
      <c r="B219" s="1" t="str">
        <f>IFERROR(__xludf.DUMMYFUNCTION("""COMPUTED_VALUE""")," () lvl:200, DEF: +5000, Water DEF: +5000 ++X4 additional water damage for self.")</f>
        <v> () lvl:200, DEF: +5000, Water DEF: +5000 ++X4 additional water damage for self.</v>
      </c>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t="str">
        <f>IFERROR(__xludf.DUMMYFUNCTION("""COMPUTED_VALUE"""),"Pendent of the Sea Serpent")</f>
        <v>Pendent of the Sea Serpent</v>
      </c>
      <c r="B220" s="1" t="str">
        <f>IFERROR(__xludf.DUMMYFUNCTION("""COMPUTED_VALUE""")," () lvl:1, : + ++X2 Water Resistance.")</f>
        <v> () lvl:1, : + ++X2 Water Resistance.</v>
      </c>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t="str">
        <f>IFERROR(__xludf.DUMMYFUNCTION("""COMPUTED_VALUE"""),"Pendent of Confusion")</f>
        <v>Pendent of Confusion</v>
      </c>
      <c r="B221" s="1" t="str">
        <f>IFERROR(__xludf.DUMMYFUNCTION("""COMPUTED_VALUE""")," () lvl:1, : + ++At the beginning of battle choose a target and choose two numbers between 1-40 whenever the target rolls the numbers you chose while they are attacking they attack themself (1 use per battle)")</f>
        <v> () lvl:1, : + ++At the beginning of battle choose a target and choose two numbers between 1-40 whenever the target rolls the numbers you chose while they are attacking they attack themself (1 use per battle)</v>
      </c>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t="str">
        <f>IFERROR(__xludf.DUMMYFUNCTION("""COMPUTED_VALUE"""),"Pendent of Luck")</f>
        <v>Pendent of Luck</v>
      </c>
      <c r="B222" s="1" t="str">
        <f>IFERROR(__xludf.DUMMYFUNCTION("""COMPUTED_VALUE""")," () lvl:1, : + ++Plus 100 to each base Stat.")</f>
        <v> () lvl:1, : + ++Plus 100 to each base Stat.</v>
      </c>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t="str">
        <f>IFERROR(__xludf.DUMMYFUNCTION("""COMPUTED_VALUE"""),"Pillow of Dreams")</f>
        <v>Pillow of Dreams</v>
      </c>
      <c r="B223" s="1" t="str">
        <f>IFERROR(__xludf.DUMMYFUNCTION("""COMPUTED_VALUE""")," (Towershield) lvl:200, DEF: +100000, Astral DEF: +100000, Celestial DEF: +50000 ++When you sleep in a INN your dreams become reality. Roll a d20 to see what your dreams awaken. This item must be equipped for the effect to be applied. Can only be used onc"&amp;"e before each journey. Must have lower then half your max hp, sp, hunger, thirst, or energy to use.")</f>
        <v> (Towershield) lvl:200, 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t="str">
        <f>IFERROR(__xludf.DUMMYFUNCTION("""COMPUTED_VALUE"""),"Poison Vine Sword")</f>
        <v>Poison Vine Sword</v>
      </c>
      <c r="B224" s="1" t="str">
        <f>IFERROR(__xludf.DUMMYFUNCTION("""COMPUTED_VALUE""")," (Sword) lvl:2000, DMG: +50000, Nature DMG: +50000 ++Poison 25,000")</f>
        <v> (Sword) lvl:2000, DMG: +50000, Nature DMG: +50000 ++Poison 25,000</v>
      </c>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t="str">
        <f>IFERROR(__xludf.DUMMYFUNCTION("""COMPUTED_VALUE"""),"Poseidon's Boots")</f>
        <v>Poseidon's Boots</v>
      </c>
      <c r="B225" s="1" t="str">
        <f>IFERROR(__xludf.DUMMYFUNCTION("""COMPUTED_VALUE""")," () lvl:400, DEF: +10000, Water DEF: +10000 ++X8 additional water damage for self.")</f>
        <v> () lvl:400, DEF: +10000, Water DEF: +10000 ++X8 additional water damage for self.</v>
      </c>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t="str">
        <f>IFERROR(__xludf.DUMMYFUNCTION("""COMPUTED_VALUE"""),"Poseidon's Chestplate")</f>
        <v>Poseidon's Chestplate</v>
      </c>
      <c r="B226" s="1" t="str">
        <f>IFERROR(__xludf.DUMMYFUNCTION("""COMPUTED_VALUE""")," () lvl:800, DEF: +20000, Water DEF: +20000 ++X8 additional water damage for self. ++X10 additional water resistance and Natural Defense for self and allies if you have all Poseidon Equipment Equipped.")</f>
        <v> () lvl:800, DEF: +20000, Water DEF: +20000 ++X8 additional water damage for self. ++X10 additional water resistance and Natural Defense for self and allies if you have all Poseidon Equipment Equipped.</v>
      </c>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t="str">
        <f>IFERROR(__xludf.DUMMYFUNCTION("""COMPUTED_VALUE"""),"Poseidon's Greaves")</f>
        <v>Poseidon's Greaves</v>
      </c>
      <c r="B227" s="1" t="str">
        <f>IFERROR(__xludf.DUMMYFUNCTION("""COMPUTED_VALUE""")," () lvl:400, DEF: +10000, Water DEF: +10000 ++X8 additional water damage for self.")</f>
        <v> () lvl:400, DEF: +10000, Water DEF: +10000 ++X8 additional water damage for self.</v>
      </c>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t="str">
        <f>IFERROR(__xludf.DUMMYFUNCTION("""COMPUTED_VALUE"""),"Poseidon's Helmet")</f>
        <v>Poseidon's Helmet</v>
      </c>
      <c r="B228" s="1" t="str">
        <f>IFERROR(__xludf.DUMMYFUNCTION("""COMPUTED_VALUE""")," () lvl:400, DEF: +10000, Water DEF: +10000 ++X8 additional water damage for self.")</f>
        <v> () lvl:400, DEF: +10000, Water DEF: +10000 ++X8 additional water damage for self.</v>
      </c>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t="str">
        <f>IFERROR(__xludf.DUMMYFUNCTION("""COMPUTED_VALUE"""),"Poseidon's Pauldrons")</f>
        <v>Poseidon's Pauldrons</v>
      </c>
      <c r="B229" s="1" t="str">
        <f>IFERROR(__xludf.DUMMYFUNCTION("""COMPUTED_VALUE""")," () lvl:400, DEF: +10000, Water DEF: +10000 ++X8 additional water damage for self.")</f>
        <v> () lvl:400, DEF: +10000, Water DEF: +10000 ++X8 additional water damage for self.</v>
      </c>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t="str">
        <f>IFERROR(__xludf.DUMMYFUNCTION("""COMPUTED_VALUE"""),"Poseidon's Ring")</f>
        <v>Poseidon's Ring</v>
      </c>
      <c r="B230" s="1" t="str">
        <f>IFERROR(__xludf.DUMMYFUNCTION("""COMPUTED_VALUE""")," () lvl:20, DEF: +1000 ++X8 additional water damage for self. ")</f>
        <v> () lvl:20, DEF: +1000 ++X8 additional water damage for self. </v>
      </c>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t="str">
        <f>IFERROR(__xludf.DUMMYFUNCTION("""COMPUTED_VALUE"""),"Poseidon's Sword")</f>
        <v>Poseidon's Sword</v>
      </c>
      <c r="B231" s="1" t="str">
        <f>IFERROR(__xludf.DUMMYFUNCTION("""COMPUTED_VALUE""")," (Sword) lvl:200, DMG: +40000, Water DMG: +40000, Celestial DMG: +20000 ++X10 additional water damage for self. ++X12 additional water damage and Natural Defense for self and allies if you have all Poseidon Equipment Equipped. +-Cannot be forged +-Cannot "&amp;"be duplicated")</f>
        <v> (Sword) lvl:200, DMG: +40000, Water DMG: +40000, Celestial DMG: +20000 ++X10 additional water damage for self. ++X12 additional water damage and Natural Defense for self and allies if you have all Poseidon Equipment Equipped. +-Cannot be forged +-Cannot be duplicated</v>
      </c>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t="str">
        <f>IFERROR(__xludf.DUMMYFUNCTION("""COMPUTED_VALUE"""),"Poseidon's Trident")</f>
        <v>Poseidon's Trident</v>
      </c>
      <c r="B232" s="1" t="str">
        <f>IFERROR(__xludf.DUMMYFUNCTION("""COMPUTED_VALUE""")," (Spear) lvl:200, DMG: +50000, Water DMG: +50000, Celestial DMG: +25000 ++The user is Immune to the first attack of each battle, Ignores Defense and Water Immunity when attacking a target. +-Cannot be forged +-Cannot be duplicated")</f>
        <v> (Spear) lvl:200, DMG: +50000, Water DMG: +50000, Celestial DMG: +25000 ++The user is Immune to the first attack of each battle, Ignores Defense and Water Immunity when attacking a target. +-Cannot be forged +-Cannot be duplicated</v>
      </c>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t="str">
        <f>IFERROR(__xludf.DUMMYFUNCTION("""COMPUTED_VALUE"""),"Poseidon's Vambraces")</f>
        <v>Poseidon's Vambraces</v>
      </c>
      <c r="B233" s="1" t="str">
        <f>IFERROR(__xludf.DUMMYFUNCTION("""COMPUTED_VALUE""")," () lvl:400, DEF: +10000, Water DEF: +10000 ++X8 additional water damage for self.")</f>
        <v> () lvl:400, DEF: +10000, Water DEF: +10000 ++X8 additional water damage for self.</v>
      </c>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t="str">
        <f>IFERROR(__xludf.DUMMYFUNCTION("""COMPUTED_VALUE"""),"Riftblade")</f>
        <v>Riftblade</v>
      </c>
      <c r="B234" s="1" t="str">
        <f>IFERROR(__xludf.DUMMYFUNCTION("""COMPUTED_VALUE"""),"An ancient blade from a forgotten time (Sword) lvl:600, DMG: +10000, Chaos DMG: +10000, Nature DMG: +10000")</f>
        <v>An ancient blade from a forgotten time (Sword) lvl:600, DMG: +10000, Chaos DMG: +10000, Nature DMG: +10000</v>
      </c>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t="str">
        <f>IFERROR(__xludf.DUMMYFUNCTION("""COMPUTED_VALUE"""),"Ring o’ Luck and Nature")</f>
        <v>Ring o’ Luck and Nature</v>
      </c>
      <c r="B235" s="1" t="str">
        <f>IFERROR(__xludf.DUMMYFUNCTION("""COMPUTED_VALUE""")," () lvl:1, : + ++Immunity to nature damage, ++increases the roll of a d20 by 2. +-Can only equip one")</f>
        <v> () lvl:1, : + ++Immunity to nature damage, ++increases the roll of a d20 by 2. +-Can only equip one</v>
      </c>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t="str">
        <f>IFERROR(__xludf.DUMMYFUNCTION("""COMPUTED_VALUE"""),"Ring of Darkness")</f>
        <v>Ring of Darkness</v>
      </c>
      <c r="B236" s="1" t="str">
        <f>IFERROR(__xludf.DUMMYFUNCTION("""COMPUTED_VALUE""")," () lvl:1, : + ++Shadow Cloud - Cloaks you in a cloud darkness - causes all enemies to miss you with any attack, including cannot avoid attacks for the rest of the round, Fail/Succeed, -200 sp.")</f>
        <v> () lvl:1, : + ++Shadow Cloud - Cloaks you in a cloud darkness - causes all enemies to miss you with any attack, including cannot avoid attacks for the rest of the round, Fail/Succeed, -200 sp.</v>
      </c>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t="str">
        <f>IFERROR(__xludf.DUMMYFUNCTION("""COMPUTED_VALUE"""),"Ring of Death")</f>
        <v>Ring of Death</v>
      </c>
      <c r="B237" s="1" t="str">
        <f>IFERROR(__xludf.DUMMYFUNCTION("""COMPUTED_VALUE""")," () lvl:1, : + ++Causes instant death with a fail/succeed roll.")</f>
        <v> () lvl:1, : + ++Causes instant death with a fail/succeed roll.</v>
      </c>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t="str">
        <f>IFERROR(__xludf.DUMMYFUNCTION("""COMPUTED_VALUE"""),"Ring Of Dwelling Waters")</f>
        <v>Ring Of Dwelling Waters</v>
      </c>
      <c r="B238" s="1" t="str">
        <f>IFERROR(__xludf.DUMMYFUNCTION("""COMPUTED_VALUE""")," () lvl:1, : +, Fire : +  ++X2 Water and Dark damage.")</f>
        <v> () lvl:1, : +, Fire : +  ++X2 Water and Dark damage.</v>
      </c>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t="str">
        <f>IFERROR(__xludf.DUMMYFUNCTION("""COMPUTED_VALUE"""),"Ring of Endless Souls")</f>
        <v>Ring of Endless Souls</v>
      </c>
      <c r="B239" s="1" t="str">
        <f>IFERROR(__xludf.DUMMYFUNCTION("""COMPUTED_VALUE""")," () lvl:1, : + ++0 Def ++Soul Enchanted - Every time you enchant a soul into this item increase the Def of this item by 10. ")</f>
        <v> () lvl:1, : + ++0 Def ++Soul Enchanted - Every time you enchant a soul into this item increase the Def of this item by 10. </v>
      </c>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t="str">
        <f>IFERROR(__xludf.DUMMYFUNCTION("""COMPUTED_VALUE"""),"Ring of Healing")</f>
        <v>Ring of Healing</v>
      </c>
      <c r="B240" s="1" t="str">
        <f>IFERROR(__xludf.DUMMYFUNCTION("""COMPUTED_VALUE""")," () lvl:1, : + ++500 hp per round.")</f>
        <v> () lvl:1, : + ++500 hp per round.</v>
      </c>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t="str">
        <f>IFERROR(__xludf.DUMMYFUNCTION("""COMPUTED_VALUE"""),"Ring of Invulnerability ")</f>
        <v>Ring of Invulnerability </v>
      </c>
      <c r="B241" s="1" t="str">
        <f>IFERROR(__xludf.DUMMYFUNCTION("""COMPUTED_VALUE""")," () lvl:1, : + ++Gain invulnerability to damage for the first round of battle, you are unable to inflict any non-magic damage for the first round of battle. +-Cannot be duplicated. +-Cannot be forged. ")</f>
        <v> () lvl:1, : + ++Gain invulnerability to damage for the first round of battle, you are unable to inflict any non-magic damage for the first round of battle. +-Cannot be duplicated. +-Cannot be forged. </v>
      </c>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t="str">
        <f>IFERROR(__xludf.DUMMYFUNCTION("""COMPUTED_VALUE"""),"Ring of Pure Chaos")</f>
        <v>Ring of Pure Chaos</v>
      </c>
      <c r="B242" s="1" t="str">
        <f>IFERROR(__xludf.DUMMYFUNCTION("""COMPUTED_VALUE""")," () lvl:1, : + ++X2 Chaos damage, ++ +5 Charisma and Intimidation. +-Cannot be forged +-Cannot be duplicated +-Can only equip one")</f>
        <v> () lvl:1, : + ++X2 Chaos damage, ++ +5 Charisma and Intimidation. +-Cannot be forged +-Cannot be duplicated +-Can only equip one</v>
      </c>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t="str">
        <f>IFERROR(__xludf.DUMMYFUNCTION("""COMPUTED_VALUE"""),"Ring of Pure Defense")</f>
        <v>Ring of Pure Defense</v>
      </c>
      <c r="B243" s="1" t="str">
        <f>IFERROR(__xludf.DUMMYFUNCTION("""COMPUTED_VALUE""")," () lvl:1, : + ++Half the damage taken from the next attack 100SP Will Succeed.")</f>
        <v> () lvl:1, : + ++Half the damage taken from the next attack 100SP Will Succeed.</v>
      </c>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t="str">
        <f>IFERROR(__xludf.DUMMYFUNCTION("""COMPUTED_VALUE"""),"Ring of Reflect")</f>
        <v>Ring of Reflect</v>
      </c>
      <c r="B244" s="1" t="str">
        <f>IFERROR(__xludf.DUMMYFUNCTION("""COMPUTED_VALUE""")," () lvl:1, : + ++Inflict half the damage you take back to the enemy that dealt it. +-Can only have one equipped. +-Cannot be duplicated.")</f>
        <v> () lvl:1, : + ++Inflict half the damage you take back to the enemy that dealt it. +-Can only have one equipped. +-Cannot be duplicated.</v>
      </c>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t="str">
        <f>IFERROR(__xludf.DUMMYFUNCTION("""COMPUTED_VALUE"""),"Ring of the Bonded Undead")</f>
        <v>Ring of the Bonded Undead</v>
      </c>
      <c r="B245" s="1" t="str">
        <f>IFERROR(__xludf.DUMMYFUNCTION("""COMPUTED_VALUE""")," () lvl:1, : + ++When you battle with any Undead target you can deal X2 more damage.")</f>
        <v> () lvl:1, : + ++When you battle with any Undead target you can deal X2 more damage.</v>
      </c>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t="str">
        <f>IFERROR(__xludf.DUMMYFUNCTION("""COMPUTED_VALUE"""),"Ring of the Forgotten")</f>
        <v>Ring of the Forgotten</v>
      </c>
      <c r="B246" s="1" t="str">
        <f>IFERROR(__xludf.DUMMYFUNCTION("""COMPUTED_VALUE""")," () lvl:1, : + ++Make a fail/succeed roll to make a target forget they were fighting you. +-Cannot be duplicated")</f>
        <v> () lvl:1, : + ++Make a fail/succeed roll to make a target forget they were fighting you. +-Cannot be duplicated</v>
      </c>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t="str">
        <f>IFERROR(__xludf.DUMMYFUNCTION("""COMPUTED_VALUE"""),"Ring Of Tritonoch")</f>
        <v>Ring Of Tritonoch</v>
      </c>
      <c r="B247" s="1" t="str">
        <f>IFERROR(__xludf.DUMMYFUNCTION("""COMPUTED_VALUE""")," () lvl:1, : + ++Waves of Entitlement - x5 additional Water damage")</f>
        <v> () lvl:1, : + ++Waves of Entitlement - x5 additional Water damage</v>
      </c>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t="str">
        <f>IFERROR(__xludf.DUMMYFUNCTION("""COMPUTED_VALUE"""),"Ring of Waking Waters")</f>
        <v>Ring of Waking Waters</v>
      </c>
      <c r="B248" s="1" t="str">
        <f>IFERROR(__xludf.DUMMYFUNCTION("""COMPUTED_VALUE""")," () lvl:100, DEF: +, Water DEF: +5000 ++X4 additional water damage for self.")</f>
        <v> () lvl:100, DEF: +, Water DEF: +5000 ++X4 additional water damage for self.</v>
      </c>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t="str">
        <f>IFERROR(__xludf.DUMMYFUNCTION("""COMPUTED_VALUE"""),"Robe of The Cultist")</f>
        <v>Robe of The Cultist</v>
      </c>
      <c r="B249" s="1" t="str">
        <f>IFERROR(__xludf.DUMMYFUNCTION("""COMPUTED_VALUE""")," () lvl:80, DEF: +2000, Dark DEF: +2000 ++Instant Death Immunity. ++500HP +-Cannot be forged +-Cannot be duplicated")</f>
        <v> () lvl:80, DEF: +2000, Dark DEF: +2000 ++Instant Death Immunity. ++500HP +-Cannot be forged +-Cannot be duplicated</v>
      </c>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t="str">
        <f>IFERROR(__xludf.DUMMYFUNCTION("""COMPUTED_VALUE"""),"Robe of Vanish")</f>
        <v>Robe of Vanish</v>
      </c>
      <c r="B250" s="1" t="str">
        <f>IFERROR(__xludf.DUMMYFUNCTION("""COMPUTED_VALUE""")," () lvl:20, DEF: +900 ++Shadow Disappear - When Equipped you are invulnerable to all damage for the first round of battle. ")</f>
        <v> () lvl:20, DEF: +900 ++Shadow Disappear - When Equipped you are invulnerable to all damage for the first round of battle. </v>
      </c>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t="str">
        <f>IFERROR(__xludf.DUMMYFUNCTION("""COMPUTED_VALUE"""),"Robes of a Peaceful Immortal")</f>
        <v>Robes of a Peaceful Immortal</v>
      </c>
      <c r="B251" s="1" t="str">
        <f>IFERROR(__xludf.DUMMYFUNCTION("""COMPUTED_VALUE""")," () lvl:1, : + ++Peaceful Blessing - Incapable of receiving or dealing damage. +-Cannot be duplicated.")</f>
        <v> () lvl:1, : + ++Peaceful Blessing - Incapable of receiving or dealing damage. +-Cannot be duplicated.</v>
      </c>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t="str">
        <f>IFERROR(__xludf.DUMMYFUNCTION("""COMPUTED_VALUE"""),"Royal Amulet Of Heatmore")</f>
        <v>Royal Amulet Of Heatmore</v>
      </c>
      <c r="B252" s="1" t="str">
        <f>IFERROR(__xludf.DUMMYFUNCTION("""COMPUTED_VALUE""")," () lvl:1, : + ++ immune to fire dmg")</f>
        <v> () lvl:1, : + ++ immune to fire dmg</v>
      </c>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t="str">
        <f>IFERROR(__xludf.DUMMYFUNCTION("""COMPUTED_VALUE"""),"Royal Guard Axe")</f>
        <v>Royal Guard Axe</v>
      </c>
      <c r="B253" s="1" t="str">
        <f>IFERROR(__xludf.DUMMYFUNCTION("""COMPUTED_VALUE"""),"Quest Item () lvl:200, DMG: +50000, Light DMG: +50000, Celestial DMG: +50000 ++X4 additional Weapon Damage. +-Cannot be duplicated.")</f>
        <v>Quest Item () lvl:200, DMG: +50000, Light DMG: +50000, Celestial DMG: +50000 ++X4 additional Weapon Damage. +-Cannot be duplicated.</v>
      </c>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t="str">
        <f>IFERROR(__xludf.DUMMYFUNCTION("""COMPUTED_VALUE"""),"Royal Guard Helmet")</f>
        <v>Royal Guard Helmet</v>
      </c>
      <c r="B254" s="1" t="str">
        <f>IFERROR(__xludf.DUMMYFUNCTION("""COMPUTED_VALUE"""),"Quest Item () lvl:200, DEF: +50000, Light DEF: +50000, Celestial DEF: +50000 ++X4 Additional Weapon damage. ++X2 Additional Defense. +-Cannot be duplicated.")</f>
        <v>Quest Item () lvl:200, DEF: +50000, Light DEF: +50000, Celestial DEF: +50000 ++X4 Additional Weapon damage. ++X2 Additional Defense. +-Cannot be duplicated.</v>
      </c>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t="str">
        <f>IFERROR(__xludf.DUMMYFUNCTION("""COMPUTED_VALUE"""),"Royal Guard Chestplate")</f>
        <v>Royal Guard Chestplate</v>
      </c>
      <c r="B255" s="1" t="str">
        <f>IFERROR(__xludf.DUMMYFUNCTION("""COMPUTED_VALUE"""),"Quest Item () lvl:200, DEF: +50000, Light DEF: +50000, Celestial DEF: +50000 ++X4 Additional Weapon damage. ++X2 Additional Defense. +-Cannot be duplicated.")</f>
        <v>Quest Item () lvl:200, DEF: +50000, Light DEF: +50000, Celestial DEF: +50000 ++X4 Additional Weapon damage. ++X2 Additional Defense. +-Cannot be duplicated.</v>
      </c>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t="str">
        <f>IFERROR(__xludf.DUMMYFUNCTION("""COMPUTED_VALUE"""),"Royal Guard Boots")</f>
        <v>Royal Guard Boots</v>
      </c>
      <c r="B256" s="1" t="str">
        <f>IFERROR(__xludf.DUMMYFUNCTION("""COMPUTED_VALUE"""),"Quest Item () lvl:200, DEF: +50000, Light DEF: +50000, Celestial DEF: +50000 ++X4 Additional Weapon damage. ++X2 Additional Defense. +-Cannot be duplicated.")</f>
        <v>Quest Item () lvl:200, DEF: +50000, Light DEF: +50000, Celestial DEF: +50000 ++X4 Additional Weapon damage. ++X2 Additional Defense. +-Cannot be duplicated.</v>
      </c>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t="str">
        <f>IFERROR(__xludf.DUMMYFUNCTION("""COMPUTED_VALUE"""),"Royal Guard Greaves")</f>
        <v>Royal Guard Greaves</v>
      </c>
      <c r="B257" s="1" t="str">
        <f>IFERROR(__xludf.DUMMYFUNCTION("""COMPUTED_VALUE"""),"Quest Item () lvl:200, DEF: +50000, Light DEF: +50000, Celestial DEF: +50000 ++X4 Additional Weapon damage. ++X2 Additional Defense. +-Cannot be duplicated.")</f>
        <v>Quest Item () lvl:200, DEF: +50000, Light DEF: +50000, Celestial DEF: +50000 ++X4 Additional Weapon damage. ++X2 Additional Defense. +-Cannot be duplicated.</v>
      </c>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t="str">
        <f>IFERROR(__xludf.DUMMYFUNCTION("""COMPUTED_VALUE"""),"Royal Keeper Shield")</f>
        <v>Royal Keeper Shield</v>
      </c>
      <c r="B258" s="1" t="str">
        <f>IFERROR(__xludf.DUMMYFUNCTION("""COMPUTED_VALUE""")," (Towershield) lvl:20, DEF: +1000 ++Royal Block - Gan invulnerability to all damage for 3 rounds of battle. 5000SP Will Succeed.")</f>
        <v> (Towershield) lvl:20, DEF: +1000 ++Royal Block - Gan invulnerability to all damage for 3 rounds of battle. 5000SP Will Succeed.</v>
      </c>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t="str">
        <f>IFERROR(__xludf.DUMMYFUNCTION("""COMPUTED_VALUE"""),"Royal Keeper Spear")</f>
        <v>Royal Keeper Spear</v>
      </c>
      <c r="B259" s="1" t="str">
        <f>IFERROR(__xludf.DUMMYFUNCTION("""COMPUTED_VALUE""")," (Spear) lvl:400, DMG: +10000, Fire DMG: +10000 ++Royal Stance -  Shuttering 1 for the first round of battle.")</f>
        <v> (Spear) lvl:400, DMG: +10000, Fire DMG: +10000 ++Royal Stance -  Shuttering 1 for the first round of battle.</v>
      </c>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t="str">
        <f>IFERROR(__xludf.DUMMYFUNCTION("""COMPUTED_VALUE"""),"Royal Sword of Chaotic Shadows")</f>
        <v>Royal Sword of Chaotic Shadows</v>
      </c>
      <c r="B260" s="1" t="str">
        <f>IFERROR(__xludf.DUMMYFUNCTION("""COMPUTED_VALUE""")," (Sword) lvl:900, DMG: +15000, Dark DMG: +15000, Chaos DMG: +15000 ++Dark and Chaos Weapons and Spells deal an additional X2 damage while this item is equipped.. +-Cannot be duplicated.")</f>
        <v> (Sword) lvl:900, DMG: +15000, Dark DMG: +15000, Chaos DMG: +15000 ++Dark and Chaos Weapons and Spells deal an additional X2 damage while this item is equipped.. +-Cannot be duplicated.</v>
      </c>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t="str">
        <f>IFERROR(__xludf.DUMMYFUNCTION("""COMPUTED_VALUE"""),"Rusty sword")</f>
        <v>Rusty sword</v>
      </c>
      <c r="B261" s="1" t="str">
        <f>IFERROR(__xludf.DUMMYFUNCTION("""COMPUTED_VALUE""")," (Sword) lvl:1, DMG: +60 ++25% chance to break with each use")</f>
        <v> (Sword) lvl:1, DMG: +60 ++25% chance to break with each use</v>
      </c>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t="str">
        <f>IFERROR(__xludf.DUMMYFUNCTION("""COMPUTED_VALUE"""),"Saber Toothed Sword")</f>
        <v>Saber Toothed Sword</v>
      </c>
      <c r="B262" s="1" t="str">
        <f>IFERROR(__xludf.DUMMYFUNCTION("""COMPUTED_VALUE"""),"A sword crafted from the teeth of a saber toothed cat. (Sword) lvl:2200, DMG: +60000, Blood DMG: +50000 ++X2 additional blood damage.")</f>
        <v>A sword crafted from the teeth of a saber toothed cat. (Sword) lvl:2200, DMG: +60000, Blood DMG: +50000 ++X2 additional blood damage.</v>
      </c>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t="str">
        <f>IFERROR(__xludf.DUMMYFUNCTION("""COMPUTED_VALUE"""),"Ancient Oni Chestplate")</f>
        <v>Ancient Oni Chestplate</v>
      </c>
      <c r="B263" s="1"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damage for all elements. ++Only Samurai's, Monks, and Ninjas can equip. +-Cannot be duplicated or forged.")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t="str">
        <f>IFERROR(__xludf.DUMMYFUNCTION("""COMPUTED_VALUE"""),"Scythe of Mischief ")</f>
        <v>Scythe of Mischief </v>
      </c>
      <c r="B264" s="1" t="str">
        <f>IFERROR(__xludf.DUMMYFUNCTION("""COMPUTED_VALUE""")," (Scythe) lvl:200, DMG: +5000, Fire DMG: +5000, Dark DMG: +5000, Spirit DMG: +5000, Chaos DMG: +5000, Stasis DMG: +5000, Twilight DMG: +5000, Voodoo DMG: +5000, Blood DMG: +5000, Celestial DMG: +10000 ++Enemies deduct 2 from their rolls when targeting you"&amp;". +-Cannot be duplicated")</f>
        <v> (Scythe) lvl:200, DMG: +5000, Fire DMG: +5000, Dark DMG: +5000, Spirit DMG: +5000, Chaos DMG: +5000, Stasis DMG: +5000, Twilight DMG: +5000, Voodoo DMG: +5000, Blood DMG: +5000, Celestial DMG: +10000 ++Enemies deduct 2 from their rolls when targeting you. +-Cannot be duplicated</v>
      </c>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t="str">
        <f>IFERROR(__xludf.DUMMYFUNCTION("""COMPUTED_VALUE"""),"Sea Serpent Boots")</f>
        <v>Sea Serpent Boots</v>
      </c>
      <c r="B265" s="1" t="str">
        <f>IFERROR(__xludf.DUMMYFUNCTION("""COMPUTED_VALUE""")," () lvl:100, DEF: +2500, Water DEF: +2500 ++X2 additional water damage for self.")</f>
        <v> () lvl:100, DEF: +2500, Water DEF: +2500 ++X2 additional water damage for self.</v>
      </c>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t="str">
        <f>IFERROR(__xludf.DUMMYFUNCTION("""COMPUTED_VALUE"""),"Sea Serpent Pauldrons")</f>
        <v>Sea Serpent Pauldrons</v>
      </c>
      <c r="B266" s="1" t="str">
        <f>IFERROR(__xludf.DUMMYFUNCTION("""COMPUTED_VALUE""")," () lvl:100, DEF: +2500, Water DEF: +2500 ++X2 additional water damage for self.")</f>
        <v> () lvl:100, DEF: +2500, Water DEF: +2500 ++X2 additional water damage for self.</v>
      </c>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t="str">
        <f>IFERROR(__xludf.DUMMYFUNCTION("""COMPUTED_VALUE"""),"Sea Serpent Vambrace")</f>
        <v>Sea Serpent Vambrace</v>
      </c>
      <c r="B267" s="1" t="str">
        <f>IFERROR(__xludf.DUMMYFUNCTION("""COMPUTED_VALUE""")," () lvl:100, DEF: +2500, Water DEF: +2500 ++X2 additional water damage for self.")</f>
        <v> () lvl:100, DEF: +2500, Water DEF: +2500 ++X2 additional water damage for self.</v>
      </c>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t="str">
        <f>IFERROR(__xludf.DUMMYFUNCTION("""COMPUTED_VALUE"""),"Sea Serpents Mythical Chestplate")</f>
        <v>Sea Serpents Mythical Chestplate</v>
      </c>
      <c r="B268" s="1" t="str">
        <f>IFERROR(__xludf.DUMMYFUNCTION("""COMPUTED_VALUE""")," () lvl:200, DEF: +5000, Water DEF: +5000 ++X2 additional water damage for self. ++X4 Water damage for self and allies if you have all Sea Serpent Equipment Equipped.")</f>
        <v> () lvl:200, DEF: +5000, Water DEF: +5000 ++X2 additional water damage for self. ++X4 Water damage for self and allies if you have all Sea Serpent Equipment Equipped.</v>
      </c>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t="str">
        <f>IFERROR(__xludf.DUMMYFUNCTION("""COMPUTED_VALUE"""),"Shadow Flute")</f>
        <v>Shadow Flute</v>
      </c>
      <c r="B269" s="1" t="str">
        <f>IFERROR(__xludf.DUMMYFUNCTION("""COMPUTED_VALUE""")," () lvl:1, : + ++Can summon a chaotic shadow gnome to battle.")</f>
        <v> () lvl:1, : + ++Can summon a chaotic shadow gnome to battle.</v>
      </c>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t="str">
        <f>IFERROR(__xludf.DUMMYFUNCTION("""COMPUTED_VALUE"""),"Shadow Kings Sword")</f>
        <v>Shadow Kings Sword</v>
      </c>
      <c r="B270" s="1" t="str">
        <f>IFERROR(__xludf.DUMMYFUNCTION("""COMPUTED_VALUE""")," (Sword) lvl:400, DMG: +10000, Dark DMG: +5000, Chaos DMG: +5000")</f>
        <v> (Sword) lvl:400, DMG: +10000, Dark DMG: +5000, Chaos DMG: +5000</v>
      </c>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t="str">
        <f>IFERROR(__xludf.DUMMYFUNCTION("""COMPUTED_VALUE"""),"Shield of Guarding Smite")</f>
        <v>Shield of Guarding Smite</v>
      </c>
      <c r="B271" s="1" t="str">
        <f>IFERROR(__xludf.DUMMYFUNCTION("""COMPUTED_VALUE""")," (Towershield) lvl:2000, DEF: +100000 ++75% chance to melt an enemies weapon that dealt damage to you. +-Cannot be duplicated")</f>
        <v> (Towershield) lvl:2000, DEF: +100000 ++75% chance to melt an enemies weapon that dealt damage to you. +-Cannot be duplicated</v>
      </c>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t="str">
        <f>IFERROR(__xludf.DUMMYFUNCTION("""COMPUTED_VALUE"""),"Shield of Targeting")</f>
        <v>Shield of Targeting</v>
      </c>
      <c r="B272" s="1" t="str">
        <f>IFERROR(__xludf.DUMMYFUNCTION("""COMPUTED_VALUE""")," (Buckler) lvl:20, DEF: +1000 ++Target me you B**** - enemies will automatically target you no matter, Use intimidation for this item effect.")</f>
        <v> (Buckler) lvl:20, DEF: +1000 ++Target me you B**** - enemies will automatically target you no matter, Use intimidation for this item effect.</v>
      </c>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t="str">
        <f>IFERROR(__xludf.DUMMYFUNCTION("""COMPUTED_VALUE"""),"Shining Katana")</f>
        <v>Shining Katana</v>
      </c>
      <c r="B273" s="1" t="str">
        <f>IFERROR(__xludf.DUMMYFUNCTION("""COMPUTED_VALUE""")," () lvl:200, DMG: +10000 ++++500 bleeding damage p/r.")</f>
        <v> () lvl:200, DMG: +10000 ++++500 bleeding damage p/r.</v>
      </c>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t="str">
        <f>IFERROR(__xludf.DUMMYFUNCTION("""COMPUTED_VALUE"""),"Shoes of Metal Harmony's")</f>
        <v>Shoes of Metal Harmony's</v>
      </c>
      <c r="B274" s="1" t="str">
        <f>IFERROR(__xludf.DUMMYFUNCTION("""COMPUTED_VALUE""")," () lvl:200, DEF: +10000 ++When dealing damage with an instrument you will regain hp equal to the damage you caused.")</f>
        <v> () lvl:200, DEF: +10000 ++When dealing damage with an instrument you will regain hp equal to the damage you caused.</v>
      </c>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t="str">
        <f>IFERROR(__xludf.DUMMYFUNCTION("""COMPUTED_VALUE"""),"Shoes of Water Walking")</f>
        <v>Shoes of Water Walking</v>
      </c>
      <c r="B275" s="1" t="str">
        <f>IFERROR(__xludf.DUMMYFUNCTION("""COMPUTED_VALUE""")," () lvl:200, DEF: +5000, Water DEF: +5000 ++All water damage can now be any Element of choosing (this will still be counted as water damage for additional buffs).")</f>
        <v> () lvl:200, DEF: +5000, Water DEF: +5000 ++All water damage can now be any Element of choosing (this will still be counted as water damage for additional buffs).</v>
      </c>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t="str">
        <f>IFERROR(__xludf.DUMMYFUNCTION("""COMPUTED_VALUE"""),"Short Spear")</f>
        <v>Short Spear</v>
      </c>
      <c r="B276" s="1" t="str">
        <f>IFERROR(__xludf.DUMMYFUNCTION("""COMPUTED_VALUE""")," (Spear) lvl:1, DMG: +250")</f>
        <v> (Spear) lvl:1, DMG: +250</v>
      </c>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t="str">
        <f>IFERROR(__xludf.DUMMYFUNCTION("""COMPUTED_VALUE"""),"Shuriken")</f>
        <v>Shuriken</v>
      </c>
      <c r="B277" s="1" t="str">
        <f>IFERROR(__xludf.DUMMYFUNCTION("""COMPUTED_VALUE""")," (Boomerang) lvl:200, DMG: +5000, Blood DMG: +5000 ++Will return to you when thrown.")</f>
        <v> (Boomerang) lvl:200, DMG: +5000, Blood DMG: +5000 ++Will return to you when thrown.</v>
      </c>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t="str">
        <f>IFERROR(__xludf.DUMMYFUNCTION("""COMPUTED_VALUE"""),"Shuttering Cloak")</f>
        <v>Shuttering Cloak</v>
      </c>
      <c r="B278" s="1" t="str">
        <f>IFERROR(__xludf.DUMMYFUNCTION("""COMPUTED_VALUE""")," () lvl:1, : + ++Plus 10 Evasion and Mobility, +-You Cannot be unaffected by spells or attacks. +-Can only equip one")</f>
        <v> () lvl:1, : + ++Plus 10 Evasion and Mobility, +-You Cannot be unaffected by spells or attacks. +-Can only equip one</v>
      </c>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t="str">
        <f>IFERROR(__xludf.DUMMYFUNCTION("""COMPUTED_VALUE"""),"Silver Armor")</f>
        <v>Silver Armor</v>
      </c>
      <c r="B279" s="1" t="str">
        <f>IFERROR(__xludf.DUMMYFUNCTION("""COMPUTED_VALUE""")," () lvl:1, DEF: +30")</f>
        <v> () lvl:1, DEF: +30</v>
      </c>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t="str">
        <f>IFERROR(__xludf.DUMMYFUNCTION("""COMPUTED_VALUE"""),"Silver Katana")</f>
        <v>Silver Katana</v>
      </c>
      <c r="B280" s="1" t="str">
        <f>IFERROR(__xludf.DUMMYFUNCTION("""COMPUTED_VALUE""")," (Sword) lvl:200, DMG: +10000 ++Causes Blindness 3")</f>
        <v> (Sword) lvl:200, DMG: +10000 ++Causes Blindness 3</v>
      </c>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t="str">
        <f>IFERROR(__xludf.DUMMYFUNCTION("""COMPUTED_VALUE"""),"Silver Knife")</f>
        <v>Silver Knife</v>
      </c>
      <c r="B281" s="1" t="str">
        <f>IFERROR(__xludf.DUMMYFUNCTION("""COMPUTED_VALUE""")," (Knife) lvl:200, DMG: +10000")</f>
        <v> (Knife) lvl:200, DMG: +10000</v>
      </c>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t="str">
        <f>IFERROR(__xludf.DUMMYFUNCTION("""COMPUTED_VALUE"""),"Skull Cleaver")</f>
        <v>Skull Cleaver</v>
      </c>
      <c r="B282" s="1" t="str">
        <f>IFERROR(__xludf.DUMMYFUNCTION("""COMPUTED_VALUE""")," (Sword) lvl:1000, DMG: +30000, Dark DMG: +20000 ++75% Chance of instant death.")</f>
        <v> (Sword) lvl:1000, DMG: +30000, Dark DMG: +20000 ++75% Chance of instant death.</v>
      </c>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t="str">
        <f>IFERROR(__xludf.DUMMYFUNCTION("""COMPUTED_VALUE"""),"Skull of the many Kings")</f>
        <v>Skull of the many Kings</v>
      </c>
      <c r="B283" s="1" t="str">
        <f>IFERROR(__xludf.DUMMYFUNCTION("""COMPUTED_VALUE""")," () lvl:1, DEF: +300 ++Immunity to all dark damage")</f>
        <v> () lvl:1, DEF: +300 ++Immunity to all dark damage</v>
      </c>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t="str">
        <f>IFERROR(__xludf.DUMMYFUNCTION("""COMPUTED_VALUE"""),"Skull Ring")</f>
        <v>Skull Ring</v>
      </c>
      <c r="B284" s="1" t="str">
        <f>IFERROR(__xludf.DUMMYFUNCTION("""COMPUTED_VALUE""")," () lvl:1, : + ++Increase damage of all dark spells and weapons by X2")</f>
        <v> () lvl:1, : + ++Increase damage of all dark spells and weapons by X2</v>
      </c>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t="str">
        <f>IFERROR(__xludf.DUMMYFUNCTION("""COMPUTED_VALUE"""),"Spear")</f>
        <v>Spear</v>
      </c>
      <c r="B285" s="1" t="str">
        <f>IFERROR(__xludf.DUMMYFUNCTION("""COMPUTED_VALUE""")," (Spear) lvl:1, DMG: +100")</f>
        <v> (Spear) lvl:1, DMG: +100</v>
      </c>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t="str">
        <f>IFERROR(__xludf.DUMMYFUNCTION("""COMPUTED_VALUE"""),"Spear Of Assal ")</f>
        <v>Spear Of Assal </v>
      </c>
      <c r="B286" s="1" t="str">
        <f>IFERROR(__xludf.DUMMYFUNCTION("""COMPUTED_VALUE"""),"(Event Exclusive) Lugh's Spear he weilded in battle. The spear will always find its mark when the incantation Ibar is spoken by the user.  (Spear) lvl:200, DMG: +50000, Fire DMG: +50000, Celestial DMG: +50000 ++12,000 celestial and fire damage for 3 round"&amp;"s. +-Cannot be forged +-Cannot be duplicated +-Cannot be confiscated. ++Ignores evasion, ++Will always return when thrown.")</f>
        <v>(Event Exclusive) Lugh's Spear he weilded in battle. The spear will always find its mark when the incantation Ibar is spoken by the user.  (Spear) lvl:200, DMG: +50000, Fire DMG: +50000, Celestial DMG: +50000 ++12,000 celestial and fire damage for 3 rounds. +-Cannot be forged +-Cannot be duplicated +-Cannot be confiscated. ++Ignores evasion, ++Will always return when thrown.</v>
      </c>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t="str">
        <f>IFERROR(__xludf.DUMMYFUNCTION("""COMPUTED_VALUE"""),"Spiked Armor")</f>
        <v>Spiked Armor</v>
      </c>
      <c r="B287" s="1" t="str">
        <f>IFERROR(__xludf.DUMMYFUNCTION("""COMPUTED_VALUE""")," () lvl:1, DEF: +100 ++Used for both offense and defense. ++Enemies take half the damage they caused, when they attack you.")</f>
        <v> () lvl:1, DEF: +100 ++Used for both offense and defense. ++Enemies take half the damage they caused, when they attack you.</v>
      </c>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t="str">
        <f>IFERROR(__xludf.DUMMYFUNCTION("""COMPUTED_VALUE"""),"Spiny Shield")</f>
        <v>Spiny Shield</v>
      </c>
      <c r="B288" s="1" t="str">
        <f>IFERROR(__xludf.DUMMYFUNCTION("""COMPUTED_VALUE""")," (Buckler) lvl:1, DEF: +170")</f>
        <v> (Buckler) lvl:1, DEF: +170</v>
      </c>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t="str">
        <f>IFERROR(__xludf.DUMMYFUNCTION("""COMPUTED_VALUE"""),"Spooky Branch Ring")</f>
        <v>Spooky Branch Ring</v>
      </c>
      <c r="B289" s="1" t="str">
        <f>IFERROR(__xludf.DUMMYFUNCTION("""COMPUTED_VALUE"""),"Halloween Exclusive () lvl:1, : + ++Increase fire and dark damage by X2.")</f>
        <v>Halloween Exclusive () lvl:1, : + ++Increase fire and dark damage by X2.</v>
      </c>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t="str">
        <f>IFERROR(__xludf.DUMMYFUNCTION("""COMPUTED_VALUE"""),"Staff of Chaotic Shadows")</f>
        <v>Staff of Chaotic Shadows</v>
      </c>
      <c r="B290" s="1" t="str">
        <f>IFERROR(__xludf.DUMMYFUNCTION("""COMPUTED_VALUE""")," (Staff) lvl:1200, DMG: +, Fire DMG: +20000, Dark DMG: +20000, Chaos DMG: +20000 ++damages all enemies. +-Cannot be forged.")</f>
        <v> (Staff) lvl:1200, DMG: +, Fire DMG: +20000, Dark DMG: +20000, Chaos DMG: +20000 ++damages all enemies. +-Cannot be forged.</v>
      </c>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t="str">
        <f>IFERROR(__xludf.DUMMYFUNCTION("""COMPUTED_VALUE"""),"Staff of Crystals")</f>
        <v>Staff of Crystals</v>
      </c>
      <c r="B291" s="1" t="str">
        <f>IFERROR(__xludf.DUMMYFUNCTION("""COMPUTED_VALUE""")," (Staff) lvl:400, DMG: +, Earth DMG: +20000 ++When Equipped any damage dealt by a Crystal or Gem related weapon is X4. +-Cannot be duplicated.")</f>
        <v> (Staff) lvl:400, DMG: +, Earth DMG: +20000 ++When Equipped any damage dealt by a Crystal or Gem related weapon is X4. +-Cannot be duplicated.</v>
      </c>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t="str">
        <f>IFERROR(__xludf.DUMMYFUNCTION("""COMPUTED_VALUE"""),"Staff Of Heatmore")</f>
        <v>Staff Of Heatmore</v>
      </c>
      <c r="B292" s="1" t="str">
        <f>IFERROR(__xludf.DUMMYFUNCTION("""COMPUTED_VALUE""")," (Staff) lvl:1, DMG: + ++20,000 fire damage to all enemies, cannot avoid. 10,000sp")</f>
        <v> (Staff) lvl:1, DMG: + ++20,000 fire damage to all enemies, cannot avoid. 10,000sp</v>
      </c>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t="str">
        <f>IFERROR(__xludf.DUMMYFUNCTION("""COMPUTED_VALUE"""),"Staff of Shadows")</f>
        <v>Staff of Shadows</v>
      </c>
      <c r="B293" s="1" t="str">
        <f>IFERROR(__xludf.DUMMYFUNCTION("""COMPUTED_VALUE""")," (Staff) lvl:1, DMG: + ++You are invisible and silent so long as you don't attack. You cannot be attacked while invisible. 200SP")</f>
        <v> (Staff) lvl:1, DMG: + ++You are invisible and silent so long as you don't attack. You cannot be attacked while invisible. 200SP</v>
      </c>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t="str">
        <f>IFERROR(__xludf.DUMMYFUNCTION("""COMPUTED_VALUE"""),"Staff Of Suffering")</f>
        <v>Staff Of Suffering</v>
      </c>
      <c r="B294" s="1" t="str">
        <f>IFERROR(__xludf.DUMMYFUNCTION("""COMPUTED_VALUE""")," (Staff) lvl:1, DMG: + ++Casts a chaotic aura around 1 target dealing 1000 unblockable damage to them each time they cast a spell.")</f>
        <v> (Staff) lvl:1, DMG: + ++Casts a chaotic aura around 1 target dealing 1000 unblockable damage to them each time they cast a spell.</v>
      </c>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t="str">
        <f>IFERROR(__xludf.DUMMYFUNCTION("""COMPUTED_VALUE"""),"Staff of Targeting")</f>
        <v>Staff of Targeting</v>
      </c>
      <c r="B295" s="1" t="str">
        <f>IFERROR(__xludf.DUMMYFUNCTION("""COMPUTED_VALUE""")," (Staff) lvl:1, DMG: + ++When you complain about getting targeted this staff will deal Unblockable 1,000,000 dmg to every player in the battle. +-Cannot resist or be immune to.")</f>
        <v> (Staff) lvl:1, DMG: + ++When you complain about getting targeted this staff will deal Unblockable 1,000,000 dmg to every player in the battle. +-Cannot resist or be immune to.</v>
      </c>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t="str">
        <f>IFERROR(__xludf.DUMMYFUNCTION("""COMPUTED_VALUE"""),"Staff of Waves")</f>
        <v>Staff of Waves</v>
      </c>
      <c r="B296" s="1" t="str">
        <f>IFERROR(__xludf.DUMMYFUNCTION("""COMPUTED_VALUE""")," (Staff) lvl:1, DMG: + ++Casts the Spell Tsunami as if you would know it.")</f>
        <v> (Staff) lvl:1, DMG: + ++Casts the Spell Tsunami as if you would know it.</v>
      </c>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t="str">
        <f>IFERROR(__xludf.DUMMYFUNCTION("""COMPUTED_VALUE"""),"Guard Helmet")</f>
        <v>Guard Helmet</v>
      </c>
      <c r="B297" s="1" t="str">
        <f>IFERROR(__xludf.DUMMYFUNCTION("""COMPUTED_VALUE"""),"Quest Item () lvl:200, DEF: +25000, Light DEF: +25000, Celestial DEF: +25000")</f>
        <v>Quest Item () lvl:200, DEF: +25000, Light DEF: +25000, Celestial DEF: +25000</v>
      </c>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t="str">
        <f>IFERROR(__xludf.DUMMYFUNCTION("""COMPUTED_VALUE"""),"Guard Shield")</f>
        <v>Guard Shield</v>
      </c>
      <c r="B298" s="1" t="str">
        <f>IFERROR(__xludf.DUMMYFUNCTION("""COMPUTED_VALUE"""),"Quest Item (Towershield) lvl:200, DEF: +25000, Light DEF: +25000, Celestial DEF: +25000")</f>
        <v>Quest Item (Towershield) lvl:200, DEF: +25000, Light DEF: +25000, Celestial DEF: +25000</v>
      </c>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t="str">
        <f>IFERROR(__xludf.DUMMYFUNCTION("""COMPUTED_VALUE"""),"Guard Sword")</f>
        <v>Guard Sword</v>
      </c>
      <c r="B299" s="1" t="str">
        <f>IFERROR(__xludf.DUMMYFUNCTION("""COMPUTED_VALUE"""),"Quest Item (Sword) lvl:200, DMG: +25000, Light DMG: +25000, Celestial DMG: +25000")</f>
        <v>Quest Item (Sword) lvl:200, DMG: +25000, Light DMG: +25000, Celestial DMG: +25000</v>
      </c>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t="str">
        <f>IFERROR(__xludf.DUMMYFUNCTION("""COMPUTED_VALUE"""),"Steel Armor")</f>
        <v>Steel Armor</v>
      </c>
      <c r="B300" s="1" t="str">
        <f>IFERROR(__xludf.DUMMYFUNCTION("""COMPUTED_VALUE""")," () lvl:1, DEF: +20")</f>
        <v> () lvl:1, DEF: +20</v>
      </c>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t="str">
        <f>IFERROR(__xludf.DUMMYFUNCTION("""COMPUTED_VALUE"""),"Steel Broadsword")</f>
        <v>Steel Broadsword</v>
      </c>
      <c r="B301" s="1" t="str">
        <f>IFERROR(__xludf.DUMMYFUNCTION("""COMPUTED_VALUE""")," (Sword) lvl:40, DMG: +2000")</f>
        <v> (Sword) lvl:40, DMG: +2000</v>
      </c>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t="str">
        <f>IFERROR(__xludf.DUMMYFUNCTION("""COMPUTED_VALUE"""),"Steel Sword")</f>
        <v>Steel Sword</v>
      </c>
      <c r="B302" s="1" t="str">
        <f>IFERROR(__xludf.DUMMYFUNCTION("""COMPUTED_VALUE""")," (Sword) lvl:10, DMG: +500")</f>
        <v> (Sword) lvl:10, DMG: +500</v>
      </c>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t="str">
        <f>IFERROR(__xludf.DUMMYFUNCTION("""COMPUTED_VALUE"""),"Stick of Mystery ")</f>
        <v>Stick of Mystery </v>
      </c>
      <c r="B303" s="1" t="str">
        <f>IFERROR(__xludf.DUMMYFUNCTION("""COMPUTED_VALUE"""),"Those who doubt the stick's power will suffer the stick's wrath (Wand) lvl:1, : + ++roll a d20 to see what it does :)")</f>
        <v>Those who doubt the stick's power will suffer the stick's wrath (Wand) lvl:1, : + ++roll a d20 to see what it does :)</v>
      </c>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t="str">
        <f>IFERROR(__xludf.DUMMYFUNCTION("""COMPUTED_VALUE"""),"Stone Arming Sword")</f>
        <v>Stone Arming Sword</v>
      </c>
      <c r="B304" s="1" t="str">
        <f>IFERROR(__xludf.DUMMYFUNCTION("""COMPUTED_VALUE""")," (Sword) lvl:20, DMG: +500, Dark DMG: +200")</f>
        <v> (Sword) lvl:20, DMG: +500, Dark DMG: +200</v>
      </c>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t="str">
        <f>IFERROR(__xludf.DUMMYFUNCTION("""COMPUTED_VALUE"""),"Stone Sledgehammer")</f>
        <v>Stone Sledgehammer</v>
      </c>
      <c r="B305" s="1" t="str">
        <f>IFERROR(__xludf.DUMMYFUNCTION("""COMPUTED_VALUE""")," (Club) lvl:20, DMG: +400, Earth DMG: +200")</f>
        <v> (Club) lvl:20, DMG: +400, Earth DMG: +200</v>
      </c>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t="str">
        <f>IFERROR(__xludf.DUMMYFUNCTION("""COMPUTED_VALUE"""),"Stone Small Shield")</f>
        <v>Stone Small Shield</v>
      </c>
      <c r="B306" s="1" t="str">
        <f>IFERROR(__xludf.DUMMYFUNCTION("""COMPUTED_VALUE""")," (Buckler) lvl:1, DEF: +100")</f>
        <v> (Buckler) lvl:1, DEF: +100</v>
      </c>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t="str">
        <f>IFERROR(__xludf.DUMMYFUNCTION("""COMPUTED_VALUE"""),"Stonewall Shield")</f>
        <v>Stonewall Shield</v>
      </c>
      <c r="B307" s="1" t="str">
        <f>IFERROR(__xludf.DUMMYFUNCTION("""COMPUTED_VALUE""")," (Towershield) lvl:10, DEF: +500 ++Immunity to earth")</f>
        <v> (Towershield) lvl:10, DEF: +500 ++Immunity to earth</v>
      </c>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t="str">
        <f>IFERROR(__xludf.DUMMYFUNCTION("""COMPUTED_VALUE"""),"Sturdy Wooden Shield")</f>
        <v>Sturdy Wooden Shield</v>
      </c>
      <c r="B308" s="1" t="str">
        <f>IFERROR(__xludf.DUMMYFUNCTION("""COMPUTED_VALUE"""),"A wooden shield (Towershield) lvl:1, DEF: +50")</f>
        <v>A wooden shield (Towershield) lvl:1, DEF: +50</v>
      </c>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t="str">
        <f>IFERROR(__xludf.DUMMYFUNCTION("""COMPUTED_VALUE"""),"Swampville Dagger")</f>
        <v>Swampville Dagger</v>
      </c>
      <c r="B309" s="1" t="str">
        <f>IFERROR(__xludf.DUMMYFUNCTION("""COMPUTED_VALUE""")," (Knife) lvl:400, DMG: +10000, Nature DMG: +10000 ++Poison 5000 for 3 rounds.")</f>
        <v> (Knife) lvl:400, DMG: +10000, Nature DMG: +10000 ++Poison 5000 for 3 rounds.</v>
      </c>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t="str">
        <f>IFERROR(__xludf.DUMMYFUNCTION("""COMPUTED_VALUE"""),"Sword of Bad Luck")</f>
        <v>Sword of Bad Luck</v>
      </c>
      <c r="B310" s="1" t="str">
        <f>IFERROR(__xludf.DUMMYFUNCTION("""COMPUTED_VALUE""")," (Sword) lvl:600, DMG: +30000 ++GSteal - Steal X amount of gilders equal to the amount of damage caused with this weapon.")</f>
        <v> (Sword) lvl:600, DMG: +30000 ++GSteal - Steal X amount of gilders equal to the amount of damage caused with this weapon.</v>
      </c>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t="str">
        <f>IFERROR(__xludf.DUMMYFUNCTION("""COMPUTED_VALUE"""),"Sword of Chaotic Shadows")</f>
        <v>Sword of Chaotic Shadows</v>
      </c>
      <c r="B311" s="1" t="str">
        <f>IFERROR(__xludf.DUMMYFUNCTION("""COMPUTED_VALUE""")," (Sword) lvl:600, DMG: +10000, Dark DMG: +10000, Chaos DMG: +10000")</f>
        <v> (Sword) lvl:600, DMG: +10000, Dark DMG: +10000, Chaos DMG: +10000</v>
      </c>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t="str">
        <f>IFERROR(__xludf.DUMMYFUNCTION("""COMPUTED_VALUE"""),"Sword Of Darkness")</f>
        <v>Sword Of Darkness</v>
      </c>
      <c r="B312" s="1" t="str">
        <f>IFERROR(__xludf.DUMMYFUNCTION("""COMPUTED_VALUE""")," (Sword) lvl:20, DMG: +500, Dark DMG: +200")</f>
        <v> (Sword) lvl:20, DMG: +500, Dark DMG: +200</v>
      </c>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t="str">
        <f>IFERROR(__xludf.DUMMYFUNCTION("""COMPUTED_VALUE"""),"Sword of Disorder")</f>
        <v>Sword of Disorder</v>
      </c>
      <c r="B313" s="1" t="str">
        <f>IFERROR(__xludf.DUMMYFUNCTION("""COMPUTED_VALUE""")," (Sword) lvl:1, : + ++Make a fail or succeed roll while attacking to determine the effect. Fail = 1 damage. Succeed = 50,000 Chaos damage.
")</f>
        <v> (Sword) lvl:1, : + ++Make a fail or succeed roll while attacking to determine the effect. Fail = 1 damage. Succeed = 50,000 Chaos damage.
</v>
      </c>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t="str">
        <f>IFERROR(__xludf.DUMMYFUNCTION("""COMPUTED_VALUE"""),"Sword Of Divine Flames")</f>
        <v>Sword Of Divine Flames</v>
      </c>
      <c r="B314" s="1" t="str">
        <f>IFERROR(__xludf.DUMMYFUNCTION("""COMPUTED_VALUE""")," (Sword) lvl:300, DMG: +10000, Fire DMG: +5000 ++Divine Flame - Fire spells and weapons will deal an additional X2 damage while this weapon is equipped")</f>
        <v> (Sword) lvl:300, DMG: +10000, Fire DMG: +5000 ++Divine Flame - Fire spells and weapons will deal an additional X2 damage while this weapon is equipped</v>
      </c>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t="str">
        <f>IFERROR(__xludf.DUMMYFUNCTION("""COMPUTED_VALUE"""),"Sword of Eternal darkness")</f>
        <v>Sword of Eternal darkness</v>
      </c>
      <c r="B315" s="1" t="str">
        <f>IFERROR(__xludf.DUMMYFUNCTION("""COMPUTED_VALUE""")," (Sword) lvl:30, DMG: +500, Dark DMG: +600")</f>
        <v> (Sword) lvl:30, DMG: +500, Dark DMG: +600</v>
      </c>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t="str">
        <f>IFERROR(__xludf.DUMMYFUNCTION("""COMPUTED_VALUE"""),"Hela's Death Scythe")</f>
        <v>Hela's Death Scythe</v>
      </c>
      <c r="B316" s="1" t="str">
        <f>IFERROR(__xludf.DUMMYFUNCTION("""COMPUTED_VALUE""")," (Scythe) lvl:1, DMG: +0, Spirit DMG: +0 ++Soul Enhanced - This sword can be enchanted with any soul to increase its Natural and Spirit damage, Each soul enchanted into this sword gives it an additional 200 natural and spirit damage. +-Cannot be forged +-"&amp;"Cannot be duplicated
Souls 0/3000")</f>
        <v> (Scythe) lvl:1, DMG: +0, Spirit DMG: +0 ++Soul Enhanced - This sword can be enchanted with any soul to increase its Natural and Spirit damage, Each soul enchanted into this sword gives it an additional 200 natural and spirit damage. +-Cannot be forged +-Cannot be duplicated
Souls 0/3000</v>
      </c>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t="str">
        <f>IFERROR(__xludf.DUMMYFUNCTION("""COMPUTED_VALUE"""),"Sword of Nature’s Love")</f>
        <v>Sword of Nature’s Love</v>
      </c>
      <c r="B317" s="1" t="str">
        <f>IFERROR(__xludf.DUMMYFUNCTION("""COMPUTED_VALUE""")," (Sword) lvl:160, DMG: +4000, Nature DMG: +4000 ++Nature's Power - any damage dealt by this weapon gives HP back to the user equal to the damage dealt.")</f>
        <v> (Sword) lvl:160, DMG: +4000, Nature DMG: +4000 ++Nature's Power - any damage dealt by this weapon gives HP back to the user equal to the damage dealt.</v>
      </c>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t="str">
        <f>IFERROR(__xludf.DUMMYFUNCTION("""COMPUTED_VALUE"""),"Sword of Shadows")</f>
        <v>Sword of Shadows</v>
      </c>
      <c r="B318" s="1" t="str">
        <f>IFERROR(__xludf.DUMMYFUNCTION("""COMPUTED_VALUE""")," (Sword) lvl:30, DMG: +1000, Dark DMG: +500")</f>
        <v> (Sword) lvl:30, DMG: +1000, Dark DMG: +500</v>
      </c>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t="str">
        <f>IFERROR(__xludf.DUMMYFUNCTION("""COMPUTED_VALUE"""),"Sword of Steel")</f>
        <v>Sword of Steel</v>
      </c>
      <c r="B319" s="1" t="str">
        <f>IFERROR(__xludf.DUMMYFUNCTION("""COMPUTED_VALUE""")," (Sword) lvl:1, DMG: +300")</f>
        <v> (Sword) lvl:1, DMG: +300</v>
      </c>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t="str">
        <f>IFERROR(__xludf.DUMMYFUNCTION("""COMPUTED_VALUE"""),"Sword of The Abyss")</f>
        <v>Sword of The Abyss</v>
      </c>
      <c r="B320" s="1" t="str">
        <f>IFERROR(__xludf.DUMMYFUNCTION("""COMPUTED_VALUE""")," (Sword) lvl:260, DMG: +8000, Dark DMG: +5000 ++Abyss Embodiment - dark damage is increased by X2 for the user.")</f>
        <v> (Sword) lvl:260, DMG: +8000, Dark DMG: +5000 ++Abyss Embodiment - dark damage is increased by X2 for the user.</v>
      </c>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t="str">
        <f>IFERROR(__xludf.DUMMYFUNCTION("""COMPUTED_VALUE"""),"Sword of The Ancient Fire Serpent")</f>
        <v>Sword of The Ancient Fire Serpent</v>
      </c>
      <c r="B321" s="1" t="str">
        <f>IFERROR(__xludf.DUMMYFUNCTION("""COMPUTED_VALUE""")," (Sword) lvl:2000, DMG: +50000, Fire DMG: +50000 ++ Burn 50,000. ++Serpents Luck - +5 can be added to the users d20 rolls. +-Cannot be duplicated.")</f>
        <v> (Sword) lvl:2000, DMG: +50000, Fire DMG: +50000 ++ Burn 50,000. ++Serpents Luck - +5 can be added to the users d20 rolls. +-Cannot be duplicated.</v>
      </c>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t="str">
        <f>IFERROR(__xludf.DUMMYFUNCTION("""COMPUTED_VALUE"""),"Sword of The Burning Forest")</f>
        <v>Sword of The Burning Forest</v>
      </c>
      <c r="B322" s="1" t="str">
        <f>IFERROR(__xludf.DUMMYFUNCTION("""COMPUTED_VALUE"""),"A sword forged by mekana to obliterate natural environments. (Sword) lvl:600, DMG: +20000, Fire DMG: +10000 ++Forest Fire- Burn 10,000, x4 fire damage while in a natural environment.")</f>
        <v>A sword forged by mekana to obliterate natural environments. (Sword) lvl:600, DMG: +20000, Fire DMG: +10000 ++Forest Fire- Burn 10,000, x4 fire damage while in a natural environment.</v>
      </c>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t="str">
        <f>IFERROR(__xludf.DUMMYFUNCTION("""COMPUTED_VALUE"""),"Sword of The Crystal Chosen")</f>
        <v>Sword of The Crystal Chosen</v>
      </c>
      <c r="B323" s="1" t="str">
        <f>IFERROR(__xludf.DUMMYFUNCTION("""COMPUTED_VALUE""")," (Sword) lvl:400, DMG: +10000, Earth DMG: +10000 ++The Chosen Crystal - When Equipped any damage dealt by a Crystal or Gem related weapon is X4. +-Cannot be duplicated.")</f>
        <v> (Sword) lvl:400, DMG: +10000, Earth DMG: +10000 ++The Chosen Crystal - When Equipped any damage dealt by a Crystal or Gem related weapon is X4. +-Cannot be duplicated.</v>
      </c>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t="str">
        <f>IFERROR(__xludf.DUMMYFUNCTION("""COMPUTED_VALUE"""),"Sword Of The Cursed Naga")</f>
        <v>Sword Of The Cursed Naga</v>
      </c>
      <c r="B324" s="1" t="str">
        <f>IFERROR(__xludf.DUMMYFUNCTION("""COMPUTED_VALUE""")," (Sword) lvl:200, DMG: +10000, Earth DMG: +50000, Blood DMG: +50000, Celestial DMG: +10000 ++Earth Charmer - Earth attacks will deal an additional X4 damage while this weapon is equipped.
++Poison Charmer - Poison 50,000 p/r.")</f>
        <v> (Sword) lvl:200, DMG: +10000, Earth DMG: +50000, Blood DMG: +50000, Celestial DMG: +10000 ++Earth Charmer - Earth attacks will deal an additional X4 damage while this weapon is equipped.
++Poison Charmer - Poison 50,000 p/r.</v>
      </c>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t="str">
        <f>IFERROR(__xludf.DUMMYFUNCTION("""COMPUTED_VALUE"""),"Sword Of The Dragons Blood")</f>
        <v>Sword Of The Dragons Blood</v>
      </c>
      <c r="B325" s="1" t="str">
        <f>IFERROR(__xludf.DUMMYFUNCTION("""COMPUTED_VALUE""")," (Sword) lvl:1500, DMG: +50000, Blood DMG: +25000 ++Burning Blood: Upon a successful hit; 5000 bleed and burn until the enemy dies.")</f>
        <v> (Sword) lvl:1500, DMG: +50000, Blood DMG: +25000 ++Burning Blood: Upon a successful hit; 5000 bleed and burn until the enemy dies.</v>
      </c>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t="str">
        <f>IFERROR(__xludf.DUMMYFUNCTION("""COMPUTED_VALUE"""),"Sword of The Haunted Mansion")</f>
        <v>Sword of The Haunted Mansion</v>
      </c>
      <c r="B326" s="1" t="str">
        <f>IFERROR(__xludf.DUMMYFUNCTION("""COMPUTED_VALUE"""),"Halloween exclusive (Sword) lvl:200, DMG: +20000, Fire DMG: +20000, Dark DMG: +20000, Chaos DMG: +20000, Celestial DMG: +20000 ++Hallows Welcome: All enemies roll a d20 at the beginning of battle; All enemies that roll a 10 or lower start with 0 base defe"&amp;"nse and 0 evasion, All enemies that roll a 11 or higher start with X2 defense and ++5 additional evasion. +-Cannot be forged +-Cannot be duplicated")</f>
        <v>Halloween exclusive (Sword) lvl:200, 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t="str">
        <f>IFERROR(__xludf.DUMMYFUNCTION("""COMPUTED_VALUE"""),"Sword Of The Honorable Samurai")</f>
        <v>Sword Of The Honorable Samurai</v>
      </c>
      <c r="B327" s="1" t="str">
        <f>IFERROR(__xludf.DUMMYFUNCTION("""COMPUTED_VALUE""")," (Sword) lvl:400, DMG: +10000, Light DMG: +5000, Order DMG: +5000")</f>
        <v> (Sword) lvl:400, DMG: +10000, Light DMG: +5000, Order DMG: +5000</v>
      </c>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t="str">
        <f>IFERROR(__xludf.DUMMYFUNCTION("""COMPUTED_VALUE"""),"Sword of The Crystal King")</f>
        <v>Sword of The Crystal King</v>
      </c>
      <c r="B328" s="1" t="str">
        <f>IFERROR(__xludf.DUMMYFUNCTION("""COMPUTED_VALUE""")," (Sword) lvl:200, DMG: +20000, Earth DMG: +20000, Celestial DMG: +10000 ++Crystal Kings Power - Damage dealt by this weapon gives you SP back equal to the damage you deal. ++ Crystal Embodyment - When Equipped any damage dealt by a Crystal or Gem related "&amp;"weapon is X8 for the user. +-Cannot be duplicated.")</f>
        <v> (Sword) lvl:200, DMG: +20000, Earth DMG: +20000, Celestial DMG: +10000 ++Crystal Kings Power - Damage dealt by this weapon gives you SP back equal to the damage you deal. ++ Crystal Embodyment - When Equipped any damage dealt by a Crystal or Gem related weapon is X8 for the user. +-Cannot be duplicated.</v>
      </c>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t="str">
        <f>IFERROR(__xludf.DUMMYFUNCTION("""COMPUTED_VALUE"""),"Sword of The Many Heroes")</f>
        <v>Sword of The Many Heroes</v>
      </c>
      <c r="B329" s="1" t="str">
        <f>IFERROR(__xludf.DUMMYFUNCTION("""COMPUTED_VALUE""")," (Sword) lvl:200, DMG: +100000, Celestial DMG: +500000 ++While you have this sword equipped and you have 4+ party members among your party, You and your allies deal X4 additional damage with weapons only. +-Cannot be duplicated")</f>
        <v> (Sword) lvl:200, DMG: +100000, Celestial DMG: +500000 ++While you have this sword equipped and you have 4+ party members among your party, You and your allies deal X4 additional damage with weapons only. +-Cannot be duplicated</v>
      </c>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t="str">
        <f>IFERROR(__xludf.DUMMYFUNCTION("""COMPUTED_VALUE"""),"Sword Of The Reaper")</f>
        <v>Sword Of The Reaper</v>
      </c>
      <c r="B330" s="1" t="str">
        <f>IFERROR(__xludf.DUMMYFUNCTION("""COMPUTED_VALUE""")," (Sword) lvl:200, DMG: +5000, Celestial DMG: +1000 ++Stop Targeting Me! - When targeted for an attack the base damage of this weapon will be increased by 1000 damage for the battle only.")</f>
        <v> (Sword) lvl:200, DMG: +5000, Celestial DMG: +1000 ++Stop Targeting Me! - When targeted for an attack the base damage of this weapon will be increased by 1000 damage for the battle only.</v>
      </c>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t="str">
        <f>IFERROR(__xludf.DUMMYFUNCTION("""COMPUTED_VALUE"""),"Sword of The Sea Serpent")</f>
        <v>Sword of The Sea Serpent</v>
      </c>
      <c r="B331" s="1" t="str">
        <f>IFERROR(__xludf.DUMMYFUNCTION("""COMPUTED_VALUE""")," (Sword) lvl:400, DMG: +10000, Water DMG: +10000 ++X2 Additional water damage for self, ++Sea Serpents Call: Upon a succesful hit there will be a 50% chance of summoning a sea serpent to aid you in battle if the battle is in water.")</f>
        <v> (Sword) lvl:400, DMG: +10000, Water DMG: +10000 ++X2 Additional water damage for self, ++Sea Serpents Call: Upon a succesful hit there will be a 50% chance of summoning a sea serpent to aid you in battle if the battle is in water.</v>
      </c>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t="str">
        <f>IFERROR(__xludf.DUMMYFUNCTION("""COMPUTED_VALUE"""),"Sword of the Vampire’s Lust")</f>
        <v>Sword of the Vampire’s Lust</v>
      </c>
      <c r="B332" s="1" t="str">
        <f>IFERROR(__xludf.DUMMYFUNCTION("""COMPUTED_VALUE""")," (Sword) lvl:800, DMG: +10000, Fire DMG: +10000, Dark DMG: +10000, Spirit DMG: +5000, Chaos DMG: +5000 ++Damage dealt by this weapon gives you hp back equal to the damage you deal")</f>
        <v> (Sword) lvl:800, DMG: +10000, Fire DMG: +10000, Dark DMG: +10000, Spirit DMG: +5000, Chaos DMG: +5000 ++Damage dealt by this weapon gives you hp back equal to the damage you deal</v>
      </c>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t="str">
        <f>IFERROR(__xludf.DUMMYFUNCTION("""COMPUTED_VALUE"""),"Sword of The Waking Waters")</f>
        <v>Sword of The Waking Waters</v>
      </c>
      <c r="B333" s="1" t="str">
        <f>IFERROR(__xludf.DUMMYFUNCTION("""COMPUTED_VALUE""")," (Sword) lvl:800, DMG: +20000, Water DMG: +20000 ++X4 additional Water damage for this weapon only. ++Waking Waters: When the battle is in water and you are attacking with this weapon your d20 roll becomes double. +-Cannot be duplicated")</f>
        <v> (Sword) lvl:800, DMG: +20000, Water DMG: +20000 ++X4 additional Water damage for this weapon only. ++Waking Waters: When the battle is in water and you are attacking with this weapon your d20 roll becomes double. +-Cannot be duplicated</v>
      </c>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t="str">
        <f>IFERROR(__xludf.DUMMYFUNCTION("""COMPUTED_VALUE"""),"Sword of the Wicked")</f>
        <v>Sword of the Wicked</v>
      </c>
      <c r="B334" s="1" t="str">
        <f>IFERROR(__xludf.DUMMYFUNCTION("""COMPUTED_VALUE""")," (Sword) lvl:50, DMG: +700, Dark DMG: +900, Chaos DMG: +900")</f>
        <v> (Sword) lvl:50, DMG: +700, Dark DMG: +900, Chaos DMG: +900</v>
      </c>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t="str">
        <f>IFERROR(__xludf.DUMMYFUNCTION("""COMPUTED_VALUE"""),"Sword Of Tritonoch")</f>
        <v>Sword Of Tritonoch</v>
      </c>
      <c r="B335" s="1" t="str">
        <f>IFERROR(__xludf.DUMMYFUNCTION("""COMPUTED_VALUE""")," (Sword) lvl:800, DMG: +20000, Water DMG: +20000 ++Order of Atlanteans - +2 to your d20 roll, +5 charisma, ++Waves of Entitlement - x5 additional Water damage. +-Cannot be duplicated.")</f>
        <v> (Sword) lvl:800, DMG: +20000, Water DMG: +20000 ++Order of Atlanteans - +2 to your d20 roll, +5 charisma, ++Waves of Entitlement - x5 additional Water damage. +-Cannot be duplicated.</v>
      </c>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t="str">
        <f>IFERROR(__xludf.DUMMYFUNCTION("""COMPUTED_VALUE"""),"Tentacle")</f>
        <v>Tentacle</v>
      </c>
      <c r="B336" s="1" t="str">
        <f>IFERROR(__xludf.DUMMYFUNCTION("""COMPUTED_VALUE""")," (Claw) lvl:30, DMG: +1000, Water DMG: +500 ++10% chance to remove target from battle")</f>
        <v> (Claw) lvl:30, DMG: +1000, Water DMG: +500 ++10% chance to remove target from battle</v>
      </c>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t="str">
        <f>IFERROR(__xludf.DUMMYFUNCTION("""COMPUTED_VALUE"""),"The Black Hook")</f>
        <v>The Black Hook</v>
      </c>
      <c r="B337" s="1" t="str">
        <f>IFERROR(__xludf.DUMMYFUNCTION("""COMPUTED_VALUE""")," (Claw) lvl:2500, DMG: +50000, Dark DMG: +50000, Blood DMG: +25000 ++Increases blood and dark damage by X4 for the wielder of this claw, ++Decreases the HP cost of spells by half. ++35% chance to remove an enemy from battle")</f>
        <v> (Claw) lvl:2500, DMG: +50000, Dark DMG: +50000, Blood DMG: +25000 ++Increases blood and dark damage by X4 for the wielder of this claw, ++Decreases the HP cost of spells by half. ++35% chance to remove an enemy from battle</v>
      </c>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t="str">
        <f>IFERROR(__xludf.DUMMYFUNCTION("""COMPUTED_VALUE"""),"The Blade of the Chosen")</f>
        <v>The Blade of the Chosen</v>
      </c>
      <c r="B338" s="1" t="str">
        <f>IFERROR(__xludf.DUMMYFUNCTION("""COMPUTED_VALUE""")," (Sword) lvl:1000, DMG: +10000, Fire DMG: +10000, Order DMG: +10000, Nature DMG: +10000, Blood DMG: +10000 ++Roll a d20 at the beginning of battle, 11 or higher = double the users defense and damage dealt for the current battle, 10 or lower = half the use"&amp;"rs defense and damage dealt for the current battle.")</f>
        <v> (Sword) lvl:1000, DMG: +10000, Fire DMG: +10000, Order DMG: +10000, Nature DMG: +10000, Blood DMG: +10000 ++Roll a d20 at the beginning of battle, 11 or higher = double the users defense and damage dealt for the current battle, 10 or lower = half the users defense and damage dealt for the current battle.</v>
      </c>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t="str">
        <f>IFERROR(__xludf.DUMMYFUNCTION("""COMPUTED_VALUE"""),"The Bow of the Fallen Hero")</f>
        <v>The Bow of the Fallen Hero</v>
      </c>
      <c r="B339" s="1" t="str">
        <f>IFERROR(__xludf.DUMMYFUNCTION("""COMPUTED_VALUE""")," (Bow) lvl:100, DMG: +5000 ++Dashing Arrows - You can use up to 6 arrows when attacking with this bow. ")</f>
        <v> (Bow) lvl:100, DMG: +5000 ++Dashing Arrows - You can use up to 6 arrows when attacking with this bow. </v>
      </c>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t="str">
        <f>IFERROR(__xludf.DUMMYFUNCTION("""COMPUTED_VALUE"""),"The Bow of the Haunted")</f>
        <v>The Bow of the Haunted</v>
      </c>
      <c r="B340" s="1" t="str">
        <f>IFERROR(__xludf.DUMMYFUNCTION("""COMPUTED_VALUE"""),"Halloween exclusive (Bow) lvl:620, DMG: +1000, Fire DMG: +10000, Dark DMG: +10000, Chaos DMG: +10000 ++You can use d20 arrows when attacking with this bow, rolls to see how many. Dark and Chaos damage is doubled when attacking with this bow.")</f>
        <v>Halloween exclusive (Bow) lvl:620, DMG: +1000, Fire DMG: +10000, Dark DMG: +10000, Chaos DMG: +10000 ++You can use d20 arrows when attacking with this bow, rolls to see how many. Dark and Chaos damage is doubled when attacking with this bow.</v>
      </c>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t="str">
        <f>IFERROR(__xludf.DUMMYFUNCTION("""COMPUTED_VALUE"""),"The Bow of the Pandarian")</f>
        <v>The Bow of the Pandarian</v>
      </c>
      <c r="B341" s="1" t="str">
        <f>IFERROR(__xludf.DUMMYFUNCTION("""COMPUTED_VALUE""")," (Bow) lvl:40, DMG: +2000 ++Half the Arrow - Ranged Spells cost half the sp cost, Ranger Enrage - All Ranged Attacks. do double in damage. ")</f>
        <v> (Bow) lvl:40, DMG: +2000 ++Half the Arrow - Ranged Spells cost half the sp cost, Ranger Enrage - All Ranged Attacks. do double in damage. </v>
      </c>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t="str">
        <f>IFERROR(__xludf.DUMMYFUNCTION("""COMPUTED_VALUE"""),"The Buster")</f>
        <v>The Buster</v>
      </c>
      <c r="B342" s="1" t="str">
        <f>IFERROR(__xludf.DUMMYFUNCTION("""COMPUTED_VALUE""")," (Sword) lvl:400, DMG: +20000")</f>
        <v> (Sword) lvl:400, DMG: +20000</v>
      </c>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t="str">
        <f>IFERROR(__xludf.DUMMYFUNCTION("""COMPUTED_VALUE"""),"The Dawn Splitter")</f>
        <v>The Dawn Splitter</v>
      </c>
      <c r="B343" s="1" t="str">
        <f>IFERROR(__xludf.DUMMYFUNCTION("""COMPUTED_VALUE""")," (Sword) lvl:200, DMG: +50000, Fire DMG: +50000, Dark DMG: +50000, Celestial DMG: +50000 ++50% Chance to put the target to sleep.")</f>
        <v> (Sword) lvl:200, DMG: +50000, Fire DMG: +50000, Dark DMG: +50000, Celestial DMG: +50000 ++50% Chance to put the target to sleep.</v>
      </c>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t="str">
        <f>IFERROR(__xludf.DUMMYFUNCTION("""COMPUTED_VALUE"""),"The Dragon King's Crown")</f>
        <v>The Dragon King's Crown</v>
      </c>
      <c r="B344" s="1" t="str">
        <f>IFERROR(__xludf.DUMMYFUNCTION("""COMPUTED_VALUE""")," () lvl:400, DEF: +20000 ++Immunity to damage from Natural Attacks...")</f>
        <v> () lvl:400, DEF: +20000 ++Immunity to damage from Natural Attacks...</v>
      </c>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t="str">
        <f>IFERROR(__xludf.DUMMYFUNCTION("""COMPUTED_VALUE"""),"The Guardian Of Death's Sword")</f>
        <v>The Guardian Of Death's Sword</v>
      </c>
      <c r="B345" s="1" t="str">
        <f>IFERROR(__xludf.DUMMYFUNCTION("""COMPUTED_VALUE""")," (Sword) lvl:600, DMG: +15000, Dark DMG: +5000, Spirit DMG: +5000, Chaos DMG: +5000")</f>
        <v> (Sword) lvl:600, DMG: +15000, Dark DMG: +5000, Spirit DMG: +5000, Chaos DMG: +5000</v>
      </c>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t="str">
        <f>IFERROR(__xludf.DUMMYFUNCTION("""COMPUTED_VALUE"""),"The Helm of Foul Night")</f>
        <v>The Helm of Foul Night</v>
      </c>
      <c r="B346" s="1" t="str">
        <f>IFERROR(__xludf.DUMMYFUNCTION("""COMPUTED_VALUE""")," () lvl:200, DEF: +5000, Nature DEF: +5000 (Foul Night Set) ++X2 Nature and Poison damage. ++Poison Immunity. ")</f>
        <v> () lvl:200, DEF: +5000, Nature DEF: +5000 (Foul Night Set) ++X2 Nature and Poison damage. ++Poison Immunity. </v>
      </c>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t="str">
        <f>IFERROR(__xludf.DUMMYFUNCTION("""COMPUTED_VALUE"""),"The Invisible Spear")</f>
        <v>The Invisible Spear</v>
      </c>
      <c r="B347" s="1" t="str">
        <f>IFERROR(__xludf.DUMMYFUNCTION("""COMPUTED_VALUE""")," (Spear) lvl:1, DMG: +200 ++ignores evasion")</f>
        <v> (Spear) lvl:1, DMG: +200 ++ignores evasion</v>
      </c>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t="str">
        <f>IFERROR(__xludf.DUMMYFUNCTION("""COMPUTED_VALUE"""),"The Mysterious Mirror")</f>
        <v>The Mysterious Mirror</v>
      </c>
      <c r="B348" s="1" t="str">
        <f>IFERROR(__xludf.DUMMYFUNCTION("""COMPUTED_VALUE""")," (Towershield) lvl:1, : + ++When the user would take damage from an enemy the damage is reflected back at all enemies instead, or you can choose to have the mirror absorb all damage taken from the first 2 attacks to add that damage on to your next attack,"&amp;" you may only choose up to 5 targets for the damage to be reflected back at. The mirrors effect only lasts for your first 2 turns. +-Cannot be forged +-Cannot be duplicated")</f>
        <v> (Towershield) lvl:1, : +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t="str">
        <f>IFERROR(__xludf.DUMMYFUNCTION("""COMPUTED_VALUE"""),"The Puppet Masters Amulet")</f>
        <v>The Puppet Masters Amulet</v>
      </c>
      <c r="B349" s="1" t="str">
        <f>IFERROR(__xludf.DUMMYFUNCTION("""COMPUTED_VALUE""")," () lvl:1, : + ++Immune to possession.  +-Cannot be duplicated.")</f>
        <v> () lvl:1, : + ++Immune to possession.  +-Cannot be duplicated.</v>
      </c>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t="str">
        <f>IFERROR(__xludf.DUMMYFUNCTION("""COMPUTED_VALUE"""),"The Puppet Masters Cloak")</f>
        <v>The Puppet Masters Cloak</v>
      </c>
      <c r="B350" s="1" t="str">
        <f>IFERROR(__xludf.DUMMYFUNCTION("""COMPUTED_VALUE""")," () lvl:1, : + ++User and allies gain immunity to chaos and dark damage while in the party. +-Cannot be duplicated")</f>
        <v> () lvl:1, : + ++User and allies gain immunity to chaos and dark damage while in the party. +-Cannot be duplicated</v>
      </c>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t="str">
        <f>IFERROR(__xludf.DUMMYFUNCTION("""COMPUTED_VALUE"""),"The Puppet Masters Ring")</f>
        <v>The Puppet Masters Ring</v>
      </c>
      <c r="B351" s="1" t="str">
        <f>IFERROR(__xludf.DUMMYFUNCTION("""COMPUTED_VALUE""")," () lvl:1, : + ++Take control of a target of choice. Fail/Succeed roll, (This effect counts as a possession)  +-Cannot be duplicated.")</f>
        <v> () lvl:1, : + ++Take control of a target of choice. Fail/Succeed roll, (This effect counts as a possession)  +-Cannot be duplicated.</v>
      </c>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t="str">
        <f>IFERROR(__xludf.DUMMYFUNCTION("""COMPUTED_VALUE"""),"The Red Sword")</f>
        <v>The Red Sword</v>
      </c>
      <c r="B352" s="1" t="str">
        <f>IFERROR(__xludf.DUMMYFUNCTION("""COMPUTED_VALUE"""),"A Sword that was made of Vampire’s Blood (Sword) lvl:1, DMG: +300")</f>
        <v>A Sword that was made of Vampire’s Blood (Sword) lvl:1, DMG: +300</v>
      </c>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t="str">
        <f>IFERROR(__xludf.DUMMYFUNCTION("""COMPUTED_VALUE"""),"The Servants Sword")</f>
        <v>The Servants Sword</v>
      </c>
      <c r="B353" s="1" t="str">
        <f>IFERROR(__xludf.DUMMYFUNCTION("""COMPUTED_VALUE""")," (Sword) lvl:600, DMG: +20000, Chaos DMG: +10000")</f>
        <v> (Sword) lvl:600, DMG: +20000, Chaos DMG: +10000</v>
      </c>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t="str">
        <f>IFERROR(__xludf.DUMMYFUNCTION("""COMPUTED_VALUE"""),"The Shield of Foul Night")</f>
        <v>The Shield of Foul Night</v>
      </c>
      <c r="B354" s="1" t="str">
        <f>IFERROR(__xludf.DUMMYFUNCTION("""COMPUTED_VALUE""")," (Buckler) lvl:200, DEF: +5000, Nature DEF: +5000 (Foul Night Set) ++Nature Immunity, Poison Immunity")</f>
        <v> (Buckler) lvl:200, DEF: +5000, Nature DEF: +5000 (Foul Night Set) ++Nature Immunity, Poison Immunity</v>
      </c>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t="str">
        <f>IFERROR(__xludf.DUMMYFUNCTION("""COMPUTED_VALUE"""),"The Staff of  Haunted Bones")</f>
        <v>The Staff of  Haunted Bones</v>
      </c>
      <c r="B355" s="1" t="str">
        <f>IFERROR(__xludf.DUMMYFUNCTION("""COMPUTED_VALUE"""),"Halloween exclusive (Staff) lvl:1, DMG: + X2 additional Dark, Chaos, and Spirit damage.")</f>
        <v>Halloween exclusive (Staff) lvl:1, DMG: + X2 additional Dark, Chaos, and Spirit damage.</v>
      </c>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t="str">
        <f>IFERROR(__xludf.DUMMYFUNCTION("""COMPUTED_VALUE"""),"The Staff of the Aquas")</f>
        <v>The Staff of the Aquas</v>
      </c>
      <c r="B356" s="1" t="str">
        <f>IFERROR(__xludf.DUMMYFUNCTION("""COMPUTED_VALUE""")," (Staff) lvl:1, DMG: + ++All Water Spells Deal x3 damage and cost half sp to use.")</f>
        <v> (Staff) lvl:1, DMG: + ++All Water Spells Deal x3 damage and cost half sp to use.</v>
      </c>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t="str">
        <f>IFERROR(__xludf.DUMMYFUNCTION("""COMPUTED_VALUE"""),"The Staff of The Pumpkin’s Curse")</f>
        <v>The Staff of The Pumpkin’s Curse</v>
      </c>
      <c r="B357" s="1" t="str">
        <f>IFERROR(__xludf.DUMMYFUNCTION("""COMPUTED_VALUE""")," (Staff) lvl:1, DMG: + ++ Select a target, Any Fire Nature and Dark damage the target deals halved, Fail/Succeed.")</f>
        <v> (Staff) lvl:1, DMG: + ++ Select a target, Any Fire Nature and Dark damage the target deals halved, Fail/Succeed.</v>
      </c>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t="str">
        <f>IFERROR(__xludf.DUMMYFUNCTION("""COMPUTED_VALUE"""),"The Stick of the Panda")</f>
        <v>The Stick of the Panda</v>
      </c>
      <c r="B358" s="1" t="str">
        <f>IFERROR(__xludf.DUMMYFUNCTION("""COMPUTED_VALUE""")," (Club) lvl:400, DMG: +10000, Nature DMG: +10000 ++When you find an herb you get 2 of the herb found instead of 1. +-Cannot be duplicated")</f>
        <v> (Club) lvl:400, DMG: +10000, Nature DMG: +10000 ++When you find an herb you get 2 of the herb found instead of 1. +-Cannot be duplicated</v>
      </c>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t="str">
        <f>IFERROR(__xludf.DUMMYFUNCTION("""COMPUTED_VALUE"""),"The Sword Of Death")</f>
        <v>The Sword Of Death</v>
      </c>
      <c r="B359" s="1" t="str">
        <f>IFERROR(__xludf.DUMMYFUNCTION("""COMPUTED_VALUE""")," (Sword) lvl:1, DMG: +250")</f>
        <v> (Sword) lvl:1, DMG: +250</v>
      </c>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t="str">
        <f>IFERROR(__xludf.DUMMYFUNCTION("""COMPUTED_VALUE"""),"The Sword Of Easter's Gathering (Exclusive)")</f>
        <v>The Sword Of Easter's Gathering (Exclusive)</v>
      </c>
      <c r="B360" s="1" t="str">
        <f>IFERROR(__xludf.DUMMYFUNCTION("""COMPUTED_VALUE""")," (Sword) lvl:200, DMG: +, Nature DMG: +10000, Celestial DMG: +10000 ++Doubles all elemental damage when held, ++2 on all rolls while in battle, +-Cannot be forged +-Cannot be duplicated")</f>
        <v> (Sword) lvl:200, DMG: +, Nature DMG: +10000, Celestial DMG: +10000 ++Doubles all elemental damage when held, ++2 on all rolls while in battle, +-Cannot be forged +-Cannot be duplicated</v>
      </c>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t="str">
        <f>IFERROR(__xludf.DUMMYFUNCTION("""COMPUTED_VALUE"""),"The Sword of Manannán (Exclusive)")</f>
        <v>The Sword of Manannán (Exclusive)</v>
      </c>
      <c r="B361" s="1" t="str">
        <f>IFERROR(__xludf.DUMMYFUNCTION("""COMPUTED_VALUE"""),"Lugh's Sword he wielded in battle (Sword) lvl:200, DMG: +75000, Celestial DMG: +75000 ++Intimidation and Charisma stat is double while equipped")</f>
        <v>Lugh's Sword he wielded in battle (Sword) lvl:200, DMG: +75000, Celestial DMG: +75000 ++Intimidation and Charisma stat is double while equipped</v>
      </c>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t="str">
        <f>IFERROR(__xludf.DUMMYFUNCTION("""COMPUTED_VALUE"""),"The Waking Ash of the Serpent’s Pendent")</f>
        <v>The Waking Ash of the Serpent’s Pendent</v>
      </c>
      <c r="B362" s="1" t="str">
        <f>IFERROR(__xludf.DUMMYFUNCTION("""COMPUTED_VALUE""")," () lvl:1, : + ++When attacked with a fire spell or fire weapon you may absorb the damage you take from that 1 attack and add the damage you would have taken to your next attack as additional fire damage, This effect can only be used once per battle. +-Ca"&amp;"nnot be duplicated.")</f>
        <v> () lvl:1, : + ++When attacked with a fire spell or fire weapon you may absorb the damage you take from that 1 attack and add the damage you would have taken to your next attack as additional fire damage, This effect can only be used once per battle. +-Cannot be duplicated.</v>
      </c>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t="str">
        <f>IFERROR(__xludf.DUMMYFUNCTION("""COMPUTED_VALUE"""),"The Wand of Aquatic Beasts")</f>
        <v>The Wand of Aquatic Beasts</v>
      </c>
      <c r="B363" s="1" t="str">
        <f>IFERROR(__xludf.DUMMYFUNCTION("""COMPUTED_VALUE""")," (Wand) lvl:1, : + ++All water and storm spells are decreased by half sp.")</f>
        <v> (Wand) lvl:1, : + ++All water and storm spells are decreased by half sp.</v>
      </c>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t="str">
        <f>IFERROR(__xludf.DUMMYFUNCTION("""COMPUTED_VALUE"""),"Titanic Two Hander")</f>
        <v>Titanic Two Hander</v>
      </c>
      <c r="B364" s="1" t="str">
        <f>IFERROR(__xludf.DUMMYFUNCTION("""COMPUTED_VALUE""")," (Sword) lvl:200, DMG: +10000")</f>
        <v> (Sword) lvl:200, DMG: +10000</v>
      </c>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t="str">
        <f>IFERROR(__xludf.DUMMYFUNCTION("""COMPUTED_VALUE"""),"Top Hat")</f>
        <v>Top Hat</v>
      </c>
      <c r="B365" s="1" t="str">
        <f>IFERROR(__xludf.DUMMYFUNCTION("""COMPUTED_VALUE"""),"nothing like good ol abraham () lvl:1, DEF: +1")</f>
        <v>nothing like good ol abraham () lvl:1, DEF: +1</v>
      </c>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t="str">
        <f>IFERROR(__xludf.DUMMYFUNCTION("""COMPUTED_VALUE"""),"Trident")</f>
        <v>Trident</v>
      </c>
      <c r="B366" s="1" t="str">
        <f>IFERROR(__xludf.DUMMYFUNCTION("""COMPUTED_VALUE""")," (Spear) lvl:20, DMG: +600")</f>
        <v> (Spear) lvl:20, DMG: +600</v>
      </c>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t="str">
        <f>IFERROR(__xludf.DUMMYFUNCTION("""COMPUTED_VALUE"""),"Tundra Staff")</f>
        <v>Tundra Staff</v>
      </c>
      <c r="B367" s="1" t="str">
        <f>IFERROR(__xludf.DUMMYFUNCTION("""COMPUTED_VALUE""")," (Staff) lvl:200, : +, Earth : +10000 ++X2 Earth damage. +-Cannot be duplicated")</f>
        <v> (Staff) lvl:200, : +, Earth : +10000 ++X2 Earth damage. +-Cannot be duplicated</v>
      </c>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t="str">
        <f>IFERROR(__xludf.DUMMYFUNCTION("""COMPUTED_VALUE"""),"Twilight Bow")</f>
        <v>Twilight Bow</v>
      </c>
      <c r="B368" s="1" t="str">
        <f>IFERROR(__xludf.DUMMYFUNCTION("""COMPUTED_VALUE""")," (Bow) lvl:400, DMG: +10000, Twilight DMG: +10000")</f>
        <v> (Bow) lvl:400, DMG: +10000, Twilight DMG: +10000</v>
      </c>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t="str">
        <f>IFERROR(__xludf.DUMMYFUNCTION("""COMPUTED_VALUE"""),"Twilight Crystal Sword of Evil's Bane")</f>
        <v>Twilight Crystal Sword of Evil's Bane</v>
      </c>
      <c r="B369" s="1" t="str">
        <f>IFERROR(__xludf.DUMMYFUNCTION("""COMPUTED_VALUE"""),"Halloween Event Exclusive Item (Sword) lvl:200, DMG: +20000, Twilight DMG: +20000, Celestial DMG: +10000 ++X4 Order, Light, Chaos, and Dark damage for the user and party. +-Cannot be forged +-Cannot be duplicated")</f>
        <v>Halloween Event Exclusive Item (Sword) lvl:200, DMG: +20000, Twilight DMG: +20000, Celestial DMG: +10000 ++X4 Order, Light, Chaos, and Dark damage for the user and party. +-Cannot be forged +-Cannot be duplicated</v>
      </c>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t="str">
        <f>IFERROR(__xludf.DUMMYFUNCTION("""COMPUTED_VALUE"""),"Twilight Sword")</f>
        <v>Twilight Sword</v>
      </c>
      <c r="B370" s="1" t="str">
        <f>IFERROR(__xludf.DUMMYFUNCTION("""COMPUTED_VALUE""")," (Sword) lvl:20, DMG: +500, Twilight DMG: +200")</f>
        <v> (Sword) lvl:20, DMG: +500, Twilight DMG: +200</v>
      </c>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t="str">
        <f>IFERROR(__xludf.DUMMYFUNCTION("""COMPUTED_VALUE"""),"Unknown Amulet")</f>
        <v>Unknown Amulet</v>
      </c>
      <c r="B371" s="1" t="str">
        <f>IFERROR(__xludf.DUMMYFUNCTION("""COMPUTED_VALUE""")," () lvl:1, : + ++At the beginning of battle, roll a d20. If the number is 1-5, everyone in the battle loses 1 HP. If the number is 6-10, all enemies lose 25% of their current HP. If the number is 11-19, the wearer loses 40% current HP. If the number is 20"&amp;", the battle is instantly won. (If you roll above a 20 , double your loot amount of each item)")</f>
        <v> () lvl:1, : +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t="str">
        <f>IFERROR(__xludf.DUMMYFUNCTION("""COMPUTED_VALUE"""),"Vambraces of Waking Waters")</f>
        <v>Vambraces of Waking Waters</v>
      </c>
      <c r="B372" s="1" t="str">
        <f>IFERROR(__xludf.DUMMYFUNCTION("""COMPUTED_VALUE""")," () lvl:200, DEF: +5000, Water DEF: +5000 ++X4 additional Water damage.")</f>
        <v> () lvl:200, DEF: +5000, Water DEF: +5000 ++X4 additional Water damage.</v>
      </c>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t="str">
        <f>IFERROR(__xludf.DUMMYFUNCTION("""COMPUTED_VALUE"""),"Viking Helm")</f>
        <v>Viking Helm</v>
      </c>
      <c r="B373" s="1" t="str">
        <f>IFERROR(__xludf.DUMMYFUNCTION("""COMPUTED_VALUE""")," () lvl:1, DEF: +200 (Viking Set)")</f>
        <v> () lvl:1, DEF: +200 (Viking Set)</v>
      </c>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t="str">
        <f>IFERROR(__xludf.DUMMYFUNCTION("""COMPUTED_VALUE"""),"Void sword")</f>
        <v>Void sword</v>
      </c>
      <c r="B374" s="1" t="str">
        <f>IFERROR(__xludf.DUMMYFUNCTION("""COMPUTED_VALUE""")," (Sword) lvl:200, : +, Celestial : +1 ++100% chance of instant death. Breaks upon instant death and causes a giant explosion causing 10,000,000 Celestial damage to all enemies..")</f>
        <v> (Sword) lvl:200, : +, Celestial : +1 ++100% chance of instant death. Breaks upon instant death and causes a giant explosion causing 10,000,000 Celestial damage to all enemies..</v>
      </c>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t="str">
        <f>IFERROR(__xludf.DUMMYFUNCTION("""COMPUTED_VALUE"""),"Volcanic Sword of Destruction")</f>
        <v>Volcanic Sword of Destruction</v>
      </c>
      <c r="B375" s="1" t="str">
        <f>IFERROR(__xludf.DUMMYFUNCTION("""COMPUTED_VALUE""")," (Sword) lvl:200, DMG: +100000, Fire DMG: +300000, Celestial DMG: +100000 ++Volcanic Valves - Increase the damage of fire weapons and fire spells by x3, When you attack and miss the target with this sword the damage this sword deals will double each time "&amp;"you miss. +-Cannot be forged +-Cannot be duplicated")</f>
        <v> (Sword) lvl:200, DMG: +100000, Fire DMG: +300000, Celestial DMG: +100000 ++Volcanic Valves - Increase the damage of fire weapons and fire spells by x3, When you attack and miss the target with this sword the damage this sword deals will double each time you miss. +-Cannot be forged +-Cannot be duplicated</v>
      </c>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t="str">
        <f>IFERROR(__xludf.DUMMYFUNCTION("""COMPUTED_VALUE"""),"Wand of Grey")</f>
        <v>Wand of Grey</v>
      </c>
      <c r="B376" s="1" t="str">
        <f>IFERROR(__xludf.DUMMYFUNCTION("""COMPUTED_VALUE""")," (Wand) lvl:1, : + ++X2 more damage to all spells. +-Cannot be duplicated.")</f>
        <v> (Wand) lvl:1, : + ++X2 more damage to all spells. +-Cannot be duplicated.</v>
      </c>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t="str">
        <f>IFERROR(__xludf.DUMMYFUNCTION("""COMPUTED_VALUE"""),"Wand of Multi-Color")</f>
        <v>Wand of Multi-Color</v>
      </c>
      <c r="B377" s="1" t="str">
        <f>IFERROR(__xludf.DUMMYFUNCTION("""COMPUTED_VALUE""")," (Wand) lvl:1, : + ++All types of spells are reduced by half sp. +-Cannot be duplicated. +-Can only equip one")</f>
        <v> (Wand) lvl:1, : + ++All types of spells are reduced by half sp. +-Cannot be duplicated. +-Can only equip one</v>
      </c>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t="str">
        <f>IFERROR(__xludf.DUMMYFUNCTION("""COMPUTED_VALUE"""),"Warlock’s Armored Chestplate")</f>
        <v>Warlock’s Armored Chestplate</v>
      </c>
      <c r="B378" s="1" t="str">
        <f>IFERROR(__xludf.DUMMYFUNCTION("""COMPUTED_VALUE""")," () lvl:100, DEF: +5000 ++All Dark, and Weapon attacks deal X2 more damage, All SP costs for Melee, Dark, and Physical Spells are reduced to half. ++Immunity to Dark and Chaos Damage.")</f>
        <v> () lvl:100, DEF: +5000 ++All Dark, and Weapon attacks deal X2 more damage, All SP costs for Melee, Dark, and Physical Spells are reduced to half. ++Immunity to Dark and Chaos Damage.</v>
      </c>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t="str">
        <f>IFERROR(__xludf.DUMMYFUNCTION("""COMPUTED_VALUE"""),"Water Warhammer")</f>
        <v>Water Warhammer</v>
      </c>
      <c r="B379" s="1" t="str">
        <f>IFERROR(__xludf.DUMMYFUNCTION("""COMPUTED_VALUE""")," (Club) lvl:200, DMG: +5000, Water DMG: +5000")</f>
        <v> (Club) lvl:200, DMG: +5000, Water DMG: +5000</v>
      </c>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t="str">
        <f>IFERROR(__xludf.DUMMYFUNCTION("""COMPUTED_VALUE"""),"Weaponized Bamboo Hat")</f>
        <v>Weaponized Bamboo Hat</v>
      </c>
      <c r="B380" s="1" t="str">
        <f>IFERROR(__xludf.DUMMYFUNCTION("""COMPUTED_VALUE""")," (Knife) lvl:40, DEF: +1000, Nature DEF: +1000 ++10,000 damage when thrown, this item will return to you after thrown.")</f>
        <v> (Knife) lvl:40, DEF: +1000, Nature DEF: +1000 ++10,000 damage when thrown, this item will return to you after thrown.</v>
      </c>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t="str">
        <f>IFERROR(__xludf.DUMMYFUNCTION("""COMPUTED_VALUE"""),"Wig of Temper Fire")</f>
        <v>Wig of Temper Fire</v>
      </c>
      <c r="B381" s="1" t="str">
        <f>IFERROR(__xludf.DUMMYFUNCTION("""COMPUTED_VALUE""")," () lvl:1, : + ++reduces any fire damage to 1 +-Cannot be duplicated")</f>
        <v> () lvl:1, : + ++reduces any fire damage to 1 +-Cannot be duplicated</v>
      </c>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t="str">
        <f>IFERROR(__xludf.DUMMYFUNCTION("""COMPUTED_VALUE"""),"Woodsman’s Hacker")</f>
        <v>Woodsman’s Hacker</v>
      </c>
      <c r="B382" s="1" t="str">
        <f>IFERROR(__xludf.DUMMYFUNCTION("""COMPUTED_VALUE""")," (Axe) lvl:10, DMG: +500")</f>
        <v> (Axe) lvl:10, DMG: +500</v>
      </c>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t="str">
        <f>IFERROR(__xludf.DUMMYFUNCTION("""COMPUTED_VALUE"""),"World Tree Sword")</f>
        <v>World Tree Sword</v>
      </c>
      <c r="B383" s="1" t="str">
        <f>IFERROR(__xludf.DUMMYFUNCTION("""COMPUTED_VALUE""")," () lvl:200, DMG: +100000, Earth DMG: +50000, Light DMG: +50000, Spirit DMG: +50000, Order DMG: +50000, Nature DMG: +50000, Celestial DMG: +50000 ++If you kill an enemy with this weapon your HP and SP will fully be restored. +-Cannot be forged +-Cannot be"&amp;" duplicated")</f>
        <v> () lvl:200, DMG: +100000, Earth DMG: +50000, Light DMG: +50000, Spirit DMG: +50000, Order DMG: +50000, Nature DMG: +50000, Celestial DMG: +50000 ++If you kill an enemy with this weapon your HP and SP will fully be restored. +-Cannot be forged +-Cannot be duplicated</v>
      </c>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t="str">
        <f>IFERROR(__xludf.DUMMYFUNCTION("""COMPUTED_VALUE"""),"Tear of the Dragon Pendant")</f>
        <v>Tear of the Dragon Pendant</v>
      </c>
      <c r="B384" s="1" t="str">
        <f>IFERROR(__xludf.DUMMYFUNCTION("""COMPUTED_VALUE""")," () lvl:1, : + ++Plus 5 or Minus 5 on your attack and percentage rolls, Users choice. +-Cannot be duplicated.")</f>
        <v> () lvl:1, : + ++Plus 5 or Minus 5 on your attack and percentage rolls, Users choice. +-Cannot be duplicated.</v>
      </c>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t="str">
        <f>IFERROR(__xludf.DUMMYFUNCTION("""COMPUTED_VALUE"""),"Luck of the Dragon Pendant")</f>
        <v>Luck of the Dragon Pendant</v>
      </c>
      <c r="B385" s="1" t="str">
        <f>IFERROR(__xludf.DUMMYFUNCTION("""COMPUTED_VALUE""")," () lvl:1, : + ++Plus 5 or Minus 5 on your Loot and Fail/Succeed rolls, Users choice. +-Cannot be duplicated.")</f>
        <v> () lvl:1, : + ++Plus 5 or Minus 5 on your Loot and Fail/Succeed rolls, Users choice. +-Cannot be duplicated.</v>
      </c>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t="str">
        <f>IFERROR(__xludf.DUMMYFUNCTION("""COMPUTED_VALUE"""),"Scale of the Dragon Pendant")</f>
        <v>Scale of the Dragon Pendant</v>
      </c>
      <c r="B386" s="1" t="str">
        <f>IFERROR(__xludf.DUMMYFUNCTION("""COMPUTED_VALUE""")," () lvl:1, : + ++Allows you to use a companions SP as your own if the companion is a dragon. +-Cannot be duplicated.")</f>
        <v> () lvl:1, : + ++Allows you to use a companions SP as your own if the companion is a dragon. +-Cannot be duplicated.</v>
      </c>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t="str">
        <f>IFERROR(__xludf.DUMMYFUNCTION("""COMPUTED_VALUE"""),"Guard Pauldrons")</f>
        <v>Guard Pauldrons</v>
      </c>
      <c r="B387" s="1" t="str">
        <f>IFERROR(__xludf.DUMMYFUNCTION("""COMPUTED_VALUE"""),"Quest Item () lvl:200, DEF: +25000, Light DEF: +25000, Celestial DEF: +25000 +-Cannot be duplicated")</f>
        <v>Quest Item () lvl:200, DEF: +25000, Light DEF: +25000, Celestial DEF: +25000 +-Cannot be duplicated</v>
      </c>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t="str">
        <f>IFERROR(__xludf.DUMMYFUNCTION("""COMPUTED_VALUE"""),"Guard Vambraces")</f>
        <v>Guard Vambraces</v>
      </c>
      <c r="B388" s="1" t="str">
        <f>IFERROR(__xludf.DUMMYFUNCTION("""COMPUTED_VALUE"""),"Quest Item () lvl:200, DEF: +25000, Light DEF: +25000, Celestial DEF: +25000 +-Cannot be duplicated")</f>
        <v>Quest Item () lvl:200, DEF: +25000, Light DEF: +25000, Celestial DEF: +25000 +-Cannot be duplicated</v>
      </c>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t="str">
        <f>IFERROR(__xludf.DUMMYFUNCTION("""COMPUTED_VALUE"""),"Royal Guard Pauldrons")</f>
        <v>Royal Guard Pauldrons</v>
      </c>
      <c r="B389" s="1" t="str">
        <f>IFERROR(__xludf.DUMMYFUNCTION("""COMPUTED_VALUE"""),"Quest Item () lvl:200, DEF: +50000, Light DEF: +50000, Celestial DEF: +50000 +-Cannot be duplicated")</f>
        <v>Quest Item () lvl:200, DEF: +50000, Light DEF: +50000, Celestial DEF: +50000 +-Cannot be duplicated</v>
      </c>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t="str">
        <f>IFERROR(__xludf.DUMMYFUNCTION("""COMPUTED_VALUE"""),"Royal Guard Vambraces")</f>
        <v>Royal Guard Vambraces</v>
      </c>
      <c r="B390" s="1" t="str">
        <f>IFERROR(__xludf.DUMMYFUNCTION("""COMPUTED_VALUE"""),"Quest Item () lvl:200, DEF: +50000, Light DEF: +50000, Celestial DEF: +50000 +-Cannot be duplicated")</f>
        <v>Quest Item () lvl:200, DEF: +50000, Light DEF: +50000, Celestial DEF: +50000 +-Cannot be duplicated</v>
      </c>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t="str">
        <f>IFERROR(__xludf.DUMMYFUNCTION("""COMPUTED_VALUE"""),"Celestian Royal Pauldrons")</f>
        <v>Celestian Royal Pauldrons</v>
      </c>
      <c r="B391" s="1" t="str">
        <f>IFERROR(__xludf.DUMMYFUNCTION("""COMPUTED_VALUE"""),"Quest Item () lvl:200, DEF: +100000, Light DEF: +100000, Dark DEF: +100000, Celestial DEF: +100000 ++X2 Celestial Damage. +-Cannot be duplicated.")</f>
        <v>Quest Item () lvl:200, DEF: +100000, Light DEF: +100000, Dark DEF: +100000, Celestial DEF: +100000 ++X2 Celestial Damage. +-Cannot be duplicated.</v>
      </c>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t="str">
        <f>IFERROR(__xludf.DUMMYFUNCTION("""COMPUTED_VALUE"""),"Celestian Royal Vambraces")</f>
        <v>Celestian Royal Vambraces</v>
      </c>
      <c r="B392" s="1" t="str">
        <f>IFERROR(__xludf.DUMMYFUNCTION("""COMPUTED_VALUE"""),"Quest Item () lvl:200, DEF: +100000, Light DEF: +100000, Dark DEF: +100000, Celestial DEF: +100000 ++X2 Celestial Damage. +-Cannot be duplicated.")</f>
        <v>Quest Item () lvl:200, DEF: +100000, Light DEF: +100000, Dark DEF: +100000, Celestial DEF: +100000 ++X2 Celestial Damage. +-Cannot be duplicated.</v>
      </c>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t="str">
        <f>IFERROR(__xludf.DUMMYFUNCTION("""COMPUTED_VALUE"""),"Royal Guard Shield")</f>
        <v>Royal Guard Shield</v>
      </c>
      <c r="B393" s="1" t="str">
        <f>IFERROR(__xludf.DUMMYFUNCTION("""COMPUTED_VALUE"""),"Quest Item (Towershield) lvl:200, DEF: +50000, Light DEF: +50000, Dark DEF: +50000, Celestial DEF: +50000 ++X2 Celestial Defense. +-Cannot be duplicated.")</f>
        <v>Quest Item (Towershield) lvl:200, DEF: +50000, Light DEF: +50000, Dark DEF: +50000, Celestial DEF: +50000 ++X2 Celestial Defense. +-Cannot be duplicated.</v>
      </c>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t="str">
        <f>IFERROR(__xludf.DUMMYFUNCTION("""COMPUTED_VALUE"""),"Guard Leggings")</f>
        <v>Guard Leggings</v>
      </c>
      <c r="B394" s="1" t="str">
        <f>IFERROR(__xludf.DUMMYFUNCTION("""COMPUTED_VALUE"""),"Quest Item () lvl:200, DEF: +25000, Light DEF: +25000, Celestial DEF: +25000 +-Cannot be duplicated")</f>
        <v>Quest Item () lvl:200, DEF: +25000, Light DEF: +25000, Celestial DEF: +25000 +-Cannot be duplicated</v>
      </c>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t="str">
        <f>IFERROR(__xludf.DUMMYFUNCTION("""COMPUTED_VALUE"""),"Guard Boots")</f>
        <v>Guard Boots</v>
      </c>
      <c r="B395" s="1" t="str">
        <f>IFERROR(__xludf.DUMMYFUNCTION("""COMPUTED_VALUE"""),"Quest Item () lvl:200, DEF: +25000, Light DEF: +25000, Celestial DEF: +25000 +-Cannot be duplicated")</f>
        <v>Quest Item () lvl:200, DEF: +25000, Light DEF: +25000, Celestial DEF: +25000 +-Cannot be duplicated</v>
      </c>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t="str">
        <f>IFERROR(__xludf.DUMMYFUNCTION("""COMPUTED_VALUE"""),"Celestian Royal Boots")</f>
        <v>Celestian Royal Boots</v>
      </c>
      <c r="B396" s="1" t="str">
        <f>IFERROR(__xludf.DUMMYFUNCTION("""COMPUTED_VALUE"""),"Quest Item () lvl:200, DEF: +100000, Light DEF: +100000, Dark DEF: +100000, Celestial DEF: +100000 ++X6 Celestial Damage. +-Cannot be duplicated.")</f>
        <v>Quest Item () lvl:200, DEF: +100000, Light DEF: +100000, Dark DEF: +100000, Celestial DEF: +100000 ++X6 Celestial Damage. +-Cannot be duplicated.</v>
      </c>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t="str">
        <f>IFERROR(__xludf.DUMMYFUNCTION("""COMPUTED_VALUE"""),"Celestian Royal Leggings")</f>
        <v>Celestian Royal Leggings</v>
      </c>
      <c r="B397" s="1" t="str">
        <f>IFERROR(__xludf.DUMMYFUNCTION("""COMPUTED_VALUE"""),"Quest Item () lvl:200, DEF: +100000, Light DEF: +100000, Dark DEF: +100000, Celestial DEF: +100000 ++X6 Celestial Damage. +-Cannot be duplicated.")</f>
        <v>Quest Item () lvl:200, DEF: +100000, Light DEF: +100000, Dark DEF: +100000, Celestial DEF: +100000 ++X6 Celestial Damage. +-Cannot be duplicated.</v>
      </c>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t="str">
        <f>IFERROR(__xludf.DUMMYFUNCTION("""COMPUTED_VALUE"""),"Celestian Royal Helmet")</f>
        <v>Celestian Royal Helmet</v>
      </c>
      <c r="B398" s="1" t="str">
        <f>IFERROR(__xludf.DUMMYFUNCTION("""COMPUTED_VALUE"""),"Quest Item () lvl:200, DEF: +100000, Light DEF: +100000, Dark DEF: +100000, Celestial DEF: +100000 ++X6 Celestial Damage. +-Cannot be duplicated.")</f>
        <v>Quest Item () lvl:200, DEF: +100000, Light DEF: +100000, Dark DEF: +100000, Celestial DEF: +100000 ++X6 Celestial Damage. +-Cannot be duplicated.</v>
      </c>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t="str">
        <f>IFERROR(__xludf.DUMMYFUNCTION("""COMPUTED_VALUE"""),"Celestian Royal Chestplate")</f>
        <v>Celestian Royal Chestplate</v>
      </c>
      <c r="B399" s="1" t="str">
        <f>IFERROR(__xludf.DUMMYFUNCTION("""COMPUTED_VALUE"""),"Quest Item () lvl:200, DEF: +100000, Light DEF: +100000, Dark DEF: +100000, Celestial DEF: +100000 ++X6 Celestial Damage. +-Cannot be duplicated.")</f>
        <v>Quest Item () lvl:200, DEF: +100000, Light DEF: +100000, Dark DEF: +100000, Celestial DEF: +100000 ++X6 Celestial Damage. +-Cannot be duplicated.</v>
      </c>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t="str">
        <f>IFERROR(__xludf.DUMMYFUNCTION("""COMPUTED_VALUE"""),"Guard Chestplate")</f>
        <v>Guard Chestplate</v>
      </c>
      <c r="B400" s="1" t="str">
        <f>IFERROR(__xludf.DUMMYFUNCTION("""COMPUTED_VALUE"""),"Quest Item () lvl:200, DEF: +25000, Light DEF: +25000, Celestial DEF: +25000 +-Cannot be duplicated.")</f>
        <v>Quest Item () lvl:200, DEF: +25000, Light DEF: +25000, Celestial DEF: +25000 +-Cannot be duplicated.</v>
      </c>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t="str">
        <f>IFERROR(__xludf.DUMMYFUNCTION("""COMPUTED_VALUE"""),"Revolver")</f>
        <v>Revolver</v>
      </c>
      <c r="B401" s="1" t="str">
        <f>IFERROR(__xludf.DUMMYFUNCTION("""COMPUTED_VALUE""")," (Firearm) lvl:200, DMG: +5000, Blood DMG: +5000")</f>
        <v> (Firearm) lvl:200, DMG: +5000, Blood DMG: +5000</v>
      </c>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t="str">
        <f>IFERROR(__xludf.DUMMYFUNCTION("""COMPUTED_VALUE"""),"Musket")</f>
        <v>Musket</v>
      </c>
      <c r="B402" s="1" t="str">
        <f>IFERROR(__xludf.DUMMYFUNCTION("""COMPUTED_VALUE""")," (Firearm) lvl:400, DMG: +10000, Blood DMG: +10000")</f>
        <v> (Firearm) lvl:400, DMG: +10000, Blood DMG: +10000</v>
      </c>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t="str">
        <f>IFERROR(__xludf.DUMMYFUNCTION("""COMPUTED_VALUE"""),"Lazer Infused Railgun")</f>
        <v>Lazer Infused Railgun</v>
      </c>
      <c r="B403" s="1" t="str">
        <f>IFERROR(__xludf.DUMMYFUNCTION("""COMPUTED_VALUE""")," (Firearm) lvl:1600, DMG: +40000, Blood DMG: +40000 ++Damages all enemies, Cannot Avoid. ++Ignores defense, ++Does not need ammunition. +-Cannot be forged. ")</f>
        <v> (Firearm) lvl:1600, DMG: +40000, Blood DMG: +40000 ++Damages all enemies, Cannot Avoid. ++Ignores defense, ++Does not need ammunition. +-Cannot be forged. </v>
      </c>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t="str">
        <f>IFERROR(__xludf.DUMMYFUNCTION("""COMPUTED_VALUE"""),"Minigun")</f>
        <v>Minigun</v>
      </c>
      <c r="B404" s="1" t="str">
        <f>IFERROR(__xludf.DUMMYFUNCTION("""COMPUTED_VALUE""")," (Firearm) lvl:1200, DMG: +30000, Blood DMG: +30000 ++Damages all enemies, Cannot Avoid, Roll a d100 the turn you use this weapon to see how many bullets it shoots.")</f>
        <v> (Firearm) lvl:1200, DMG: +30000, Blood DMG: +30000 ++Damages all enemies, Cannot Avoid, Roll a d100 the turn you use this weapon to see how many bullets it shoots.</v>
      </c>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t="str">
        <f>IFERROR(__xludf.DUMMYFUNCTION("""COMPUTED_VALUE"""),"Seahorse’s Ring")</f>
        <v>Seahorse’s Ring</v>
      </c>
      <c r="B405" s="1" t="str">
        <f>IFERROR(__xludf.DUMMYFUNCTION("""COMPUTED_VALUE""")," () lvl:20, : +, Nature : +1000 ++When fishing you have a 5% chance to encounter a rare seahorse, and he will give you a unique item (Chosen by a DM/GM)")</f>
        <v> () lvl:20, : +, Nature : +1000 ++When fishing you have a 5% chance to encounter a rare seahorse, and he will give you a unique item (Chosen by a DM/GM)</v>
      </c>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t="str">
        <f>IFERROR(__xludf.DUMMYFUNCTION("""COMPUTED_VALUE"""),"Bamboo Vambraces")</f>
        <v>Bamboo Vambraces</v>
      </c>
      <c r="B406" s="1" t="str">
        <f>IFERROR(__xludf.DUMMYFUNCTION("""COMPUTED_VALUE""")," () lvl:40, DEF: +1000, Nature DEF: +1000")</f>
        <v> () lvl:40, DEF: +1000, Nature DEF: +1000</v>
      </c>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t="str">
        <f>IFERROR(__xludf.DUMMYFUNCTION("""COMPUTED_VALUE"""),"Bamboo Pauldrons")</f>
        <v>Bamboo Pauldrons</v>
      </c>
      <c r="B407" s="1" t="str">
        <f>IFERROR(__xludf.DUMMYFUNCTION("""COMPUTED_VALUE""")," () lvl:40, DEF: +1000, Nature DEF: +1000")</f>
        <v> () lvl:40, DEF: +1000, Nature DEF: +1000</v>
      </c>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t="str">
        <f>IFERROR(__xludf.DUMMYFUNCTION("""COMPUTED_VALUE"""),"Bamboo Chestplate")</f>
        <v>Bamboo Chestplate</v>
      </c>
      <c r="B408" s="1" t="str">
        <f>IFERROR(__xludf.DUMMYFUNCTION("""COMPUTED_VALUE""")," () lvl:40, DEF: +1000, Nature DEF: +1000")</f>
        <v> () lvl:40, DEF: +1000, Nature DEF: +1000</v>
      </c>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t="str">
        <f>IFERROR(__xludf.DUMMYFUNCTION("""COMPUTED_VALUE"""),"Bamboo Greaves")</f>
        <v>Bamboo Greaves</v>
      </c>
      <c r="B409" s="1" t="str">
        <f>IFERROR(__xludf.DUMMYFUNCTION("""COMPUTED_VALUE""")," () lvl:40, DEF: +1000, Nature DEF: +1000")</f>
        <v> () lvl:40, DEF: +1000, Nature DEF: +1000</v>
      </c>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t="str">
        <f>IFERROR(__xludf.DUMMYFUNCTION("""COMPUTED_VALUE"""),"Strengthened Bamboo Sword")</f>
        <v>Strengthened Bamboo Sword</v>
      </c>
      <c r="B410" s="1" t="str">
        <f>IFERROR(__xludf.DUMMYFUNCTION("""COMPUTED_VALUE""")," (Sword) lvl:40, DMG: +1000, Nature DMG: +1000 ++X4 damage for this weapon if the battle is in a Forest or Jungle.")</f>
        <v> (Sword) lvl:40, DMG: +1000, Nature DMG: +1000 ++X4 damage for this weapon if the battle is in a Forest or Jungle.</v>
      </c>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t="str">
        <f>IFERROR(__xludf.DUMMYFUNCTION("""COMPUTED_VALUE"""),"Bamboo Sandals")</f>
        <v>Bamboo Sandals</v>
      </c>
      <c r="B411" s="1" t="str">
        <f>IFERROR(__xludf.DUMMYFUNCTION("""COMPUTED_VALUE""")," () lvl:40, DEF: +1000, Nature DEF: +1000")</f>
        <v> () lvl:40, DEF: +1000, Nature DEF: +1000</v>
      </c>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t="str">
        <f>IFERROR(__xludf.DUMMYFUNCTION("""COMPUTED_VALUE"""),"Greaves of Foul Night")</f>
        <v>Greaves of Foul Night</v>
      </c>
      <c r="B412" s="1" t="str">
        <f>IFERROR(__xludf.DUMMYFUNCTION("""COMPUTED_VALUE""")," () lvl:200, DEF: +5000, Nature DEF: +5000 (Foul Night Set) ++X2 Nature and Poison damage, Poison Immunity.")</f>
        <v> () lvl:200, DEF: +5000, Nature DEF: +5000 (Foul Night Set) ++X2 Nature and Poison damage, Poison Immunity.</v>
      </c>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t="str">
        <f>IFERROR(__xludf.DUMMYFUNCTION("""COMPUTED_VALUE"""),"Vambraces of Foul Night")</f>
        <v>Vambraces of Foul Night</v>
      </c>
      <c r="B413" s="1" t="str">
        <f>IFERROR(__xludf.DUMMYFUNCTION("""COMPUTED_VALUE""")," () lvl:200, DEF: +5000, Dark DEF: +5000 (Foul Night Set) ++X2 Dark and Poison damage, Poison Immunity.")</f>
        <v> () lvl:200, DEF: +5000, Dark DEF: +5000 (Foul Night Set) ++X2 Dark and Poison damage, Poison Immunity.</v>
      </c>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t="str">
        <f>IFERROR(__xludf.DUMMYFUNCTION("""COMPUTED_VALUE"""),"Boots of Foul Night")</f>
        <v>Boots of Foul Night</v>
      </c>
      <c r="B414" s="1" t="str">
        <f>IFERROR(__xludf.DUMMYFUNCTION("""COMPUTED_VALUE""")," () lvl:200, DEF: +5000, Dark DEF: +5000 (Foul Night Set) ++X2 Dark and Poison damage, Poison Immunity.")</f>
        <v> () lvl:200, DEF: +5000, Dark DEF: +5000 (Foul Night Set) ++X2 Dark and Poison damage, Poison Immunity.</v>
      </c>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t="str">
        <f>IFERROR(__xludf.DUMMYFUNCTION("""COMPUTED_VALUE"""),"Pauldrons of Foul Night")</f>
        <v>Pauldrons of Foul Night</v>
      </c>
      <c r="B415" s="1" t="str">
        <f>IFERROR(__xludf.DUMMYFUNCTION("""COMPUTED_VALUE""")," () lvl:200, DEF: +5000, Dark DEF: +5000 (Foul Night Set) ++X2 Dark and Poison damage, Poison Immunity.")</f>
        <v> () lvl:200, DEF: +5000, Dark DEF: +5000 (Foul Night Set) ++X2 Dark and Poison damage, Poison Immunity.</v>
      </c>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t="str">
        <f>IFERROR(__xludf.DUMMYFUNCTION("""COMPUTED_VALUE"""),"Crystal Forged Pauldrons")</f>
        <v>Crystal Forged Pauldrons</v>
      </c>
      <c r="B416" s="1" t="str">
        <f>IFERROR(__xludf.DUMMYFUNCTION("""COMPUTED_VALUE""")," () lvl:200, DEF: +5000, Earth DEF: +5000 ++When equipped, Gem and Crystal related weapons deal an additional X2 damage for the user.")</f>
        <v> () lvl:200, DEF: +5000, Earth DEF: +5000 ++When equipped, Gem and Crystal related weapons deal an additional X2 damage for the user.</v>
      </c>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t="str">
        <f>IFERROR(__xludf.DUMMYFUNCTION("""COMPUTED_VALUE"""),"Crystal Forged Greaves")</f>
        <v>Crystal Forged Greaves</v>
      </c>
      <c r="B417" s="1" t="str">
        <f>IFERROR(__xludf.DUMMYFUNCTION("""COMPUTED_VALUE""")," () lvl:200, DEF: +5000, Earth DEF: +5000 ++When equipped, Gem and Crystal related weapons deal an additional X2 damage for the user.")</f>
        <v> () lvl:200, DEF: +5000, Earth DEF: +5000 ++When equipped, Gem and Crystal related weapons deal an additional X2 damage for the user.</v>
      </c>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t="str">
        <f>IFERROR(__xludf.DUMMYFUNCTION("""COMPUTED_VALUE"""),"Crystal Forged Boots")</f>
        <v>Crystal Forged Boots</v>
      </c>
      <c r="B418" s="1" t="str">
        <f>IFERROR(__xludf.DUMMYFUNCTION("""COMPUTED_VALUE""")," () lvl:200, DEF: +5000, Earth DEF: +5000 ++When equipped, Gem and Crystal related weapons deal an additional X2 damage for the user.")</f>
        <v> () lvl:200, DEF: +5000, Earth DEF: +5000 ++When equipped, Gem and Crystal related weapons deal an additional X2 damage for the user.</v>
      </c>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t="str">
        <f>IFERROR(__xludf.DUMMYFUNCTION("""COMPUTED_VALUE"""),"Crystal Forged Vambraces")</f>
        <v>Crystal Forged Vambraces</v>
      </c>
      <c r="B419" s="1" t="str">
        <f>IFERROR(__xludf.DUMMYFUNCTION("""COMPUTED_VALUE""")," () lvl:200, DEF: +5000, Earth DEF: +5000 ++When equipped, Gem and Crystal related weapons deal an additional X2 damage for the user.")</f>
        <v> () lvl:200, DEF: +5000, Earth DEF: +5000 ++When equipped, Gem and Crystal related weapons deal an additional X2 damage for the user.</v>
      </c>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t="str">
        <f>IFERROR(__xludf.DUMMYFUNCTION("""COMPUTED_VALUE"""),"Fiddle")</f>
        <v>Fiddle</v>
      </c>
      <c r="B420" s="1" t="str">
        <f>IFERROR(__xludf.DUMMYFUNCTION("""COMPUTED_VALUE""")," (Instrument) lvl:40, DMG: +2000")</f>
        <v> (Instrument) lvl:40, DMG: +2000</v>
      </c>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t="str">
        <f>IFERROR(__xludf.DUMMYFUNCTION("""COMPUTED_VALUE"""),"WyvernTail Blade")</f>
        <v>WyvernTail Blade</v>
      </c>
      <c r="B421" s="1" t="str">
        <f>IFERROR(__xludf.DUMMYFUNCTION("""COMPUTED_VALUE""")," (Sword) lvl:200, DMG: +5000, Water DMG: +5000 (Wyverntail Set) ++50% Chance to freeze the target being attacked by this weapon.")</f>
        <v> (Sword) lvl:200, DMG: +5000, Water DMG: +5000 (Wyverntail Set) ++50% Chance to freeze the target being attacked by this weapon.</v>
      </c>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t="str">
        <f>IFERROR(__xludf.DUMMYFUNCTION("""COMPUTED_VALUE"""),"WyvernTail Helm")</f>
        <v>WyvernTail Helm</v>
      </c>
      <c r="B422" s="1" t="str">
        <f>IFERROR(__xludf.DUMMYFUNCTION("""COMPUTED_VALUE""")," () lvl:200, DEF: +10000 (Wyverntail Set) ++Freeze Immunity")</f>
        <v> () lvl:200, DEF: +10000 (Wyverntail Set) ++Freeze Immunity</v>
      </c>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t="str">
        <f>IFERROR(__xludf.DUMMYFUNCTION("""COMPUTED_VALUE"""),"WyvernTail Pauldrons")</f>
        <v>WyvernTail Pauldrons</v>
      </c>
      <c r="B423" s="1" t="str">
        <f>IFERROR(__xludf.DUMMYFUNCTION("""COMPUTED_VALUE""")," () lvl:200, DEF: +10000 (Wyverntail Set) ++Freeze Immunity")</f>
        <v> () lvl:200, DEF: +10000 (Wyverntail Set) ++Freeze Immunity</v>
      </c>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t="str">
        <f>IFERROR(__xludf.DUMMYFUNCTION("""COMPUTED_VALUE"""),"WyvernTail Chestplate")</f>
        <v>WyvernTail Chestplate</v>
      </c>
      <c r="B424" s="1" t="str">
        <f>IFERROR(__xludf.DUMMYFUNCTION("""COMPUTED_VALUE""")," () lvl:200, DEF: +10000 (Wyverntail Set) ++Freeze Immunity")</f>
        <v> () lvl:200, DEF: +10000 (Wyverntail Set) ++Freeze Immunity</v>
      </c>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t="str">
        <f>IFERROR(__xludf.DUMMYFUNCTION("""COMPUTED_VALUE"""),"WyvernTail Vambraces")</f>
        <v>WyvernTail Vambraces</v>
      </c>
      <c r="B425" s="1" t="str">
        <f>IFERROR(__xludf.DUMMYFUNCTION("""COMPUTED_VALUE""")," () lvl:200, DEF: +10000 (Wyverntail Set) ++Freeze Immunity")</f>
        <v> () lvl:200, DEF: +10000 (Wyverntail Set) ++Freeze Immunity</v>
      </c>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t="str">
        <f>IFERROR(__xludf.DUMMYFUNCTION("""COMPUTED_VALUE"""),"WyvernTail Greaves")</f>
        <v>WyvernTail Greaves</v>
      </c>
      <c r="B426" s="1" t="str">
        <f>IFERROR(__xludf.DUMMYFUNCTION("""COMPUTED_VALUE""")," () lvl:200, DEF: +10000 (Wyverntail Set) ++Freeze Immunity")</f>
        <v> () lvl:200, DEF: +10000 (Wyverntail Set) ++Freeze Immunity</v>
      </c>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t="str">
        <f>IFERROR(__xludf.DUMMYFUNCTION("""COMPUTED_VALUE"""),"WyvernTail Boots")</f>
        <v>WyvernTail Boots</v>
      </c>
      <c r="B427" s="1" t="str">
        <f>IFERROR(__xludf.DUMMYFUNCTION("""COMPUTED_VALUE""")," () lvl:200, DEF: +10000 (Wyverntail Set) ++Freeze Immunity")</f>
        <v> () lvl:200, DEF: +10000 (Wyverntail Set) ++Freeze Immunity</v>
      </c>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t="str">
        <f>IFERROR(__xludf.DUMMYFUNCTION("""COMPUTED_VALUE"""),"WyvernTail Pendent")</f>
        <v>WyvernTail Pendent</v>
      </c>
      <c r="B428" s="1" t="str">
        <f>IFERROR(__xludf.DUMMYFUNCTION("""COMPUTED_VALUE""")," () lvl:1, : + (Wyverntail Set) ++When you are attacked, the enemy that attacked you has a 25% Chance to Freeze.")</f>
        <v> () lvl:1, : + (Wyverntail Set) ++When you are attacked, the enemy that attacked you has a 25% Chance to Freeze.</v>
      </c>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t="str">
        <f>IFERROR(__xludf.DUMMYFUNCTION("""COMPUTED_VALUE"""),"WyvernTail Ring")</f>
        <v>WyvernTail Ring</v>
      </c>
      <c r="B429" s="1" t="str">
        <f>IFERROR(__xludf.DUMMYFUNCTION("""COMPUTED_VALUE""")," () lvl:1, : + (Wyverntail Set) ++When you are attacked, the enemy that attacked you has a 25% Chance to Freeze. ")</f>
        <v> () lvl:1, : + (Wyverntail Set) ++When you are attacked, the enemy that attacked you has a 25% Chance to Freeze. </v>
      </c>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t="str">
        <f>IFERROR(__xludf.DUMMYFUNCTION("""COMPUTED_VALUE"""),"Sweltering Blade")</f>
        <v>Sweltering Blade</v>
      </c>
      <c r="B430" s="1" t="str">
        <f>IFERROR(__xludf.DUMMYFUNCTION("""COMPUTED_VALUE""")," (Sword) lvl:400, DMG: +5000, Fire DMG: +5000, Water DMG: +5000, Nature DMG: +5000 (Sweltering Set) ++X2 Nature, Water, and Fire Damage.")</f>
        <v> (Sword) lvl:400, DMG: +5000, Fire DMG: +5000, Water DMG: +5000, Nature DMG: +5000 (Sweltering Set) ++X2 Nature, Water, and Fire Damage.</v>
      </c>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t="str">
        <f>IFERROR(__xludf.DUMMYFUNCTION("""COMPUTED_VALUE"""),"Sweltering Helm")</f>
        <v>Sweltering Helm</v>
      </c>
      <c r="B431" s="1" t="str">
        <f>IFERROR(__xludf.DUMMYFUNCTION("""COMPUTED_VALUE""")," () lvl:400, DEF: +5000, Fire DEF: +5000, Water DEF: +5000, Nature DEF: +5000 (Sweltering Set) ++X2 Nature, Water, and Fire Damage.")</f>
        <v> () lvl:400, DEF: +5000, Fire DEF: +5000, Water DEF: +5000, Nature DEF: +5000 (Sweltering Set) ++X2 Nature, Water, and Fire Damage.</v>
      </c>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t="str">
        <f>IFERROR(__xludf.DUMMYFUNCTION("""COMPUTED_VALUE"""),"Sweltering Pauldrons")</f>
        <v>Sweltering Pauldrons</v>
      </c>
      <c r="B432" s="1" t="str">
        <f>IFERROR(__xludf.DUMMYFUNCTION("""COMPUTED_VALUE""")," () lvl:400, DEF: +5000, Fire DEF: +5000, Water DEF: +5000, Nature DEF: +5000 (Sweltering Set) ++X2 Nature, Water, and Fire Damage.")</f>
        <v> () lvl:400, DEF: +5000, Fire DEF: +5000, Water DEF: +5000, Nature DEF: +5000 (Sweltering Set) ++X2 Nature, Water, and Fire Damage.</v>
      </c>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t="str">
        <f>IFERROR(__xludf.DUMMYFUNCTION("""COMPUTED_VALUE"""),"Sweltering Chestplate")</f>
        <v>Sweltering Chestplate</v>
      </c>
      <c r="B433" s="1" t="str">
        <f>IFERROR(__xludf.DUMMYFUNCTION("""COMPUTED_VALUE""")," () lvl:400, DEF: +5000, Fire DEF: +5000, Water DEF: +5000, Nature DEF: +5000 (Sweltering Set) ++X2 Nature, Water, and Fire Damage.")</f>
        <v> () lvl:400, DEF: +5000, Fire DEF: +5000, Water DEF: +5000, Nature DEF: +5000 (Sweltering Set) ++X2 Nature, Water, and Fire Damage.</v>
      </c>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t="str">
        <f>IFERROR(__xludf.DUMMYFUNCTION("""COMPUTED_VALUE"""),"Sweltering Vambraces")</f>
        <v>Sweltering Vambraces</v>
      </c>
      <c r="B434" s="1" t="str">
        <f>IFERROR(__xludf.DUMMYFUNCTION("""COMPUTED_VALUE""")," () lvl:400, DEF: +5000, Fire DEF: +5000, Water DEF: +5000, Nature DEF: +5000 (Sweltering Set) ++X2 Nature, Water, and Fire Damage.")</f>
        <v> () lvl:400, DEF: +5000, Fire DEF: +5000, Water DEF: +5000, Nature DEF: +5000 (Sweltering Set) ++X2 Nature, Water, and Fire Damage.</v>
      </c>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t="str">
        <f>IFERROR(__xludf.DUMMYFUNCTION("""COMPUTED_VALUE"""),"Sweltering Greaves")</f>
        <v>Sweltering Greaves</v>
      </c>
      <c r="B435" s="1" t="str">
        <f>IFERROR(__xludf.DUMMYFUNCTION("""COMPUTED_VALUE""")," () lvl:400, DEF: +5000, Fire DEF: +5000, Water DEF: +5000, Nature DEF: +5000 (Sweltering Set) ++X2 Nature, Water, and Fire Damage.")</f>
        <v> () lvl:400, DEF: +5000, Fire DEF: +5000, Water DEF: +5000, Nature DEF: +5000 (Sweltering Set) ++X2 Nature, Water, and Fire Damage.</v>
      </c>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t="str">
        <f>IFERROR(__xludf.DUMMYFUNCTION("""COMPUTED_VALUE"""),"Sweltering Boots")</f>
        <v>Sweltering Boots</v>
      </c>
      <c r="B436" s="1" t="str">
        <f>IFERROR(__xludf.DUMMYFUNCTION("""COMPUTED_VALUE""")," () lvl:400, DEF: +5000, Fire DEF: +5000, Water DEF: +5000, Nature DEF: +5000 (Sweltering Set) ++X2 Nature, Water, and Fire Damage.")</f>
        <v> () lvl:400, DEF: +5000, Fire DEF: +5000, Water DEF: +5000, Nature DEF: +5000 (Sweltering Set) ++X2 Nature, Water, and Fire Damage.</v>
      </c>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t="str">
        <f>IFERROR(__xludf.DUMMYFUNCTION("""COMPUTED_VALUE"""),"Sweltering Pendent")</f>
        <v>Sweltering Pendent</v>
      </c>
      <c r="B437" s="1" t="str">
        <f>IFERROR(__xludf.DUMMYFUNCTION("""COMPUTED_VALUE""")," () lvl:1, : + (Sweltering Set) ++Fire, Nature, and Water immunity.")</f>
        <v> () lvl:1, : + (Sweltering Set) ++Fire, Nature, and Water immunity.</v>
      </c>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t="str">
        <f>IFERROR(__xludf.DUMMYFUNCTION("""COMPUTED_VALUE"""),"Sweltering Ring")</f>
        <v>Sweltering Ring</v>
      </c>
      <c r="B438" s="1" t="str">
        <f>IFERROR(__xludf.DUMMYFUNCTION("""COMPUTED_VALUE""")," () lvl:1, : + (Sweltering Set) ++Fire, Nature, and Water immunity.")</f>
        <v> () lvl:1, : + (Sweltering Set) ++Fire, Nature, and Water immunity.</v>
      </c>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t="str">
        <f>IFERROR(__xludf.DUMMYFUNCTION("""COMPUTED_VALUE"""),"Reinforced Tortoise Shell")</f>
        <v>Reinforced Tortoise Shell</v>
      </c>
      <c r="B439" s="1" t="str">
        <f>IFERROR(__xludf.DUMMYFUNCTION("""COMPUTED_VALUE""")," () lvl:400, DEF: +10000, Water DEF: +5000, Light DEF: +5000 ++X2 Defense for the wearer. +-Cannot be Duplicated.")</f>
        <v> () lvl:400, DEF: +10000, Water DEF: +5000, Light DEF: +5000 ++X2 Defense for the wearer. +-Cannot be Duplicated.</v>
      </c>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t="str">
        <f>IFERROR(__xludf.DUMMYFUNCTION("""COMPUTED_VALUE"""),"Tortoise Shell Shield")</f>
        <v>Tortoise Shell Shield</v>
      </c>
      <c r="B440" s="1" t="str">
        <f>IFERROR(__xludf.DUMMYFUNCTION("""COMPUTED_VALUE""")," (Towershield) lvl:400, DEF: +20000 ++X2 Defense for the wearer. +-Cannot be Duplicated.")</f>
        <v> (Towershield) lvl:400, DEF: +20000 ++X2 Defense for the wearer. +-Cannot be Duplicated.</v>
      </c>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t="str">
        <f>IFERROR(__xludf.DUMMYFUNCTION("""COMPUTED_VALUE"""),"Stone of the Summit")</f>
        <v>Stone of the Summit</v>
      </c>
      <c r="B441" s="1" t="str">
        <f>IFERROR(__xludf.DUMMYFUNCTION("""COMPUTED_VALUE""")," () lvl:1, : + ++X2 additional damage towards weapons for the user.")</f>
        <v> () lvl:1, : + ++X2 additional damage towards weapons for the user.</v>
      </c>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t="str">
        <f>IFERROR(__xludf.DUMMYFUNCTION("""COMPUTED_VALUE"""),"Deep Blue Pearl")</f>
        <v>Deep Blue Pearl</v>
      </c>
      <c r="B442" s="1" t="str">
        <f>IFERROR(__xludf.DUMMYFUNCTION("""COMPUTED_VALUE"""),"A rare pearl found deep within the ocean of Dragonscale Island. () lvl:200, DEF: +10000 ++Water Immunity. ++Water damage dealt by you gives you sp back equal half the damage caused.")</f>
        <v>A rare pearl found deep within the ocean of Dragonscale Island. () lvl:200, DEF: +10000 ++Water Immunity. ++Water damage dealt by you gives you sp back equal half the damage caused.</v>
      </c>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t="str">
        <f>IFERROR(__xludf.DUMMYFUNCTION("""COMPUTED_VALUE"""),"Tempests Lightning Rod")</f>
        <v>Tempests Lightning Rod</v>
      </c>
      <c r="B443" s="1" t="str">
        <f>IFERROR(__xludf.DUMMYFUNCTION("""COMPUTED_VALUE""")," (Spear) lvl:600, DMG: +10000, Water DMG: +10000, Storm DMG: +10000 ++X4 additional Storm Damage for the user, ++You may attack up to 3 times with this weapon in 1 turn, Roll a d3 to determine how many attacks this weapon does.")</f>
        <v> (Spear) lvl:600, DMG: +10000, Water DMG: +10000, Storm DMG: +10000 ++X4 additional Storm Damage for the user, ++You may attack up to 3 times with this weapon in 1 turn, Roll a d3 to determine how many attacks this weapon does.</v>
      </c>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t="str">
        <f>IFERROR(__xludf.DUMMYFUNCTION("""COMPUTED_VALUE"""),"Sword of Mystic Vagility")</f>
        <v>Sword of Mystic Vagility</v>
      </c>
      <c r="B444" s="1" t="str">
        <f>IFERROR(__xludf.DUMMYFUNCTION("""COMPUTED_VALUE""")," (Sword) lvl:200, DMG: +50000, Celestial DMG: +50000 ++5 to d20 rolls, ++2 Evasion, ++2 Mobility. +-Cannot be duplicated.")</f>
        <v> (Sword) lvl:200, DMG: +50000, Celestial DMG: +50000 ++5 to d20 rolls, ++2 Evasion, ++2 Mobility. +-Cannot be duplicated.</v>
      </c>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t="str">
        <f>IFERROR(__xludf.DUMMYFUNCTION("""COMPUTED_VALUE"""),".50 Caliber Machine Gun (car)")</f>
        <v>.50 Caliber Machine Gun (car)</v>
      </c>
      <c r="B445" s="1" t="str">
        <f>IFERROR(__xludf.DUMMYFUNCTION("""COMPUTED_VALUE""")," (Firearm) lvl:400, DMG: +20000 ++Roll a d500 to see how many bullets are used when you attack with this weapon. +-Uses bullets. ++Damages 2 targets. ++Cannot Avoid.")</f>
        <v> (Firearm) lvl:400, DMG: +20000 ++Roll a d500 to see how many bullets are used when you attack with this weapon. +-Uses bullets. ++Damages 2 targets. ++Cannot Avoid.</v>
      </c>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t="str">
        <f>IFERROR(__xludf.DUMMYFUNCTION("""COMPUTED_VALUE"""),"Auto Turret")</f>
        <v>Auto Turret</v>
      </c>
      <c r="B446" s="1" t="str">
        <f>IFERROR(__xludf.DUMMYFUNCTION("""COMPUTED_VALUE""")," (Firearm) lvl:800, DMG: +40000 ++Does not take an action to use, Acts as if it has a turn order of its own. ++Has unlimited bullets. +-Uses bullets ++Roll a d1000 to see how many bullets are used. ++Damages all targets. ++Cannot avoid.")</f>
        <v> (Firearm) lvl:800, DMG: +40000 ++Does not take an action to use, Acts as if it has a turn order of its own. ++Has unlimited bullets. +-Uses bullets ++Roll a d1000 to see how many bullets are used. ++Damages all targets. ++Cannot avoid.</v>
      </c>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t="str">
        <f>IFERROR(__xludf.DUMMYFUNCTION("""COMPUTED_VALUE"""),"Lazer Infused Cannon")</f>
        <v>Lazer Infused Cannon</v>
      </c>
      <c r="B447" s="1" t="str">
        <f>IFERROR(__xludf.DUMMYFUNCTION("""COMPUTED_VALUE""")," (Firearm) lvl:5000, DMG: +, Fire DMG: +250000 ++Does not use Ammunition. ++Cannot avoid, ++Damages all enemies.")</f>
        <v> (Firearm) lvl:5000, DMG: +, Fire DMG: +250000 ++Does not use Ammunition. ++Cannot avoid, ++Damages all enemies.</v>
      </c>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t="str">
        <f>IFERROR(__xludf.DUMMYFUNCTION("""COMPUTED_VALUE"""),"Roof Mounted Turret")</f>
        <v>Roof Mounted Turret</v>
      </c>
      <c r="B448" s="1" t="str">
        <f>IFERROR(__xludf.DUMMYFUNCTION("""COMPUTED_VALUE""")," (Firearm) lvl:500, DMG: +25000 ++Roll a d500 to see how many bullets are used when you attack with this weapon. +-Uses bullets ++Damages up to 2 targets.")</f>
        <v> (Firearm) lvl:500, DMG: +25000 ++Roll a d500 to see how many bullets are used when you attack with this weapon. +-Uses bullets ++Damages up to 2 targets.</v>
      </c>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t="str">
        <f>IFERROR(__xludf.DUMMYFUNCTION("""COMPUTED_VALUE"""),".50 Caliber Machine Gun (boat)")</f>
        <v>.50 Caliber Machine Gun (boat)</v>
      </c>
      <c r="B449" s="1" t="str">
        <f>IFERROR(__xludf.DUMMYFUNCTION("""COMPUTED_VALUE""")," (Firearm) lvl:500, DMG: +25000 ++Roll a d500 to see how many bullets are used when you attack with this weapon. +-Uses bullets")</f>
        <v> (Firearm) lvl:500, DMG: +25000 ++Roll a d500 to see how many bullets are used when you attack with this weapon. +-Uses bullets</v>
      </c>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t="str">
        <f>IFERROR(__xludf.DUMMYFUNCTION("""COMPUTED_VALUE"""),"Missile Turret (car)")</f>
        <v>Missile Turret (car)</v>
      </c>
      <c r="B450" s="1" t="str">
        <f>IFERROR(__xludf.DUMMYFUNCTION("""COMPUTED_VALUE""")," (Firearm) lvl:2000, DMG: +50000, Fire DMG: +50000 ++Damages all enemies. +-Uses Missiles.")</f>
        <v> (Firearm) lvl:2000, DMG: +50000, Fire DMG: +50000 ++Damages all enemies. +-Uses Missiles.</v>
      </c>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t="str">
        <f>IFERROR(__xludf.DUMMYFUNCTION("""COMPUTED_VALUE"""),"Missile Turret (boat)")</f>
        <v>Missile Turret (boat)</v>
      </c>
      <c r="B451" s="1" t="str">
        <f>IFERROR(__xludf.DUMMYFUNCTION("""COMPUTED_VALUE""")," (Firearm) lvl:2000, DMG: +50000, Fire DMG: +50000 ++Damages all enemies. +-Uses Missiles.")</f>
        <v> (Firearm) lvl:2000, DMG: +50000, Fire DMG: +50000 ++Damages all enemies. +-Uses Missiles.</v>
      </c>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t="str">
        <f>IFERROR(__xludf.DUMMYFUNCTION("""COMPUTED_VALUE"""),"Royal Sword of Dragonia")</f>
        <v>Royal Sword of Dragonia</v>
      </c>
      <c r="B452" s="1" t="str">
        <f>IFERROR(__xludf.DUMMYFUNCTION("""COMPUTED_VALUE""")," (Sword) lvl:200, DMG: +50000, Fire DMG: +50000, Order DMG: +50000, Blood DMG: +25000, Celestial DMG: +25000 ++Dragons Luck II: If you have a dragon companion with you during the current battle add ++5 to your turn order roll. +-Cannot be forged +-Cannot "&amp;"be duplicated")</f>
        <v> (Sword) lvl:200, DMG: +50000, Fire DMG: +50000, Order DMG: +50000, Blood DMG: +25000, Celestial DMG: +25000 ++Dragons Luck II: If you have a dragon companion with you during the current battle add ++5 to your turn order roll. +-Cannot be forged +-Cannot be duplicated</v>
      </c>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t="str">
        <f>IFERROR(__xludf.DUMMYFUNCTION("""COMPUTED_VALUE"""),"Dragonian Helm")</f>
        <v>Dragonian Helm</v>
      </c>
      <c r="B453" s="1" t="str">
        <f>IFERROR(__xludf.DUMMYFUNCTION("""COMPUTED_VALUE""")," (Sword) lvl:200, DEF: +50000, Fire DEF: +50000, Order DEF: +50000, Blood DEF: +25000, Celestial DEF: +25000 ++Dragons Armor: Damage dealt to the wearer by a dragon becomes halved. +-Cannot be forged +-Cannot be duplicated")</f>
        <v> (Sword) lvl:200, DEF: +50000, Fire DEF: +50000, Order DEF: +50000, Blood DEF: +25000, Celestial DEF: +25000 ++Dragons Armor: Damage dealt to the wearer by a dragon becomes halved. +-Cannot be forged +-Cannot be duplicated</v>
      </c>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t="str">
        <f>IFERROR(__xludf.DUMMYFUNCTION("""COMPUTED_VALUE"""),"Dragonian Pauldrons")</f>
        <v>Dragonian Pauldrons</v>
      </c>
      <c r="B454" s="1" t="str">
        <f>IFERROR(__xludf.DUMMYFUNCTION("""COMPUTED_VALUE""")," () lvl:200, DEF: +50000, Fire DEF: +50000, Order DEF: +50000, Blood DEF: +25000, Celestial DEF: +25000 ++Dragons Armor: Damage dealt to the wearer by a dragon becomes halved. +-Cannot be forged +-Cannot be duplicated")</f>
        <v> () lvl:200, DEF: +50000, Fire DEF: +50000, Order DEF: +50000, Blood DEF: +25000, Celestial DEF: +25000 ++Dragons Armor: Damage dealt to the wearer by a dragon becomes halved. +-Cannot be forged +-Cannot be duplicated</v>
      </c>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t="str">
        <f>IFERROR(__xludf.DUMMYFUNCTION("""COMPUTED_VALUE"""),"Dragonian Chestplate")</f>
        <v>Dragonian Chestplate</v>
      </c>
      <c r="B455" s="1" t="str">
        <f>IFERROR(__xludf.DUMMYFUNCTION("""COMPUTED_VALUE""")," () lvl:200, DEF: +50000, Fire DEF: +50000, Order DEF: +50000, Blood DEF: +25000, Celestial DEF: +25000 ++Dragons Armor: Damage dealt to the wearer by a dragon becomes halved. +-Cannot be forged +-Cannot be duplicated")</f>
        <v> () lvl:200, DEF: +50000, Fire DEF: +50000, Order DEF: +50000, Blood DEF: +25000, Celestial DEF: +25000 ++Dragons Armor: Damage dealt to the wearer by a dragon becomes halved. +-Cannot be forged +-Cannot be duplicated</v>
      </c>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t="str">
        <f>IFERROR(__xludf.DUMMYFUNCTION("""COMPUTED_VALUE"""),"Dragonian Vambraces")</f>
        <v>Dragonian Vambraces</v>
      </c>
      <c r="B456" s="1" t="str">
        <f>IFERROR(__xludf.DUMMYFUNCTION("""COMPUTED_VALUE""")," () lvl:200, DEF: +50000, Fire DEF: +50000, Order DEF: +50000, Blood DEF: +25000, Celestial DEF: +25000 ++Dragons Armor: Damage dealt to the wearer by a dragon becomes halved. +-Cannot be forged +-Cannot be duplicated")</f>
        <v> () lvl:200, DEF: +50000, Fire DEF: +50000, Order DEF: +50000, Blood DEF: +25000, Celestial DEF: +25000 ++Dragons Armor: Damage dealt to the wearer by a dragon becomes halved. +-Cannot be forged +-Cannot be duplicated</v>
      </c>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t="str">
        <f>IFERROR(__xludf.DUMMYFUNCTION("""COMPUTED_VALUE"""),"Dragonian Greaves")</f>
        <v>Dragonian Greaves</v>
      </c>
      <c r="B457" s="1" t="str">
        <f>IFERROR(__xludf.DUMMYFUNCTION("""COMPUTED_VALUE""")," () lvl:200, DEF: +50000, Fire DEF: +50000, Order DEF: +50000, Blood DEF: +25000, Celestial DEF: +25000 ++Dragons Armor: Damage dealt to the wearer by a dragon becomes halved. +-Cannot be forged +-Cannot be duplicated")</f>
        <v> () lvl:200, DEF: +50000, Fire DEF: +50000, Order DEF: +50000, Blood DEF: +25000, Celestial DEF: +25000 ++Dragons Armor: Damage dealt to the wearer by a dragon becomes halved. +-Cannot be forged +-Cannot be duplicated</v>
      </c>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t="str">
        <f>IFERROR(__xludf.DUMMYFUNCTION("""COMPUTED_VALUE"""),"Dragonian Boots")</f>
        <v>Dragonian Boots</v>
      </c>
      <c r="B458" s="1" t="str">
        <f>IFERROR(__xludf.DUMMYFUNCTION("""COMPUTED_VALUE""")," () lvl:200, DEF: +50000, Fire DEF: +50000, Order DEF: +50000, Blood DEF: +25000, Celestial DEF: +25000 ++Dragons Armor: Damage dealt to the wearer by a dragon becomes halved. +-Cannot be forged +-Cannot be duplicated")</f>
        <v> () lvl:200, DEF: +50000, Fire DEF: +50000, Order DEF: +50000, Blood DEF: +25000, Celestial DEF: +25000 ++Dragons Armor: Damage dealt to the wearer by a dragon becomes halved. +-Cannot be forged +-Cannot be duplicated</v>
      </c>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t="str">
        <f>IFERROR(__xludf.DUMMYFUNCTION("""COMPUTED_VALUE"""),"Dragonian Pendent")</f>
        <v>Dragonian Pendent</v>
      </c>
      <c r="B459" s="1" t="str">
        <f>IFERROR(__xludf.DUMMYFUNCTION("""COMPUTED_VALUE""")," () lvl:200, DEF: +, Celestial DEF: +15000 ++Dragon Dealer: Damage dealt to dragons by the wearer is increased by X4. +-Cannot be forged +-Cannot be duplicated")</f>
        <v> () lvl:200, DEF: +, Celestial DEF: +15000 ++Dragon Dealer: Damage dealt to dragons by the wearer is increased by X4. +-Cannot be forged +-Cannot be duplicated</v>
      </c>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t="str">
        <f>IFERROR(__xludf.DUMMYFUNCTION("""COMPUTED_VALUE"""),"Dragonian Ring")</f>
        <v>Dragonian Ring</v>
      </c>
      <c r="B460" s="1" t="str">
        <f>IFERROR(__xludf.DUMMYFUNCTION("""COMPUTED_VALUE""")," () lvl:200, DEF: +, Celestial DEF: +15000 ++Dragon Dealer: Damage dealt to dragons by the wearer is increased by X4. +-Cannot be forged +-Cannot be duplicated")</f>
        <v> () lvl:200, DEF: +, Celestial DEF: +15000 ++Dragon Dealer: Damage dealt to dragons by the wearer is increased by X4. +-Cannot be forged +-Cannot be duplicated</v>
      </c>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t="str">
        <f>IFERROR(__xludf.DUMMYFUNCTION("""COMPUTED_VALUE"""),"Fishing Pole of Luck and Power")</f>
        <v>Fishing Pole of Luck and Power</v>
      </c>
      <c r="B461" s="1" t="str">
        <f>IFERROR(__xludf.DUMMYFUNCTION("""COMPUTED_VALUE""")," (Club) lvl:1600, DMG: +20000, Fire DMG: +20000, Water DMG: +20000, Storm DMG: +20000 ++Can be used as a weapon or to fish, Will cook fish that are caught. ++When you deal damage to a target with this item it will have a 50% chance to remove them from bat"&amp;"tle.")</f>
        <v> (Club) lvl:1600, DMG: +20000, Fire DMG: +20000, Water DMG: +20000, Storm DMG: +20000 ++Can be used as a weapon or to fish, Will cook fish that are caught. ++When you deal damage to a target with this item it will have a 50% chance to remove them from battle.</v>
      </c>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t="str">
        <f>IFERROR(__xludf.DUMMYFUNCTION("""COMPUTED_VALUE"""),"Ancient Oni Pauldrons")</f>
        <v>Ancient Oni Pauldrons</v>
      </c>
      <c r="B462" s="1"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damage for all elements. +-Only Samurai's, Monks, and Ninjas can equip. +-Cannot be forged +-Cannot be duplicated")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t="str">
        <f>IFERROR(__xludf.DUMMYFUNCTION("""COMPUTED_VALUE"""),"Ancient Oni Vambraces")</f>
        <v>Ancient Oni Vambraces</v>
      </c>
      <c r="B463" s="1"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additional damage for all elements. +-Only Samurai's, Monks, and Ninjas can equip. +-Cannot be forged +-Cannot be duplicated")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t="str">
        <f>IFERROR(__xludf.DUMMYFUNCTION("""COMPUTED_VALUE"""),"Ancient Oni Greaves")</f>
        <v>Ancient Oni Greaves</v>
      </c>
      <c r="B464" s="1"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additional damage for all elements. +-Only Samurai's, Monks, and Ninjas can equip. +-Cannot be forged +-Cannot be duplicated")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t="str">
        <f>IFERROR(__xludf.DUMMYFUNCTION("""COMPUTED_VALUE"""),"Ancient Oni Boots")</f>
        <v>Ancient Oni Boots</v>
      </c>
      <c r="B465" s="1"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additional damage for all elements. +-Only Samurai's, Monks, and Ninjas can equip. +-Cannot be forged +-Cannot be duplicated")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t="str">
        <f>IFERROR(__xludf.DUMMYFUNCTION("""COMPUTED_VALUE"""),"Ancient Oni Katana")</f>
        <v>Ancient Oni Katana</v>
      </c>
      <c r="B466" s="1" t="str">
        <f>IFERROR(__xludf.DUMMYFUNCTION("""COMPUTED_VALUE"""),"An ancient relic to Zhenmay (Sword) lvl:200, DMG: +10000, Fire DMG: +10000, Physical DMG: +10000, Water DMG: +10000, Storm DMG: +10000, Earth DMG: +10000, Light DMG: +10000, Dark DMG: +10000, Spirit DMG: +10000, Order DMG: +10000, Chaos DMG: +10000, Natur"&amp;"e DMG: +10000, Voodoo DMG: +10000, Blood DMG: +10000, Astral DMG: +10000, Celestial DMG: +10000 ++X2 additional damage for all elements. +-Only Samurai's, Monks, and Ninjas can equip. +-Cannot be forged +-Cannot be duplicated")</f>
        <v>An ancient relic to Zhenmay (Sword) lvl:200, 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t="str">
        <f>IFERROR(__xludf.DUMMYFUNCTION("""COMPUTED_VALUE"""),"The Grand Staff of Evil Flames")</f>
        <v>The Grand Staff of Evil Flames</v>
      </c>
      <c r="B467" s="1" t="str">
        <f>IFERROR(__xludf.DUMMYFUNCTION("""COMPUTED_VALUE""")," (Staff) lvl:1200, DMG: +, Fire DMG: +20000, Dark DMG: +20000, Chaos DMG: +20000 ++X4 additional Dark, Fire, and Chaos damage for the user while equipped. +-Cannot be duplicated")</f>
        <v> (Staff) lvl:1200, DMG: +, Fire DMG: +20000, Dark DMG: +20000, Chaos DMG: +20000 ++X4 additional Dark, Fire, and Chaos damage for the user while equipped. +-Cannot be duplicated</v>
      </c>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t="str">
        <f>IFERROR(__xludf.DUMMYFUNCTION("""COMPUTED_VALUE"""),"Soul Sword of The Endless Realm")</f>
        <v>Soul Sword of The Endless Realm</v>
      </c>
      <c r="B468" s="1" t="str">
        <f>IFERROR(__xludf.DUMMYFUNCTION("""COMPUTED_VALUE""")," (Sword) lvl:200, DMG: +150000, Dark DMG: +150000, Celestial DMG: +150000 ++While equipped if you have other soul related items equipped this sword will deal X8 additional damage, ++SP Steal: Gain SP back equal to the damage caused with this weapon. +-Can"&amp;"not be duplicated.")</f>
        <v> (Sword) lvl:200, DMG: +150000, Dark DMG: +150000, Celestial DMG: +150000 ++While equipped if you have other soul related items equipped this sword will deal X8 additional damage, ++SP Steal: Gain SP back equal to the damage caused with this weapon. +-Cannot be duplicated.</v>
      </c>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t="str">
        <f>IFERROR(__xludf.DUMMYFUNCTION("""COMPUTED_VALUE"""),"Rat King's Crown")</f>
        <v>Rat King's Crown</v>
      </c>
      <c r="B469" s="1" t="str">
        <f>IFERROR(__xludf.DUMMYFUNCTION("""COMPUTED_VALUE""")," () lvl:1000, DEF: +50000 ++If you or a party member dies this crown will summon a d2 of Lava Rats, Level determined by DM/GM, This effect can only be applied once per battle. +-Cannot be duplicated.")</f>
        <v> () lvl:1000, DEF: +50000 ++If you or a party member dies this crown will summon a d2 of Lava Rats, Level determined by DM/GM, This effect can only be applied once per battle. +-Cannot be duplicated.</v>
      </c>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t="str">
        <f>IFERROR(__xludf.DUMMYFUNCTION("""COMPUTED_VALUE"""),"Vermouth's Crown of Tides")</f>
        <v>Vermouth's Crown of Tides</v>
      </c>
      <c r="B470" s="1" t="str">
        <f>IFERROR(__xludf.DUMMYFUNCTION("""COMPUTED_VALUE"""),"A magical artifact that grants control over water and weather, allowing the wearer to manipulate aquatic elements. () lvl:700, DEF: +25000, Water DEF: +10000 ++Immunity to Water damage. ++X2 Additional Water damage for the user.")</f>
        <v>A magical artifact that grants control over water and weather, allowing the wearer to manipulate aquatic elements. () lvl:700, DEF: +25000, Water DEF: +10000 ++Immunity to Water damage. ++X2 Additional Water damage for the user.</v>
      </c>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t="str">
        <f>IFERROR(__xludf.DUMMYFUNCTION("""COMPUTED_VALUE"""),"ChronoMech Enigma")</f>
        <v>ChronoMech Enigma</v>
      </c>
      <c r="B471" s="1" t="str">
        <f>IFERROR(__xludf.DUMMYFUNCTION("""COMPUTED_VALUE"""),"A clockwork device that grants unique abilities. () lvl:200, DEF: +10000 ++Allows you to change the time of day to day or night. Can only be used once per journey while traveling. ++Fail/Succeed. +-Cannot be duplicated.")</f>
        <v>A clockwork device that grants unique abilities. () lvl:200, DEF: +10000 ++Allows you to change the time of day to day or night. Can only be used once per journey while traveling. ++Fail/Succeed. +-Cannot be duplicated.</v>
      </c>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t="str">
        <f>IFERROR(__xludf.DUMMYFUNCTION("""COMPUTED_VALUE"""),"Royal Sword of The Halloween Kingdom")</f>
        <v>Royal Sword of The Halloween Kingdom</v>
      </c>
      <c r="B472" s="1" t="str">
        <f>IFERROR(__xludf.DUMMYFUNCTION("""COMPUTED_VALUE"""),"Halloween Exclusive (Sword) lvl:200, DMG: +50000, Fire DMG: +20000, Dark DMG: +20000, Spirit DMG: +20000, Chaos DMG: +20000, Stasis DMG: +20000, Twilight DMG: +20000, Voodoo DMG: +20000, Blood DMG: +20000, Celestial DMG: +20000 ++Hallows Guidance: +5 can "&amp;"be added to your d20 rolls, ++Royal Shadows of the Halloween Kingdom: 25% chance to cast conceal for no sp cost after successfully attacking an enemy with this weapon. +-Cannot be forged +-Cannot be duplicated")</f>
        <v>Halloween Exclusive (Sword) lvl:200, 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t="str">
        <f>IFERROR(__xludf.DUMMYFUNCTION("""COMPUTED_VALUE"""),"Royal Shield of The Halloween Kingdom")</f>
        <v>Royal Shield of The Halloween Kingdom</v>
      </c>
      <c r="B473" s="1" t="str">
        <f>IFERROR(__xludf.DUMMYFUNCTION("""COMPUTED_VALUE"""),"Halloween Exclusive (Towershield) lvl:200, DEF: +50000, Fire DEF: +20000, Dark DEF: +20000, Spirit DEF: +20000, Chaos DEF: +20000, Stasis DEF: +20000, Twilight DEF: +20000, Voodoo DEF: +20000, Blood DEF: +20000, Celestial DEF: +20000 ++Royal Ward of The H"&amp;"alloween Kingdom: 25% chance to be unaffected by a weapon attack. ++Pumpkin Thorns: 25% chance to inflict half the damage dealt to you back to the enemy. +-Cannot be forged +-Cannot be duplicated")</f>
        <v>Halloween Exclusive (Towershield) lvl:200, 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t="str">
        <f>IFERROR(__xludf.DUMMYFUNCTION("""COMPUTED_VALUE"""),"Sacred Flaming Pearl")</f>
        <v>Sacred Flaming Pearl</v>
      </c>
      <c r="B474" s="1" t="str">
        <f>IFERROR(__xludf.DUMMYFUNCTION("""COMPUTED_VALUE"""),"Quest item. () lvl:1, : + ++X4 additional fire damage for the user. +-Cannot be duplicated.")</f>
        <v>Quest item. () lvl:1, : + ++X4 additional fire damage for the user. +-Cannot be duplicated.</v>
      </c>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t="str">
        <f>IFERROR(__xludf.DUMMYFUNCTION("""COMPUTED_VALUE"""),"DragonScale Royal Helm")</f>
        <v>DragonScale Royal Helm</v>
      </c>
      <c r="B475" s="1" t="str">
        <f>IFERROR(__xludf.DUMMYFUNCTION("""COMPUTED_VALUE""")," () lvl:200, DEF: +40000, Dark DEF: +10000, Chaos DEF: +10000, Celestial DEF: +10000 ++X2 Defense for the Wearer. ++Light Embodiment - When Equipped deal X2 Order and Light DMG ")</f>
        <v> () lvl:200, DEF: +40000, Dark DEF: +10000, Chaos DEF: +10000, Celestial DEF: +10000 ++X2 Defense for the Wearer. ++Light Embodiment - When Equipped deal X2 Order and Light DMG </v>
      </c>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t="str">
        <f>IFERROR(__xludf.DUMMYFUNCTION("""COMPUTED_VALUE"""),"DragonScale Royal Chestplate")</f>
        <v>DragonScale Royal Chestplate</v>
      </c>
      <c r="B476" s="1" t="str">
        <f>IFERROR(__xludf.DUMMYFUNCTION("""COMPUTED_VALUE""")," () lvl:200, DEF: +20000, Water DEF: +5000, Dark DEF: +10000, Chaos DEF: +10000, Celestial DEF: +10000 ++X4 Defense for the Wearer. ++Light Embodiment II - When Equipped deal X4 Order and Light DMG ")</f>
        <v> () lvl:200, DEF: +20000, Water DEF: +5000, Dark DEF: +10000, Chaos DEF: +10000, Celestial DEF: +10000 ++X4 Defense for the Wearer. ++Light Embodiment II - When Equipped deal X4 Order and Light DMG </v>
      </c>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t="str">
        <f>IFERROR(__xludf.DUMMYFUNCTION("""COMPUTED_VALUE"""),"DragonScale Royal Vambraces")</f>
        <v>DragonScale Royal Vambraces</v>
      </c>
      <c r="B477" s="1" t="str">
        <f>IFERROR(__xludf.DUMMYFUNCTION("""COMPUTED_VALUE""")," () lvl:200, DEF: +10000, Dark DEF: +10000, Chaos DEF: +10000, Celestial DEF: +10000 ++X2 Defense for the Wearer. ++Light Embodiment - When Equipped deal X2 Order and Light DMG ")</f>
        <v> () lvl:200, DEF: +10000, Dark DEF: +10000, Chaos DEF: +10000, Celestial DEF: +10000 ++X2 Defense for the Wearer. ++Light Embodiment - When Equipped deal X2 Order and Light DMG </v>
      </c>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t="str">
        <f>IFERROR(__xludf.DUMMYFUNCTION("""COMPUTED_VALUE"""),"DragonScale Royal Greaves")</f>
        <v>DragonScale Royal Greaves</v>
      </c>
      <c r="B478" s="1" t="str">
        <f>IFERROR(__xludf.DUMMYFUNCTION("""COMPUTED_VALUE""")," () lvl:200, DEF: +10000, Dark DEF: +10000, Chaos DEF: +10000, Celestial DEF: +10000 ++X2 Defense for the Wearer. ++Light Embodiment - When Equipped deal X2 Order and Light DMG ")</f>
        <v> () lvl:200, DEF: +10000, Dark DEF: +10000, Chaos DEF: +10000, Celestial DEF: +10000 ++X2 Defense for the Wearer. ++Light Embodiment - When Equipped deal X2 Order and Light DMG </v>
      </c>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t="str">
        <f>IFERROR(__xludf.DUMMYFUNCTION("""COMPUTED_VALUE"""),"DragonScale Royal Shield")</f>
        <v>DragonScale Royal Shield</v>
      </c>
      <c r="B479" s="1" t="str">
        <f>IFERROR(__xludf.DUMMYFUNCTION("""COMPUTED_VALUE""")," (Towershield) lvl:200, DEF: +55000, Dark DEF: +20000, Chaos DEF: +20000, Celestial DEF: +10000 ++X2 Defense for the Wearer. ++Light Embodiment - When Equipped deal X2 Order and Light DMG ")</f>
        <v> (Towershield) lvl:200, DEF: +55000, Dark DEF: +20000, Chaos DEF: +20000, Celestial DEF: +10000 ++X2 Defense for the Wearer. ++Light Embodiment - When Equipped deal X2 Order and Light DMG </v>
      </c>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t="str">
        <f>IFERROR(__xludf.DUMMYFUNCTION("""COMPUTED_VALUE"""),"DragonScale Royal Boots")</f>
        <v>DragonScale Royal Boots</v>
      </c>
      <c r="B480" s="1" t="str">
        <f>IFERROR(__xludf.DUMMYFUNCTION("""COMPUTED_VALUE""")," () lvl:200, DEF: +22000, Dark DEF: +10000, Chaos DEF: +10000, Celestial DEF: +10000 ++X2 Defense for the Wearer. ++Light Embodiment - When Equipped deal X2 Order and Light DMG ")</f>
        <v> () lvl:200, DEF: +22000, Dark DEF: +10000, Chaos DEF: +10000, Celestial DEF: +10000 ++X2 Defense for the Wearer. ++Light Embodiment - When Equipped deal X2 Order and Light DMG </v>
      </c>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t="str">
        <f>IFERROR(__xludf.DUMMYFUNCTION("""COMPUTED_VALUE"""),"DragonScale Royal Pauldrons")</f>
        <v>DragonScale Royal Pauldrons</v>
      </c>
      <c r="B481" s="1" t="str">
        <f>IFERROR(__xludf.DUMMYFUNCTION("""COMPUTED_VALUE""")," () lvl:200, DEF: +20000, Dark DEF: +10000, Chaos DEF: +10000, Celestial DEF: +10000 ++X2 Defense for the Wearer. ++Light Embodiment - When Equipped deal X2 Order and Light DMG ")</f>
        <v> () lvl:200, DEF: +20000, Dark DEF: +10000, Chaos DEF: +10000, Celestial DEF: +10000 ++X2 Defense for the Wearer. ++Light Embodiment - When Equipped deal X2 Order and Light DMG </v>
      </c>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t="str">
        <f>IFERROR(__xludf.DUMMYFUNCTION("""COMPUTED_VALUE"""),"BLADE! OF! JUSTICE!!!!")</f>
        <v>BLADE! OF! JUSTICE!!!!</v>
      </c>
      <c r="B482" s="1" t="str">
        <f>IFERROR(__xludf.DUMMYFUNCTION("""COMPUTED_VALUE""")," (Sword) lvl:200, DMG: +100000, Light DMG: +10000, Order DMG: +10000, Celestial DMG: +10000 ++This Weapon will deal X4 damage while equipped against Criminals. ++Light Embodiment II - When Equipped deal X4 Order and Light DMG ")</f>
        <v> (Sword) lvl:200, DMG: +100000, Light DMG: +10000, Order DMG: +10000, Celestial DMG: +10000 ++This Weapon will deal X4 damage while equipped against Criminals. ++Light Embodiment II - When Equipped deal X4 Order and Light DMG </v>
      </c>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t="str">
        <f>IFERROR(__xludf.DUMMYFUNCTION("""COMPUTED_VALUE"""),"Abstara Royal Helm")</f>
        <v>Abstara Royal Helm</v>
      </c>
      <c r="B483" s="1"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t="str">
        <f>IFERROR(__xludf.DUMMYFUNCTION("""COMPUTED_VALUE"""),"Abstara Royal Chestplate")</f>
        <v>Abstara Royal Chestplate</v>
      </c>
      <c r="B484" s="1"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t="str">
        <f>IFERROR(__xludf.DUMMYFUNCTION("""COMPUTED_VALUE"""),"Abstara Royal Vambraces")</f>
        <v>Abstara Royal Vambraces</v>
      </c>
      <c r="B485" s="1"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t="str">
        <f>IFERROR(__xludf.DUMMYFUNCTION("""COMPUTED_VALUE"""),"Abstara Royal Greaves")</f>
        <v>Abstara Royal Greaves</v>
      </c>
      <c r="B486" s="1"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t="str">
        <f>IFERROR(__xludf.DUMMYFUNCTION("""COMPUTED_VALUE"""),"Abstara Royal Shield")</f>
        <v>Abstara Royal Shield</v>
      </c>
      <c r="B487" s="1" t="str">
        <f>IFERROR(__xludf.DUMMYFUNCTION("""COMPUTED_VALUE""")," (Towershield) lvl:200, DEF: +50000, Celestial DEF: +50000 ++X4 Defense for the Wearer. ++Underworldly Embodiment - When Equipped deal X4 Dark, Chaos, Fire, and Celestial DMG ")</f>
        <v> (Towershield) lvl:200, DEF: +50000, Celestial DEF: +50000 ++X4 Defense for the Wearer. ++Underworldly Embodiment - When Equipped deal X4 Dark, Chaos, Fire, and Celestial DMG </v>
      </c>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t="str">
        <f>IFERROR(__xludf.DUMMYFUNCTION("""COMPUTED_VALUE"""),"Abstara Royal Boots")</f>
        <v>Abstara Royal Boots</v>
      </c>
      <c r="B488" s="1"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t="str">
        <f>IFERROR(__xludf.DUMMYFUNCTION("""COMPUTED_VALUE"""),"Abstara Royal Pauldrons")</f>
        <v>Abstara Royal Pauldrons</v>
      </c>
      <c r="B489" s="1"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t="str">
        <f>IFERROR(__xludf.DUMMYFUNCTION("""COMPUTED_VALUE"""),"Feathered Hat of Roguish ""Justice""")</f>
        <v>Feathered Hat of Roguish "Justice"</v>
      </c>
      <c r="B490" s="1" t="str">
        <f>IFERROR(__xludf.DUMMYFUNCTION("""COMPUTED_VALUE"""),"Quest Item () lvl:200, DEF: +10000, Light DEF: +10000, Order DEF: +10000, Celestial DEF: +10000 (Roguish Guise Set) ++X2 Money Stolen Via the Sword of Bad Luck. +1 Evasion When Fighting Guards. +-Cannot be duplicated +-Pirate/Marauder Only")</f>
        <v>Quest Item () lvl:200, DEF: +10000, Light DEF: +10000, Order DEF: +10000, Celestial DEF: +10000 (Roguish Guise Set) ++X2 Money Stolen Via the Sword of Bad Luck. +1 Evasion When Fighting Guards. +-Cannot be duplicated +-Pirate/Marauder Only</v>
      </c>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t="str">
        <f>IFERROR(__xludf.DUMMYFUNCTION("""COMPUTED_VALUE"""),"Cape of Misdeed")</f>
        <v>Cape of Misdeed</v>
      </c>
      <c r="B491" s="1" t="str">
        <f>IFERROR(__xludf.DUMMYFUNCTION("""COMPUTED_VALUE"""),"Quest Item () lvl:200, DEF: +1000, Light DEF: +10000, Order DEF: +10000, Celestial DEF: +1000 (Roguish Guise Set) ++X2 Money Stolen Via the Sword of Bad Luck. +1 Evasion When Fighting Guards. +-Cannot be duplicated +-Pirate/Marauder Only")</f>
        <v>Quest Item () lvl:200, DEF: +1000, Light DEF: +10000, Order DEF: +10000, Celestial DEF: +1000 (Roguish Guise Set) ++X2 Money Stolen Via the Sword of Bad Luck. +1 Evasion When Fighting Guards. +-Cannot be duplicated +-Pirate/Marauder Only</v>
      </c>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t="str">
        <f>IFERROR(__xludf.DUMMYFUNCTION("""COMPUTED_VALUE"""),"Doublet of Debauchery")</f>
        <v>Doublet of Debauchery</v>
      </c>
      <c r="B492" s="1" t="str">
        <f>IFERROR(__xludf.DUMMYFUNCTION("""COMPUTED_VALUE"""),"Quest Item () lvl:200, DEF: +20000, Light DEF: +20000, Order DEF: +20000, Celestial DEF: +10000 (Roguish Guise Set) ++X2 Money Stolen Via the Sword of Bad Luck. +1 Evasion When Fighting Guards. +-Cannot be duplicated +-Pirate/Marauder Only")</f>
        <v>Quest Item () lvl:200, DEF: +20000, Light DEF: +20000, Order DEF: +20000, Celestial DEF: +10000 (Roguish Guise Set) ++X2 Money Stolen Via the Sword of Bad Luck. +1 Evasion When Fighting Guards. +-Cannot be duplicated +-Pirate/Marauder Only</v>
      </c>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t="str">
        <f>IFERROR(__xludf.DUMMYFUNCTION("""COMPUTED_VALUE"""),"Leather Boots of Softstep")</f>
        <v>Leather Boots of Softstep</v>
      </c>
      <c r="B493" s="1" t="str">
        <f>IFERROR(__xludf.DUMMYFUNCTION("""COMPUTED_VALUE"""),"Quest Item () lvl:200, DEF: +10000, Light DEF: +10000, Order DEF: +10000, Celestial DEF: +10000 (Roguish Guise Set) ++X2 Money Stolen Via the Sword of Bad Luck. +1 Evasion When Fighting Guards. +-Cannot be duplicated +-Pirate/Marauder Only")</f>
        <v>Quest Item () lvl:200, DEF: +10000, Light DEF: +10000, Order DEF: +10000, Celestial DEF: +10000 (Roguish Guise Set) ++X2 Money Stolen Via the Sword of Bad Luck. +1 Evasion When Fighting Guards. +-Cannot be duplicated +-Pirate/Marauder Only</v>
      </c>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t="str">
        <f>IFERROR(__xludf.DUMMYFUNCTION("""COMPUTED_VALUE"""),"Tights of Fabulous Thievery")</f>
        <v>Tights of Fabulous Thievery</v>
      </c>
      <c r="B494" s="1" t="str">
        <f>IFERROR(__xludf.DUMMYFUNCTION("""COMPUTED_VALUE"""),"Quest Item () lvl:200, DEF: +10000, Light DEF: +10000, Order DEF: +10000, Celestial DEF: +10000 (Roguish Guise Set) ++X2 Money Stolen Via the Sword of Bad Luck. +1 Evasion When Fighting Guards. +-Cannot be duplicated +-Pirate/Marauder Only")</f>
        <v>Quest Item () lvl:200, DEF: +10000, Light DEF: +10000, Order DEF: +10000, Celestial DEF: +10000 (Roguish Guise Set) ++X2 Money Stolen Via the Sword of Bad Luck. +1 Evasion When Fighting Guards. +-Cannot be duplicated +-Pirate/Marauder Only</v>
      </c>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t="str">
        <f>IFERROR(__xludf.DUMMYFUNCTION("""COMPUTED_VALUE"""),"Fingerless Glove of Anonymity")</f>
        <v>Fingerless Glove of Anonymity</v>
      </c>
      <c r="B495" s="1" t="str">
        <f>IFERROR(__xludf.DUMMYFUNCTION("""COMPUTED_VALUE"""),"Quest Item (Claw) lvl:200, DMG: +10000, Light DMG: +10000, Order DMG: +10000, Celestial DMG: +10000 (Roguish Guise Set) ++X2 Money Stolen Via the Sword of Bad Luck. +1 Evasion When Fighting Guards. ++5% Chance to not gain a bounty when committing a crime "&amp;"(Cannot be Increased) ++20% chance to remove enemy from battle +-Cannot be duplicated +-Pirate/Marauder Only")</f>
        <v>Quest Item (Claw) lvl:200, 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t="str">
        <f>IFERROR(__xludf.DUMMYFUNCTION("""COMPUTED_VALUE"""),"Bracers of Dastardly Deflection")</f>
        <v>Bracers of Dastardly Deflection</v>
      </c>
      <c r="B496" s="1" t="str">
        <f>IFERROR(__xludf.DUMMYFUNCTION("""COMPUTED_VALUE"""),"Quest Item () lvl:200, DEF: +10000, Light DEF: +10000, Order DEF: +10000, Celestial DEF: +10000 (Roguish Guise Set) ++X2 Money Stolen Via the Sword of Bad Luck. +1 Evasion When Fighting Guards +-Cannot be duplicated +-Pirate/Marauder Only")</f>
        <v>Quest Item () lvl:200, DEF: +10000, Light DEF: +10000, Order DEF: +10000, Celestial DEF: +10000 (Roguish Guise Set) ++X2 Money Stolen Via the Sword of Bad Luck. +1 Evasion When Fighting Guards +-Cannot be duplicated +-Pirate/Marauder Only</v>
      </c>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t="str">
        <f>IFERROR(__xludf.DUMMYFUNCTION("""COMPUTED_VALUE"""),"Amulet of the Goddess of Theft")</f>
        <v>Amulet of the Goddess of Theft</v>
      </c>
      <c r="B497" s="1" t="str">
        <f>IFERROR(__xludf.DUMMYFUNCTION("""COMPUTED_VALUE"""),"Quest Item () lvl:1, : + (Roguish Guise Set) ++X2 Money Stolen Via the Sword of Bad Luck. +5 Evasion +-Cannot be forged +-Cannot be duplicated +-Pirate/Marauder Only")</f>
        <v>Quest Item () lvl:1, : + (Roguish Guise Set) ++X2 Money Stolen Via the Sword of Bad Luck. +5 Evasion +-Cannot be forged +-Cannot be duplicated +-Pirate/Marauder Only</v>
      </c>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t="str">
        <f>IFERROR(__xludf.DUMMYFUNCTION("""COMPUTED_VALUE"""),"Flute of The Majestic Forest")</f>
        <v>Flute of The Majestic Forest</v>
      </c>
      <c r="B498" s="1" t="str">
        <f>IFERROR(__xludf.DUMMYFUNCTION("""COMPUTED_VALUE""")," (Instrument) lvl:300, DMG: +5000, Nature DMG: +5000, Acoustic DMG: +5000 ++X2 Additional Nature damage while equipped. ++Song of The Forest - Summons a nature mob determined by the DM/GM to assist you in battle. +-Cannot be duplicated. +-Only Bards can e"&amp;"quip.")</f>
        <v> (Instrument) lvl:300, DMG: +5000, Nature DMG: +5000, Acoustic DMG: +5000 ++X2 Additional Nature damage while equipped. ++Song of The Forest - Summons a nature mob determined by the DM/GM to assist you in battle. +-Cannot be duplicated. +-Only Bards can equip.</v>
      </c>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t="str">
        <f>IFERROR(__xludf.DUMMYFUNCTION("""COMPUTED_VALUE"""),"Heatmore Tribal Drums")</f>
        <v>Heatmore Tribal Drums</v>
      </c>
      <c r="B499" s="1" t="str">
        <f>IFERROR(__xludf.DUMMYFUNCTION("""COMPUTED_VALUE""")," (Instrument) lvl:600, DMG: +10000, Fire DMG: +10000, Acoustic DMG: +10000 ++X2 Additional Fire damage while equipped. ++Tribal Chant 25% chance to call Master Sawoogo to aid you in battle. +-Cannot be duplicated. +-Only Bards can equip.")</f>
        <v> (Instrument) lvl:600, DMG: +10000, Fire DMG: +10000, Acoustic DMG: +10000 ++X2 Additional Fire damage while equipped. ++Tribal Chant 25% chance to call Master Sawoogo to aid you in battle. +-Cannot be duplicated. +-Only Bards can equip.</v>
      </c>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t="str">
        <f>IFERROR(__xludf.DUMMYFUNCTION("""COMPUTED_VALUE"""),"Heatmore Tribal Maracas")</f>
        <v>Heatmore Tribal Maracas</v>
      </c>
      <c r="B500" s="1" t="str">
        <f>IFERROR(__xludf.DUMMYFUNCTION("""COMPUTED_VALUE""")," (Instrument) lvl:900, DMG: +15000, Fire DMG: +15000, Acoustic DMG: +15000 ++X4 additional Fire and Acoustic damage while equipped. +-Cannot be duplicated. +-Only Bards can equip.")</f>
        <v> (Instrument) lvl:900, DMG: +15000, Fire DMG: +15000, Acoustic DMG: +15000 ++X4 additional Fire and Acoustic damage while equipped. +-Cannot be duplicated. +-Only Bards can equip.</v>
      </c>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t="str">
        <f>IFERROR(__xludf.DUMMYFUNCTION("""COMPUTED_VALUE"""),"Mask of Creeping Darkness")</f>
        <v>Mask of Creeping Darkness</v>
      </c>
      <c r="B501" s="1" t="str">
        <f>IFERROR(__xludf.DUMMYFUNCTION("""COMPUTED_VALUE"""),"Quest Item () lvl:200, DEF: +25000, Light DEF: +25000, Order DEF: +25000, Celestial DEF: +20000 ++X2 Damage whilst invulnerable breaking invulnerability upon being used. +-Cannot be Duplicated. +-Ninja Only")</f>
        <v>Quest Item () lvl:200, DEF: +25000, Light DEF: +25000, Order DEF: +25000, Celestial DEF: +20000 ++X2 Damage whilst invulnerable breaking invulnerability upon being used. +-Cannot be Duplicated. +-Ninja Only</v>
      </c>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t="str">
        <f>IFERROR(__xludf.DUMMYFUNCTION("""COMPUTED_VALUE"""),"Chest of Evershifting Darkness")</f>
        <v>Chest of Evershifting Darkness</v>
      </c>
      <c r="B502" s="1" t="str">
        <f>IFERROR(__xludf.DUMMYFUNCTION("""COMPUTED_VALUE"""),"Quest Item () lvl:200, DEF: +25000, Light DEF: +25000, Order DEF: +25000, Celestial DEF: +30000 (Shuttering Shadows Set) ++X4 Damage whilst invulnerable breaking invulnerability upon being used. +-Cannot be Duplicated. +-Ninja Only")</f>
        <v>Quest Item () lvl:200, DEF: +25000, Light DEF: +25000, Order DEF: +25000, Celestial DEF: +30000 (Shuttering Shadows Set) ++X4 Damage whilst invulnerable breaking invulnerability upon being used. +-Cannot be Duplicated. +-Ninja Only</v>
      </c>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t="str">
        <f>IFERROR(__xludf.DUMMYFUNCTION("""COMPUTED_VALUE"""),"Leather Boots of EDGINESS")</f>
        <v>Leather Boots of EDGINESS</v>
      </c>
      <c r="B503" s="1" t="str">
        <f>IFERROR(__xludf.DUMMYFUNCTION("""COMPUTED_VALUE"""),"Quest Item () lvl:200, DEF: +25000, Light DEF: +25000, Order DEF: +25000, Celestial DEF: +20000 (Shuttering Shadows Set) ++X2 Damage whilst invulnerable breaking invulnerability upon being used. +-Cannot be Duplicated. +-Ninja Only")</f>
        <v>Quest Item () lvl:200, DEF: +25000, Light DEF: +25000, Order DEF: +25000, Celestial DEF: +20000 (Shuttering Shadows Set) ++X2 Damage whilst invulnerable breaking invulnerability upon being used. +-Cannot be Duplicated. +-Ninja Only</v>
      </c>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t="str">
        <f>IFERROR(__xludf.DUMMYFUNCTION("""COMPUTED_VALUE"""),"Silken Gloves of Dexterity")</f>
        <v>Silken Gloves of Dexterity</v>
      </c>
      <c r="B504" s="1" t="str">
        <f>IFERROR(__xludf.DUMMYFUNCTION("""COMPUTED_VALUE"""),"Quest Item () lvl:200, DEF: +25000, Light DEF: +25000, Order DEF: +25000, Celestial DEF: +20000 (Shuttering Shadows Set) ++gain +5 to attack rolls whilst invulnerable. ++the Knife attribute is 3X as likely to activate. +-Cannot be forged +-Cannot be dupli"&amp;"cated +-Ninja Only")</f>
        <v>Quest Item () lvl:200, DEF: +25000, Light DEF: +25000, Order DEF: +25000, Celestial DEF: +20000 (Shuttering Shadows Set) ++gain +5 to attack rolls whilst invulnerable. ++the Knife attribute is 3X as likely to activate. +-Cannot be forged +-Cannot be duplicated +-Ninja Only</v>
      </c>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t="str">
        <f>IFERROR(__xludf.DUMMYFUNCTION("""COMPUTED_VALUE"""),"Leggings of Swift Death")</f>
        <v>Leggings of Swift Death</v>
      </c>
      <c r="B505" s="1" t="str">
        <f>IFERROR(__xludf.DUMMYFUNCTION("""COMPUTED_VALUE"""),"Quest Item () lvl:200, DEF: +25000, Light DEF: +25000, Order DEF: +25000, Celestial DEF: +20000 (Shuttering Shadows Set) ++X2 Damage whilst invulnerable breaking invulnerability upon being used, +-Cannot be Duplicated, +-Ninja Only")</f>
        <v>Quest Item () lvl:200, DEF: +25000, Light DEF: +25000, Order DEF: +25000, Celestial DEF: +20000 (Shuttering Shadows Set) ++X2 Damage whilst invulnerable breaking invulnerability upon being used, +-Cannot be Duplicated, +-Ninja Only</v>
      </c>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t="str">
        <f>IFERROR(__xludf.DUMMYFUNCTION("""COMPUTED_VALUE"""),"Cape of Illusion")</f>
        <v>Cape of Illusion</v>
      </c>
      <c r="B506" s="1" t="str">
        <f>IFERROR(__xludf.DUMMYFUNCTION("""COMPUTED_VALUE"""),"Quest Item () lvl:200, DEF: +25000, Light DEF: +25000, Order DEF: +25000, Celestial DEF: +20000 (Shuttering Shadows Set) ++X2 Damage whilst invulnerable breaking invulnerability upon being used, 50% chance to become unaffected by an Instant death effect. "&amp;"++Conceal: upon entering combat you are invulnerable for 1 round or until you attack +-Cannot be forged +-Cannot be duplicated +-Ninja Only")</f>
        <v>Quest Item () lvl:200, 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t="str">
        <f>IFERROR(__xludf.DUMMYFUNCTION("""COMPUTED_VALUE"""),"Assassin's Kiss")</f>
        <v>Assassin's Kiss</v>
      </c>
      <c r="B507" s="1" t="str">
        <f>IFERROR(__xludf.DUMMYFUNCTION("""COMPUTED_VALUE"""),"Quest Item (Knife) lvl:200, DMG: +50000, Dark DMG: +25000, Chaos DMG: +25000, Celestial DMG: +10000 (Shuttering Shadows Set) ++X4 Damage whilst invulnerable breaking invulnerability upon being used. ++When equipped with the Night's Edge attack with both w"&amp;"eapons at the same time. +-Cannot be Duplicated Must be used in conjunction with the Night's Edge or any weapon the Night's Edge is forged into, +-Ninja Only")</f>
        <v>Quest Item (Knife) lvl:200, 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t="str">
        <f>IFERROR(__xludf.DUMMYFUNCTION("""COMPUTED_VALUE"""),"Night's Edge")</f>
        <v>Night's Edge</v>
      </c>
      <c r="B508" s="1" t="str">
        <f>IFERROR(__xludf.DUMMYFUNCTION("""COMPUTED_VALUE"""),"Quest Item (Knife) lvl:200, DMG: +50000, Dark DMG: +25000, Chaos DMG: +25000, Celestial DMG: +10000 (Shuttering Shadows Set) ++X4 Damage whilst invulnerable breaking invulnerability upon being used, When equipped with the Assassin's Kiss, attack with both"&amp;" weapons at the same time. +-Cannot be Duplicated, +-Must be Equipped with the Assassin's Kiss +-Ninja Only")</f>
        <v>Quest Item (Knife) lvl:200, 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t="str">
        <f>IFERROR(__xludf.DUMMYFUNCTION("""COMPUTED_VALUE"""),"Ancient Draconian Deity Necklace")</f>
        <v>Ancient Draconian Deity Necklace</v>
      </c>
      <c r="B509" s="1" t="str">
        <f>IFERROR(__xludf.DUMMYFUNCTION("""COMPUTED_VALUE""")," () lvl:1, DMG: + ++5 to all d20 rolls, +-Cannot be duplicated.")</f>
        <v> () lvl:1, DMG: + ++5 to all d20 rolls, +-Cannot be duplicated.</v>
      </c>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t="str">
        <f>IFERROR(__xludf.DUMMYFUNCTION("""COMPUTED_VALUE"""),"Gungnir")</f>
        <v>Gungnir</v>
      </c>
      <c r="B510" s="1" t="str">
        <f>IFERROR(__xludf.DUMMYFUNCTION("""COMPUTED_VALUE""")," (Spear) lvl:1, DMG: +")</f>
        <v> (Spear) lvl:1, DMG: +</v>
      </c>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t="str">
        <f>IFERROR(__xludf.DUMMYFUNCTION("""COMPUTED_VALUE"""),"Gaia's Rock Hammer")</f>
        <v>Gaia's Rock Hammer</v>
      </c>
      <c r="B511" s="1" t="str">
        <f>IFERROR(__xludf.DUMMYFUNCTION("""COMPUTED_VALUE"""),"Quest Item (Club) lvl:200, DMG: +25000, Earth DMG: +100000, Nature DMG: +15000, Celestial DMG: +25000 ++X4 Earth damage. Gaia's Slumber: ++50% chance to put target to sleep. +-Cannot be duplicated, +-You can only acquire one of these")</f>
        <v>Quest Item (Club) lvl:200, DMG: +25000, Earth DMG: +100000, Nature DMG: +15000, Celestial DMG: +25000 ++X4 Earth damage. Gaia's Slumber: ++50% chance to put target to sleep. +-Cannot be duplicated, +-You can only acquire one of these</v>
      </c>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t="str">
        <f>IFERROR(__xludf.DUMMYFUNCTION("""COMPUTED_VALUE"""),"Bahamut's Claw")</f>
        <v>Bahamut's Claw</v>
      </c>
      <c r="B512" s="1" t="str">
        <f>IFERROR(__xludf.DUMMYFUNCTION("""COMPUTED_VALUE"""),"Mob Exclusive (Claw) lvl:200, DMG: +250000, Delta DMG: +250000, Celestial DMG: +250000 +-Cannot resist or be immune to this attack. ++Bahamut's Bloodlust: Heals Bahamut by 2X damage dealt with this weapon. 50% chance to remove any hit enemy from battle")</f>
        <v>Mob Exclusive (Claw) lvl:200, DMG: +250000, Delta DMG: +250000, Celestial DMG: +250000 +-Cannot resist or be immune to this attack. ++Bahamut's Bloodlust: Heals Bahamut by 2X damage dealt with this weapon. 50% chance to remove any hit enemy from battle</v>
      </c>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t="str">
        <f>IFERROR(__xludf.DUMMYFUNCTION("""COMPUTED_VALUE"""),"Chronos' Staff of Time")</f>
        <v>Chronos' Staff of Time</v>
      </c>
      <c r="B513" s="1" t="str">
        <f>IFERROR(__xludf.DUMMYFUNCTION("""COMPUTED_VALUE""")," (Staff) lvl:1, DMG: +")</f>
        <v> (Staff) lvl:1, DMG: +</v>
      </c>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t="str">
        <f>IFERROR(__xludf.DUMMYFUNCTION("""COMPUTED_VALUE"""),"Scimitar")</f>
        <v>Scimitar</v>
      </c>
      <c r="B514" s="1" t="str">
        <f>IFERROR(__xludf.DUMMYFUNCTION("""COMPUTED_VALUE""")," (Sword) lvl:300, DMG: +10000, Fire DMG: +5000")</f>
        <v> (Sword) lvl:300, DMG: +10000, Fire DMG: +5000</v>
      </c>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t="str">
        <f>IFERROR(__xludf.DUMMYFUNCTION("""COMPUTED_VALUE"""),"Gaia's Helmet of Earthen Fortitude")</f>
        <v>Gaia's Helmet of Earthen Fortitude</v>
      </c>
      <c r="B515" s="1" t="str">
        <f>IFERROR(__xludf.DUMMYFUNCTION("""COMPUTED_VALUE"""),"Mob Exclusive () lvl:200, DEF: +50000, Fire DEF: +35000, Celestial DEF: +50000 ++X2 Earth Damage for self. ++X2 Defense for self. ++Godly Authority: 50% chance to possess one enemy once per battle.")</f>
        <v>Mob Exclusive () lvl:200, DEF: +50000, Fire DEF: +35000, Celestial DEF: +50000 ++X2 Earth Damage for self. ++X2 Defense for self. ++Godly Authority: 50% chance to possess one enemy once per battle.</v>
      </c>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t="str">
        <f>IFERROR(__xludf.DUMMYFUNCTION("""COMPUTED_VALUE"""),"Gaia's Pendant")</f>
        <v>Gaia's Pendant</v>
      </c>
      <c r="B516" s="1" t="str">
        <f>IFERROR(__xludf.DUMMYFUNCTION("""COMPUTED_VALUE"""),"Mob Exclusive () lvl:1, : + ++Revives entire party upon death of the wearer. +-one use per battle")</f>
        <v>Mob Exclusive () lvl:1, : + ++Revives entire party upon death of the wearer. +-one use per battle</v>
      </c>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t="str">
        <f>IFERROR(__xludf.DUMMYFUNCTION("""COMPUTED_VALUE"""),"Gaia's Sandals of Earthen Fortitude")</f>
        <v>Gaia's Sandals of Earthen Fortitude</v>
      </c>
      <c r="B517" s="1" t="str">
        <f>IFERROR(__xludf.DUMMYFUNCTION("""COMPUTED_VALUE"""),"Mob Exclusive () lvl:200, DEF: +50000, Fire DEF: +35000, Celestial DEF: +50000 ++X2 Earth Damage for self. ++X2 Defense for self")</f>
        <v>Mob Exclusive () lvl:200, DEF: +50000, Fire DEF: +35000, Celestial DEF: +50000 ++X2 Earth Damage for self. ++X2 Defense for self</v>
      </c>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t="str">
        <f>IFERROR(__xludf.DUMMYFUNCTION("""COMPUTED_VALUE"""),"Gaia's Gloves")</f>
        <v>Gaia's Gloves</v>
      </c>
      <c r="B518" s="1" t="str">
        <f>IFERROR(__xludf.DUMMYFUNCTION("""COMPUTED_VALUE"""),"Mob Exclusive () lvl:200, DEF: +50000, Fire DEF: +35000, Celestial DEF: +50000 ++X2 Earth Damage for self. ++X2 Defense for self")</f>
        <v>Mob Exclusive () lvl:200, DEF: +50000, Fire DEF: +35000, Celestial DEF: +50000 ++X2 Earth Damage for self. ++X2 Defense for self</v>
      </c>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t="str">
        <f>IFERROR(__xludf.DUMMYFUNCTION("""COMPUTED_VALUE"""),"Gaia's Gaiters")</f>
        <v>Gaia's Gaiters</v>
      </c>
      <c r="B519" s="1" t="str">
        <f>IFERROR(__xludf.DUMMYFUNCTION("""COMPUTED_VALUE"""),"Mob Exclusive () lvl:200, DEF: +50000, Fire DEF: +35000, Celestial DEF: +50000 ++X2 Earth Damage for self. ++X2 Defense for self")</f>
        <v>Mob Exclusive () lvl:200, DEF: +50000, Fire DEF: +35000, Celestial DEF: +50000 ++X2 Earth Damage for self. ++X2 Defense for self</v>
      </c>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t="str">
        <f>IFERROR(__xludf.DUMMYFUNCTION("""COMPUTED_VALUE"""),"Gaia's Pauldrons")</f>
        <v>Gaia's Pauldrons</v>
      </c>
      <c r="B520" s="1" t="str">
        <f>IFERROR(__xludf.DUMMYFUNCTION("""COMPUTED_VALUE"""),"Mob Exclusive () lvl:200, DEF: +50000, Fire DEF: +35000, Celestial DEF: +50000 ++X2 Earth Damage for self. ++X2 Defense for self")</f>
        <v>Mob Exclusive () lvl:200, DEF: +50000, Fire DEF: +35000, Celestial DEF: +50000 ++X2 Earth Damage for self. ++X2 Defense for self</v>
      </c>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t="str">
        <f>IFERROR(__xludf.DUMMYFUNCTION("""COMPUTED_VALUE"""),"Gaia's Chestpiece")</f>
        <v>Gaia's Chestpiece</v>
      </c>
      <c r="B521" s="1" t="str">
        <f>IFERROR(__xludf.DUMMYFUNCTION("""COMPUTED_VALUE"""),"Mob Exclusive () lvl:200, DEF: +100000, Fire DEF: +70000, Celestial DEF: +100000 ++X2 Earth Damage for self. ++X2 Defense for self")</f>
        <v>Mob Exclusive () lvl:200, DEF: +100000, Fire DEF: +70000, Celestial DEF: +100000 ++X2 Earth Damage for self. ++X2 Defense for self</v>
      </c>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t="str">
        <f>IFERROR(__xludf.DUMMYFUNCTION("""COMPUTED_VALUE"""),"Gaia's Ring")</f>
        <v>Gaia's Ring</v>
      </c>
      <c r="B522" s="1" t="str">
        <f>IFERROR(__xludf.DUMMYFUNCTION("""COMPUTED_VALUE"""),"Mob Exclusive () lvl:1, : + ++X4 defense for self and allies, 50 sp")</f>
        <v>Mob Exclusive () lvl:1, : + ++X4 defense for self and allies, 50 sp</v>
      </c>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t="str">
        <f>IFERROR(__xludf.DUMMYFUNCTION("""COMPUTED_VALUE"""),"Paladin of Gaia's Bucket helm of Tenacity")</f>
        <v>Paladin of Gaia's Bucket helm of Tenacity</v>
      </c>
      <c r="B523" s="1" t="str">
        <f>IFERROR(__xludf.DUMMYFUNCTION("""COMPUTED_VALUE"""),"Quest Item () lvl:200, DEF: +20000, Fire DEF: +5000, Earth DEF: +35000, Celestial DEF: +20000 ++Gaia's Tenacity II: 10% Chance to revive after death +-Cannot be forged +-Cannot be duplicated +-(Paladin or Knight Class Only)")</f>
        <v>Quest Item () lvl:200, DEF: +20000, Fire DEF: +5000, Earth DEF: +35000, Celestial DEF: +20000 ++Gaia's Tenacity II: 10% Chance to revive after death +-Cannot be forged +-Cannot be duplicated +-(Paladin or Knight Class Only)</v>
      </c>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t="str">
        <f>IFERROR(__xludf.DUMMYFUNCTION("""COMPUTED_VALUE"""),"Paladin of Gaia's Stone Pauldrons")</f>
        <v>Paladin of Gaia's Stone Pauldrons</v>
      </c>
      <c r="B524" s="1" t="str">
        <f>IFERROR(__xludf.DUMMYFUNCTION("""COMPUTED_VALUE"""),"Quest Item () lvl:200, DEF: +20000, Fire DEF: +5000, Earth DEF: +35000, Celestial DEF: +20000 ++Blessing of Stone I: 2X Earth Damage +-(Paladin or Knight Class Only)")</f>
        <v>Quest Item () lvl:200, DEF: +20000, Fire DEF: +5000, Earth DEF: +35000, Celestial DEF: +20000 ++Blessing of Stone I: 2X Earth Damage +-(Paladin or Knight Class Only)</v>
      </c>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t="str">
        <f>IFERROR(__xludf.DUMMYFUNCTION("""COMPUTED_VALUE"""),"Paladin of Gaia's Emblazoned Chestpiece")</f>
        <v>Paladin of Gaia's Emblazoned Chestpiece</v>
      </c>
      <c r="B525" s="1" t="str">
        <f>IFERROR(__xludf.DUMMYFUNCTION("""COMPUTED_VALUE"""),"Quest Item () lvl:200, DEF: +50000, Fire DEF: +20000, Earth DEF: +70000, Celestial DEF: +50000 ++X2 defense for self and allies +-Paladin or Knight Class Only +-Can only equip one")</f>
        <v>Quest Item () lvl:200, DEF: +50000, Fire DEF: +20000, Earth DEF: +70000, Celestial DEF: +50000 ++X2 defense for self and allies +-Paladin or Knight Class Only +-Can only equip one</v>
      </c>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t="str">
        <f>IFERROR(__xludf.DUMMYFUNCTION("""COMPUTED_VALUE"""),"Paladin of Gaia's Vambraces")</f>
        <v>Paladin of Gaia's Vambraces</v>
      </c>
      <c r="B526" s="1" t="str">
        <f>IFERROR(__xludf.DUMMYFUNCTION("""COMPUTED_VALUE"""),"Quest Item () lvl:200, DEF: +20000, Fire DEF: +5000, Earth DEF: +35000, Celestial DEF: +20000 ++X2 defense for self and allies +-Paladin or Knight Class Only +-Can only equip one")</f>
        <v>Quest Item () lvl:200, DEF: +20000, Fire DEF: +5000, Earth DEF: +35000, Celestial DEF: +20000 ++X2 defense for self and allies +-Paladin or Knight Class Only +-Can only equip one</v>
      </c>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t="str">
        <f>IFERROR(__xludf.DUMMYFUNCTION("""COMPUTED_VALUE"""),"Paladin of Gaia's Plate Chausses")</f>
        <v>Paladin of Gaia's Plate Chausses</v>
      </c>
      <c r="B527" s="1" t="str">
        <f>IFERROR(__xludf.DUMMYFUNCTION("""COMPUTED_VALUE"""),"Quest Item () lvl:200, DEF: +20000, Fire DEF: +5000, Earth DEF: +35000, Celestial DEF: +20000 ++Blessing of Stone I: 2X Earth Damage +-Paladin or Knight Class Only +-Can only equip one")</f>
        <v>Quest Item () lvl:200, DEF: +20000, Fire DEF: +5000, Earth DEF: +35000, Celestial DEF: +20000 ++Blessing of Stone I: 2X Earth Damage +-Paladin or Knight Class Only +-Can only equip one</v>
      </c>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t="str">
        <f>IFERROR(__xludf.DUMMYFUNCTION("""COMPUTED_VALUE"""),"Paladin of Gaia's Sabatons")</f>
        <v>Paladin of Gaia's Sabatons</v>
      </c>
      <c r="B528" s="1" t="str">
        <f>IFERROR(__xludf.DUMMYFUNCTION("""COMPUTED_VALUE"""),"Quest Item () lvl:200, DEF: +20000, Fire DEF: +5000, Earth DEF: +35000, Celestial DEF: +20000 ++Blessing of Stone I: 2X Earth Damage +-Paladin or Knight Class Only +-Can only equip one")</f>
        <v>Quest Item () lvl:200, DEF: +20000, Fire DEF: +5000, Earth DEF: +35000, Celestial DEF: +20000 ++Blessing of Stone I: 2X Earth Damage +-Paladin or Knight Class Only +-Can only equip one</v>
      </c>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t="str">
        <f>IFERROR(__xludf.DUMMYFUNCTION("""COMPUTED_VALUE"""),"Paladin of Gaia's Ruby Ring")</f>
        <v>Paladin of Gaia's Ruby Ring</v>
      </c>
      <c r="B529" s="1" t="str">
        <f>IFERROR(__xludf.DUMMYFUNCTION("""COMPUTED_VALUE"""),"Quest Item () lvl:1, : + ++Blessing of Stone II: 4X Earth Damage 
++Gaia's Tenacity I: 5% chance to revive after death +-Paladin or Knight Class Only +-Cannot be forged +-Cannot be duplicated +-Can only equip one")</f>
        <v>Quest Item () lvl:1, : + ++Blessing of Stone II: 4X Earth Damage 
++Gaia's Tenacity I: 5% chance to revive after death +-Paladin or Knight Class Only +-Cannot be forged +-Cannot be duplicated +-Can only equip one</v>
      </c>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t="str">
        <f>IFERROR(__xludf.DUMMYFUNCTION("""COMPUTED_VALUE"""),"Paladin of Gaia's Emerald Pendant")</f>
        <v>Paladin of Gaia's Emerald Pendant</v>
      </c>
      <c r="B530" s="1" t="str">
        <f>IFERROR(__xludf.DUMMYFUNCTION("""COMPUTED_VALUE"""),"Quest Item () lvl:1, : + ++Blessing of Stone II: 4X Earth Damage 
++Gaia's Blessing I: 4X defense for self and allies 100 sp (Once per battle) +-(Paladin or Knight Class Only)")</f>
        <v>Quest Item () lvl:1, : + ++Blessing of Stone II: 4X Earth Damage 
++Gaia's Blessing I: 4X defense for self and allies 100 sp (Once per battle) +-(Paladin or Knight Class Only)</v>
      </c>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t="str">
        <f>IFERROR(__xludf.DUMMYFUNCTION("""COMPUTED_VALUE"""),"The Blacksmith's Forged Battleaxe ")</f>
        <v>The Blacksmith's Forged Battleaxe </v>
      </c>
      <c r="B531" s="1" t="str">
        <f>IFERROR(__xludf.DUMMYFUNCTION("""COMPUTED_VALUE"""),"Mob Exclusive (Axe) lvl:200, DMG: +100000, Fire DMG: +100000, Celestial DMG: +50000 (Hephaestus' Set) ++Forged Fury: Attacks with this weapon hit all enemies (all enemies can roll to evade). ++X2 Weapon damage")</f>
        <v>Mob Exclusive (Axe) lvl:200, DMG: +100000, Fire DMG: +100000, Celestial DMG: +50000 (Hephaestus' Set) ++Forged Fury: Attacks with this weapon hit all enemies (all enemies can roll to evade). ++X2 Weapon damage</v>
      </c>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t="str">
        <f>IFERROR(__xludf.DUMMYFUNCTION("""COMPUTED_VALUE"""),"The Blacksmith's Forged Sword")</f>
        <v>The Blacksmith's Forged Sword</v>
      </c>
      <c r="B532" s="1" t="str">
        <f>IFERROR(__xludf.DUMMYFUNCTION("""COMPUTED_VALUE"""),"Mob Exclusive (Sword) lvl:200, DMG: +100000, Fire DMG: +100000, Celestial DMG: +50000 (Hephaestus' Set) ++Elemental Gem Slash: This weapon will have a 25% chance each to cast the following powers when attacking with this weapon; Molten Ruby Spikes, Searin"&amp;"g Sapphire Strike, Energizing Emerald Pulse.")</f>
        <v>Mob Exclusive (Sword) lvl:200, DMG: +100000, Fire DMG: +100000, Celestial DMG: +50000 (Hephaestus' Set) ++Elemental Gem Slash: This weapon will have a 25% chance each to cast the following powers when attacking with this weapon; Molten Ruby Spikes, Searing Sapphire Strike, Energizing Emerald Pulse.</v>
      </c>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t="str">
        <f>IFERROR(__xludf.DUMMYFUNCTION("""COMPUTED_VALUE"""),"The Blacksmith's Forged Helmet")</f>
        <v>The Blacksmith's Forged Helmet</v>
      </c>
      <c r="B533" s="1" t="str">
        <f>IFERROR(__xludf.DUMMYFUNCTION("""COMPUTED_VALUE"""),"Mob Exclusive () lvl:4000, DEF: +200000 (Hephaestus' Set) ++Immune to freezing. ++Hephaestus' Fury: shoot an eye ray causing 10,000 damage (you cannot dodge this). ++X2 defense for self")</f>
        <v>Mob Exclusive () lvl:4000, DEF: +200000 (Hephaestus' Set) ++Immune to freezing. ++Hephaestus' Fury: shoot an eye ray causing 10,000 damage (you cannot dodge this). ++X2 defense for self</v>
      </c>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t="str">
        <f>IFERROR(__xludf.DUMMYFUNCTION("""COMPUTED_VALUE"""),"The Blacksmith's Forged Pauldrons")</f>
        <v>The Blacksmith's Forged Pauldrons</v>
      </c>
      <c r="B534" s="1" t="str">
        <f>IFERROR(__xludf.DUMMYFUNCTION("""COMPUTED_VALUE"""),"Mob Exclusive () lvl:4000, DEF: +200000 (Hephaestus' Set) ++Immune to Celestial. ++When Equipped you are invulnerable to damage unless you attack. ++When you battle with any undead you can deal X2 damage")</f>
        <v>Mob Exclusive () lvl:4000, DEF: +200000 (Hephaestus' Set) ++Immune to Celestial. ++When Equipped you are invulnerable to damage unless you attack. ++When you battle with any undead you can deal X2 damage</v>
      </c>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t="str">
        <f>IFERROR(__xludf.DUMMYFUNCTION("""COMPUTED_VALUE"""),"The Blacksmith's Forged Vambraces")</f>
        <v>The Blacksmith's Forged Vambraces</v>
      </c>
      <c r="B535" s="1" t="str">
        <f>IFERROR(__xludf.DUMMYFUNCTION("""COMPUTED_VALUE"""),"Mob Exclusive () lvl:4000, DEF: +200000 (Hephaestus' Set) ++Immune to Chaos and Dark. ++Upon taking fire damage instead heal by 5X that fire damage. ++Take 2X water Damage")</f>
        <v>Mob Exclusive () lvl:4000, DEF: +200000 (Hephaestus' Set) ++Immune to Chaos and Dark. ++Upon taking fire damage instead heal by 5X that fire damage. ++Take 2X water Damage</v>
      </c>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t="str">
        <f>IFERROR(__xludf.DUMMYFUNCTION("""COMPUTED_VALUE"""),"The Blacksmith's Forged Greaves")</f>
        <v>The Blacksmith's Forged Greaves</v>
      </c>
      <c r="B536" s="1" t="str">
        <f>IFERROR(__xludf.DUMMYFUNCTION("""COMPUTED_VALUE"""),"Mob Exclusive () lvl:4000, DEF: +200000 (Hephaestus' Set) ++When attacking with a weapon you have a 25% chance of attacking again with the same weapon. ++Increases all types of Damage by X2. ++Hephaetus's Undying Rage: Upon being killed or removed from ba"&amp;"ttle revive with full health (once per battle)")</f>
        <v>Mob Exclusive () lvl:4000, DEF: +200000 (Hephaestus' Set) ++When attacking with a weapon you have a 25% chance of attacking again with the same weapon. ++Increases all types of Damage by X2. ++Hephaetus's Undying Rage: Upon being killed or removed from battle revive with full health (once per battle)</v>
      </c>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t="str">
        <f>IFERROR(__xludf.DUMMYFUNCTION("""COMPUTED_VALUE"""),"The Blacksmith's Forged Sabatons")</f>
        <v>The Blacksmith's Forged Sabatons</v>
      </c>
      <c r="B537" s="1" t="str">
        <f>IFERROR(__xludf.DUMMYFUNCTION("""COMPUTED_VALUE"""),"Mob Exclusive () lvl:4000, DEF: +200000 (Hephaestus' Set) ++At the start of your turn roll a d20 unaffected by roll bonuses 1-10 no effect 11-20 you act twice on your turn (does not stack with chaincast). ++Heavy Stomp: Causes enemies to be stunned for 1 "&amp;"round with a fail/succeed roll (cooldown: 3 rounds). ++all weapons deal X2 Damage")</f>
        <v>Mob Exclusive () lvl:4000, 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t="str">
        <f>IFERROR(__xludf.DUMMYFUNCTION("""COMPUTED_VALUE"""),"The Blacksmith's Forged Cuirasses")</f>
        <v>The Blacksmith's Forged Cuirasses</v>
      </c>
      <c r="B538" s="1" t="str">
        <f>IFERROR(__xludf.DUMMYFUNCTION("""COMPUTED_VALUE"""),"Mob Exclusive () lvl:4000, DEF: +200000 (Hephaestus' Set) ++10 to all d20 rolls. ++50% to all percentage based abilities. ++Upon taking damage 25% chance to blind the one that hits you giving them blindness 3")</f>
        <v>Mob Exclusive () lvl:4000, DEF: +200000 (Hephaestus' Set) ++10 to all d20 rolls. ++50% to all percentage based abilities. ++Upon taking damage 25% chance to blind the one that hits you giving them blindness 3</v>
      </c>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t="str">
        <f>IFERROR(__xludf.DUMMYFUNCTION("""COMPUTED_VALUE"""),"The Blacksmith's Forged Ring")</f>
        <v>The Blacksmith's Forged Ring</v>
      </c>
      <c r="B539" s="1" t="str">
        <f>IFERROR(__xludf.DUMMYFUNCTION("""COMPUTED_VALUE"""),"Mob Exclusive () lvl:1, : + (Hephaestus' Set) ++Increase all types of damage by X2. ++Causes instant death with a fail/succeed roll. ++Inflict half the damage you take back to the enemy that dealt it for the first 3 rounds of battle.")</f>
        <v>Mob Exclusive () lvl:1, : + (Hephaestus' Set) ++Increase all types of damage by X2. ++Causes instant death with a fail/succeed roll. ++Inflict half the damage you take back to the enemy that dealt it for the first 3 rounds of battle.</v>
      </c>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t="str">
        <f>IFERROR(__xludf.DUMMYFUNCTION("""COMPUTED_VALUE"""),"The Blacksmith's Forged Pendant")</f>
        <v>The Blacksmith's Forged Pendant</v>
      </c>
      <c r="B540" s="1" t="str">
        <f>IFERROR(__xludf.DUMMYFUNCTION("""COMPUTED_VALUE"""),"Mob Exclusive () lvl:1, : + (Hephaestus' Set) ++Forged items now deal double in damage for the wearer. ++If you kill an enemy with a weapon your HP and SP will fully be restored. ++Enemies deduct 2 from their rolls when targeting you")</f>
        <v>Mob Exclusive () lvl:1, : + (Hephaestus' Set) ++Forged items now deal double in damage for the wearer. ++If you kill an enemy with a weapon your HP and SP will fully be restored. ++Enemies deduct 2 from their rolls when targeting you</v>
      </c>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t="str">
        <f>IFERROR(__xludf.DUMMYFUNCTION("""COMPUTED_VALUE"""),"The Blacksmith's Ring of Green Hatred")</f>
        <v>The Blacksmith's Ring of Green Hatred</v>
      </c>
      <c r="B541" s="1" t="str">
        <f>IFERROR(__xludf.DUMMYFUNCTION("""COMPUTED_VALUE"""),"Mob Exclusive () lvl:1, : + (Hephaestus' Set) ++All attacks deal X10 damage against any enemies with the starting town of Forest View.")</f>
        <v>Mob Exclusive () lvl:1, : + (Hephaestus' Set) ++All attacks deal X10 damage against any enemies with the starting town of Forest View.</v>
      </c>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t="str">
        <f>IFERROR(__xludf.DUMMYFUNCTION("""COMPUTED_VALUE"""),"Ring o' Strength and Fire")</f>
        <v>Ring o' Strength and Fire</v>
      </c>
      <c r="B542" s="1" t="str">
        <f>IFERROR(__xludf.DUMMYFUNCTION("""COMPUTED_VALUE""")," () lvl:1, : + ++Grants immunity to fire. ++Grants X2 damage. +-Can only equip one +-Cannot be duplicated")</f>
        <v> () lvl:1, : + ++Grants immunity to fire. ++Grants X2 damage. +-Can only equip one +-Cannot be duplicated</v>
      </c>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t="str">
        <f>IFERROR(__xludf.DUMMYFUNCTION("""COMPUTED_VALUE"""),"Ring o' Fortitude and Earth")</f>
        <v>Ring o' Fortitude and Earth</v>
      </c>
      <c r="B543" s="1" t="str">
        <f>IFERROR(__xludf.DUMMYFUNCTION("""COMPUTED_VALUE""")," () lvl:1, : + ++Grants immunity to Earth. ++Grants X2 Defense. +-Can only equip one +-Cannot be duplicated")</f>
        <v> () lvl:1, : + ++Grants immunity to Earth. ++Grants X2 Defense. +-Can only equip one +-Cannot be duplicated</v>
      </c>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t="str">
        <f>IFERROR(__xludf.DUMMYFUNCTION("""COMPUTED_VALUE"""),"Ring o' Agility and Water")</f>
        <v>Ring o' Agility and Water</v>
      </c>
      <c r="B544" s="1" t="str">
        <f>IFERROR(__xludf.DUMMYFUNCTION("""COMPUTED_VALUE""")," () lvl:1, : + ++Grants Immunity to Water. ++Grants +5 to evasion. +-Can only equip one +-Cannot be duplicated")</f>
        <v> () lvl:1, : + ++Grants Immunity to Water. ++Grants +5 to evasion. +-Can only equip one +-Cannot be duplicated</v>
      </c>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t="str">
        <f>IFERROR(__xludf.DUMMYFUNCTION("""COMPUTED_VALUE"""),"Ring o' Power and Delta")</f>
        <v>Ring o' Power and Delta</v>
      </c>
      <c r="B545" s="1" t="str">
        <f>IFERROR(__xludf.DUMMYFUNCTION("""COMPUTED_VALUE""")," () lvl:1, : + ++Grants X4 Delta damage. ++Take Half delta damage. +-Can only equip one +-Cannot be duplicated")</f>
        <v> () lvl:1, : + ++Grants X4 Delta damage. ++Take Half delta damage. +-Can only equip one +-Cannot be duplicated</v>
      </c>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t="str">
        <f>IFERROR(__xludf.DUMMYFUNCTION("""COMPUTED_VALUE"""),"Ring o' Courage and Order")</f>
        <v>Ring o' Courage and Order</v>
      </c>
      <c r="B546" s="1" t="str">
        <f>IFERROR(__xludf.DUMMYFUNCTION("""COMPUTED_VALUE""")," () lvl:1, : + ++Grants Immunity to Order. ++Enemies halve their rolls when fleeing. +-Can only equip one +-Cannot be duplicated")</f>
        <v> () lvl:1, : + ++Grants Immunity to Order. ++Enemies halve their rolls when fleeing. +-Can only equip one +-Cannot be duplicated</v>
      </c>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t="str">
        <f>IFERROR(__xludf.DUMMYFUNCTION("""COMPUTED_VALUE"""),"Ring o' Resilience and Physicality")</f>
        <v>Ring o' Resilience and Physicality</v>
      </c>
      <c r="B547" s="1" t="str">
        <f>IFERROR(__xludf.DUMMYFUNCTION("""COMPUTED_VALUE""")," () lvl:1, : + ++Grants Immunity to Natural attacks. ++Grants +5 Mobility. +-Can only equip one +-Cannot be duplicated")</f>
        <v> () lvl:1, : + ++Grants Immunity to Natural attacks. ++Grants +5 Mobility. +-Can only equip one +-Cannot be duplicated</v>
      </c>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t="str">
        <f>IFERROR(__xludf.DUMMYFUNCTION("""COMPUTED_VALUE"""),"Ring o' Insanity and Chaos")</f>
        <v>Ring o' Insanity and Chaos</v>
      </c>
      <c r="B548" s="1" t="str">
        <f>IFERROR(__xludf.DUMMYFUNCTION("""COMPUTED_VALUE""")," () lvl:1, : + ++Grants Immunity to Chaos. +5 to Intimidation. +-Can only equip one +-Cannot be duplicated")</f>
        <v> () lvl:1, : + ++Grants Immunity to Chaos. +5 to Intimidation. +-Can only equip one +-Cannot be duplicated</v>
      </c>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t="str">
        <f>IFERROR(__xludf.DUMMYFUNCTION("""COMPUTED_VALUE"""),"Ring o' Debonair and Light")</f>
        <v>Ring o' Debonair and Light</v>
      </c>
      <c r="B549" s="1" t="str">
        <f>IFERROR(__xludf.DUMMYFUNCTION("""COMPUTED_VALUE""")," () lvl:1, : + ++Grants Immunity to Light. +5 to Charisma. +-Can only equip one +-Cannot be duplicated")</f>
        <v> () lvl:1, : + ++Grants Immunity to Light. +5 to Charisma. +-Can only equip one +-Cannot be duplicated</v>
      </c>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t="str">
        <f>IFERROR(__xludf.DUMMYFUNCTION("""COMPUTED_VALUE"""),"Ring o' Spite and Blood")</f>
        <v>Ring o' Spite and Blood</v>
      </c>
      <c r="B550" s="1" t="str">
        <f>IFERROR(__xludf.DUMMYFUNCTION("""COMPUTED_VALUE""")," () lvl:1, : + ++Grants Immunity to Blood. ++X4 Blood damage, ++Deal X4 damage to any enemy who attempted to attack you. +-Can only equip one +-Cannot be duplicated")</f>
        <v> () lvl:1, : + ++Grants Immunity to Blood. ++X4 Blood damage, ++Deal X4 damage to any enemy who attempted to attack you. +-Can only equip one +-Cannot be duplicated</v>
      </c>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t="str">
        <f>IFERROR(__xludf.DUMMYFUNCTION("""COMPUTED_VALUE"""),"Ring o' Neurodivergence and Spirit")</f>
        <v>Ring o' Neurodivergence and Spirit</v>
      </c>
      <c r="B551" s="1" t="str">
        <f>IFERROR(__xludf.DUMMYFUNCTION("""COMPUTED_VALUE""")," () lvl:1, : + ++Grants Immunity to Spirit. ++As an action you can Create a clone of yourself who has the same stats as yourself once per battle, 200 sp. +-Can only equip one +-Cannot be duplicated")</f>
        <v> () lvl:1, : + ++Grants Immunity to Spirit. ++As an action you can Create a clone of yourself who has the same stats as yourself once per battle, 200 sp. +-Can only equip one +-Cannot be duplicated</v>
      </c>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t="str">
        <f>IFERROR(__xludf.DUMMYFUNCTION("""COMPUTED_VALUE"""),"Ring o' Impassivity and Storm")</f>
        <v>Ring o' Impassivity and Storm</v>
      </c>
      <c r="B552" s="1" t="str">
        <f>IFERROR(__xludf.DUMMYFUNCTION("""COMPUTED_VALUE""")," () lvl:1, : + ++Grants Immunity to Storm. ++20% chance to be unaffected by magic that affects you including your own. +-Can only equip one +-Cannot be duplicated")</f>
        <v> () lvl:1, : + ++Grants Immunity to Storm. ++20% chance to be unaffected by magic that affects you including your own. +-Can only equip one +-Cannot be duplicated</v>
      </c>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t="str">
        <f>IFERROR(__xludf.DUMMYFUNCTION("""COMPUTED_VALUE"""),"Ring o' Rigidity and Stasis")</f>
        <v>Ring o' Rigidity and Stasis</v>
      </c>
      <c r="B553" s="1" t="str">
        <f>IFERROR(__xludf.DUMMYFUNCTION("""COMPUTED_VALUE""")," () lvl:1, : + ++You take half Damage from both Chaos and Light. ++Grants a 30% chance to be unaffected by status affects. +-Can only equip one +-Cannot be duplicated")</f>
        <v> () lvl:1, : + ++You take half Damage from both Chaos and Light. ++Grants a 30% chance to be unaffected by status affects. +-Can only equip one +-Cannot be duplicated</v>
      </c>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t="str">
        <f>IFERROR(__xludf.DUMMYFUNCTION("""COMPUTED_VALUE"""),"Ring o' Loyalty and Celestial")</f>
        <v>Ring o' Loyalty and Celestial</v>
      </c>
      <c r="B554" s="1" t="str">
        <f>IFERROR(__xludf.DUMMYFUNCTION("""COMPUTED_VALUE""")," () lvl:1, : + ++Grants X6 Celestial damage. Take half damage from celestial. +-Can only equip one +-Cannot be duplicated")</f>
        <v> () lvl:1, : + ++Grants X6 Celestial damage. Take half damage from celestial. +-Can only equip one +-Cannot be duplicated</v>
      </c>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t="str">
        <f>IFERROR(__xludf.DUMMYFUNCTION("""COMPUTED_VALUE"""),"Ring o' Arrogance and Twilight")</f>
        <v>Ring o' Arrogance and Twilight</v>
      </c>
      <c r="B555" s="1" t="str">
        <f>IFERROR(__xludf.DUMMYFUNCTION("""COMPUTED_VALUE""")," () lvl:1, : + ++You take Half Damage from both Light and Dark. Grants immunity to Instant Death. +-Can only equip one +-Cannot be duplicated")</f>
        <v> () lvl:1, : + ++You take Half Damage from both Light and Dark. Grants immunity to Instant Death. +-Can only equip one +-Cannot be duplicated</v>
      </c>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t="str">
        <f>IFERROR(__xludf.DUMMYFUNCTION("""COMPUTED_VALUE"""),"Ring o' Grace and Astral")</f>
        <v>Ring o' Grace and Astral</v>
      </c>
      <c r="B556" s="1" t="str">
        <f>IFERROR(__xludf.DUMMYFUNCTION("""COMPUTED_VALUE""")," () lvl:1, : + ++Grants Immunity to Astral. ++You roll twice when rolling to evade and take the higher result. +-Can only equip one +-Cannot be duplicated")</f>
        <v> () lvl:1, : + ++Grants Immunity to Astral. ++You roll twice when rolling to evade and take the higher result. +-Can only equip one +-Cannot be duplicated</v>
      </c>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t="str">
        <f>IFERROR(__xludf.DUMMYFUNCTION("""COMPUTED_VALUE"""),"Ring o' Villainy and Voodoo")</f>
        <v>Ring o' Villainy and Voodoo</v>
      </c>
      <c r="B557" s="1" t="str">
        <f>IFERROR(__xludf.DUMMYFUNCTION("""COMPUTED_VALUE""")," () lvl:1, : + ++Grants Immunity to Voodoo. ++You automatically succeed at using confiscate and get a ++2 to any roll related to committing a crime. X4 Voodoo damage. +-Can only equip one +-Cannot be duplicated. +-Cannot become a Spira guard if you wear t"&amp;"his.")</f>
        <v> () lvl:1, : + ++Grants Immunity to Voodoo. ++You automatically succeed at using confiscate and get a ++2 to any roll related to committing a crime. X4 Voodoo damage. +-Can only equip one +-Cannot be duplicated. +-Cannot become a Spira guard if you wear this.</v>
      </c>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t="str">
        <f>IFERROR(__xludf.DUMMYFUNCTION("""COMPUTED_VALUE"""),"The Bow of The Verdant Forest")</f>
        <v>The Bow of The Verdant Forest</v>
      </c>
      <c r="B558" s="1" t="str">
        <f>IFERROR(__xludf.DUMMYFUNCTION("""COMPUTED_VALUE"""),"Quest Item () lvl:200, DMG: +20000, Chaos DMG: +20000, Nature DMG: +20000, Celestial DMG: +5000 (Forest Paladin Set) ++X2 Nature damage. ++Verdant Shot: Fire a shot dealing your total defense as Nature damage 1000sp. +-Archer, Hunter, and Paladin of The F"&amp;"orest Class only.")</f>
        <v>Quest Item () lvl:200, DMG: +20000, Chaos DMG: +20000, Nature DMG: +20000, Celestial DMG: +5000 (Forest Paladin Set) ++X2 Nature damage. ++Verdant Shot: Fire a shot dealing your total defense as Nature damage 1000sp. +-Archer, Hunter, and Paladin of The Forest Class only.</v>
      </c>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t="str">
        <f>IFERROR(__xludf.DUMMYFUNCTION("""COMPUTED_VALUE"""),"Enchanted Wooden Buckler of The Verdant Forest")</f>
        <v>Enchanted Wooden Buckler of The Verdant Forest</v>
      </c>
      <c r="B559" s="1" t="str">
        <f>IFERROR(__xludf.DUMMYFUNCTION("""COMPUTED_VALUE"""),"Quest Item () lvl:200, DEF: +50000, Water DEF: +25000, Order DEF: +25000, Celestial DEF: +25000 (Forest Paladin Set) ++Counted as a weapon for the purpose of the parry ability. ++Nature's Law: When Fighting in a Natural Environment your total defense is d"&amp;"oubled. +-Archer, Hunter, and Paladin of The Forest Class only.")</f>
        <v>Quest Item () lvl:200, DEF: +50000, Water DEF: +25000, Order DEF: +25000, Celestial DEF: +25000 (Forest Paladin Set) ++Counted as a weapon for the purpose of the parry ability. ++Nature's Law: When Fighting in a Natural Environment your total defense is doubled. +-Archer, Hunter, and Paladin of The Forest Class only.</v>
      </c>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t="str">
        <f>IFERROR(__xludf.DUMMYFUNCTION("""COMPUTED_VALUE"""),"Cowl of the Eagle's Sight")</f>
        <v>Cowl of the Eagle's Sight</v>
      </c>
      <c r="B560" s="1" t="str">
        <f>IFERROR(__xludf.DUMMYFUNCTION("""COMPUTED_VALUE"""),"Quest Item () lvl:200, DEF: +20000, Water DEF: +10000, Order DEF: +10000, Celestial DEF: +10000 (Forest Paladin Set) ++Blessing of The Greens I: X2 Nature damage. ++Eagle Eyed: When in a forest you gain Truesight for the first round of battle. +-Archer, H"&amp;"unter, and Paladin of The Forest Class only.")</f>
        <v>Quest Item () lvl:200, DEF: +20000, Water DEF: +10000, Order DEF: +10000, Celestial DEF: +10000 (Forest Paladin Set) ++Blessing of The Greens I: X2 Nature damage. ++Eagle Eyed: When in a forest you gain Truesight for the first round of battle. +-Archer, Hunter, and Paladin of The Forest Class only.</v>
      </c>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t="str">
        <f>IFERROR(__xludf.DUMMYFUNCTION("""COMPUTED_VALUE"""),"Ailettes of the Forest's Splendor")</f>
        <v>Ailettes of the Forest's Splendor</v>
      </c>
      <c r="B561" s="1" t="str">
        <f>IFERROR(__xludf.DUMMYFUNCTION("""COMPUTED_VALUE"""),"Quest Item () lvl:200, DEF: +20000, Water DEF: +10000, Order DEF: +10000, Celestial DEF: +10000 (Forest Paladin Set) ++Blessing of The Quiver I: X2 Bow damage. +-Archer, Hunter, and Paladin of The Forest Class only.")</f>
        <v>Quest Item () lvl:200, DEF: +20000, Water DEF: +10000, Order DEF: +10000, Celestial DEF: +10000 (Forest Paladin Set) ++Blessing of The Quiver I: X2 Bow damage. +-Archer, Hunter, and Paladin of The Forest Class only.</v>
      </c>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t="str">
        <f>IFERROR(__xludf.DUMMYFUNCTION("""COMPUTED_VALUE"""),"Bracer of Trueshot")</f>
        <v>Bracer of Trueshot</v>
      </c>
      <c r="B562" s="1" t="str">
        <f>IFERROR(__xludf.DUMMYFUNCTION("""COMPUTED_VALUE"""),"Quest Item () lvl:200, DEF: +20000, Water DEF: +10000, Order DEF: +10000, Celestial DEF: +10000 (Forest Paladin Set) ++Blessing of The Forest's Quiver: X2 Nature and Bow damage. ++Deadly Aim: Upon killing an enemy with a bow you double your next attack ro"&amp;"ll with a bow. +-Archer, Hunter, and Paladin of The Forest Class only.")</f>
        <v>Quest Item () lvl:200, 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t="str">
        <f>IFERROR(__xludf.DUMMYFUNCTION("""COMPUTED_VALUE"""),"Leather Cuirass of Barkskin")</f>
        <v>Leather Cuirass of Barkskin</v>
      </c>
      <c r="B563" s="1" t="str">
        <f>IFERROR(__xludf.DUMMYFUNCTION("""COMPUTED_VALUE"""),"Quest Item () lvl:200, DEF: +30000, Water DEF: +15000, Order DEF: +15000, Celestial DEF: +15000 (Forest Paladin Set) ++Blessing of The Greens I: X2 Nature damage. ++Barkskin: X2 defense for self. 50 sp. +-Archer, Hunter, and Paladin of The Forest Class on"&amp;"ly.")</f>
        <v>Quest Item () lvl:200, DEF: +30000, Water DEF: +15000, Order DEF: +15000, Celestial DEF: +15000 (Forest Paladin Set) ++Blessing of The Greens I: X2 Nature damage. ++Barkskin: X2 defense for self. 50 sp. +-Archer, Hunter, and Paladin of The Forest Class only.</v>
      </c>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t="str">
        <f>IFERROR(__xludf.DUMMYFUNCTION("""COMPUTED_VALUE"""),"Greaves of The Verdant Forest")</f>
        <v>Greaves of The Verdant Forest</v>
      </c>
      <c r="B564" s="1" t="str">
        <f>IFERROR(__xludf.DUMMYFUNCTION("""COMPUTED_VALUE"""),"Quest Item () lvl:200, DEF: +20000, Water DEF: +10000, Order DEF: +10000, Celestial DEF: +10000 (Forest Paladin Set) ++Blessing of The Quiver I: X2 Bow damage. +-Archer, Hunter, and Paladin of The Forest Class only.")</f>
        <v>Quest Item () lvl:200, DEF: +20000, Water DEF: +10000, Order DEF: +10000, Celestial DEF: +10000 (Forest Paladin Set) ++Blessing of The Quiver I: X2 Bow damage. +-Archer, Hunter, and Paladin of The Forest Class only.</v>
      </c>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t="str">
        <f>IFERROR(__xludf.DUMMYFUNCTION("""COMPUTED_VALUE"""),"Boots of The Verdant Forest")</f>
        <v>Boots of The Verdant Forest</v>
      </c>
      <c r="B565" s="1" t="str">
        <f>IFERROR(__xludf.DUMMYFUNCTION("""COMPUTED_VALUE"""),"Quest Item () lvl:200, DEF: +20000, Water DEF: +10000, Order DEF: +10000, Celestial DEF: +10000 (Forest Paladin Set) Blessing of The Greens I: X2 Nature damage. Deal X4 Nature damage for the first bow attack you make under the effect of haste +-Archer, Hu"&amp;"nter, and Paladin of The Forest Class only.")</f>
        <v>Quest Item () lvl:200, DEF: +20000, Water DEF: +10000, Order DEF: +10000, Celestial DEF: +10000 (Forest Paladin Set) Blessing of The Greens I: X2 Nature damage. Deal X4 Nature damage for the first bow attack you make under the effect of haste +-Archer, Hunter, and Paladin of The Forest Class only.</v>
      </c>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t="str">
        <f>IFERROR(__xludf.DUMMYFUNCTION("""COMPUTED_VALUE"""),"Emerald Ring of The Forest")</f>
        <v>Emerald Ring of The Forest</v>
      </c>
      <c r="B566" s="1" t="str">
        <f>IFERROR(__xludf.DUMMYFUNCTION("""COMPUTED_VALUE"""),"Quest Item () lvl:1, : + (Forest Paladin Set) ++Regrowth: Heals target by 5000 and grants them Invigorated 5, 75sp. ++X4 outgoing healing +-Archer, Hunter, and Paladin of The Forest Class only.")</f>
        <v>Quest Item () lvl:1, : + (Forest Paladin Set) ++Regrowth: Heals target by 5000 and grants them Invigorated 5, 75sp. ++X4 outgoing healing +-Archer, Hunter, and Paladin of The Forest Class only.</v>
      </c>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t="str">
        <f>IFERROR(__xludf.DUMMYFUNCTION("""COMPUTED_VALUE"""),"Emerald Amulet of The Forest")</f>
        <v>Emerald Amulet of The Forest</v>
      </c>
      <c r="B567" s="1" t="str">
        <f>IFERROR(__xludf.DUMMYFUNCTION("""COMPUTED_VALUE"""),"Quest Item () lvl:1, : + (Forest Paladin Set) ++Artemis' Godly Grace: Grants all allies Invigorated 5, Haste 3, Truesight 3, and 4X defense and Nature Damage, can only be casted once per battle, 500 sp +-Archer, Hunter, and Paladin of The Forest Class onl"&amp;"y.")</f>
        <v>Quest Item () lvl:1, : + (Forest Paladin Set) ++Artemis' Godly Grace: Grants all allies Invigorated 5, Haste 3, Truesight 3, and 4X defense and Nature Damage, can only be casted once per battle, 500 sp +-Archer, Hunter, and Paladin of The Forest Class only.</v>
      </c>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t="str">
        <f>IFERROR(__xludf.DUMMYFUNCTION("""COMPUTED_VALUE"""),"Artemis' Crown of The Forest")</f>
        <v>Artemis' Crown of The Forest</v>
      </c>
      <c r="B568" s="1" t="str">
        <f>IFERROR(__xludf.DUMMYFUNCTION("""COMPUTED_VALUE"""),"Mob Exclusive. The crown that was gifted to Aranyani upon her ascension to godhood () lvl:2000, DEF: +50000, Water DEF: +25000, Order DEF: +25000 ++Blessing of the Forest's Quiver II: X4 Nature and Bow damage. ++Eagle Eyed: When in a forest you gain Trues"&amp;"ight for the first round of battle. ++Goddess's Cold Stare: 15% chance to Freeze all enemies (not affected by modifiers) 1000SP. +-can only be equipped by Artemis.")</f>
        <v>Mob Exclusive. The crown that was gifted to Aranyani upon her ascension to godhood () lvl:2000, 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t="str">
        <f>IFERROR(__xludf.DUMMYFUNCTION("""COMPUTED_VALUE"""),"Artemis' Bow of Divine Wrath")</f>
        <v>Artemis' Bow of Divine Wrath</v>
      </c>
      <c r="B569" s="1" t="str">
        <f>IFERROR(__xludf.DUMMYFUNCTION("""COMPUTED_VALUE"""),"Mob Exclusive. (Bow) lvl:12000, DMG: +200000, Chaos DMG: +200000, Nature DMG: +200000 ++Marked: When affected by Truesight you can mark a single target as per the effect ""Marked"" for 1 round. 20 sp. ++The target cannot resist or be immune to this weapon"&amp;" attack  +-can only be equipped by Artemis")</f>
        <v>Mob Exclusive. (Bow) lvl:12000, DMG: +200000, Chaos DMG: +200000, Nature DMG: +200000 ++Marked: When affected by Truesight you can mark a single target as per the effect "Marked" for 1 round. 20 sp. ++The target cannot resist or be immune to this weapon attack  +-can only be equipped by Artemis</v>
      </c>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t="str">
        <f>IFERROR(__xludf.DUMMYFUNCTION("""COMPUTED_VALUE"""),"Artemis' Shield of Divine Grace")</f>
        <v>Artemis' Shield of Divine Grace</v>
      </c>
      <c r="B570" s="1" t="str">
        <f>IFERROR(__xludf.DUMMYFUNCTION("""COMPUTED_VALUE"""),"Mob Exclusive (Buckler) lvl:6000, DEF: +150000, Water DEF: +75000, Order DEF: +75000 ++Living Shield: When hit by a weapon attack 50% chance to inflict slowness 3 and disarm 3, +-can only be equipped by Artemis.")</f>
        <v>Mob Exclusive (Buckler) lvl:6000, DEF: +150000, Water DEF: +75000, Order DEF: +75000 ++Living Shield: When hit by a weapon attack 50% chance to inflict slowness 3 and disarm 3, +-can only be equipped by Artemis.</v>
      </c>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t="str">
        <f>IFERROR(__xludf.DUMMYFUNCTION("""COMPUTED_VALUE"""),"Artemis' Divine Quiver")</f>
        <v>Artemis' Divine Quiver</v>
      </c>
      <c r="B571" s="1" t="str">
        <f>IFERROR(__xludf.DUMMYFUNCTION("""COMPUTED_VALUE"""),"Mob Exclusive () lvl:1, : + ++Blessing of the Forest's Quiver II: X4 Nature and Bow damage. ++Godspeed: Wearer Gets 2 actions every round. ++Quick Shot: Attack twice with your bow 10000 sp. +-can only be equipped by Artemis.")</f>
        <v>Mob Exclusive () lvl:1, : + ++Blessing of the Forest's Quiver II: X4 Nature and Bow damage. ++Godspeed: Wearer Gets 2 actions every round. ++Quick Shot: Attack twice with your bow 10000 sp. +-can only be equipped by Artemis.</v>
      </c>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t="str">
        <f>IFERROR(__xludf.DUMMYFUNCTION("""COMPUTED_VALUE"""),"Artemis' Toga of Divine Beauty")</f>
        <v>Artemis' Toga of Divine Beauty</v>
      </c>
      <c r="B572" s="1" t="str">
        <f>IFERROR(__xludf.DUMMYFUNCTION("""COMPUTED_VALUE"""),"Mob Exclusive () lvl:4000, DEF: +100000, Water DEF: +50000, Order DEF: +50000 ++Blessing of the Forest's Quiver II: X4 Nature and Bow damage. ++Godly Charm: 10% chance at the start of battle to force an enemy to fight for you +-can only be equipped by Art"&amp;"emis.")</f>
        <v>Mob Exclusive () lvl:4000, DEF: +100000, Water DEF: +50000, Order DEF: +50000 ++Blessing of the Forest's Quiver II: X4 Nature and Bow damage. ++Godly Charm: 10% chance at the start of battle to force an enemy to fight for you +-can only be equipped by Artemis.</v>
      </c>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t="str">
        <f>IFERROR(__xludf.DUMMYFUNCTION("""COMPUTED_VALUE"""),"Artemis' Bracer of The Archer Goddess")</f>
        <v>Artemis' Bracer of The Archer Goddess</v>
      </c>
      <c r="B573" s="1" t="str">
        <f>IFERROR(__xludf.DUMMYFUNCTION("""COMPUTED_VALUE"""),"Mob Exclusive () lvl:2000, DEF: +50000, Water DEF: +25000, Order DEF: +25000 ++Blessing of the Forest's Quiver II: X4 Nature and Bow damage. ++Godly Archery: When you hit an enemy with your bow you gain the effects of Haste +-can only be equipped by Artem"&amp;"is.")</f>
        <v>Mob Exclusive () lvl:2000, DEF: +50000, Water DEF: +25000, Order DEF: +25000 ++Blessing of the Forest's Quiver II: X4 Nature and Bow damage. ++Godly Archery: When you hit an enemy with your bow you gain the effects of Haste +-can only be equipped by Artemis.</v>
      </c>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t="str">
        <f>IFERROR(__xludf.DUMMYFUNCTION("""COMPUTED_VALUE"""),"Artemis' Leggings of Divine Agility")</f>
        <v>Artemis' Leggings of Divine Agility</v>
      </c>
      <c r="B574" s="1" t="str">
        <f>IFERROR(__xludf.DUMMYFUNCTION("""COMPUTED_VALUE"""),"Mob Exclusive () lvl:2000, DEF: +50000, Water DEF: +25000, Order DEF: +25000 ++Blessing of The Greens II: X4 Nature Damage +-can only be equipped by Artemis")</f>
        <v>Mob Exclusive () lvl:2000, DEF: +50000, Water DEF: +25000, Order DEF: +25000 ++Blessing of The Greens II: X4 Nature Damage +-can only be equipped by Artemis</v>
      </c>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t="str">
        <f>IFERROR(__xludf.DUMMYFUNCTION("""COMPUTED_VALUE"""),"Artemis' Sandals of Divine Speed")</f>
        <v>Artemis' Sandals of Divine Speed</v>
      </c>
      <c r="B575" s="1" t="str">
        <f>IFERROR(__xludf.DUMMYFUNCTION("""COMPUTED_VALUE"""),"Mob Exclusive () lvl:2000, DEF: +50000, Water DEF: +25000, Order DEF: +25000 ++Blessing of Speed: when affected by haste you gain an extra action. +-can only be equipped by Artemis.")</f>
        <v>Mob Exclusive () lvl:2000, DEF: +50000, Water DEF: +25000, Order DEF: +25000 ++Blessing of Speed: when affected by haste you gain an extra action. +-can only be equipped by Artemis.</v>
      </c>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t="str">
        <f>IFERROR(__xludf.DUMMYFUNCTION("""COMPUTED_VALUE"""),"Artemis' Ring")</f>
        <v>Artemis' Ring</v>
      </c>
      <c r="B576" s="1" t="str">
        <f>IFERROR(__xludf.DUMMYFUNCTION("""COMPUTED_VALUE"""),"Mob Exclusive () lvl:1, : + ++10% chance to revive after dying once. +-can only be equipped by Artemis.")</f>
        <v>Mob Exclusive () lvl:1, : + ++10% chance to revive after dying once. +-can only be equipped by Artemis.</v>
      </c>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t="str">
        <f>IFERROR(__xludf.DUMMYFUNCTION("""COMPUTED_VALUE"""),"Artemis' Fang Necklace")</f>
        <v>Artemis' Fang Necklace</v>
      </c>
      <c r="B577" s="1" t="str">
        <f>IFERROR(__xludf.DUMMYFUNCTION("""COMPUTED_VALUE"""),"Mob Exclusive () lvl:1, : + Upon killing an enemy you emit a sharp aura with a 10% chance of instant death to all enemies. +-can only be equipped by Artemis.")</f>
        <v>Mob Exclusive () lvl:1, : + Upon killing an enemy you emit a sharp aura with a 10% chance of instant death to all enemies. +-can only be equipped by Artemis.</v>
      </c>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t="str">
        <f>IFERROR(__xludf.DUMMYFUNCTION("""COMPUTED_VALUE"""),"Forged Paladin's Helm")</f>
        <v>Forged Paladin's Helm</v>
      </c>
      <c r="B578" s="1" t="str">
        <f>IFERROR(__xludf.DUMMYFUNCTION("""COMPUTED_VALUE"""),"Quest Item () lvl:200, DEF: +25000, Fire DEF: +10000, Water DEF: +5000, Nature DEF: +25000, Celestial DEF: +10000 ++X2 Firearm damage. ++Weakness Detection: When attacking an enemy with fire vulnerability roll twice and take the higher roll for all attack"&amp;"s against that enemy. +-Forged Paladin Class Only.")</f>
        <v>Quest Item () lvl:200, DEF: +25000, Fire DEF: +10000, Water DEF: +5000, Nature DEF: +25000, Celestial DEF: +10000 ++X2 Firearm damage. ++Weakness Detection: When attacking an enemy with fire vulnerability roll twice and take the higher roll for all attacks against that enemy. +-Forged Paladin Class Only.</v>
      </c>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t="str">
        <f>IFERROR(__xludf.DUMMYFUNCTION("""COMPUTED_VALUE"""),"Forged Paladin's Pauldrons")</f>
        <v>Forged Paladin's Pauldrons</v>
      </c>
      <c r="B579" s="1" t="str">
        <f>IFERROR(__xludf.DUMMYFUNCTION("""COMPUTED_VALUE"""),"Quest Item () lvl:200, DEF: +25000, Fire DEF: +10000, Water DEF: +5000, Nature DEF: +25000, Celestial DEF: +10000 ++When hit with a non-natural attack inflict the attacker with Burn 1000 for 3 rounds +-Forged Paladin Class Only.")</f>
        <v>Quest Item () lvl:200, DEF: +25000, Fire DEF: +10000, Water DEF: +5000, Nature DEF: +25000, Celestial DEF: +10000 ++When hit with a non-natural attack inflict the attacker with Burn 1000 for 3 rounds +-Forged Paladin Class Only.</v>
      </c>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t="str">
        <f>IFERROR(__xludf.DUMMYFUNCTION("""COMPUTED_VALUE"""),"Forged Paladin's Plate")</f>
        <v>Forged Paladin's Plate</v>
      </c>
      <c r="B580" s="1" t="str">
        <f>IFERROR(__xludf.DUMMYFUNCTION("""COMPUTED_VALUE"""),"Quest Item () lvl:200, DEF: +35000, Fire DEF: +15000, Water DEF: +5000, Nature DEF: +30000, Celestial DEF: +15000 ++X4 Fire damage. ++fire immunity +-Forged Paladin Class Only.")</f>
        <v>Quest Item () lvl:200, DEF: +35000, Fire DEF: +15000, Water DEF: +5000, Nature DEF: +30000, Celestial DEF: +15000 ++X4 Fire damage. ++fire immunity +-Forged Paladin Class Only.</v>
      </c>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t="str">
        <f>IFERROR(__xludf.DUMMYFUNCTION("""COMPUTED_VALUE"""),"Forged Paladin's Vambraces")</f>
        <v>Forged Paladin's Vambraces</v>
      </c>
      <c r="B581" s="1" t="str">
        <f>IFERROR(__xludf.DUMMYFUNCTION("""COMPUTED_VALUE"""),"Quest Item () lvl:200, DEF: +25000, Fire DEF: +10000, Water DEF: +5000, Nature DEF: +25000, Celestial DEF: +10000 ++When attacking with a firearm deal X4 damage. ++The target cannot resist or be immune to fire damage dealt by firearms. +-Forged Paladin Cl"&amp;"ass Only.")</f>
        <v>Quest Item () lvl:200, DEF: +25000, Fire DEF: +10000, Water DEF: +5000, Nature DEF: +25000, Celestial DEF: +10000 ++When attacking with a firearm deal X4 damage. ++The target cannot resist or be immune to fire damage dealt by firearms. +-Forged Paladin Class Only.</v>
      </c>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t="str">
        <f>IFERROR(__xludf.DUMMYFUNCTION("""COMPUTED_VALUE"""),"Forged Firearm")</f>
        <v>Forged Firearm</v>
      </c>
      <c r="B582" s="1" t="str">
        <f>IFERROR(__xludf.DUMMYFUNCTION("""COMPUTED_VALUE"""),"Quest Item (Firearm) lvl:200, DMG: +50000, Fire DMG: +25000, Celestial DMG: +25000 ++X2 Firearm Damage. ++When equipped with the rest of the Forged Paladin gear deal X6 damage with this weapon. +-Forged Paladin Class Only.")</f>
        <v>Quest Item (Firearm) lvl:200, DMG: +50000, Fire DMG: +25000, Celestial DMG: +25000 ++X2 Firearm Damage. ++When equipped with the rest of the Forged Paladin gear deal X6 damage with this weapon. +-Forged Paladin Class Only.</v>
      </c>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t="str">
        <f>IFERROR(__xludf.DUMMYFUNCTION("""COMPUTED_VALUE"""),"Forged Towershield")</f>
        <v>Forged Towershield</v>
      </c>
      <c r="B583" s="1" t="str">
        <f>IFERROR(__xludf.DUMMYFUNCTION("""COMPUTED_VALUE"""),"Quest Item (Towershield) lvl:200, DEF: +50000, Fire DEF: +25000, Water DEF: +15000, Nature DEF: +50000, Celestial DEF: +25000 ++X2 defense. ++When equipped with the rest of the Forged Paladin gear gain X6 defense. +-Forged Paladin Class Only.")</f>
        <v>Quest Item (Towershield) lvl:200, DEF: +50000, Fire DEF: +25000, Water DEF: +15000, Nature DEF: +50000, Celestial DEF: +25000 ++X2 defense. ++When equipped with the rest of the Forged Paladin gear gain X6 defense. +-Forged Paladin Class Only.</v>
      </c>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t="str">
        <f>IFERROR(__xludf.DUMMYFUNCTION("""COMPUTED_VALUE"""),"Forged Leg guard")</f>
        <v>Forged Leg guard</v>
      </c>
      <c r="B584" s="1" t="str">
        <f>IFERROR(__xludf.DUMMYFUNCTION("""COMPUTED_VALUE"""),"Quest Item () lvl:200, DEF: +25000, Fire DEF: +10000, Water DEF: +5000, Nature DEF: +25000, Celestial DEF: +10000 ++When affected by Burn, Heal by the damage instead. +-Forged Paladin Class Only.")</f>
        <v>Quest Item () lvl:200, DEF: +25000, Fire DEF: +10000, Water DEF: +5000, Nature DEF: +25000, Celestial DEF: +10000 ++When affected by Burn, Heal by the damage instead. +-Forged Paladin Class Only.</v>
      </c>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t="str">
        <f>IFERROR(__xludf.DUMMYFUNCTION("""COMPUTED_VALUE"""),"Forged Sabatons")</f>
        <v>Forged Sabatons</v>
      </c>
      <c r="B585" s="1" t="str">
        <f>IFERROR(__xludf.DUMMYFUNCTION("""COMPUTED_VALUE"""),"Quest Item () lvl:200, DEF: +25000, Fire DEF: +10000, Water DEF: +5000, Nature DEF: +25000, Celestial DEF: +10000 ++When attacking with a fire spell add ++5 to roll. +-Forged Paladin Class Only.")</f>
        <v>Quest Item () lvl:200, DEF: +25000, Fire DEF: +10000, Water DEF: +5000, Nature DEF: +25000, Celestial DEF: +10000 ++When attacking with a fire spell add ++5 to roll. +-Forged Paladin Class Only.</v>
      </c>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t="str">
        <f>IFERROR(__xludf.DUMMYFUNCTION("""COMPUTED_VALUE"""),"Scrap Ring")</f>
        <v>Scrap Ring</v>
      </c>
      <c r="B586" s="1" t="str">
        <f>IFERROR(__xludf.DUMMYFUNCTION("""COMPUTED_VALUE"""),"Quest Item () lvl:1, : + ++When you attack an enemy with a firearm, inflict Marked 3. +-Forged Paladin Class Only.")</f>
        <v>Quest Item () lvl:1, : + ++When you attack an enemy with a firearm, inflict Marked 3. +-Forged Paladin Class Only.</v>
      </c>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t="str">
        <f>IFERROR(__xludf.DUMMYFUNCTION("""COMPUTED_VALUE"""),"Scrap Gorget")</f>
        <v>Scrap Gorget</v>
      </c>
      <c r="B587" s="1" t="str">
        <f>IFERROR(__xludf.DUMMYFUNCTION("""COMPUTED_VALUE"""),"Quest Item () lvl:1, : + ++When being attacked with any form of firearm deal half damage back to the enemy that attacked you. +-Forged Paladin Class Only.")</f>
        <v>Quest Item () lvl:1, : + ++When being attacked with any form of firearm deal half damage back to the enemy that attacked you. +-Forged Paladin Class Only.</v>
      </c>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t="str">
        <f>IFERROR(__xludf.DUMMYFUNCTION("""COMPUTED_VALUE"""),"Minstrel's Cap")</f>
        <v>Minstrel's Cap</v>
      </c>
      <c r="B588" s="1" t="str">
        <f>IFERROR(__xludf.DUMMYFUNCTION("""COMPUTED_VALUE"""),"Quest Item () lvl:400, DEF: +20000 ++20,000 ACC and ATK. ++Upon reaching 5 stacks of Disoriented inflict Marked 3 on all enemies. +-Paladin of The Party and Bard Class only.")</f>
        <v>Quest Item () lvl:400, DEF: +20000 ++20,000 ACC and ATK. ++Upon reaching 5 stacks of Disoriented inflict Marked 3 on all enemies. +-Paladin of The Party and Bard Class only.</v>
      </c>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t="str">
        <f>IFERROR(__xludf.DUMMYFUNCTION("""COMPUTED_VALUE"""),"Minstrel's Cape")</f>
        <v>Minstrel's Cape</v>
      </c>
      <c r="B589" s="1" t="str">
        <f>IFERROR(__xludf.DUMMYFUNCTION("""COMPUTED_VALUE"""),"Quest Item () lvl:400, DEF: +20000 ++ 20,000 ACC and ATK. ++When casting any form of buffing spell, double the effects for the rest of the round. +-Paladin of The Party and Bard Class only.")</f>
        <v>Quest Item () lvl:400, DEF: +20000 ++ 20,000 ACC and ATK. ++When casting any form of buffing spell, double the effects for the rest of the round. +-Paladin of The Party and Bard Class only.</v>
      </c>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t="str">
        <f>IFERROR(__xludf.DUMMYFUNCTION("""COMPUTED_VALUE"""),"Minstrel's Doublet")</f>
        <v>Minstrel's Doublet</v>
      </c>
      <c r="B590" s="1" t="str">
        <f>IFERROR(__xludf.DUMMYFUNCTION("""COMPUTED_VALUE"""),"Quest Item () lvl:800, DEF: +40000 ++20,000 ACC and ATK. ++Upon surpassing 3 stacks of Disoriented you gain Invigorated until you drop below 3 stacks of Disoriented. +-Paladin of The Party and Bard Class only.")</f>
        <v>Quest Item () lvl:800, DEF: +40000 ++20,000 ACC and ATK. ++Upon surpassing 3 stacks of Disoriented you gain Invigorated until you drop below 3 stacks of Disoriented. +-Paladin of The Party and Bard Class only.</v>
      </c>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t="str">
        <f>IFERROR(__xludf.DUMMYFUNCTION("""COMPUTED_VALUE"""),"Minstrel's Cuffs")</f>
        <v>Minstrel's Cuffs</v>
      </c>
      <c r="B591" s="1" t="str">
        <f>IFERROR(__xludf.DUMMYFUNCTION("""COMPUTED_VALUE"""),"Quest Item () lvl:400, DEF: +20000 ++20,000 ACC and ATK. ++When using the entire Minstrel set you Double the DEF, ACC, and ATK of all allies. +-Paladin of The Party and Bard Class only.")</f>
        <v>Quest Item () lvl:400, DEF: +20000 ++20,000 ACC and ATK. ++When using the entire Minstrel set you Double the DEF, ACC, and ATK of all allies. +-Paladin of The Party and Bard Class only.</v>
      </c>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t="str">
        <f>IFERROR(__xludf.DUMMYFUNCTION("""COMPUTED_VALUE"""),"Heavenly Lute")</f>
        <v>Heavenly Lute</v>
      </c>
      <c r="B592" s="1" t="str">
        <f>IFERROR(__xludf.DUMMYFUNCTION("""COMPUTED_VALUE"""),"Quest Item (Instrument) lvl:900, DMG: +20000, Acoustic DMG: +25000 ++When attacking an enemy with this weapon gain 1 stack of Disoriented. ++May The Show Go On!: Expend all stacks of Disoriented dealing X*15000 Acoustic Damage for every stack of Disorient"&amp;"ed expended,100 sp. +-Paladin of The Party and Bard Class only.")</f>
        <v>Quest Item (Instrument) lvl:900, DMG: +20000, Acoustic DMG: +25000 ++When attacking an enemy with this weapon gain 1 stack of Disoriented. ++May The Show Go On!: Expend all stacks of Disoriented dealing X*15000 Acoustic Damage for every stack of Disoriented expended,100 sp. +-Paladin of The Party and Bard Class only.</v>
      </c>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t="str">
        <f>IFERROR(__xludf.DUMMYFUNCTION("""COMPUTED_VALUE"""),"Wine Stained Buckler With Portable Alcoholism")</f>
        <v>Wine Stained Buckler With Portable Alcoholism</v>
      </c>
      <c r="B593" s="1" t="str">
        <f>IFERROR(__xludf.DUMMYFUNCTION("""COMPUTED_VALUE"""),"Quest Item (Buckler) lvl:1500, DEF: +50000, Acoustic DEF: +25000 ++Free Wine for All!: When hitting an enemy with this Buckler inflict 3 stacks of Disoriented on that enemy. +-That all you got?: When hit by any attack take 2 stacks of Disoriented. +-Palad"&amp;"in of The Party and Bard Class only.")</f>
        <v>Quest Item (Buckler) lvl:1500, DEF: +50000, Acoustic DEF: +25000 ++Free Wine for All!: When hitting an enemy with this Buckler inflict 3 stacks of Disoriented on that enemy. +-That all you got?: When hit by any attack take 2 stacks of Disoriented. +-Paladin of The Party and Bard Class only.</v>
      </c>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t="str">
        <f>IFERROR(__xludf.DUMMYFUNCTION("""COMPUTED_VALUE"""),"Minstrel's Tights")</f>
        <v>Minstrel's Tights</v>
      </c>
      <c r="B594" s="1" t="str">
        <f>IFERROR(__xludf.DUMMYFUNCTION("""COMPUTED_VALUE"""),"Quest Item () lvl:400, DEF: +20000 ++20,000 ACC and ATK. ++X2 Acoustic Damage +-Paladin of The Party and Bard Class only.")</f>
        <v>Quest Item () lvl:400, DEF: +20000 ++20,000 ACC and ATK. ++X2 Acoustic Damage +-Paladin of The Party and Bard Class only.</v>
      </c>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t="str">
        <f>IFERROR(__xludf.DUMMYFUNCTION("""COMPUTED_VALUE"""),"Minstrel's Boots")</f>
        <v>Minstrel's Boots</v>
      </c>
      <c r="B595" s="1" t="str">
        <f>IFERROR(__xludf.DUMMYFUNCTION("""COMPUTED_VALUE"""),"Quest Item () lvl:400, DEF: +20000 ++20,000 ACC and ATK. ++Never Ending Dance of The Divine: Upon reaching 5 stacks of Disoriented inflict Haste 3 to all allies +-Paladin of The Party and Bard Class only.")</f>
        <v>Quest Item () lvl:400, DEF: +20000 ++20,000 ACC and ATK. ++Never Ending Dance of The Divine: Upon reaching 5 stacks of Disoriented inflict Haste 3 to all allies +-Paladin of The Party and Bard Class only.</v>
      </c>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t="str">
        <f>IFERROR(__xludf.DUMMYFUNCTION("""COMPUTED_VALUE"""),"Brass Ring of Blackout Drunkenness")</f>
        <v>Brass Ring of Blackout Drunkenness</v>
      </c>
      <c r="B596" s="1" t="str">
        <f>IFERROR(__xludf.DUMMYFUNCTION("""COMPUTED_VALUE"""),"Quest Item () lvl:1, : + ++Upon Reaching 10 stacks of Disoriented remove a random enemy from battle whilst also being removed from battle yourself. +-Paladin of The Party and Bard Class only.")</f>
        <v>Quest Item () lvl:1, : + ++Upon Reaching 10 stacks of Disoriented remove a random enemy from battle whilst also being removed from battle yourself. +-Paladin of The Party and Bard Class only.</v>
      </c>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t="str">
        <f>IFERROR(__xludf.DUMMYFUNCTION("""COMPUTED_VALUE"""),"Wreath of The Party's Fervor")</f>
        <v>Wreath of The Party's Fervor</v>
      </c>
      <c r="B597" s="1" t="str">
        <f>IFERROR(__xludf.DUMMYFUNCTION("""COMPUTED_VALUE"""),"Quest Item () lvl:1, : + ++When dealing Acoustic damage to any enemy there is a 5% chance for that enemy to be pacified for 3 rounds +-Paladin of The Party and Bard Class only.")</f>
        <v>Quest Item () lvl:1, : + ++When dealing Acoustic damage to any enemy there is a 5% chance for that enemy to be pacified for 3 rounds +-Paladin of The Party and Bard Class only.</v>
      </c>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t="str">
        <f>IFERROR(__xludf.DUMMYFUNCTION("""COMPUTED_VALUE"""),"Pauldrons of Tritonoch")</f>
        <v>Pauldrons of Tritonoch</v>
      </c>
      <c r="B598" s="1" t="str">
        <f>IFERROR(__xludf.DUMMYFUNCTION("""COMPUTED_VALUE""")," () lvl:800, DEF: +20000, Water DEF: +20000 ++Waves of Entitlement - x5 additional Water damage")</f>
        <v> () lvl:800, DEF: +20000, Water DEF: +20000 ++Waves of Entitlement - x5 additional Water damage</v>
      </c>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t="str">
        <f>IFERROR(__xludf.DUMMYFUNCTION("""COMPUTED_VALUE"""),"Chestplate of Tritonoch")</f>
        <v>Chestplate of Tritonoch</v>
      </c>
      <c r="B599" s="1" t="str">
        <f>IFERROR(__xludf.DUMMYFUNCTION("""COMPUTED_VALUE""")," () lvl:800, DEF: +20000, Water DEF: +20000 ++Waves of Entitlement - x5 additional Water damage")</f>
        <v> () lvl:800, DEF: +20000, Water DEF: +20000 ++Waves of Entitlement - x5 additional Water damage</v>
      </c>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t="str">
        <f>IFERROR(__xludf.DUMMYFUNCTION("""COMPUTED_VALUE"""),"Vambraces of Tritonoch")</f>
        <v>Vambraces of Tritonoch</v>
      </c>
      <c r="B600" s="1" t="str">
        <f>IFERROR(__xludf.DUMMYFUNCTION("""COMPUTED_VALUE""")," () lvl:800, DEF: +20000, Water DEF: +20000 ++Waves of Entitlement - x5 additional Water damage")</f>
        <v> () lvl:800, DEF: +20000, Water DEF: +20000 ++Waves of Entitlement - x5 additional Water damage</v>
      </c>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t="str">
        <f>IFERROR(__xludf.DUMMYFUNCTION("""COMPUTED_VALUE"""),"Trident of Tritonoch")</f>
        <v>Trident of Tritonoch</v>
      </c>
      <c r="B601" s="1" t="str">
        <f>IFERROR(__xludf.DUMMYFUNCTION("""COMPUTED_VALUE""")," (Spear) lvl:200, DMG: +20000, Water DMG: +20000, Celestial DMG: +20000 ++Waves of Entitlement II - x10 additional Water damage. 20% chance of Slowness 3 to the target. +-Cannot be duplicated")</f>
        <v> (Spear) lvl:200, DMG: +20000, Water DMG: +20000, Celestial DMG: +20000 ++Waves of Entitlement II - x10 additional Water damage. 20% chance of Slowness 3 to the target. +-Cannot be duplicated</v>
      </c>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t="str">
        <f>IFERROR(__xludf.DUMMYFUNCTION("""COMPUTED_VALUE"""),"Boots of Tritonoch")</f>
        <v>Boots of Tritonoch</v>
      </c>
      <c r="B602" s="1" t="str">
        <f>IFERROR(__xludf.DUMMYFUNCTION("""COMPUTED_VALUE""")," () lvl:800, DEF: +20000, Water DEF: +20000 ++Waves of Entitlement - x5 additional Water damage")</f>
        <v> () lvl:800, DEF: +20000, Water DEF: +20000 ++Waves of Entitlement - x5 additional Water damage</v>
      </c>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t="str">
        <f>IFERROR(__xludf.DUMMYFUNCTION("""COMPUTED_VALUE"""),"Steel Bandit Dagger")</f>
        <v>Steel Bandit Dagger</v>
      </c>
      <c r="B603" s="1" t="str">
        <f>IFERROR(__xludf.DUMMYFUNCTION("""COMPUTED_VALUE""")," (Knife) lvl:1000, DMG: +50000 ++10% chance to steal gilders upon hitting an enemy guilders stolen are equivalent to 1,000*d20")</f>
        <v> (Knife) lvl:1000, DMG: +50000 ++10% chance to steal gilders upon hitting an enemy guilders stolen are equivalent to 1,000*d20</v>
      </c>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t="str">
        <f>IFERROR(__xludf.DUMMYFUNCTION("""COMPUTED_VALUE"""),"Bandit Hide Helm")</f>
        <v>Bandit Hide Helm</v>
      </c>
      <c r="B604" s="1" t="str">
        <f>IFERROR(__xludf.DUMMYFUNCTION("""COMPUTED_VALUE""")," () lvl:1000, DEF: +50000")</f>
        <v> () lvl:1000, DEF: +50000</v>
      </c>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t="str">
        <f>IFERROR(__xludf.DUMMYFUNCTION("""COMPUTED_VALUE"""),"Bandit Hide Padding")</f>
        <v>Bandit Hide Padding</v>
      </c>
      <c r="B605" s="1" t="str">
        <f>IFERROR(__xludf.DUMMYFUNCTION("""COMPUTED_VALUE""")," () lvl:1000, DEF: +50000")</f>
        <v> () lvl:1000, DEF: +50000</v>
      </c>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t="str">
        <f>IFERROR(__xludf.DUMMYFUNCTION("""COMPUTED_VALUE"""),"Bandit Hide Chestplate")</f>
        <v>Bandit Hide Chestplate</v>
      </c>
      <c r="B606" s="1" t="str">
        <f>IFERROR(__xludf.DUMMYFUNCTION("""COMPUTED_VALUE""")," () lvl:1000, DEF: +50000 ++X2 damage with Knives")</f>
        <v> () lvl:1000, DEF: +50000 ++X2 damage with Knives</v>
      </c>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t="str">
        <f>IFERROR(__xludf.DUMMYFUNCTION("""COMPUTED_VALUE"""),"Bandit Hide Vambraces")</f>
        <v>Bandit Hide Vambraces</v>
      </c>
      <c r="B607" s="1" t="str">
        <f>IFERROR(__xludf.DUMMYFUNCTION("""COMPUTED_VALUE""")," () lvl:1000, DEF: +50000")</f>
        <v> () lvl:1000, DEF: +50000</v>
      </c>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t="str">
        <f>IFERROR(__xludf.DUMMYFUNCTION("""COMPUTED_VALUE"""),"Bandit Hide Greaves")</f>
        <v>Bandit Hide Greaves</v>
      </c>
      <c r="B608" s="1" t="str">
        <f>IFERROR(__xludf.DUMMYFUNCTION("""COMPUTED_VALUE""")," () lvl:1000, DEF: +50000")</f>
        <v> () lvl:1000, DEF: +50000</v>
      </c>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t="str">
        <f>IFERROR(__xludf.DUMMYFUNCTION("""COMPUTED_VALUE"""),"Bandit Hide Boots")</f>
        <v>Bandit Hide Boots</v>
      </c>
      <c r="B609" s="1" t="str">
        <f>IFERROR(__xludf.DUMMYFUNCTION("""COMPUTED_VALUE""")," () lvl:1000, DEF: +50000  ++5 to all confiscate, pickpocket, or take rolls")</f>
        <v> () lvl:1000, DEF: +50000  ++5 to all confiscate, pickpocket, or take rolls</v>
      </c>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t="str">
        <f>IFERROR(__xludf.DUMMYFUNCTION("""COMPUTED_VALUE"""),"Nunchucks")</f>
        <v>Nunchucks</v>
      </c>
      <c r="B610" s="1" t="str">
        <f>IFERROR(__xludf.DUMMYFUNCTION("""COMPUTED_VALUE""")," (Club) lvl:3000, DMG: +150000 ++10% chance to disarm your enemy when hitting them")</f>
        <v> (Club) lvl:3000, DMG: +150000 ++10% chance to disarm your enemy when hitting them</v>
      </c>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t="str">
        <f>IFERROR(__xludf.DUMMYFUNCTION("""COMPUTED_VALUE"""),"Shuriken (Enhanced)")</f>
        <v>Shuriken (Enhanced)</v>
      </c>
      <c r="B611" s="1" t="str">
        <f>IFERROR(__xludf.DUMMYFUNCTION("""COMPUTED_VALUE"""),"the tantamount Ninja weapon, requires a level of dexterity you probably don't possess (Boomerang) lvl:1500, DMG: +50000, Blood DMG: +25000 ++Returns when thrown, can throw up to 4 in one attack (roll 1d4 to determine)")</f>
        <v>the tantamount Ninja weapon, requires a level of dexterity you probably don't possess (Boomerang) lvl:1500, DMG: +50000, Blood DMG: +25000 ++Returns when thrown, can throw up to 4 in one attack (roll 1d4 to determine)</v>
      </c>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t="str">
        <f>IFERROR(__xludf.DUMMYFUNCTION("""COMPUTED_VALUE"""),"Poison Dart Gun")</f>
        <v>Poison Dart Gun</v>
      </c>
      <c r="B612" s="1" t="str">
        <f>IFERROR(__xludf.DUMMYFUNCTION("""COMPUTED_VALUE"""),"Poisoners first, and most trusty weapon. Nearly as old as the poison masters themselves these weapons have been part of the  (Firearm) lvl:2000, DMG: +75000, Voodoo DMG: +25000 ++Inflicts Poison 2500 for 2 rounds. ++Uses darts as ammo")</f>
        <v>Poisoners first, and most trusty weapon. Nearly as old as the poison masters themselves these weapons have been part of the  (Firearm) lvl:2000, DMG: +75000, Voodoo DMG: +25000 ++Inflicts Poison 2500 for 2 rounds. ++Uses darts as ammo</v>
      </c>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t="str">
        <f>IFERROR(__xludf.DUMMYFUNCTION("""COMPUTED_VALUE"""),"Poison Tipped Needle")</f>
        <v>Poison Tipped Needle</v>
      </c>
      <c r="B613" s="1" t="str">
        <f>IFERROR(__xludf.DUMMYFUNCTION("""COMPUTED_VALUE"""),"A needle dipped in master Wushang's thousand poisons or some other Wuxia novel esque bullshit (Knife) lvl:2000, DMG: +75000, Voodoo DMG: +25000 ++When rolling a Natural 19 or 20 deals X3 Damage. ++Inflicts Poison 100")</f>
        <v>A needle dipped in master Wushang's thousand poisons or some other Wuxia novel esque bullshit (Knife) lvl:2000, DMG: +75000, Voodoo DMG: +25000 ++When rolling a Natural 19 or 20 deals X3 Damage. ++Inflicts Poison 100</v>
      </c>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t="str">
        <f>IFERROR(__xludf.DUMMYFUNCTION("""COMPUTED_VALUE"""),"Katana (Enhanced)")</f>
        <v>Katana (Enhanced)</v>
      </c>
      <c r="B614" s="1" t="str">
        <f>IFERROR(__xludf.DUMMYFUNCTION("""COMPUTED_VALUE"""),"The sword of weebs and actual samurai alike, surprisingly yes, weebs do exist in Spira (Sword) lvl:2500, DMG: +125000 ++Triples the chance for the sword ability to activate, +-Cannot be Forged")</f>
        <v>The sword of weebs and actual samurai alike, surprisingly yes, weebs do exist in Spira (Sword) lvl:2500, DMG: +125000 ++Triples the chance for the sword ability to activate, +-Cannot be Forged</v>
      </c>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t="str">
        <f>IFERROR(__xludf.DUMMYFUNCTION("""COMPUTED_VALUE"""),"Ninja Initiate's Cowl")</f>
        <v>Ninja Initiate's Cowl</v>
      </c>
      <c r="B615" s="1" t="str">
        <f>IFERROR(__xludf.DUMMYFUNCTION("""COMPUTED_VALUE"""),"Armor given to newbie Ninja's who have yet to choose a master () lvl:2500, DEF: +125000 ++X2 damage with Knives")</f>
        <v>Armor given to newbie Ninja's who have yet to choose a master () lvl:2500, DEF: +125000 ++X2 damage with Knives</v>
      </c>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t="str">
        <f>IFERROR(__xludf.DUMMYFUNCTION("""COMPUTED_VALUE"""),"Ninja Initiate's Cape")</f>
        <v>Ninja Initiate's Cape</v>
      </c>
      <c r="B616" s="1" t="str">
        <f>IFERROR(__xludf.DUMMYFUNCTION("""COMPUTED_VALUE"""),"Armor given to newbie Ninja's who have yet to choose a master () lvl:2500, DEF: +125000 ++X2 damage with Knives")</f>
        <v>Armor given to newbie Ninja's who have yet to choose a master () lvl:2500, DEF: +125000 ++X2 damage with Knives</v>
      </c>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t="str">
        <f>IFERROR(__xludf.DUMMYFUNCTION("""COMPUTED_VALUE"""),"Ninja Initiate's Vest")</f>
        <v>Ninja Initiate's Vest</v>
      </c>
      <c r="B617" s="1" t="str">
        <f>IFERROR(__xludf.DUMMYFUNCTION("""COMPUTED_VALUE"""),"Armor given to newbie Ninja's who have yet to choose a master () lvl:2500, DEF: +125000 ++X2 damage with Knives")</f>
        <v>Armor given to newbie Ninja's who have yet to choose a master () lvl:2500, DEF: +125000 ++X2 damage with Knives</v>
      </c>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t="str">
        <f>IFERROR(__xludf.DUMMYFUNCTION("""COMPUTED_VALUE"""),"Ninja Initiate's Gloves")</f>
        <v>Ninja Initiate's Gloves</v>
      </c>
      <c r="B618" s="1" t="str">
        <f>IFERROR(__xludf.DUMMYFUNCTION("""COMPUTED_VALUE"""),"Armor given to newbie Ninja's who have yet to choose a master () lvl:2500, DEF: +125000 ++X2 damage with Knives")</f>
        <v>Armor given to newbie Ninja's who have yet to choose a master () lvl:2500, DEF: +125000 ++X2 damage with Knives</v>
      </c>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t="str">
        <f>IFERROR(__xludf.DUMMYFUNCTION("""COMPUTED_VALUE"""),"Ninja Initiate's Sarouel")</f>
        <v>Ninja Initiate's Sarouel</v>
      </c>
      <c r="B619" s="1" t="str">
        <f>IFERROR(__xludf.DUMMYFUNCTION("""COMPUTED_VALUE"""),"Armor given to newbie Ninja's who have yet to choose a master () lvl:2500, DEF: +125000 ++X2 damage with Knives")</f>
        <v>Armor given to newbie Ninja's who have yet to choose a master () lvl:2500, DEF: +125000 ++X2 damage with Knives</v>
      </c>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t="str">
        <f>IFERROR(__xludf.DUMMYFUNCTION("""COMPUTED_VALUE"""),"Ninja Initiate's Sandals")</f>
        <v>Ninja Initiate's Sandals</v>
      </c>
      <c r="B620" s="1" t="str">
        <f>IFERROR(__xludf.DUMMYFUNCTION("""COMPUTED_VALUE"""),"Armor given to newbie Ninja's who have yet to choose a master () lvl:2500, DEF: +125000 ++X2 damage with Knives")</f>
        <v>Armor given to newbie Ninja's who have yet to choose a master () lvl:2500, DEF: +125000 ++X2 damage with Knives</v>
      </c>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t="str">
        <f>IFERROR(__xludf.DUMMYFUNCTION("""COMPUTED_VALUE"""),"Sai")</f>
        <v>Sai</v>
      </c>
      <c r="B621" s="1" t="str">
        <f>IFERROR(__xludf.DUMMYFUNCTION("""COMPUTED_VALUE"""),"A weapon designed for redirecting an enemies blade and then striking for their vitals (Knife) lvl:2500, DEF: +125000 ++Defensive Fighting: This weapon uses it's DEF as damage for attacks made with the weapon. ++Dastardly Deflection: 25% chance to parry an"&amp;"y weapon attacks targeting the user.")</f>
        <v>A weapon designed for redirecting an enemies blade and then striking for their vitals (Knife) lvl:2500, DEF: +125000 ++Defensive Fighting: This weapon uses it's DEF as damage for attacks made with the weapon. ++Dastardly Deflection: 25% chance to parry any weapon attacks targeting the user.</v>
      </c>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t="str">
        <f>IFERROR(__xludf.DUMMYFUNCTION("""COMPUTED_VALUE"""),"Poison Master's Mask")</f>
        <v>Poison Master's Mask</v>
      </c>
      <c r="B622" s="1" t="str">
        <f>IFERROR(__xludf.DUMMYFUNCTION("""COMPUTED_VALUE"""),"The Armor of the Poison masters. Completely covers the bodies of the Poison master which has decayed beyond recognition from their continued usage of poison. () lvl:2500, DEF: +125000 ++X2 Poison damage")</f>
        <v>The Armor of the Poison masters. Completely covers the bodies of the Poison master which has decayed beyond recognition from their continued usage of poison. () lvl:2500, DEF: +125000 ++X2 Poison damage</v>
      </c>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t="str">
        <f>IFERROR(__xludf.DUMMYFUNCTION("""COMPUTED_VALUE"""),"Poison Master's Cape")</f>
        <v>Poison Master's Cape</v>
      </c>
      <c r="B623" s="1" t="str">
        <f>IFERROR(__xludf.DUMMYFUNCTION("""COMPUTED_VALUE"""),"The Armor of the Poison masters. Completely covers the bodies of the Poison master which has decayed beyond recognition from their continued usage of poison. () lvl:2500, DEF: +125000 ++X2 Poison damage")</f>
        <v>The Armor of the Poison masters. Completely covers the bodies of the Poison master which has decayed beyond recognition from their continued usage of poison. () lvl:2500, DEF: +125000 ++X2 Poison damage</v>
      </c>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t="str">
        <f>IFERROR(__xludf.DUMMYFUNCTION("""COMPUTED_VALUE"""),"Poison Master's Robe")</f>
        <v>Poison Master's Robe</v>
      </c>
      <c r="B624" s="1" t="str">
        <f>IFERROR(__xludf.DUMMYFUNCTION("""COMPUTED_VALUE"""),"The Armor of the Poison masters. Completely covers the bodies of the Poison master which has decayed beyond recognition from their continued usage of poison. () lvl:2500, DEF: +125000")</f>
        <v>The Armor of the Poison masters. Completely covers the bodies of the Poison master which has decayed beyond recognition from their continued usage of poison. () lvl:2500, DEF: +125000</v>
      </c>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t="str">
        <f>IFERROR(__xludf.DUMMYFUNCTION("""COMPUTED_VALUE"""),"Poison Master's Heavy Duty Gloves")</f>
        <v>Poison Master's Heavy Duty Gloves</v>
      </c>
      <c r="B625" s="1" t="str">
        <f>IFERROR(__xludf.DUMMYFUNCTION("""COMPUTED_VALUE"""),"The Armor of the Poison masters. Completely covers the bodies of the Poison master which has decayed beyond recognition from their continued usage of poison. () lvl:2500, DEF: +125000 ++Poison Immunity")</f>
        <v>The Armor of the Poison masters. Completely covers the bodies of the Poison master which has decayed beyond recognition from their continued usage of poison. () lvl:2500, DEF: +125000 ++Poison Immunity</v>
      </c>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t="str">
        <f>IFERROR(__xludf.DUMMYFUNCTION("""COMPUTED_VALUE"""),"Poison Master's Sarouel")</f>
        <v>Poison Master's Sarouel</v>
      </c>
      <c r="B626" s="1" t="str">
        <f>IFERROR(__xludf.DUMMYFUNCTION("""COMPUTED_VALUE"""),"The Armor of the Poison masters. Completely covers the bodies of the Poison master which has decayed beyond recognition from their continued usage of poison. () lvl:2500, DEF: +125000")</f>
        <v>The Armor of the Poison masters. Completely covers the bodies of the Poison master which has decayed beyond recognition from their continued usage of poison. () lvl:2500, DEF: +125000</v>
      </c>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t="str">
        <f>IFERROR(__xludf.DUMMYFUNCTION("""COMPUTED_VALUE"""),"Poison Master's Boots")</f>
        <v>Poison Master's Boots</v>
      </c>
      <c r="B627" s="1" t="str">
        <f>IFERROR(__xludf.DUMMYFUNCTION("""COMPUTED_VALUE"""),"The Armor of the Poison masters. Completely covers the bodies of the Poison master which has decayed beyond recognition from their continued usage of poison. () lvl:2500, DEF: +125000 ++When an enemy is Poisoned gain Haste 3")</f>
        <v>The Armor of the Poison masters. Completely covers the bodies of the Poison master which has decayed beyond recognition from their continued usage of poison. () lvl:2500, DEF: +125000 ++When an enemy is Poisoned gain Haste 3</v>
      </c>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t="str">
        <f>IFERROR(__xludf.DUMMYFUNCTION("""COMPUTED_VALUE"""),"Ambusher's Cowl")</f>
        <v>Ambusher's Cowl</v>
      </c>
      <c r="B628" s="1" t="str">
        <f>IFERROR(__xludf.DUMMYFUNCTION("""COMPUTED_VALUE"""),"The armor of intermediate ninja's who have decided to pursue the art of the ambush to the extreme () lvl:2500, DEF: +125000 ++Conceal is Guaranteed to cast if the last action you took was a weapon attack")</f>
        <v>The armor of intermediate ninja's who have decided to pursue the art of the ambush to the extreme () lvl:2500, DEF: +125000 ++Conceal is Guaranteed to cast if the last action you took was a weapon attack</v>
      </c>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t="str">
        <f>IFERROR(__xludf.DUMMYFUNCTION("""COMPUTED_VALUE"""),"Ambusher's Cape")</f>
        <v>Ambusher's Cape</v>
      </c>
      <c r="B629" s="1" t="str">
        <f>IFERROR(__xludf.DUMMYFUNCTION("""COMPUTED_VALUE"""),"The armor of intermediate ninja's who have decided to pursue the art of the ambush to the extreme () lvl:2500, DEF: +125000 ++Conceal: upon entering combat you are invulnerable for 1 round or until you attack")</f>
        <v>The armor of intermediate ninja's who have decided to pursue the art of the ambush to the extreme () lvl:2500, DEF: +125000 ++Conceal: upon entering combat you are invulnerable for 1 round or until you attack</v>
      </c>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t="str">
        <f>IFERROR(__xludf.DUMMYFUNCTION("""COMPUTED_VALUE"""),"Ambusher's Vest")</f>
        <v>Ambusher's Vest</v>
      </c>
      <c r="B630" s="1" t="str">
        <f>IFERROR(__xludf.DUMMYFUNCTION("""COMPUTED_VALUE"""),"The armor of intermediate ninja's who have decided to pursue the art of the ambush to the extreme () lvl:2500, DEF: +125000 ++When breaking concealment deal X2 damage")</f>
        <v>The armor of intermediate ninja's who have decided to pursue the art of the ambush to the extreme () lvl:2500, DEF: +125000 ++When breaking concealment deal X2 damage</v>
      </c>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t="str">
        <f>IFERROR(__xludf.DUMMYFUNCTION("""COMPUTED_VALUE"""),"Ambusher's Gloves")</f>
        <v>Ambusher's Gloves</v>
      </c>
      <c r="B631" s="1" t="str">
        <f>IFERROR(__xludf.DUMMYFUNCTION("""COMPUTED_VALUE"""),"The armor of intermediate ninja's who have decided to pursue the art of the ambush to the extreme () lvl:2500, DEF: +125000 ++X2 damage with knives, ++Knife ability is 3 times as likely to activate. +-Cannot be forged +-Cannot be duplicated")</f>
        <v>The armor of intermediate ninja's who have decided to pursue the art of the ambush to the extreme () lvl:2500, DEF: +125000 ++X2 damage with knives, ++Knife ability is 3 times as likely to activate. +-Cannot be forged +-Cannot be duplicated</v>
      </c>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t="str">
        <f>IFERROR(__xludf.DUMMYFUNCTION("""COMPUTED_VALUE"""),"Ambusher's Sarouel")</f>
        <v>Ambusher's Sarouel</v>
      </c>
      <c r="B632" s="1" t="str">
        <f>IFERROR(__xludf.DUMMYFUNCTION("""COMPUTED_VALUE"""),"The armor of intermediate ninja's who have decided to pursue the art of the ambush to the extreme () lvl:2500, DEF: +125000 ++X2 damage with knives")</f>
        <v>The armor of intermediate ninja's who have decided to pursue the art of the ambush to the extreme () lvl:2500, DEF: +125000 ++X2 damage with knives</v>
      </c>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t="str">
        <f>IFERROR(__xludf.DUMMYFUNCTION("""COMPUTED_VALUE"""),"Ambusher's Sandals")</f>
        <v>Ambusher's Sandals</v>
      </c>
      <c r="B633" s="1" t="str">
        <f>IFERROR(__xludf.DUMMYFUNCTION("""COMPUTED_VALUE"""),"The armor of intermediate ninja's who have decided to pursue the art of the ambush to the extreme () lvl:2500, DEF: +125000 ++When breaking concealment gain invigorate 5")</f>
        <v>The armor of intermediate ninja's who have decided to pursue the art of the ambush to the extreme () lvl:2500, DEF: +125000 ++When breaking concealment gain invigorate 5</v>
      </c>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t="str">
        <f>IFERROR(__xludf.DUMMYFUNCTION("""COMPUTED_VALUE"""),"Blade of Ancestral Blood")</f>
        <v>Blade of Ancestral Blood</v>
      </c>
      <c r="B634" s="1"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 (Knife) lvl:200, DMG: +50000, Chaos DMG: +50000, Voodoo DMG: +50000, Blood DMG: +100000, Celestial DMG: +50000 (Knife) ++The Cursed Knife Forged in Blood: X4 blood da"&amp;"mage. ++The Blood of the Backstabbed: When hitting an enemy from concealment you gain a further X4 blood damage for the rest of battle and Invigorated 3. ++Repentance: Stab yourself and use your blood to attack you enemy dealing 100000 blood damage and 10"&amp;"00 bleed on hit 5000 hp +-Cannot be Duplicated")</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 (Knife) lvl:200, 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t="str">
        <f>IFERROR(__xludf.DUMMYFUNCTION("""COMPUTED_VALUE"""),"Lunaris, Sword of The Moon")</f>
        <v>Lunaris, Sword of The Moon</v>
      </c>
      <c r="B635" s="1"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 (Sword) lvl:200, DEF: +200000, Light DEF: +100000, Astral DEF: +200000, Celestial DEF: +100000 (Sword) ++Th"&amp;"e Blade Blessed By The Stars Above: X6 Astral Damage and this blade uses it's defense as damage. ++To Protect Those You Love: When fighting with at least 2 allies deal X6 further damage with this weapon. ++Forgiveness: Raise your sword into the sky drowni"&amp;"ng the battlefield in the light of the moon no matter what time it is or where you are. This moonlight protects you and your allies granting you all X2 Defense and Nullifies all Dark and Chaos spells cast on the battlefield regardless of who casts them. +"&amp;"-Cannot be Duplicated")</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 (Sword) lvl:200, 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t="str">
        <f>IFERROR(__xludf.DUMMYFUNCTION("""COMPUTED_VALUE"""),"Master Inugima's Cowl")</f>
        <v>Master Inugima's Cowl</v>
      </c>
      <c r="B636" s="1" t="str">
        <f>IFERROR(__xludf.DUMMYFUNCTION("""COMPUTED_VALUE"""),"Mob Exclusive () lvl:1, : +")</f>
        <v>Mob Exclusive () lvl:1, : +</v>
      </c>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t="str">
        <f>IFERROR(__xludf.DUMMYFUNCTION("""COMPUTED_VALUE"""),"Master Inugima's Cape")</f>
        <v>Master Inugima's Cape</v>
      </c>
      <c r="B637" s="1" t="str">
        <f>IFERROR(__xludf.DUMMYFUNCTION("""COMPUTED_VALUE"""),"Mob Exclusive () lvl:1, : +")</f>
        <v>Mob Exclusive () lvl:1, : +</v>
      </c>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t="str">
        <f>IFERROR(__xludf.DUMMYFUNCTION("""COMPUTED_VALUE"""),"Master Inugima's Cloak")</f>
        <v>Master Inugima's Cloak</v>
      </c>
      <c r="B638" s="1" t="str">
        <f>IFERROR(__xludf.DUMMYFUNCTION("""COMPUTED_VALUE"""),"Mob Exclusive () lvl:1, : +")</f>
        <v>Mob Exclusive () lvl:1, : +</v>
      </c>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t="str">
        <f>IFERROR(__xludf.DUMMYFUNCTION("""COMPUTED_VALUE"""),"Master Inugima's Gloves")</f>
        <v>Master Inugima's Gloves</v>
      </c>
      <c r="B639" s="1" t="str">
        <f>IFERROR(__xludf.DUMMYFUNCTION("""COMPUTED_VALUE"""),"Mob Exclusive () lvl:1, : +")</f>
        <v>Mob Exclusive () lvl:1, : +</v>
      </c>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t="str">
        <f>IFERROR(__xludf.DUMMYFUNCTION("""COMPUTED_VALUE"""),"Master Inugima's Sarouel")</f>
        <v>Master Inugima's Sarouel</v>
      </c>
      <c r="B640" s="1" t="str">
        <f>IFERROR(__xludf.DUMMYFUNCTION("""COMPUTED_VALUE"""),"Mob Exclusive () lvl:1, : +")</f>
        <v>Mob Exclusive () lvl:1, : +</v>
      </c>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t="str">
        <f>IFERROR(__xludf.DUMMYFUNCTION("""COMPUTED_VALUE"""),"Master Inugima's Boots")</f>
        <v>Master Inugima's Boots</v>
      </c>
      <c r="B641" s="1" t="str">
        <f>IFERROR(__xludf.DUMMYFUNCTION("""COMPUTED_VALUE"""),"Mob Exclusive () lvl:1, : +")</f>
        <v>Mob Exclusive () lvl:1, : +</v>
      </c>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t="str">
        <f>IFERROR(__xludf.DUMMYFUNCTION("""COMPUTED_VALUE"""),"Master Inugima's Ring")</f>
        <v>Master Inugima's Ring</v>
      </c>
      <c r="B642" s="1" t="str">
        <f>IFERROR(__xludf.DUMMYFUNCTION("""COMPUTED_VALUE"""),"Mob Exclusive () lvl:1, : + ++Grants Immunity being unable to act from any sources including sleep, stun, frozen, etc. +-Can only be equipped by Master Inugima Equipping this ring will devour the soul of he who equips it killing them permanently")</f>
        <v>Mob Exclusive () lvl:1, : + ++Grants Immunity being unable to act from any sources including sleep, stun, frozen, etc. +-Can only be equipped by Master Inugima Equipping this ring will devour the soul of he who equips it killing them permanently</v>
      </c>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t="str">
        <f>IFERROR(__xludf.DUMMYFUNCTION("""COMPUTED_VALUE"""),"Master Inugima's Pendant")</f>
        <v>Master Inugima's Pendant</v>
      </c>
      <c r="B643" s="1" t="str">
        <f>IFERROR(__xludf.DUMMYFUNCTION("""COMPUTED_VALUE"""),"Mob Exclusive () lvl:1, : +")</f>
        <v>Mob Exclusive () lvl:1, : +</v>
      </c>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t="str">
        <f>IFERROR(__xludf.DUMMYFUNCTION("""COMPUTED_VALUE"""),"Amulet of Giving")</f>
        <v>Amulet of Giving</v>
      </c>
      <c r="B644" s="1" t="str">
        <f>IFERROR(__xludf.DUMMYFUNCTION("""COMPUTED_VALUE"""),"Thanksgiving Event Item () lvl:1, : + ++Allows you to give up your next turn turn to give a party member a second turn. +-one use per battle +-Cannot be duplicated.")</f>
        <v>Thanksgiving Event Item () lvl:1, : + ++Allows you to give up your next turn turn to give a party member a second turn. +-one use per battle +-Cannot be duplicated.</v>
      </c>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t="str">
        <f>IFERROR(__xludf.DUMMYFUNCTION("""COMPUTED_VALUE"""),"Pilgrim's Hat")</f>
        <v>Pilgrim's Hat</v>
      </c>
      <c r="B645" s="1" t="str">
        <f>IFERROR(__xludf.DUMMYFUNCTION("""COMPUTED_VALUE"""),"Thanksgiving Event Item () lvl:1, DEF: + ++Double the hunger, thirst, and energy you receive when consuming a consumable. +-Cannot be duplicated.")</f>
        <v>Thanksgiving Event Item () lvl:1, DEF: + ++Double the hunger, thirst, and energy you receive when consuming a consumable. +-Cannot be duplicated.</v>
      </c>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t="str">
        <f>IFERROR(__xludf.DUMMYFUNCTION("""COMPUTED_VALUE"""),"Dragon Flute")</f>
        <v>Dragon Flute</v>
      </c>
      <c r="B646" s="1" t="str">
        <f>IFERROR(__xludf.DUMMYFUNCTION("""COMPUTED_VALUE"""),"A flute carved from dragon bone that exudes an enchanting aura when played. It is said that this flute was given as a gift to the dragonoids to signal peace between them and the dragons. (Instrument) lvl:100, DMG: +, Acoustic DMG: +5000 ++Summons 1 of the"&amp;" following dragons with a d4 roll: Fire Dragon, Poison Dragon, Storm Dragon, Ancient Water Dragon, Level determined by dm/gm. +-one use per battle")</f>
        <v>A flute carved from dragon bone that exudes an enchanting aura when played. It is said that this flute was given as a gift to the dragonoids to signal peace between them and the dragons. (Instrument) lvl:100, DMG: +, Acoustic DMG: +5000 ++Summons 1 of the following dragons with a d4 roll: Fire Dragon, Poison Dragon, Storm Dragon, Ancient Water Dragon, Level determined by dm/gm. +-one use per battle</v>
      </c>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t="str">
        <f>IFERROR(__xludf.DUMMYFUNCTION("""COMPUTED_VALUE"""),"Harbingers' Helm of the Unrestrained (Spira)")</f>
        <v>Harbingers' Helm of the Unrestrained (Spira)</v>
      </c>
      <c r="B647" s="1"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 () lvl:200, DE"&amp;"F: +50000, Fire DEF: +10000, Water DEF: +10000, Storm DEF: +10000, Earth DEF: +10000, Light DEF: +10000, Dark DEF: +10000, Spirit DEF: +10000, Order DEF: +10000, Chaos DEF: +10000, Nature DEF: +10000, Voodoo DEF: +10000, Blood DEF: +10000, Zen DEF: +10000"&amp;", Astral DEF: +10000, Celestial DEF: +10000 ++Unbroken will - You become immune to all effects that would prevent you from taking your turn.")</f>
        <v>The helmet is made of a dark steel which invades the weares mind, originally takes the appearance of a hood but becomes covers more of the wearers face and becomes more bestial looking as the wearer gives in to their insanity more and more. () lvl:200, 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t="str">
        <f>IFERROR(__xludf.DUMMYFUNCTION("""COMPUTED_VALUE"""),"Harbingers' Shifting Pauldrons (Spira)")</f>
        <v>Harbingers' Shifting Pauldrons (Spira)</v>
      </c>
      <c r="B648" s="1"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 () lvl:200, DEF: +50000, Fire DEF: +10000, Water DEF: +10000, Storm DEF: +10000, Earth DEF: +10000, Light DEF: +10000, Dark DEF: +10000, Spirit DEF: +10000, Order DE"&amp;"F: +10000, Chaos DEF: +10000, Nature DEF: +10000, Voodoo DEF: +10000, Blood DEF: +10000, Zen DEF: +10000, Astral DEF: +10000, Celestial DEF: +10000 ++Adrenaline - Upon being hit with any attack gain 1 stack of Insanity.")</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 () lvl:200, 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t="str">
        <f>IFERROR(__xludf.DUMMYFUNCTION("""COMPUTED_VALUE"""),"Harbingers' Emblazoned Chest of The Encroaching Void (Spira)")</f>
        <v>Harbingers' Emblazoned Chest of The Encroaching Void (Spira)</v>
      </c>
      <c r="B649" s="1"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 () lvl:200,"&amp;" DEF: +50000, Fire DEF: +10000, Water DEF: +10000, Storm DEF: +10000, Earth DEF: +10000, Light DEF: +10000, Dark DEF: +10000, Spirit DEF: +10000, Order DEF: +10000, Chaos DEF: +10000, Nature DEF: +10000, Voodoo DEF: +10000, Blood DEF: +10000, Zen DEF: +10"&amp;"000, Astral DEF: +10000, Celestial DEF: +10000 ++Bloodlust - Upon targeting any enemy with an attack gain 2 stacks of insanity")</f>
        <v>The Harbinger's armor is made of a dark steel which drives its wearer progressively further whilst in combat. The armor takes the rage of its wearer and multiplies it tenfold whilst breaking off the subconscious limiters on a wearers strength. () lvl:200, 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t="str">
        <f>IFERROR(__xludf.DUMMYFUNCTION("""COMPUTED_VALUE"""),"Harbingers' Broken Fettering (Spira)")</f>
        <v>Harbingers' Broken Fettering (Spira)</v>
      </c>
      <c r="B650" s="1" t="str">
        <f>IFERROR(__xludf.DUMMYFUNCTION("""COMPUTED_VALUE"""),"Some have witnessed how the wearers of this mythical armor seem completely unreactive to the pain and it is speculated that the armor itself temporarily cuts off all feelings of pain to keep the wearer fighting. () lvl:200, DEF: +50000, Fire DEF: +10000, "&amp;"Water DEF: +10000, Storm DEF: +10000, Earth DEF: +10000, Light DEF: +10000, Dark DEF: +10000, Spirit DEF: +10000, Order DEF: +10000, Chaos DEF: +10000, Nature DEF: +10000, Voodoo DEF: +10000, Blood DEF: +10000, Zen DEF: +10000, Astral DEF: +10000, Celesti"&amp;"al DEF: +10000 ++To Break From Your Shackles - You lash out cleaving your way through reality creating a small distortion dealing 500,000 delta damage to all enemies and allies and inflict Shuttering 5, requiring everyone to roll a fail or succeed roll to"&amp;" bind themselves to this plane or have a party member who succeeded use an action to help them, or if they fail 5 times they will be lost to the void forever, consumes 10 stacks of insanity to cast (Permadeath)(considered an instant death effect for purpo"&amp;"ses of immunity)")</f>
        <v>Some have witnessed how the wearers of this mythical armor seem completely unreactive to the pain and it is speculated that the armor itself temporarily cuts off all feelings of pain to keep the wearer fighting. () lvl:200, 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t="str">
        <f>IFERROR(__xludf.DUMMYFUNCTION("""COMPUTED_VALUE"""),"Harbingers' Ethereal Chausses (Spira)")</f>
        <v>Harbingers' Ethereal Chausses (Spira)</v>
      </c>
      <c r="B651" s="1" t="str">
        <f>IFERROR(__xludf.DUMMYFUNCTION("""COMPUTED_VALUE"""),"Even with broken bones the armor will not allow the wearer to stop fighting, spikes will form from the armor piercing into the damaged limbs and letting the wearer continue controller these destroyed limbs via the armor itself. () lvl:200, DEF: +50000, Fi"&amp;"re DEF: +10000, Water DEF: +10000, Storm DEF: +10000, Earth DEF: +10000, Light DEF: +10000, Dark DEF: +10000, Spirit DEF: +10000, Order DEF: +10000, Chaos DEF: +10000, Nature DEF: +10000, Voodoo DEF: +10000, Blood DEF: +10000, Zen DEF: +10000, Astral DEF:"&amp;" +10000, Celestial DEF: +10000 ++Voidal Instinct - 50% chance to avoid all delta attacks and instant death effects
++To the Last Drop of Blood - Grants immunity to slowness.")</f>
        <v>Even with broken bones the armor will not allow the wearer to stop fighting, spikes will form from the armor piercing into the damaged limbs and letting the wearer continue controller these destroyed limbs via the armor itself. () lvl:200, 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t="str">
        <f>IFERROR(__xludf.DUMMYFUNCTION("""COMPUTED_VALUE"""),"Harbingers' Spiked Sabatons (Spira)")</f>
        <v>Harbingers' Spiked Sabatons (Spira)</v>
      </c>
      <c r="B652" s="1" t="str">
        <f>IFERROR(__xludf.DUMMYFUNCTION("""COMPUTED_VALUE""")," () lvl:200, DEF: +50000, Fire DEF: +10000, Water DEF: +10000, Storm DEF: +10000, Earth DEF: +10000, Light DEF: +10000, Dark DEF: +10000, Spirit DEF: +10000, Order DEF: +10000, Chaos DEF: +10000, Nature DEF: +10000, Voodoo DEF: +10000, Blood DEF: +10000, "&amp;"Zen DEF: +10000, Astral DEF: +10000, Celestial DEF: +10000 ++Leg Sweep - Strike at an opponent's legs making a hit or miss attack (adding mobility) on hit you knock the opponent to the ground inflicting them with slowness 3")</f>
        <v> () lvl:200, 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t="str">
        <f>IFERROR(__xludf.DUMMYFUNCTION("""COMPUTED_VALUE"""),"Harbingers' Vow (Spira)")</f>
        <v>Harbingers' Vow (Spira)</v>
      </c>
      <c r="B653" s="1" t="str">
        <f>IFERROR(__xludf.DUMMYFUNCTION("""COMPUTED_VALUE""")," () lvl:1, : + ++Pervading Madness - at the start of each of your turns flip a coin with heads being 1 and tails being 2 or roll a d2, gain that many stacks of insanity")</f>
        <v> () lvl:1, : + ++Pervading Madness - at the start of each of your turns flip a coin with heads being 1 and tails being 2 or roll a d2, gain that many stacks of insanity</v>
      </c>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t="str">
        <f>IFERROR(__xludf.DUMMYFUNCTION("""COMPUTED_VALUE"""),"Harbingers' Resolve (Spira)")</f>
        <v>Harbingers' Resolve (Spira)</v>
      </c>
      <c r="B654" s="1" t="str">
        <f>IFERROR(__xludf.DUMMYFUNCTION("""COMPUTED_VALUE""")," () lvl:1, : + ++To the Death! - Upon taking lethal damage resist it with 1 hp and gain 10 stacks of insanity (once per battle)")</f>
        <v> () lvl:1, : + ++To the Death! - Upon taking lethal damage resist it with 1 hp and gain 10 stacks of insanity (once per battle)</v>
      </c>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t="str">
        <f>IFERROR(__xludf.DUMMYFUNCTION("""COMPUTED_VALUE"""),"Harbingers' Fist of Iron (Spira)")</f>
        <v>Harbingers' Fist of Iron (Spira)</v>
      </c>
      <c r="B655" s="1" t="str">
        <f>IFERROR(__xludf.DUMMYFUNCTION("""COMPUTED_VALUE""")," (Gauntlet) lvl:200, DEF: +50000, Celestial DEF: +50000 ++One fist of Iron -  When attacking with this weapon you can choose to attack with the Harbingers' Claw of Steel in the same action. ++Throat Grab - make a hit or miss attack to prevent an enemy fro"&amp;"m acting on their turn as long as they remain grappled. To break free from the grapple the enemy must roll evasion to attempt to break free from your grasp at the end of each of your turns. ++20% chance to remove enemy from battle")</f>
        <v> (Gauntlet) lvl:200, 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t="str">
        <f>IFERROR(__xludf.DUMMYFUNCTION("""COMPUTED_VALUE"""),"Harbingers' Claw of Steel (Spira)")</f>
        <v>Harbingers' Claw of Steel (Spira)</v>
      </c>
      <c r="B656" s="1" t="str">
        <f>IFERROR(__xludf.DUMMYFUNCTION("""COMPUTED_VALUE""")," (Claw) lvl:200, DMG: +50000, Delta DMG: +25000, Celestial DMG: +25000 ++And Another of Steel - When attacking with this weapon you can choose to attack with the Harbingers' Fist of Iron in the same action. ++Elemental Rend - inflicts 1000 damage per roun"&amp;"d of each element (Excluding Acoustic, Zen, Time, Physical, Melee, and Ranged) when attacking an enemy ++Maddening Blows - targeting an enemy with this weapon inflicts you with 1 stack of insanity")</f>
        <v> (Claw) lvl:200, 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t="str">
        <f>IFERROR(__xludf.DUMMYFUNCTION("""COMPUTED_VALUE"""),"Eagles Claw")</f>
        <v>Eagles Claw</v>
      </c>
      <c r="B657" s="1" t="str">
        <f>IFERROR(__xludf.DUMMYFUNCTION("""COMPUTED_VALUE""")," (Claw) lvl:200, DMG: +10000 ++Eagles Removal - 20% Chance to remove the target from battle. ")</f>
        <v> (Claw) lvl:200, DMG: +10000 ++Eagles Removal - 20% Chance to remove the target from battle. </v>
      </c>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t="str">
        <f>IFERROR(__xludf.DUMMYFUNCTION("""COMPUTED_VALUE"""),"Golden Gauntlet")</f>
        <v>Golden Gauntlet</v>
      </c>
      <c r="B658" s="1" t="str">
        <f>IFERROR(__xludf.DUMMYFUNCTION("""COMPUTED_VALUE""")," (Gauntlet) lvl:200, DMG: +5000, Light DMG: +2500, Order DMG: +2500")</f>
        <v> (Gauntlet) lvl:200, DMG: +5000, Light DMG: +2500, Order DMG: +2500</v>
      </c>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t="str">
        <f>IFERROR(__xludf.DUMMYFUNCTION("""COMPUTED_VALUE"""),"Hand Crossbow")</f>
        <v>Hand Crossbow</v>
      </c>
      <c r="B659" s="1" t="str">
        <f>IFERROR(__xludf.DUMMYFUNCTION("""COMPUTED_VALUE""")," (Bow) lvl:200, DMG: +10000")</f>
        <v> (Bow) lvl:200, DMG: +10000</v>
      </c>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t="str">
        <f>IFERROR(__xludf.DUMMYFUNCTION("""COMPUTED_VALUE"""),"Flintlock Pistol")</f>
        <v>Flintlock Pistol</v>
      </c>
      <c r="B660" s="1" t="str">
        <f>IFERROR(__xludf.DUMMYFUNCTION("""COMPUTED_VALUE""")," (Firearm) lvl:200, DMG: +10000")</f>
        <v> (Firearm) lvl:200, DMG: +10000</v>
      </c>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t="str">
        <f>IFERROR(__xludf.DUMMYFUNCTION("""COMPUTED_VALUE"""),"Head of Gévaudan")</f>
        <v>Head of Gévaudan</v>
      </c>
      <c r="B661" s="1" t="str">
        <f>IFERROR(__xludf.DUMMYFUNCTION("""COMPUTED_VALUE""")," () lvl:200, DEF: +10000 ++ +5 to intimidation, ++Soul Shake: Allows to cast ""Shaken Soul""")</f>
        <v> () lvl:200, DEF: +10000 ++ +5 to intimidation, ++Soul Shake: Allows to cast "Shaken Soul"</v>
      </c>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t="str">
        <f>IFERROR(__xludf.DUMMYFUNCTION("""COMPUTED_VALUE"""),"Phantasmal Scythe")</f>
        <v>Phantasmal Scythe</v>
      </c>
      <c r="B662" s="1" t="str">
        <f>IFERROR(__xludf.DUMMYFUNCTION("""COMPUTED_VALUE""")," (Scythe) lvl:1000, DMG: +, Spirit DMG: +50000")</f>
        <v> (Scythe) lvl:1000, DMG: +, Spirit DMG: +50000</v>
      </c>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t="str">
        <f>IFERROR(__xludf.DUMMYFUNCTION("""COMPUTED_VALUE"""),"Piranha Tooth Dagger")</f>
        <v>Piranha Tooth Dagger</v>
      </c>
      <c r="B663" s="1" t="str">
        <f>IFERROR(__xludf.DUMMYFUNCTION("""COMPUTED_VALUE""")," (Knife) lvl:10, DMG: +500 ++Increases damage by X2 for every time you hit an enemy with this weapon during a single battle (Goes back to normal damage after battle)")</f>
        <v> (Knife) lvl:10, DMG: +500 ++Increases damage by X2 for every time you hit an enemy with this weapon during a single battle (Goes back to normal damage after battle)</v>
      </c>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t="str">
        <f>IFERROR(__xludf.DUMMYFUNCTION("""COMPUTED_VALUE"""),"Rhino Horn Spear")</f>
        <v>Rhino Horn Spear</v>
      </c>
      <c r="B664" s="1" t="str">
        <f>IFERROR(__xludf.DUMMYFUNCTION("""COMPUTED_VALUE""")," (Spear) lvl:200, DMG: +10000 ++Charge - The first attack made with this weapon deals X2 damage")</f>
        <v> (Spear) lvl:200, DMG: +10000 ++Charge - The first attack made with this weapon deals X2 damage</v>
      </c>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t="str">
        <f>IFERROR(__xludf.DUMMYFUNCTION("""COMPUTED_VALUE"""),"Rock Axe")</f>
        <v>Rock Axe</v>
      </c>
      <c r="B665" s="1" t="str">
        <f>IFERROR(__xludf.DUMMYFUNCTION("""COMPUTED_VALUE""")," (Axe) lvl:40, DMG: +1000, Earth DMG: +1000")</f>
        <v> (Axe) lvl:40, DMG: +1000, Earth DMG: +1000</v>
      </c>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t="str">
        <f>IFERROR(__xludf.DUMMYFUNCTION("""COMPUTED_VALUE"""),"Saber Tooth")</f>
        <v>Saber Tooth</v>
      </c>
      <c r="B666" s="1" t="str">
        <f>IFERROR(__xludf.DUMMYFUNCTION("""COMPUTED_VALUE""")," (Knife) lvl:200, DMG: +10000")</f>
        <v> (Knife) lvl:200, DMG: +10000</v>
      </c>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t="str">
        <f>IFERROR(__xludf.DUMMYFUNCTION("""COMPUTED_VALUE"""),"Worm Tooth Chainsaw")</f>
        <v>Worm Tooth Chainsaw</v>
      </c>
      <c r="B667" s="1" t="str">
        <f>IFERROR(__xludf.DUMMYFUNCTION("""COMPUTED_VALUE""")," (Axe) lvl:1200, DMG: +50000, Blood DMG: +10000 ++Spinning Chain - Make a hit or miss attack (Adding Mobility) on hit set an enemies defense to 0 for 1 round 500 sp")</f>
        <v> (Axe) lvl:1200, DMG: +50000, Blood DMG: +10000 ++Spinning Chain - Make a hit or miss attack (Adding Mobility) on hit set an enemies defense to 0 for 1 round 500 sp</v>
      </c>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t="str">
        <f>IFERROR(__xludf.DUMMYFUNCTION("""COMPUTED_VALUE"""),"Shark Tooth Greatclub")</f>
        <v>Shark Tooth Greatclub</v>
      </c>
      <c r="B668" s="1" t="str">
        <f>IFERROR(__xludf.DUMMYFUNCTION("""COMPUTED_VALUE""")," (Club) lvl:500, DMG: +25000 ++Abrasive Blow - hitting an enemy with this weapon causes them to be Injured graveky inflicting them with slowness until healed by any means.")</f>
        <v> (Club) lvl:500, DMG: +25000 ++Abrasive Blow - hitting an enemy with this weapon causes them to be Injured graveky inflicting them with slowness until healed by any means.</v>
      </c>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t="str">
        <f>IFERROR(__xludf.DUMMYFUNCTION("""COMPUTED_VALUE"""),"Sticky Slime Guantlets")</f>
        <v>Sticky Slime Guantlets</v>
      </c>
      <c r="B669" s="1" t="str">
        <f>IFERROR(__xludf.DUMMYFUNCTION("""COMPUTED_VALUE""")," (Gauntlet) lvl:400, DEF: +20000 ++Slimey Grasp - When these gloves are equipped the natural power ""take"" Is guaranteed to succeed.")</f>
        <v> (Gauntlet) lvl:400, DEF: +20000 ++Slimey Grasp - When these gloves are equipped the natural power "take" Is guaranteed to succeed.</v>
      </c>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t="str">
        <f>IFERROR(__xludf.DUMMYFUNCTION("""COMPUTED_VALUE"""),"Draconic Scythe")</f>
        <v>Draconic Scythe</v>
      </c>
      <c r="B670" s="1" t="str">
        <f>IFERROR(__xludf.DUMMYFUNCTION("""COMPUTED_VALUE""")," (Scythe) lvl:2000, DMG: +, Spirit DMG: +100000 ++Draconic Soul - When Fighting alongside any draconic allies (including Dragon companions or Dragonians) or if the wielder itself is draconic this weapon deals an additional X5 damage")</f>
        <v> (Scythe) lvl:2000, DMG: +, Spirit DMG: +100000 ++Draconic Soul - When Fighting alongside any draconic allies (including Dragon companions or Dragonians) or if the wielder itself is draconic this weapon deals an additional X5 damage</v>
      </c>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t="str">
        <f>IFERROR(__xludf.DUMMYFUNCTION("""COMPUTED_VALUE"""),"Elemental Scythe")</f>
        <v>Elemental Scythe</v>
      </c>
      <c r="B671" s="1" t="str">
        <f>IFERROR(__xludf.DUMMYFUNCTION("""COMPUTED_VALUE""")," (Scythe) lvl:2000, DMG: +, Fire DMG: +20000, Physical DMG: +20000, Water DMG: +20000, Storm DMG: +20000, Earth DMG: +20000 ++This scythe is unnaffected by Immunities to fire, earth, nature, water, or storm.")</f>
        <v> (Scythe) lvl:2000, DMG: +, Fire DMG: +20000, Physical DMG: +20000, Water DMG: +20000, Storm DMG: +20000, Earth DMG: +20000 ++This scythe is unnaffected by Immunities to fire, earth, nature, water, or storm.</v>
      </c>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t="str">
        <f>IFERROR(__xludf.DUMMYFUNCTION("""COMPUTED_VALUE"""),"Staff of the Elemental King of Water")</f>
        <v>Staff of the Elemental King of Water</v>
      </c>
      <c r="B672" s="1" t="str">
        <f>IFERROR(__xludf.DUMMYFUNCTION("""COMPUTED_VALUE""")," (Staff) lvl:1000, DMG: +, Water DMG: +50000 ++Summoned Water Elementals deal 5X water damage")</f>
        <v> (Staff) lvl:1000, DMG: +, Water DMG: +50000 ++Summoned Water Elementals deal 5X water damage</v>
      </c>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t="str">
        <f>IFERROR(__xludf.DUMMYFUNCTION("""COMPUTED_VALUE"""),"Bashe's Tail")</f>
        <v>Bashe's Tail</v>
      </c>
      <c r="B673" s="1" t="str">
        <f>IFERROR(__xludf.DUMMYFUNCTION("""COMPUTED_VALUE""")," () lvl:800, DEF: +40000 ++Smash - Allows you to attack with the tail as if it were a club weapon")</f>
        <v> () lvl:800, DEF: +40000 ++Smash - Allows you to attack with the tail as if it were a club weapon</v>
      </c>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t="str">
        <f>IFERROR(__xludf.DUMMYFUNCTION("""COMPUTED_VALUE"""),"Bashe's Flute")</f>
        <v>Bashe's Flute</v>
      </c>
      <c r="B674" s="1" t="str">
        <f>IFERROR(__xludf.DUMMYFUNCTION("""COMPUTED_VALUE""")," (Instrument) lvl:1000, DMG: +, Acoustic DMG: +50000 ++When Equipped with Bashe's Tail Deal 5X damage and cast 2 acoustic powers in an action instead of one for your first turn")</f>
        <v> (Instrument) lvl:1000, DMG: +, Acoustic DMG: +50000 ++When Equipped with Bashe's Tail Deal 5X damage and cast 2 acoustic powers in an action instead of one for your first turn</v>
      </c>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t="str">
        <f>IFERROR(__xludf.DUMMYFUNCTION("""COMPUTED_VALUE"""),"Grash's Favorite Length Of Iron")</f>
        <v>Grash's Favorite Length Of Iron</v>
      </c>
      <c r="B675" s="1" t="str">
        <f>IFERROR(__xludf.DUMMYFUNCTION("""COMPUTED_VALUE""")," (Club) lvl:2000, DMG: +100000 ++When a Samurai Wields this weapon they get access to the ""Grash's Smashing Success"" Natural Power")</f>
        <v> (Club) lvl:2000, DMG: +100000 ++When a Samurai Wields this weapon they get access to the "Grash's Smashing Success" Natural Power</v>
      </c>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t="str">
        <f>IFERROR(__xludf.DUMMYFUNCTION("""COMPUTED_VALUE"""),"Wolf Tooth Neclace")</f>
        <v>Wolf Tooth Neclace</v>
      </c>
      <c r="B676" s="1" t="str">
        <f>IFERROR(__xludf.DUMMYFUNCTION("""COMPUTED_VALUE""")," () lvl:1, : + ++When fighting alongside a Beast Companion you get +5 to all weapon attacks (Wearing multiple does not cause this effect to stack)")</f>
        <v> () lvl:1, : + ++When fighting alongside a Beast Companion you get +5 to all weapon attacks (Wearing multiple does not cause this effect to stack)</v>
      </c>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t="str">
        <f>IFERROR(__xludf.DUMMYFUNCTION("""COMPUTED_VALUE"""),"Dragon Scale Necklace")</f>
        <v>Dragon Scale Necklace</v>
      </c>
      <c r="B677" s="1" t="str">
        <f>IFERROR(__xludf.DUMMYFUNCTION("""COMPUTED_VALUE""")," () lvl:1, : + ++When fighting alongside a Draconic Companion you get +5 to all weapon attacks (Wearing multiple does not cause this effect to stack)")</f>
        <v> () lvl:1, : + ++When fighting alongside a Draconic Companion you get +5 to all weapon attacks (Wearing multiple does not cause this effect to stack)</v>
      </c>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t="str">
        <f>IFERROR(__xludf.DUMMYFUNCTION("""COMPUTED_VALUE"""),"Heavenly Necklace")</f>
        <v>Heavenly Necklace</v>
      </c>
      <c r="B678" s="1" t="str">
        <f>IFERROR(__xludf.DUMMYFUNCTION("""COMPUTED_VALUE""")," () lvl:1, : + ++When fighting alongside a Heavenly Companion you get +5 to all weapon attacks (Wearing multiple does not cause this effect to stack)")</f>
        <v> () lvl:1, : + ++When fighting alongside a Heavenly Companion you get +5 to all weapon attacks (Wearing multiple does not cause this effect to stack)</v>
      </c>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t="str">
        <f>IFERROR(__xludf.DUMMYFUNCTION("""COMPUTED_VALUE"""),"Demonic Necklace")</f>
        <v>Demonic Necklace</v>
      </c>
      <c r="B679" s="1" t="str">
        <f>IFERROR(__xludf.DUMMYFUNCTION("""COMPUTED_VALUE""")," () lvl:1, : + ++When fighting alongside a Demonic Companion you get +5 to all weapon attacks (Wearing multiple does not cause this effect to stack)")</f>
        <v> () lvl:1, : + ++When fighting alongside a Demonic Companion you get +5 to all weapon attacks (Wearing multiple does not cause this effect to stack)</v>
      </c>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t="str">
        <f>IFERROR(__xludf.DUMMYFUNCTION("""COMPUTED_VALUE"""),"The Cloak of Gévaudan")</f>
        <v>The Cloak of Gévaudan</v>
      </c>
      <c r="B680" s="1" t="str">
        <f>IFERROR(__xludf.DUMMYFUNCTION("""COMPUTED_VALUE""")," () lvl:800, DEF: +25000, Fire DEF: +15000 ++The warm coat grants you immunity to freezing.")</f>
        <v> () lvl:800, DEF: +25000, Fire DEF: +15000 ++The warm coat grants you immunity to freezing.</v>
      </c>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t="str">
        <f>IFERROR(__xludf.DUMMYFUNCTION("""COMPUTED_VALUE"""),"Spirit Glyph")</f>
        <v>Spirit Glyph</v>
      </c>
      <c r="B681" s="1" t="str">
        <f>IFERROR(__xludf.DUMMYFUNCTION("""COMPUTED_VALUE""")," () lvl:1, : + ++When Fighting alongside a spirit companion you get ++5 to all weapon attacks. ++You get access to the ""Spiritual Meld"" Spell (Wearing multiple does not cause this effect to stack)")</f>
        <v> () lvl:1, : + ++When Fighting alongside a spirit companion you get ++5 to all weapon attacks. ++You get access to the "Spiritual Meld" Spell (Wearing multiple does not cause this effect to stack)</v>
      </c>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t="str">
        <f>IFERROR(__xludf.DUMMYFUNCTION("""COMPUTED_VALUE"""),"Necromantic Sigil")</f>
        <v>Necromantic Sigil</v>
      </c>
      <c r="B682" s="1" t="str">
        <f>IFERROR(__xludf.DUMMYFUNCTION("""COMPUTED_VALUE""")," () lvl:1, : + ++When Fighting alongside an undead companion you get +5 to all weapon attacks (Wearing multiple does not cause this effect to stack)")</f>
        <v> () lvl:1, : + ++When Fighting alongside an undead companion you get +5 to all weapon attacks (Wearing multiple does not cause this effect to stack)</v>
      </c>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t="str">
        <f>IFERROR(__xludf.DUMMYFUNCTION("""COMPUTED_VALUE"""),"Dragonslayer")</f>
        <v>Dragonslayer</v>
      </c>
      <c r="B683" s="1" t="str">
        <f>IFERROR(__xludf.DUMMYFUNCTION("""COMPUTED_VALUE"""),"It was too big to be called a sword. Massive, thick, heavy, and far too rough. Indeed, it was a heap of raw iron. (Sword) lvl:2000, DMG: +100000 ++Deals X10 damage when fighting a Dragon or Monstrosity")</f>
        <v>It was too big to be called a sword. Massive, thick, heavy, and far too rough. Indeed, it was a heap of raw iron. (Sword) lvl:2000, DMG: +100000 ++Deals X10 damage when fighting a Dragon or Monstrosity</v>
      </c>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t="str">
        <f>IFERROR(__xludf.DUMMYFUNCTION("""COMPUTED_VALUE"""),"Rusted Halberd")</f>
        <v>Rusted Halberd</v>
      </c>
      <c r="B684" s="1" t="str">
        <f>IFERROR(__xludf.DUMMYFUNCTION("""COMPUTED_VALUE""")," (Spear) lvl:100, DMG: +5000")</f>
        <v> (Spear) lvl:100, DMG: +5000</v>
      </c>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t="str">
        <f>IFERROR(__xludf.DUMMYFUNCTION("""COMPUTED_VALUE"""),"Diseased Rapier")</f>
        <v>Diseased Rapier</v>
      </c>
      <c r="B685" s="1" t="str">
        <f>IFERROR(__xludf.DUMMYFUNCTION("""COMPUTED_VALUE""")," (Sword) lvl:50, DMG: +2500 ++15% chance to inflict the target with a random non-pemanent disease")</f>
        <v> (Sword) lvl:50, DMG: +2500 ++15% chance to inflict the target with a random non-pemanent disease</v>
      </c>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t="str">
        <f>IFERROR(__xludf.DUMMYFUNCTION("""COMPUTED_VALUE"""),"Symbol of Greed")</f>
        <v>Symbol of Greed</v>
      </c>
      <c r="B686" s="1" t="str">
        <f>IFERROR(__xludf.DUMMYFUNCTION("""COMPUTED_VALUE""")," () lvl:1, : + ++Great Deal - When determining the difficulty to haggle with a shopkeeper, the shopkeeper rolls the difficulty twice and takes the lower number +-(merchant class only)")</f>
        <v> () lvl:1, : + ++Great Deal - When determining the difficulty to haggle with a shopkeeper, the shopkeeper rolls the difficulty twice and takes the lower number +-(merchant class only)</v>
      </c>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t="str">
        <f>IFERROR(__xludf.DUMMYFUNCTION("""COMPUTED_VALUE"""),"Enchanted Quiver")</f>
        <v>Enchanted Quiver</v>
      </c>
      <c r="B687" s="1" t="str">
        <f>IFERROR(__xludf.DUMMYFUNCTION("""COMPUTED_VALUE""")," () lvl:1, : + ++Magic Arrow - ++5 to all attack rolls with a bow +-(Archer Class Only)")</f>
        <v> () lvl:1, : + ++Magic Arrow - ++5 to all attack rolls with a bow +-(Archer Class Only)</v>
      </c>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t="str">
        <f>IFERROR(__xludf.DUMMYFUNCTION("""COMPUTED_VALUE"""),"Ring of the Siren")</f>
        <v>Ring of the Siren</v>
      </c>
      <c r="B688" s="1" t="str">
        <f>IFERROR(__xludf.DUMMYFUNCTION("""COMPUTED_VALUE""")," () lvl:1, : + ++X2 acoustic damage ++Song of the Siren - At the start of battle you may roll a fail or Succeed roll to enchant an enemy, causing them to join your side, (for the sake of immunities this counts as possession) +-(Bard Class Only)")</f>
        <v> () lvl:1, : + ++X2 acoustic damage ++Song of the Siren - At the start of battle you may roll a fail or Succeed roll to enchant an enemy, causing them to join your side, (for the sake of immunities this counts as possession) +-(Bard Class Only)</v>
      </c>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t="str">
        <f>IFERROR(__xludf.DUMMYFUNCTION("""COMPUTED_VALUE"""),"Amulet of The Berserker")</f>
        <v>Amulet of The Berserker</v>
      </c>
      <c r="B689" s="1" t="str">
        <f>IFERROR(__xludf.DUMMYFUNCTION("""COMPUTED_VALUE""")," () lvl:1, : + ++Berserk - When attacking or being attacked gain 1 stack of Insanity +-(Brawler Class Only)")</f>
        <v> () lvl:1, : + ++Berserk - When attacking or being attacked gain 1 stack of Insanity +-(Brawler Class Only)</v>
      </c>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t="str">
        <f>IFERROR(__xludf.DUMMYFUNCTION("""COMPUTED_VALUE"""),"Mask of the Cultist")</f>
        <v>Mask of the Cultist</v>
      </c>
      <c r="B690" s="1" t="str">
        <f>IFERROR(__xludf.DUMMYFUNCTION("""COMPUTED_VALUE""")," () lvl:1, : + ++One of Us - when fighting alongside another party member with an evil alignment you gain +5 to your attack rolls. +-(Cultist Class Only)")</f>
        <v> () lvl:1, : + ++One of Us - when fighting alongside another party member with an evil alignment you gain +5 to your attack rolls. +-(Cultist Class Only)</v>
      </c>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t="str">
        <f>IFERROR(__xludf.DUMMYFUNCTION("""COMPUTED_VALUE"""),"""Natural"" Cologne")</f>
        <v>"Natural" Cologne</v>
      </c>
      <c r="B691" s="1" t="str">
        <f>IFERROR(__xludf.DUMMYFUNCTION("""COMPUTED_VALUE""")," () lvl:1, : + ++Animal Friend - When trying to tame a creature you only have to succeed on a charisma roll twice instead of thrice +-(Druid Class Only)")</f>
        <v> () lvl:1, : + ++Animal Friend - When trying to tame a creature you only have to succeed on a charisma roll twice instead of thrice +-(Druid Class Only)</v>
      </c>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t="str">
        <f>IFERROR(__xludf.DUMMYFUNCTION("""COMPUTED_VALUE"""),"Bonded Ring")</f>
        <v>Bonded Ring</v>
      </c>
      <c r="B692" s="1" t="str">
        <f>IFERROR(__xludf.DUMMYFUNCTION("""COMPUTED_VALUE""")," () lvl:1, : + ++A Bond Stronger Than Iron - When with a hatched companion you gain a 10% chance to be unnaffected by an attack +-one use per battle +-(Cavalier Class Only)")</f>
        <v> () lvl:1, : + ++A Bond Stronger Than Iron - When with a hatched companion you gain a 10% chance to be unnaffected by an attack +-one use per battle +-(Cavalier Class Only)</v>
      </c>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t="str">
        <f>IFERROR(__xludf.DUMMYFUNCTION("""COMPUTED_VALUE"""),"Deadeye Brooch")</f>
        <v>Deadeye Brooch</v>
      </c>
      <c r="B693" s="1" t="str">
        <f>IFERROR(__xludf.DUMMYFUNCTION("""COMPUTED_VALUE""")," () lvl:1, : + ++One Shot, One Kill - If you kill an enemy with one shot using a firearm you can attack again with the firearm +-(Gunslinger Class Only)")</f>
        <v> () lvl:1, : + ++One Shot, One Kill - If you kill an enemy with one shot using a firearm you can attack again with the firearm +-(Gunslinger Class Only)</v>
      </c>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t="str">
        <f>IFERROR(__xludf.DUMMYFUNCTION("""COMPUTED_VALUE"""),"Tool Kit")</f>
        <v>Tool Kit</v>
      </c>
      <c r="B694" s="1" t="str">
        <f>IFERROR(__xludf.DUMMYFUNCTION("""COMPUTED_VALUE""")," () lvl:1, : + ++The Right Tool For The Job - once per dungeon you are guaranteed to disable a trap +-(Hunter Class Only)")</f>
        <v> () lvl:1, : + ++The Right Tool For The Job - once per dungeon you are guaranteed to disable a trap +-(Hunter Class Only)</v>
      </c>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t="str">
        <f>IFERROR(__xludf.DUMMYFUNCTION("""COMPUTED_VALUE"""),"Basic Bitch Award")</f>
        <v>Basic Bitch Award</v>
      </c>
      <c r="B695" s="1" t="str">
        <f>IFERROR(__xludf.DUMMYFUNCTION("""COMPUTED_VALUE""")," () lvl:1, : + ++Joe Schmoe - +5 Charisma +-(Knight Class Only)")</f>
        <v> () lvl:1, : + ++Joe Schmoe - +5 Charisma +-(Knight Class Only)</v>
      </c>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t="str">
        <f>IFERROR(__xludf.DUMMYFUNCTION("""COMPUTED_VALUE"""),"Ring of The Frail Scholar")</f>
        <v>Ring of The Frail Scholar</v>
      </c>
      <c r="B696" s="1" t="str">
        <f>IFERROR(__xludf.DUMMYFUNCTION("""COMPUTED_VALUE""")," () lvl:1, : + ++Frail Scholar - Lowers HP by half but doubles SP +-(Mage, Wizard, and Sorcerer Class Only)")</f>
        <v> () lvl:1, : + ++Frail Scholar - Lowers HP by half but doubles SP +-(Mage, Wizard, and Sorcerer Class Only)</v>
      </c>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t="str">
        <f>IFERROR(__xludf.DUMMYFUNCTION("""COMPUTED_VALUE"""),"Ring of Sticky FIngers")</f>
        <v>Ring of Sticky FIngers</v>
      </c>
      <c r="B697" s="1" t="str">
        <f>IFERROR(__xludf.DUMMYFUNCTION("""COMPUTED_VALUE""")," () lvl:1, : + ++Sticky FIngers - Allows you to use confiscate, take, and pickpocket skills twice +-(Marauder Class Only)")</f>
        <v> () lvl:1, : + ++Sticky FIngers - Allows you to use confiscate, take, and pickpocket skills twice +-(Marauder Class Only)</v>
      </c>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t="str">
        <f>IFERROR(__xludf.DUMMYFUNCTION("""COMPUTED_VALUE"""),"Spirit Furnace")</f>
        <v>Spirit Furnace</v>
      </c>
      <c r="B698" s="1" t="str">
        <f>IFERROR(__xludf.DUMMYFUNCTION("""COMPUTED_VALUE""")," () lvl:1, : + ++Cultivation - If you have not yet attacked during the current battle you deal X4 additional damage during your next attack.. +-(Monk Class Only)")</f>
        <v> () lvl:1, : + ++Cultivation - If you have not yet attacked during the current battle you deal X4 additional damage during your next attack.. +-(Monk Class Only)</v>
      </c>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t="str">
        <f>IFERROR(__xludf.DUMMYFUNCTION("""COMPUTED_VALUE"""),"Smokebomb Pouch")</f>
        <v>Smokebomb Pouch</v>
      </c>
      <c r="B699" s="1" t="str">
        <f>IFERROR(__xludf.DUMMYFUNCTION("""COMPUTED_VALUE""")," () lvl:1, : + ++Smoke Bomb - Conceal abilities are guaranteed to succeed +-(Ninja Class Only)")</f>
        <v> () lvl:1, : + ++Smoke Bomb - Conceal abilities are guaranteed to succeed +-(Ninja Class Only)</v>
      </c>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t="str">
        <f>IFERROR(__xludf.DUMMYFUNCTION("""COMPUTED_VALUE"""),"Certificate of Shield Bashing School")</f>
        <v>Certificate of Shield Bashing School</v>
      </c>
      <c r="B700" s="1" t="str">
        <f>IFERROR(__xludf.DUMMYFUNCTION("""COMPUTED_VALUE""")," () lvl:1, : + ++Shield Bash Extraordinaire - When attacking with a shield you may add your mobility bonus to the attack roll +-(Paladin Class Only)")</f>
        <v> () lvl:1, : + ++Shield Bash Extraordinaire - When attacking with a shield you may add your mobility bonus to the attack roll +-(Paladin Class Only)</v>
      </c>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t="str">
        <f>IFERROR(__xludf.DUMMYFUNCTION("""COMPUTED_VALUE"""),"Goblet of Greed")</f>
        <v>Goblet of Greed</v>
      </c>
      <c r="B701" s="1" t="str">
        <f>IFERROR(__xludf.DUMMYFUNCTION("""COMPUTED_VALUE""")," () lvl:1, : + ++MORE!!! MOOOORE!!!!! - multiply your damage by X*2 until the end of battle where X is equal to the amount of times you stole from someone during battle. +-(Pirate Class Only)")</f>
        <v> () lvl:1, : + ++MORE!!! MOOOORE!!!!! - multiply your damage by X*2 until the end of battle where X is equal to the amount of times you stole from someone during battle. +-(Pirate Class Only)</v>
      </c>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t="str">
        <f>IFERROR(__xludf.DUMMYFUNCTION("""COMPUTED_VALUE"""),"Holy Symbol")</f>
        <v>Holy Symbol</v>
      </c>
      <c r="B702" s="1" t="str">
        <f>IFERROR(__xludf.DUMMYFUNCTION("""COMPUTED_VALUE""")," () lvl:1, : + ++Holy Prescence - You can prevent 1 curse, disease, or possesion from affecting a party member once per battle/journey. +-(Priest Class Only)")</f>
        <v> () lvl:1, : + ++Holy Prescence - You can prevent 1 curse, disease, or possesion from affecting a party member once per battle/journey. +-(Priest Class Only)</v>
      </c>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t="str">
        <f>IFERROR(__xludf.DUMMYFUNCTION("""COMPUTED_VALUE"""),"Mysterious Merchant's Scythe")</f>
        <v>Mysterious Merchant's Scythe</v>
      </c>
      <c r="B703" s="1" t="str">
        <f>IFERROR(__xludf.DUMMYFUNCTION("""COMPUTED_VALUE"""),"The scythe of the mysterious merchant himself imbued with a great power (Scythe) lvl:1000, DMG: +, Spirit DMG: +50000 ++Burning Souls - This weapon can devour up to 100 souls to increase it's damage by X*1000 with X representing the souls imbued. When at "&amp;"maximum souls Imbued you can unleash an attack dealing 500,000 Spirit damage to all enemies but stunning you until the end of battle. +-(Reaper Class Only). ++(0/100 Souls imbued)")</f>
        <v>The scythe of the mysterious merchant himself imbued with a great power (Scythe) lvl:1000, DMG: +,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t="str">
        <f>IFERROR(__xludf.DUMMYFUNCTION("""COMPUTED_VALUE"""),"Cursed Saya")</f>
        <v>Cursed Saya</v>
      </c>
      <c r="B704" s="1" t="str">
        <f>IFERROR(__xludf.DUMMYFUNCTION("""COMPUTED_VALUE"""),"A saya unearthed in an ancient temple, those wearing this saya feel an unbeleivable surge of joy and power seeing their opponents in a weakend state. () lvl:1, : + ++Debilitating Strike - When attacking an enemy with your weapon deal X2 damage for every n"&amp;"egative effect inflicted on that enemy +-(Samurai Class Only)")</f>
        <v>A saya unearthed in an ancient temple, those wearing this saya feel an unbeleivable surge of joy and power seeing their opponents in a weakend state. () lvl:1, : + ++Debilitating Strike - When attacking an enemy with your weapon deal X2 damage for every negative effect inflicted on that enemy +-(Samurai Class Only)</v>
      </c>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t="str">
        <f>IFERROR(__xludf.DUMMYFUNCTION("""COMPUTED_VALUE"""),"Shamanic Staff")</f>
        <v>Shamanic Staff</v>
      </c>
      <c r="B705" s="1" t="str">
        <f>IFERROR(__xludf.DUMMYFUNCTION("""COMPUTED_VALUE"""),"A long staff made with elder wood, the magic focus of this weapon is a piece of Hanged Man's Jasper, a rare gemstone with a high affinity for spirit magic. (Staff) lvl:1500, DMG: +, Fire DMG: +25000, Spirit DMG: +25000, Voodoo DMG: +25000 ++In Tandem - Wh"&amp;"en attacking any enemy that your spirit has previously targetted you gain a +5 to attack rolls against that enemy. Cost: 500 sp")</f>
        <v>A long staff made with elder wood, the magic focus of this weapon is a piece of Hanged Man's Jasper, a rare gemstone with a high affinity for spirit magic. (Staff) lvl:1500, DMG: +, Fire DMG: +25000, Spirit DMG: +25000, Voodoo DMG: +25000 ++In Tandem - When attacking any enemy that your spirit has previously targetted you gain a +5 to attack rolls against that enemy. Cost: 500 sp</v>
      </c>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t="str">
        <f>IFERROR(__xludf.DUMMYFUNCTION("""COMPUTED_VALUE"""),"Rune Necklace")</f>
        <v>Rune Necklace</v>
      </c>
      <c r="B706" s="1" t="str">
        <f>IFERROR(__xludf.DUMMYFUNCTION("""COMPUTED_VALUE"""),"A necklace given to Shaman's upon completeing their rite, to be a High shaman, the spirits recognize this as a sign of power and bow to those wearing this necklace. () lvl:1, : + ++Spirit's Friend - Any summoned Spirit gains +5 to all perks and X2 base st"&amp;"ats +-(Shaman Class Only)")</f>
        <v>A necklace given to Shaman's upon completeing their rite, to be a High shaman, the spirits recognize this as a sign of power and bow to those wearing this necklace. () lvl:1, : + ++Spirit's Friend - Any summoned Spirit gains +5 to all perks and X2 base stats +-(Shaman Class Only)</v>
      </c>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t="str">
        <f>IFERROR(__xludf.DUMMYFUNCTION("""COMPUTED_VALUE"""),"Spell Sponge")</f>
        <v>Spell Sponge</v>
      </c>
      <c r="B707" s="1" t="str">
        <f>IFERROR(__xludf.DUMMYFUNCTION("""COMPUTED_VALUE"""),"A mushroom found rarely in an unknown cave within Spira it has high magic absorption powers and those with magical bloodlines can weild these to great effect to reverse their enemies back upon them. () lvl:1, : + ++Spell Sponge - If you are unaffected by "&amp;"a spell casted by an enemy you can choose to immediately cast the same spell back at them even if you don't have the spell equipped or don't know the spell +-(Mage, Wizard, and Sorcerer Class Only)")</f>
        <v>A mushroom found rarely in an unknown cave within Spira it has high magic absorption powers and those with magical bloodlines can weild these to great effect to reverse their enemies back upon them. () lvl:1, : + ++Spell Sponge - If you are unaffected by a spell casted by an enemy you can choose to immediately cast the same spell back at them even if you don't have the spell equipped or don't know the spell +-(Mage, Wizard, and Sorcerer Class Only)</v>
      </c>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t="str">
        <f>IFERROR(__xludf.DUMMYFUNCTION("""COMPUTED_VALUE"""),"Viking's Warpaint")</f>
        <v>Viking's Warpaint</v>
      </c>
      <c r="B708" s="1" t="str">
        <f>IFERROR(__xludf.DUMMYFUNCTION("""COMPUTED_VALUE"""),"A set of primitive paint imported from Knappadalr, for some reason these paints fill you with rage. () lvl:1, : + ++Rage - When you either parry or are unaffected by a weapon attack your next attack deals X4 damage +-(Viking Class Only)")</f>
        <v>A set of primitive paint imported from Knappadalr, for some reason these paints fill you with rage. () lvl:1, : + ++Rage - When you either parry or are unaffected by a weapon attack your next attack deals X4 damage +-(Viking Class Only)</v>
      </c>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t="str">
        <f>IFERROR(__xludf.DUMMYFUNCTION("""COMPUTED_VALUE"""),"Speed Shoes")</f>
        <v>Speed Shoes</v>
      </c>
      <c r="B709" s="1" t="str">
        <f>IFERROR(__xludf.DUMMYFUNCTION("""COMPUTED_VALUE"""),"A pair of red shoes that make you feel like dancing. () lvl:1, : + ++Can't Touch This - When you successfully dodge an attack you can immediate attack with a weapon attack +-(Warrior Class Only)")</f>
        <v>A pair of red shoes that make you feel like dancing. () lvl:1, : + ++Can't Touch This - When you successfully dodge an attack you can immediate attack with a weapon attack +-(Warrior Class Only)</v>
      </c>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t="str">
        <f>IFERROR(__xludf.DUMMYFUNCTION("""COMPUTED_VALUE"""),"Book of Hexes")</f>
        <v>Book of Hexes</v>
      </c>
      <c r="B710" s="1" t="str">
        <f>IFERROR(__xludf.DUMMYFUNCTION("""COMPUTED_VALUE"""),"The staple item for a witch. () lvl:1, : + ++Hex - Any enemy you inflict with a debuff takes X2 additional damage from the self and all allies. +-(Witch Class Only)")</f>
        <v>The staple item for a witch. () lvl:1, : + ++Hex - Any enemy you inflict with a debuff takes X2 additional damage from the self and all allies. +-(Witch Class Only)</v>
      </c>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t="str">
        <f>IFERROR(__xludf.DUMMYFUNCTION("""COMPUTED_VALUE"""),"Ring of Boring")</f>
        <v>Ring of Boring</v>
      </c>
      <c r="B711" s="1" t="str">
        <f>IFERROR(__xludf.DUMMYFUNCTION("""COMPUTED_VALUE"""),"The item for people who made a character but decided they were ""too good"" for it's abilities. () lvl:1, : + ++Why are you so boring? - X2 additional damage.")</f>
        <v>The item for people who made a character but decided they were "too good" for it's abilities. () lvl:1, : + ++Why are you so boring? - X2 additional damage.</v>
      </c>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t="str">
        <f>IFERROR(__xludf.DUMMYFUNCTION("""COMPUTED_VALUE"""),"Frozen Spearman's High-Low Dress")</f>
        <v>Frozen Spearman's High-Low Dress</v>
      </c>
      <c r="B712" s="1" t="str">
        <f>IFERROR(__xludf.DUMMYFUNCTION("""COMPUTED_VALUE""")," () lvl:200, DEF: +25000, Earth DEF: +25000, Nature DEF: +25000, Celestial DEF: +25000 ++Regal Authority - At the start of battle there's a 25% chance of recruiting one enemy to join you (100% if they are a player with a starting town in any tundra region"&amp;") This counts as possession for the purposes of immunity")</f>
        <v> () lvl:200, 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t="str">
        <f>IFERROR(__xludf.DUMMYFUNCTION("""COMPUTED_VALUE"""),"Frozen Spearman's Jhodpur's")</f>
        <v>Frozen Spearman's Jhodpur's</v>
      </c>
      <c r="B713" s="1" t="str">
        <f>IFERROR(__xludf.DUMMYFUNCTION("""COMPUTED_VALUE""")," () lvl:200, DEF: +25000, Earth DEF: +25000, Nature DEF: +25000, Celestial DEF: +25000 ++Cavalry Charge - Summon a frosty steed to run down your enemies dealing 50,000 unavoidable Storm damage with a 15% chance of freeing all enemies - 500 sp")</f>
        <v> () lvl:200, DEF: +25000, Earth DEF: +25000, Nature DEF: +25000, Celestial DEF: +25000 ++Cavalry Charge - Summon a frosty steed to run down your enemies dealing 50,000 unavoidable Storm damage with a 15% chance of freeing all enemies - 500 sp</v>
      </c>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t="str">
        <f>IFERROR(__xludf.DUMMYFUNCTION("""COMPUTED_VALUE"""),"Frozen Spearman's Fur Boots")</f>
        <v>Frozen Spearman's Fur Boots</v>
      </c>
      <c r="B714" s="1" t="str">
        <f>IFERROR(__xludf.DUMMYFUNCTION("""COMPUTED_VALUE""")," () lvl:200, DEF: +25000, Earth DEF: +25000, Nature DEF: +25000, Celestial DEF: +25000 ++Frosty Footwork - Upon successfully hitting an enemy you can make a second attack")</f>
        <v> () lvl:200, DEF: +25000, Earth DEF: +25000, Nature DEF: +25000, Celestial DEF: +25000 ++Frosty Footwork - Upon successfully hitting an enemy you can make a second attack</v>
      </c>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t="str">
        <f>IFERROR(__xludf.DUMMYFUNCTION("""COMPUTED_VALUE"""),"Frozen Spearman's Bracers")</f>
        <v>Frozen Spearman's Bracers</v>
      </c>
      <c r="B715" s="1" t="str">
        <f>IFERROR(__xludf.DUMMYFUNCTION("""COMPUTED_VALUE""")," () lvl:200, DEF: +25000, Earth DEF: +25000, Nature DEF: +25000, Celestial DEF: +25000 ++Queen's Counter - Upon successfully evading an attack you can Immediately attack the person who attacked you.")</f>
        <v> () lvl:200, DEF: +25000, Earth DEF: +25000, Nature DEF: +25000, Celestial DEF: +25000 ++Queen's Counter - Upon successfully evading an attack you can Immediately attack the person who attacked you.</v>
      </c>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t="str">
        <f>IFERROR(__xludf.DUMMYFUNCTION("""COMPUTED_VALUE"""),"Frozen Spearman's Fur Cloak")</f>
        <v>Frozen Spearman's Fur Cloak</v>
      </c>
      <c r="B716" s="1" t="str">
        <f>IFERROR(__xludf.DUMMYFUNCTION("""COMPUTED_VALUE""")," () lvl:200, DEF: +25000, Earth DEF: +25000, Nature DEF: +25000, Celestial DEF: +25000 ++A Land of Ice and Snow - X4 Storm and Water damage")</f>
        <v> () lvl:200, DEF: +25000, Earth DEF: +25000, Nature DEF: +25000, Celestial DEF: +25000 ++A Land of Ice and Snow - X4 Storm and Water damage</v>
      </c>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t="str">
        <f>IFERROR(__xludf.DUMMYFUNCTION("""COMPUTED_VALUE"""),"Frost Mage's Cloak")</f>
        <v>Frost Mage's Cloak</v>
      </c>
      <c r="B717" s="1" t="str">
        <f>IFERROR(__xludf.DUMMYFUNCTION("""COMPUTED_VALUE""")," () lvl:200, DEF: +, Water DEF: +5000, Storm DEF: +5000, Celestial DEF: +5000 ++500HP, ++500SP, ++X4 Water and Storm Damage, ++Immunity to Freezing, +-Cannot be Duplicated.")</f>
        <v> () lvl:200, DEF: +, Water DEF: +5000, Storm DEF: +5000, Celestial DEF: +5000 ++500HP, ++500SP, ++X4 Water and Storm Damage, ++Immunity to Freezing, +-Cannot be Duplicated.</v>
      </c>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t="str">
        <f>IFERROR(__xludf.DUMMYFUNCTION("""COMPUTED_VALUE"""),"Frost Mage's Boots")</f>
        <v>Frost Mage's Boots</v>
      </c>
      <c r="B718" s="1" t="str">
        <f>IFERROR(__xludf.DUMMYFUNCTION("""COMPUTED_VALUE""")," () lvl:200, DEF: +, Water DEF: +5000, Storm DEF: +5000, Celestial DEF: +5000 ++500HP, ++500SP, ++X4 Water and Storm Damage, ++Immunity to Freezing, +-Cannot be Duplicated.")</f>
        <v> () lvl:200, DEF: +, Water DEF: +5000, Storm DEF: +5000, Celestial DEF: +5000 ++500HP, ++500SP, ++X4 Water and Storm Damage, ++Immunity to Freezing, +-Cannot be Duplicated.</v>
      </c>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t="str">
        <f>IFERROR(__xludf.DUMMYFUNCTION("""COMPUTED_VALUE"""),"Frost Mage's Hood")</f>
        <v>Frost Mage's Hood</v>
      </c>
      <c r="B719" s="1" t="str">
        <f>IFERROR(__xludf.DUMMYFUNCTION("""COMPUTED_VALUE""")," () lvl:200, DEF: +, Water DEF: +5000, Storm DEF: +5000, Celestial DEF: +5000 ++500HP, ++500SP, ++X4 Water and Storm Damage, ++Immunity to Freezing, +-Cannot be Duplicated.")</f>
        <v> () lvl:200, DEF: +, Water DEF: +5000, Storm DEF: +5000, Celestial DEF: +5000 ++500HP, ++500SP, ++X4 Water and Storm Damage, ++Immunity to Freezing, +-Cannot be Duplicated.</v>
      </c>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t="str">
        <f>IFERROR(__xludf.DUMMYFUNCTION("""COMPUTED_VALUE"""),"Crown of Frozen Swords")</f>
        <v>Crown of Frozen Swords</v>
      </c>
      <c r="B720" s="1" t="str">
        <f>IFERROR(__xludf.DUMMYFUNCTION("""COMPUTED_VALUE""")," () lvl:200, DEF: +50000, Earth DEF: +50000, Nature DEF: +50000, Celestial DEF: +50000 ++King of The Frozen Wastes - X2 Storm damage ++15% chance to hit all enemies with a weapon attack")</f>
        <v> () lvl:200, DEF: +50000, Earth DEF: +50000, Nature DEF: +50000, Celestial DEF: +50000 ++King of The Frozen Wastes - X2 Storm damage ++15% chance to hit all enemies with a weapon attack</v>
      </c>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t="str">
        <f>IFERROR(__xludf.DUMMYFUNCTION("""COMPUTED_VALUE"""),"Frost-bitten Cape")</f>
        <v>Frost-bitten Cape</v>
      </c>
      <c r="B721" s="1" t="str">
        <f>IFERROR(__xludf.DUMMYFUNCTION("""COMPUTED_VALUE""")," () lvl:200, DEF: +50000, Earth DEF: +50000, Nature DEF: +50000, Celestial DEF: +50000 ++Frostbite - Enemies hit with a weapon attack take 5000 Storm damage per round for 3 rounds")</f>
        <v> () lvl:200, DEF: +50000, Earth DEF: +50000, Nature DEF: +50000, Celestial DEF: +50000 ++Frostbite - Enemies hit with a weapon attack take 5000 Storm damage per round for 3 rounds</v>
      </c>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t="str">
        <f>IFERROR(__xludf.DUMMYFUNCTION("""COMPUTED_VALUE"""),"Ice-steel Pauldrons")</f>
        <v>Ice-steel Pauldrons</v>
      </c>
      <c r="B722" s="1" t="str">
        <f>IFERROR(__xludf.DUMMYFUNCTION("""COMPUTED_VALUE""")," () lvl:200, DEF: +50000, Earth DEF: +50000, Nature DEF: +50000, Celestial DEF: +50000 ++Cold Shoulder - Immunity to freeze")</f>
        <v> () lvl:200, DEF: +50000, Earth DEF: +50000, Nature DEF: +50000, Celestial DEF: +50000 ++Cold Shoulder - Immunity to freeze</v>
      </c>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t="str">
        <f>IFERROR(__xludf.DUMMYFUNCTION("""COMPUTED_VALUE"""),"Ice-steel Bracers")</f>
        <v>Ice-steel Bracers</v>
      </c>
      <c r="B723" s="1" t="str">
        <f>IFERROR(__xludf.DUMMYFUNCTION("""COMPUTED_VALUE""")," () lvl:200, DEF: +50000, Earth DEF: +50000, Nature DEF: +50000, Celestial DEF: +50000 ++A Moment of Weakness - (Can only target frozen enemies) Strike the enemy with your weapon dealing X3 Weapon damage and Giving the enemy disoriented 3 - 500 sp")</f>
        <v> () lvl:200, DEF: +50000, Earth DEF: +50000, Nature DEF: +50000, Celestial DEF: +50000 ++A Moment of Weakness - (Can only target frozen enemies) Strike the enemy with your weapon dealing X3 Weapon damage and Giving the enemy disoriented 3 - 500 sp</v>
      </c>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t="str">
        <f>IFERROR(__xludf.DUMMYFUNCTION("""COMPUTED_VALUE"""),"Ice-steel Chausses")</f>
        <v>Ice-steel Chausses</v>
      </c>
      <c r="B724" s="1" t="str">
        <f>IFERROR(__xludf.DUMMYFUNCTION("""COMPUTED_VALUE"""),"The chinks in the armor suggest a lack of care over the past years. () lvl:200, DEF: +50000, Earth DEF: +50000, Nature DEF: +50000, Celestial DEF: +50000 ++X2 Weapon Damage")</f>
        <v>The chinks in the armor suggest a lack of care over the past years. () lvl:200, DEF: +50000, Earth DEF: +50000, Nature DEF: +50000, Celestial DEF: +50000 ++X2 Weapon Damage</v>
      </c>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t="str">
        <f>IFERROR(__xludf.DUMMYFUNCTION("""COMPUTED_VALUE"""),"Frost Stompers")</f>
        <v>Frost Stompers</v>
      </c>
      <c r="B725" s="1" t="str">
        <f>IFERROR(__xludf.DUMMYFUNCTION("""COMPUTED_VALUE"""),"These frozen iron boots are covered in a layer of permafrost, it seems as though they'll never thaw. () lvl:200, DEF: +50000, Earth DEF: +50000, Nature DEF: +50000, Celestial DEF: +50000 ++X2 Storm Damage")</f>
        <v>These frozen iron boots are covered in a layer of permafrost, it seems as though they'll never thaw. () lvl:200, DEF: +50000, Earth DEF: +50000, Nature DEF: +50000, Celestial DEF: +50000 ++X2 Storm Damage</v>
      </c>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t="str">
        <f>IFERROR(__xludf.DUMMYFUNCTION("""COMPUTED_VALUE"""),"Plate of the Frozen Sun")</f>
        <v>Plate of the Frozen Sun</v>
      </c>
      <c r="B726" s="1" t="str">
        <f>IFERROR(__xludf.DUMMYFUNCTION("""COMPUTED_VALUE"""),"""The king was not always as he is now, but the yearly curse of the ice mage has him colder than usual"" ~old man () lvl:200, DEF: +50000, Earth DEF: +50000, Nature DEF: +50000, Celestial DEF: +50000 ++Freezing Absorption - Can absorb one summoned creatur"&amp;"e adding their stats on top of your for 3 rounds but giving you a 50% chance of attacking a random ally instead of an enemy - 500 sp")</f>
        <v>"The king was not always as he is now, but the yearly curse of the ice mage has him colder than usual" ~old man () lvl:200, DEF: +50000, Earth DEF: +50000, Nature DEF: +50000, Celestial DEF: +50000 ++Freezing Absorption - Can absorb one summoned creature adding their stats on top of your for 3 rounds but giving you a 50% chance of attacking a random ally instead of an enemy - 500 sp</v>
      </c>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t="str">
        <f>IFERROR(__xludf.DUMMYFUNCTION("""COMPUTED_VALUE"""),"Frost Mage's Staff")</f>
        <v>Frost Mage's Staff</v>
      </c>
      <c r="B727" s="1" t="str">
        <f>IFERROR(__xludf.DUMMYFUNCTION("""COMPUTED_VALUE"""),"""FREEZE"" ~Frost mage (Staff) lvl:200, DMG: +, Water DMG: +50000, Storm DMG: +50000, Celestial DMG: +50000 ++Damages all enemies, ++Cannot Avoid ++ +500SP ++X4 Water and Storm Damage ++25% chance to freeze the enemies +-Cannot be forged +-Cannot be dupli"&amp;"cated")</f>
        <v>"FREEZE" ~Frost mage (Staff) lvl:200, DMG: +, Water DMG: +50000, Storm DMG: +50000, Celestial DMG: +50000 ++Damages all enemies, ++Cannot Avoid ++ +500SP ++X4 Water and Storm Damage ++25% chance to freeze the enemies +-Cannot be forged +-Cannot be duplicated</v>
      </c>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t="str">
        <f>IFERROR(__xludf.DUMMYFUNCTION("""COMPUTED_VALUE"""),"Snowball")</f>
        <v>Snowball</v>
      </c>
      <c r="B728" s="1" t="str">
        <f>IFERROR(__xludf.DUMMYFUNCTION("""COMPUTED_VALUE"""),"""If you even think about hitting me with that I'll fill one with lead and bash your skull with it"" ~Gwennivir (Boomerang) lvl:200, DMG: +, Water DMG: +10000 ++25% Chance to freeze the target, ++25% chance to turn the target into a Demon Snowman and recr"&amp;"uit them to the users side for 2 rounds (this counts as a possession).")</f>
        <v>"If you even think about hitting me with that I'll fill one with lead and bash your skull with it" ~Gwennivir (Boomerang) lvl:200, DMG: +, Water DMG: +10000 ++25% Chance to freeze the target, ++25% chance to turn the target into a Demon Snowman and recruit them to the users side for 2 rounds (this counts as a possession).</v>
      </c>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t="str">
        <f>IFERROR(__xludf.DUMMYFUNCTION("""COMPUTED_VALUE"""),"Corvid Cloak")</f>
        <v>Corvid Cloak</v>
      </c>
      <c r="B729" s="1" t="str">
        <f>IFERROR(__xludf.DUMMYFUNCTION("""COMPUTED_VALUE"""),"Formed from the feathers of many crows and ravens, this cloak has an imposing presence. () lvl:1, DEF: + ++On WIngs of Death: When an enemy or ally dies of poison all Base stats are doubled for 3 rounds and +5 to all perks +-Cannot be Duplicated")</f>
        <v>Formed from the feathers of many crows and ravens, this cloak has an imposing presence. () lvl:1, DEF: + ++On WIngs of Death: When an enemy or ally dies of poison all Base stats are doubled for 3 rounds and +5 to all perks +-Cannot be Duplicated</v>
      </c>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t="str">
        <f>IFERROR(__xludf.DUMMYFUNCTION("""COMPUTED_VALUE"""),"Plague Doctor's Mask")</f>
        <v>Plague Doctor's Mask</v>
      </c>
      <c r="B730" s="1" t="str">
        <f>IFERROR(__xludf.DUMMYFUNCTION("""COMPUTED_VALUE"""),"""The eyes of the plague doctors can see all the impurities of not just one's body, but one's soul, it is our goal- nay, our purpose, to cure these impurities"" ~Kaillon, The Last WItch Doctor () lvl:1, DEF: + ++Plague Doctor: 25% chance to be unaffected "&amp;"by a disease +-Cannot be Duplicated")</f>
        <v>"The eyes of the plague doctors can see all the impurities of not just one's body, but one's soul, it is our goal- nay, our purpose, to cure these impurities" ~Kaillon, The Last WItch Doctor () lvl:1, DEF: + ++Plague Doctor: 25% chance to be unaffected by a disease +-Cannot be Duplicated</v>
      </c>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t="str">
        <f>IFERROR(__xludf.DUMMYFUNCTION("""COMPUTED_VALUE"""),"""The Only Cure""")</f>
        <v>"The Only Cure"</v>
      </c>
      <c r="B731" s="1" t="str">
        <f>IFERROR(__xludf.DUMMYFUNCTION("""COMPUTED_VALUE"""),"""Sometimes, there is no cure for one's disease,
in those times it is our job to be merciful,
Truly, the only cure is death"" ~Kaillon, The Last Witch Doctor () lvl:1, : + ++""Is Death"": The first time a single ally dies in a battle they survive on 1 hp "&amp;"with halved defense, atack, and accuracy for 3 rounds. +-Cannot be Duplicated")</f>
        <v>"Sometimes, there is no cure for one's disease,
in those times it is our job to be merciful,
Truly, the only cure is death" ~Kaillon, The Last Witch Doctor () lvl:1, : + ++"Is Death": The first time a single ally dies in a battle they survive on 1 hp with halved defense, atack, and accuracy for 3 rounds. +-Cannot be Duplicated</v>
      </c>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t="str">
        <f>IFERROR(__xludf.DUMMYFUNCTION("""COMPUTED_VALUE"""),"Plague Doctor's Gloves")</f>
        <v>Plague Doctor's Gloves</v>
      </c>
      <c r="B732" s="1" t="str">
        <f>IFERROR(__xludf.DUMMYFUNCTION("""COMPUTED_VALUE"""),"These gloves have been stained with blood and potions over the years. () lvl:1, DEF: + ++Poisoner I:X2 damage +-Cannot be Duplicated")</f>
        <v>These gloves have been stained with blood and potions over the years. () lvl:1, DEF: + ++Poisoner I:X2 damage +-Cannot be Duplicated</v>
      </c>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t="str">
        <f>IFERROR(__xludf.DUMMYFUNCTION("""COMPUTED_VALUE"""),"Plague Doctor's Sarouel")</f>
        <v>Plague Doctor's Sarouel</v>
      </c>
      <c r="B733" s="1" t="str">
        <f>IFERROR(__xludf.DUMMYFUNCTION("""COMPUTED_VALUE"""),"These pants serve no real purpose within the foul night swamp, but they are the traditional wear of the plague doctors. () lvl:1, DEF: + ++Poisoner I:X2 damage +-Cannot be Duplicated")</f>
        <v>These pants serve no real purpose within the foul night swamp, but they are the traditional wear of the plague doctors. () lvl:1, DEF: + ++Poisoner I:X2 damage +-Cannot be Duplicated</v>
      </c>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t="str">
        <f>IFERROR(__xludf.DUMMYFUNCTION("""COMPUTED_VALUE"""),"Plague Doctor's Boots")</f>
        <v>Plague Doctor's Boots</v>
      </c>
      <c r="B734" s="1" t="str">
        <f>IFERROR(__xludf.DUMMYFUNCTION("""COMPUTED_VALUE"""),"These boots have been designed for optimal movement through all kinds of hazards. () lvl:1, DEF: + ++Swamp Stompers: You take only half the effect of environmental hazards +-Cannot be Duplicated")</f>
        <v>These boots have been designed for optimal movement through all kinds of hazards. () lvl:1, DEF: + ++Swamp Stompers: You take only half the effect of environmental hazards +-Cannot be Duplicated</v>
      </c>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t="str">
        <f>IFERROR(__xludf.DUMMYFUNCTION("""COMPUTED_VALUE"""),"Plague Doctor's Apron")</f>
        <v>Plague Doctor's Apron</v>
      </c>
      <c r="B735" s="1" t="str">
        <f>IFERROR(__xludf.DUMMYFUNCTION("""COMPUTED_VALUE"""),"The thick leather of this apron ensures that accidents with poison are minimalized. () lvl:1, DEF: + ++Spllatter Proof: Immune to poison +-Cannot be Duplicated")</f>
        <v>The thick leather of this apron ensures that accidents with poison are minimalized. () lvl:1, DEF: + ++Spllatter Proof: Immune to poison +-Cannot be Duplicated</v>
      </c>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t="str">
        <f>IFERROR(__xludf.DUMMYFUNCTION("""COMPUTED_VALUE"""),"Poisonous Hand Crossbow")</f>
        <v>Poisonous Hand Crossbow</v>
      </c>
      <c r="B736" s="1" t="str">
        <f>IFERROR(__xludf.DUMMYFUNCTION("""COMPUTED_VALUE"""),"""Because sometimes the only viable tactic, is a dirty one"" ~Gwennivir (Bow) lvl:1000, DMG: +50000 ++Poisoned I: Hitting an enemy with this weapon inflicts 500 poison")</f>
        <v>"Because sometimes the only viable tactic, is a dirty one" ~Gwennivir (Bow) lvl:1000, DMG: +50000 ++Poisoned I: Hitting an enemy with this weapon inflicts 500 poison</v>
      </c>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t="str">
        <f>IFERROR(__xludf.DUMMYFUNCTION("""COMPUTED_VALUE"""),"Poison Tipped Knife")</f>
        <v>Poison Tipped Knife</v>
      </c>
      <c r="B737" s="1" t="str">
        <f>IFERROR(__xludf.DUMMYFUNCTION("""COMPUTED_VALUE"""),"""It isn't the most graceful end, and it isn't quick by any means... What, you thought I'd defend it?"" ~Gwennivir (Knife) lvl:1000, DMG: +50000 ++Poisoned I: Hitting an enemy with this weapon inflicts 500 poison")</f>
        <v>"It isn't the most graceful end, and it isn't quick by any means... What, you thought I'd defend it?" ~Gwennivir (Knife) lvl:1000, DMG: +50000 ++Poisoned I: Hitting an enemy with this weapon inflicts 500 poison</v>
      </c>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t="str">
        <f>IFERROR(__xludf.DUMMYFUNCTION("""COMPUTED_VALUE"""),"Frozen Head-Splitter")</f>
        <v>Frozen Head-Splitter</v>
      </c>
      <c r="B738" s="1" t="str">
        <f>IFERROR(__xludf.DUMMYFUNCTION("""COMPUTED_VALUE"""),"""Those trolls in the northern territories, who do you think taught them how to use those clubs they always carry around? It's as if they simply learned it overnight one day."" ~Mysterious Merchant (Club) lvl:1200, DMG: +50000, Storm DMG: +10000 ++Big Bas"&amp;"hin' Stick - 25% chance to stun an enemy upon hitting them for 2 rounds(percent stacks with weapon ability), ++Big Freezin' Stick - 15% chance to freeze an enemy upon hitting them")</f>
        <v>"Those trolls in the northern territories, who do you think taught them how to use those clubs they always carry around? It's as if they simply learned it overnight one day." ~Mysterious Merchant (Club) lvl:1200, DMG: +50000, Storm DMG: +10000 ++Big Bashin' Stick - 25% chance to stun an enemy upon hitting them for 2 rounds(percent stacks with weapon ability), ++Big Freezin' Stick - 15% chance to freeze an enemy upon hitting them</v>
      </c>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t="str">
        <f>IFERROR(__xludf.DUMMYFUNCTION("""COMPUTED_VALUE"""),"Fireball Cannon")</f>
        <v>Fireball Cannon</v>
      </c>
      <c r="B739" s="1" t="str">
        <f>IFERROR(__xludf.DUMMYFUNCTION("""COMPUTED_VALUE"""),"""Sometimes fire is the only answer to the question,"" ~Gwennivir (Firearm) lvl:1000, DMG: +30000, Fire DMG: +20000 ++Burn 10,000. ++Requires Fire Cannon Balls")</f>
        <v>"Sometimes fire is the only answer to the question," ~Gwennivir (Firearm) lvl:1000, DMG: +30000, Fire DMG: +20000 ++Burn 10,000. ++Requires Fire Cannon Balls</v>
      </c>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t="str">
        <f>IFERROR(__xludf.DUMMYFUNCTION("""COMPUTED_VALUE"""),"Harpoon Gun")</f>
        <v>Harpoon Gun</v>
      </c>
      <c r="B740" s="1" t="str">
        <f>IFERROR(__xludf.DUMMYFUNCTION("""COMPUTED_VALUE"""),"""You could use this for whaling and shark hunting, or you could use it to catch a few pirates, I don't judge,"" ~Gwennivir (Spear) lvl:400, DMG: +10000, Blood DMG: +10000 ++Bleed 10,000. ")</f>
        <v>"You could use this for whaling and shark hunting, or you could use it to catch a few pirates, I don't judge," ~Gwennivir (Spear) lvl:400, DMG: +10000, Blood DMG: +10000 ++Bleed 10,000. </v>
      </c>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t="str">
        <f>IFERROR(__xludf.DUMMYFUNCTION("""COMPUTED_VALUE"""),"Torpedo Launcher")</f>
        <v>Torpedo Launcher</v>
      </c>
      <c r="B741" s="1" t="str">
        <f>IFERROR(__xludf.DUMMYFUNCTION("""COMPUTED_VALUE"""),"""Sometimes you need a little more bang for your buck, in those times you need a torpedo,"" ~Gwennivir (Firearm) lvl:1000, DMG: +50000 ++ Requires Torpedos")</f>
        <v>"Sometimes you need a little more bang for your buck, in those times you need a torpedo," ~Gwennivir (Firearm) lvl:1000, DMG: +50000 ++ Requires Torpedos</v>
      </c>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t="str">
        <f>IFERROR(__xludf.DUMMYFUNCTION("""COMPUTED_VALUE"""),"Double Barrel Shotgun")</f>
        <v>Double Barrel Shotgun</v>
      </c>
      <c r="B742" s="1" t="str">
        <f>IFERROR(__xludf.DUMMYFUNCTION("""COMPUTED_VALUE"""),"""Because what's better than one barrel? Two,"" ~Gwennivir (Firearm) lvl:800, DMG: +20000, Blood DMG: +20000 ++You can use this Firearm twice on your turn during battle if you attack with it +-Cannot be forged +-Cannot be duplicated")</f>
        <v>"Because what's better than one barrel? Two," ~Gwennivir (Firearm) lvl:800, DMG: +20000, Blood DMG: +20000 ++You can use this Firearm twice on your turn during battle if you attack with it +-Cannot be forged +-Cannot be duplicated</v>
      </c>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t="str">
        <f>IFERROR(__xludf.DUMMYFUNCTION("""COMPUTED_VALUE"""),"Single Barrel Shotgun")</f>
        <v>Single Barrel Shotgun</v>
      </c>
      <c r="B743" s="1" t="str">
        <f>IFERROR(__xludf.DUMMYFUNCTION("""COMPUTED_VALUE"""),"""For when you want to put more than one hole in your enemies at a time"" ~Gwennivir (Firearm) lvl:400, DMG: +10000, Blood DMG: +10000")</f>
        <v>"For when you want to put more than one hole in your enemies at a time" ~Gwennivir (Firearm) lvl:400, DMG: +10000, Blood DMG: +10000</v>
      </c>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t="str">
        <f>IFERROR(__xludf.DUMMYFUNCTION("""COMPUTED_VALUE"""),"Poison Staff")</f>
        <v>Poison Staff</v>
      </c>
      <c r="B744" s="1" t="str">
        <f>IFERROR(__xludf.DUMMYFUNCTION("""COMPUTED_VALUE"""),"""Poison is generally looked down upon as a cowardly tactic by all but the poison master, but you must admit to it's efficieny"" ~Poison Master Hun (Staff) lvl:2000, DMG: +, Nature DMG: +100000 ++ Poison 20,000")</f>
        <v>"Poison is generally looked down upon as a cowardly tactic by all but the poison master, but you must admit to it's efficieny" ~Poison Master Hun (Staff) lvl:2000, DMG: +, Nature DMG: +100000 ++ Poison 20,000</v>
      </c>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t="str">
        <f>IFERROR(__xludf.DUMMYFUNCTION("""COMPUTED_VALUE"""),"Chameldrians Staff of Thriving Blossoms")</f>
        <v>Chameldrians Staff of Thriving Blossoms</v>
      </c>
      <c r="B745" s="1" t="str">
        <f>IFERROR(__xludf.DUMMYFUNCTION("""COMPUTED_VALUE"""),"""Truly a beatiful show of Chameldrian craftsmanship, too bad it's more often than not going to be pointed at you"" ~Poison Master Hun (Staff) lvl:2000, : +, Nature : +100000 ++Natures Shield - If you take damage that would kill you, you will live at 1hp "&amp;"once per battle. +-Cannot be forged. +-Cannot be duplicated.")</f>
        <v>"Truly a beatiful show of Chameldrian craftsmanship, too bad it's more often than not going to be pointed at you" ~Poison Master Hun (Staff) lvl:2000, : +, Nature : +100000 ++Natures Shield - If you take damage that would kill you, you will live at 1hp once per battle. +-Cannot be forged. +-Cannot be duplicated.</v>
      </c>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t="str">
        <f>IFERROR(__xludf.DUMMYFUNCTION("""COMPUTED_VALUE"""),"Cooper's Memento")</f>
        <v>Cooper's Memento</v>
      </c>
      <c r="B746" s="1" t="str">
        <f>IFERROR(__xludf.DUMMYFUNCTION("""COMPUTED_VALUE"""),"A small stopwatch, the ticking has stopped. (Item) lvl:1, : + ++15% chance to be unaffected by a curse")</f>
        <v>A small stopwatch, the ticking has stopped. (Item) lvl:1, : + ++15% chance to be unaffected by a curse</v>
      </c>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t="str">
        <f>IFERROR(__xludf.DUMMYFUNCTION("""COMPUTED_VALUE"""),"Gaian Champion's Shield")</f>
        <v>Gaian Champion's Shield</v>
      </c>
      <c r="B747" s="1" t="str">
        <f>IFERROR(__xludf.DUMMYFUNCTION("""COMPUTED_VALUE"""),"""We are born to be the shield of the people, too many paladins forget this simple fact"" ~Grisaia (Towershield) lvl:200, DEF: +50000, Fire DEF: +50000, Storm DEF: +50000, Earth DEF: +50000, Celestial DEF: +50000 ++15% chance to prevent an ally from takin"&amp;"g damage when hit by an attack. ++X6 Earth Damage +-Cannot be Duplicated")</f>
        <v>"We are born to be the shield of the people, too many paladins forget this simple fact" ~Grisaia (Towershield) lvl:200, DEF: +50000, Fire DEF: +50000, Storm DEF: +50000, Earth DEF: +50000, Celestial DEF: +50000 ++15% chance to prevent an ally from taking damage when hit by an attack. ++X6 Earth Damage +-Cannot be Duplicated</v>
      </c>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t="str">
        <f>IFERROR(__xludf.DUMMYFUNCTION("""COMPUTED_VALUE"""),"The Billowing Bludgeon")</f>
        <v>The Billowing Bludgeon</v>
      </c>
      <c r="B748" s="1" t="str">
        <f>IFERROR(__xludf.DUMMYFUNCTION("""COMPUTED_VALUE"""),"""Sure, you could use this as how a staff is supposed to be used, but hitting your enemy on the head with it is more fun"" ~Fire Tiki Mountain Shaman (Staff) lvl:200, DMG: +75000, Fire DMG: +75000, Earth DMG: +75000, Celestial DMG: +75000 ++X6 Earth and F"&amp;"ire damage. ++Additional X6 Earth and Fire damage if the enemy is Vulerable to either damage type. ++Billowing Smoke - Cover the field in smoke and flames giving enemies Blindness 3 and Burn 5000 for 3 rounds. 1000 sp")</f>
        <v>"Sure, you could use this as how a staff is supposed to be used, but hitting your enemy on the head with it is more fun" ~Fire Tiki Mountain Shaman (Staff) lvl:200, 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t="str">
        <f>IFERROR(__xludf.DUMMYFUNCTION("""COMPUTED_VALUE"""),"Home Run Bat")</f>
        <v>Home Run Bat</v>
      </c>
      <c r="B749" s="1" t="str">
        <f>IFERROR(__xludf.DUMMYFUNCTION("""COMPUTED_VALUE""")," (Club) lvl:200, DMG: +100000, Celestial DMG: +100000 ++Batter Up! - Plus 2 to turn order roll. ++Home Run - If you roll a 20 or higher while attacking with this weapon the attack roll becomes double. +-Cannot be forged. +-Cannot be duplicated.")</f>
        <v> (Club) lvl:200, DMG: +100000, Celestial DMG: +100000 ++Batter Up! - Plus 2 to turn order roll. ++Home Run - If you roll a 20 or higher while attacking with this weapon the attack roll becomes double. +-Cannot be forged. +-Cannot be duplicated.</v>
      </c>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t="str">
        <f>IFERROR(__xludf.DUMMYFUNCTION("""COMPUTED_VALUE"""),"Lunar New Year Dragon Head")</f>
        <v>Lunar New Year Dragon Head</v>
      </c>
      <c r="B750" s="1" t="str">
        <f>IFERROR(__xludf.DUMMYFUNCTION("""COMPUTED_VALUE""")," (Item) lvl:200, DEF: +25000, Fire DEF: +25000, Celestial DEF: +25000 ++Gain ""Greater Dragon's Breath"" Power. ++X2 additional Fire Damage.")</f>
        <v> (Item) lvl:200, DEF: +25000, Fire DEF: +25000, Celestial DEF: +25000 ++Gain "Greater Dragon's Breath" Power. ++X2 additional Fire Damage.</v>
      </c>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t="str">
        <f>IFERROR(__xludf.DUMMYFUNCTION("""COMPUTED_VALUE"""),"Lunar New Year Dragon Shoulders")</f>
        <v>Lunar New Year Dragon Shoulders</v>
      </c>
      <c r="B751" s="1" t="str">
        <f>IFERROR(__xludf.DUMMYFUNCTION("""COMPUTED_VALUE""")," (Item) lvl:200, DEF: +25000, Fire DEF: +25000, Celestial DEF: +25000 ++X2 additional Fire Damage.")</f>
        <v> (Item) lvl:200, DEF: +25000, Fire DEF: +25000, Celestial DEF: +25000 ++X2 additional Fire Damage.</v>
      </c>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t="str">
        <f>IFERROR(__xludf.DUMMYFUNCTION("""COMPUTED_VALUE"""),"Lunar New Year Dragon Arms")</f>
        <v>Lunar New Year Dragon Arms</v>
      </c>
      <c r="B752" s="1" t="str">
        <f>IFERROR(__xludf.DUMMYFUNCTION("""COMPUTED_VALUE""")," (Item) lvl:200, DEF: +25000, Fire DEF: +25000, Celestial DEF: +25000 ++X2 additional Fire Damage.")</f>
        <v> (Item) lvl:200, DEF: +25000, Fire DEF: +25000, Celestial DEF: +25000 ++X2 additional Fire Damage.</v>
      </c>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t="str">
        <f>IFERROR(__xludf.DUMMYFUNCTION("""COMPUTED_VALUE"""),"Lunar New Year Dragon Torso")</f>
        <v>Lunar New Year Dragon Torso</v>
      </c>
      <c r="B753" s="1" t="str">
        <f>IFERROR(__xludf.DUMMYFUNCTION("""COMPUTED_VALUE""")," (Item) lvl:200, DEF: +25000, Fire DEF: +25000, Celestial DEF: +25000 ++X2 additional Fire Damage.")</f>
        <v> (Item) lvl:200, DEF: +25000, Fire DEF: +25000, Celestial DEF: +25000 ++X2 additional Fire Damage.</v>
      </c>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t="str">
        <f>IFERROR(__xludf.DUMMYFUNCTION("""COMPUTED_VALUE"""),"Lunar New Year Dragon Legs")</f>
        <v>Lunar New Year Dragon Legs</v>
      </c>
      <c r="B754" s="1" t="str">
        <f>IFERROR(__xludf.DUMMYFUNCTION("""COMPUTED_VALUE""")," (Item) lvl:200, DEF: +25000, Fire DEF: +25000, Celestial DEF: +25000 ++X2 additional Fire Damage.")</f>
        <v> (Item) lvl:200, DEF: +25000, Fire DEF: +25000, Celestial DEF: +25000 ++X2 additional Fire Damage.</v>
      </c>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t="str">
        <f>IFERROR(__xludf.DUMMYFUNCTION("""COMPUTED_VALUE"""),"Lunar New Year Dragon Feet")</f>
        <v>Lunar New Year Dragon Feet</v>
      </c>
      <c r="B755" s="1" t="str">
        <f>IFERROR(__xludf.DUMMYFUNCTION("""COMPUTED_VALUE""")," (Item) lvl:200, DEF: +25000, Fire DEF: +25000, Celestial DEF: +25000 ++X2 additional Fire Damage.")</f>
        <v> (Item) lvl:200, DEF: +25000, Fire DEF: +25000, Celestial DEF: +25000 ++X2 additional Fire Damage.</v>
      </c>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t="str">
        <f>IFERROR(__xludf.DUMMYFUNCTION("""COMPUTED_VALUE"""),"Spirit Blade")</f>
        <v>Spirit Blade</v>
      </c>
      <c r="B756" s="1" t="str">
        <f>IFERROR(__xludf.DUMMYFUNCTION("""COMPUTED_VALUE""")," (Sword) lvl:600, DMG: +20000, Light DMG: +10000")</f>
        <v> (Sword) lvl:600, DMG: +20000, Light DMG: +10000</v>
      </c>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t="str">
        <f>IFERROR(__xludf.DUMMYFUNCTION("""COMPUTED_VALUE"""),"Spirit Shield")</f>
        <v>Spirit Shield</v>
      </c>
      <c r="B757" s="1" t="str">
        <f>IFERROR(__xludf.DUMMYFUNCTION("""COMPUTED_VALUE""")," (Buckler) lvl:600, DEF: +20000, Light DEF: +10000")</f>
        <v> (Buckler) lvl:600, DEF: +20000, Light DEF: +10000</v>
      </c>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t="str">
        <f>IFERROR(__xludf.DUMMYFUNCTION("""COMPUTED_VALUE"""),"Mage's Hood")</f>
        <v>Mage's Hood</v>
      </c>
      <c r="B758" s="1" t="str">
        <f>IFERROR(__xludf.DUMMYFUNCTION("""COMPUTED_VALUE""")," (Item) lvl:1, DEF: + ++5000 additional HP and SP. ++Plus 2 Wisdom. +-Cannot be forged. +-Cannot be duplicateed.")</f>
        <v> (Item) lvl:1, DEF: + ++5000 additional HP and SP. ++Plus 2 Wisdom. +-Cannot be forged. +-Cannot be duplicateed.</v>
      </c>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t="str">
        <f>IFERROR(__xludf.DUMMYFUNCTION("""COMPUTED_VALUE"""),"Mage's Cloak")</f>
        <v>Mage's Cloak</v>
      </c>
      <c r="B759" s="1" t="str">
        <f>IFERROR(__xludf.DUMMYFUNCTION("""COMPUTED_VALUE""")," (Item) lvl:1, DEF: + ++5000 additional HP and SP. ++Plus 2 Wisdom. +-Cannot be forged. +-Cannot be duplicateed.")</f>
        <v> (Item) lvl:1, DEF: + ++5000 additional HP and SP. ++Plus 2 Wisdom. +-Cannot be forged. +-Cannot be duplicateed.</v>
      </c>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t="str">
        <f>IFERROR(__xludf.DUMMYFUNCTION("""COMPUTED_VALUE"""),"Mage's Shoes")</f>
        <v>Mage's Shoes</v>
      </c>
      <c r="B760" s="1" t="str">
        <f>IFERROR(__xludf.DUMMYFUNCTION("""COMPUTED_VALUE""")," (Item) lvl:1, DEF: + ++5000 additional HP and SP. ++Plus 1 Wisdom. +-Cannot be forged. +-Cannot be duplicateed.")</f>
        <v> (Item) lvl:1, DEF: + ++5000 additional HP and SP. ++Plus 1 Wisdom. +-Cannot be forged. +-Cannot be duplicateed.</v>
      </c>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t="str">
        <f>IFERROR(__xludf.DUMMYFUNCTION("""COMPUTED_VALUE"""),"Sorcerer's Hood")</f>
        <v>Sorcerer's Hood</v>
      </c>
      <c r="B761" s="1" t="str">
        <f>IFERROR(__xludf.DUMMYFUNCTION("""COMPUTED_VALUE""")," (Item) lvl:1, DEF: + ++2500 additional HP and SP. ++Plus 2 Wisdom. +-Cannot be forged. +-Cannot be duplicateed.")</f>
        <v> (Item) lvl:1, DEF: + ++2500 additional HP and SP. ++Plus 2 Wisdom. +-Cannot be forged. +-Cannot be duplicateed.</v>
      </c>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t="str">
        <f>IFERROR(__xludf.DUMMYFUNCTION("""COMPUTED_VALUE"""),"Sorcerer's Cloak")</f>
        <v>Sorcerer's Cloak</v>
      </c>
      <c r="B762" s="1" t="str">
        <f>IFERROR(__xludf.DUMMYFUNCTION("""COMPUTED_VALUE""")," (Item) lvl:1, DEF: + ++2500 additional HP and SP. ++Plus 2 Wisdom. +-Cannot be forged. +-Cannot be duplicateed.")</f>
        <v> (Item) lvl:1, DEF: + ++2500 additional HP and SP. ++Plus 2 Wisdom. +-Cannot be forged. +-Cannot be duplicateed.</v>
      </c>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t="str">
        <f>IFERROR(__xludf.DUMMYFUNCTION("""COMPUTED_VALUE"""),"Sorcerer's Shoes")</f>
        <v>Sorcerer's Shoes</v>
      </c>
      <c r="B763" s="1" t="str">
        <f>IFERROR(__xludf.DUMMYFUNCTION("""COMPUTED_VALUE""")," (Item) lvl:1, DEF: + ++2500 additional HP and SP. ++Plus 1 Wisdom. +-Cannot be forged. +-Cannot be duplicateed.")</f>
        <v> (Item) lvl:1, DEF: + ++2500 additional HP and SP. ++Plus 1 Wisdom. +-Cannot be forged. +-Cannot be duplicateed.</v>
      </c>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t="str">
        <f>IFERROR(__xludf.DUMMYFUNCTION("""COMPUTED_VALUE"""),"Wizard's Hood")</f>
        <v>Wizard's Hood</v>
      </c>
      <c r="B764" s="1" t="str">
        <f>IFERROR(__xludf.DUMMYFUNCTION("""COMPUTED_VALUE""")," (Item) lvl:1, DEF: + ++1000 additional HP and SP. ++X2 Spell Damage. +-Cannot be forged. +-Cannot be duplicateed.")</f>
        <v> (Item) lvl:1, DEF: + ++1000 additional HP and SP. ++X2 Spell Damage. +-Cannot be forged. +-Cannot be duplicateed.</v>
      </c>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t="str">
        <f>IFERROR(__xludf.DUMMYFUNCTION("""COMPUTED_VALUE"""),"Wizard's Cloak")</f>
        <v>Wizard's Cloak</v>
      </c>
      <c r="B765" s="1" t="str">
        <f>IFERROR(__xludf.DUMMYFUNCTION("""COMPUTED_VALUE""")," (Item) lvl:1, DEF: + ++1000 additional HP and SP. ++X2 Spell Damage. +-Cannot be forged. +-Cannot be duplicateed.")</f>
        <v> (Item) lvl:1, DEF: + ++1000 additional HP and SP. ++X2 Spell Damage. +-Cannot be forged. +-Cannot be duplicateed.</v>
      </c>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t="str">
        <f>IFERROR(__xludf.DUMMYFUNCTION("""COMPUTED_VALUE"""),"Wizard's Shoes")</f>
        <v>Wizard's Shoes</v>
      </c>
      <c r="B766" s="1" t="str">
        <f>IFERROR(__xludf.DUMMYFUNCTION("""COMPUTED_VALUE""")," (Item) lvl:1, DEF: + ++1000 additional HP and SP. ++X2 Spell Damage. +-Cannot be forged. +-Cannot be duplicateed.")</f>
        <v> (Item) lvl:1, DEF: + ++1000 additional HP and SP. ++X2 Spell Damage. +-Cannot be forged. +-Cannot be duplicateed.</v>
      </c>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t="str">
        <f>IFERROR(__xludf.DUMMYFUNCTION("""COMPUTED_VALUE"""),"Gunslinger's Cap")</f>
        <v>Gunslinger's Cap</v>
      </c>
      <c r="B767" s="1" t="str">
        <f>IFERROR(__xludf.DUMMYFUNCTION("""COMPUTED_VALUE""")," (Item) lvl:1, DEF: + ++10,000 ACC and ATK. ++2 Mobility +-Cannot be forged or duplicated")</f>
        <v> (Item) lvl:1, DEF: + ++10,000 ACC and ATK. ++2 Mobility +-Cannot be forged or duplicated</v>
      </c>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t="str">
        <f>IFERROR(__xludf.DUMMYFUNCTION("""COMPUTED_VALUE"""),"Gunslinger's Shirt")</f>
        <v>Gunslinger's Shirt</v>
      </c>
      <c r="B768" s="1" t="str">
        <f>IFERROR(__xludf.DUMMYFUNCTION("""COMPUTED_VALUE""")," (Item) lvl:1, DEF: + ++10,000 ACC and ATK. ++2 Mobility +-Cannot be forged or duplicated")</f>
        <v> (Item) lvl:1, DEF: + ++10,000 ACC and ATK. ++2 Mobility +-Cannot be forged or duplicated</v>
      </c>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t="str">
        <f>IFERROR(__xludf.DUMMYFUNCTION("""COMPUTED_VALUE"""),"Gunslinger's Boots")</f>
        <v>Gunslinger's Boots</v>
      </c>
      <c r="B769" s="1" t="str">
        <f>IFERROR(__xludf.DUMMYFUNCTION("""COMPUTED_VALUE""")," (Item) lvl:1, DEF: + ++10,000 ACC and ATK. ++1 Mobility +-Cannot be forged or duplicated")</f>
        <v> (Item) lvl:1, DEF: + ++10,000 ACC and ATK. ++1 Mobility +-Cannot be forged or duplicated</v>
      </c>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t="str">
        <f>IFERROR(__xludf.DUMMYFUNCTION("""COMPUTED_VALUE"""),"Bard's Coif")</f>
        <v>Bard's Coif</v>
      </c>
      <c r="B770" s="1" t="str">
        <f>IFERROR(__xludf.DUMMYFUNCTION("""COMPUTED_VALUE""")," (Item) lvl:1, DEF: + ++10,000 ACC and ATK. ++2 Charisma +-Cannot be forged or duplicated")</f>
        <v> (Item) lvl:1, DEF: + ++10,000 ACC and ATK. ++2 Charisma +-Cannot be forged or duplicated</v>
      </c>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t="str">
        <f>IFERROR(__xludf.DUMMYFUNCTION("""COMPUTED_VALUE"""),"Bard's Gambeson")</f>
        <v>Bard's Gambeson</v>
      </c>
      <c r="B771" s="1" t="str">
        <f>IFERROR(__xludf.DUMMYFUNCTION("""COMPUTED_VALUE""")," (Item) lvl:1, DEF: + ++10,000 ACC and ATK. ++2 Charisma +-Cannot be forged or duplicated")</f>
        <v> (Item) lvl:1, DEF: + ++10,000 ACC and ATK. ++2 Charisma +-Cannot be forged or duplicated</v>
      </c>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t="str">
        <f>IFERROR(__xludf.DUMMYFUNCTION("""COMPUTED_VALUE"""),"Bard's Shoes")</f>
        <v>Bard's Shoes</v>
      </c>
      <c r="B772" s="1" t="str">
        <f>IFERROR(__xludf.DUMMYFUNCTION("""COMPUTED_VALUE""")," (Item) lvl:1, DEF: + ++10,000 ACC and ATK. ++1 Charisma +-Cannot be forged or duplicated")</f>
        <v> (Item) lvl:1, DEF: + ++10,000 ACC and ATK. ++1 Charisma +-Cannot be forged or duplicated</v>
      </c>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t="str">
        <f>IFERROR(__xludf.DUMMYFUNCTION("""COMPUTED_VALUE"""),"Dragonscale Skirt")</f>
        <v>Dragonscale Skirt</v>
      </c>
      <c r="B773" s="1" t="str">
        <f>IFERROR(__xludf.DUMMYFUNCTION("""COMPUTED_VALUE""")," (Item) lvl:1, DEF: + ++7,000 additional HP and SP, ++2 Mobility +-Cannot be forged or duplicated")</f>
        <v> (Item) lvl:1, DEF: + ++7,000 additional HP and SP, ++2 Mobility +-Cannot be forged or duplicated</v>
      </c>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t="str">
        <f>IFERROR(__xludf.DUMMYFUNCTION("""COMPUTED_VALUE"""),"Dragonscale Cape")</f>
        <v>Dragonscale Cape</v>
      </c>
      <c r="B774" s="1" t="str">
        <f>IFERROR(__xludf.DUMMYFUNCTION("""COMPUTED_VALUE""")," (Item) lvl:1, DEF: + ++8,300 additional HP and SP, +-Cannot be forged or duplicated")</f>
        <v> (Item) lvl:1, DEF: + ++8,300 additional HP and SP, +-Cannot be forged or duplicated</v>
      </c>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t="str">
        <f>IFERROR(__xludf.DUMMYFUNCTION("""COMPUTED_VALUE"""),"Broken Dragonscale Mail")</f>
        <v>Broken Dragonscale Mail</v>
      </c>
      <c r="B775" s="1" t="str">
        <f>IFERROR(__xludf.DUMMYFUNCTION("""COMPUTED_VALUE""")," (Item) lvl:980, DEF: +48900 +-5% chance of breaking when wearer is attacked")</f>
        <v> (Item) lvl:980, DEF: +48900 +-5% chance of breaking when wearer is attacked</v>
      </c>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t="str">
        <f>IFERROR(__xludf.DUMMYFUNCTION("""COMPUTED_VALUE"""),"Dragonscale Mail")</f>
        <v>Dragonscale Mail</v>
      </c>
      <c r="B776" s="1" t="str">
        <f>IFERROR(__xludf.DUMMYFUNCTION("""COMPUTED_VALUE""")," (Item) lvl:3000, DEF: +150000")</f>
        <v> (Item) lvl:3000, DEF: +150000</v>
      </c>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t="str">
        <f>IFERROR(__xludf.DUMMYFUNCTION("""COMPUTED_VALUE"""),"Dragonscale Charm")</f>
        <v>Dragonscale Charm</v>
      </c>
      <c r="B777" s="1" t="str">
        <f>IFERROR(__xludf.DUMMYFUNCTION("""COMPUTED_VALUE""")," (Item) lvl:1, DEF: + ++1000 additional HP and SP for every piece of Dragonscale equipment equipped +-Cannot be forged or duplicated")</f>
        <v> (Item) lvl:1, DEF: + ++1000 additional HP and SP for every piece of Dragonscale equipment equipped +-Cannot be forged or duplicated</v>
      </c>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t="str">
        <f>IFERROR(__xludf.DUMMYFUNCTION("""COMPUTED_VALUE"""),"Dragonscale Sandals")</f>
        <v>Dragonscale Sandals</v>
      </c>
      <c r="B778" s="1" t="str">
        <f>IFERROR(__xludf.DUMMYFUNCTION("""COMPUTED_VALUE""")," (Item) lvl:1, DEF: + ++2 Mobility +-Cannot be forged or duplicated")</f>
        <v> (Item) lvl:1, DEF: + ++2 Mobility +-Cannot be forged or duplicated</v>
      </c>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t="str">
        <f>IFERROR(__xludf.DUMMYFUNCTION("""COMPUTED_VALUE"""),"Dragonscale Talisman")</f>
        <v>Dragonscale Talisman</v>
      </c>
      <c r="B779" s="1" t="str">
        <f>IFERROR(__xludf.DUMMYFUNCTION("""COMPUTED_VALUE""")," (Item) lvl:1, DEF: + ++10000 additional HP and SP, +-Cannot be forged or duplicated")</f>
        <v> (Item) lvl:1, DEF: + ++10000 additional HP and SP, +-Cannot be forged or duplicated</v>
      </c>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t="str">
        <f>IFERROR(__xludf.DUMMYFUNCTION("""COMPUTED_VALUE"""),"Dragonscale Water Ring")</f>
        <v>Dragonscale Water Ring</v>
      </c>
      <c r="B780" s="1" t="str">
        <f>IFERROR(__xludf.DUMMYFUNCTION("""COMPUTED_VALUE""")," (Item) lvl:1, DEF: + ++Converts all Natural damage to Water damage +-Cannot be duplicated")</f>
        <v> (Item) lvl:1, DEF: + ++Converts all Natural damage to Water damage +-Cannot be duplicated</v>
      </c>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t="str">
        <f>IFERROR(__xludf.DUMMYFUNCTION("""COMPUTED_VALUE"""),"Dragonscale Gauntlets")</f>
        <v>Dragonscale Gauntlets</v>
      </c>
      <c r="B781" s="1" t="str">
        <f>IFERROR(__xludf.DUMMYFUNCTION("""COMPUTED_VALUE""")," (Gauntlet) lvl:2000, DEF: +100000")</f>
        <v> (Gauntlet) lvl:2000, DEF: +100000</v>
      </c>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t="str">
        <f>IFERROR(__xludf.DUMMYFUNCTION("""COMPUTED_VALUE"""),"Fire Dragonscale Bow")</f>
        <v>Fire Dragonscale Bow</v>
      </c>
      <c r="B782" s="1" t="str">
        <f>IFERROR(__xludf.DUMMYFUNCTION("""COMPUTED_VALUE""")," (Bow) lvl:3000, DMG: +20000, Fire DMG: +130000")</f>
        <v> (Bow) lvl:3000, DMG: +20000, Fire DMG: +130000</v>
      </c>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t="str">
        <f>IFERROR(__xludf.DUMMYFUNCTION("""COMPUTED_VALUE"""),"Storm Dragonscale Flail")</f>
        <v>Storm Dragonscale Flail</v>
      </c>
      <c r="B783" s="1" t="str">
        <f>IFERROR(__xludf.DUMMYFUNCTION("""COMPUTED_VALUE""")," (Club) lvl:2400, DMG: +20000, Storm DMG: +100000 ++If multiple enemies of the same type are present, attacks hit all enemies of that type. +-Cannot be forged or duplicated")</f>
        <v> (Club) lvl:2400, DMG: +20000, Storm DMG: +100000 ++If multiple enemies of the same type are present, attacks hit all enemies of that type. +-Cannot be forged or duplicated</v>
      </c>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t="str">
        <f>IFERROR(__xludf.DUMMYFUNCTION("""COMPUTED_VALUE"""),"Dragonscale Spear")</f>
        <v>Dragonscale Spear</v>
      </c>
      <c r="B784" s="1" t="str">
        <f>IFERROR(__xludf.DUMMYFUNCTION("""COMPUTED_VALUE""")," (Spear) lvl:2800, DMG: +140000")</f>
        <v> (Spear) lvl:2800, DMG: +140000</v>
      </c>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t="str">
        <f>IFERROR(__xludf.DUMMYFUNCTION("""COMPUTED_VALUE"""),"Dragonscale Scythe")</f>
        <v>Dragonscale Scythe</v>
      </c>
      <c r="B785" s="1" t="str">
        <f>IFERROR(__xludf.DUMMYFUNCTION("""COMPUTED_VALUE""")," (Scythe) lvl:2500, DMG: +125000 ++If used to kill a dragon, 100% chance to get its soul. +-Cannot be forged or duplicated")</f>
        <v> (Scythe) lvl:2500, DMG: +125000 ++If used to kill a dragon, 100% chance to get its soul. +-Cannot be forged or duplicated</v>
      </c>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t="str">
        <f>IFERROR(__xludf.DUMMYFUNCTION("""COMPUTED_VALUE"""),"Dark Dragonscale Claws")</f>
        <v>Dark Dragonscale Claws</v>
      </c>
      <c r="B786" s="1" t="str">
        <f>IFERROR(__xludf.DUMMYFUNCTION("""COMPUTED_VALUE""")," (Claw) lvl:2900, DMG: +, Dark DMG: +145000 ++ 30% chance to remove enemy from battle")</f>
        <v> (Claw) lvl:2900, DMG: +, Dark DMG: +145000 ++ 30% chance to remove enemy from battle</v>
      </c>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t="str">
        <f>IFERROR(__xludf.DUMMYFUNCTION("""COMPUTED_VALUE"""),"Chaotic Dragonscale Claw")</f>
        <v>Chaotic Dragonscale Claw</v>
      </c>
      <c r="B787" s="1" t="str">
        <f>IFERROR(__xludf.DUMMYFUNCTION("""COMPUTED_VALUE""")," (Claw) lvl:2350, DMG: +1, Chaos DMG: +117000 +-5% chance of dealing 1 damage when attacking")</f>
        <v> (Claw) lvl:2350, DMG: +1, Chaos DMG: +117000 +-5% chance of dealing 1 damage when attacking</v>
      </c>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t="str">
        <f>IFERROR(__xludf.DUMMYFUNCTION("""COMPUTED_VALUE"""),"Earthen Dragonscale Boots")</f>
        <v>Earthen Dragonscale Boots</v>
      </c>
      <c r="B788" s="1" t="str">
        <f>IFERROR(__xludf.DUMMYFUNCTION("""COMPUTED_VALUE""")," (Item) lvl:3000, DEF: +60000, Earth DEF: +90000 ++Immune to Earth spells")</f>
        <v> (Item) lvl:3000, DEF: +60000, Earth DEF: +90000 ++Immune to Earth spells</v>
      </c>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t="str">
        <f>IFERROR(__xludf.DUMMYFUNCTION("""COMPUTED_VALUE"""),"Dragonscale Harp")</f>
        <v>Dragonscale Harp</v>
      </c>
      <c r="B789" s="1" t="str">
        <f>IFERROR(__xludf.DUMMYFUNCTION("""COMPUTED_VALUE""")," (Instrument) lvl:2620, DMG: +1000, Acoustic DMG: +130000 ++Causes any dragon enemies to skip its next turn when attacked.")</f>
        <v> (Instrument) lvl:2620, DMG: +1000, Acoustic DMG: +130000 ++Causes any dragon enemies to skip its next turn when attacked.</v>
      </c>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t="str">
        <f>IFERROR(__xludf.DUMMYFUNCTION("""COMPUTED_VALUE"""),"Dragonscale Bracers")</f>
        <v>Dragonscale Bracers</v>
      </c>
      <c r="B790" s="1" t="str">
        <f>IFERROR(__xludf.DUMMYFUNCTION("""COMPUTED_VALUE""")," (Item) lvl:2000, DEF: +100000 ++X2 DEF when fighting a dragon(s).")</f>
        <v> (Item) lvl:2000, DEF: +100000 ++X2 DEF when fighting a dragon(s).</v>
      </c>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t="str">
        <f>IFERROR(__xludf.DUMMYFUNCTION("""COMPUTED_VALUE"""),"Dragonscale Crown")</f>
        <v>Dragonscale Crown</v>
      </c>
      <c r="B791" s="1" t="str">
        <f>IFERROR(__xludf.DUMMYFUNCTION("""COMPUTED_VALUE""")," (Item) lvl:1, DEF: + ++7,500 additional HP and SP, +-Cannot be forged or duplicated")</f>
        <v> (Item) lvl:1, DEF: + ++7,500 additional HP and SP, +-Cannot be forged or duplicated</v>
      </c>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t="str">
        <f>IFERROR(__xludf.DUMMYFUNCTION("""COMPUTED_VALUE"""),"Dragonscale Helm")</f>
        <v>Dragonscale Helm</v>
      </c>
      <c r="B792" s="1" t="str">
        <f>IFERROR(__xludf.DUMMYFUNCTION("""COMPUTED_VALUE""")," (Item) lvl:2600, DEF: +130000")</f>
        <v> (Item) lvl:2600, DEF: +130000</v>
      </c>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t="str">
        <f>IFERROR(__xludf.DUMMYFUNCTION("""COMPUTED_VALUE"""),"Dragonscale Rifle")</f>
        <v>Dragonscale Rifle</v>
      </c>
      <c r="B793" s="1" t="str">
        <f>IFERROR(__xludf.DUMMYFUNCTION("""COMPUTED_VALUE""")," (Firearm) lvl:3400, DMG: +170000  +-Uses bullets")</f>
        <v> (Firearm) lvl:3400, DMG: +170000  +-Uses bullets</v>
      </c>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t="str">
        <f>IFERROR(__xludf.DUMMYFUNCTION("""COMPUTED_VALUE"""),"Searing Dragonscale Staff")</f>
        <v>Searing Dragonscale Staff</v>
      </c>
      <c r="B794" s="1" t="str">
        <f>IFERROR(__xludf.DUMMYFUNCTION("""COMPUTED_VALUE""")," (Staff) lvl:3000, DMG: +, Light DMG: +150000")</f>
        <v> (Staff) lvl:3000, DMG: +, Light DMG: +150000</v>
      </c>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t="str">
        <f>IFERROR(__xludf.DUMMYFUNCTION("""COMPUTED_VALUE"""),"Forgotten Scythe")</f>
        <v>Forgotten Scythe</v>
      </c>
      <c r="B795" s="1" t="str">
        <f>IFERROR(__xludf.DUMMYFUNCTION("""COMPUTED_VALUE""")," (Scythe) lvl:5800, DMG: +, Chaos DMG: +290000")</f>
        <v> (Scythe) lvl:5800, DMG: +, Chaos DMG: +290000</v>
      </c>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t="str">
        <f>IFERROR(__xludf.DUMMYFUNCTION("""COMPUTED_VALUE"""),"Forsaken Club")</f>
        <v>Forsaken Club</v>
      </c>
      <c r="B796" s="1" t="str">
        <f>IFERROR(__xludf.DUMMYFUNCTION("""COMPUTED_VALUE""")," (Club) lvl:5000, DMG: +250000")</f>
        <v> (Club) lvl:5000, DMG: +250000</v>
      </c>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t="str">
        <f>IFERROR(__xludf.DUMMYFUNCTION("""COMPUTED_VALUE"""),"Demonic Breastplate")</f>
        <v>Demonic Breastplate</v>
      </c>
      <c r="B797" s="1" t="str">
        <f>IFERROR(__xludf.DUMMYFUNCTION("""COMPUTED_VALUE""")," (Item) lvl:4000, DEF: +50000, Fire DEF: +50000, Dark DEF: +50000, Chaos DEF: +50000")</f>
        <v> (Item) lvl:4000, DEF: +50000, Fire DEF: +50000, Dark DEF: +50000, Chaos DEF: +50000</v>
      </c>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t="str">
        <f>IFERROR(__xludf.DUMMYFUNCTION("""COMPUTED_VALUE"""),"Fallen Ruler's Crown")</f>
        <v>Fallen Ruler's Crown</v>
      </c>
      <c r="B798" s="1" t="str">
        <f>IFERROR(__xludf.DUMMYFUNCTION("""COMPUTED_VALUE""")," (Item) lvl:1, DEF: + ++5% chance undead enemies will willingly surrender +-Cannot be forged or duplicated")</f>
        <v> (Item) lvl:1, DEF: + ++5% chance undead enemies will willingly surrender +-Cannot be forged or duplicated</v>
      </c>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t="str">
        <f>IFERROR(__xludf.DUMMYFUNCTION("""COMPUTED_VALUE"""),"Old Knife")</f>
        <v>Old Knife</v>
      </c>
      <c r="B799" s="1" t="str">
        <f>IFERROR(__xludf.DUMMYFUNCTION("""COMPUTED_VALUE""")," (Knife) lvl:3640, DMG: +12000, Blood DMG: +170000")</f>
        <v> (Knife) lvl:3640, DMG: +12000, Blood DMG: +170000</v>
      </c>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t="str">
        <f>IFERROR(__xludf.DUMMYFUNCTION("""COMPUTED_VALUE"""),"Plunderbuss")</f>
        <v>Plunderbuss</v>
      </c>
      <c r="B800" s="1" t="str">
        <f>IFERROR(__xludf.DUMMYFUNCTION("""COMPUTED_VALUE""")," (Firearm) lvl:3800, DMG: +190000 +-Uses bullets, ++Get two of every loot drop you roll. +-Cannot be forged or duplicated")</f>
        <v> (Firearm) lvl:3800, DMG: +190000 +-Uses bullets, ++Get two of every loot drop you roll. +-Cannot be forged or duplicated</v>
      </c>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t="str">
        <f>IFERROR(__xludf.DUMMYFUNCTION("""COMPUTED_VALUE"""),"Dragon Destroyer")</f>
        <v>Dragon Destroyer</v>
      </c>
      <c r="B801" s="1" t="str">
        <f>IFERROR(__xludf.DUMMYFUNCTION("""COMPUTED_VALUE""")," (Axe) lvl:6000, DMG: +300000 ++deals unblockable damage to dragons +-Cannot be forged or duplicated")</f>
        <v> (Axe) lvl:6000, DMG: +300000 ++deals unblockable damage to dragons +-Cannot be forged or duplicated</v>
      </c>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t="str">
        <f>IFERROR(__xludf.DUMMYFUNCTION("""COMPUTED_VALUE"""),"Dragonscale of Returns")</f>
        <v>Dragonscale of Returns</v>
      </c>
      <c r="B802" s="1" t="str">
        <f>IFERROR(__xludf.DUMMYFUNCTION("""COMPUTED_VALUE""")," (Boomerang) lvl:1500, DMG: +75000 ++Receive a dragon scale when thrown at a dragon, +-Cannot be forged or duplicated")</f>
        <v> (Boomerang) lvl:1500, DMG: +75000 ++Receive a dragon scale when thrown at a dragon, +-Cannot be forged or duplicated</v>
      </c>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t="str">
        <f>IFERROR(__xludf.DUMMYFUNCTION("""COMPUTED_VALUE"""),"Brimstone Staff")</f>
        <v>Brimstone Staff</v>
      </c>
      <c r="B803" s="1" t="str">
        <f>IFERROR(__xludf.DUMMYFUNCTION("""COMPUTED_VALUE""")," (Staff) lvl:4600, DMG: +, Fire DMG: +230000 ++Fire spells cost half SP, +-Cannot be forged or duplicated")</f>
        <v> (Staff) lvl:4600, DMG: +, Fire DMG: +230000 ++Fire spells cost half SP, +-Cannot be forged or duplicated</v>
      </c>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t="str">
        <f>IFERROR(__xludf.DUMMYFUNCTION("""COMPUTED_VALUE"""),"Eternal Ember")</f>
        <v>Eternal Ember</v>
      </c>
      <c r="B804" s="1" t="str">
        <f>IFERROR(__xludf.DUMMYFUNCTION("""COMPUTED_VALUE""")," (Item) lvl:3000, DEF: +, Fire DEF: +150000 ++If you cast a fire spell you can cast it once more in the same turn during battle for no additional SP, +-Cannot be forged or duplicated")</f>
        <v> (Item) lvl:3000, DEF: +, Fire DEF: +150000 ++If you cast a fire spell you can cast it once more in the same turn during battle for no additional SP, +-Cannot be forged or duplicated</v>
      </c>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t="str">
        <f>IFERROR(__xludf.DUMMYFUNCTION("""COMPUTED_VALUE"""),"Crystal Blood")</f>
        <v>Crystal Blood</v>
      </c>
      <c r="B805" s="1" t="str">
        <f>IFERROR(__xludf.DUMMYFUNCTION("""COMPUTED_VALUE""")," (Item) lvl:1, DEF: + ++Wearer's first non-XHP cost blood spell of the battle has no HP cost , +-Cannot be forged or duplicated")</f>
        <v> (Item) lvl:1, DEF: + ++Wearer's first non-XHP cost blood spell of the battle has no HP cost , +-Cannot be forged or duplicated</v>
      </c>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t="str">
        <f>IFERROR(__xludf.DUMMYFUNCTION("""COMPUTED_VALUE"""),"Ultimate Gamble")</f>
        <v>Ultimate Gamble</v>
      </c>
      <c r="B806" s="1" t="str">
        <f>IFERROR(__xludf.DUMMYFUNCTION("""COMPUTED_VALUE""")," (Sword) lvl:12000, DMG: +600000 ++Make a Fail/Succeed roll while attacking with this weapon, Success = this weapon becomes unblockable this turn, +-Fail = attack yourself with this weapon.")</f>
        <v> (Sword) lvl:12000, DMG: +600000 ++Make a Fail/Succeed roll while attacking with this weapon, Success = this weapon becomes unblockable this turn, +-Fail = attack yourself with this weapon.</v>
      </c>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t="str">
        <f>IFERROR(__xludf.DUMMYFUNCTION("""COMPUTED_VALUE"""),"Awakened Evil")</f>
        <v>Awakened Evil</v>
      </c>
      <c r="B807" s="1" t="str">
        <f>IFERROR(__xludf.DUMMYFUNCTION("""COMPUTED_VALUE""")," (Claw) lvl:9000, DMG: +450000")</f>
        <v> (Claw) lvl:9000, DMG: +450000</v>
      </c>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t="str">
        <f>IFERROR(__xludf.DUMMYFUNCTION("""COMPUTED_VALUE"""),"Soldier's Charge")</f>
        <v>Soldier's Charge</v>
      </c>
      <c r="B808" s="1" t="str">
        <f>IFERROR(__xludf.DUMMYFUNCTION("""COMPUTED_VALUE""")," (Firearm) lvl:4400, DMG: +60000, Fire DMG: +60000, Spirit DMG: +100000")</f>
        <v> (Firearm) lvl:4400, DMG: +60000, Fire DMG: +60000, Spirit DMG: +100000</v>
      </c>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t="str">
        <f>IFERROR(__xludf.DUMMYFUNCTION("""COMPUTED_VALUE"""),"Weight of Sin")</f>
        <v>Weight of Sin</v>
      </c>
      <c r="B809" s="1" t="str">
        <f>IFERROR(__xludf.DUMMYFUNCTION("""COMPUTED_VALUE""")," (Item) lvl:11200, DEF: +560000 +-Always go last in turn order, +-Cannot be removed")</f>
        <v> (Item) lvl:11200, DEF: +560000 +-Always go last in turn order, +-Cannot be removed</v>
      </c>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t="str">
        <f>IFERROR(__xludf.DUMMYFUNCTION("""COMPUTED_VALUE"""),"Volcano's Summit")</f>
        <v>Volcano's Summit</v>
      </c>
      <c r="B810" s="1" t="str">
        <f>IFERROR(__xludf.DUMMYFUNCTION("""COMPUTED_VALUE""")," (Item) lvl:4000, DEF: +, Fire DEF: +200000 ++X2 Fire damage")</f>
        <v> (Item) lvl:4000, DEF: +, Fire DEF: +200000 ++X2 Fire damage</v>
      </c>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t="str">
        <f>IFERROR(__xludf.DUMMYFUNCTION("""COMPUTED_VALUE"""),"Long Distance Loveletter")</f>
        <v>Long Distance Loveletter</v>
      </c>
      <c r="B811" s="1" t="str">
        <f>IFERROR(__xludf.DUMMYFUNCTION("""COMPUTED_VALUE""")," (Firearm) lvl:12000, DMG: +600000 ++10% chance for 1 enemy to become an ally at the beginning of battle.")</f>
        <v> (Firearm) lvl:12000, DMG: +600000 ++10% chance for 1 enemy to become an ally at the beginning of battle.</v>
      </c>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t="str">
        <f>IFERROR(__xludf.DUMMYFUNCTION("""COMPUTED_VALUE"""),"Cursed Child's Hatchet")</f>
        <v>Cursed Child's Hatchet</v>
      </c>
      <c r="B812" s="1" t="str">
        <f>IFERROR(__xludf.DUMMYFUNCTION("""COMPUTED_VALUE""")," (Axe) lvl:3000, DMG: +150000 +- 15% chance of attacking a random ally")</f>
        <v> (Axe) lvl:3000, DMG: +150000 +- 15% chance of attacking a random ally</v>
      </c>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t="str">
        <f>IFERROR(__xludf.DUMMYFUNCTION("""COMPUTED_VALUE"""),"Helm of Lost Hope")</f>
        <v>Helm of Lost Hope</v>
      </c>
      <c r="B813" s="1" t="str">
        <f>IFERROR(__xludf.DUMMYFUNCTION("""COMPUTED_VALUE""")," (Item) lvl:6800, DEF: +340000")</f>
        <v> (Item) lvl:6800, DEF: +340000</v>
      </c>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t="str">
        <f>IFERROR(__xludf.DUMMYFUNCTION("""COMPUTED_VALUE"""),"Cursed Shield")</f>
        <v>Cursed Shield</v>
      </c>
      <c r="B814" s="1" t="str">
        <f>IFERROR(__xludf.DUMMYFUNCTION("""COMPUTED_VALUE""")," (Towershield) lvl:3200, DEF: +160000 +-Unequipping destroys the item")</f>
        <v> (Towershield) lvl:3200, DEF: +160000 +-Unequipping destroys the item</v>
      </c>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t="str">
        <f>IFERROR(__xludf.DUMMYFUNCTION("""COMPUTED_VALUE"""),"Dragonscale Buckler")</f>
        <v>Dragonscale Buckler</v>
      </c>
      <c r="B815" s="1" t="str">
        <f>IFERROR(__xludf.DUMMYFUNCTION("""COMPUTED_VALUE""")," (Buckler) lvl:2140, DEF: +107000")</f>
        <v> (Buckler) lvl:2140, DEF: +107000</v>
      </c>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t="str">
        <f>IFERROR(__xludf.DUMMYFUNCTION("""COMPUTED_VALUE"""),"Magma Trident")</f>
        <v>Magma Trident</v>
      </c>
      <c r="B816" s="1" t="str">
        <f>IFERROR(__xludf.DUMMYFUNCTION("""COMPUTED_VALUE""")," (Spear) lvl:4000, DMG: +100000, Fire DMG: +100000")</f>
        <v> (Spear) lvl:4000, DMG: +100000, Fire DMG: +100000</v>
      </c>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t="str">
        <f>IFERROR(__xludf.DUMMYFUNCTION("""COMPUTED_VALUE"""),"Bonemerang")</f>
        <v>Bonemerang</v>
      </c>
      <c r="B817" s="1" t="str">
        <f>IFERROR(__xludf.DUMMYFUNCTION("""COMPUTED_VALUE""")," (Boomerang) lvl:5200, DMG: +250000, Chaos DMG: +10000")</f>
        <v> (Boomerang) lvl:5200, DMG: +250000, Chaos DMG: +10000</v>
      </c>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t="str">
        <f>IFERROR(__xludf.DUMMYFUNCTION("""COMPUTED_VALUE"""),"Blamerang")</f>
        <v>Blamerang</v>
      </c>
      <c r="B818" s="1" t="str">
        <f>IFERROR(__xludf.DUMMYFUNCTION("""COMPUTED_VALUE""")," (Boomerang) lvl:4400, DMG: +20000, Fire DMG: +200000 ++Explodes when thrown at an enemy, hitting other enemies")</f>
        <v> (Boomerang) lvl:4400, DMG: +20000, Fire DMG: +200000 ++Explodes when thrown at an enemy, hitting other enemies</v>
      </c>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t="str">
        <f>IFERROR(__xludf.DUMMYFUNCTION("""COMPUTED_VALUE"""),"Condemned Bow")</f>
        <v>Condemned Bow</v>
      </c>
      <c r="B819" s="1" t="str">
        <f>IFERROR(__xludf.DUMMYFUNCTION("""COMPUTED_VALUE""")," (Bow) lvl:6000, DMG: +300000 +-5% chance for the DM to take control of your turn")</f>
        <v> (Bow) lvl:6000, DMG: +300000 +-5% chance for the DM to take control of your turn</v>
      </c>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t="str">
        <f>IFERROR(__xludf.DUMMYFUNCTION("""COMPUTED_VALUE"""),"Ancient Blacksmith's Soul In A Bottle")</f>
        <v>Ancient Blacksmith's Soul In A Bottle</v>
      </c>
      <c r="B820" s="1" t="str">
        <f>IFERROR(__xludf.DUMMYFUNCTION("""COMPUTED_VALUE""")," (Item) lvl:1, : + ++Forged Weapons deal *X damage, where X is equal to a quarter of the forge amount, if the multiplier is not a whole number, round down to the nearest whole number. X20 Max ")</f>
        <v> (Item) lvl:1, : + ++Forged Weapons deal *X damage, where X is equal to a quarter of the forge amount, if the multiplier is not a whole number, round down to the nearest whole number. X20 Max </v>
      </c>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t="str">
        <f>IFERROR(__xludf.DUMMYFUNCTION("""COMPUTED_VALUE"""),"Ancient Breeder's Soul In A Bottle")</f>
        <v>Ancient Breeder's Soul In A Bottle</v>
      </c>
      <c r="B821" s="1" t="str">
        <f>IFERROR(__xludf.DUMMYFUNCTION("""COMPUTED_VALUE""")," (Item) lvl:1, : + ++All creatures hatched from an egg deal X5 damage of all types.")</f>
        <v> (Item) lvl:1, : + ++All creatures hatched from an egg deal X5 damage of all types.</v>
      </c>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t="str">
        <f>IFERROR(__xludf.DUMMYFUNCTION("""COMPUTED_VALUE"""),"Ancient Crafter's Soul In A Bottle")</f>
        <v>Ancient Crafter's Soul In A Bottle</v>
      </c>
      <c r="B822" s="1" t="str">
        <f>IFERROR(__xludf.DUMMYFUNCTION("""COMPUTED_VALUE""")," (Item) lvl:1, : + ++Triples all crafting materials gathered")</f>
        <v> (Item) lvl:1, : + ++Triples all crafting materials gathered</v>
      </c>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t="str">
        <f>IFERROR(__xludf.DUMMYFUNCTION("""COMPUTED_VALUE"""),"Ancient Alchemist's Soul In A Bottle")</f>
        <v>Ancient Alchemist's Soul In A Bottle</v>
      </c>
      <c r="B823" s="1" t="str">
        <f>IFERROR(__xludf.DUMMYFUNCTION("""COMPUTED_VALUE""")," (Item) lvl:1, : + ++Doubles the effect of all herbs and potions")</f>
        <v> (Item) lvl:1, : + ++Doubles the effect of all herbs and potions</v>
      </c>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t="str">
        <f>IFERROR(__xludf.DUMMYFUNCTION("""COMPUTED_VALUE"""),"Ancient Farmer's Soul In A Bottle")</f>
        <v>Ancient Farmer's Soul In A Bottle</v>
      </c>
      <c r="B824" s="1" t="str">
        <f>IFERROR(__xludf.DUMMYFUNCTION("""COMPUTED_VALUE""")," (Item) lvl:1, : + ++Doubles all items harvested from your farms")</f>
        <v> (Item) lvl:1, : + ++Doubles all items harvested from your farms</v>
      </c>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t="str">
        <f>IFERROR(__xludf.DUMMYFUNCTION("""COMPUTED_VALUE"""),"Ancient Chef's Soul In A Bottle")</f>
        <v>Ancient Chef's Soul In A Bottle</v>
      </c>
      <c r="B825" s="1" t="str">
        <f>IFERROR(__xludf.DUMMYFUNCTION("""COMPUTED_VALUE""")," (Item) lvl:1, : + ++Doubles the effect of all food items cooked")</f>
        <v> (Item) lvl:1, : + ++Doubles the effect of all food items cooked</v>
      </c>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t="str">
        <f>IFERROR(__xludf.DUMMYFUNCTION("""COMPUTED_VALUE"""),"Ancient Miner's Soul In A Bottle")</f>
        <v>Ancient Miner's Soul In A Bottle</v>
      </c>
      <c r="B826" s="1" t="str">
        <f>IFERROR(__xludf.DUMMYFUNCTION("""COMPUTED_VALUE""")," (Item) lvl:1, : + ++Doubles all minerals obtained while mining")</f>
        <v> (Item) lvl:1, : + ++Doubles all minerals obtained while mining</v>
      </c>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t="str">
        <f>IFERROR(__xludf.DUMMYFUNCTION("""COMPUTED_VALUE"""),"Ancient Spira Guard's Soul In A Bottle")</f>
        <v>Ancient Spira Guard's Soul In A Bottle</v>
      </c>
      <c r="B827" s="1" t="str">
        <f>IFERROR(__xludf.DUMMYFUNCTION("""COMPUTED_VALUE""")," (Item) lvl:1, : + ++Add +5 to all rolls to arrest")</f>
        <v> (Item) lvl:1, : + ++Add +5 to all rolls to arrest</v>
      </c>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t="str">
        <f>IFERROR(__xludf.DUMMYFUNCTION("""COMPUTED_VALUE"""),"Ancient Fisherman's Soul In A Bottle")</f>
        <v>Ancient Fisherman's Soul In A Bottle</v>
      </c>
      <c r="B828" s="1" t="str">
        <f>IFERROR(__xludf.DUMMYFUNCTION("""COMPUTED_VALUE""")," (Item) lvl:1, : + ++Doubles all fish obtained while fishing")</f>
        <v> (Item) lvl:1, : + ++Doubles all fish obtained while fishing</v>
      </c>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t="str">
        <f>IFERROR(__xludf.DUMMYFUNCTION("""COMPUTED_VALUE"""),"The Thumper")</f>
        <v>The Thumper</v>
      </c>
      <c r="B829" s="1" t="str">
        <f>IFERROR(__xludf.DUMMYFUNCTION("""COMPUTED_VALUE""")," (Firearm) lvl:200, Dmg: +5000, Physical Dmg: +5000 ++Fires 3 Grenades, +-Uses Grenades as Ammo +-Cannot Be Forged or Duplicated")</f>
        <v> (Firearm) lvl:200, Dmg: +5000, Physical Dmg: +5000 ++Fires 3 Grenades, +-Uses Grenades as Ammo +-Cannot Be Forged or Duplicated</v>
      </c>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t="str">
        <f>IFERROR(__xludf.DUMMYFUNCTION("""COMPUTED_VALUE"""),"Undead King's Sword")</f>
        <v>Undead King's Sword</v>
      </c>
      <c r="B830" s="1" t="str">
        <f>IFERROR(__xludf.DUMMYFUNCTION("""COMPUTED_VALUE""")," (Sword) lvl:1, : +")</f>
        <v> (Sword) lvl:1, : +</v>
      </c>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t="str">
        <f>IFERROR(__xludf.DUMMYFUNCTION("""COMPUTED_VALUE"""),"Trapper's Monocle")</f>
        <v>Trapper's Monocle</v>
      </c>
      <c r="B831" s="1" t="str">
        <f>IFERROR(__xludf.DUMMYFUNCTION("""COMPUTED_VALUE""")," (Item) lvl:1, : + ++5 to any roll to disarm or avoid a trap.")</f>
        <v> (Item) lvl:1, : + ++5 to any roll to disarm or avoid a trap.</v>
      </c>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t="str">
        <f>IFERROR(__xludf.DUMMYFUNCTION("""COMPUTED_VALUE"""),"Dragon's Dogma")</f>
        <v>Dragon's Dogma</v>
      </c>
      <c r="B832" s="1" t="str">
        <f>IFERROR(__xludf.DUMMYFUNCTION("""COMPUTED_VALUE""")," (Sword) lvl:200, DMG: +250000, Celestial DMG: +50000 TBD")</f>
        <v> (Sword) lvl:200, DMG: +250000, Celestial DMG: +50000 TBD</v>
      </c>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t="str">
        <f>IFERROR(__xludf.DUMMYFUNCTION("""COMPUTED_VALUE"""),"Dragon's Dread")</f>
        <v>Dragon's Dread</v>
      </c>
      <c r="B833" s="1" t="str">
        <f>IFERROR(__xludf.DUMMYFUNCTION("""COMPUTED_VALUE""")," (Bow) lvl:200, DMG: +50000, Fire DMG: +50000, Water DMG: +50000, Storm DMG: +50000, Earth DMG: +50000, Light DMG: +50000, Dark DMG: +50000, Order DMG: +50000, Chaos DMG: +50000, Nature DMG: +50000, Delta DMG: +50000, Celestial DMG: +50000 TBD")</f>
        <v> (Bow) lvl:200, DMG: +50000, Fire DMG: +50000, Water DMG: +50000, Storm DMG: +50000, Earth DMG: +50000, Light DMG: +50000, Dark DMG: +50000, Order DMG: +50000, Chaos DMG: +50000, Nature DMG: +50000, Delta DMG: +50000, Celestial DMG: +50000 TBD</v>
      </c>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t="str">
        <f>IFERROR(__xludf.DUMMYFUNCTION("""COMPUTED_VALUE"""),"Dragon's Dream Breaker")</f>
        <v>Dragon's Dream Breaker</v>
      </c>
      <c r="B834" s="1" t="str">
        <f>IFERROR(__xludf.DUMMYFUNCTION("""COMPUTED_VALUE""")," (Claw) lvl:200, DMG: +600000, Celestial DMG: +600000 TBD")</f>
        <v> (Claw) lvl:200, DMG: +600000, Celestial DMG: +600000 TBD</v>
      </c>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t="str">
        <f>IFERROR(__xludf.DUMMYFUNCTION("""COMPUTED_VALUE"""),"Dragon's Draught")</f>
        <v>Dragon's Draught</v>
      </c>
      <c r="B835" s="1" t="str">
        <f>IFERROR(__xludf.DUMMYFUNCTION("""COMPUTED_VALUE""")," (Staff) lvl:1, : + TBD")</f>
        <v> (Staff) lvl:1, : + TBD</v>
      </c>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t="str">
        <f>IFERROR(__xludf.DUMMYFUNCTION("""COMPUTED_VALUE"""),"Dragon's Damnation")</f>
        <v>Dragon's Damnation</v>
      </c>
      <c r="B836" s="1" t="str">
        <f>IFERROR(__xludf.DUMMYFUNCTION("""COMPUTED_VALUE""")," (Gauntlet) lvl:200, DEF: +100000, Fire DEF: +100000, Water DEF: +100000, Storm DEF: +100000, Earth DEF: +100000, Light DEF: +100000, Dark DEF: +100000, Order DEF: +100000, Chaos DEF: +100000, Nature DEF: +100000, Delta DEF: +100000, Celestial DEF: +10000"&amp;"0 TBD")</f>
        <v> (Gauntlet) lvl:200, DEF: +100000, Fire DEF: +100000, Water DEF: +100000, Storm DEF: +100000, Earth DEF: +100000, Light DEF: +100000, Dark DEF: +100000, Order DEF: +100000, Chaos DEF: +100000, Nature DEF: +100000, Delta DEF: +100000, Celestial DEF: +100000 TBD</v>
      </c>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t="str">
        <f>IFERROR(__xludf.DUMMYFUNCTION("""COMPUTED_VALUE"""),"Dragon's Destruction")</f>
        <v>Dragon's Destruction</v>
      </c>
      <c r="B837" s="1" t="str">
        <f>IFERROR(__xludf.DUMMYFUNCTION("""COMPUTED_VALUE""")," (Spear) lvl:200, DMG: +400000, Fire DMG: +100000, Water DMG: +100000, Storm DMG: +100000, Earth DMG: +100000, Light DMG: +150000, Dark DMG: +150000, Spirit DMG: +100000, Order DMG: +150000, Chaos DMG: +150000, Nature DMG: +100000, Voodoo DMG: +100000, Bl"&amp;"ood DMG: +100000, Delta DMG: +100000, Zen DMG: +100000, Time DMG: +100000, Astral DMG: +100000, Celestial DMG: +100000, Acoustic DMG: +100000 TBD")</f>
        <v> (Spear) lvl:200, 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t="str">
        <f>IFERROR(__xludf.DUMMYFUNCTION("""COMPUTED_VALUE"""),"Confining Collar")</f>
        <v>Confining Collar</v>
      </c>
      <c r="B838" s="1" t="str">
        <f>IFERROR(__xludf.DUMMYFUNCTION("""COMPUTED_VALUE"""),"A cursed collar found around the neck of the Dragonscale dungeon inmates, it slowly stangulates the wearer until they die. (Item) lvl:100, DEF: +5000 +-5 to all rolls, +-Upon being worn can only be removed after 15 days of travel")</f>
        <v>A cursed collar found around the neck of the Dragonscale dungeon inmates, it slowly stangulates the wearer until they die. (Item) lvl:100, DEF: +5000 +-5 to all rolls, +-Upon being worn can only be removed after 15 days of travel</v>
      </c>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t="str">
        <f>IFERROR(__xludf.DUMMYFUNCTION("""COMPUTED_VALUE"""),"Shiv")</f>
        <v>Shiv</v>
      </c>
      <c r="B839" s="1" t="str">
        <f>IFERROR(__xludf.DUMMYFUNCTION("""COMPUTED_VALUE""")," (Knife) lvl:4000, DMG: +200000 ++has a 5% chance to give a random disease to any creature hit with this weapon.")</f>
        <v> (Knife) lvl:4000, DMG: +200000 ++has a 5% chance to give a random disease to any creature hit with this weapon.</v>
      </c>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t="str">
        <f>IFERROR(__xludf.DUMMYFUNCTION("""COMPUTED_VALUE"""),"Inmate's Cap")</f>
        <v>Inmate's Cap</v>
      </c>
      <c r="B840" s="1" t="str">
        <f>IFERROR(__xludf.DUMMYFUNCTION("""COMPUTED_VALUE""")," (Item) lvl:2000, DEF: +100000 ++has a 5% chance to avoid beng arrested without fail.")</f>
        <v> (Item) lvl:2000, DEF: +100000 ++has a 5% chance to avoid beng arrested without fail.</v>
      </c>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t="str">
        <f>IFERROR(__xludf.DUMMYFUNCTION("""COMPUTED_VALUE"""),"Inmate's Shirt")</f>
        <v>Inmate's Shirt</v>
      </c>
      <c r="B841" s="1" t="str">
        <f>IFERROR(__xludf.DUMMYFUNCTION("""COMPUTED_VALUE""")," (Item) lvl:2000, DEF: +100000 ++has a 5% chance to avoid beng arrested without fail.")</f>
        <v> (Item) lvl:2000, DEF: +100000 ++has a 5% chance to avoid beng arrested without fail.</v>
      </c>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t="str">
        <f>IFERROR(__xludf.DUMMYFUNCTION("""COMPUTED_VALUE"""),"Inmate's Pants")</f>
        <v>Inmate's Pants</v>
      </c>
      <c r="B842" s="1" t="str">
        <f>IFERROR(__xludf.DUMMYFUNCTION("""COMPUTED_VALUE""")," (Item) lvl:2000, DEF: +100000 ++has a 5% chance to avoid beng arrested without fail.")</f>
        <v> (Item) lvl:2000, DEF: +100000 ++has a 5% chance to avoid beng arrested without fail.</v>
      </c>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t="str">
        <f>IFERROR(__xludf.DUMMYFUNCTION("""COMPUTED_VALUE"""),"Warden's Cap")</f>
        <v>Warden's Cap</v>
      </c>
      <c r="B843" s="1" t="str">
        <f>IFERROR(__xludf.DUMMYFUNCTION("""COMPUTED_VALUE""")," (Item) lvl:2000, DEF: +100000 ++X2 Damage with Clubs")</f>
        <v> (Item) lvl:2000, DEF: +100000 ++X2 Damage with Clubs</v>
      </c>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t="str">
        <f>IFERROR(__xludf.DUMMYFUNCTION("""COMPUTED_VALUE"""),"Warden's Shirt")</f>
        <v>Warden's Shirt</v>
      </c>
      <c r="B844" s="1" t="str">
        <f>IFERROR(__xludf.DUMMYFUNCTION("""COMPUTED_VALUE""")," (Item) lvl:2000, DEF: +100000 ++X2 Damage with Clubs")</f>
        <v> (Item) lvl:2000, DEF: +100000 ++X2 Damage with Clubs</v>
      </c>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t="str">
        <f>IFERROR(__xludf.DUMMYFUNCTION("""COMPUTED_VALUE"""),"Warden's Pants")</f>
        <v>Warden's Pants</v>
      </c>
      <c r="B845" s="1" t="str">
        <f>IFERROR(__xludf.DUMMYFUNCTION("""COMPUTED_VALUE""")," (Item) lvl:2000, DEF: +100000 ++X2 Damage with Clubs")</f>
        <v> (Item) lvl:2000, DEF: +100000 ++X2 Damage with Clubs</v>
      </c>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t="str">
        <f>IFERROR(__xludf.DUMMYFUNCTION("""COMPUTED_VALUE"""),"Warden's Boots")</f>
        <v>Warden's Boots</v>
      </c>
      <c r="B846" s="1" t="str">
        <f>IFERROR(__xludf.DUMMYFUNCTION("""COMPUTED_VALUE""")," (Item) lvl:2000, DEF: +100000 ++X2 Damage with Clubs")</f>
        <v> (Item) lvl:2000, DEF: +100000 ++X2 Damage with Clubs</v>
      </c>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t="str">
        <f>IFERROR(__xludf.DUMMYFUNCTION("""COMPUTED_VALUE"""),"Warden's Baton")</f>
        <v>Warden's Baton</v>
      </c>
      <c r="B847" s="1" t="str">
        <f>IFERROR(__xludf.DUMMYFUNCTION("""COMPUTED_VALUE""")," (Club) lvl:4000, DMG: +200000 ++X20 damage to any enemy wearing a confining collar.")</f>
        <v> (Club) lvl:4000, DMG: +200000 ++X20 damage to any enemy wearing a confining collar.</v>
      </c>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t="str">
        <f>IFERROR(__xludf.DUMMYFUNCTION("""COMPUTED_VALUE"""),"Gentleman's Club")</f>
        <v>Gentleman's Club</v>
      </c>
      <c r="B848" s="1" t="str">
        <f>IFERROR(__xludf.DUMMYFUNCTION("""COMPUTED_VALUE""")," (Club) lvl:3000, DMG: +150000 ++Enemies hit with this weapon cannot cast spells for 2 rounds. +-Cannot be duplicated.")</f>
        <v> (Club) lvl:3000, DMG: +150000 ++Enemies hit with this weapon cannot cast spells for 2 rounds. +-Cannot be duplicated.</v>
      </c>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t="str">
        <f>IFERROR(__xludf.DUMMYFUNCTION("""COMPUTED_VALUE"""),"Honest Shirt")</f>
        <v>Honest Shirt</v>
      </c>
      <c r="B849" s="1" t="str">
        <f>IFERROR(__xludf.DUMMYFUNCTION("""COMPUTED_VALUE""")," (Item) lvl:2000, DEF: +100000 ++25% chance any spell targeting the wearer fails.")</f>
        <v> (Item) lvl:2000, DEF: +100000 ++25% chance any spell targeting the wearer fails.</v>
      </c>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t="str">
        <f>IFERROR(__xludf.DUMMYFUNCTION("""COMPUTED_VALUE"""),"Tinfoil Hat")</f>
        <v>Tinfoil Hat</v>
      </c>
      <c r="B850" s="1" t="str">
        <f>IFERROR(__xludf.DUMMYFUNCTION("""COMPUTED_VALUE""")," (Item) lvl:1, : + ++Immunity to Possession. +-Cannot be duplicated.")</f>
        <v> (Item) lvl:1, : + ++Immunity to Possession. +-Cannot be duplicated.</v>
      </c>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t="str">
        <f>IFERROR(__xludf.DUMMYFUNCTION("""COMPUTED_VALUE"""),"Anti-Magic Glasses")</f>
        <v>Anti-Magic Glasses</v>
      </c>
      <c r="B851" s="1" t="str">
        <f>IFERROR(__xludf.DUMMYFUNCTION("""COMPUTED_VALUE""")," (Item) lvl:1, : + ++Immunity to Blindness, Disorient, and Twilight. +-Cannot be duplicated")</f>
        <v> (Item) lvl:1, : + ++Immunity to Blindness, Disorient, and Twilight. +-Cannot be duplicated</v>
      </c>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t="str">
        <f>IFERROR(__xludf.DUMMYFUNCTION("""COMPUTED_VALUE"""),"Null Ring")</f>
        <v>Null Ring</v>
      </c>
      <c r="B852" s="1" t="str">
        <f>IFERROR(__xludf.DUMMYFUNCTION("""COMPUTED_VALUE""")," (Item) lvl:1, : + ++15% chance at start of battle to become immune to all magic casted by enemies and allies +-Wearer is incapable of casting magic +-Not able to be forged or duplicated")</f>
        <v> (Item) lvl:1, : + ++15% chance at start of battle to become immune to all magic casted by enemies and allies +-Wearer is incapable of casting magic +-Not able to be forged or duplicated</v>
      </c>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t="str">
        <f>IFERROR(__xludf.DUMMYFUNCTION("""COMPUTED_VALUE"""),"Quickdraw Bow")</f>
        <v>Quickdraw Bow</v>
      </c>
      <c r="B853" s="1" t="str">
        <f>IFERROR(__xludf.DUMMYFUNCTION("""COMPUTED_VALUE""")," (Bow) lvl:2000, DMG: +99500, Spirit DMG: +500 ++Plus 2 to turn order roll +-Cannot be forged or duplicated")</f>
        <v> (Bow) lvl:2000, DMG: +99500, Spirit DMG: +500 ++Plus 2 to turn order roll +-Cannot be forged or duplicated</v>
      </c>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t="str">
        <f>IFERROR(__xludf.DUMMYFUNCTION("""COMPUTED_VALUE"""),"Chaos Bow")</f>
        <v>Chaos Bow</v>
      </c>
      <c r="B854" s="1" t="str">
        <f>IFERROR(__xludf.DUMMYFUNCTION("""COMPUTED_VALUE""")," (Bow) lvl:2600, DMG: +50000, Chaos DMG: +80000 ++This bow targets a random enemy.")</f>
        <v> (Bow) lvl:2600, DMG: +50000, Chaos DMG: +80000 ++This bow targets a random enemy.</v>
      </c>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t="str">
        <f>IFERROR(__xludf.DUMMYFUNCTION("""COMPUTED_VALUE"""),"Crit Shot Bow")</f>
        <v>Crit Shot Bow</v>
      </c>
      <c r="B855" s="1" t="str">
        <f>IFERROR(__xludf.DUMMYFUNCTION("""COMPUTED_VALUE""")," (Bow) lvl:4000, DMG: +200000 ++Deals 3x damage +-Accuracy halved")</f>
        <v> (Bow) lvl:4000, DMG: +200000 ++Deals 3x damage +-Accuracy halved</v>
      </c>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t="str">
        <f>IFERROR(__xludf.DUMMYFUNCTION("""COMPUTED_VALUE"""),"Incinerating Bow")</f>
        <v>Incinerating Bow</v>
      </c>
      <c r="B856" s="1" t="str">
        <f>IFERROR(__xludf.DUMMYFUNCTION("""COMPUTED_VALUE""")," (Bow) lvl:3800, DMG: +90000, Fire DMG: +100000 ++Gain 1 Fire Arrow when any other arrow type is used. ++When using Fire Arrows deal 2x damage with this weapon. +-Cannot be forged or duplicated")</f>
        <v> (Bow) lvl:3800, DMG: +90000, Fire DMG: +100000 ++Gain 1 Fire Arrow when any other arrow type is used. ++When using Fire Arrows deal 2x damage with this weapon. +-Cannot be forged or duplicated</v>
      </c>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t="str">
        <f>IFERROR(__xludf.DUMMYFUNCTION("""COMPUTED_VALUE"""),"Bone Bow")</f>
        <v>Bone Bow</v>
      </c>
      <c r="B857" s="1" t="str">
        <f>IFERROR(__xludf.DUMMYFUNCTION("""COMPUTED_VALUE""")," (Bow) lvl:3400, DMG: +10000, Blood DMG: +160000 ++ 2x damage when user isundead")</f>
        <v> (Bow) lvl:3400, DMG: +10000, Blood DMG: +160000 ++ 2x damage when user isundead</v>
      </c>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t="str">
        <f>IFERROR(__xludf.DUMMYFUNCTION("""COMPUTED_VALUE"""),"Assassin's Fake Harp")</f>
        <v>Assassin's Fake Harp</v>
      </c>
      <c r="B858" s="1" t="str">
        <f>IFERROR(__xludf.DUMMYFUNCTION("""COMPUTED_VALUE""")," (Bow) lvl:3000, DMG: +50000, Acoustic DMG: +100000 ++Deals X2 additional damage for the first round of battle.")</f>
        <v> (Bow) lvl:3000, DMG: +50000, Acoustic DMG: +100000 ++Deals X2 additional damage for the first round of battle.</v>
      </c>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t="str">
        <f>IFERROR(__xludf.DUMMYFUNCTION("""COMPUTED_VALUE"""),"Broken Bow")</f>
        <v>Broken Bow</v>
      </c>
      <c r="B859" s="1" t="str">
        <f>IFERROR(__xludf.DUMMYFUNCTION("""COMPUTED_VALUE""")," (Club) lvl:20, DMG: +1000")</f>
        <v> (Club) lvl:20, DMG: +1000</v>
      </c>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t="str">
        <f>IFERROR(__xludf.DUMMYFUNCTION("""COMPUTED_VALUE"""),"Lizard Wizard Hat")</f>
        <v>Lizard Wizard Hat</v>
      </c>
      <c r="B860" s="1" t="str">
        <f>IFERROR(__xludf.DUMMYFUNCTION("""COMPUTED_VALUE""")," (Item) lvl:200, DEF: +10000 ++7500 hp and sp, X2 poison damage")</f>
        <v> (Item) lvl:200, DEF: +10000 ++7500 hp and sp, X2 poison damage</v>
      </c>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t="str">
        <f>IFERROR(__xludf.DUMMYFUNCTION("""COMPUTED_VALUE"""),"Lizard Wizard Robes")</f>
        <v>Lizard Wizard Robes</v>
      </c>
      <c r="B861" s="1" t="str">
        <f>IFERROR(__xludf.DUMMYFUNCTION("""COMPUTED_VALUE""")," (Item) lvl:200, DEF: +10000 ++7500 hp and sp, X2 poison damage")</f>
        <v> (Item) lvl:200, DEF: +10000 ++7500 hp and sp, X2 poison damage</v>
      </c>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t="str">
        <f>IFERROR(__xludf.DUMMYFUNCTION("""COMPUTED_VALUE"""),"Lizard Wizard Leggings")</f>
        <v>Lizard Wizard Leggings</v>
      </c>
      <c r="B862" s="1" t="str">
        <f>IFERROR(__xludf.DUMMYFUNCTION("""COMPUTED_VALUE""")," (Item) lvl:200, DEF: +10000 ++7500 hp and sp, X2 poison damage")</f>
        <v> (Item) lvl:200, DEF: +10000 ++7500 hp and sp, X2 poison damage</v>
      </c>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t="str">
        <f>IFERROR(__xludf.DUMMYFUNCTION("""COMPUTED_VALUE"""),"Lizard Wizard Pointed Shoes")</f>
        <v>Lizard Wizard Pointed Shoes</v>
      </c>
      <c r="B863" s="1" t="str">
        <f>IFERROR(__xludf.DUMMYFUNCTION("""COMPUTED_VALUE""")," (Item) lvl:200, DEF: +10000 ++7500 hp and sp, X2 poison damage")</f>
        <v> (Item) lvl:200, DEF: +10000 ++7500 hp and sp, X2 poison damage</v>
      </c>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t="str">
        <f>IFERROR(__xludf.DUMMYFUNCTION("""COMPUTED_VALUE"""),"Lizard Wizard Staff of Corroding Blizzard")</f>
        <v>Lizard Wizard Staff of Corroding Blizzard</v>
      </c>
      <c r="B864" s="1" t="str">
        <f>IFERROR(__xludf.DUMMYFUNCTION("""COMPUTED_VALUE""")," (Staff) lvl:3000, DMG: +, Light DMG: +50000, Nature DMG: +100000 ++Lizard Wizard's Corrosion Explosion!: Inflicts 5000XWisdom Poison on all enemies sp cost: 1000XWisdom sp. ++Lizard Wizard's Shiny: X5 to all Poison and Nature Damage ")</f>
        <v> (Staff) lvl:3000, DMG: +, Light DMG: +50000, Nature DMG: +100000 ++Lizard Wizard's Corrosion Explosion!: Inflicts 5000XWisdom Poison on all enemies sp cost: 1000XWisdom sp. ++Lizard Wizard's Shiny: X5 to all Poison and Nature Damage </v>
      </c>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t="str">
        <f>IFERROR(__xludf.DUMMYFUNCTION("""COMPUTED_VALUE"""),"Lizard Wizard's Prized Ring")</f>
        <v>Lizard Wizard's Prized Ring</v>
      </c>
      <c r="B865" s="1" t="str">
        <f>IFERROR(__xludf.DUMMYFUNCTION("""COMPUTED_VALUE"""),"""The Most Prized shiny of all lizard wizard kind!"" ~Lizard Wizzard Gizzard (Item) lvl:2000, DEF: +100000 ++X5 Poison and Nature damage, +5 Wisdom for every enemy poisoned.")</f>
        <v>"The Most Prized shiny of all lizard wizard kind!" ~Lizard Wizzard Gizzard (Item) lvl:2000, DEF: +100000 ++X5 Poison and Nature damage, +5 Wisdom for every enemy poisoned.</v>
      </c>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t="str">
        <f>IFERROR(__xludf.DUMMYFUNCTION("""COMPUTED_VALUE"""),"Lizard Thief's Bandana")</f>
        <v>Lizard Thief's Bandana</v>
      </c>
      <c r="B866" s="1" t="str">
        <f>IFERROR(__xludf.DUMMYFUNCTION("""COMPUTED_VALUE""")," (Item) lvl:2000, DEF: +100000 ++15000 ATK and ACC  ++X4 Knife Damage")</f>
        <v> (Item) lvl:2000, DEF: +100000 ++15000 ATK and ACC  ++X4 Knife Damage</v>
      </c>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t="str">
        <f>IFERROR(__xludf.DUMMYFUNCTION("""COMPUTED_VALUE"""),"Lizard Thief's Leathers")</f>
        <v>Lizard Thief's Leathers</v>
      </c>
      <c r="B867" s="1" t="str">
        <f>IFERROR(__xludf.DUMMYFUNCTION("""COMPUTED_VALUE""")," (Item) lvl:2000, DEF: +100000 ++15000 ATK and ACC ++X4 Knife Damage")</f>
        <v> (Item) lvl:2000, DEF: +100000 ++15000 ATK and ACC ++X4 Knife Damage</v>
      </c>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t="str">
        <f>IFERROR(__xludf.DUMMYFUNCTION("""COMPUTED_VALUE"""),"Lizard Thief's Pants")</f>
        <v>Lizard Thief's Pants</v>
      </c>
      <c r="B868" s="1" t="str">
        <f>IFERROR(__xludf.DUMMYFUNCTION("""COMPUTED_VALUE""")," (Item) lvl:2000, DEF: +100000 ++15000 ATK and ACC ++X4 Knife Damage")</f>
        <v> (Item) lvl:2000, DEF: +100000 ++15000 ATK and ACC ++X4 Knife Damage</v>
      </c>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t="str">
        <f>IFERROR(__xludf.DUMMYFUNCTION("""COMPUTED_VALUE"""),"Lizard Thief's Boots")</f>
        <v>Lizard Thief's Boots</v>
      </c>
      <c r="B869" s="1" t="str">
        <f>IFERROR(__xludf.DUMMYFUNCTION("""COMPUTED_VALUE""")," (Item) lvl:2000, DEF: +100000 ++15000 ATK and ACC ++X4 Knife Damage")</f>
        <v> (Item) lvl:2000, DEF: +100000 ++15000 ATK and ACC ++X4 Knife Damage</v>
      </c>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t="str">
        <f>IFERROR(__xludf.DUMMYFUNCTION("""COMPUTED_VALUE"""),"Lizard Thief's Shiny Swiper")</f>
        <v>Lizard Thief's Shiny Swiper</v>
      </c>
      <c r="B870" s="1" t="str">
        <f>IFERROR(__xludf.DUMMYFUNCTION("""COMPUTED_VALUE""")," (Knife) lvl:3000, DMG: +150000 ++Shiny Snatchery - +5 to all rolls when stealing an item. ++If the wearer successfully steals an item from an enemy +5 mobility for the next 3 rounds. +-effects do not stack")</f>
        <v> (Knife) lvl:3000, DMG: +150000 ++Shiny Snatchery - +5 to all rolls when stealing an item. ++If the wearer successfully steals an item from an enemy +5 mobility for the next 3 rounds. +-effects do not stack</v>
      </c>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t="str">
        <f>IFERROR(__xludf.DUMMYFUNCTION("""COMPUTED_VALUE"""),"Wyrmstone Club")</f>
        <v>Wyrmstone Club</v>
      </c>
      <c r="B871" s="1" t="str">
        <f>IFERROR(__xludf.DUMMYFUNCTION("""COMPUTED_VALUE""")," (Club) lvl:2000, DMG: +100000 +- Half damage against dragons")</f>
        <v> (Club) lvl:2000, DMG: +100000 +- Half damage against dragons</v>
      </c>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t="str">
        <f>IFERROR(__xludf.DUMMYFUNCTION("""COMPUTED_VALUE"""),"Wyrmstone Mail")</f>
        <v>Wyrmstone Mail</v>
      </c>
      <c r="B872" s="1" t="str">
        <f>IFERROR(__xludf.DUMMYFUNCTION("""COMPUTED_VALUE""")," (Item) lvl:2800, DEF: +140000 ++Half damage received from dragons +-Cannot be forged or duplicated")</f>
        <v> (Item) lvl:2800, DEF: +140000 ++Half damage received from dragons +-Cannot be forged or duplicated</v>
      </c>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t="str">
        <f>IFERROR(__xludf.DUMMYFUNCTION("""COMPUTED_VALUE"""),"Wyrmstone Helm")</f>
        <v>Wyrmstone Helm</v>
      </c>
      <c r="B873" s="1" t="str">
        <f>IFERROR(__xludf.DUMMYFUNCTION("""COMPUTED_VALUE""")," (Item) lvl:2400, DEF: +120000 +-Cannot be forged or duplicated")</f>
        <v> (Item) lvl:2400, DEF: +120000 +-Cannot be forged or duplicated</v>
      </c>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t="str">
        <f>IFERROR(__xludf.DUMMYFUNCTION("""COMPUTED_VALUE"""),"Wyrmstone Buckler")</f>
        <v>Wyrmstone Buckler</v>
      </c>
      <c r="B874" s="1" t="str">
        <f>IFERROR(__xludf.DUMMYFUNCTION("""COMPUTED_VALUE""")," (Buckler) lvl:3000, DEF: +150000 ++25% chance to parry dragons' attacks +-Cannot be forged or duplicated")</f>
        <v> (Buckler) lvl:3000, DEF: +150000 ++25% chance to parry dragons' attacks +-Cannot be forged or duplicated</v>
      </c>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t="str">
        <f>IFERROR(__xludf.DUMMYFUNCTION("""COMPUTED_VALUE"""),"Wyrmstone Gauntlet")</f>
        <v>Wyrmstone Gauntlet</v>
      </c>
      <c r="B875" s="1" t="str">
        <f>IFERROR(__xludf.DUMMYFUNCTION("""COMPUTED_VALUE""")," (Gauntlet) lvl:3000, DEF: +125000, Light DEF: +25000")</f>
        <v> (Gauntlet) lvl:3000, DEF: +125000, Light DEF: +25000</v>
      </c>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t="str">
        <f>IFERROR(__xludf.DUMMYFUNCTION("""COMPUTED_VALUE"""),"Wyrmstone Leggings")</f>
        <v>Wyrmstone Leggings</v>
      </c>
      <c r="B876" s="1" t="str">
        <f>IFERROR(__xludf.DUMMYFUNCTION("""COMPUTED_VALUE""")," (Item) lvl:2000, DEF: +100000")</f>
        <v> (Item) lvl:2000, DEF: +100000</v>
      </c>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t="str">
        <f>IFERROR(__xludf.DUMMYFUNCTION("""COMPUTED_VALUE"""),"Wyrmstone Lance")</f>
        <v>Wyrmstone Lance</v>
      </c>
      <c r="B877" s="1" t="str">
        <f>IFERROR(__xludf.DUMMYFUNCTION("""COMPUTED_VALUE""")," (Spear) lvl:2000, DMG: +100000 ++Damage doubles if used two turns in a row +-Cannot be forged or duplicated")</f>
        <v> (Spear) lvl:2000, DMG: +100000 ++Damage doubles if used two turns in a row +-Cannot be forged or duplicated</v>
      </c>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t="str">
        <f>IFERROR(__xludf.DUMMYFUNCTION("""COMPUTED_VALUE"""),"Wyrmstone Nails")</f>
        <v>Wyrmstone Nails</v>
      </c>
      <c r="B878" s="1" t="str">
        <f>IFERROR(__xludf.DUMMYFUNCTION("""COMPUTED_VALUE""")," (Claw) lvl:2600, DMG: +130000")</f>
        <v> (Claw) lvl:2600, DMG: +130000</v>
      </c>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t="str">
        <f>IFERROR(__xludf.DUMMYFUNCTION("""COMPUTED_VALUE"""),"Lizard Warrior's Scale Helm")</f>
        <v>Lizard Warrior's Scale Helm</v>
      </c>
      <c r="B879" s="1" t="str">
        <f>IFERROR(__xludf.DUMMYFUNCTION("""COMPUTED_VALUE""")," (Item) lvl:3000, DEF: +100000, Nature DEF: +50000")</f>
        <v> (Item) lvl:3000, DEF: +100000, Nature DEF: +50000</v>
      </c>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t="str">
        <f>IFERROR(__xludf.DUMMYFUNCTION("""COMPUTED_VALUE"""),"Lizard Warrior's Scaled Pauldrons")</f>
        <v>Lizard Warrior's Scaled Pauldrons</v>
      </c>
      <c r="B880" s="1" t="str">
        <f>IFERROR(__xludf.DUMMYFUNCTION("""COMPUTED_VALUE""")," (Item) lvl:3000, DEF: +100000, Nature DEF: +50000")</f>
        <v> (Item) lvl:3000, DEF: +100000, Nature DEF: +50000</v>
      </c>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t="str">
        <f>IFERROR(__xludf.DUMMYFUNCTION("""COMPUTED_VALUE"""),"Lizard Warrior's Scaled Chest")</f>
        <v>Lizard Warrior's Scaled Chest</v>
      </c>
      <c r="B881" s="1" t="str">
        <f>IFERROR(__xludf.DUMMYFUNCTION("""COMPUTED_VALUE""")," (Item) lvl:3000, DEF: +100000, Nature DEF: +50000 ++When the wearer is attacked, the one that attacked them takes 15000 poison for 3 rounds")</f>
        <v> (Item) lvl:3000, DEF: +100000, Nature DEF: +50000 ++When the wearer is attacked, the one that attacked them takes 15000 poison for 3 rounds</v>
      </c>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t="str">
        <f>IFERROR(__xludf.DUMMYFUNCTION("""COMPUTED_VALUE"""),"Lizard Warrior's Scaled Arms")</f>
        <v>Lizard Warrior's Scaled Arms</v>
      </c>
      <c r="B882" s="1" t="str">
        <f>IFERROR(__xludf.DUMMYFUNCTION("""COMPUTED_VALUE""")," (Item) lvl:3000, DEF: +100000, Nature DEF: +50000 ++7500 DEF for every enemy currently poisoned (Max 37500)")</f>
        <v> (Item) lvl:3000, DEF: +100000, Nature DEF: +50000 ++7500 DEF for every enemy currently poisoned (Max 37500)</v>
      </c>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t="str">
        <f>IFERROR(__xludf.DUMMYFUNCTION("""COMPUTED_VALUE"""),"Lizard Warrior's Bracelets")</f>
        <v>Lizard Warrior's Bracelets</v>
      </c>
      <c r="B883" s="1" t="str">
        <f>IFERROR(__xludf.DUMMYFUNCTION("""COMPUTED_VALUE""")," (Item) lvl:3000, DEF: +100000, Nature DEF: +50000 ++5000 ACC for every enemy currently poisoned (Max 25000)")</f>
        <v> (Item) lvl:3000, DEF: +100000, Nature DEF: +50000 ++5000 ACC for every enemy currently poisoned (Max 25000)</v>
      </c>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t="str">
        <f>IFERROR(__xludf.DUMMYFUNCTION("""COMPUTED_VALUE"""),"Lizard Warrior's Scaled Legs")</f>
        <v>Lizard Warrior's Scaled Legs</v>
      </c>
      <c r="B884" s="1" t="str">
        <f>IFERROR(__xludf.DUMMYFUNCTION("""COMPUTED_VALUE""")," (Item) lvl:3000, DEF: +100000, Nature DEF: +50000 ++5000 ATK for every enemy currently poisoned (Max 25000)")</f>
        <v> (Item) lvl:3000, DEF: +100000, Nature DEF: +50000 ++5000 ATK for every enemy currently poisoned (Max 25000)</v>
      </c>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t="str">
        <f>IFERROR(__xludf.DUMMYFUNCTION("""COMPUTED_VALUE"""),"Lizard Warrior's Scaled Boots")</f>
        <v>Lizard Warrior's Scaled Boots</v>
      </c>
      <c r="B885" s="1" t="str">
        <f>IFERROR(__xludf.DUMMYFUNCTION("""COMPUTED_VALUE""")," (Item) lvl:3000, DEF: +100000, Nature DEF: +50000 ++1 Mobility for every enemy currently poisoned (Max 5)")</f>
        <v> (Item) lvl:3000, DEF: +100000, Nature DEF: +50000 ++1 Mobility for every enemy currently poisoned (Max 5)</v>
      </c>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t="str">
        <f>IFERROR(__xludf.DUMMYFUNCTION("""COMPUTED_VALUE"""),"Lizard Warrior's Claw")</f>
        <v>Lizard Warrior's Claw</v>
      </c>
      <c r="B886" s="1" t="str">
        <f>IFERROR(__xludf.DUMMYFUNCTION("""COMPUTED_VALUE""")," (Claw) lvl:3000, DMG: +100000, Nature DMG: +50000 ++X20 damage against poisoned enemies, All damage dealt against poisoned enemies with this item is poison damage.")</f>
        <v> (Claw) lvl:3000, DMG: +100000, Nature DMG: +50000 ++X20 damage against poisoned enemies, All damage dealt against poisoned enemies with this item is poison damage.</v>
      </c>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t="str">
        <f>IFERROR(__xludf.DUMMYFUNCTION("""COMPUTED_VALUE"""),"Lizard Warrior Guantlet")</f>
        <v>Lizard Warrior Guantlet</v>
      </c>
      <c r="B887" s="1" t="str">
        <f>IFERROR(__xludf.DUMMYFUNCTION("""COMPUTED_VALUE""")," (Gauntlet) lvl:3000, DEF: +100000, Nature DEF: +50000 ++50% chance to be unaffected by a weapon attack from a poisoned enemy")</f>
        <v> (Gauntlet) lvl:3000, DEF: +100000, Nature DEF: +50000 ++50% chance to be unaffected by a weapon attack from a poisoned enemy</v>
      </c>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t="str">
        <f>IFERROR(__xludf.DUMMYFUNCTION("""COMPUTED_VALUE"""),"Igaunian Assassin's Cowl")</f>
        <v>Igaunian Assassin's Cowl</v>
      </c>
      <c r="B888" s="1" t="str">
        <f>IFERROR(__xludf.DUMMYFUNCTION("""COMPUTED_VALUE""")," (Item) lvl:2000, DEF: +75000, Nature DEF: +25000 ++15000 ATK and ACC ++X4 Knife and Boomerang damage ++5 to all weapon attacks if concealed")</f>
        <v> (Item) lvl:2000, DEF: +75000, Nature DEF: +25000 ++15000 ATK and ACC ++X4 Knife and Boomerang damage ++5 to all weapon attacks if concealed</v>
      </c>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t="str">
        <f>IFERROR(__xludf.DUMMYFUNCTION("""COMPUTED_VALUE"""),"Igaunian Assassin's Cloths")</f>
        <v>Igaunian Assassin's Cloths</v>
      </c>
      <c r="B889" s="1" t="str">
        <f>IFERROR(__xludf.DUMMYFUNCTION("""COMPUTED_VALUE""")," (Item) lvl:2000, DEF: +75000, Nature DEF: +25000 ++15000 ATK and ACC ++X4 Knife and Boomerang damage")</f>
        <v> (Item) lvl:2000, DEF: +75000, Nature DEF: +25000 ++15000 ATK and ACC ++X4 Knife and Boomerang damage</v>
      </c>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t="str">
        <f>IFERROR(__xludf.DUMMYFUNCTION("""COMPUTED_VALUE"""),"Iguanian Assassin's Pants")</f>
        <v>Iguanian Assassin's Pants</v>
      </c>
      <c r="B890" s="1" t="str">
        <f>IFERROR(__xludf.DUMMYFUNCTION("""COMPUTED_VALUE""")," (Item) lvl:2000, DEF: +75000, Nature DEF: +25000 ++15000 ATK and ACC ++X4 Knife and Boomerang damage")</f>
        <v> (Item) lvl:2000, DEF: +75000, Nature DEF: +25000 ++15000 ATK and ACC ++X4 Knife and Boomerang damage</v>
      </c>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t="str">
        <f>IFERROR(__xludf.DUMMYFUNCTION("""COMPUTED_VALUE"""),"Iguanian Assassin's Boots")</f>
        <v>Iguanian Assassin's Boots</v>
      </c>
      <c r="B891" s="1" t="str">
        <f>IFERROR(__xludf.DUMMYFUNCTION("""COMPUTED_VALUE""")," (Item) lvl:2000, DEF: +75000, Nature DEF: +25000 ++15000 ATK and ACC ++X4 Knife and Boomerang damage")</f>
        <v> (Item) lvl:2000, DEF: +75000, Nature DEF: +25000 ++15000 ATK and ACC ++X4 Knife and Boomerang damage</v>
      </c>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t="str">
        <f>IFERROR(__xludf.DUMMYFUNCTION("""COMPUTED_VALUE"""),"Iguanian Assassin's Chakram")</f>
        <v>Iguanian Assassin's Chakram</v>
      </c>
      <c r="B892" s="1" t="str">
        <f>IFERROR(__xludf.DUMMYFUNCTION("""COMPUTED_VALUE""")," (Boomerang) lvl:3000, DMG: +100000, Nature DMG: +50000 ++Increases the weapon effect chance by 10%")</f>
        <v> (Boomerang) lvl:3000, DMG: +100000, Nature DMG: +50000 ++Increases the weapon effect chance by 10%</v>
      </c>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t="str">
        <f>IFERROR(__xludf.DUMMYFUNCTION("""COMPUTED_VALUE"""),"Iguanian Assassin's Slicer")</f>
        <v>Iguanian Assassin's Slicer</v>
      </c>
      <c r="B893" s="1" t="str">
        <f>IFERROR(__xludf.DUMMYFUNCTION("""COMPUTED_VALUE""")," (Knife) lvl:3000, DMG: +100000, Nature DMG: +50000 ++Guarantees the Bleed effect of the knife weapon type and doubles the bleed caused +-Cannot be Forged")</f>
        <v> (Knife) lvl:3000, DMG: +100000, Nature DMG: +50000 ++Guarantees the Bleed effect of the knife weapon type and doubles the bleed caused +-Cannot be Forged</v>
      </c>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t="str">
        <f>IFERROR(__xludf.DUMMYFUNCTION("""COMPUTED_VALUE"""),"Wyverntooth Smasher")</f>
        <v>Wyverntooth Smasher</v>
      </c>
      <c r="B894" s="1" t="str">
        <f>IFERROR(__xludf.DUMMYFUNCTION("""COMPUTED_VALUE""")," (Axe) lvl:2400, DMG: +30000, Chaos DMG: +90000")</f>
        <v> (Axe) lvl:2400, DMG: +30000, Chaos DMG: +90000</v>
      </c>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t="str">
        <f>IFERROR(__xludf.DUMMYFUNCTION("""COMPUTED_VALUE"""),"Wyvernblade")</f>
        <v>Wyvernblade</v>
      </c>
      <c r="B895" s="1" t="str">
        <f>IFERROR(__xludf.DUMMYFUNCTION("""COMPUTED_VALUE""")," (Knife) lvl:2600, DMG: +, Melee DMG: +130000")</f>
        <v> (Knife) lvl:2600, DMG: +, Melee DMG: +130000</v>
      </c>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t="str">
        <f>IFERROR(__xludf.DUMMYFUNCTION("""COMPUTED_VALUE"""),"Wyvernscale Ring")</f>
        <v>Wyvernscale Ring</v>
      </c>
      <c r="B896" s="1" t="str">
        <f>IFERROR(__xludf.DUMMYFUNCTION("""COMPUTED_VALUE""")," (Item) lvl:2000, DEF: +, Melee DEF: +100000 ++50% chance to negate any damage from a wyvern +-Cannot be forged or duplicated")</f>
        <v> (Item) lvl:2000, DEF: +, Melee DEF: +100000 ++50% chance to negate any damage from a wyvern +-Cannot be forged or duplicated</v>
      </c>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t="str">
        <f>IFERROR(__xludf.DUMMYFUNCTION("""COMPUTED_VALUE"""),"Wyvern Hood")</f>
        <v>Wyvern Hood</v>
      </c>
      <c r="B897" s="1" t="str">
        <f>IFERROR(__xludf.DUMMYFUNCTION("""COMPUTED_VALUE""")," (Item) lvl:1, : + ++When in a party of 4 or more, enemy wyverns cannot target the wearer +-Cannot be forged or duplicated")</f>
        <v> (Item) lvl:1, : + ++When in a party of 4 or more, enemy wyverns cannot target the wearer +-Cannot be forged or duplicated</v>
      </c>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t="str">
        <f>IFERROR(__xludf.DUMMYFUNCTION("""COMPUTED_VALUE"""),"Wyvernarang")</f>
        <v>Wyvernarang</v>
      </c>
      <c r="B898" s="1" t="str">
        <f>IFERROR(__xludf.DUMMYFUNCTION("""COMPUTED_VALUE""")," (Boomerang) lvl:3000, DMG: +50000, Spirit DMG: +50000, Chaos DMG: +50000")</f>
        <v> (Boomerang) lvl:3000, DMG: +50000, Spirit DMG: +50000, Chaos DMG: +50000</v>
      </c>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t="str">
        <f>IFERROR(__xludf.DUMMYFUNCTION("""COMPUTED_VALUE"""),"Iguanian Assassin's Memento")</f>
        <v>Iguanian Assassin's Memento</v>
      </c>
      <c r="B899" s="1" t="str">
        <f>IFERROR(__xludf.DUMMYFUNCTION("""COMPUTED_VALUE"""),"From this necklace hangs a series of teeth, each one taken from an iguanian assassin's victim. () lvl:1, : + ++For every enemy killed with this item equipped +1 permanent ATK (0/100000)")</f>
        <v>From this necklace hangs a series of teeth, each one taken from an iguanian assassin's victim. () lvl:1, : + ++For every enemy killed with this item equipped +1 permanent ATK (0/100000)</v>
      </c>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t="str">
        <f>IFERROR(__xludf.DUMMYFUNCTION("""COMPUTED_VALUE"""),"Salamander Boots")</f>
        <v>Salamander Boots</v>
      </c>
      <c r="B900" s="1" t="str">
        <f>IFERROR(__xludf.DUMMYFUNCTION("""COMPUTED_VALUE""")," (Item) lvl:2000, DEF: +, Fire DEF: +100000")</f>
        <v> (Item) lvl:2000, DEF: +, Fire DEF: +100000</v>
      </c>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t="str">
        <f>IFERROR(__xludf.DUMMYFUNCTION("""COMPUTED_VALUE"""),"Salamanderscale Chainmail")</f>
        <v>Salamanderscale Chainmail</v>
      </c>
      <c r="B901" s="1" t="str">
        <f>IFERROR(__xludf.DUMMYFUNCTION("""COMPUTED_VALUE""")," (Item) lvl:2000, DEF: +, Fire DEF: +120000, Water DEF: +-10000, Storm DEF: +-10000 +-Water and Storm deal additional 20000 damage to the wearer")</f>
        <v> (Item) lvl:2000, DEF: +, Fire DEF: +120000, Water DEF: +-10000, Storm DEF: +-10000 +-Water and Storm deal additional 20000 damage to the wearer</v>
      </c>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t="str">
        <f>IFERROR(__xludf.DUMMYFUNCTION("""COMPUTED_VALUE"""),"Iguanian Brawler's Headband")</f>
        <v>Iguanian Brawler's Headband</v>
      </c>
      <c r="B902" s="1" t="str">
        <f>IFERROR(__xludf.DUMMYFUNCTION("""COMPUTED_VALUE""")," (Item) lvl:3000, DEF: +150000, Water DEF: +50000, Nature DEF: +-50000")</f>
        <v> (Item) lvl:3000, DEF: +150000, Water DEF: +50000, Nature DEF: +-50000</v>
      </c>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t="str">
        <f>IFERROR(__xludf.DUMMYFUNCTION("""COMPUTED_VALUE"""),"Iguanian Brawler's Cape")</f>
        <v>Iguanian Brawler's Cape</v>
      </c>
      <c r="B903" s="1" t="str">
        <f>IFERROR(__xludf.DUMMYFUNCTION("""COMPUTED_VALUE""")," (Item) lvl:3000, DEF: +150000, Water DEF: +50000, Nature DEF: +-50000")</f>
        <v> (Item) lvl:3000, DEF: +150000, Water DEF: +50000, Nature DEF: +-50000</v>
      </c>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t="str">
        <f>IFERROR(__xludf.DUMMYFUNCTION("""COMPUTED_VALUE"""),"Iguanian Brawler's Sash")</f>
        <v>Iguanian Brawler's Sash</v>
      </c>
      <c r="B904" s="1" t="str">
        <f>IFERROR(__xludf.DUMMYFUNCTION("""COMPUTED_VALUE""")," (Item) lvl:3000, DEF: +150000, Water DEF: +50000, Nature DEF: +-50000")</f>
        <v> (Item) lvl:3000, DEF: +150000, Water DEF: +50000, Nature DEF: +-50000</v>
      </c>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t="str">
        <f>IFERROR(__xludf.DUMMYFUNCTION("""COMPUTED_VALUE"""),"Iguanian Brawler's Arm Wraps")</f>
        <v>Iguanian Brawler's Arm Wraps</v>
      </c>
      <c r="B905" s="1" t="str">
        <f>IFERROR(__xludf.DUMMYFUNCTION("""COMPUTED_VALUE""")," (Item) lvl:3000, DEF: +150000, Water DEF: +50000, Nature DEF: +-50000")</f>
        <v> (Item) lvl:3000, DEF: +150000, Water DEF: +50000, Nature DEF: +-50000</v>
      </c>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t="str">
        <f>IFERROR(__xludf.DUMMYFUNCTION("""COMPUTED_VALUE"""),"Iguanian Brawler's Shorts")</f>
        <v>Iguanian Brawler's Shorts</v>
      </c>
      <c r="B906" s="1" t="str">
        <f>IFERROR(__xludf.DUMMYFUNCTION("""COMPUTED_VALUE""")," (Item) lvl:3000, DEF: +150000, Water DEF: +50000, Nature DEF: +-50000")</f>
        <v> (Item) lvl:3000, DEF: +150000, Water DEF: +50000, Nature DEF: +-50000</v>
      </c>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t="str">
        <f>IFERROR(__xludf.DUMMYFUNCTION("""COMPUTED_VALUE"""),"Iguanian Brawler's Sandals")</f>
        <v>Iguanian Brawler's Sandals</v>
      </c>
      <c r="B907" s="1" t="str">
        <f>IFERROR(__xludf.DUMMYFUNCTION("""COMPUTED_VALUE""")," (Item) lvl:3000, DEF: +150000, Water DEF: +50000, Nature DEF: +-50000")</f>
        <v> (Item) lvl:3000, DEF: +150000, Water DEF: +50000, Nature DEF: +-50000</v>
      </c>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t="str">
        <f>IFERROR(__xludf.DUMMYFUNCTION("""COMPUTED_VALUE"""),"Iguanian Brawler's Knuckles")</f>
        <v>Iguanian Brawler's Knuckles</v>
      </c>
      <c r="B908" s="1" t="str">
        <f>IFERROR(__xludf.DUMMYFUNCTION("""COMPUTED_VALUE""")," (Gauntlet) lvl:3000, DEF: +100000, Water DEF: +50000")</f>
        <v> (Gauntlet) lvl:3000, DEF: +100000, Water DEF: +50000</v>
      </c>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t="str">
        <f>IFERROR(__xludf.DUMMYFUNCTION("""COMPUTED_VALUE"""),"Iguanian Brawler's Ring")</f>
        <v>Iguanian Brawler's Ring</v>
      </c>
      <c r="B909" s="1" t="str">
        <f>IFERROR(__xludf.DUMMYFUNCTION("""COMPUTED_VALUE""")," () lvl:1, : + ++X10 Natural Attack damage")</f>
        <v> () lvl:1, : + ++X10 Natural Attack damage</v>
      </c>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t="str">
        <f>IFERROR(__xludf.DUMMYFUNCTION("""COMPUTED_VALUE"""),"Cursed Ring of Sudden Death")</f>
        <v>Cursed Ring of Sudden Death</v>
      </c>
      <c r="B910" s="1" t="str">
        <f>IFERROR(__xludf.DUMMYFUNCTION("""COMPUTED_VALUE""")," (Item) lvl:1, : + ++Can be manually activated at the beginning of battle, before turn order is set. When activated, all damage dealt to or by the wearer results in instant death for the battle. +-Cannot be forged or duplicated")</f>
        <v> (Item) lvl:1, : + ++Can be manually activated at the beginning of battle, before turn order is set. When activated, all damage dealt to or by the wearer results in instant death for the battle. +-Cannot be forged or duplicated</v>
      </c>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t="str">
        <f>IFERROR(__xludf.DUMMYFUNCTION("""COMPUTED_VALUE"""),"Ring of Action")</f>
        <v>Ring of Action</v>
      </c>
      <c r="B911" s="1" t="str">
        <f>IFERROR(__xludf.DUMMYFUNCTION("""COMPUTED_VALUE""")," (Item) lvl:1, : + ++10000 SP")</f>
        <v> (Item) lvl:1, : + ++10000 SP</v>
      </c>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t="str">
        <f>IFERROR(__xludf.DUMMYFUNCTION("""COMPUTED_VALUE"""),"Iguanian Mage Hat")</f>
        <v>Iguanian Mage Hat</v>
      </c>
      <c r="B912" s="1" t="str">
        <f>IFERROR(__xludf.DUMMYFUNCTION("""COMPUTED_VALUE""")," (Item) lvl:1, : + ++10000 hp and sp")</f>
        <v> (Item) lvl:1, : + ++10000 hp and sp</v>
      </c>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t="str">
        <f>IFERROR(__xludf.DUMMYFUNCTION("""COMPUTED_VALUE"""),"Iguanian Mage Robes")</f>
        <v>Iguanian Mage Robes</v>
      </c>
      <c r="B913" s="1" t="str">
        <f>IFERROR(__xludf.DUMMYFUNCTION("""COMPUTED_VALUE""")," (Item) lvl:1, : + ++10000 hp and sp")</f>
        <v> (Item) lvl:1, : + ++10000 hp and sp</v>
      </c>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t="str">
        <f>IFERROR(__xludf.DUMMYFUNCTION("""COMPUTED_VALUE"""),"Iguanian Mage Leggings")</f>
        <v>Iguanian Mage Leggings</v>
      </c>
      <c r="B914" s="1" t="str">
        <f>IFERROR(__xludf.DUMMYFUNCTION("""COMPUTED_VALUE""")," (Item) lvl:1, : + ++10000 hp and sp")</f>
        <v> (Item) lvl:1, : + ++10000 hp and sp</v>
      </c>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t="str">
        <f>IFERROR(__xludf.DUMMYFUNCTION("""COMPUTED_VALUE"""),"Iguanian Mage Pointed Shoes")</f>
        <v>Iguanian Mage Pointed Shoes</v>
      </c>
      <c r="B915" s="1" t="str">
        <f>IFERROR(__xludf.DUMMYFUNCTION("""COMPUTED_VALUE""")," (Item) lvl:1, : + ++10000 hp and sp")</f>
        <v> (Item) lvl:1, : + ++10000 hp and sp</v>
      </c>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t="str">
        <f>IFERROR(__xludf.DUMMYFUNCTION("""COMPUTED_VALUE"""),"Iguanian Mage Staff of Hail")</f>
        <v>Iguanian Mage Staff of Hail</v>
      </c>
      <c r="B916" s="1" t="str">
        <f>IFERROR(__xludf.DUMMYFUNCTION("""COMPUTED_VALUE""")," (Staff) lvl:1, : + ++Iguanian Tidecall: Inflicts 25000XWisdom Water damage on all enemies sp cost: 1000XWisdom sp. ++Iguanian Mage's Staff: X5 to all Water and Storm Damage ")</f>
        <v> (Staff) lvl:1, : + ++Iguanian Tidecall: Inflicts 25000XWisdom Water damage on all enemies sp cost: 1000XWisdom sp. ++Iguanian Mage's Staff: X5 to all Water and Storm Damage </v>
      </c>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t="str">
        <f>IFERROR(__xludf.DUMMYFUNCTION("""COMPUTED_VALUE"""),"Blood Finger Ring")</f>
        <v>Blood Finger Ring</v>
      </c>
      <c r="B917" s="1" t="str">
        <f>IFERROR(__xludf.DUMMYFUNCTION("""COMPUTED_VALUE""")," (Item) lvl:1, : + ++Once per battle, if HP&lt;110, heal 10000 HP +-Cannot be forged or duplicated")</f>
        <v> (Item) lvl:1, : + ++Once per battle, if HP&lt;110, heal 10000 HP +-Cannot be forged or duplicated</v>
      </c>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t="str">
        <f>IFERROR(__xludf.DUMMYFUNCTION("""COMPUTED_VALUE"""),"Finger Food Ring")</f>
        <v>Finger Food Ring</v>
      </c>
      <c r="B918" s="1" t="str">
        <f>IFERROR(__xludf.DUMMYFUNCTION("""COMPUTED_VALUE""")," (Item) lvl:1, : + ++Once per journey, consume one piece of food without it being removed from inventory +-Cannot be forged or duplicated")</f>
        <v> (Item) lvl:1, : + ++Once per journey, consume one piece of food without it being removed from inventory +-Cannot be forged or duplicated</v>
      </c>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t="str">
        <f>IFERROR(__xludf.DUMMYFUNCTION("""COMPUTED_VALUE"""),"Ring of Power")</f>
        <v>Ring of Power</v>
      </c>
      <c r="B919" s="1" t="str">
        <f>IFERROR(__xludf.DUMMYFUNCTION("""COMPUTED_VALUE""")," (Item) lvl:1, : + ++1500 ATK and ACC")</f>
        <v> (Item) lvl:1, : + ++1500 ATK and ACC</v>
      </c>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t="str">
        <f>IFERROR(__xludf.DUMMYFUNCTION("""COMPUTED_VALUE"""),"Axe of Red")</f>
        <v>Axe of Red</v>
      </c>
      <c r="B920" s="1" t="str">
        <f>IFERROR(__xludf.DUMMYFUNCTION("""COMPUTED_VALUE""")," (Axe) lvl:4500, DMG: +, Fire DMG: +75000, Chaos DMG: +75000, Blood DMG: +75000")</f>
        <v> (Axe) lvl:4500, DMG: +, Fire DMG: +75000, Chaos DMG: +75000, Blood DMG: +75000</v>
      </c>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t="str">
        <f>IFERROR(__xludf.DUMMYFUNCTION("""COMPUTED_VALUE"""),"Wyrmscale Staff")</f>
        <v>Wyrmscale Staff</v>
      </c>
      <c r="B921" s="1" t="str">
        <f>IFERROR(__xludf.DUMMYFUNCTION("""COMPUTED_VALUE""")," (Staff) lvl:1, : + ++Spells have double effect when cast on dragons +-Cannot be forged or duplicated")</f>
        <v> (Staff) lvl:1, : + ++Spells have double effect when cast on dragons +-Cannot be forged or duplicated</v>
      </c>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t="str">
        <f>IFERROR(__xludf.DUMMYFUNCTION("""COMPUTED_VALUE"""),"Wyrmscale Wand")</f>
        <v>Wyrmscale Wand</v>
      </c>
      <c r="B922" s="1" t="str">
        <f>IFERROR(__xludf.DUMMYFUNCTION("""COMPUTED_VALUE""")," (Wand) lvl:1, : + ++Half the SP/HP cost of spells when in the presence of a dragon +-Cannot be forged or duplicated")</f>
        <v> (Wand) lvl:1, : + ++Half the SP/HP cost of spells when in the presence of a dragon +-Cannot be forged or duplicated</v>
      </c>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t="str">
        <f>IFERROR(__xludf.DUMMYFUNCTION("""COMPUTED_VALUE"""),"Nothing")</f>
        <v>Nothing</v>
      </c>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t="str">
        <f>IFERROR(__xludf.DUMMYFUNCTION("""COMPUTED_VALUE"""),"Slime core")</f>
        <v>Slime core</v>
      </c>
      <c r="B924" s="1" t="str">
        <f>IFERROR(__xludf.DUMMYFUNCTION("""COMPUTED_VALUE"""),"restores 5 SP; can be used to make mana potions (Item)")</f>
        <v>restores 5 SP; can be used to make mana potions (Item)</v>
      </c>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t="str">
        <f>IFERROR(__xludf.DUMMYFUNCTION("""COMPUTED_VALUE"""),"Mysterious egg")</f>
        <v>Mysterious egg</v>
      </c>
      <c r="B925" s="1" t="str">
        <f>IFERROR(__xludf.DUMMYFUNCTION("""COMPUTED_VALUE"""),"This egg will be determined by DM/GM (Item)")</f>
        <v>This egg will be determined by DM/GM (Item)</v>
      </c>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t="str">
        <f>IFERROR(__xludf.DUMMYFUNCTION("""COMPUTED_VALUE"""),"Emerald of Luck")</f>
        <v>Emerald of Luck</v>
      </c>
      <c r="B926" s="1" t="str">
        <f>IFERROR(__xludf.DUMMYFUNCTION("""COMPUTED_VALUE"""),"It’s said when holding one of these you feel like it's a happy spring day... (Item)")</f>
        <v>It’s said when holding one of these you feel like it's a happy spring day... (Item)</v>
      </c>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t="str">
        <f>IFERROR(__xludf.DUMMYFUNCTION("""COMPUTED_VALUE"""),"Gold")</f>
        <v>Gold</v>
      </c>
      <c r="B927" s="1" t="str">
        <f>IFERROR(__xludf.DUMMYFUNCTION("""COMPUTED_VALUE"""),"Crafting Material, roll a d20 to see how many you get if this is a loot drop.l. Can be used to repair an item. (Item)")</f>
        <v>Crafting Material, roll a d20 to see how many you get if this is a loot drop.l. Can be used to repair an item. (Item)</v>
      </c>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t="str">
        <f>IFERROR(__xludf.DUMMYFUNCTION("""COMPUTED_VALUE"""),"Iron")</f>
        <v>Iron</v>
      </c>
      <c r="B928"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t="str">
        <f>IFERROR(__xludf.DUMMYFUNCTION("""COMPUTED_VALUE"""),"Dragon scales")</f>
        <v>Dragon scales</v>
      </c>
      <c r="B929"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t="str">
        <f>IFERROR(__xludf.DUMMYFUNCTION("""COMPUTED_VALUE"""),"Desert Emerald")</f>
        <v>Desert Emerald</v>
      </c>
      <c r="B930"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t="str">
        <f>IFERROR(__xludf.DUMMYFUNCTION("""COMPUTED_VALUE"""),"Desert Ruby")</f>
        <v>Desert Ruby</v>
      </c>
      <c r="B931"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t="str">
        <f>IFERROR(__xludf.DUMMYFUNCTION("""COMPUTED_VALUE"""),"Diamonds")</f>
        <v>Diamonds</v>
      </c>
      <c r="B932"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t="str">
        <f>IFERROR(__xludf.DUMMYFUNCTION("""COMPUTED_VALUE"""),"Bricks")</f>
        <v>Bricks</v>
      </c>
      <c r="B933"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t="str">
        <f>IFERROR(__xludf.DUMMYFUNCTION("""COMPUTED_VALUE"""),"Obsidian")</f>
        <v>Obsidian</v>
      </c>
      <c r="B934" s="1" t="str">
        <f>IFERROR(__xludf.DUMMYFUNCTION("""COMPUTED_VALUE"""),"Crafting Material, roll a d20 to see how many you get if this is a loot drop., roll a d20 to see how many you get if this is a loot drop.. Can be used to repair an item. (Item)")</f>
        <v>Crafting Material, roll a d20 to see how many you get if this is a loot drop., roll a d20 to see how many you get if this is a loot drop.. Can be used to repair an item. (Item)</v>
      </c>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t="str">
        <f>IFERROR(__xludf.DUMMYFUNCTION("""COMPUTED_VALUE"""),"Sand")</f>
        <v>Sand</v>
      </c>
      <c r="B935" s="1" t="str">
        <f>IFERROR(__xludf.DUMMYFUNCTION("""COMPUTED_VALUE"""),"Crafting Material, roll a d20 to see how many you get if this is a loot drop., roll a d20 to see how many you get if this is a loot drop. (Item)")</f>
        <v>Crafting Material, roll a d20 to see how many you get if this is a loot drop., roll a d20 to see how many you get if this is a loot drop. (Item)</v>
      </c>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t="str">
        <f>IFERROR(__xludf.DUMMYFUNCTION("""COMPUTED_VALUE"""),"Glowing rocks")</f>
        <v>Glowing rocks</v>
      </c>
      <c r="B936" s="1" t="str">
        <f>IFERROR(__xludf.DUMMYFUNCTION("""COMPUTED_VALUE""")," Can be forged into armor or a weapon to give it +200 additional light damage or resistance (Item)")</f>
        <v> Can be forged into armor or a weapon to give it +200 additional light damage or resistance (Item)</v>
      </c>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t="str">
        <f>IFERROR(__xludf.DUMMYFUNCTION("""COMPUTED_VALUE"""),"Steel")</f>
        <v>Steel</v>
      </c>
      <c r="B937"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t="str">
        <f>IFERROR(__xludf.DUMMYFUNCTION("""COMPUTED_VALUE"""),"Silver")</f>
        <v>Silver</v>
      </c>
      <c r="B938" s="1" t="str">
        <f>IFERROR(__xludf.DUMMYFUNCTION("""COMPUTED_VALUE"""),"Crafting Material, roll a d20 to see how many you get if this is a loot drop., roll a d20 to see how many you get if this is a loot drop., roll a d20 to see how many you get if this is a loot drop.. Can be used to repair an item. (Item)")</f>
        <v>Crafting Material, roll a d20 to see how many you get if this is a loot drop., roll a d20 to see how many you get if this is a loot drop., roll a d20 to see how many you get if this is a loot drop.. Can be used to repair an item. (Item)</v>
      </c>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t="str">
        <f>IFERROR(__xludf.DUMMYFUNCTION("""COMPUTED_VALUE"""),"Chains")</f>
        <v>Chains</v>
      </c>
      <c r="B939" s="1" t="str">
        <f>IFERROR(__xludf.DUMMYFUNCTION("""COMPUTED_VALUE"""),"Crafting Material, roll a d20 to see how many you get if this is a loot drop., roll a d20 to see how many you get if this is a loot drop. (Item)")</f>
        <v>Crafting Material, roll a d20 to see how many you get if this is a loot drop., roll a d20 to see how many you get if this is a loot drop. (Item)</v>
      </c>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t="str">
        <f>IFERROR(__xludf.DUMMYFUNCTION("""COMPUTED_VALUE"""),"Steel Pickaxe ")</f>
        <v>Steel Pickaxe </v>
      </c>
      <c r="B940" s="1" t="str">
        <f>IFERROR(__xludf.DUMMYFUNCTION("""COMPUTED_VALUE"""),"40/40 Uses. Used for mining. (Item)")</f>
        <v>40/40 Uses. Used for mining. (Item)</v>
      </c>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t="str">
        <f>IFERROR(__xludf.DUMMYFUNCTION("""COMPUTED_VALUE"""),"Haggis Bowl")</f>
        <v>Haggis Bowl</v>
      </c>
      <c r="B941" s="1" t="str">
        <f>IFERROR(__xludf.DUMMYFUNCTION("""COMPUTED_VALUE"""),"Restores 75 Hunger +50 energy (Crop)")</f>
        <v>Restores 75 Hunger +50 energy (Crop)</v>
      </c>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t="str">
        <f>IFERROR(__xludf.DUMMYFUNCTION("""COMPUTED_VALUE"""),"Chunk of Salmon")</f>
        <v>Chunk of Salmon</v>
      </c>
      <c r="B942" s="1" t="str">
        <f>IFERROR(__xludf.DUMMYFUNCTION("""COMPUTED_VALUE"""),"Restores 10 Hunger +5 energy (Crop)")</f>
        <v>Restores 10 Hunger +5 energy (Crop)</v>
      </c>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t="str">
        <f>IFERROR(__xludf.DUMMYFUNCTION("""COMPUTED_VALUE"""),"Dragon Jerky")</f>
        <v>Dragon Jerky</v>
      </c>
      <c r="B943" s="1" t="str">
        <f>IFERROR(__xludf.DUMMYFUNCTION("""COMPUTED_VALUE"""),"Restores 100 Hunger + 100 energy (Crop)")</f>
        <v>Restores 100 Hunger + 100 energy (Crop)</v>
      </c>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t="str">
        <f>IFERROR(__xludf.DUMMYFUNCTION("""COMPUTED_VALUE"""),"Bacon Strip")</f>
        <v>Bacon Strip</v>
      </c>
      <c r="B944" s="1" t="str">
        <f>IFERROR(__xludf.DUMMYFUNCTION("""COMPUTED_VALUE"""),"Restores 5 Hunger +4 energy (Crop)")</f>
        <v>Restores 5 Hunger +4 energy (Crop)</v>
      </c>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t="str">
        <f>IFERROR(__xludf.DUMMYFUNCTION("""COMPUTED_VALUE"""),"Smoked Salmon")</f>
        <v>Smoked Salmon</v>
      </c>
      <c r="B945" s="1" t="str">
        <f>IFERROR(__xludf.DUMMYFUNCTION("""COMPUTED_VALUE"""),"Restores 20 Hunger +10 energy (Crop)")</f>
        <v>Restores 20 Hunger +10 energy (Crop)</v>
      </c>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t="str">
        <f>IFERROR(__xludf.DUMMYFUNCTION("""COMPUTED_VALUE"""),"Smoked Lamb")</f>
        <v>Smoked Lamb</v>
      </c>
      <c r="B946" s="1" t="str">
        <f>IFERROR(__xludf.DUMMYFUNCTION("""COMPUTED_VALUE"""),"Restores 25 Hunger (Crop)")</f>
        <v>Restores 25 Hunger (Crop)</v>
      </c>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t="str">
        <f>IFERROR(__xludf.DUMMYFUNCTION("""COMPUTED_VALUE"""),"Volcanic Venison")</f>
        <v>Volcanic Venison</v>
      </c>
      <c r="B947" s="1" t="str">
        <f>IFERROR(__xludf.DUMMYFUNCTION("""COMPUTED_VALUE"""),"Restores 50 Hunger (Crop)")</f>
        <v>Restores 50 Hunger (Crop)</v>
      </c>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t="str">
        <f>IFERROR(__xludf.DUMMYFUNCTION("""COMPUTED_VALUE"""),"Pulled Pork")</f>
        <v>Pulled Pork</v>
      </c>
      <c r="B948" s="1" t="str">
        <f>IFERROR(__xludf.DUMMYFUNCTION("""COMPUTED_VALUE"""),"Restores 40 Hunger (Crop)")</f>
        <v>Restores 40 Hunger (Crop)</v>
      </c>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t="str">
        <f>IFERROR(__xludf.DUMMYFUNCTION("""COMPUTED_VALUE"""),"Honeyed Nordic Mead")</f>
        <v>Honeyed Nordic Mead</v>
      </c>
      <c r="B949" s="1" t="str">
        <f>IFERROR(__xludf.DUMMYFUNCTION("""COMPUTED_VALUE"""),"Restores 100 Thirst +100 energy (Item)")</f>
        <v>Restores 100 Thirst +100 energy (Item)</v>
      </c>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t="str">
        <f>IFERROR(__xludf.DUMMYFUNCTION("""COMPUTED_VALUE"""),"Wine")</f>
        <v>Wine</v>
      </c>
      <c r="B950" s="1" t="str">
        <f>IFERROR(__xludf.DUMMYFUNCTION("""COMPUTED_VALUE"""),"Restores 25 Thirst +15 energy (Item)")</f>
        <v>Restores 25 Thirst +15 energy (Item)</v>
      </c>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t="str">
        <f>IFERROR(__xludf.DUMMYFUNCTION("""COMPUTED_VALUE"""),"Melomel (Mead w/ fruit added)")</f>
        <v>Melomel (Mead w/ fruit added)</v>
      </c>
      <c r="B951" s="1" t="str">
        <f>IFERROR(__xludf.DUMMYFUNCTION("""COMPUTED_VALUE"""),"Restores 50 Thirst and hunger +25 energy (Crop)")</f>
        <v>Restores 50 Thirst and hunger +25 energy (Crop)</v>
      </c>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t="str">
        <f>IFERROR(__xludf.DUMMYFUNCTION("""COMPUTED_VALUE"""),"Docile Desert Djinn Gin")</f>
        <v>Docile Desert Djinn Gin</v>
      </c>
      <c r="B952" s="1"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 (Item)")</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 (Item)</v>
      </c>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t="str">
        <f>IFERROR(__xludf.DUMMYFUNCTION("""COMPUTED_VALUE"""),"Small Battery")</f>
        <v>Small Battery</v>
      </c>
      <c r="B953" s="1" t="str">
        <f>IFERROR(__xludf.DUMMYFUNCTION("""COMPUTED_VALUE"""),"Restores 100 energy. (Item)")</f>
        <v>Restores 100 energy. (Item)</v>
      </c>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t="str">
        <f>IFERROR(__xludf.DUMMYFUNCTION("""COMPUTED_VALUE"""),"Medium Battery")</f>
        <v>Medium Battery</v>
      </c>
      <c r="B954" s="1" t="str">
        <f>IFERROR(__xludf.DUMMYFUNCTION("""COMPUTED_VALUE"""),"Restores 250 energy. (Item)")</f>
        <v>Restores 250 energy. (Item)</v>
      </c>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t="str">
        <f>IFERROR(__xludf.DUMMYFUNCTION("""COMPUTED_VALUE"""),"Large Battery")</f>
        <v>Large Battery</v>
      </c>
      <c r="B955" s="1" t="str">
        <f>IFERROR(__xludf.DUMMYFUNCTION("""COMPUTED_VALUE"""),"Restores 500 energy. (Item)")</f>
        <v>Restores 500 energy. (Item)</v>
      </c>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t="str">
        <f>IFERROR(__xludf.DUMMYFUNCTION("""COMPUTED_VALUE"""),"Wind Queen's Soul")</f>
        <v>Wind Queen's Soul</v>
      </c>
      <c r="B956" s="1" t="str">
        <f>IFERROR(__xludf.DUMMYFUNCTION("""COMPUTED_VALUE"""),"(Quest Item) It pulses with a dark energy (Item)")</f>
        <v>(Quest Item) It pulses with a dark energy (Item)</v>
      </c>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t="str">
        <f>IFERROR(__xludf.DUMMYFUNCTION("""COMPUTED_VALUE"""),"Wave Queen's Soul")</f>
        <v>Wave Queen's Soul</v>
      </c>
      <c r="B957" s="1" t="str">
        <f>IFERROR(__xludf.DUMMYFUNCTION("""COMPUTED_VALUE"""),"(Quest Item) It pulses with a dark energy (Item)")</f>
        <v>(Quest Item) It pulses with a dark energy (Item)</v>
      </c>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t="str">
        <f>IFERROR(__xludf.DUMMYFUNCTION("""COMPUTED_VALUE"""),"Storm King's Soul")</f>
        <v>Storm King's Soul</v>
      </c>
      <c r="B958" s="1" t="str">
        <f>IFERROR(__xludf.DUMMYFUNCTION("""COMPUTED_VALUE"""),"(Quest Item) It pulses with a dark energy (Item)")</f>
        <v>(Quest Item) It pulses with a dark energy (Item)</v>
      </c>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t="str">
        <f>IFERROR(__xludf.DUMMYFUNCTION("""COMPUTED_VALUE"""),"Stone King's Soul")</f>
        <v>Stone King's Soul</v>
      </c>
      <c r="B959" s="1" t="str">
        <f>IFERROR(__xludf.DUMMYFUNCTION("""COMPUTED_VALUE"""),"(Quest Item) It pulses with a dark energy (Item)")</f>
        <v>(Quest Item) It pulses with a dark energy (Item)</v>
      </c>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t="str">
        <f>IFERROR(__xludf.DUMMYFUNCTION("""COMPUTED_VALUE"""),"Inferno King Soul")</f>
        <v>Inferno King Soul</v>
      </c>
      <c r="B960" s="1" t="str">
        <f>IFERROR(__xludf.DUMMYFUNCTION("""COMPUTED_VALUE"""),"(Quest Item) It pulses with a dark energy (Item)")</f>
        <v>(Quest Item) It pulses with a dark energy (Item)</v>
      </c>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t="str">
        <f>IFERROR(__xludf.DUMMYFUNCTION("""COMPUTED_VALUE"""),"Docile Desert Djinn’s Gin")</f>
        <v>Docile Desert Djinn’s Gin</v>
      </c>
      <c r="B961" s="1" t="str">
        <f>IFERROR(__xludf.DUMMYFUNCTION("""COMPUTED_VALUE""")," (Item)")</f>
        <v> (Item)</v>
      </c>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t="str">
        <f>IFERROR(__xludf.DUMMYFUNCTION("""COMPUTED_VALUE"""),"Minor Health Potion")</f>
        <v>Minor Health Potion</v>
      </c>
      <c r="B962" s="1" t="str">
        <f>IFERROR(__xludf.DUMMYFUNCTION("""COMPUTED_VALUE"""),"Restores 20HP (Item)")</f>
        <v>Restores 20HP (Item)</v>
      </c>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t="str">
        <f>IFERROR(__xludf.DUMMYFUNCTION("""COMPUTED_VALUE"""),"Medium Health Potion")</f>
        <v>Medium Health Potion</v>
      </c>
      <c r="B963" s="1" t="str">
        <f>IFERROR(__xludf.DUMMYFUNCTION("""COMPUTED_VALUE"""),"Restores 50HP (Item)")</f>
        <v>Restores 50HP (Item)</v>
      </c>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t="str">
        <f>IFERROR(__xludf.DUMMYFUNCTION("""COMPUTED_VALUE"""),"Max Health Potion")</f>
        <v>Max Health Potion</v>
      </c>
      <c r="B964" s="1" t="str">
        <f>IFERROR(__xludf.DUMMYFUNCTION("""COMPUTED_VALUE"""),"Restores 100HP (Item)")</f>
        <v>Restores 100HP (Item)</v>
      </c>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t="str">
        <f>IFERROR(__xludf.DUMMYFUNCTION("""COMPUTED_VALUE"""),"Minor Mana Potion")</f>
        <v>Minor Mana Potion</v>
      </c>
      <c r="B965" s="1" t="str">
        <f>IFERROR(__xludf.DUMMYFUNCTION("""COMPUTED_VALUE"""),"Restores 20SP (Item)")</f>
        <v>Restores 20SP (Item)</v>
      </c>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t="str">
        <f>IFERROR(__xludf.DUMMYFUNCTION("""COMPUTED_VALUE"""),"Medium Mana Potion")</f>
        <v>Medium Mana Potion</v>
      </c>
      <c r="B966" s="1" t="str">
        <f>IFERROR(__xludf.DUMMYFUNCTION("""COMPUTED_VALUE"""),"Restores 50SP (Item)")</f>
        <v>Restores 50SP (Item)</v>
      </c>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t="str">
        <f>IFERROR(__xludf.DUMMYFUNCTION("""COMPUTED_VALUE"""),"Max Mana Potion")</f>
        <v>Max Mana Potion</v>
      </c>
      <c r="B967" s="1" t="str">
        <f>IFERROR(__xludf.DUMMYFUNCTION("""COMPUTED_VALUE"""),"Restores 100SP (Item)")</f>
        <v>Restores 100SP (Item)</v>
      </c>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t="str">
        <f>IFERROR(__xludf.DUMMYFUNCTION("""COMPUTED_VALUE"""),"Potion of Multishot")</f>
        <v>Potion of Multishot</v>
      </c>
      <c r="B968" s="1" t="str">
        <f>IFERROR(__xludf.DUMMYFUNCTION("""COMPUTED_VALUE"""),"Allows multishot use without consuming mana (Item)")</f>
        <v>Allows multishot use without consuming mana (Item)</v>
      </c>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t="str">
        <f>IFERROR(__xludf.DUMMYFUNCTION("""COMPUTED_VALUE"""),"Potion of Eel Nado")</f>
        <v>Potion of Eel Nado</v>
      </c>
      <c r="B969" s="1" t="str">
        <f>IFERROR(__xludf.DUMMYFUNCTION("""COMPUTED_VALUE"""),"Allows use of Eel Nado without consuming mana (Item)")</f>
        <v>Allows use of Eel Nado without consuming mana (Item)</v>
      </c>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t="str">
        <f>IFERROR(__xludf.DUMMYFUNCTION("""COMPUTED_VALUE"""),"Potion of Minor Health")</f>
        <v>Potion of Minor Health</v>
      </c>
      <c r="B970" s="1" t="str">
        <f>IFERROR(__xludf.DUMMYFUNCTION("""COMPUTED_VALUE"""),"Restores 10 Health (Item)")</f>
        <v>Restores 10 Health (Item)</v>
      </c>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t="str">
        <f>IFERROR(__xludf.DUMMYFUNCTION("""COMPUTED_VALUE"""),"Potion of Health")</f>
        <v>Potion of Health</v>
      </c>
      <c r="B971" s="1" t="str">
        <f>IFERROR(__xludf.DUMMYFUNCTION("""COMPUTED_VALUE"""),"Restores 50 Health (Item)")</f>
        <v>Restores 50 Health (Item)</v>
      </c>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t="str">
        <f>IFERROR(__xludf.DUMMYFUNCTION("""COMPUTED_VALUE"""),"Potion of Major Health")</f>
        <v>Potion of Major Health</v>
      </c>
      <c r="B972" s="1" t="str">
        <f>IFERROR(__xludf.DUMMYFUNCTION("""COMPUTED_VALUE"""),"Restores 100 Health (Item)")</f>
        <v>Restores 100 Health (Item)</v>
      </c>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t="str">
        <f>IFERROR(__xludf.DUMMYFUNCTION("""COMPUTED_VALUE"""),"Potion of Minor Mana")</f>
        <v>Potion of Minor Mana</v>
      </c>
      <c r="B973" s="1" t="str">
        <f>IFERROR(__xludf.DUMMYFUNCTION("""COMPUTED_VALUE"""),"Restores 10 SP (Item)")</f>
        <v>Restores 10 SP (Item)</v>
      </c>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t="str">
        <f>IFERROR(__xludf.DUMMYFUNCTION("""COMPUTED_VALUE"""),"Potion of Mana")</f>
        <v>Potion of Mana</v>
      </c>
      <c r="B974" s="1" t="str">
        <f>IFERROR(__xludf.DUMMYFUNCTION("""COMPUTED_VALUE"""),"Restores 50 SP (Item)")</f>
        <v>Restores 50 SP (Item)</v>
      </c>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t="str">
        <f>IFERROR(__xludf.DUMMYFUNCTION("""COMPUTED_VALUE"""),"Potion of Extreme Mana")</f>
        <v>Potion of Extreme Mana</v>
      </c>
      <c r="B975" s="1" t="str">
        <f>IFERROR(__xludf.DUMMYFUNCTION("""COMPUTED_VALUE"""),"Restores 100 SP (Item)")</f>
        <v>Restores 100 SP (Item)</v>
      </c>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t="str">
        <f>IFERROR(__xludf.DUMMYFUNCTION("""COMPUTED_VALUE"""),"Potion of Invigoration")</f>
        <v>Potion of Invigoration</v>
      </c>
      <c r="B976" s="1" t="str">
        <f>IFERROR(__xludf.DUMMYFUNCTION("""COMPUTED_VALUE"""),"Restores 50 SP each turn for 3 rounds (Item)")</f>
        <v>Restores 50 SP each turn for 3 rounds (Item)</v>
      </c>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t="str">
        <f>IFERROR(__xludf.DUMMYFUNCTION("""COMPUTED_VALUE"""),"Potion of Invulnerability")</f>
        <v>Potion of Invulnerability</v>
      </c>
      <c r="B977" s="1" t="str">
        <f>IFERROR(__xludf.DUMMYFUNCTION("""COMPUTED_VALUE"""),"Immune to damage for 3 rounds (Item)")</f>
        <v>Immune to damage for 3 rounds (Item)</v>
      </c>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t="str">
        <f>IFERROR(__xludf.DUMMYFUNCTION("""COMPUTED_VALUE"""),"Potion of Stun Resist")</f>
        <v>Potion of Stun Resist</v>
      </c>
      <c r="B978" s="1" t="str">
        <f>IFERROR(__xludf.DUMMYFUNCTION("""COMPUTED_VALUE"""),"Immune to Stun for 3 rounds (Item)")</f>
        <v>Immune to Stun for 3 rounds (Item)</v>
      </c>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t="str">
        <f>IFERROR(__xludf.DUMMYFUNCTION("""COMPUTED_VALUE"""),"Potion Of Sobriety")</f>
        <v>Potion Of Sobriety</v>
      </c>
      <c r="B979" s="1" t="str">
        <f>IFERROR(__xludf.DUMMYFUNCTION("""COMPUTED_VALUE"""),"Removes Disoriented Status, 50% failure, if you fail, you become even more disoriented (2x). If you fail/become too drunk, your character will black out and contract alcohol poisoning (25% of death, not-permanent) (Item)")</f>
        <v>Removes Disoriented Status, 50% failure, if you fail, you become even more disoriented (2x). If you fail/become too drunk, your character will black out and contract alcohol poisoning (25% of death, not-permanent) (Item)</v>
      </c>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t="str">
        <f>IFERROR(__xludf.DUMMYFUNCTION("""COMPUTED_VALUE"""),"Legendary Tome")</f>
        <v>Legendary Tome</v>
      </c>
      <c r="B980" s="1" t="str">
        <f>IFERROR(__xludf.DUMMYFUNCTION("""COMPUTED_VALUE"""),"(Quest item) (Item)")</f>
        <v>(Quest item) (Item)</v>
      </c>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t="str">
        <f>IFERROR(__xludf.DUMMYFUNCTION("""COMPUTED_VALUE"""),"Murky Emerald")</f>
        <v>Murky Emerald</v>
      </c>
      <c r="B981" s="1" t="str">
        <f>IFERROR(__xludf.DUMMYFUNCTION("""COMPUTED_VALUE"""),"Crafting Material, roll a d20 to see how many you get if this is a loot drop. (Item)")</f>
        <v>Crafting Material, roll a d20 to see how many you get if this is a loot drop. (Item)</v>
      </c>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t="str">
        <f>IFERROR(__xludf.DUMMYFUNCTION("""COMPUTED_VALUE"""),"Foul Night Swamp water vile")</f>
        <v>Foul Night Swamp water vile</v>
      </c>
      <c r="B982" s="1" t="str">
        <f>IFERROR(__xludf.DUMMYFUNCTION("""COMPUTED_VALUE"""),"Immunity to Nature for 3 rounds. (Item)")</f>
        <v>Immunity to Nature for 3 rounds. (Item)</v>
      </c>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t="str">
        <f>IFERROR(__xludf.DUMMYFUNCTION("""COMPUTED_VALUE"""),"Foul Night Foul Smelling potion")</f>
        <v>Foul Night Foul Smelling potion</v>
      </c>
      <c r="B983" s="1" t="str">
        <f>IFERROR(__xludf.DUMMYFUNCTION("""COMPUTED_VALUE"""),"2500 damage and 2500 nature damage and 500 poison damage for 3 rounds (Item)")</f>
        <v>2500 damage and 2500 nature damage and 500 poison damage for 3 rounds (Item)</v>
      </c>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t="str">
        <f>IFERROR(__xludf.DUMMYFUNCTION("""COMPUTED_VALUE"""),"Swampy Seaweed")</f>
        <v>Swampy Seaweed</v>
      </c>
      <c r="B984" s="1" t="str">
        <f>IFERROR(__xludf.DUMMYFUNCTION("""COMPUTED_VALUE""")," Restores 5000 HP and SP. (Item)")</f>
        <v> Restores 5000 HP and SP. (Item)</v>
      </c>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t="str">
        <f>IFERROR(__xludf.DUMMYFUNCTION("""COMPUTED_VALUE"""),"Foul Night Swamp Bubble Grenade")</f>
        <v>Foul Night Swamp Bubble Grenade</v>
      </c>
      <c r="B985" s="1" t="str">
        <f>IFERROR(__xludf.DUMMYFUNCTION("""COMPUTED_VALUE"""),"Poison 10,000 for 3 rounds. (Item)")</f>
        <v>Poison 10,000 for 3 rounds. (Item)</v>
      </c>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t="str">
        <f>IFERROR(__xludf.DUMMYFUNCTION("""COMPUTED_VALUE"""),"Block of Ice")</f>
        <v>Block of Ice</v>
      </c>
      <c r="B986" s="1" t="str">
        <f>IFERROR(__xludf.DUMMYFUNCTION("""COMPUTED_VALUE"""),"Crafting Material, roll a d20 to see how many you get if this is a loot drop. (Item)")</f>
        <v>Crafting Material, roll a d20 to see how many you get if this is a loot drop. (Item)</v>
      </c>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t="str">
        <f>IFERROR(__xludf.DUMMYFUNCTION("""COMPUTED_VALUE"""),"Frost Kings Map")</f>
        <v>Frost Kings Map</v>
      </c>
      <c r="B987" s="1" t="str">
        <f>IFERROR(__xludf.DUMMYFUNCTION("""COMPUTED_VALUE"""),"Special quest item. Speak to the frost king for more info. (Item)")</f>
        <v>Special quest item. Speak to the frost king for more info. (Item)</v>
      </c>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t="str">
        <f>IFERROR(__xludf.DUMMYFUNCTION("""COMPUTED_VALUE"""),"Bacon")</f>
        <v>Bacon</v>
      </c>
      <c r="B988" s="1" t="str">
        <f>IFERROR(__xludf.DUMMYFUNCTION("""COMPUTED_VALUE"""),"Restores 5 health and 5 hunger (Crop)")</f>
        <v>Restores 5 health and 5 hunger (Crop)</v>
      </c>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t="str">
        <f>IFERROR(__xludf.DUMMYFUNCTION("""COMPUTED_VALUE"""),"Bread")</f>
        <v>Bread</v>
      </c>
      <c r="B989" s="1" t="str">
        <f>IFERROR(__xludf.DUMMYFUNCTION("""COMPUTED_VALUE"""),"10 Hunger (Crop)")</f>
        <v>10 Hunger (Crop)</v>
      </c>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t="str">
        <f>IFERROR(__xludf.DUMMYFUNCTION("""COMPUTED_VALUE"""),"Unknown dried meat")</f>
        <v>Unknown dried meat</v>
      </c>
      <c r="B990" s="1" t="str">
        <f>IFERROR(__xludf.DUMMYFUNCTION("""COMPUTED_VALUE"""),"15 Hunger, 5% chance to lose 10 HP (Crop)")</f>
        <v>15 Hunger, 5% chance to lose 10 HP (Crop)</v>
      </c>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t="str">
        <f>IFERROR(__xludf.DUMMYFUNCTION("""COMPUTED_VALUE"""),"Water")</f>
        <v>Water</v>
      </c>
      <c r="B991" s="1" t="str">
        <f>IFERROR(__xludf.DUMMYFUNCTION("""COMPUTED_VALUE"""),"10 Thirst (Item)")</f>
        <v>10 Thirst (Item)</v>
      </c>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t="str">
        <f>IFERROR(__xludf.DUMMYFUNCTION("""COMPUTED_VALUE"""),"Rum")</f>
        <v>Rum</v>
      </c>
      <c r="B992" s="1" t="str">
        <f>IFERROR(__xludf.DUMMYFUNCTION("""COMPUTED_VALUE"""),"50 Thirst, -1 SP (Item)")</f>
        <v>50 Thirst, -1 SP (Item)</v>
      </c>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t="str">
        <f>IFERROR(__xludf.DUMMYFUNCTION("""COMPUTED_VALUE"""),"Spirits")</f>
        <v>Spirits</v>
      </c>
      <c r="B993" s="1" t="str">
        <f>IFERROR(__xludf.DUMMYFUNCTION("""COMPUTED_VALUE"""),"20 Thirst, +2 SP (Item)")</f>
        <v>20 Thirst, +2 SP (Item)</v>
      </c>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t="str">
        <f>IFERROR(__xludf.DUMMYFUNCTION("""COMPUTED_VALUE"""),"Yeast")</f>
        <v>Yeast</v>
      </c>
      <c r="B994" s="1" t="str">
        <f>IFERROR(__xludf.DUMMYFUNCTION("""COMPUTED_VALUE"""),"Crafting Material, roll a d20 to see how many you get if this is a loot drop. (Item)")</f>
        <v>Crafting Material, roll a d20 to see how many you get if this is a loot drop. (Item)</v>
      </c>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t="str">
        <f>IFERROR(__xludf.DUMMYFUNCTION("""COMPUTED_VALUE"""),"Mead")</f>
        <v>Mead</v>
      </c>
      <c r="B995" s="1" t="str">
        <f>IFERROR(__xludf.DUMMYFUNCTION("""COMPUTED_VALUE"""),"25 Thirst (Item)")</f>
        <v>25 Thirst (Item)</v>
      </c>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t="str">
        <f>IFERROR(__xludf.DUMMYFUNCTION("""COMPUTED_VALUE"""),"Water Tome Rank 9")</f>
        <v>Water Tome Rank 9</v>
      </c>
      <c r="B996" s="1" t="str">
        <f>IFERROR(__xludf.DUMMYFUNCTION("""COMPUTED_VALUE"""),"Can use up to Rank 9 Water Spells (Item)")</f>
        <v>Can use up to Rank 9 Water Spells (Item)</v>
      </c>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t="str">
        <f>IFERROR(__xludf.DUMMYFUNCTION("""COMPUTED_VALUE"""),"Dragon Flute")</f>
        <v>Dragon Flute</v>
      </c>
      <c r="B997" s="1" t="str">
        <f>IFERROR(__xludf.DUMMYFUNCTION("""COMPUTED_VALUE"""),"Summons 1 of the following dragons with a d4 roll: Fire Dragon, Poison Dragon, Storm Dragon, Ancient Water Dragon (Can only be used once) (Level determined by dm/gm) (Item)")</f>
        <v>Summons 1 of the following dragons with a d4 roll: Fire Dragon, Poison Dragon, Storm Dragon, Ancient Water Dragon (Can only be used once) (Level determined by dm/gm) (Item)</v>
      </c>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t="str">
        <f>IFERROR(__xludf.DUMMYFUNCTION("""COMPUTED_VALUE"""),"Last Resort Potion")</f>
        <v>Last Resort Potion</v>
      </c>
      <c r="B998" s="1" t="str">
        <f>IFERROR(__xludf.DUMMYFUNCTION("""COMPUTED_VALUE"""),"You can only use this when you have no sp left. When consumed, Gain all of your sp and hp back and deal X4 towards your next attack, but you will instantly die after 3 rounds. (Item)")</f>
        <v>You can only use this when you have no sp left. When consumed, Gain all of your sp and hp back and deal X4 towards your next attack, but you will instantly die after 3 rounds. (Item)</v>
      </c>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t="str">
        <f>IFERROR(__xludf.DUMMYFUNCTION("""COMPUTED_VALUE"""),"Fish in a Bottle")</f>
        <v>Fish in a Bottle</v>
      </c>
      <c r="B999" s="1" t="str">
        <f>IFERROR(__xludf.DUMMYFUNCTION("""COMPUTED_VALUE"""),"Consume to regain 50HP and 50SP (Item)")</f>
        <v>Consume to regain 50HP and 50SP (Item)</v>
      </c>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t="str">
        <f>IFERROR(__xludf.DUMMYFUNCTION("""COMPUTED_VALUE"""),"Barrel of Poisonous Water")</f>
        <v>Barrel of Poisonous Water</v>
      </c>
      <c r="B1000" s="1" t="str">
        <f>IFERROR(__xludf.DUMMYFUNCTION("""COMPUTED_VALUE"""),"POISON THE QUEEN! (Item)")</f>
        <v>POISON THE QUEEN! (Item)</v>
      </c>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c r="A1001" s="1" t="str">
        <f>IFERROR(__xludf.DUMMYFUNCTION("""COMPUTED_VALUE"""),"Live Worm")</f>
        <v>Live Worm</v>
      </c>
      <c r="B1001" s="1" t="str">
        <f>IFERROR(__xludf.DUMMYFUNCTION("""COMPUTED_VALUE"""),"Can be used as bait. 1 use per worm (Item)")</f>
        <v>Can be used as bait. 1 use per worm (Item)</v>
      </c>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c r="A1002" s="1" t="str">
        <f>IFERROR(__xludf.DUMMYFUNCTION("""COMPUTED_VALUE"""),"Iron Fishing Pole")</f>
        <v>Iron Fishing Pole</v>
      </c>
      <c r="B1002" s="1" t="str">
        <f>IFERROR(__xludf.DUMMYFUNCTION("""COMPUTED_VALUE"""),"20/20 Uses. Used for fishing. (Item)")</f>
        <v>20/20 Uses. Used for fishing. (Item)</v>
      </c>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c r="A1003" s="1" t="str">
        <f>IFERROR(__xludf.DUMMYFUNCTION("""COMPUTED_VALUE"""),"Fishing Lure Beginner")</f>
        <v>Fishing Lure Beginner</v>
      </c>
      <c r="B1003" s="1" t="str">
        <f>IFERROR(__xludf.DUMMYFUNCTION("""COMPUTED_VALUE"""),"Used for fishing competition, add a +1 or -1 to your fishing rolls (Item)")</f>
        <v>Used for fishing competition, add a +1 or -1 to your fishing rolls (Item)</v>
      </c>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c r="A1004" s="1" t="str">
        <f>IFERROR(__xludf.DUMMYFUNCTION("""COMPUTED_VALUE"""),"Fishing Lure Moderate")</f>
        <v>Fishing Lure Moderate</v>
      </c>
      <c r="B1004" s="1" t="str">
        <f>IFERROR(__xludf.DUMMYFUNCTION("""COMPUTED_VALUE"""),"Used for fishing competition, add a +3 or -3 to your fishing rolls (Item)")</f>
        <v>Used for fishing competition, add a +3 or -3 to your fishing rolls (Item)</v>
      </c>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c r="A1005" s="1" t="str">
        <f>IFERROR(__xludf.DUMMYFUNCTION("""COMPUTED_VALUE"""),"Fishing Lure Expert")</f>
        <v>Fishing Lure Expert</v>
      </c>
      <c r="B1005" s="1" t="str">
        <f>IFERROR(__xludf.DUMMYFUNCTION("""COMPUTED_VALUE"""),"Used for fishing competition, add a +5 or -5 to your fishing rolls (Item)")</f>
        <v>Used for fishing competition, add a +5 or -5 to your fishing rolls (Item)</v>
      </c>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c r="A1006" s="1" t="str">
        <f>IFERROR(__xludf.DUMMYFUNCTION("""COMPUTED_VALUE"""),"Fossilized Water Dragon Bones")</f>
        <v>Fossilized Water Dragon Bones</v>
      </c>
      <c r="B1006" s="1" t="str">
        <f>IFERROR(__xludf.DUMMYFUNCTION("""COMPUTED_VALUE"""),"Crafting Material, roll a d20 to see how many you get if this is a loot drop. (Item)")</f>
        <v>Crafting Material, roll a d20 to see how many you get if this is a loot drop. (Item)</v>
      </c>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c r="A1007" s="1" t="str">
        <f>IFERROR(__xludf.DUMMYFUNCTION("""COMPUTED_VALUE"""),"Return Home Gem")</f>
        <v>Return Home Gem</v>
      </c>
      <c r="B1007" s="1" t="str">
        <f>IFERROR(__xludf.DUMMYFUNCTION("""COMPUTED_VALUE"""),"Only one per player in backpack. Instantly teleports you to the last town you were at without fail. (Item)")</f>
        <v>Only one per player in backpack. Instantly teleports you to the last town you were at without fail. (Item)</v>
      </c>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row r="1008">
      <c r="A1008" s="1" t="str">
        <f>IFERROR(__xludf.DUMMYFUNCTION("""COMPUTED_VALUE"""),"Immunity to water potion temp")</f>
        <v>Immunity to water potion temp</v>
      </c>
      <c r="B1008" s="1" t="str">
        <f>IFERROR(__xludf.DUMMYFUNCTION("""COMPUTED_VALUE"""),"Immune to water based attacks for one battle (does not count as a turn) (Item)")</f>
        <v>Immune to water based attacks for one battle (does not count as a turn) (Item)</v>
      </c>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row>
    <row r="1009">
      <c r="A1009" s="1" t="str">
        <f>IFERROR(__xludf.DUMMYFUNCTION("""COMPUTED_VALUE"""),"Legendary Sea Monster Meat")</f>
        <v>Legendary Sea Monster Meat</v>
      </c>
      <c r="B1009" s="1" t="str">
        <f>IFERROR(__xludf.DUMMYFUNCTION("""COMPUTED_VALUE"""),"Increase Health and Defense by 100 for next three battles (Can not be used in battle must be used between battles) (Item)")</f>
        <v>Increase Health and Defense by 100 for next three battles (Can not be used in battle must be used between battles) (Item)</v>
      </c>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row>
    <row r="1010">
      <c r="A1010" s="1" t="str">
        <f>IFERROR(__xludf.DUMMYFUNCTION("""COMPUTED_VALUE"""),"Scroll of The Sea Monster")</f>
        <v>Scroll of The Sea Monster</v>
      </c>
      <c r="B1010" s="1" t="str">
        <f>IFERROR(__xludf.DUMMYFUNCTION("""COMPUTED_VALUE"""),"X2 to water damage for the caster until end of battle, water spells also become unblockable for 3 rounds. (Item)")</f>
        <v>X2 to water damage for the caster until end of battle, water spells also become unblockable for 3 rounds. (Item)</v>
      </c>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row>
    <row r="1011">
      <c r="A1011" s="1" t="str">
        <f>IFERROR(__xludf.DUMMYFUNCTION("""COMPUTED_VALUE"""),"Paper scraps")</f>
        <v>Paper scraps</v>
      </c>
      <c r="B1011" s="1" t="str">
        <f>IFERROR(__xludf.DUMMYFUNCTION("""COMPUTED_VALUE"""),"Crafting Material, roll a d20 to see how many you get if this is a loot drop. (Item)")</f>
        <v>Crafting Material, roll a d20 to see how many you get if this is a loot drop. (Item)</v>
      </c>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row>
    <row r="1012">
      <c r="A1012" s="1" t="str">
        <f>IFERROR(__xludf.DUMMYFUNCTION("""COMPUTED_VALUE"""),"Blank piece of paper")</f>
        <v>Blank piece of paper</v>
      </c>
      <c r="B1012" s="1" t="str">
        <f>IFERROR(__xludf.DUMMYFUNCTION("""COMPUTED_VALUE"""),"Crafting Material, roll a d20 to see how many you get if this is a loot drop. (Item)")</f>
        <v>Crafting Material, roll a d20 to see how many you get if this is a loot drop. (Item)</v>
      </c>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row>
    <row r="1013">
      <c r="A1013" s="1" t="str">
        <f>IFERROR(__xludf.DUMMYFUNCTION("""COMPUTED_VALUE"""),"Broken pistol")</f>
        <v>Broken pistol</v>
      </c>
      <c r="B1013" s="1" t="str">
        <f>IFERROR(__xludf.DUMMYFUNCTION("""COMPUTED_VALUE"""),"Crafting Material, roll a d20 to see how many you get if this is a loot drop. (Item)")</f>
        <v>Crafting Material, roll a d20 to see how many you get if this is a loot drop. (Item)</v>
      </c>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row>
    <row r="1014">
      <c r="A1014" s="1" t="str">
        <f>IFERROR(__xludf.DUMMYFUNCTION("""COMPUTED_VALUE"""),"Cannon Ball")</f>
        <v>Cannon Ball</v>
      </c>
      <c r="B1014" s="1" t="str">
        <f>IFERROR(__xludf.DUMMYFUNCTION("""COMPUTED_VALUE"""),"Cannon Ammunition, +1000 damage. roll a d20 to see how many you get if this is a loot drop. (Item)")</f>
        <v>Cannon Ammunition, +1000 damage. roll a d20 to see how many you get if this is a loot drop. (Item)</v>
      </c>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row>
    <row r="1015">
      <c r="A1015" s="1" t="str">
        <f>IFERROR(__xludf.DUMMYFUNCTION("""COMPUTED_VALUE"""),"Blank Book")</f>
        <v>Blank Book</v>
      </c>
      <c r="B1015" s="1" t="str">
        <f>IFERROR(__xludf.DUMMYFUNCTION("""COMPUTED_VALUE"""),"Crafting Material, roll a d20 to see how many you get. (Item)")</f>
        <v>Crafting Material, roll a d20 to see how many you get. (Item)</v>
      </c>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row>
    <row r="1016">
      <c r="A1016" s="1" t="str">
        <f>IFERROR(__xludf.DUMMYFUNCTION("""COMPUTED_VALUE"""),"Bronze")</f>
        <v>Bronze</v>
      </c>
      <c r="B1016" s="1" t="str">
        <f>IFERROR(__xludf.DUMMYFUNCTION("""COMPUTED_VALUE"""),"Crafting Material, roll a d20 to see how many you get. (Item)")</f>
        <v>Crafting Material, roll a d20 to see how many you get. (Item)</v>
      </c>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row>
    <row r="1017">
      <c r="A1017" s="1" t="str">
        <f>IFERROR(__xludf.DUMMYFUNCTION("""COMPUTED_VALUE"""),"Diamond")</f>
        <v>Diamond</v>
      </c>
      <c r="B1017" s="1" t="str">
        <f>IFERROR(__xludf.DUMMYFUNCTION("""COMPUTED_VALUE"""),"Crafting Material, roll a d20 to see how many you get. (Item)")</f>
        <v>Crafting Material, roll a d20 to see how many you get. (Item)</v>
      </c>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row>
    <row r="1018">
      <c r="A1018" s="1" t="str">
        <f>IFERROR(__xludf.DUMMYFUNCTION("""COMPUTED_VALUE"""),"Wood")</f>
        <v>Wood</v>
      </c>
      <c r="B1018" s="1" t="str">
        <f>IFERROR(__xludf.DUMMYFUNCTION("""COMPUTED_VALUE"""),"Crafting Material, roll a d20 to see how many you get. (Item)")</f>
        <v>Crafting Material, roll a d20 to see how many you get. (Item)</v>
      </c>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row>
    <row r="1019">
      <c r="A1019" s="1" t="str">
        <f>IFERROR(__xludf.DUMMYFUNCTION("""COMPUTED_VALUE"""),"Stone")</f>
        <v>Stone</v>
      </c>
      <c r="B1019" s="1" t="str">
        <f>IFERROR(__xludf.DUMMYFUNCTION("""COMPUTED_VALUE"""),"Crafting Material, roll a d20 to see how many you get. (Item)")</f>
        <v>Crafting Material, roll a d20 to see how many you get. (Item)</v>
      </c>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row>
    <row r="1020">
      <c r="A1020" s="1" t="str">
        <f>IFERROR(__xludf.DUMMYFUNCTION("""COMPUTED_VALUE"""),"Raw Meat")</f>
        <v>Raw Meat</v>
      </c>
      <c r="B1020" s="1" t="str">
        <f>IFERROR(__xludf.DUMMYFUNCTION("""COMPUTED_VALUE"""),"-100 Hunger (Crop)")</f>
        <v>-100 Hunger (Crop)</v>
      </c>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row>
    <row r="1021">
      <c r="A1021" s="1" t="str">
        <f>IFERROR(__xludf.DUMMYFUNCTION("""COMPUTED_VALUE"""),"Cooked Meat")</f>
        <v>Cooked Meat</v>
      </c>
      <c r="B1021" s="1" t="str">
        <f>IFERROR(__xludf.DUMMYFUNCTION("""COMPUTED_VALUE"""),"Restores 35 Hunger (Crop)")</f>
        <v>Restores 35 Hunger (Crop)</v>
      </c>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row>
    <row r="1022">
      <c r="A1022" s="1" t="str">
        <f>IFERROR(__xludf.DUMMYFUNCTION("""COMPUTED_VALUE"""),"Dried Meat")</f>
        <v>Dried Meat</v>
      </c>
      <c r="B1022" s="1" t="str">
        <f>IFERROR(__xludf.DUMMYFUNCTION("""COMPUTED_VALUE"""),"25 Hunger (Crop)")</f>
        <v>25 Hunger (Crop)</v>
      </c>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row>
    <row r="1023">
      <c r="A1023" s="1" t="str">
        <f>IFERROR(__xludf.DUMMYFUNCTION("""COMPUTED_VALUE"""),"Medium Rare Steak")</f>
        <v>Medium Rare Steak</v>
      </c>
      <c r="B1023" s="1" t="str">
        <f>IFERROR(__xludf.DUMMYFUNCTION("""COMPUTED_VALUE"""),"Restores 30 Hunger and 5 HP (Crop)")</f>
        <v>Restores 30 Hunger and 5 HP (Crop)</v>
      </c>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row>
    <row r="1024">
      <c r="A1024" s="1" t="str">
        <f>IFERROR(__xludf.DUMMYFUNCTION("""COMPUTED_VALUE"""),"Well Done Steak")</f>
        <v>Well Done Steak</v>
      </c>
      <c r="B1024" s="1" t="str">
        <f>IFERROR(__xludf.DUMMYFUNCTION("""COMPUTED_VALUE"""),"10 Hunger and 3 HP are restored each turn for the next three turns (Crop)")</f>
        <v>10 Hunger and 3 HP are restored each turn for the next three turns (Crop)</v>
      </c>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row>
    <row r="1025">
      <c r="A1025" s="1" t="str">
        <f>IFERROR(__xludf.DUMMYFUNCTION("""COMPUTED_VALUE"""),"Kebab")</f>
        <v>Kebab</v>
      </c>
      <c r="B1025" s="1" t="str">
        <f>IFERROR(__xludf.DUMMYFUNCTION("""COMPUTED_VALUE"""),"Restores 10 Hunger, 5 HP, and 15 SP (Crop)")</f>
        <v>Restores 10 Hunger, 5 HP, and 15 SP (Crop)</v>
      </c>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row>
    <row r="1026">
      <c r="A1026" s="1" t="str">
        <f>IFERROR(__xludf.DUMMYFUNCTION("""COMPUTED_VALUE"""),"Melon Bread")</f>
        <v>Melon Bread</v>
      </c>
      <c r="B1026" s="1" t="str">
        <f>IFERROR(__xludf.DUMMYFUNCTION("""COMPUTED_VALUE"""),"15 Hunger (Crop)")</f>
        <v>15 Hunger (Crop)</v>
      </c>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row>
    <row r="1027">
      <c r="A1027" s="1" t="str">
        <f>IFERROR(__xludf.DUMMYFUNCTION("""COMPUTED_VALUE"""),"Cake")</f>
        <v>Cake</v>
      </c>
      <c r="B1027" s="1" t="str">
        <f>IFERROR(__xludf.DUMMYFUNCTION("""COMPUTED_VALUE"""),"8 uses, each use restores 20 Hunger (Crop)")</f>
        <v>8 uses, each use restores 20 Hunger (Crop)</v>
      </c>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row>
    <row r="1028">
      <c r="A1028" s="1" t="str">
        <f>IFERROR(__xludf.DUMMYFUNCTION("""COMPUTED_VALUE"""),"Cherry Pie")</f>
        <v>Cherry Pie</v>
      </c>
      <c r="B1028" s="1" t="str">
        <f>IFERROR(__xludf.DUMMYFUNCTION("""COMPUTED_VALUE"""),"4 uses, restores 20 Hunger, 10 HP, and 5 SP with each use (Crop)")</f>
        <v>4 uses, restores 20 Hunger, 10 HP, and 5 SP with each use (Crop)</v>
      </c>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row>
    <row r="1029">
      <c r="A1029" s="1" t="str">
        <f>IFERROR(__xludf.DUMMYFUNCTION("""COMPUTED_VALUE"""),"Saltwater")</f>
        <v>Saltwater</v>
      </c>
      <c r="B1029" s="1" t="str">
        <f>IFERROR(__xludf.DUMMYFUNCTION("""COMPUTED_VALUE"""),"Crafting Material, roll a d20 to see how many you get if this is a loot drop. (Item)")</f>
        <v>Crafting Material, roll a d20 to see how many you get if this is a loot drop. (Item)</v>
      </c>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row>
    <row r="1030">
      <c r="A1030" s="1" t="str">
        <f>IFERROR(__xludf.DUMMYFUNCTION("""COMPUTED_VALUE"""),"Fisherman’s Lucky Totem")</f>
        <v>Fisherman’s Lucky Totem</v>
      </c>
      <c r="B1030" s="1" t="str">
        <f>IFERROR(__xludf.DUMMYFUNCTION("""COMPUTED_VALUE"""),"This will Guarantee you 1 fish from a quest (Item)")</f>
        <v>This will Guarantee you 1 fish from a quest (Item)</v>
      </c>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row>
    <row r="1031">
      <c r="A1031" s="1" t="str">
        <f>IFERROR(__xludf.DUMMYFUNCTION("""COMPUTED_VALUE"""),"The Fish Pendant")</f>
        <v>The Fish Pendant</v>
      </c>
      <c r="B1031" s="1" t="str">
        <f>IFERROR(__xludf.DUMMYFUNCTION("""COMPUTED_VALUE"""),"Choose the rarity of the fish when fishing during a quest. (Item)")</f>
        <v>Choose the rarity of the fish when fishing during a quest. (Item)</v>
      </c>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row>
    <row r="1032">
      <c r="A1032" s="1" t="str">
        <f>IFERROR(__xludf.DUMMYFUNCTION("""COMPUTED_VALUE"""),"Fish Stone")</f>
        <v>Fish Stone</v>
      </c>
      <c r="B1032" s="1" t="str">
        <f>IFERROR(__xludf.DUMMYFUNCTION("""COMPUTED_VALUE"""),"if you catch this when fishing you get 2 of the fish you caught with this item. (Item)")</f>
        <v>if you catch this when fishing you get 2 of the fish you caught with this item. (Item)</v>
      </c>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row>
    <row r="1033">
      <c r="A1033" s="1" t="str">
        <f>IFERROR(__xludf.DUMMYFUNCTION("""COMPUTED_VALUE"""),"Pumpkin")</f>
        <v>Pumpkin</v>
      </c>
      <c r="B1033" s="1" t="str">
        <f>IFERROR(__xludf.DUMMYFUNCTION("""COMPUTED_VALUE"""),"100 hunger for self and up to 2 party members. (Crop)")</f>
        <v>100 hunger for self and up to 2 party members. (Crop)</v>
      </c>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row>
    <row r="1034">
      <c r="A1034" s="1" t="str">
        <f>IFERROR(__xludf.DUMMYFUNCTION("""COMPUTED_VALUE"""),"Premium Pumpkin")</f>
        <v>Premium Pumpkin</v>
      </c>
      <c r="B1034" s="1" t="str">
        <f>IFERROR(__xludf.DUMMYFUNCTION("""COMPUTED_VALUE"""),"200 hunger for self and up to 2 party members. (Crop)")</f>
        <v>200 hunger for self and up to 2 party members. (Crop)</v>
      </c>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row>
    <row r="1035">
      <c r="A1035" s="1" t="str">
        <f>IFERROR(__xludf.DUMMYFUNCTION("""COMPUTED_VALUE"""),"Pumpkin Soup")</f>
        <v>Pumpkin Soup</v>
      </c>
      <c r="B1035" s="1" t="str">
        <f>IFERROR(__xludf.DUMMYFUNCTION("""COMPUTED_VALUE"""),"100 hunger for self and up to 4 party members. (Crop)")</f>
        <v>100 hunger for self and up to 4 party members. (Crop)</v>
      </c>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row>
    <row r="1036">
      <c r="A1036" s="1" t="str">
        <f>IFERROR(__xludf.DUMMYFUNCTION("""COMPUTED_VALUE"""),"Premium Pumpkin Soup")</f>
        <v>Premium Pumpkin Soup</v>
      </c>
      <c r="B1036" s="1" t="str">
        <f>IFERROR(__xludf.DUMMYFUNCTION("""COMPUTED_VALUE"""),"200 hunger for self and up to 4 party members. (Crop)")</f>
        <v>200 hunger for self and up to 4 party members. (Crop)</v>
      </c>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row>
    <row r="1037">
      <c r="A1037" s="1" t="str">
        <f>IFERROR(__xludf.DUMMYFUNCTION("""COMPUTED_VALUE"""),"Forbidden Book")</f>
        <v>Forbidden Book</v>
      </c>
      <c r="B1037" s="1" t="str">
        <f>IFERROR(__xludf.DUMMYFUNCTION("""COMPUTED_VALUE"""),"A forbidden book. if the guards see it in your inventory they will autmatically confiscate it and arrest you. (Item)")</f>
        <v>A forbidden book. if the guards see it in your inventory they will autmatically confiscate it and arrest you. (Item)</v>
      </c>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row>
    <row r="1038">
      <c r="A1038" s="1" t="str">
        <f>IFERROR(__xludf.DUMMYFUNCTION("""COMPUTED_VALUE"""),"a random stick")</f>
        <v>a random stick</v>
      </c>
      <c r="B1038" s="1" t="str">
        <f>IFERROR(__xludf.DUMMYFUNCTION("""COMPUTED_VALUE"""),"A random stick the shopkeeper found out back (Item)")</f>
        <v>A random stick the shopkeeper found out back (Item)</v>
      </c>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row>
    <row r="1039">
      <c r="A1039" s="1" t="str">
        <f>IFERROR(__xludf.DUMMYFUNCTION("""COMPUTED_VALUE"""),"Rank 9 Storm Tome")</f>
        <v>Rank 9 Storm Tome</v>
      </c>
      <c r="B1039" s="1" t="str">
        <f>IFERROR(__xludf.DUMMYFUNCTION("""COMPUTED_VALUE"""),"Can use up to Rank 9 Storm Spells (Item)")</f>
        <v>Can use up to Rank 9 Storm Spells (Item)</v>
      </c>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row>
    <row r="1040">
      <c r="A1040" s="1" t="str">
        <f>IFERROR(__xludf.DUMMYFUNCTION("""COMPUTED_VALUE"""),"Common Tree Branch")</f>
        <v>Common Tree Branch</v>
      </c>
      <c r="B1040" s="1" t="str">
        <f>IFERROR(__xludf.DUMMYFUNCTION("""COMPUTED_VALUE"""),"When thrown, each enemy has a 25% chance to be distracted, skipping their next turn (Item)")</f>
        <v>When thrown, each enemy has a 25% chance to be distracted, skipping their next turn (Item)</v>
      </c>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row>
    <row r="1041">
      <c r="A1041" s="1" t="str">
        <f>IFERROR(__xludf.DUMMYFUNCTION("""COMPUTED_VALUE"""),"Uncommon Tree branch")</f>
        <v>Uncommon Tree branch</v>
      </c>
      <c r="B1041" s="1" t="str">
        <f>IFERROR(__xludf.DUMMYFUNCTION("""COMPUTED_VALUE"""),"When thrown, Roll a d20 and apply the result. If 1-19, deal 20,000 damage to one target Hit/Miss. If 20, deal 40,000 damage to one target Hit/Miss, each enemy has a 50% chance to be distracted, skipping their next turn.
 (Item)")</f>
        <v>When thrown, Roll a d20 and apply the result. If 1-19, deal 20,000 damage to one target Hit/Miss. If 20, deal 40,000 damage to one target Hit/Miss, each enemy has a 50% chance to be distracted, skipping their next turn.
 (Item)</v>
      </c>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row>
    <row r="1042">
      <c r="A1042" s="1" t="str">
        <f>IFERROR(__xludf.DUMMYFUNCTION("""COMPUTED_VALUE"""),"Stale bread")</f>
        <v>Stale bread</v>
      </c>
      <c r="B1042" s="1" t="str">
        <f>IFERROR(__xludf.DUMMYFUNCTION("""COMPUTED_VALUE"""),"Recovers 9 hunger (Crop)")</f>
        <v>Recovers 9 hunger (Crop)</v>
      </c>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row>
    <row r="1043">
      <c r="A1043" s="1" t="str">
        <f>IFERROR(__xludf.DUMMYFUNCTION("""COMPUTED_VALUE"""),"Coal")</f>
        <v>Coal</v>
      </c>
      <c r="B1043" s="1" t="str">
        <f>IFERROR(__xludf.DUMMYFUNCTION("""COMPUTED_VALUE"""),"Crafting Material, roll a d20 to see how many you get if this is a loot drop. (Item)")</f>
        <v>Crafting Material, roll a d20 to see how many you get if this is a loot drop. (Item)</v>
      </c>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row>
    <row r="1044">
      <c r="A1044" s="1" t="str">
        <f>IFERROR(__xludf.DUMMYFUNCTION("""COMPUTED_VALUE"""),"Red Coral Gem")</f>
        <v>Red Coral Gem</v>
      </c>
      <c r="B1044" s="1" t="str">
        <f>IFERROR(__xludf.DUMMYFUNCTION("""COMPUTED_VALUE"""),"500 Fire dmg or Resistance (Item)")</f>
        <v>500 Fire dmg or Resistance (Item)</v>
      </c>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row>
    <row r="1045">
      <c r="A1045" s="1" t="str">
        <f>IFERROR(__xludf.DUMMYFUNCTION("""COMPUTED_VALUE"""),"Blue Coral Gem")</f>
        <v>Blue Coral Gem</v>
      </c>
      <c r="B1045" s="1" t="str">
        <f>IFERROR(__xludf.DUMMYFUNCTION("""COMPUTED_VALUE"""),"500 Water dmg or Resistance (Item)")</f>
        <v>500 Water dmg or Resistance (Item)</v>
      </c>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row>
    <row r="1046">
      <c r="A1046" s="1" t="str">
        <f>IFERROR(__xludf.DUMMYFUNCTION("""COMPUTED_VALUE"""),"Yellow Coral Gem")</f>
        <v>Yellow Coral Gem</v>
      </c>
      <c r="B1046" s="1" t="str">
        <f>IFERROR(__xludf.DUMMYFUNCTION("""COMPUTED_VALUE"""),"500 Strom dmg or Resistance (Item)")</f>
        <v>500 Strom dmg or Resistance (Item)</v>
      </c>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row>
    <row r="1047">
      <c r="A1047" s="1" t="str">
        <f>IFERROR(__xludf.DUMMYFUNCTION("""COMPUTED_VALUE"""),"Green Coral Gem")</f>
        <v>Green Coral Gem</v>
      </c>
      <c r="B1047" s="1" t="str">
        <f>IFERROR(__xludf.DUMMYFUNCTION("""COMPUTED_VALUE"""),"500 nature dmg or Resistance (Item)")</f>
        <v>500 nature dmg or Resistance (Item)</v>
      </c>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row>
    <row r="1048">
      <c r="A1048" s="1" t="str">
        <f>IFERROR(__xludf.DUMMYFUNCTION("""COMPUTED_VALUE"""),"White Coral Gem")</f>
        <v>White Coral Gem</v>
      </c>
      <c r="B1048" s="1" t="str">
        <f>IFERROR(__xludf.DUMMYFUNCTION("""COMPUTED_VALUE"""),"500 Spirit dmg or Resistance (Item)")</f>
        <v>500 Spirit dmg or Resistance (Item)</v>
      </c>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row>
    <row r="1049">
      <c r="A1049" s="1" t="str">
        <f>IFERROR(__xludf.DUMMYFUNCTION("""COMPUTED_VALUE"""),"Black Coral Gem")</f>
        <v>Black Coral Gem</v>
      </c>
      <c r="B1049" s="1" t="str">
        <f>IFERROR(__xludf.DUMMYFUNCTION("""COMPUTED_VALUE"""),"500 Dark dmg or Resistance (Item)")</f>
        <v>500 Dark dmg or Resistance (Item)</v>
      </c>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row>
    <row r="1050">
      <c r="A1050" s="1" t="str">
        <f>IFERROR(__xludf.DUMMYFUNCTION("""COMPUTED_VALUE"""),"Pink Coral Gem")</f>
        <v>Pink Coral Gem</v>
      </c>
      <c r="B1050" s="1" t="str">
        <f>IFERROR(__xludf.DUMMYFUNCTION("""COMPUTED_VALUE"""),"500 dmg or resistance (Item)")</f>
        <v>500 dmg or resistance (Item)</v>
      </c>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row>
    <row r="1051">
      <c r="A1051" s="1" t="str">
        <f>IFERROR(__xludf.DUMMYFUNCTION("""COMPUTED_VALUE"""),"Coral")</f>
        <v>Coral</v>
      </c>
      <c r="B1051" s="1" t="str">
        <f>IFERROR(__xludf.DUMMYFUNCTION("""COMPUTED_VALUE"""),"Crafting Material, roll a d20 to see how many you get if this is a loot drop. (Item)")</f>
        <v>Crafting Material, roll a d20 to see how many you get if this is a loot drop. (Item)</v>
      </c>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row>
    <row r="1052">
      <c r="A1052" s="1" t="str">
        <f>IFERROR(__xludf.DUMMYFUNCTION("""COMPUTED_VALUE"""),"Ivory")</f>
        <v>Ivory</v>
      </c>
      <c r="B1052" s="1" t="str">
        <f>IFERROR(__xludf.DUMMYFUNCTION("""COMPUTED_VALUE"""),"Crafting Material, roll a d20 to see how many you get if this is a loot drop. (Item)")</f>
        <v>Crafting Material, roll a d20 to see how many you get if this is a loot drop. (Item)</v>
      </c>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row>
    <row r="1053">
      <c r="A1053" s="1" t="str">
        <f>IFERROR(__xludf.DUMMYFUNCTION("""COMPUTED_VALUE"""),"Onyx")</f>
        <v>Onyx</v>
      </c>
      <c r="B1053" s="1" t="str">
        <f>IFERROR(__xludf.DUMMYFUNCTION("""COMPUTED_VALUE"""),"Crafting Material, roll a d20 to see how many you get if this is a loot drop. (Item)")</f>
        <v>Crafting Material, roll a d20 to see how many you get if this is a loot drop. (Item)</v>
      </c>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row>
    <row r="1054">
      <c r="A1054" s="1" t="str">
        <f>IFERROR(__xludf.DUMMYFUNCTION("""COMPUTED_VALUE"""),"Jade")</f>
        <v>Jade</v>
      </c>
      <c r="B1054" s="1" t="str">
        <f>IFERROR(__xludf.DUMMYFUNCTION("""COMPUTED_VALUE"""),"Crafting Material, roll a d20 to see how many you get if this is a loot drop. (Item)")</f>
        <v>Crafting Material, roll a d20 to see how many you get if this is a loot drop. (Item)</v>
      </c>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row>
    <row r="1055">
      <c r="A1055" s="1" t="str">
        <f>IFERROR(__xludf.DUMMYFUNCTION("""COMPUTED_VALUE"""),"Emerald")</f>
        <v>Emerald</v>
      </c>
      <c r="B1055" s="1" t="str">
        <f>IFERROR(__xludf.DUMMYFUNCTION("""COMPUTED_VALUE"""),"Crafting Material, roll a d20 to see how many you get if this is a loot drop. (Item)")</f>
        <v>Crafting Material, roll a d20 to see how many you get if this is a loot drop. (Item)</v>
      </c>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row>
    <row r="1056">
      <c r="A1056" s="1" t="str">
        <f>IFERROR(__xludf.DUMMYFUNCTION("""COMPUTED_VALUE"""),"Ruby")</f>
        <v>Ruby</v>
      </c>
      <c r="B1056" s="1" t="str">
        <f>IFERROR(__xludf.DUMMYFUNCTION("""COMPUTED_VALUE"""),"Crafting Material, roll a d20 to see how many you get if this is a loot drop. (Item)")</f>
        <v>Crafting Material, roll a d20 to see how many you get if this is a loot drop. (Item)</v>
      </c>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row>
    <row r="1057">
      <c r="A1057" s="1" t="str">
        <f>IFERROR(__xludf.DUMMYFUNCTION("""COMPUTED_VALUE"""),"Sapphire")</f>
        <v>Sapphire</v>
      </c>
      <c r="B1057" s="1" t="str">
        <f>IFERROR(__xludf.DUMMYFUNCTION("""COMPUTED_VALUE"""),"Crafting Material, roll a d20 to see how many you get if this is a loot drop. (Item)")</f>
        <v>Crafting Material, roll a d20 to see how many you get if this is a loot drop. (Item)</v>
      </c>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row>
    <row r="1058">
      <c r="A1058" s="1" t="str">
        <f>IFERROR(__xludf.DUMMYFUNCTION("""COMPUTED_VALUE"""),"Candy Corn")</f>
        <v>Candy Corn</v>
      </c>
      <c r="B1058" s="1" t="str">
        <f>IFERROR(__xludf.DUMMYFUNCTION("""COMPUTED_VALUE"""),"Gun ammunition. 5000 damage, +5000 fire damage. (Item)")</f>
        <v>Gun ammunition. 5000 damage, +5000 fire damage. (Item)</v>
      </c>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row>
    <row r="1059">
      <c r="A1059" s="1" t="str">
        <f>IFERROR(__xludf.DUMMYFUNCTION("""COMPUTED_VALUE"""),"Pumpkin Arrow")</f>
        <v>Pumpkin Arrow</v>
      </c>
      <c r="B1059" s="1" t="str">
        <f>IFERROR(__xludf.DUMMYFUNCTION("""COMPUTED_VALUE"""),"Bow Ammunition. +5000 fire damage. roll a d20 to see how many you get if this is a loot drop. (Item)")</f>
        <v>Bow Ammunition. +5000 fire damage. roll a d20 to see how many you get if this is a loot drop. (Item)</v>
      </c>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row>
    <row r="1060">
      <c r="A1060" s="1" t="str">
        <f>IFERROR(__xludf.DUMMYFUNCTION("""COMPUTED_VALUE"""),"Candy Corn Gem")</f>
        <v>Candy Corn Gem</v>
      </c>
      <c r="B1060" s="1" t="str">
        <f>IFERROR(__xludf.DUMMYFUNCTION("""COMPUTED_VALUE"""),"(Can be turned in for Halloween Coins Decided by the current DM / GM ) (Item)")</f>
        <v>(Can be turned in for Halloween Coins Decided by the current DM / GM ) (Item)</v>
      </c>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row>
    <row r="1061">
      <c r="A1061" s="1" t="str">
        <f>IFERROR(__xludf.DUMMYFUNCTION("""COMPUTED_VALUE"""),"Steel Arrow")</f>
        <v>Steel Arrow</v>
      </c>
      <c r="B1061" s="1" t="str">
        <f>IFERROR(__xludf.DUMMYFUNCTION("""COMPUTED_VALUE"""),"Bow Ammunition. +100 damage. roll a d20 to see how many you get if this is a loot drop. (Item)")</f>
        <v>Bow Ammunition. +100 damage. roll a d20 to see how many you get if this is a loot drop. (Item)</v>
      </c>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row>
    <row r="1062">
      <c r="A1062" s="1" t="str">
        <f>IFERROR(__xludf.DUMMYFUNCTION("""COMPUTED_VALUE"""),"Bone Key")</f>
        <v>Bone Key</v>
      </c>
      <c r="B1062" s="1" t="str">
        <f>IFERROR(__xludf.DUMMYFUNCTION("""COMPUTED_VALUE"""),"Opens bone chest (Item)")</f>
        <v>Opens bone chest (Item)</v>
      </c>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row>
    <row r="1063">
      <c r="A1063" s="1" t="str">
        <f>IFERROR(__xludf.DUMMYFUNCTION("""COMPUTED_VALUE"""),"Bone")</f>
        <v>Bone</v>
      </c>
      <c r="B1063" s="1" t="str">
        <f>IFERROR(__xludf.DUMMYFUNCTION("""COMPUTED_VALUE"""),"Crafting Material, roll a d20 to see how many you get if this is a loot drop. (Item)")</f>
        <v>Crafting Material, roll a d20 to see how many you get if this is a loot drop. (Item)</v>
      </c>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row>
    <row r="1064">
      <c r="A1064" s="1" t="str">
        <f>IFERROR(__xludf.DUMMYFUNCTION("""COMPUTED_VALUE"""),"Bone Chest")</f>
        <v>Bone Chest</v>
      </c>
      <c r="B1064" s="1" t="str">
        <f>IFERROR(__xludf.DUMMYFUNCTION("""COMPUTED_VALUE"""),"Determine the tier by a d10 roll. (Item)")</f>
        <v>Determine the tier by a d10 roll. (Item)</v>
      </c>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row>
    <row r="1065">
      <c r="A1065" s="1" t="str">
        <f>IFERROR(__xludf.DUMMYFUNCTION("""COMPUTED_VALUE"""),"Viking Key")</f>
        <v>Viking Key</v>
      </c>
      <c r="B1065" s="1" t="str">
        <f>IFERROR(__xludf.DUMMYFUNCTION("""COMPUTED_VALUE"""),"Opens the Viking Chest (Item)")</f>
        <v>Opens the Viking Chest (Item)</v>
      </c>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row>
    <row r="1066">
      <c r="A1066" s="1" t="str">
        <f>IFERROR(__xludf.DUMMYFUNCTION("""COMPUTED_VALUE"""),"Viking Chest")</f>
        <v>Viking Chest</v>
      </c>
      <c r="B1066" s="1" t="str">
        <f>IFERROR(__xludf.DUMMYFUNCTION("""COMPUTED_VALUE"""),"Determine the tier by a d10 roll. (Item)")</f>
        <v>Determine the tier by a d10 roll. (Item)</v>
      </c>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row>
    <row r="1067">
      <c r="A1067" s="1" t="str">
        <f>IFERROR(__xludf.DUMMYFUNCTION("""COMPUTED_VALUE"""),"Vikings Cove Key")</f>
        <v>Vikings Cove Key</v>
      </c>
      <c r="B1067" s="1" t="str">
        <f>IFERROR(__xludf.DUMMYFUNCTION("""COMPUTED_VALUE"""),"Gain access to Vikings Cove (Item)")</f>
        <v>Gain access to Vikings Cove (Item)</v>
      </c>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row>
    <row r="1068">
      <c r="A1068" s="1" t="str">
        <f>IFERROR(__xludf.DUMMYFUNCTION("""COMPUTED_VALUE"""),"Baboon meat")</f>
        <v>Baboon meat</v>
      </c>
      <c r="B1068" s="1" t="str">
        <f>IFERROR(__xludf.DUMMYFUNCTION("""COMPUTED_VALUE""")," +2 hunger (Crop)")</f>
        <v> +2 hunger (Crop)</v>
      </c>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row>
    <row r="1069">
      <c r="A1069" s="1" t="str">
        <f>IFERROR(__xludf.DUMMYFUNCTION("""COMPUTED_VALUE"""),"Eagle Feathers")</f>
        <v>Eagle Feathers</v>
      </c>
      <c r="B1069" s="1" t="str">
        <f>IFERROR(__xludf.DUMMYFUNCTION("""COMPUTED_VALUE"""),"Crafting Material, roll a d20 to see how many you get if this is a loot drop. (Item)")</f>
        <v>Crafting Material, roll a d20 to see how many you get if this is a loot drop. (Item)</v>
      </c>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row>
    <row r="1070">
      <c r="A1070" s="1" t="str">
        <f>IFERROR(__xludf.DUMMYFUNCTION("""COMPUTED_VALUE"""),"The Cycle")</f>
        <v>The Cycle</v>
      </c>
      <c r="B1070" s="1" t="str">
        <f>IFERROR(__xludf.DUMMYFUNCTION("""COMPUTED_VALUE"""),"1 damage initially to all enemies, Does X damage each round until all targets escape the cycle, must roll a 11 or higher adding you mobility as a bonus to your roll while attempting to escape each round (Item)")</f>
        <v>1 damage initially to all enemies, Does X damage each round until all targets escape the cycle, must roll a 11 or higher adding you mobility as a bonus to your roll while attempting to escape each round (Item)</v>
      </c>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row>
    <row r="1071">
      <c r="A1071" s="1" t="str">
        <f>IFERROR(__xludf.DUMMYFUNCTION("""COMPUTED_VALUE"""),"Scale")</f>
        <v>Scale</v>
      </c>
      <c r="B1071" s="1" t="str">
        <f>IFERROR(__xludf.DUMMYFUNCTION("""COMPUTED_VALUE"""),"can be added to armor to give it +1 Earth resistance, once added to armor it can’t be removed (Item)")</f>
        <v>can be added to armor to give it +1 Earth resistance, once added to armor it can’t be removed (Item)</v>
      </c>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row>
    <row r="1072">
      <c r="A1072" s="1" t="str">
        <f>IFERROR(__xludf.DUMMYFUNCTION("""COMPUTED_VALUE"""),"Egg")</f>
        <v>Egg</v>
      </c>
      <c r="B1072" s="1" t="str">
        <f>IFERROR(__xludf.DUMMYFUNCTION("""COMPUTED_VALUE"""),"Will hatch in X/X days. (Item)")</f>
        <v>Will hatch in X/X days. (Item)</v>
      </c>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row>
    <row r="1073">
      <c r="A1073" s="1" t="str">
        <f>IFERROR(__xludf.DUMMYFUNCTION("""COMPUTED_VALUE"""),"Soul")</f>
        <v>Soul</v>
      </c>
      <c r="B1073" s="1"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 (Item)")</f>
        <v>usable can be used to temporarily summon a minion of the creature the soul came from, the minion disappears after battle or when it's killed, If you have 3 or more souls you can gain 1 power from the creature, when you have gained 5 or more souls they can become the creature. (Item)</v>
      </c>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row>
    <row r="1074">
      <c r="A1074" s="1" t="str">
        <f>IFERROR(__xludf.DUMMYFUNCTION("""COMPUTED_VALUE"""),"Crystal")</f>
        <v>Crystal</v>
      </c>
      <c r="B1074" s="1" t="str">
        <f>IFERROR(__xludf.DUMMYFUNCTION("""COMPUTED_VALUE"""),"Crafting Material, roll a d20 to see how many you get if this is a loot drop. (Item)")</f>
        <v>Crafting Material, roll a d20 to see how many you get if this is a loot drop. (Item)</v>
      </c>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row>
    <row r="1075">
      <c r="A1075" s="1" t="str">
        <f>IFERROR(__xludf.DUMMYFUNCTION("""COMPUTED_VALUE"""),"Delta Gems")</f>
        <v>Delta Gems</v>
      </c>
      <c r="B1075" s="1" t="str">
        <f>IFERROR(__xludf.DUMMYFUNCTION("""COMPUTED_VALUE"""),"Crafting Material, roll a d20 to see how many you get if this is a loot drop. (Item)")</f>
        <v>Crafting Material, roll a d20 to see how many you get if this is a loot drop. (Item)</v>
      </c>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row>
    <row r="1076">
      <c r="A1076" s="1" t="str">
        <f>IFERROR(__xludf.DUMMYFUNCTION("""COMPUTED_VALUE"""),"Fire Diamonds")</f>
        <v>Fire Diamonds</v>
      </c>
      <c r="B1076" s="1" t="str">
        <f>IFERROR(__xludf.DUMMYFUNCTION("""COMPUTED_VALUE"""),"Crafting Material, roll a d20 to see how many you get if this is a loot drop. (Item)")</f>
        <v>Crafting Material, roll a d20 to see how many you get if this is a loot drop. (Item)</v>
      </c>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row>
    <row r="1077">
      <c r="A1077" s="1" t="str">
        <f>IFERROR(__xludf.DUMMYFUNCTION("""COMPUTED_VALUE"""),"plant containing the ‘instant death status effect’")</f>
        <v>plant containing the ‘instant death status effect’</v>
      </c>
      <c r="B1077" s="1" t="str">
        <f>IFERROR(__xludf.DUMMYFUNCTION("""COMPUTED_VALUE"""),"Quest item (Item)")</f>
        <v>Quest item (Item)</v>
      </c>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row>
    <row r="1078">
      <c r="A1078" s="1" t="str">
        <f>IFERROR(__xludf.DUMMYFUNCTION("""COMPUTED_VALUE"""),"Potion of Cure Curse")</f>
        <v>Potion of Cure Curse</v>
      </c>
      <c r="B1078" s="1" t="str">
        <f>IFERROR(__xludf.DUMMYFUNCTION("""COMPUTED_VALUE"""),"Curse Antidote (Item)")</f>
        <v>Curse Antidote (Item)</v>
      </c>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row>
    <row r="1079">
      <c r="A1079" s="1" t="str">
        <f>IFERROR(__xludf.DUMMYFUNCTION("""COMPUTED_VALUE"""),"Glowing Blue Jelly")</f>
        <v>Glowing Blue Jelly</v>
      </c>
      <c r="B1079" s="1" t="str">
        <f>IFERROR(__xludf.DUMMYFUNCTION("""COMPUTED_VALUE"""),"Crafting Material, roll a d20 to see how many you get if this is a loot drop. (Item)")</f>
        <v>Crafting Material, roll a d20 to see how many you get if this is a loot drop. (Item)</v>
      </c>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row>
    <row r="1080">
      <c r="A1080" s="1" t="str">
        <f>IFERROR(__xludf.DUMMYFUNCTION("""COMPUTED_VALUE"""),"Feather")</f>
        <v>Feather</v>
      </c>
      <c r="B1080" s="1" t="str">
        <f>IFERROR(__xludf.DUMMYFUNCTION("""COMPUTED_VALUE"""),"Crafting Material, roll a d20 to see how many you get if this is a loot drop. (Item)")</f>
        <v>Crafting Material, roll a d20 to see how many you get if this is a loot drop. (Item)</v>
      </c>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row>
    <row r="1081">
      <c r="A1081" s="1" t="str">
        <f>IFERROR(__xludf.DUMMYFUNCTION("""COMPUTED_VALUE"""),"Talon")</f>
        <v>Talon</v>
      </c>
      <c r="B1081" s="1" t="str">
        <f>IFERROR(__xludf.DUMMYFUNCTION("""COMPUTED_VALUE"""),"Crafting Material, roll a d20 to see how many you get if this is a loot drop. (Item)")</f>
        <v>Crafting Material, roll a d20 to see how many you get if this is a loot drop. (Item)</v>
      </c>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row>
    <row r="1082">
      <c r="A1082" s="1" t="str">
        <f>IFERROR(__xludf.DUMMYFUNCTION("""COMPUTED_VALUE"""),"Eyeball")</f>
        <v>Eyeball</v>
      </c>
      <c r="B1082" s="1" t="str">
        <f>IFERROR(__xludf.DUMMYFUNCTION("""COMPUTED_VALUE"""),"Crafting Material, roll a d20 to see how many you get if this is a loot drop. (Item)")</f>
        <v>Crafting Material, roll a d20 to see how many you get if this is a loot drop. (Item)</v>
      </c>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row>
    <row r="1083">
      <c r="A1083" s="1" t="str">
        <f>IFERROR(__xludf.DUMMYFUNCTION("""COMPUTED_VALUE"""),"Spider Egg")</f>
        <v>Spider Egg</v>
      </c>
      <c r="B1083" s="1" t="str">
        <f>IFERROR(__xludf.DUMMYFUNCTION("""COMPUTED_VALUE"""),"Crafting Material, roll a d20 to see how many you get if this is a loot drop. (Item)")</f>
        <v>Crafting Material, roll a d20 to see how many you get if this is a loot drop. (Item)</v>
      </c>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row>
    <row r="1084">
      <c r="A1084" s="1" t="str">
        <f>IFERROR(__xludf.DUMMYFUNCTION("""COMPUTED_VALUE"""),"Giant Spider Exoskeleton")</f>
        <v>Giant Spider Exoskeleton</v>
      </c>
      <c r="B1084" s="1" t="str">
        <f>IFERROR(__xludf.DUMMYFUNCTION("""COMPUTED_VALUE"""),"Crafting Material, roll a d20 to see how many you get if this is a loot drop. (Item)")</f>
        <v>Crafting Material, roll a d20 to see how many you get if this is a loot drop. (Item)</v>
      </c>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row>
    <row r="1085">
      <c r="A1085" s="1" t="str">
        <f>IFERROR(__xludf.DUMMYFUNCTION("""COMPUTED_VALUE"""),"Giant Spider Poison")</f>
        <v>Giant Spider Poison</v>
      </c>
      <c r="B1085" s="1" t="str">
        <f>IFERROR(__xludf.DUMMYFUNCTION("""COMPUTED_VALUE"""),"Crafting Material, roll a d20 to see how many you get if this is a loot drop. (Item)")</f>
        <v>Crafting Material, roll a d20 to see how many you get if this is a loot drop. (Item)</v>
      </c>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row>
    <row r="1086">
      <c r="A1086" s="1" t="str">
        <f>IFERROR(__xludf.DUMMYFUNCTION("""COMPUTED_VALUE"""),"Poison Gem")</f>
        <v>Poison Gem</v>
      </c>
      <c r="B1086" s="1" t="str">
        <f>IFERROR(__xludf.DUMMYFUNCTION("""COMPUTED_VALUE"""),"Crafting Material, roll a d20 to see how many you get if this is a loot drop. (Item)")</f>
        <v>Crafting Material, roll a d20 to see how many you get if this is a loot drop. (Item)</v>
      </c>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row>
    <row r="1087">
      <c r="A1087" s="1" t="str">
        <f>IFERROR(__xludf.DUMMYFUNCTION("""COMPUTED_VALUE"""),"Returning Arrow")</f>
        <v>Returning Arrow</v>
      </c>
      <c r="B1087" s="1" t="str">
        <f>IFERROR(__xludf.DUMMYFUNCTION("""COMPUTED_VALUE"""),"Bow Ammunition. +500 damage.  returns to the user. roll a d20 to see how many you get if this is a loot drop. (Item)")</f>
        <v>Bow Ammunition. +500 damage.  returns to the user. roll a d20 to see how many you get if this is a loot drop. (Item)</v>
      </c>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row>
    <row r="1088">
      <c r="A1088" s="1" t="str">
        <f>IFERROR(__xludf.DUMMYFUNCTION("""COMPUTED_VALUE"""),"Shadow Fluid")</f>
        <v>Shadow Fluid</v>
      </c>
      <c r="B1088" s="1" t="str">
        <f>IFERROR(__xludf.DUMMYFUNCTION("""COMPUTED_VALUE"""),"Crafting Material, roll a d20 to see how many you get if this is a loot drop. (Item)")</f>
        <v>Crafting Material, roll a d20 to see how many you get if this is a loot drop. (Item)</v>
      </c>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row>
    <row r="1089">
      <c r="A1089" s="1" t="str">
        <f>IFERROR(__xludf.DUMMYFUNCTION("""COMPUTED_VALUE"""),"Skull")</f>
        <v>Skull</v>
      </c>
      <c r="B1089" s="1" t="str">
        <f>IFERROR(__xludf.DUMMYFUNCTION("""COMPUTED_VALUE"""),"Crafting Material, roll a d20 to see how many you get if this is a loot drop. (Item)")</f>
        <v>Crafting Material, roll a d20 to see how many you get if this is a loot drop. (Item)</v>
      </c>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row>
    <row r="1090">
      <c r="A1090" s="1" t="str">
        <f>IFERROR(__xludf.DUMMYFUNCTION("""COMPUTED_VALUE"""),"pumpkin gem")</f>
        <v>pumpkin gem</v>
      </c>
      <c r="B1090" s="1" t="str">
        <f>IFERROR(__xludf.DUMMYFUNCTION("""COMPUTED_VALUE"""),"Crafting Material, roll a d20 to see how many you get if this is a loot drop. (Item)")</f>
        <v>Crafting Material, roll a d20 to see how many you get if this is a loot drop. (Item)</v>
      </c>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row>
    <row r="1091">
      <c r="A1091" s="1" t="str">
        <f>IFERROR(__xludf.DUMMYFUNCTION("""COMPUTED_VALUE"""),"Rotton Flesh")</f>
        <v>Rotton Flesh</v>
      </c>
      <c r="B1091" s="1" t="str">
        <f>IFERROR(__xludf.DUMMYFUNCTION("""COMPUTED_VALUE"""),"-100 Hunger if you are not undead. +200 hunger and energy if you are undead. (Crop)")</f>
        <v>-100 Hunger if you are not undead. +200 hunger and energy if you are undead. (Crop)</v>
      </c>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row>
    <row r="1092">
      <c r="A1092" s="1" t="str">
        <f>IFERROR(__xludf.DUMMYFUNCTION("""COMPUTED_VALUE"""),"Bag of Sand")</f>
        <v>Bag of Sand</v>
      </c>
      <c r="B1092" s="1" t="str">
        <f>IFERROR(__xludf.DUMMYFUNCTION("""COMPUTED_VALUE"""),"Crafting Material, roll a d20 to see how many you get if this is a loot drop. (Item)")</f>
        <v>Crafting Material, roll a d20 to see how many you get if this is a loot drop. (Item)</v>
      </c>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row>
    <row r="1093">
      <c r="A1093" s="1" t="str">
        <f>IFERROR(__xludf.DUMMYFUNCTION("""COMPUTED_VALUE"""),"Glowing Red eye")</f>
        <v>Glowing Red eye</v>
      </c>
      <c r="B1093" s="1" t="str">
        <f>IFERROR(__xludf.DUMMYFUNCTION("""COMPUTED_VALUE""")," +10SP (Item)")</f>
        <v> +10SP (Item)</v>
      </c>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row>
    <row r="1094">
      <c r="A1094" s="1" t="str">
        <f>IFERROR(__xludf.DUMMYFUNCTION("""COMPUTED_VALUE"""),"Sand Gem")</f>
        <v>Sand Gem</v>
      </c>
      <c r="B1094" s="1" t="str">
        <f>IFERROR(__xludf.DUMMYFUNCTION("""COMPUTED_VALUE"""),"Crafting Material, roll a d20 to see how many you get if this is a loot drop. (Item)")</f>
        <v>Crafting Material, roll a d20 to see how many you get if this is a loot drop. (Item)</v>
      </c>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row>
    <row r="1095">
      <c r="A1095" s="1" t="str">
        <f>IFERROR(__xludf.DUMMYFUNCTION("""COMPUTED_VALUE"""),"Poison water")</f>
        <v>Poison water</v>
      </c>
      <c r="B1095" s="1" t="str">
        <f>IFERROR(__xludf.DUMMYFUNCTION("""COMPUTED_VALUE""")," (Item)")</f>
        <v> (Item)</v>
      </c>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row>
    <row r="1096">
      <c r="A1096" s="1" t="str">
        <f>IFERROR(__xludf.DUMMYFUNCTION("""COMPUTED_VALUE"""),"Poison Mushroom")</f>
        <v>Poison Mushroom</v>
      </c>
      <c r="B1096" s="1" t="str">
        <f>IFERROR(__xludf.DUMMYFUNCTION("""COMPUTED_VALUE"""),"-100 Hunger, Causes poison 100 for 10 days of travel. (Crop)")</f>
        <v>-100 Hunger, Causes poison 100 for 10 days of travel. (Crop)</v>
      </c>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row>
    <row r="1097">
      <c r="A1097" s="1" t="str">
        <f>IFERROR(__xludf.DUMMYFUNCTION("""COMPUTED_VALUE"""),"Vile of Poison")</f>
        <v>Vile of Poison</v>
      </c>
      <c r="B1097" s="1" t="str">
        <f>IFERROR(__xludf.DUMMYFUNCTION("""COMPUTED_VALUE"""),"Crafting Material, roll a d20 to see how many you get if this is a loot drop. (Item)")</f>
        <v>Crafting Material, roll a d20 to see how many you get if this is a loot drop. (Item)</v>
      </c>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row>
    <row r="1098">
      <c r="A1098" s="1" t="str">
        <f>IFERROR(__xludf.DUMMYFUNCTION("""COMPUTED_VALUE"""),"Explosive Arrow")</f>
        <v>Explosive Arrow</v>
      </c>
      <c r="B1098" s="1" t="str">
        <f>IFERROR(__xludf.DUMMYFUNCTION("""COMPUTED_VALUE"""),"Bow Ammunition. +1000 fire damage to the enemy it hits. +500 fire damage to all other enemies. roll a d20 to see how many you get if this is a loot drop. (Item)")</f>
        <v>Bow Ammunition. +1000 fire damage to the enemy it hits. +500 fire damage to all other enemies. roll a d20 to see how many you get if this is a loot drop. (Item)</v>
      </c>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row>
    <row r="1099">
      <c r="A1099" s="1" t="str">
        <f>IFERROR(__xludf.DUMMYFUNCTION("""COMPUTED_VALUE"""),"Frost diamond")</f>
        <v>Frost diamond</v>
      </c>
      <c r="B1099" s="1" t="str">
        <f>IFERROR(__xludf.DUMMYFUNCTION("""COMPUTED_VALUE"""),"Crafting Material, roll a d20 to see how many you get if this is a loot drop. (Item)")</f>
        <v>Crafting Material, roll a d20 to see how many you get if this is a loot drop. (Item)</v>
      </c>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row>
    <row r="1100">
      <c r="A1100" s="1" t="str">
        <f>IFERROR(__xludf.DUMMYFUNCTION("""COMPUTED_VALUE"""),"Big Frost Owl Feathers")</f>
        <v>Big Frost Owl Feathers</v>
      </c>
      <c r="B1100" s="1" t="str">
        <f>IFERROR(__xludf.DUMMYFUNCTION("""COMPUTED_VALUE"""),"Crafting Material, roll a d20 to see how many you get if this is a loot drop. (Item)")</f>
        <v>Crafting Material, roll a d20 to see how many you get if this is a loot drop. (Item)</v>
      </c>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row>
    <row r="1101">
      <c r="A1101" s="1" t="str">
        <f>IFERROR(__xludf.DUMMYFUNCTION("""COMPUTED_VALUE"""),"Big Frost Owl egg")</f>
        <v>Big Frost Owl egg</v>
      </c>
      <c r="B1101" s="1" t="str">
        <f>IFERROR(__xludf.DUMMYFUNCTION("""COMPUTED_VALUE""")," (Item)")</f>
        <v> (Item)</v>
      </c>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row>
    <row r="1102">
      <c r="A1102" s="1" t="str">
        <f>IFERROR(__xludf.DUMMYFUNCTION("""COMPUTED_VALUE"""),"Giant Frost Diamond")</f>
        <v>Giant Frost Diamond</v>
      </c>
      <c r="B1102" s="1" t="str">
        <f>IFERROR(__xludf.DUMMYFUNCTION("""COMPUTED_VALUE"""),"Crafting Material, roll a d20 to see how many you get if this is a loot drop. (Item)")</f>
        <v>Crafting Material, roll a d20 to see how many you get if this is a loot drop. (Item)</v>
      </c>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row>
    <row r="1103">
      <c r="A1103" s="1" t="str">
        <f>IFERROR(__xludf.DUMMYFUNCTION("""COMPUTED_VALUE"""),"Gold Brick")</f>
        <v>Gold Brick</v>
      </c>
      <c r="B1103" s="1" t="str">
        <f>IFERROR(__xludf.DUMMYFUNCTION("""COMPUTED_VALUE"""),"Crafting Material, roll a d20 to see how many you get if this is a loot drop. (Item)")</f>
        <v>Crafting Material, roll a d20 to see how many you get if this is a loot drop. (Item)</v>
      </c>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row>
    <row r="1104">
      <c r="A1104" s="1" t="str">
        <f>IFERROR(__xludf.DUMMYFUNCTION("""COMPUTED_VALUE"""),"Arrow of Mutiplying ")</f>
        <v>Arrow of Mutiplying </v>
      </c>
      <c r="B1104" s="1" t="str">
        <f>IFERROR(__xludf.DUMMYFUNCTION("""COMPUTED_VALUE"""),"Bow Ammunition. +1000 damage. +This arrow will summon X copies of itself which will also strike the target being attacked. X is equal to a d20 roll. roll a d20 to see how many you get if this is a loot drop. (Item)")</f>
        <v>Bow Ammunition. +1000 damage. +This arrow will summon X copies of itself which will also strike the target being attacked. X is equal to a d20 roll. roll a d20 to see how many you get if this is a loot drop. (Item)</v>
      </c>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row>
    <row r="1105">
      <c r="A1105" s="1" t="str">
        <f>IFERROR(__xludf.DUMMYFUNCTION("""COMPUTED_VALUE"""),"Water Gem")</f>
        <v>Water Gem</v>
      </c>
      <c r="B1105" s="1" t="str">
        <f>IFERROR(__xludf.DUMMYFUNCTION("""COMPUTED_VALUE"""),"Crafting Material, roll a d20 to see how many you get if this is a loot drop. (Item)")</f>
        <v>Crafting Material, roll a d20 to see how many you get if this is a loot drop. (Item)</v>
      </c>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row>
    <row r="1106">
      <c r="A1106" s="1" t="str">
        <f>IFERROR(__xludf.DUMMYFUNCTION("""COMPUTED_VALUE"""),"Goose Meat")</f>
        <v>Goose Meat</v>
      </c>
      <c r="B1106" s="1" t="str">
        <f>IFERROR(__xludf.DUMMYFUNCTION("""COMPUTED_VALUE"""),"-200 hunger to any character that is not owner by Hunter Gooseman. +500 Hunger to any character Hunter Owns. (Crop)")</f>
        <v>-200 hunger to any character that is not owner by Hunter Gooseman. +500 Hunger to any character Hunter Owns. (Crop)</v>
      </c>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row>
    <row r="1107">
      <c r="A1107" s="1" t="str">
        <f>IFERROR(__xludf.DUMMYFUNCTION("""COMPUTED_VALUE"""),"Mysterious Gem")</f>
        <v>Mysterious Gem</v>
      </c>
      <c r="B1107" s="1" t="str">
        <f>IFERROR(__xludf.DUMMYFUNCTION("""COMPUTED_VALUE"""),"Crafting Material, roll a d20 to see how many you get if this is a loot drop. (Item)")</f>
        <v>Crafting Material, roll a d20 to see how many you get if this is a loot drop. (Item)</v>
      </c>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row>
    <row r="1108">
      <c r="A1108" s="1" t="str">
        <f>IFERROR(__xludf.DUMMYFUNCTION("""COMPUTED_VALUE"""),"Turtle Shell")</f>
        <v>Turtle Shell</v>
      </c>
      <c r="B1108" s="1" t="str">
        <f>IFERROR(__xludf.DUMMYFUNCTION("""COMPUTED_VALUE"""),"Crafting Material, roll a d20 to see how many you get if this is a loot drop. (Item)")</f>
        <v>Crafting Material, roll a d20 to see how many you get if this is a loot drop. (Item)</v>
      </c>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row>
    <row r="1109">
      <c r="A1109" s="1" t="str">
        <f>IFERROR(__xludf.DUMMYFUNCTION("""COMPUTED_VALUE"""),"Pumpkin Diamond")</f>
        <v>Pumpkin Diamond</v>
      </c>
      <c r="B1109" s="1" t="str">
        <f>IFERROR(__xludf.DUMMYFUNCTION("""COMPUTED_VALUE"""),"Crafting Material, roll a d20 to see how many you get if this is a loot drop. (Item)")</f>
        <v>Crafting Material, roll a d20 to see how many you get if this is a loot drop. (Item)</v>
      </c>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row>
    <row r="1110">
      <c r="A1110" s="1" t="str">
        <f>IFERROR(__xludf.DUMMYFUNCTION("""COMPUTED_VALUE"""),"Shadow Diamond")</f>
        <v>Shadow Diamond</v>
      </c>
      <c r="B1110" s="1" t="str">
        <f>IFERROR(__xludf.DUMMYFUNCTION("""COMPUTED_VALUE"""),"Crafting Material, roll a d20 to see how many you get if this is a loot drop. (Item)")</f>
        <v>Crafting Material, roll a d20 to see how many you get if this is a loot drop. (Item)</v>
      </c>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row>
    <row r="1111">
      <c r="A1111" s="1" t="str">
        <f>IFERROR(__xludf.DUMMYFUNCTION("""COMPUTED_VALUE"""),"Rank 6 Earth tome")</f>
        <v>Rank 6 Earth tome</v>
      </c>
      <c r="B1111" s="1" t="str">
        <f>IFERROR(__xludf.DUMMYFUNCTION("""COMPUTED_VALUE"""),"Allows use of up to Rank 6 Earth Powers (Item)")</f>
        <v>Allows use of up to Rank 6 Earth Powers (Item)</v>
      </c>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row>
    <row r="1112">
      <c r="A1112" s="1" t="str">
        <f>IFERROR(__xludf.DUMMYFUNCTION("""COMPUTED_VALUE"""),"Demon Claw")</f>
        <v>Demon Claw</v>
      </c>
      <c r="B1112" s="1" t="str">
        <f>IFERROR(__xludf.DUMMYFUNCTION("""COMPUTED_VALUE"""),"Crafting Material, roll a d20 to see how many you get if this is a loot drop. (Item)")</f>
        <v>Crafting Material, roll a d20 to see how many you get if this is a loot drop. (Item)</v>
      </c>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row>
    <row r="1113">
      <c r="A1113" s="1" t="str">
        <f>IFERROR(__xludf.DUMMYFUNCTION("""COMPUTED_VALUE"""),"Golden Bug")</f>
        <v>Golden Bug</v>
      </c>
      <c r="B1113" s="1" t="str">
        <f>IFERROR(__xludf.DUMMYFUNCTION("""COMPUTED_VALUE"""),"Crafting Material, roll a d20 to see how many you get if this is a loot drop. (Item)")</f>
        <v>Crafting Material, roll a d20 to see how many you get if this is a loot drop. (Item)</v>
      </c>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row>
    <row r="1114">
      <c r="A1114" s="1" t="str">
        <f>IFERROR(__xludf.DUMMYFUNCTION("""COMPUTED_VALUE"""),"Dragon Orb")</f>
        <v>Dragon Orb</v>
      </c>
      <c r="B1114" s="1" t="str">
        <f>IFERROR(__xludf.DUMMYFUNCTION("""COMPUTED_VALUE"""),"Crafting Material, roll a d20 to see how many you get if this is a loot drop. (Item)")</f>
        <v>Crafting Material, roll a d20 to see how many you get if this is a loot drop. (Item)</v>
      </c>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row>
    <row r="1115">
      <c r="A1115" s="1" t="str">
        <f>IFERROR(__xludf.DUMMYFUNCTION("""COMPUTED_VALUE"""),"Water potion")</f>
        <v>Water potion</v>
      </c>
      <c r="B1115" s="1" t="str">
        <f>IFERROR(__xludf.DUMMYFUNCTION("""COMPUTED_VALUE"""),"Gives water immunity for 1 round (Item)")</f>
        <v>Gives water immunity for 1 round (Item)</v>
      </c>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row>
    <row r="1116">
      <c r="A1116" s="1" t="str">
        <f>IFERROR(__xludf.DUMMYFUNCTION("""COMPUTED_VALUE"""),"Jellyfish Stinger")</f>
        <v>Jellyfish Stinger</v>
      </c>
      <c r="B1116" s="1" t="str">
        <f>IFERROR(__xludf.DUMMYFUNCTION("""COMPUTED_VALUE"""),"Crafting Material, roll a d20 to see how many you get if this is a loot drop. (Item)")</f>
        <v>Crafting Material, roll a d20 to see how many you get if this is a loot drop. (Item)</v>
      </c>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row>
    <row r="1117">
      <c r="A1117" s="1" t="str">
        <f>IFERROR(__xludf.DUMMYFUNCTION("""COMPUTED_VALUE"""),"Bee Stinger ")</f>
        <v>Bee Stinger </v>
      </c>
      <c r="B1117" s="1" t="str">
        <f>IFERROR(__xludf.DUMMYFUNCTION("""COMPUTED_VALUE"""),"Crafting Material, roll a d20 to see how many you get if this is a loot drop. (Item)")</f>
        <v>Crafting Material, roll a d20 to see how many you get if this is a loot drop. (Item)</v>
      </c>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row>
    <row r="1118">
      <c r="A1118" s="1" t="str">
        <f>IFERROR(__xludf.DUMMYFUNCTION("""COMPUTED_VALUE"""),"Squid Ink")</f>
        <v>Squid Ink</v>
      </c>
      <c r="B1118" s="1" t="str">
        <f>IFERROR(__xludf.DUMMYFUNCTION("""COMPUTED_VALUE"""),"Crafting Material, roll a d20 to see how many you get if this is a loot drop. (Item)")</f>
        <v>Crafting Material, roll a d20 to see how many you get if this is a loot drop. (Item)</v>
      </c>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row>
    <row r="1119">
      <c r="A1119" s="1" t="str">
        <f>IFERROR(__xludf.DUMMYFUNCTION("""COMPUTED_VALUE"""),"Potion of Water Breathing")</f>
        <v>Potion of Water Breathing</v>
      </c>
      <c r="B1119" s="1" t="str">
        <f>IFERROR(__xludf.DUMMYFUNCTION("""COMPUTED_VALUE"""),"Immune to water for for 3 rounds in battle or 3 days of travel. (Item)")</f>
        <v>Immune to water for for 3 rounds in battle or 3 days of travel. (Item)</v>
      </c>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row>
    <row r="1120">
      <c r="A1120" s="1" t="str">
        <f>IFERROR(__xludf.DUMMYFUNCTION("""COMPUTED_VALUE"""),"Shark Fin")</f>
        <v>Shark Fin</v>
      </c>
      <c r="B1120" s="1" t="str">
        <f>IFERROR(__xludf.DUMMYFUNCTION("""COMPUTED_VALUE"""),"Restores 10 Hunger, +1 ATK until rest (Crop)")</f>
        <v>Restores 10 Hunger, +1 ATK until rest (Crop)</v>
      </c>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row>
    <row r="1121">
      <c r="A1121" s="1" t="str">
        <f>IFERROR(__xludf.DUMMYFUNCTION("""COMPUTED_VALUE"""),"Shark Teeth")</f>
        <v>Shark Teeth</v>
      </c>
      <c r="B1121" s="1" t="str">
        <f>IFERROR(__xludf.DUMMYFUNCTION("""COMPUTED_VALUE"""),"100 = permanently increase Atk by 1 (Item)")</f>
        <v>100 = permanently increase Atk by 1 (Item)</v>
      </c>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row>
    <row r="1122">
      <c r="A1122" s="1" t="str">
        <f>IFERROR(__xludf.DUMMYFUNCTION("""COMPUTED_VALUE"""),"Fish")</f>
        <v>Fish</v>
      </c>
      <c r="B1122" s="1" t="str">
        <f>IFERROR(__xludf.DUMMYFUNCTION("""COMPUTED_VALUE"""),"5 Hunger, +100 water Resist until rest (Crop)")</f>
        <v>5 Hunger, +100 water Resist until rest (Crop)</v>
      </c>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row>
    <row r="1123">
      <c r="A1123" s="1" t="str">
        <f>IFERROR(__xludf.DUMMYFUNCTION("""COMPUTED_VALUE"""),"Huge Teeth")</f>
        <v>Huge Teeth</v>
      </c>
      <c r="B1123" s="1" t="str">
        <f>IFERROR(__xludf.DUMMYFUNCTION("""COMPUTED_VALUE"""),"Worth 1000G at a shop. (Item)")</f>
        <v>Worth 1000G at a shop. (Item)</v>
      </c>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row>
    <row r="1124">
      <c r="A1124" s="1" t="str">
        <f>IFERROR(__xludf.DUMMYFUNCTION("""COMPUTED_VALUE"""),"Enchanted Teeth")</f>
        <v>Enchanted Teeth</v>
      </c>
      <c r="B1124" s="1" t="str">
        <f>IFERROR(__xludf.DUMMYFUNCTION("""COMPUTED_VALUE"""),"Worth 5000G at a shop. (Item)")</f>
        <v>Worth 5000G at a shop. (Item)</v>
      </c>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row>
    <row r="1125">
      <c r="A1125" s="1" t="str">
        <f>IFERROR(__xludf.DUMMYFUNCTION("""COMPUTED_VALUE"""),"Sea Dinosaur Bones")</f>
        <v>Sea Dinosaur Bones</v>
      </c>
      <c r="B1125" s="1" t="str">
        <f>IFERROR(__xludf.DUMMYFUNCTION("""COMPUTED_VALUE"""),"Crafting Material, roll a d20 to see how many you get if this is a loot drop. (Item)")</f>
        <v>Crafting Material, roll a d20 to see how many you get if this is a loot drop. (Item)</v>
      </c>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row>
    <row r="1126">
      <c r="A1126" s="1" t="str">
        <f>IFERROR(__xludf.DUMMYFUNCTION("""COMPUTED_VALUE"""),"Ancient Sea Dinosaur Egg")</f>
        <v>Ancient Sea Dinosaur Egg</v>
      </c>
      <c r="B1126" s="1" t="str">
        <f>IFERROR(__xludf.DUMMYFUNCTION("""COMPUTED_VALUE""")," (Item)")</f>
        <v> (Item)</v>
      </c>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row>
    <row r="1127">
      <c r="A1127" s="1" t="str">
        <f>IFERROR(__xludf.DUMMYFUNCTION("""COMPUTED_VALUE"""),"Water Abyss Key")</f>
        <v>Water Abyss Key</v>
      </c>
      <c r="B1127" s="1" t="str">
        <f>IFERROR(__xludf.DUMMYFUNCTION("""COMPUTED_VALUE"""),"Gain access to the Abyss Dungeon. Cannot be duplicated (Item)")</f>
        <v>Gain access to the Abyss Dungeon. Cannot be duplicated (Item)</v>
      </c>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row>
    <row r="1128">
      <c r="A1128" s="1" t="str">
        <f>IFERROR(__xludf.DUMMYFUNCTION("""COMPUTED_VALUE"""),"Fire Diamond")</f>
        <v>Fire Diamond</v>
      </c>
      <c r="B1128" s="1" t="str">
        <f>IFERROR(__xludf.DUMMYFUNCTION("""COMPUTED_VALUE"""),"Crafting Material, roll a d20 to see how many you get if this is a loot drop. (Item)")</f>
        <v>Crafting Material, roll a d20 to see how many you get if this is a loot drop. (Item)</v>
      </c>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row>
    <row r="1129">
      <c r="A1129" s="1" t="str">
        <f>IFERROR(__xludf.DUMMYFUNCTION("""COMPUTED_VALUE"""),"Giant Fire Diamond")</f>
        <v>Giant Fire Diamond</v>
      </c>
      <c r="B1129" s="1" t="str">
        <f>IFERROR(__xludf.DUMMYFUNCTION("""COMPUTED_VALUE"""),"Crafting Material, roll a d20 to see how many you get if this is a loot drop. (Item)")</f>
        <v>Crafting Material, roll a d20 to see how many you get if this is a loot drop. (Item)</v>
      </c>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row>
    <row r="1130">
      <c r="A1130" s="1" t="str">
        <f>IFERROR(__xludf.DUMMYFUNCTION("""COMPUTED_VALUE"""),"Heatmore Flame Golem Soul")</f>
        <v>Heatmore Flame Golem Soul</v>
      </c>
      <c r="B1130" s="1" t="str">
        <f>IFERROR(__xludf.DUMMYFUNCTION("""COMPUTED_VALUE""")," (Item)")</f>
        <v> (Item)</v>
      </c>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row>
    <row r="1131">
      <c r="A1131" s="1" t="str">
        <f>IFERROR(__xludf.DUMMYFUNCTION("""COMPUTED_VALUE"""),"Flaming Feathers")</f>
        <v>Flaming Feathers</v>
      </c>
      <c r="B1131" s="1" t="str">
        <f>IFERROR(__xludf.DUMMYFUNCTION("""COMPUTED_VALUE"""),"Crafting Material, roll a d20 to see how many you get if this is a loot drop. (Item)")</f>
        <v>Crafting Material, roll a d20 to see how many you get if this is a loot drop. (Item)</v>
      </c>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row>
    <row r="1132">
      <c r="A1132" s="1" t="str">
        <f>IFERROR(__xludf.DUMMYFUNCTION("""COMPUTED_VALUE"""),"Flaming Horns")</f>
        <v>Flaming Horns</v>
      </c>
      <c r="B1132" s="1" t="str">
        <f>IFERROR(__xludf.DUMMYFUNCTION("""COMPUTED_VALUE"""),"Crafting Material, roll a d20 to see how many you get if this is a loot drop. (Item)")</f>
        <v>Crafting Material, roll a d20 to see how many you get if this is a loot drop. (Item)</v>
      </c>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row>
    <row r="1133">
      <c r="A1133" s="1" t="str">
        <f>IFERROR(__xludf.DUMMYFUNCTION("""COMPUTED_VALUE"""),"Cooked Yak Meat")</f>
        <v>Cooked Yak Meat</v>
      </c>
      <c r="B1133" s="1" t="str">
        <f>IFERROR(__xludf.DUMMYFUNCTION("""COMPUTED_VALUE"""),"Restores 10 hunger and energy (Crop)")</f>
        <v>Restores 10 hunger and energy (Crop)</v>
      </c>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row>
    <row r="1134">
      <c r="A1134" s="1" t="str">
        <f>IFERROR(__xludf.DUMMYFUNCTION("""COMPUTED_VALUE"""),"Leaf Of The Ancient Tree Of Flames")</f>
        <v>Leaf Of The Ancient Tree Of Flames</v>
      </c>
      <c r="B1134" s="1" t="str">
        <f>IFERROR(__xludf.DUMMYFUNCTION("""COMPUTED_VALUE"""),"Gain 1 free fire power of choosing. (Can only be obtained once per player) (Item)")</f>
        <v>Gain 1 free fire power of choosing. (Can only be obtained once per player) (Item)</v>
      </c>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row>
    <row r="1135">
      <c r="A1135" s="1" t="str">
        <f>IFERROR(__xludf.DUMMYFUNCTION("""COMPUTED_VALUE"""),"Ancient Volcanic Worm Egg")</f>
        <v>Ancient Volcanic Worm Egg</v>
      </c>
      <c r="B1135" s="1" t="str">
        <f>IFERROR(__xludf.DUMMYFUNCTION("""COMPUTED_VALUE""")," (Item)")</f>
        <v> (Item)</v>
      </c>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row>
    <row r="1136">
      <c r="A1136" s="1" t="str">
        <f>IFERROR(__xludf.DUMMYFUNCTION("""COMPUTED_VALUE"""),"Ancient Volcanic Worm Core")</f>
        <v>Ancient Volcanic Worm Core</v>
      </c>
      <c r="B1136" s="1" t="str">
        <f>IFERROR(__xludf.DUMMYFUNCTION("""COMPUTED_VALUE"""),"Consume to gain permanent 2000 fire resistance. (Can only obtain 1 per player) (Item)")</f>
        <v>Consume to gain permanent 2000 fire resistance. (Can only obtain 1 per player) (Item)</v>
      </c>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row>
    <row r="1137">
      <c r="A1137" s="1" t="str">
        <f>IFERROR(__xludf.DUMMYFUNCTION("""COMPUTED_VALUE"""),"Lava Tiger Skin")</f>
        <v>Lava Tiger Skin</v>
      </c>
      <c r="B1137" s="1" t="str">
        <f>IFERROR(__xludf.DUMMYFUNCTION("""COMPUTED_VALUE"""),"Crafting Material, roll a d20 to see how many you get if this is a loot drop. (Item)")</f>
        <v>Crafting Material, roll a d20 to see how many you get if this is a loot drop. (Item)</v>
      </c>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row>
    <row r="1138">
      <c r="A1138" s="1" t="str">
        <f>IFERROR(__xludf.DUMMYFUNCTION("""COMPUTED_VALUE"""),"Cooked Tiger Meat")</f>
        <v>Cooked Tiger Meat</v>
      </c>
      <c r="B1138" s="1" t="str">
        <f>IFERROR(__xludf.DUMMYFUNCTION("""COMPUTED_VALUE"""),"restores 20 hunger and energy (Crop)")</f>
        <v>restores 20 hunger and energy (Crop)</v>
      </c>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row>
    <row r="1139">
      <c r="A1139" s="1" t="str">
        <f>IFERROR(__xludf.DUMMYFUNCTION("""COMPUTED_VALUE"""),"Liches Eye")</f>
        <v>Liches Eye</v>
      </c>
      <c r="B1139" s="1" t="str">
        <f>IFERROR(__xludf.DUMMYFUNCTION("""COMPUTED_VALUE"""),"Consumable, 100= permanent +5 to accuracy (Item)")</f>
        <v>Consumable, 100= permanent +5 to accuracy (Item)</v>
      </c>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row>
    <row r="1140">
      <c r="A1140" s="1" t="str">
        <f>IFERROR(__xludf.DUMMYFUNCTION("""COMPUTED_VALUE"""),"Rank 9 Fire Tome")</f>
        <v>Rank 9 Fire Tome</v>
      </c>
      <c r="B1140" s="1" t="str">
        <f>IFERROR(__xludf.DUMMYFUNCTION("""COMPUTED_VALUE"""),"Can only obtain 1 per player (Item)")</f>
        <v>Can only obtain 1 per player (Item)</v>
      </c>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row>
    <row r="1141">
      <c r="A1141" s="1" t="str">
        <f>IFERROR(__xludf.DUMMYFUNCTION("""COMPUTED_VALUE"""),"Ancient Fire Serpent Egg")</f>
        <v>Ancient Fire Serpent Egg</v>
      </c>
      <c r="B1141" s="1" t="str">
        <f>IFERROR(__xludf.DUMMYFUNCTION("""COMPUTED_VALUE""")," (Item)")</f>
        <v> (Item)</v>
      </c>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row>
    <row r="1142">
      <c r="A1142" s="1" t="str">
        <f>IFERROR(__xludf.DUMMYFUNCTION("""COMPUTED_VALUE"""),"Demons Eye")</f>
        <v>Demons Eye</v>
      </c>
      <c r="B1142" s="1" t="str">
        <f>IFERROR(__xludf.DUMMYFUNCTION("""COMPUTED_VALUE"""),"Crafting Material, roll a d20 to see how many you get if this is a loot drop. (Item)")</f>
        <v>Crafting Material, roll a d20 to see how many you get if this is a loot drop. (Item)</v>
      </c>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row>
    <row r="1143">
      <c r="A1143" s="1" t="str">
        <f>IFERROR(__xludf.DUMMYFUNCTION("""COMPUTED_VALUE"""),"Demon Core")</f>
        <v>Demon Core</v>
      </c>
      <c r="B1143" s="1" t="str">
        <f>IFERROR(__xludf.DUMMYFUNCTION("""COMPUTED_VALUE"""),"Consumable, 1 free chaos power of choice. (Can only obtain 1 per player) (Item)")</f>
        <v>Consumable, 1 free chaos power of choice. (Can only obtain 1 per player) (Item)</v>
      </c>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row>
    <row r="1144">
      <c r="A1144" s="1" t="str">
        <f>IFERROR(__xludf.DUMMYFUNCTION("""COMPUTED_VALUE"""),"Sentinel Core")</f>
        <v>Sentinel Core</v>
      </c>
      <c r="B1144" s="1" t="str">
        <f>IFERROR(__xludf.DUMMYFUNCTION("""COMPUTED_VALUE"""),"Summon an Ancient Fire Sentinel to battle, Level determined by DM/GM. Can only be used once. (Item)")</f>
        <v>Summon an Ancient Fire Sentinel to battle, Level determined by DM/GM. Can only be used once. (Item)</v>
      </c>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row>
    <row r="1145">
      <c r="A1145" s="1" t="str">
        <f>IFERROR(__xludf.DUMMYFUNCTION("""COMPUTED_VALUE"""),"Fire Gem")</f>
        <v>Fire Gem</v>
      </c>
      <c r="B1145" s="1" t="str">
        <f>IFERROR(__xludf.DUMMYFUNCTION("""COMPUTED_VALUE"""),"Crafting Material, roll a d20 to see how many you get if this is a loot drop. (Item)")</f>
        <v>Crafting Material, roll a d20 to see how many you get if this is a loot drop. (Item)</v>
      </c>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row>
    <row r="1146">
      <c r="A1146" s="1" t="str">
        <f>IFERROR(__xludf.DUMMYFUNCTION("""COMPUTED_VALUE"""),"Aquatic Diamond")</f>
        <v>Aquatic Diamond</v>
      </c>
      <c r="B1146" s="1" t="str">
        <f>IFERROR(__xludf.DUMMYFUNCTION("""COMPUTED_VALUE"""),"Crafting Material, roll a d20 to see how many you get if this is a loot drop. (Item)")</f>
        <v>Crafting Material, roll a d20 to see how many you get if this is a loot drop. (Item)</v>
      </c>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row>
    <row r="1147">
      <c r="A1147" s="1" t="str">
        <f>IFERROR(__xludf.DUMMYFUNCTION("""COMPUTED_VALUE"""),"Corrupted Twilight Knight Soul")</f>
        <v>Corrupted Twilight Knight Soul</v>
      </c>
      <c r="B1147" s="1" t="str">
        <f>IFERROR(__xludf.DUMMYFUNCTION("""COMPUTED_VALUE""")," (Item)")</f>
        <v> (Item)</v>
      </c>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row>
    <row r="1148">
      <c r="A1148" s="1" t="str">
        <f>IFERROR(__xludf.DUMMYFUNCTION("""COMPUTED_VALUE"""),"Hay")</f>
        <v>Hay</v>
      </c>
      <c r="B1148" s="1" t="str">
        <f>IFERROR(__xludf.DUMMYFUNCTION("""COMPUTED_VALUE"""),"Restores 5 hunger. (Crop)")</f>
        <v>Restores 5 hunger. (Crop)</v>
      </c>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row>
    <row r="1149">
      <c r="A1149" s="1" t="str">
        <f>IFERROR(__xludf.DUMMYFUNCTION("""COMPUTED_VALUE"""),"Shadow Suit of armor Soul")</f>
        <v>Shadow Suit of armor Soul</v>
      </c>
      <c r="B1149" s="1" t="str">
        <f>IFERROR(__xludf.DUMMYFUNCTION("""COMPUTED_VALUE""")," (Item)")</f>
        <v> (Item)</v>
      </c>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row>
    <row r="1150">
      <c r="A1150" s="1" t="str">
        <f>IFERROR(__xludf.DUMMYFUNCTION("""COMPUTED_VALUE"""),"Mana Potion")</f>
        <v>Mana Potion</v>
      </c>
      <c r="B1150" s="1" t="str">
        <f>IFERROR(__xludf.DUMMYFUNCTION("""COMPUTED_VALUE"""),"Regain 10 SP (Item)")</f>
        <v>Regain 10 SP (Item)</v>
      </c>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row>
    <row r="1151">
      <c r="A1151" s="1" t="str">
        <f>IFERROR(__xludf.DUMMYFUNCTION("""COMPUTED_VALUE"""),"Werewolf Pelt")</f>
        <v>Werewolf Pelt</v>
      </c>
      <c r="B1151" s="1" t="str">
        <f>IFERROR(__xludf.DUMMYFUNCTION("""COMPUTED_VALUE"""),"Crafting Material, roll a d20 to see how many you get if this is a loot drop. (Item)")</f>
        <v>Crafting Material, roll a d20 to see how many you get if this is a loot drop. (Item)</v>
      </c>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row>
    <row r="1152">
      <c r="A1152" s="1" t="str">
        <f>IFERROR(__xludf.DUMMYFUNCTION("""COMPUTED_VALUE"""),"Halloween Emerald")</f>
        <v>Halloween Emerald</v>
      </c>
      <c r="B1152" s="1" t="str">
        <f>IFERROR(__xludf.DUMMYFUNCTION("""COMPUTED_VALUE"""),"Crafting Material, roll a d20 to see how many you get if this is a loot drop. (Item)")</f>
        <v>Crafting Material, roll a d20 to see how many you get if this is a loot drop. (Item)</v>
      </c>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row>
    <row r="1153">
      <c r="A1153" s="1" t="str">
        <f>IFERROR(__xludf.DUMMYFUNCTION("""COMPUTED_VALUE"""),"Giant Halloween Diamond")</f>
        <v>Giant Halloween Diamond</v>
      </c>
      <c r="B1153" s="1" t="str">
        <f>IFERROR(__xludf.DUMMYFUNCTION("""COMPUTED_VALUE"""),"Crafting Material, roll a d20 to see how many you get if this is a loot drop. (Item)")</f>
        <v>Crafting Material, roll a d20 to see how many you get if this is a loot drop. (Item)</v>
      </c>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row>
    <row r="1154">
      <c r="A1154" s="1" t="str">
        <f>IFERROR(__xludf.DUMMYFUNCTION("""COMPUTED_VALUE"""),"Rank 9 Twilight Tome")</f>
        <v>Rank 9 Twilight Tome</v>
      </c>
      <c r="B1154" s="1" t="str">
        <f>IFERROR(__xludf.DUMMYFUNCTION("""COMPUTED_VALUE"""),"Allows use of up to Rank 9 Twilight Powers (Item)")</f>
        <v>Allows use of up to Rank 9 Twilight Powers (Item)</v>
      </c>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row>
    <row r="1155">
      <c r="A1155" s="1" t="str">
        <f>IFERROR(__xludf.DUMMYFUNCTION("""COMPUTED_VALUE"""),"Stasis Tome Rank 9")</f>
        <v>Stasis Tome Rank 9</v>
      </c>
      <c r="B1155" s="1" t="str">
        <f>IFERROR(__xludf.DUMMYFUNCTION("""COMPUTED_VALUE"""),"Allows use of up to Rank 9 Stasis Powers (Item)")</f>
        <v>Allows use of up to Rank 9 Stasis Powers (Item)</v>
      </c>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row>
    <row r="1156">
      <c r="A1156" s="1" t="str">
        <f>IFERROR(__xludf.DUMMYFUNCTION("""COMPUTED_VALUE"""),"Celestial Core")</f>
        <v>Celestial Core</v>
      </c>
      <c r="B1156" s="1" t="str">
        <f>IFERROR(__xludf.DUMMYFUNCTION("""COMPUTED_VALUE"""),"Crafting Material, roll a d20 to see how many you get if this is a loot drop. (Item)")</f>
        <v>Crafting Material, roll a d20 to see how many you get if this is a loot drop. (Item)</v>
      </c>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row>
    <row r="1157">
      <c r="A1157" s="1" t="str">
        <f>IFERROR(__xludf.DUMMYFUNCTION("""COMPUTED_VALUE"""),"Vampires Tooth")</f>
        <v>Vampires Tooth</v>
      </c>
      <c r="B1157" s="1" t="str">
        <f>IFERROR(__xludf.DUMMYFUNCTION("""COMPUTED_VALUE"""),"Crafting Material, roll a d20 to see how many you get if this is a loot drop. (Item)")</f>
        <v>Crafting Material, roll a d20 to see how many you get if this is a loot drop. (Item)</v>
      </c>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row>
    <row r="1158">
      <c r="A1158" s="1" t="str">
        <f>IFERROR(__xludf.DUMMYFUNCTION("""COMPUTED_VALUE"""),"Cursed Statue Of Knowing")</f>
        <v>Cursed Statue Of Knowing</v>
      </c>
      <c r="B1158" s="1" t="str">
        <f>IFERROR(__xludf.DUMMYFUNCTION("""COMPUTED_VALUE"""),"Quest item. (Item)")</f>
        <v>Quest item. (Item)</v>
      </c>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row>
    <row r="1159">
      <c r="A1159" s="1" t="str">
        <f>IFERROR(__xludf.DUMMYFUNCTION("""COMPUTED_VALUE"""),"Orb Of Shadows")</f>
        <v>Orb Of Shadows</v>
      </c>
      <c r="B1159" s="1" t="str">
        <f>IFERROR(__xludf.DUMMYFUNCTION("""COMPUTED_VALUE"""),"Quest item. (Item)")</f>
        <v>Quest item. (Item)</v>
      </c>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row>
    <row r="1160">
      <c r="A1160" s="1" t="str">
        <f>IFERROR(__xludf.DUMMYFUNCTION("""COMPUTED_VALUE"""),"Blessed Torch")</f>
        <v>Blessed Torch</v>
      </c>
      <c r="B1160" s="1" t="str">
        <f>IFERROR(__xludf.DUMMYFUNCTION("""COMPUTED_VALUE"""),"Lights a bonfire. (guaranteed drop) (Item)")</f>
        <v>Lights a bonfire. (guaranteed drop) (Item)</v>
      </c>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row>
    <row r="1161">
      <c r="A1161" s="1" t="str">
        <f>IFERROR(__xludf.DUMMYFUNCTION("""COMPUTED_VALUE"""),"Pebble of Fertility")</f>
        <v>Pebble of Fertility</v>
      </c>
      <c r="B1161" s="1" t="str">
        <f>IFERROR(__xludf.DUMMYFUNCTION("""COMPUTED_VALUE"""),"double the loot when consumed before battle. (Item)")</f>
        <v>double the loot when consumed before battle. (Item)</v>
      </c>
      <c r="C1161" s="1"/>
      <c r="D1161" s="1"/>
      <c r="E1161" s="1"/>
      <c r="F1161" s="1"/>
      <c r="G1161" s="1"/>
      <c r="H1161" s="1"/>
      <c r="I1161" s="1"/>
      <c r="J1161" s="1"/>
      <c r="K1161" s="1"/>
      <c r="L1161" s="1"/>
      <c r="M1161" s="1"/>
      <c r="N1161" s="1"/>
      <c r="O1161" s="1"/>
      <c r="P1161" s="1"/>
      <c r="Q1161" s="1"/>
      <c r="R1161" s="1"/>
      <c r="S1161" s="1"/>
      <c r="T1161" s="1"/>
      <c r="U1161" s="1"/>
      <c r="V1161" s="1"/>
      <c r="W1161" s="1"/>
      <c r="X1161" s="1"/>
      <c r="Y1161" s="1"/>
      <c r="Z1161" s="1"/>
    </row>
    <row r="1162">
      <c r="A1162" s="1" t="str">
        <f>IFERROR(__xludf.DUMMYFUNCTION("""COMPUTED_VALUE"""),"Forest Faery Egg")</f>
        <v>Forest Faery Egg</v>
      </c>
      <c r="B1162" s="1" t="str">
        <f>IFERROR(__xludf.DUMMYFUNCTION("""COMPUTED_VALUE"""),"Gives a Faery companion (60) (must be in a forest for the egg to hatch) (Item)")</f>
        <v>Gives a Faery companion (60) (must be in a forest for the egg to hatch) (Item)</v>
      </c>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row>
    <row r="1163">
      <c r="A1163" s="1" t="str">
        <f>IFERROR(__xludf.DUMMYFUNCTION("""COMPUTED_VALUE"""),"Pandan flower")</f>
        <v>Pandan flower</v>
      </c>
      <c r="B1163" s="1" t="str">
        <f>IFERROR(__xludf.DUMMYFUNCTION("""COMPUTED_VALUE"""),"Cures 1 curse (Item)")</f>
        <v>Cures 1 curse (Item)</v>
      </c>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row>
    <row r="1164">
      <c r="A1164" s="1" t="str">
        <f>IFERROR(__xludf.DUMMYFUNCTION("""COMPUTED_VALUE"""),"Rank 5 Earth Tome")</f>
        <v>Rank 5 Earth Tome</v>
      </c>
      <c r="B1164" s="1" t="str">
        <f>IFERROR(__xludf.DUMMYFUNCTION("""COMPUTED_VALUE"""),"Allows use of up to Rank 5 Earth Powers (Item)")</f>
        <v>Allows use of up to Rank 5 Earth Powers (Item)</v>
      </c>
      <c r="C1164" s="1"/>
      <c r="D1164" s="1"/>
      <c r="E1164" s="1"/>
      <c r="F1164" s="1"/>
      <c r="G1164" s="1"/>
      <c r="H1164" s="1"/>
      <c r="I1164" s="1"/>
      <c r="J1164" s="1"/>
      <c r="K1164" s="1"/>
      <c r="L1164" s="1"/>
      <c r="M1164" s="1"/>
      <c r="N1164" s="1"/>
      <c r="O1164" s="1"/>
      <c r="P1164" s="1"/>
      <c r="Q1164" s="1"/>
      <c r="R1164" s="1"/>
      <c r="S1164" s="1"/>
      <c r="T1164" s="1"/>
      <c r="U1164" s="1"/>
      <c r="V1164" s="1"/>
      <c r="W1164" s="1"/>
      <c r="X1164" s="1"/>
      <c r="Y1164" s="1"/>
      <c r="Z1164" s="1"/>
    </row>
    <row r="1165">
      <c r="A1165" s="1" t="str">
        <f>IFERROR(__xludf.DUMMYFUNCTION("""COMPUTED_VALUE"""),"Earth Gem")</f>
        <v>Earth Gem</v>
      </c>
      <c r="B1165" s="1" t="str">
        <f>IFERROR(__xludf.DUMMYFUNCTION("""COMPUTED_VALUE"""),"Crafting Material, roll a d20 to see how many you get if this is a loot drop. (Item)")</f>
        <v>Crafting Material, roll a d20 to see how many you get if this is a loot drop. (Item)</v>
      </c>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row>
    <row r="1166">
      <c r="A1166" s="1" t="str">
        <f>IFERROR(__xludf.DUMMYFUNCTION("""COMPUTED_VALUE"""),"Key Of Knowledge")</f>
        <v>Key Of Knowledge</v>
      </c>
      <c r="B1166" s="1" t="str">
        <f>IFERROR(__xludf.DUMMYFUNCTION("""COMPUTED_VALUE"""),"grants access to the room of knowledge (Item)")</f>
        <v>grants access to the room of knowledge (Item)</v>
      </c>
      <c r="C1166" s="1"/>
      <c r="D1166" s="1"/>
      <c r="E1166" s="1"/>
      <c r="F1166" s="1"/>
      <c r="G1166" s="1"/>
      <c r="H1166" s="1"/>
      <c r="I1166" s="1"/>
      <c r="J1166" s="1"/>
      <c r="K1166" s="1"/>
      <c r="L1166" s="1"/>
      <c r="M1166" s="1"/>
      <c r="N1166" s="1"/>
      <c r="O1166" s="1"/>
      <c r="P1166" s="1"/>
      <c r="Q1166" s="1"/>
      <c r="R1166" s="1"/>
      <c r="S1166" s="1"/>
      <c r="T1166" s="1"/>
      <c r="U1166" s="1"/>
      <c r="V1166" s="1"/>
      <c r="W1166" s="1"/>
      <c r="X1166" s="1"/>
      <c r="Y1166" s="1"/>
      <c r="Z1166" s="1"/>
    </row>
    <row r="1167">
      <c r="A1167" s="1" t="str">
        <f>IFERROR(__xludf.DUMMYFUNCTION("""COMPUTED_VALUE"""),"Medallion 1")</f>
        <v>Medallion 1</v>
      </c>
      <c r="B1167" s="1" t="str">
        <f>IFERROR(__xludf.DUMMYFUNCTION("""COMPUTED_VALUE"""),"Grants access to the Ruins of Mana. (Item)")</f>
        <v>Grants access to the Ruins of Mana. (Item)</v>
      </c>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row>
    <row r="1168">
      <c r="A1168" s="1" t="str">
        <f>IFERROR(__xludf.DUMMYFUNCTION("""COMPUTED_VALUE"""),"Medallion 2")</f>
        <v>Medallion 2</v>
      </c>
      <c r="B1168" s="1" t="str">
        <f>IFERROR(__xludf.DUMMYFUNCTION("""COMPUTED_VALUE"""),"Grants access to the Ruins of Mana. (Item)")</f>
        <v>Grants access to the Ruins of Mana. (Item)</v>
      </c>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row>
    <row r="1169">
      <c r="A1169" s="1" t="str">
        <f>IFERROR(__xludf.DUMMYFUNCTION("""COMPUTED_VALUE"""),"Medallion 3")</f>
        <v>Medallion 3</v>
      </c>
      <c r="B1169" s="1" t="str">
        <f>IFERROR(__xludf.DUMMYFUNCTION("""COMPUTED_VALUE"""),"Grants access to the Ruins of Mana. (Item)")</f>
        <v>Grants access to the Ruins of Mana. (Item)</v>
      </c>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row>
    <row r="1170">
      <c r="A1170" s="1" t="str">
        <f>IFERROR(__xludf.DUMMYFUNCTION("""COMPUTED_VALUE"""),"Medallion 4")</f>
        <v>Medallion 4</v>
      </c>
      <c r="B1170" s="1" t="str">
        <f>IFERROR(__xludf.DUMMYFUNCTION("""COMPUTED_VALUE"""),"Grants access to the Ruins of Mana. (Item)")</f>
        <v>Grants access to the Ruins of Mana. (Item)</v>
      </c>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row>
    <row r="1171">
      <c r="A1171" s="1" t="str">
        <f>IFERROR(__xludf.DUMMYFUNCTION("""COMPUTED_VALUE"""),"Enchanted Ice Gem")</f>
        <v>Enchanted Ice Gem</v>
      </c>
      <c r="B1171" s="1" t="str">
        <f>IFERROR(__xludf.DUMMYFUNCTION("""COMPUTED_VALUE"""),"Crafting Material, roll a d20 to see how many you get if this is a loot drop., can be forged into an weapon to give it +5%  chance of freezing 1 target. can forge multiple of these gems together to increase the percentage to a max of 100% (Item)")</f>
        <v>Crafting Material, roll a d20 to see how many you get if this is a loot drop., can be forged into an weapon to give it +5%  chance of freezing 1 target. can forge multiple of these gems together to increase the percentage to a max of 100% (Item)</v>
      </c>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row>
    <row r="1172">
      <c r="A1172" s="1" t="str">
        <f>IFERROR(__xludf.DUMMYFUNCTION("""COMPUTED_VALUE"""),"Carnelian Crystal")</f>
        <v>Carnelian Crystal</v>
      </c>
      <c r="B1172" s="1" t="str">
        <f>IFERROR(__xludf.DUMMYFUNCTION("""COMPUTED_VALUE"""),"Can be forged into armor, one crystal max inside forged equipment. +2 Mobility   (Item)")</f>
        <v>Can be forged into armor, one crystal max inside forged equipment. +2 Mobility   (Item)</v>
      </c>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row>
    <row r="1173">
      <c r="A1173" s="1" t="str">
        <f>IFERROR(__xludf.DUMMYFUNCTION("""COMPUTED_VALUE"""),"Citrine Crystal")</f>
        <v>Citrine Crystal</v>
      </c>
      <c r="B1173" s="1" t="str">
        <f>IFERROR(__xludf.DUMMYFUNCTION("""COMPUTED_VALUE"""),"Can be forged into armor, one crystal max inside forged equipment. 25% chance to move up one spot in the turn order this effect is unnaffected by other forged items/effects. (Item)")</f>
        <v>Can be forged into armor, one crystal max inside forged equipment. 25% chance to move up one spot in the turn order this effect is unnaffected by other forged items/effects. (Item)</v>
      </c>
      <c r="C1173" s="1"/>
      <c r="D1173" s="1"/>
      <c r="E1173" s="1"/>
      <c r="F1173" s="1"/>
      <c r="G1173" s="1"/>
      <c r="H1173" s="1"/>
      <c r="I1173" s="1"/>
      <c r="J1173" s="1"/>
      <c r="K1173" s="1"/>
      <c r="L1173" s="1"/>
      <c r="M1173" s="1"/>
      <c r="N1173" s="1"/>
      <c r="O1173" s="1"/>
      <c r="P1173" s="1"/>
      <c r="Q1173" s="1"/>
      <c r="R1173" s="1"/>
      <c r="S1173" s="1"/>
      <c r="T1173" s="1"/>
      <c r="U1173" s="1"/>
      <c r="V1173" s="1"/>
      <c r="W1173" s="1"/>
      <c r="X1173" s="1"/>
      <c r="Y1173" s="1"/>
      <c r="Z1173" s="1"/>
    </row>
    <row r="1174">
      <c r="A1174" s="1" t="str">
        <f>IFERROR(__xludf.DUMMYFUNCTION("""COMPUTED_VALUE"""),"Tiger's Eye Crystal")</f>
        <v>Tiger's Eye Crystal</v>
      </c>
      <c r="B1174" s="1" t="str">
        <f>IFERROR(__xludf.DUMMYFUNCTION("""COMPUTED_VALUE"""),"Can be forged into a weapon, one crystal max inside forged equipment. 25% chance to dodge an attack, this effect is unnaffected by other forged items/effects. (Item)")</f>
        <v>Can be forged into a weapon, one crystal max inside forged equipment. 25% chance to dodge an attack, this effect is unnaffected by other forged items/effects. (Item)</v>
      </c>
      <c r="C1174" s="1"/>
      <c r="D1174" s="1"/>
      <c r="E1174" s="1"/>
      <c r="F1174" s="1"/>
      <c r="G1174" s="1"/>
      <c r="H1174" s="1"/>
      <c r="I1174" s="1"/>
      <c r="J1174" s="1"/>
      <c r="K1174" s="1"/>
      <c r="L1174" s="1"/>
      <c r="M1174" s="1"/>
      <c r="N1174" s="1"/>
      <c r="O1174" s="1"/>
      <c r="P1174" s="1"/>
      <c r="Q1174" s="1"/>
      <c r="R1174" s="1"/>
      <c r="S1174" s="1"/>
      <c r="T1174" s="1"/>
      <c r="U1174" s="1"/>
      <c r="V1174" s="1"/>
      <c r="W1174" s="1"/>
      <c r="X1174" s="1"/>
      <c r="Y1174" s="1"/>
      <c r="Z1174" s="1"/>
    </row>
    <row r="1175">
      <c r="A1175" s="1" t="str">
        <f>IFERROR(__xludf.DUMMYFUNCTION("""COMPUTED_VALUE"""),"Lodestone Crystal")</f>
        <v>Lodestone Crystal</v>
      </c>
      <c r="B1175" s="1" t="str">
        <f>IFERROR(__xludf.DUMMYFUNCTION("""COMPUTED_VALUE"""),"Can be forged into a weapon, one crystal max inside forged equipment. absorbs the first attack of each battle. (Item)")</f>
        <v>Can be forged into a weapon, one crystal max inside forged equipment. absorbs the first attack of each battle. (Item)</v>
      </c>
      <c r="C1175" s="1"/>
      <c r="D1175" s="1"/>
      <c r="E1175" s="1"/>
      <c r="F1175" s="1"/>
      <c r="G1175" s="1"/>
      <c r="H1175" s="1"/>
      <c r="I1175" s="1"/>
      <c r="J1175" s="1"/>
      <c r="K1175" s="1"/>
      <c r="L1175" s="1"/>
      <c r="M1175" s="1"/>
      <c r="N1175" s="1"/>
      <c r="O1175" s="1"/>
      <c r="P1175" s="1"/>
      <c r="Q1175" s="1"/>
      <c r="R1175" s="1"/>
      <c r="S1175" s="1"/>
      <c r="T1175" s="1"/>
      <c r="U1175" s="1"/>
      <c r="V1175" s="1"/>
      <c r="W1175" s="1"/>
      <c r="X1175" s="1"/>
      <c r="Y1175" s="1"/>
      <c r="Z1175" s="1"/>
    </row>
    <row r="1176">
      <c r="A1176" s="1" t="str">
        <f>IFERROR(__xludf.DUMMYFUNCTION("""COMPUTED_VALUE"""),"Peridot Crystal")</f>
        <v>Peridot Crystal</v>
      </c>
      <c r="B1176" s="1" t="str">
        <f>IFERROR(__xludf.DUMMYFUNCTION("""COMPUTED_VALUE"""),"Can be forged into a armor, one crystal max inside forged equipment. +300HP per round. (Item)")</f>
        <v>Can be forged into a armor, one crystal max inside forged equipment. +300HP per round. (Item)</v>
      </c>
      <c r="C1176" s="1"/>
      <c r="D1176" s="1"/>
      <c r="E1176" s="1"/>
      <c r="F1176" s="1"/>
      <c r="G1176" s="1"/>
      <c r="H1176" s="1"/>
      <c r="I1176" s="1"/>
      <c r="J1176" s="1"/>
      <c r="K1176" s="1"/>
      <c r="L1176" s="1"/>
      <c r="M1176" s="1"/>
      <c r="N1176" s="1"/>
      <c r="O1176" s="1"/>
      <c r="P1176" s="1"/>
      <c r="Q1176" s="1"/>
      <c r="R1176" s="1"/>
      <c r="S1176" s="1"/>
      <c r="T1176" s="1"/>
      <c r="U1176" s="1"/>
      <c r="V1176" s="1"/>
      <c r="W1176" s="1"/>
      <c r="X1176" s="1"/>
      <c r="Y1176" s="1"/>
      <c r="Z1176" s="1"/>
    </row>
    <row r="1177">
      <c r="A1177" s="1" t="str">
        <f>IFERROR(__xludf.DUMMYFUNCTION("""COMPUTED_VALUE"""),"Golden Topaz")</f>
        <v>Golden Topaz</v>
      </c>
      <c r="B1177" s="1" t="str">
        <f>IFERROR(__xludf.DUMMYFUNCTION("""COMPUTED_VALUE"""),"Can be forged into a armor, one crystal max inside forged equipment. 50% chance to cure a curse for user only while cursed, this effect is unnaffected by other forged items/effects. (Item)")</f>
        <v>Can be forged into a armor, one crystal max inside forged equipment. 50% chance to cure a curse for user only while cursed, this effect is unnaffected by other forged items/effects. (Item)</v>
      </c>
      <c r="C1177" s="1"/>
      <c r="D1177" s="1"/>
      <c r="E1177" s="1"/>
      <c r="F1177" s="1"/>
      <c r="G1177" s="1"/>
      <c r="H1177" s="1"/>
      <c r="I1177" s="1"/>
      <c r="J1177" s="1"/>
      <c r="K1177" s="1"/>
      <c r="L1177" s="1"/>
      <c r="M1177" s="1"/>
      <c r="N1177" s="1"/>
      <c r="O1177" s="1"/>
      <c r="P1177" s="1"/>
      <c r="Q1177" s="1"/>
      <c r="R1177" s="1"/>
      <c r="S1177" s="1"/>
      <c r="T1177" s="1"/>
      <c r="U1177" s="1"/>
      <c r="V1177" s="1"/>
      <c r="W1177" s="1"/>
      <c r="X1177" s="1"/>
      <c r="Y1177" s="1"/>
      <c r="Z1177" s="1"/>
    </row>
    <row r="1178">
      <c r="A1178" s="1" t="str">
        <f>IFERROR(__xludf.DUMMYFUNCTION("""COMPUTED_VALUE"""),"Sea Crystal ")</f>
        <v>Sea Crystal </v>
      </c>
      <c r="B1178" s="1" t="str">
        <f>IFERROR(__xludf.DUMMYFUNCTION("""COMPUTED_VALUE"""),"Can be forged into an item. all water damage now gives hp and sp back equal to the amount of damage caused. Cannot be duplicated. (Item)")</f>
        <v>Can be forged into an item. all water damage now gives hp and sp back equal to the amount of damage caused. Cannot be duplicated. (Item)</v>
      </c>
      <c r="C1178" s="1"/>
      <c r="D1178" s="1"/>
      <c r="E1178" s="1"/>
      <c r="F1178" s="1"/>
      <c r="G1178" s="1"/>
      <c r="H1178" s="1"/>
      <c r="I1178" s="1"/>
      <c r="J1178" s="1"/>
      <c r="K1178" s="1"/>
      <c r="L1178" s="1"/>
      <c r="M1178" s="1"/>
      <c r="N1178" s="1"/>
      <c r="O1178" s="1"/>
      <c r="P1178" s="1"/>
      <c r="Q1178" s="1"/>
      <c r="R1178" s="1"/>
      <c r="S1178" s="1"/>
      <c r="T1178" s="1"/>
      <c r="U1178" s="1"/>
      <c r="V1178" s="1"/>
      <c r="W1178" s="1"/>
      <c r="X1178" s="1"/>
      <c r="Y1178" s="1"/>
      <c r="Z1178" s="1"/>
    </row>
    <row r="1179">
      <c r="A1179" s="1" t="str">
        <f>IFERROR(__xludf.DUMMYFUNCTION("""COMPUTED_VALUE"""),"The Root Of Nature")</f>
        <v>The Root Of Nature</v>
      </c>
      <c r="B1179" s="1" t="str">
        <f>IFERROR(__xludf.DUMMYFUNCTION("""COMPUTED_VALUE"""),"Can be brewed into a potion then consumed to give the user permanant immunity to nature and give the user a permanant x10 to nature damage. Cannot be duplicated. (Item)")</f>
        <v>Can be brewed into a potion then consumed to give the user permanant immunity to nature and give the user a permanant x10 to nature damage. Cannot be duplicated. (Item)</v>
      </c>
      <c r="C1179" s="1"/>
      <c r="D1179" s="1"/>
      <c r="E1179" s="1"/>
      <c r="F1179" s="1"/>
      <c r="G1179" s="1"/>
      <c r="H1179" s="1"/>
      <c r="I1179" s="1"/>
      <c r="J1179" s="1"/>
      <c r="K1179" s="1"/>
      <c r="L1179" s="1"/>
      <c r="M1179" s="1"/>
      <c r="N1179" s="1"/>
      <c r="O1179" s="1"/>
      <c r="P1179" s="1"/>
      <c r="Q1179" s="1"/>
      <c r="R1179" s="1"/>
      <c r="S1179" s="1"/>
      <c r="T1179" s="1"/>
      <c r="U1179" s="1"/>
      <c r="V1179" s="1"/>
      <c r="W1179" s="1"/>
      <c r="X1179" s="1"/>
      <c r="Y1179" s="1"/>
      <c r="Z1179" s="1"/>
    </row>
    <row r="1180">
      <c r="A1180" s="1" t="str">
        <f>IFERROR(__xludf.DUMMYFUNCTION("""COMPUTED_VALUE"""),"Rich Sand")</f>
        <v>Rich Sand</v>
      </c>
      <c r="B1180" s="1" t="str">
        <f>IFERROR(__xludf.DUMMYFUNCTION("""COMPUTED_VALUE"""),"can be forged into armor to give the user an immunity to earth and X10 earth damage. Cannot be duplicated. (Item)")</f>
        <v>can be forged into armor to give the user an immunity to earth and X10 earth damage. Cannot be duplicated. (Item)</v>
      </c>
      <c r="C1180" s="1"/>
      <c r="D1180" s="1"/>
      <c r="E1180" s="1"/>
      <c r="F1180" s="1"/>
      <c r="G1180" s="1"/>
      <c r="H1180" s="1"/>
      <c r="I1180" s="1"/>
      <c r="J1180" s="1"/>
      <c r="K1180" s="1"/>
      <c r="L1180" s="1"/>
      <c r="M1180" s="1"/>
      <c r="N1180" s="1"/>
      <c r="O1180" s="1"/>
      <c r="P1180" s="1"/>
      <c r="Q1180" s="1"/>
      <c r="R1180" s="1"/>
      <c r="S1180" s="1"/>
      <c r="T1180" s="1"/>
      <c r="U1180" s="1"/>
      <c r="V1180" s="1"/>
      <c r="W1180" s="1"/>
      <c r="X1180" s="1"/>
      <c r="Y1180" s="1"/>
      <c r="Z1180" s="1"/>
    </row>
    <row r="1181">
      <c r="A1181" s="1" t="str">
        <f>IFERROR(__xludf.DUMMYFUNCTION("""COMPUTED_VALUE"""),"Sacred Sap")</f>
        <v>Sacred Sap</v>
      </c>
      <c r="B1181" s="1" t="str">
        <f>IFERROR(__xludf.DUMMYFUNCTION("""COMPUTED_VALUE"""),"Can be brewed into a potion then consumed to gain 200 levels. Cannot be duplicated. (Item)")</f>
        <v>Can be brewed into a potion then consumed to gain 200 levels. Cannot be duplicated. (Item)</v>
      </c>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row>
    <row r="1182">
      <c r="A1182" s="1" t="str">
        <f>IFERROR(__xludf.DUMMYFUNCTION("""COMPUTED_VALUE"""),"Frozen Shard")</f>
        <v>Frozen Shard</v>
      </c>
      <c r="B1182" s="1" t="str">
        <f>IFERROR(__xludf.DUMMYFUNCTION("""COMPUTED_VALUE"""),"Can be forged into a weapon to give it a 100% chance to freeze a target it hits, or forged into a piece of armor to give you immunity to freezing. Cannot be duplicated. (Item)")</f>
        <v>Can be forged into a weapon to give it a 100% chance to freeze a target it hits, or forged into a piece of armor to give you immunity to freezing. Cannot be duplicated. (Item)</v>
      </c>
      <c r="C1182" s="1"/>
      <c r="D1182" s="1"/>
      <c r="E1182" s="1"/>
      <c r="F1182" s="1"/>
      <c r="G1182" s="1"/>
      <c r="H1182" s="1"/>
      <c r="I1182" s="1"/>
      <c r="J1182" s="1"/>
      <c r="K1182" s="1"/>
      <c r="L1182" s="1"/>
      <c r="M1182" s="1"/>
      <c r="N1182" s="1"/>
      <c r="O1182" s="1"/>
      <c r="P1182" s="1"/>
      <c r="Q1182" s="1"/>
      <c r="R1182" s="1"/>
      <c r="S1182" s="1"/>
      <c r="T1182" s="1"/>
      <c r="U1182" s="1"/>
      <c r="V1182" s="1"/>
      <c r="W1182" s="1"/>
      <c r="X1182" s="1"/>
      <c r="Y1182" s="1"/>
      <c r="Z1182" s="1"/>
    </row>
    <row r="1183">
      <c r="A1183" s="1" t="str">
        <f>IFERROR(__xludf.DUMMYFUNCTION("""COMPUTED_VALUE"""),"Tome of Chaotic Darkness")</f>
        <v>Tome of Chaotic Darkness</v>
      </c>
      <c r="B1183" s="1" t="str">
        <f>IFERROR(__xludf.DUMMYFUNCTION("""COMPUTED_VALUE"""),"Allows use of up to Rank 9 Dark and Chaos Powers. (Item)")</f>
        <v>Allows use of up to Rank 9 Dark and Chaos Powers. (Item)</v>
      </c>
      <c r="C1183" s="1"/>
      <c r="D1183" s="1"/>
      <c r="E1183" s="1"/>
      <c r="F1183" s="1"/>
      <c r="G1183" s="1"/>
      <c r="H1183" s="1"/>
      <c r="I1183" s="1"/>
      <c r="J1183" s="1"/>
      <c r="K1183" s="1"/>
      <c r="L1183" s="1"/>
      <c r="M1183" s="1"/>
      <c r="N1183" s="1"/>
      <c r="O1183" s="1"/>
      <c r="P1183" s="1"/>
      <c r="Q1183" s="1"/>
      <c r="R1183" s="1"/>
      <c r="S1183" s="1"/>
      <c r="T1183" s="1"/>
      <c r="U1183" s="1"/>
      <c r="V1183" s="1"/>
      <c r="W1183" s="1"/>
      <c r="X1183" s="1"/>
      <c r="Y1183" s="1"/>
      <c r="Z1183" s="1"/>
    </row>
    <row r="1184">
      <c r="A1184" s="1" t="str">
        <f>IFERROR(__xludf.DUMMYFUNCTION("""COMPUTED_VALUE"""),"The Land of The Forgotten Map")</f>
        <v>The Land of The Forgotten Map</v>
      </c>
      <c r="B1184" s="1" t="str">
        <f>IFERROR(__xludf.DUMMYFUNCTION("""COMPUTED_VALUE"""),"Shows you where to find The Land of The Forgotten. (Item)")</f>
        <v>Shows you where to find The Land of The Forgotten. (Item)</v>
      </c>
      <c r="C1184" s="1"/>
      <c r="D1184" s="1"/>
      <c r="E1184" s="1"/>
      <c r="F1184" s="1"/>
      <c r="G1184" s="1"/>
      <c r="H1184" s="1"/>
      <c r="I1184" s="1"/>
      <c r="J1184" s="1"/>
      <c r="K1184" s="1"/>
      <c r="L1184" s="1"/>
      <c r="M1184" s="1"/>
      <c r="N1184" s="1"/>
      <c r="O1184" s="1"/>
      <c r="P1184" s="1"/>
      <c r="Q1184" s="1"/>
      <c r="R1184" s="1"/>
      <c r="S1184" s="1"/>
      <c r="T1184" s="1"/>
      <c r="U1184" s="1"/>
      <c r="V1184" s="1"/>
      <c r="W1184" s="1"/>
      <c r="X1184" s="1"/>
      <c r="Y1184" s="1"/>
      <c r="Z1184" s="1"/>
    </row>
    <row r="1185">
      <c r="A1185" s="1" t="str">
        <f>IFERROR(__xludf.DUMMYFUNCTION("""COMPUTED_VALUE"""),"Corn On The Cob")</f>
        <v>Corn On The Cob</v>
      </c>
      <c r="B1185" s="1" t="str">
        <f>IFERROR(__xludf.DUMMYFUNCTION("""COMPUTED_VALUE"""),"Restores 10 hunger. (Crop)")</f>
        <v>Restores 10 hunger. (Crop)</v>
      </c>
      <c r="C1185" s="1"/>
      <c r="D1185" s="1"/>
      <c r="E1185" s="1"/>
      <c r="F1185" s="1"/>
      <c r="G1185" s="1"/>
      <c r="H1185" s="1"/>
      <c r="I1185" s="1"/>
      <c r="J1185" s="1"/>
      <c r="K1185" s="1"/>
      <c r="L1185" s="1"/>
      <c r="M1185" s="1"/>
      <c r="N1185" s="1"/>
      <c r="O1185" s="1"/>
      <c r="P1185" s="1"/>
      <c r="Q1185" s="1"/>
      <c r="R1185" s="1"/>
      <c r="S1185" s="1"/>
      <c r="T1185" s="1"/>
      <c r="U1185" s="1"/>
      <c r="V1185" s="1"/>
      <c r="W1185" s="1"/>
      <c r="X1185" s="1"/>
      <c r="Y1185" s="1"/>
      <c r="Z1185" s="1"/>
    </row>
    <row r="1186">
      <c r="A1186" s="1" t="str">
        <f>IFERROR(__xludf.DUMMYFUNCTION("""COMPUTED_VALUE"""),"Festival Bread Loaf")</f>
        <v>Festival Bread Loaf</v>
      </c>
      <c r="B1186" s="1" t="str">
        <f>IFERROR(__xludf.DUMMYFUNCTION("""COMPUTED_VALUE"""),"Restores 30 hunger and decreases 10 thirst. (Crop)")</f>
        <v>Restores 30 hunger and decreases 10 thirst. (Crop)</v>
      </c>
      <c r="C1186" s="1"/>
      <c r="D1186" s="1"/>
      <c r="E1186" s="1"/>
      <c r="F1186" s="1"/>
      <c r="G1186" s="1"/>
      <c r="H1186" s="1"/>
      <c r="I1186" s="1"/>
      <c r="J1186" s="1"/>
      <c r="K1186" s="1"/>
      <c r="L1186" s="1"/>
      <c r="M1186" s="1"/>
      <c r="N1186" s="1"/>
      <c r="O1186" s="1"/>
      <c r="P1186" s="1"/>
      <c r="Q1186" s="1"/>
      <c r="R1186" s="1"/>
      <c r="S1186" s="1"/>
      <c r="T1186" s="1"/>
      <c r="U1186" s="1"/>
      <c r="V1186" s="1"/>
      <c r="W1186" s="1"/>
      <c r="X1186" s="1"/>
      <c r="Y1186" s="1"/>
      <c r="Z1186" s="1"/>
    </row>
    <row r="1187">
      <c r="A1187" s="1" t="str">
        <f>IFERROR(__xludf.DUMMYFUNCTION("""COMPUTED_VALUE"""),"Fruit Cake")</f>
        <v>Fruit Cake</v>
      </c>
      <c r="B1187" s="1" t="str">
        <f>IFERROR(__xludf.DUMMYFUNCTION("""COMPUTED_VALUE"""),"Restores 20 energy and hunger (Crop)")</f>
        <v>Restores 20 energy and hunger (Crop)</v>
      </c>
      <c r="C1187" s="1"/>
      <c r="D1187" s="1"/>
      <c r="E1187" s="1"/>
      <c r="F1187" s="1"/>
      <c r="G1187" s="1"/>
      <c r="H1187" s="1"/>
      <c r="I1187" s="1"/>
      <c r="J1187" s="1"/>
      <c r="K1187" s="1"/>
      <c r="L1187" s="1"/>
      <c r="M1187" s="1"/>
      <c r="N1187" s="1"/>
      <c r="O1187" s="1"/>
      <c r="P1187" s="1"/>
      <c r="Q1187" s="1"/>
      <c r="R1187" s="1"/>
      <c r="S1187" s="1"/>
      <c r="T1187" s="1"/>
      <c r="U1187" s="1"/>
      <c r="V1187" s="1"/>
      <c r="W1187" s="1"/>
      <c r="X1187" s="1"/>
      <c r="Y1187" s="1"/>
      <c r="Z1187" s="1"/>
    </row>
    <row r="1188">
      <c r="A1188" s="1" t="str">
        <f>IFERROR(__xludf.DUMMYFUNCTION("""COMPUTED_VALUE"""),"Festival Mead")</f>
        <v>Festival Mead</v>
      </c>
      <c r="B1188" s="1" t="str">
        <f>IFERROR(__xludf.DUMMYFUNCTION("""COMPUTED_VALUE"""),"Restores 20 thirst. (Item)")</f>
        <v>Restores 20 thirst. (Item)</v>
      </c>
      <c r="C1188" s="1"/>
      <c r="D1188" s="1"/>
      <c r="E1188" s="1"/>
      <c r="F1188" s="1"/>
      <c r="G1188" s="1"/>
      <c r="H1188" s="1"/>
      <c r="I1188" s="1"/>
      <c r="J1188" s="1"/>
      <c r="K1188" s="1"/>
      <c r="L1188" s="1"/>
      <c r="M1188" s="1"/>
      <c r="N1188" s="1"/>
      <c r="O1188" s="1"/>
      <c r="P1188" s="1"/>
      <c r="Q1188" s="1"/>
      <c r="R1188" s="1"/>
      <c r="S1188" s="1"/>
      <c r="T1188" s="1"/>
      <c r="U1188" s="1"/>
      <c r="V1188" s="1"/>
      <c r="W1188" s="1"/>
      <c r="X1188" s="1"/>
      <c r="Y1188" s="1"/>
      <c r="Z1188" s="1"/>
    </row>
    <row r="1189">
      <c r="A1189" s="1" t="str">
        <f>IFERROR(__xludf.DUMMYFUNCTION("""COMPUTED_VALUE"""),"Lemonade")</f>
        <v>Lemonade</v>
      </c>
      <c r="B1189" s="1" t="str">
        <f>IFERROR(__xludf.DUMMYFUNCTION("""COMPUTED_VALUE"""),"Restores 10 thirst and energy. (Item)")</f>
        <v>Restores 10 thirst and energy. (Item)</v>
      </c>
      <c r="C1189" s="1"/>
      <c r="D1189" s="1"/>
      <c r="E1189" s="1"/>
      <c r="F1189" s="1"/>
      <c r="G1189" s="1"/>
      <c r="H1189" s="1"/>
      <c r="I1189" s="1"/>
      <c r="J1189" s="1"/>
      <c r="K1189" s="1"/>
      <c r="L1189" s="1"/>
      <c r="M1189" s="1"/>
      <c r="N1189" s="1"/>
      <c r="O1189" s="1"/>
      <c r="P1189" s="1"/>
      <c r="Q1189" s="1"/>
      <c r="R1189" s="1"/>
      <c r="S1189" s="1"/>
      <c r="T1189" s="1"/>
      <c r="U1189" s="1"/>
      <c r="V1189" s="1"/>
      <c r="W1189" s="1"/>
      <c r="X1189" s="1"/>
      <c r="Y1189" s="1"/>
      <c r="Z1189" s="1"/>
    </row>
    <row r="1190">
      <c r="A1190" s="1" t="str">
        <f>IFERROR(__xludf.DUMMYFUNCTION("""COMPUTED_VALUE"""),"Forbidden Amulet Shard")</f>
        <v>Forbidden Amulet Shard</v>
      </c>
      <c r="B1190" s="1" t="str">
        <f>IFERROR(__xludf.DUMMYFUNCTION("""COMPUTED_VALUE"""),"A piece of shard that is used to create The Forbidden Amulet of The Halloween Kingdom when you collect all of the pieces. (Item)")</f>
        <v>A piece of shard that is used to create The Forbidden Amulet of The Halloween Kingdom when you collect all of the pieces. (Item)</v>
      </c>
      <c r="C1190" s="1"/>
      <c r="D1190" s="1"/>
      <c r="E1190" s="1"/>
      <c r="F1190" s="1"/>
      <c r="G1190" s="1"/>
      <c r="H1190" s="1"/>
      <c r="I1190" s="1"/>
      <c r="J1190" s="1"/>
      <c r="K1190" s="1"/>
      <c r="L1190" s="1"/>
      <c r="M1190" s="1"/>
      <c r="N1190" s="1"/>
      <c r="O1190" s="1"/>
      <c r="P1190" s="1"/>
      <c r="Q1190" s="1"/>
      <c r="R1190" s="1"/>
      <c r="S1190" s="1"/>
      <c r="T1190" s="1"/>
      <c r="U1190" s="1"/>
      <c r="V1190" s="1"/>
      <c r="W1190" s="1"/>
      <c r="X1190" s="1"/>
      <c r="Y1190" s="1"/>
      <c r="Z1190" s="1"/>
    </row>
    <row r="1191">
      <c r="A1191" s="1" t="str">
        <f>IFERROR(__xludf.DUMMYFUNCTION("""COMPUTED_VALUE"""),"The Forbidden Amulet of The Halloween Kingdom.")</f>
        <v>The Forbidden Amulet of The Halloween Kingdom.</v>
      </c>
      <c r="B1191" s="1" t="str">
        <f>IFERROR(__xludf.DUMMYFUNCTION("""COMPUTED_VALUE"""),"An amulet used to break the barrier on Lord Dreadfuls castle in the Halloween Kingdom. (Item)")</f>
        <v>An amulet used to break the barrier on Lord Dreadfuls castle in the Halloween Kingdom. (Item)</v>
      </c>
      <c r="C1191" s="1"/>
      <c r="D1191" s="1"/>
      <c r="E1191" s="1"/>
      <c r="F1191" s="1"/>
      <c r="G1191" s="1"/>
      <c r="H1191" s="1"/>
      <c r="I1191" s="1"/>
      <c r="J1191" s="1"/>
      <c r="K1191" s="1"/>
      <c r="L1191" s="1"/>
      <c r="M1191" s="1"/>
      <c r="N1191" s="1"/>
      <c r="O1191" s="1"/>
      <c r="P1191" s="1"/>
      <c r="Q1191" s="1"/>
      <c r="R1191" s="1"/>
      <c r="S1191" s="1"/>
      <c r="T1191" s="1"/>
      <c r="U1191" s="1"/>
      <c r="V1191" s="1"/>
      <c r="W1191" s="1"/>
      <c r="X1191" s="1"/>
      <c r="Y1191" s="1"/>
      <c r="Z1191" s="1"/>
    </row>
    <row r="1192">
      <c r="A1192" s="1" t="str">
        <f>IFERROR(__xludf.DUMMYFUNCTION("""COMPUTED_VALUE"""),"Slime Jelly")</f>
        <v>Slime Jelly</v>
      </c>
      <c r="B1192" s="1" t="str">
        <f>IFERROR(__xludf.DUMMYFUNCTION("""COMPUTED_VALUE"""),"Restores 50 HP, 75 Mana, 50 Hunger, and 50 Thirst, -30 Energy cause it tastes bad (Crop)")</f>
        <v>Restores 50 HP, 75 Mana, 50 Hunger, and 50 Thirst, -30 Energy cause it tastes bad (Crop)</v>
      </c>
      <c r="C1192" s="1"/>
      <c r="D1192" s="1"/>
      <c r="E1192" s="1"/>
      <c r="F1192" s="1"/>
      <c r="G1192" s="1"/>
      <c r="H1192" s="1"/>
      <c r="I1192" s="1"/>
      <c r="J1192" s="1"/>
      <c r="K1192" s="1"/>
      <c r="L1192" s="1"/>
      <c r="M1192" s="1"/>
      <c r="N1192" s="1"/>
      <c r="O1192" s="1"/>
      <c r="P1192" s="1"/>
      <c r="Q1192" s="1"/>
      <c r="R1192" s="1"/>
      <c r="S1192" s="1"/>
      <c r="T1192" s="1"/>
      <c r="U1192" s="1"/>
      <c r="V1192" s="1"/>
      <c r="W1192" s="1"/>
      <c r="X1192" s="1"/>
      <c r="Y1192" s="1"/>
      <c r="Z1192" s="1"/>
    </row>
    <row r="1193">
      <c r="A1193" s="1" t="str">
        <f>IFERROR(__xludf.DUMMYFUNCTION("""COMPUTED_VALUE"""),"Broken Robot")</f>
        <v>Broken Robot</v>
      </c>
      <c r="B1193" s="1" t="str">
        <f>IFERROR(__xludf.DUMMYFUNCTION("""COMPUTED_VALUE"""),"An item that is purchased and given to a mysterious cloaked figure.  (Item)")</f>
        <v>An item that is purchased and given to a mysterious cloaked figure.  (Item)</v>
      </c>
      <c r="C1193" s="1"/>
      <c r="D1193" s="1"/>
      <c r="E1193" s="1"/>
      <c r="F1193" s="1"/>
      <c r="G1193" s="1"/>
      <c r="H1193" s="1"/>
      <c r="I1193" s="1"/>
      <c r="J1193" s="1"/>
      <c r="K1193" s="1"/>
      <c r="L1193" s="1"/>
      <c r="M1193" s="1"/>
      <c r="N1193" s="1"/>
      <c r="O1193" s="1"/>
      <c r="P1193" s="1"/>
      <c r="Q1193" s="1"/>
      <c r="R1193" s="1"/>
      <c r="S1193" s="1"/>
      <c r="T1193" s="1"/>
      <c r="U1193" s="1"/>
      <c r="V1193" s="1"/>
      <c r="W1193" s="1"/>
      <c r="X1193" s="1"/>
      <c r="Y1193" s="1"/>
      <c r="Z1193" s="1"/>
    </row>
    <row r="1194">
      <c r="A1194" s="1" t="str">
        <f>IFERROR(__xludf.DUMMYFUNCTION("""COMPUTED_VALUE"""),"Boar Hide")</f>
        <v>Boar Hide</v>
      </c>
      <c r="B1194" s="1" t="str">
        <f>IFERROR(__xludf.DUMMYFUNCTION("""COMPUTED_VALUE"""),"Crafting Material, roll a d20 to see how many you get if this is a loot drop. (Item)")</f>
        <v>Crafting Material, roll a d20 to see how many you get if this is a loot drop. (Item)</v>
      </c>
      <c r="C1194" s="1"/>
      <c r="D1194" s="1"/>
      <c r="E1194" s="1"/>
      <c r="F1194" s="1"/>
      <c r="G1194" s="1"/>
      <c r="H1194" s="1"/>
      <c r="I1194" s="1"/>
      <c r="J1194" s="1"/>
      <c r="K1194" s="1"/>
      <c r="L1194" s="1"/>
      <c r="M1194" s="1"/>
      <c r="N1194" s="1"/>
      <c r="O1194" s="1"/>
      <c r="P1194" s="1"/>
      <c r="Q1194" s="1"/>
      <c r="R1194" s="1"/>
      <c r="S1194" s="1"/>
      <c r="T1194" s="1"/>
      <c r="U1194" s="1"/>
      <c r="V1194" s="1"/>
      <c r="W1194" s="1"/>
      <c r="X1194" s="1"/>
      <c r="Y1194" s="1"/>
      <c r="Z1194" s="1"/>
    </row>
    <row r="1195">
      <c r="A1195" s="1" t="str">
        <f>IFERROR(__xludf.DUMMYFUNCTION("""COMPUTED_VALUE"""),"Bullet")</f>
        <v>Bullet</v>
      </c>
      <c r="B1195" s="1" t="str">
        <f>IFERROR(__xludf.DUMMYFUNCTION("""COMPUTED_VALUE"""),"Firearm Ammunition. +100 damage. roll a d20 to see how many you get if this is a loot drop. (Item)")</f>
        <v>Firearm Ammunition. +100 damage. roll a d20 to see how many you get if this is a loot drop. (Item)</v>
      </c>
      <c r="C1195" s="1"/>
      <c r="D1195" s="1"/>
      <c r="E1195" s="1"/>
      <c r="F1195" s="1"/>
      <c r="G1195" s="1"/>
      <c r="H1195" s="1"/>
      <c r="I1195" s="1"/>
      <c r="J1195" s="1"/>
      <c r="K1195" s="1"/>
      <c r="L1195" s="1"/>
      <c r="M1195" s="1"/>
      <c r="N1195" s="1"/>
      <c r="O1195" s="1"/>
      <c r="P1195" s="1"/>
      <c r="Q1195" s="1"/>
      <c r="R1195" s="1"/>
      <c r="S1195" s="1"/>
      <c r="T1195" s="1"/>
      <c r="U1195" s="1"/>
      <c r="V1195" s="1"/>
      <c r="W1195" s="1"/>
      <c r="X1195" s="1"/>
      <c r="Y1195" s="1"/>
      <c r="Z1195" s="1"/>
    </row>
    <row r="1196">
      <c r="A1196" s="1" t="str">
        <f>IFERROR(__xludf.DUMMYFUNCTION("""COMPUTED_VALUE"""),"The Ancient Medallion of Frost")</f>
        <v>The Ancient Medallion of Frost</v>
      </c>
      <c r="B1196" s="1" t="str">
        <f>IFERROR(__xludf.DUMMYFUNCTION("""COMPUTED_VALUE"""),"The key to getting into the final tower of the winter event. (Item)")</f>
        <v>The key to getting into the final tower of the winter event. (Item)</v>
      </c>
      <c r="C1196" s="1"/>
      <c r="D1196" s="1"/>
      <c r="E1196" s="1"/>
      <c r="F1196" s="1"/>
      <c r="G1196" s="1"/>
      <c r="H1196" s="1"/>
      <c r="I1196" s="1"/>
      <c r="J1196" s="1"/>
      <c r="K1196" s="1"/>
      <c r="L1196" s="1"/>
      <c r="M1196" s="1"/>
      <c r="N1196" s="1"/>
      <c r="O1196" s="1"/>
      <c r="P1196" s="1"/>
      <c r="Q1196" s="1"/>
      <c r="R1196" s="1"/>
      <c r="S1196" s="1"/>
      <c r="T1196" s="1"/>
      <c r="U1196" s="1"/>
      <c r="V1196" s="1"/>
      <c r="W1196" s="1"/>
      <c r="X1196" s="1"/>
      <c r="Y1196" s="1"/>
      <c r="Z1196" s="1"/>
    </row>
    <row r="1197">
      <c r="A1197" s="1" t="str">
        <f>IFERROR(__xludf.DUMMYFUNCTION("""COMPUTED_VALUE"""),"Gargoyle Stone Tablet")</f>
        <v>Gargoyle Stone Tablet</v>
      </c>
      <c r="B1197" s="1" t="str">
        <f>IFERROR(__xludf.DUMMYFUNCTION("""COMPUTED_VALUE"""),"Tells you the Location of 3 Tiny Gargoyles. This item can only be used once. (Item)")</f>
        <v>Tells you the Location of 3 Tiny Gargoyles. This item can only be used once. (Item)</v>
      </c>
      <c r="C1197" s="1"/>
      <c r="D1197" s="1"/>
      <c r="E1197" s="1"/>
      <c r="F1197" s="1"/>
      <c r="G1197" s="1"/>
      <c r="H1197" s="1"/>
      <c r="I1197" s="1"/>
      <c r="J1197" s="1"/>
      <c r="K1197" s="1"/>
      <c r="L1197" s="1"/>
      <c r="M1197" s="1"/>
      <c r="N1197" s="1"/>
      <c r="O1197" s="1"/>
      <c r="P1197" s="1"/>
      <c r="Q1197" s="1"/>
      <c r="R1197" s="1"/>
      <c r="S1197" s="1"/>
      <c r="T1197" s="1"/>
      <c r="U1197" s="1"/>
      <c r="V1197" s="1"/>
      <c r="W1197" s="1"/>
      <c r="X1197" s="1"/>
      <c r="Y1197" s="1"/>
      <c r="Z1197" s="1"/>
    </row>
    <row r="1198">
      <c r="A1198" s="1" t="str">
        <f>IFERROR(__xludf.DUMMYFUNCTION("""COMPUTED_VALUE"""),"Map of the Gargoyle’s")</f>
        <v>Map of the Gargoyle’s</v>
      </c>
      <c r="B1198" s="1" t="str">
        <f>IFERROR(__xludf.DUMMYFUNCTION("""COMPUTED_VALUE"""),"Allows Use to see Special Gargoyle’s (Item)")</f>
        <v>Allows Use to see Special Gargoyle’s (Item)</v>
      </c>
      <c r="C1198" s="1"/>
      <c r="D1198" s="1"/>
      <c r="E1198" s="1"/>
      <c r="F1198" s="1"/>
      <c r="G1198" s="1"/>
      <c r="H1198" s="1"/>
      <c r="I1198" s="1"/>
      <c r="J1198" s="1"/>
      <c r="K1198" s="1"/>
      <c r="L1198" s="1"/>
      <c r="M1198" s="1"/>
      <c r="N1198" s="1"/>
      <c r="O1198" s="1"/>
      <c r="P1198" s="1"/>
      <c r="Q1198" s="1"/>
      <c r="R1198" s="1"/>
      <c r="S1198" s="1"/>
      <c r="T1198" s="1"/>
      <c r="U1198" s="1"/>
      <c r="V1198" s="1"/>
      <c r="W1198" s="1"/>
      <c r="X1198" s="1"/>
      <c r="Y1198" s="1"/>
      <c r="Z1198" s="1"/>
    </row>
    <row r="1199">
      <c r="A1199" s="1" t="str">
        <f>IFERROR(__xludf.DUMMYFUNCTION("""COMPUTED_VALUE"""),"The Tome of Abstara")</f>
        <v>The Tome of Abstara</v>
      </c>
      <c r="B1199" s="1" t="str">
        <f>IFERROR(__xludf.DUMMYFUNCTION("""COMPUTED_VALUE"""),"Can use up to Rank 9 Fire, Chaos, and Dark spells. (Item)")</f>
        <v>Can use up to Rank 9 Fire, Chaos, and Dark spells. (Item)</v>
      </c>
      <c r="C1199" s="1"/>
      <c r="D1199" s="1"/>
      <c r="E1199" s="1"/>
      <c r="F1199" s="1"/>
      <c r="G1199" s="1"/>
      <c r="H1199" s="1"/>
      <c r="I1199" s="1"/>
      <c r="J1199" s="1"/>
      <c r="K1199" s="1"/>
      <c r="L1199" s="1"/>
      <c r="M1199" s="1"/>
      <c r="N1199" s="1"/>
      <c r="O1199" s="1"/>
      <c r="P1199" s="1"/>
      <c r="Q1199" s="1"/>
      <c r="R1199" s="1"/>
      <c r="S1199" s="1"/>
      <c r="T1199" s="1"/>
      <c r="U1199" s="1"/>
      <c r="V1199" s="1"/>
      <c r="W1199" s="1"/>
      <c r="X1199" s="1"/>
      <c r="Y1199" s="1"/>
      <c r="Z1199" s="1"/>
    </row>
    <row r="1200">
      <c r="A1200" s="1" t="str">
        <f>IFERROR(__xludf.DUMMYFUNCTION("""COMPUTED_VALUE"""),"Gargoyle’s Fishing Pole")</f>
        <v>Gargoyle’s Fishing Pole</v>
      </c>
      <c r="B1200" s="1" t="str">
        <f>IFERROR(__xludf.DUMMYFUNCTION("""COMPUTED_VALUE"""),"500/500 Uses. Used for lava fishing. Made of Stone. (Item)")</f>
        <v>500/500 Uses. Used for lava fishing. Made of Stone. (Item)</v>
      </c>
      <c r="C1200" s="1"/>
      <c r="D1200" s="1"/>
      <c r="E1200" s="1"/>
      <c r="F1200" s="1"/>
      <c r="G1200" s="1"/>
      <c r="H1200" s="1"/>
      <c r="I1200" s="1"/>
      <c r="J1200" s="1"/>
      <c r="K1200" s="1"/>
      <c r="L1200" s="1"/>
      <c r="M1200" s="1"/>
      <c r="N1200" s="1"/>
      <c r="O1200" s="1"/>
      <c r="P1200" s="1"/>
      <c r="Q1200" s="1"/>
      <c r="R1200" s="1"/>
      <c r="S1200" s="1"/>
      <c r="T1200" s="1"/>
      <c r="U1200" s="1"/>
      <c r="V1200" s="1"/>
      <c r="W1200" s="1"/>
      <c r="X1200" s="1"/>
      <c r="Y1200" s="1"/>
      <c r="Z1200" s="1"/>
    </row>
    <row r="1201">
      <c r="A1201" s="1" t="str">
        <f>IFERROR(__xludf.DUMMYFUNCTION("""COMPUTED_VALUE"""),"Stone Worm")</f>
        <v>Stone Worm</v>
      </c>
      <c r="B1201" s="1" t="str">
        <f>IFERROR(__xludf.DUMMYFUNCTION("""COMPUTED_VALUE"""),"Fishing bait. Used for lava fishing. (Item)")</f>
        <v>Fishing bait. Used for lava fishing. (Item)</v>
      </c>
      <c r="C1201" s="1"/>
      <c r="D1201" s="1"/>
      <c r="E1201" s="1"/>
      <c r="F1201" s="1"/>
      <c r="G1201" s="1"/>
      <c r="H1201" s="1"/>
      <c r="I1201" s="1"/>
      <c r="J1201" s="1"/>
      <c r="K1201" s="1"/>
      <c r="L1201" s="1"/>
      <c r="M1201" s="1"/>
      <c r="N1201" s="1"/>
      <c r="O1201" s="1"/>
      <c r="P1201" s="1"/>
      <c r="Q1201" s="1"/>
      <c r="R1201" s="1"/>
      <c r="S1201" s="1"/>
      <c r="T1201" s="1"/>
      <c r="U1201" s="1"/>
      <c r="V1201" s="1"/>
      <c r="W1201" s="1"/>
      <c r="X1201" s="1"/>
      <c r="Y1201" s="1"/>
      <c r="Z1201" s="1"/>
    </row>
    <row r="1202">
      <c r="A1202" s="1" t="str">
        <f>IFERROR(__xludf.DUMMYFUNCTION("""COMPUTED_VALUE"""),"Rock Soup")</f>
        <v>Rock Soup</v>
      </c>
      <c r="B1202" s="1" t="str">
        <f>IFERROR(__xludf.DUMMYFUNCTION("""COMPUTED_VALUE"""),"25 Hunger and +15 Thirst (Crop)")</f>
        <v>25 Hunger and +15 Thirst (Crop)</v>
      </c>
      <c r="C1202" s="1"/>
      <c r="D1202" s="1"/>
      <c r="E1202" s="1"/>
      <c r="F1202" s="1"/>
      <c r="G1202" s="1"/>
      <c r="H1202" s="1"/>
      <c r="I1202" s="1"/>
      <c r="J1202" s="1"/>
      <c r="K1202" s="1"/>
      <c r="L1202" s="1"/>
      <c r="M1202" s="1"/>
      <c r="N1202" s="1"/>
      <c r="O1202" s="1"/>
      <c r="P1202" s="1"/>
      <c r="Q1202" s="1"/>
      <c r="R1202" s="1"/>
      <c r="S1202" s="1"/>
      <c r="T1202" s="1"/>
      <c r="U1202" s="1"/>
      <c r="V1202" s="1"/>
      <c r="W1202" s="1"/>
      <c r="X1202" s="1"/>
      <c r="Y1202" s="1"/>
      <c r="Z1202" s="1"/>
    </row>
    <row r="1203">
      <c r="A1203" s="1" t="str">
        <f>IFERROR(__xludf.DUMMYFUNCTION("""COMPUTED_VALUE"""),"Gargoyle’s slumbering mead")</f>
        <v>Gargoyle’s slumbering mead</v>
      </c>
      <c r="B1203" s="1" t="str">
        <f>IFERROR(__xludf.DUMMYFUNCTION("""COMPUTED_VALUE"""),"100 Thirst +100 Energy (Item)")</f>
        <v>100 Thirst +100 Energy (Item)</v>
      </c>
      <c r="C1203" s="1"/>
      <c r="D1203" s="1"/>
      <c r="E1203" s="1"/>
      <c r="F1203" s="1"/>
      <c r="G1203" s="1"/>
      <c r="H1203" s="1"/>
      <c r="I1203" s="1"/>
      <c r="J1203" s="1"/>
      <c r="K1203" s="1"/>
      <c r="L1203" s="1"/>
      <c r="M1203" s="1"/>
      <c r="N1203" s="1"/>
      <c r="O1203" s="1"/>
      <c r="P1203" s="1"/>
      <c r="Q1203" s="1"/>
      <c r="R1203" s="1"/>
      <c r="S1203" s="1"/>
      <c r="T1203" s="1"/>
      <c r="U1203" s="1"/>
      <c r="V1203" s="1"/>
      <c r="W1203" s="1"/>
      <c r="X1203" s="1"/>
      <c r="Y1203" s="1"/>
      <c r="Z1203" s="1"/>
    </row>
    <row r="1204">
      <c r="A1204" s="1" t="str">
        <f>IFERROR(__xludf.DUMMYFUNCTION("""COMPUTED_VALUE"""),"Dark rum")</f>
        <v>Dark rum</v>
      </c>
      <c r="B1204" s="1" t="str">
        <f>IFERROR(__xludf.DUMMYFUNCTION("""COMPUTED_VALUE"""),"200 Thirst +200 Energy (Item)")</f>
        <v>200 Thirst +200 Energy (Item)</v>
      </c>
      <c r="C1204" s="1"/>
      <c r="D1204" s="1"/>
      <c r="E1204" s="1"/>
      <c r="F1204" s="1"/>
      <c r="G1204" s="1"/>
      <c r="H1204" s="1"/>
      <c r="I1204" s="1"/>
      <c r="J1204" s="1"/>
      <c r="K1204" s="1"/>
      <c r="L1204" s="1"/>
      <c r="M1204" s="1"/>
      <c r="N1204" s="1"/>
      <c r="O1204" s="1"/>
      <c r="P1204" s="1"/>
      <c r="Q1204" s="1"/>
      <c r="R1204" s="1"/>
      <c r="S1204" s="1"/>
      <c r="T1204" s="1"/>
      <c r="U1204" s="1"/>
      <c r="V1204" s="1"/>
      <c r="W1204" s="1"/>
      <c r="X1204" s="1"/>
      <c r="Y1204" s="1"/>
      <c r="Z1204" s="1"/>
    </row>
    <row r="1205">
      <c r="A1205" s="1" t="str">
        <f>IFERROR(__xludf.DUMMYFUNCTION("""COMPUTED_VALUE"""),"Blank steak")</f>
        <v>Blank steak</v>
      </c>
      <c r="B1205" s="1" t="str">
        <f>IFERROR(__xludf.DUMMYFUNCTION("""COMPUTED_VALUE"""),"25 Hunger (Crop)")</f>
        <v>25 Hunger (Crop)</v>
      </c>
      <c r="C1205" s="1"/>
      <c r="D1205" s="1"/>
      <c r="E1205" s="1"/>
      <c r="F1205" s="1"/>
      <c r="G1205" s="1"/>
      <c r="H1205" s="1"/>
      <c r="I1205" s="1"/>
      <c r="J1205" s="1"/>
      <c r="K1205" s="1"/>
      <c r="L1205" s="1"/>
      <c r="M1205" s="1"/>
      <c r="N1205" s="1"/>
      <c r="O1205" s="1"/>
      <c r="P1205" s="1"/>
      <c r="Q1205" s="1"/>
      <c r="R1205" s="1"/>
      <c r="S1205" s="1"/>
      <c r="T1205" s="1"/>
      <c r="U1205" s="1"/>
      <c r="V1205" s="1"/>
      <c r="W1205" s="1"/>
      <c r="X1205" s="1"/>
      <c r="Y1205" s="1"/>
      <c r="Z1205" s="1"/>
    </row>
    <row r="1206">
      <c r="A1206" s="1" t="str">
        <f>IFERROR(__xludf.DUMMYFUNCTION("""COMPUTED_VALUE"""),"Geode jello")</f>
        <v>Geode jello</v>
      </c>
      <c r="B1206" s="1" t="str">
        <f>IFERROR(__xludf.DUMMYFUNCTION("""COMPUTED_VALUE"""),"20 Thirst (Item)")</f>
        <v>20 Thirst (Item)</v>
      </c>
      <c r="C1206" s="1"/>
      <c r="D1206" s="1"/>
      <c r="E1206" s="1"/>
      <c r="F1206" s="1"/>
      <c r="G1206" s="1"/>
      <c r="H1206" s="1"/>
      <c r="I1206" s="1"/>
      <c r="J1206" s="1"/>
      <c r="K1206" s="1"/>
      <c r="L1206" s="1"/>
      <c r="M1206" s="1"/>
      <c r="N1206" s="1"/>
      <c r="O1206" s="1"/>
      <c r="P1206" s="1"/>
      <c r="Q1206" s="1"/>
      <c r="R1206" s="1"/>
      <c r="S1206" s="1"/>
      <c r="T1206" s="1"/>
      <c r="U1206" s="1"/>
      <c r="V1206" s="1"/>
      <c r="W1206" s="1"/>
      <c r="X1206" s="1"/>
      <c r="Y1206" s="1"/>
      <c r="Z1206" s="1"/>
    </row>
    <row r="1207">
      <c r="A1207" s="1" t="str">
        <f>IFERROR(__xludf.DUMMYFUNCTION("""COMPUTED_VALUE"""),"Black baked potatoes")</f>
        <v>Black baked potatoes</v>
      </c>
      <c r="B1207" s="1" t="str">
        <f>IFERROR(__xludf.DUMMYFUNCTION("""COMPUTED_VALUE"""),"50 Hunger (Crop)")</f>
        <v>50 Hunger (Crop)</v>
      </c>
      <c r="C1207" s="1"/>
      <c r="D1207" s="1"/>
      <c r="E1207" s="1"/>
      <c r="F1207" s="1"/>
      <c r="G1207" s="1"/>
      <c r="H1207" s="1"/>
      <c r="I1207" s="1"/>
      <c r="J1207" s="1"/>
      <c r="K1207" s="1"/>
      <c r="L1207" s="1"/>
      <c r="M1207" s="1"/>
      <c r="N1207" s="1"/>
      <c r="O1207" s="1"/>
      <c r="P1207" s="1"/>
      <c r="Q1207" s="1"/>
      <c r="R1207" s="1"/>
      <c r="S1207" s="1"/>
      <c r="T1207" s="1"/>
      <c r="U1207" s="1"/>
      <c r="V1207" s="1"/>
      <c r="W1207" s="1"/>
      <c r="X1207" s="1"/>
      <c r="Y1207" s="1"/>
      <c r="Z1207" s="1"/>
    </row>
    <row r="1208">
      <c r="A1208" s="1" t="str">
        <f>IFERROR(__xludf.DUMMYFUNCTION("""COMPUTED_VALUE"""),"Human Steak")</f>
        <v>Human Steak</v>
      </c>
      <c r="B1208" s="1" t="str">
        <f>IFERROR(__xludf.DUMMYFUNCTION("""COMPUTED_VALUE"""),"300 Hunger (Crop)")</f>
        <v>300 Hunger (Crop)</v>
      </c>
      <c r="C1208" s="1"/>
      <c r="D1208" s="1"/>
      <c r="E1208" s="1"/>
      <c r="F1208" s="1"/>
      <c r="G1208" s="1"/>
      <c r="H1208" s="1"/>
      <c r="I1208" s="1"/>
      <c r="J1208" s="1"/>
      <c r="K1208" s="1"/>
      <c r="L1208" s="1"/>
      <c r="M1208" s="1"/>
      <c r="N1208" s="1"/>
      <c r="O1208" s="1"/>
      <c r="P1208" s="1"/>
      <c r="Q1208" s="1"/>
      <c r="R1208" s="1"/>
      <c r="S1208" s="1"/>
      <c r="T1208" s="1"/>
      <c r="U1208" s="1"/>
      <c r="V1208" s="1"/>
      <c r="W1208" s="1"/>
      <c r="X1208" s="1"/>
      <c r="Y1208" s="1"/>
      <c r="Z1208" s="1"/>
    </row>
    <row r="1209">
      <c r="A1209" s="1" t="str">
        <f>IFERROR(__xludf.DUMMYFUNCTION("""COMPUTED_VALUE"""),"Black Sheep mutton")</f>
        <v>Black Sheep mutton</v>
      </c>
      <c r="B1209" s="1" t="str">
        <f>IFERROR(__xludf.DUMMYFUNCTION("""COMPUTED_VALUE"""),"250 Hunger (Crop)")</f>
        <v>250 Hunger (Crop)</v>
      </c>
      <c r="C1209" s="1"/>
      <c r="D1209" s="1"/>
      <c r="E1209" s="1"/>
      <c r="F1209" s="1"/>
      <c r="G1209" s="1"/>
      <c r="H1209" s="1"/>
      <c r="I1209" s="1"/>
      <c r="J1209" s="1"/>
      <c r="K1209" s="1"/>
      <c r="L1209" s="1"/>
      <c r="M1209" s="1"/>
      <c r="N1209" s="1"/>
      <c r="O1209" s="1"/>
      <c r="P1209" s="1"/>
      <c r="Q1209" s="1"/>
      <c r="R1209" s="1"/>
      <c r="S1209" s="1"/>
      <c r="T1209" s="1"/>
      <c r="U1209" s="1"/>
      <c r="V1209" s="1"/>
      <c r="W1209" s="1"/>
      <c r="X1209" s="1"/>
      <c r="Y1209" s="1"/>
      <c r="Z1209" s="1"/>
    </row>
    <row r="1210">
      <c r="A1210" s="1" t="str">
        <f>IFERROR(__xludf.DUMMYFUNCTION("""COMPUTED_VALUE"""),"Ebony Caviar")</f>
        <v>Ebony Caviar</v>
      </c>
      <c r="B1210" s="1" t="str">
        <f>IFERROR(__xludf.DUMMYFUNCTION("""COMPUTED_VALUE"""),"100 Hunger +105 Energy (Crop)")</f>
        <v>100 Hunger +105 Energy (Crop)</v>
      </c>
      <c r="C1210" s="1"/>
      <c r="D1210" s="1"/>
      <c r="E1210" s="1"/>
      <c r="F1210" s="1"/>
      <c r="G1210" s="1"/>
      <c r="H1210" s="1"/>
      <c r="I1210" s="1"/>
      <c r="J1210" s="1"/>
      <c r="K1210" s="1"/>
      <c r="L1210" s="1"/>
      <c r="M1210" s="1"/>
      <c r="N1210" s="1"/>
      <c r="O1210" s="1"/>
      <c r="P1210" s="1"/>
      <c r="Q1210" s="1"/>
      <c r="R1210" s="1"/>
      <c r="S1210" s="1"/>
      <c r="T1210" s="1"/>
      <c r="U1210" s="1"/>
      <c r="V1210" s="1"/>
      <c r="W1210" s="1"/>
      <c r="X1210" s="1"/>
      <c r="Y1210" s="1"/>
      <c r="Z1210" s="1"/>
    </row>
    <row r="1211">
      <c r="A1211" s="1" t="str">
        <f>IFERROR(__xludf.DUMMYFUNCTION("""COMPUTED_VALUE"""),"Black Kale")</f>
        <v>Black Kale</v>
      </c>
      <c r="B1211" s="1" t="str">
        <f>IFERROR(__xludf.DUMMYFUNCTION("""COMPUTED_VALUE"""),"140 Hunger (Crop)")</f>
        <v>140 Hunger (Crop)</v>
      </c>
      <c r="C1211" s="1"/>
      <c r="D1211" s="1"/>
      <c r="E1211" s="1"/>
      <c r="F1211" s="1"/>
      <c r="G1211" s="1"/>
      <c r="H1211" s="1"/>
      <c r="I1211" s="1"/>
      <c r="J1211" s="1"/>
      <c r="K1211" s="1"/>
      <c r="L1211" s="1"/>
      <c r="M1211" s="1"/>
      <c r="N1211" s="1"/>
      <c r="O1211" s="1"/>
      <c r="P1211" s="1"/>
      <c r="Q1211" s="1"/>
      <c r="R1211" s="1"/>
      <c r="S1211" s="1"/>
      <c r="T1211" s="1"/>
      <c r="U1211" s="1"/>
      <c r="V1211" s="1"/>
      <c r="W1211" s="1"/>
      <c r="X1211" s="1"/>
      <c r="Y1211" s="1"/>
      <c r="Z1211" s="1"/>
    </row>
    <row r="1212">
      <c r="A1212" s="1" t="str">
        <f>IFERROR(__xludf.DUMMYFUNCTION("""COMPUTED_VALUE"""),"Smokey Champagne")</f>
        <v>Smokey Champagne</v>
      </c>
      <c r="B1212" s="1" t="str">
        <f>IFERROR(__xludf.DUMMYFUNCTION("""COMPUTED_VALUE"""),"140 Thirst (Item)")</f>
        <v>140 Thirst (Item)</v>
      </c>
      <c r="C1212" s="1"/>
      <c r="D1212" s="1"/>
      <c r="E1212" s="1"/>
      <c r="F1212" s="1"/>
      <c r="G1212" s="1"/>
      <c r="H1212" s="1"/>
      <c r="I1212" s="1"/>
      <c r="J1212" s="1"/>
      <c r="K1212" s="1"/>
      <c r="L1212" s="1"/>
      <c r="M1212" s="1"/>
      <c r="N1212" s="1"/>
      <c r="O1212" s="1"/>
      <c r="P1212" s="1"/>
      <c r="Q1212" s="1"/>
      <c r="R1212" s="1"/>
      <c r="S1212" s="1"/>
      <c r="T1212" s="1"/>
      <c r="U1212" s="1"/>
      <c r="V1212" s="1"/>
      <c r="W1212" s="1"/>
      <c r="X1212" s="1"/>
      <c r="Y1212" s="1"/>
      <c r="Z1212" s="1"/>
    </row>
    <row r="1213">
      <c r="A1213" s="1" t="str">
        <f>IFERROR(__xludf.DUMMYFUNCTION("""COMPUTED_VALUE"""),"Dead Island iced tea")</f>
        <v>Dead Island iced tea</v>
      </c>
      <c r="B1213" s="1" t="str">
        <f>IFERROR(__xludf.DUMMYFUNCTION("""COMPUTED_VALUE"""),"150 Thirst +125 Energy (Item)")</f>
        <v>150 Thirst +125 Energy (Item)</v>
      </c>
      <c r="C1213" s="1"/>
      <c r="D1213" s="1"/>
      <c r="E1213" s="1"/>
      <c r="F1213" s="1"/>
      <c r="G1213" s="1"/>
      <c r="H1213" s="1"/>
      <c r="I1213" s="1"/>
      <c r="J1213" s="1"/>
      <c r="K1213" s="1"/>
      <c r="L1213" s="1"/>
      <c r="M1213" s="1"/>
      <c r="N1213" s="1"/>
      <c r="O1213" s="1"/>
      <c r="P1213" s="1"/>
      <c r="Q1213" s="1"/>
      <c r="R1213" s="1"/>
      <c r="S1213" s="1"/>
      <c r="T1213" s="1"/>
      <c r="U1213" s="1"/>
      <c r="V1213" s="1"/>
      <c r="W1213" s="1"/>
      <c r="X1213" s="1"/>
      <c r="Y1213" s="1"/>
      <c r="Z1213" s="1"/>
    </row>
    <row r="1214">
      <c r="A1214" s="1" t="str">
        <f>IFERROR(__xludf.DUMMYFUNCTION("""COMPUTED_VALUE"""),"Black russian")</f>
        <v>Black russian</v>
      </c>
      <c r="B1214" s="1" t="str">
        <f>IFERROR(__xludf.DUMMYFUNCTION("""COMPUTED_VALUE"""),"200 Thirst +200 Energy (Item)")</f>
        <v>200 Thirst +200 Energy (Item)</v>
      </c>
      <c r="C1214" s="1"/>
      <c r="D1214" s="1"/>
      <c r="E1214" s="1"/>
      <c r="F1214" s="1"/>
      <c r="G1214" s="1"/>
      <c r="H1214" s="1"/>
      <c r="I1214" s="1"/>
      <c r="J1214" s="1"/>
      <c r="K1214" s="1"/>
      <c r="L1214" s="1"/>
      <c r="M1214" s="1"/>
      <c r="N1214" s="1"/>
      <c r="O1214" s="1"/>
      <c r="P1214" s="1"/>
      <c r="Q1214" s="1"/>
      <c r="R1214" s="1"/>
      <c r="S1214" s="1"/>
      <c r="T1214" s="1"/>
      <c r="U1214" s="1"/>
      <c r="V1214" s="1"/>
      <c r="W1214" s="1"/>
      <c r="X1214" s="1"/>
      <c r="Y1214" s="1"/>
      <c r="Z1214" s="1"/>
    </row>
    <row r="1215">
      <c r="A1215" s="1" t="str">
        <f>IFERROR(__xludf.DUMMYFUNCTION("""COMPUTED_VALUE"""),"Obsidian Lobster")</f>
        <v>Obsidian Lobster</v>
      </c>
      <c r="B1215" s="1" t="str">
        <f>IFERROR(__xludf.DUMMYFUNCTION("""COMPUTED_VALUE"""),"200 Hunger +200 Energy (Crop)")</f>
        <v>200 Hunger +200 Energy (Crop)</v>
      </c>
      <c r="C1215" s="1"/>
      <c r="D1215" s="1"/>
      <c r="E1215" s="1"/>
      <c r="F1215" s="1"/>
      <c r="G1215" s="1"/>
      <c r="H1215" s="1"/>
      <c r="I1215" s="1"/>
      <c r="J1215" s="1"/>
      <c r="K1215" s="1"/>
      <c r="L1215" s="1"/>
      <c r="M1215" s="1"/>
      <c r="N1215" s="1"/>
      <c r="O1215" s="1"/>
      <c r="P1215" s="1"/>
      <c r="Q1215" s="1"/>
      <c r="R1215" s="1"/>
      <c r="S1215" s="1"/>
      <c r="T1215" s="1"/>
      <c r="U1215" s="1"/>
      <c r="V1215" s="1"/>
      <c r="W1215" s="1"/>
      <c r="X1215" s="1"/>
      <c r="Y1215" s="1"/>
      <c r="Z1215" s="1"/>
    </row>
    <row r="1216">
      <c r="A1216" s="1" t="str">
        <f>IFERROR(__xludf.DUMMYFUNCTION("""COMPUTED_VALUE"""),"Charcoal Truffles")</f>
        <v>Charcoal Truffles</v>
      </c>
      <c r="B1216" s="1" t="str">
        <f>IFERROR(__xludf.DUMMYFUNCTION("""COMPUTED_VALUE"""),"100 Hunger +100 Energy (Crop)")</f>
        <v>100 Hunger +100 Energy (Crop)</v>
      </c>
      <c r="C1216" s="1"/>
      <c r="D1216" s="1"/>
      <c r="E1216" s="1"/>
      <c r="F1216" s="1"/>
      <c r="G1216" s="1"/>
      <c r="H1216" s="1"/>
      <c r="I1216" s="1"/>
      <c r="J1216" s="1"/>
      <c r="K1216" s="1"/>
      <c r="L1216" s="1"/>
      <c r="M1216" s="1"/>
      <c r="N1216" s="1"/>
      <c r="O1216" s="1"/>
      <c r="P1216" s="1"/>
      <c r="Q1216" s="1"/>
      <c r="R1216" s="1"/>
      <c r="S1216" s="1"/>
      <c r="T1216" s="1"/>
      <c r="U1216" s="1"/>
      <c r="V1216" s="1"/>
      <c r="W1216" s="1"/>
      <c r="X1216" s="1"/>
      <c r="Y1216" s="1"/>
      <c r="Z1216" s="1"/>
    </row>
    <row r="1217">
      <c r="A1217" s="1" t="str">
        <f>IFERROR(__xludf.DUMMYFUNCTION("""COMPUTED_VALUE"""),"Italian spaghetti and meatballs")</f>
        <v>Italian spaghetti and meatballs</v>
      </c>
      <c r="B1217" s="1" t="str">
        <f>IFERROR(__xludf.DUMMYFUNCTION("""COMPUTED_VALUE"""),"Full HP, Energy, Hunger, Thirst (Crop)")</f>
        <v>Full HP, Energy, Hunger, Thirst (Crop)</v>
      </c>
      <c r="C1217" s="1"/>
      <c r="D1217" s="1"/>
      <c r="E1217" s="1"/>
      <c r="F1217" s="1"/>
      <c r="G1217" s="1"/>
      <c r="H1217" s="1"/>
      <c r="I1217" s="1"/>
      <c r="J1217" s="1"/>
      <c r="K1217" s="1"/>
      <c r="L1217" s="1"/>
      <c r="M1217" s="1"/>
      <c r="N1217" s="1"/>
      <c r="O1217" s="1"/>
      <c r="P1217" s="1"/>
      <c r="Q1217" s="1"/>
      <c r="R1217" s="1"/>
      <c r="S1217" s="1"/>
      <c r="T1217" s="1"/>
      <c r="U1217" s="1"/>
      <c r="V1217" s="1"/>
      <c r="W1217" s="1"/>
      <c r="X1217" s="1"/>
      <c r="Y1217" s="1"/>
      <c r="Z1217" s="1"/>
    </row>
    <row r="1218">
      <c r="A1218" s="1" t="str">
        <f>IFERROR(__xludf.DUMMYFUNCTION("""COMPUTED_VALUE"""),"Enclosed Spirits (enchantment)")</f>
        <v>Enclosed Spirits (enchantment)</v>
      </c>
      <c r="B1218" s="1" t="str">
        <f>IFERROR(__xludf.DUMMYFUNCTION("""COMPUTED_VALUE"""),"Add 1000 Spirit damage or resistance to any Spirit related Weapon or armor. (Item)")</f>
        <v>Add 1000 Spirit damage or resistance to any Spirit related Weapon or armor. (Item)</v>
      </c>
      <c r="C1218" s="1"/>
      <c r="D1218" s="1"/>
      <c r="E1218" s="1"/>
      <c r="F1218" s="1"/>
      <c r="G1218" s="1"/>
      <c r="H1218" s="1"/>
      <c r="I1218" s="1"/>
      <c r="J1218" s="1"/>
      <c r="K1218" s="1"/>
      <c r="L1218" s="1"/>
      <c r="M1218" s="1"/>
      <c r="N1218" s="1"/>
      <c r="O1218" s="1"/>
      <c r="P1218" s="1"/>
      <c r="Q1218" s="1"/>
      <c r="R1218" s="1"/>
      <c r="S1218" s="1"/>
      <c r="T1218" s="1"/>
      <c r="U1218" s="1"/>
      <c r="V1218" s="1"/>
      <c r="W1218" s="1"/>
      <c r="X1218" s="1"/>
      <c r="Y1218" s="1"/>
      <c r="Z1218" s="1"/>
    </row>
    <row r="1219">
      <c r="A1219" s="1" t="str">
        <f>IFERROR(__xludf.DUMMYFUNCTION("""COMPUTED_VALUE"""),"Goat’s eye")</f>
        <v>Goat’s eye</v>
      </c>
      <c r="B1219" s="1" t="str">
        <f>IFERROR(__xludf.DUMMYFUNCTION("""COMPUTED_VALUE"""),"Crafting Material, roll a d20 to see how many you get if this is a loot drop. (Item)")</f>
        <v>Crafting Material, roll a d20 to see how many you get if this is a loot drop. (Item)</v>
      </c>
      <c r="C1219" s="1"/>
      <c r="D1219" s="1"/>
      <c r="E1219" s="1"/>
      <c r="F1219" s="1"/>
      <c r="G1219" s="1"/>
      <c r="H1219" s="1"/>
      <c r="I1219" s="1"/>
      <c r="J1219" s="1"/>
      <c r="K1219" s="1"/>
      <c r="L1219" s="1"/>
      <c r="M1219" s="1"/>
      <c r="N1219" s="1"/>
      <c r="O1219" s="1"/>
      <c r="P1219" s="1"/>
      <c r="Q1219" s="1"/>
      <c r="R1219" s="1"/>
      <c r="S1219" s="1"/>
      <c r="T1219" s="1"/>
      <c r="U1219" s="1"/>
      <c r="V1219" s="1"/>
      <c r="W1219" s="1"/>
      <c r="X1219" s="1"/>
      <c r="Y1219" s="1"/>
      <c r="Z1219" s="1"/>
    </row>
    <row r="1220">
      <c r="A1220" s="1" t="str">
        <f>IFERROR(__xludf.DUMMYFUNCTION("""COMPUTED_VALUE"""),"Heart of the Demon")</f>
        <v>Heart of the Demon</v>
      </c>
      <c r="B1220" s="1" t="str">
        <f>IFERROR(__xludf.DUMMYFUNCTION("""COMPUTED_VALUE"""),"Crafting Material, roll a d20 to see how many you get if this is a loot drop. (Item)")</f>
        <v>Crafting Material, roll a d20 to see how many you get if this is a loot drop. (Item)</v>
      </c>
      <c r="C1220" s="1"/>
      <c r="D1220" s="1"/>
      <c r="E1220" s="1"/>
      <c r="F1220" s="1"/>
      <c r="G1220" s="1"/>
      <c r="H1220" s="1"/>
      <c r="I1220" s="1"/>
      <c r="J1220" s="1"/>
      <c r="K1220" s="1"/>
      <c r="L1220" s="1"/>
      <c r="M1220" s="1"/>
      <c r="N1220" s="1"/>
      <c r="O1220" s="1"/>
      <c r="P1220" s="1"/>
      <c r="Q1220" s="1"/>
      <c r="R1220" s="1"/>
      <c r="S1220" s="1"/>
      <c r="T1220" s="1"/>
      <c r="U1220" s="1"/>
      <c r="V1220" s="1"/>
      <c r="W1220" s="1"/>
      <c r="X1220" s="1"/>
      <c r="Y1220" s="1"/>
      <c r="Z1220" s="1"/>
    </row>
    <row r="1221">
      <c r="A1221" s="1" t="str">
        <f>IFERROR(__xludf.DUMMYFUNCTION("""COMPUTED_VALUE"""),"Tooth of the Volcanic Serpent")</f>
        <v>Tooth of the Volcanic Serpent</v>
      </c>
      <c r="B1221" s="1" t="str">
        <f>IFERROR(__xludf.DUMMYFUNCTION("""COMPUTED_VALUE"""),"Crafting Material, roll a d20 to see how many you get if this is a loot drop. (Item)")</f>
        <v>Crafting Material, roll a d20 to see how many you get if this is a loot drop. (Item)</v>
      </c>
      <c r="C1221" s="1"/>
      <c r="D1221" s="1"/>
      <c r="E1221" s="1"/>
      <c r="F1221" s="1"/>
      <c r="G1221" s="1"/>
      <c r="H1221" s="1"/>
      <c r="I1221" s="1"/>
      <c r="J1221" s="1"/>
      <c r="K1221" s="1"/>
      <c r="L1221" s="1"/>
      <c r="M1221" s="1"/>
      <c r="N1221" s="1"/>
      <c r="O1221" s="1"/>
      <c r="P1221" s="1"/>
      <c r="Q1221" s="1"/>
      <c r="R1221" s="1"/>
      <c r="S1221" s="1"/>
      <c r="T1221" s="1"/>
      <c r="U1221" s="1"/>
      <c r="V1221" s="1"/>
      <c r="W1221" s="1"/>
      <c r="X1221" s="1"/>
      <c r="Y1221" s="1"/>
      <c r="Z1221" s="1"/>
    </row>
    <row r="1222">
      <c r="A1222" s="1" t="str">
        <f>IFERROR(__xludf.DUMMYFUNCTION("""COMPUTED_VALUE"""),"Fire Jaguars Leather Skin")</f>
        <v>Fire Jaguars Leather Skin</v>
      </c>
      <c r="B1222" s="1" t="str">
        <f>IFERROR(__xludf.DUMMYFUNCTION("""COMPUTED_VALUE"""),"Crafting Material, roll a d20 to see how many you get if this is a loot drop. (Item)")</f>
        <v>Crafting Material, roll a d20 to see how many you get if this is a loot drop. (Item)</v>
      </c>
      <c r="C1222" s="1"/>
      <c r="D1222" s="1"/>
      <c r="E1222" s="1"/>
      <c r="F1222" s="1"/>
      <c r="G1222" s="1"/>
      <c r="H1222" s="1"/>
      <c r="I1222" s="1"/>
      <c r="J1222" s="1"/>
      <c r="K1222" s="1"/>
      <c r="L1222" s="1"/>
      <c r="M1222" s="1"/>
      <c r="N1222" s="1"/>
      <c r="O1222" s="1"/>
      <c r="P1222" s="1"/>
      <c r="Q1222" s="1"/>
      <c r="R1222" s="1"/>
      <c r="S1222" s="1"/>
      <c r="T1222" s="1"/>
      <c r="U1222" s="1"/>
      <c r="V1222" s="1"/>
      <c r="W1222" s="1"/>
      <c r="X1222" s="1"/>
      <c r="Y1222" s="1"/>
      <c r="Z1222" s="1"/>
    </row>
    <row r="1223">
      <c r="A1223" s="1" t="str">
        <f>IFERROR(__xludf.DUMMYFUNCTION("""COMPUTED_VALUE"""),"Black Lake Soup")</f>
        <v>Black Lake Soup</v>
      </c>
      <c r="B1223" s="1" t="str">
        <f>IFERROR(__xludf.DUMMYFUNCTION("""COMPUTED_VALUE"""),"500 Thirst and 400 Hunger (Crop)")</f>
        <v>500 Thirst and 400 Hunger (Crop)</v>
      </c>
      <c r="C1223" s="1"/>
      <c r="D1223" s="1"/>
      <c r="E1223" s="1"/>
      <c r="F1223" s="1"/>
      <c r="G1223" s="1"/>
      <c r="H1223" s="1"/>
      <c r="I1223" s="1"/>
      <c r="J1223" s="1"/>
      <c r="K1223" s="1"/>
      <c r="L1223" s="1"/>
      <c r="M1223" s="1"/>
      <c r="N1223" s="1"/>
      <c r="O1223" s="1"/>
      <c r="P1223" s="1"/>
      <c r="Q1223" s="1"/>
      <c r="R1223" s="1"/>
      <c r="S1223" s="1"/>
      <c r="T1223" s="1"/>
      <c r="U1223" s="1"/>
      <c r="V1223" s="1"/>
      <c r="W1223" s="1"/>
      <c r="X1223" s="1"/>
      <c r="Y1223" s="1"/>
      <c r="Z1223" s="1"/>
    </row>
    <row r="1224">
      <c r="A1224" s="1" t="str">
        <f>IFERROR(__xludf.DUMMYFUNCTION("""COMPUTED_VALUE"""),"Basilisk Veal")</f>
        <v>Basilisk Veal</v>
      </c>
      <c r="B1224" s="1" t="str">
        <f>IFERROR(__xludf.DUMMYFUNCTION("""COMPUTED_VALUE"""),"500 Hunger (Crop)")</f>
        <v>500 Hunger (Crop)</v>
      </c>
      <c r="C1224" s="1"/>
      <c r="D1224" s="1"/>
      <c r="E1224" s="1"/>
      <c r="F1224" s="1"/>
      <c r="G1224" s="1"/>
      <c r="H1224" s="1"/>
      <c r="I1224" s="1"/>
      <c r="J1224" s="1"/>
      <c r="K1224" s="1"/>
      <c r="L1224" s="1"/>
      <c r="M1224" s="1"/>
      <c r="N1224" s="1"/>
      <c r="O1224" s="1"/>
      <c r="P1224" s="1"/>
      <c r="Q1224" s="1"/>
      <c r="R1224" s="1"/>
      <c r="S1224" s="1"/>
      <c r="T1224" s="1"/>
      <c r="U1224" s="1"/>
      <c r="V1224" s="1"/>
      <c r="W1224" s="1"/>
      <c r="X1224" s="1"/>
      <c r="Y1224" s="1"/>
      <c r="Z1224" s="1"/>
    </row>
    <row r="1225">
      <c r="A1225" s="1" t="str">
        <f>IFERROR(__xludf.DUMMYFUNCTION("""COMPUTED_VALUE"""),"Black Cactus juice")</f>
        <v>Black Cactus juice</v>
      </c>
      <c r="B1225" s="1" t="str">
        <f>IFERROR(__xludf.DUMMYFUNCTION("""COMPUTED_VALUE"""),"500 Thirst (Item)")</f>
        <v>500 Thirst (Item)</v>
      </c>
      <c r="C1225" s="1"/>
      <c r="D1225" s="1"/>
      <c r="E1225" s="1"/>
      <c r="F1225" s="1"/>
      <c r="G1225" s="1"/>
      <c r="H1225" s="1"/>
      <c r="I1225" s="1"/>
      <c r="J1225" s="1"/>
      <c r="K1225" s="1"/>
      <c r="L1225" s="1"/>
      <c r="M1225" s="1"/>
      <c r="N1225" s="1"/>
      <c r="O1225" s="1"/>
      <c r="P1225" s="1"/>
      <c r="Q1225" s="1"/>
      <c r="R1225" s="1"/>
      <c r="S1225" s="1"/>
      <c r="T1225" s="1"/>
      <c r="U1225" s="1"/>
      <c r="V1225" s="1"/>
      <c r="W1225" s="1"/>
      <c r="X1225" s="1"/>
      <c r="Y1225" s="1"/>
      <c r="Z1225" s="1"/>
    </row>
    <row r="1226">
      <c r="A1226" s="1" t="str">
        <f>IFERROR(__xludf.DUMMYFUNCTION("""COMPUTED_VALUE"""),"Black Lake Purified Water")</f>
        <v>Black Lake Purified Water</v>
      </c>
      <c r="B1226" s="1" t="str">
        <f>IFERROR(__xludf.DUMMYFUNCTION("""COMPUTED_VALUE"""),"650 Thirst (Item)")</f>
        <v>650 Thirst (Item)</v>
      </c>
      <c r="C1226" s="1"/>
      <c r="D1226" s="1"/>
      <c r="E1226" s="1"/>
      <c r="F1226" s="1"/>
      <c r="G1226" s="1"/>
      <c r="H1226" s="1"/>
      <c r="I1226" s="1"/>
      <c r="J1226" s="1"/>
      <c r="K1226" s="1"/>
      <c r="L1226" s="1"/>
      <c r="M1226" s="1"/>
      <c r="N1226" s="1"/>
      <c r="O1226" s="1"/>
      <c r="P1226" s="1"/>
      <c r="Q1226" s="1"/>
      <c r="R1226" s="1"/>
      <c r="S1226" s="1"/>
      <c r="T1226" s="1"/>
      <c r="U1226" s="1"/>
      <c r="V1226" s="1"/>
      <c r="W1226" s="1"/>
      <c r="X1226" s="1"/>
      <c r="Y1226" s="1"/>
      <c r="Z1226" s="1"/>
    </row>
    <row r="1227">
      <c r="A1227" s="1" t="str">
        <f>IFERROR(__xludf.DUMMYFUNCTION("""COMPUTED_VALUE"""),"Neutralized Basilisk Venom Shot")</f>
        <v>Neutralized Basilisk Venom Shot</v>
      </c>
      <c r="B1227" s="1" t="str">
        <f>IFERROR(__xludf.DUMMYFUNCTION("""COMPUTED_VALUE"""),"1000 Thirst (Item)")</f>
        <v>1000 Thirst (Item)</v>
      </c>
      <c r="C1227" s="1"/>
      <c r="D1227" s="1"/>
      <c r="E1227" s="1"/>
      <c r="F1227" s="1"/>
      <c r="G1227" s="1"/>
      <c r="H1227" s="1"/>
      <c r="I1227" s="1"/>
      <c r="J1227" s="1"/>
      <c r="K1227" s="1"/>
      <c r="L1227" s="1"/>
      <c r="M1227" s="1"/>
      <c r="N1227" s="1"/>
      <c r="O1227" s="1"/>
      <c r="P1227" s="1"/>
      <c r="Q1227" s="1"/>
      <c r="R1227" s="1"/>
      <c r="S1227" s="1"/>
      <c r="T1227" s="1"/>
      <c r="U1227" s="1"/>
      <c r="V1227" s="1"/>
      <c r="W1227" s="1"/>
      <c r="X1227" s="1"/>
      <c r="Y1227" s="1"/>
      <c r="Z1227" s="1"/>
    </row>
    <row r="1228">
      <c r="A1228" s="1" t="str">
        <f>IFERROR(__xludf.DUMMYFUNCTION("""COMPUTED_VALUE"""),"Ebony Mushrooms")</f>
        <v>Ebony Mushrooms</v>
      </c>
      <c r="B1228" s="1" t="str">
        <f>IFERROR(__xludf.DUMMYFUNCTION("""COMPUTED_VALUE"""),"250 Hunger (Crop)")</f>
        <v>250 Hunger (Crop)</v>
      </c>
      <c r="C1228" s="1"/>
      <c r="D1228" s="1"/>
      <c r="E1228" s="1"/>
      <c r="F1228" s="1"/>
      <c r="G1228" s="1"/>
      <c r="H1228" s="1"/>
      <c r="I1228" s="1"/>
      <c r="J1228" s="1"/>
      <c r="K1228" s="1"/>
      <c r="L1228" s="1"/>
      <c r="M1228" s="1"/>
      <c r="N1228" s="1"/>
      <c r="O1228" s="1"/>
      <c r="P1228" s="1"/>
      <c r="Q1228" s="1"/>
      <c r="R1228" s="1"/>
      <c r="S1228" s="1"/>
      <c r="T1228" s="1"/>
      <c r="U1228" s="1"/>
      <c r="V1228" s="1"/>
      <c r="W1228" s="1"/>
      <c r="X1228" s="1"/>
      <c r="Y1228" s="1"/>
      <c r="Z1228" s="1"/>
    </row>
    <row r="1229">
      <c r="A1229" s="1" t="str">
        <f>IFERROR(__xludf.DUMMYFUNCTION("""COMPUTED_VALUE"""),"Black Sludge")</f>
        <v>Black Sludge</v>
      </c>
      <c r="B1229" s="1" t="str">
        <f>IFERROR(__xludf.DUMMYFUNCTION("""COMPUTED_VALUE"""),"Make a fail/succeed roll
Success - +500 Hunger and Thirst
Fail - -250 Hunger and Thirst From Vomiting. (Crop)")</f>
        <v>Make a fail/succeed roll
Success - +500 Hunger and Thirst
Fail - -250 Hunger and Thirst From Vomiting. (Crop)</v>
      </c>
      <c r="C1229" s="1"/>
      <c r="D1229" s="1"/>
      <c r="E1229" s="1"/>
      <c r="F1229" s="1"/>
      <c r="G1229" s="1"/>
      <c r="H1229" s="1"/>
      <c r="I1229" s="1"/>
      <c r="J1229" s="1"/>
      <c r="K1229" s="1"/>
      <c r="L1229" s="1"/>
      <c r="M1229" s="1"/>
      <c r="N1229" s="1"/>
      <c r="O1229" s="1"/>
      <c r="P1229" s="1"/>
      <c r="Q1229" s="1"/>
      <c r="R1229" s="1"/>
      <c r="S1229" s="1"/>
      <c r="T1229" s="1"/>
      <c r="U1229" s="1"/>
      <c r="V1229" s="1"/>
      <c r="W1229" s="1"/>
      <c r="X1229" s="1"/>
      <c r="Y1229" s="1"/>
      <c r="Z1229" s="1"/>
    </row>
    <row r="1230">
      <c r="A1230" s="1" t="str">
        <f>IFERROR(__xludf.DUMMYFUNCTION("""COMPUTED_VALUE"""),"Black Sepent Dragon Scales")</f>
        <v>Black Sepent Dragon Scales</v>
      </c>
      <c r="B1230" s="1" t="str">
        <f>IFERROR(__xludf.DUMMYFUNCTION("""COMPUTED_VALUE"""),"Crafting Material, roll a d20 to see how many you get if this is a loot drop. (Item)")</f>
        <v>Crafting Material, roll a d20 to see how many you get if this is a loot drop. (Item)</v>
      </c>
      <c r="C1230" s="1"/>
      <c r="D1230" s="1"/>
      <c r="E1230" s="1"/>
      <c r="F1230" s="1"/>
      <c r="G1230" s="1"/>
      <c r="H1230" s="1"/>
      <c r="I1230" s="1"/>
      <c r="J1230" s="1"/>
      <c r="K1230" s="1"/>
      <c r="L1230" s="1"/>
      <c r="M1230" s="1"/>
      <c r="N1230" s="1"/>
      <c r="O1230" s="1"/>
      <c r="P1230" s="1"/>
      <c r="Q1230" s="1"/>
      <c r="R1230" s="1"/>
      <c r="S1230" s="1"/>
      <c r="T1230" s="1"/>
      <c r="U1230" s="1"/>
      <c r="V1230" s="1"/>
      <c r="W1230" s="1"/>
      <c r="X1230" s="1"/>
      <c r="Y1230" s="1"/>
      <c r="Z1230" s="1"/>
    </row>
    <row r="1231">
      <c r="A1231" s="1" t="str">
        <f>IFERROR(__xludf.DUMMYFUNCTION("""COMPUTED_VALUE"""),"Chaotic Shadow Dragon Scales")</f>
        <v>Chaotic Shadow Dragon Scales</v>
      </c>
      <c r="B1231" s="1" t="str">
        <f>IFERROR(__xludf.DUMMYFUNCTION("""COMPUTED_VALUE"""),"Crafting Material, roll a d20 to see how many you get if this is a loot drop. (Item)")</f>
        <v>Crafting Material, roll a d20 to see how many you get if this is a loot drop. (Item)</v>
      </c>
      <c r="C1231" s="1"/>
      <c r="D1231" s="1"/>
      <c r="E1231" s="1"/>
      <c r="F1231" s="1"/>
      <c r="G1231" s="1"/>
      <c r="H1231" s="1"/>
      <c r="I1231" s="1"/>
      <c r="J1231" s="1"/>
      <c r="K1231" s="1"/>
      <c r="L1231" s="1"/>
      <c r="M1231" s="1"/>
      <c r="N1231" s="1"/>
      <c r="O1231" s="1"/>
      <c r="P1231" s="1"/>
      <c r="Q1231" s="1"/>
      <c r="R1231" s="1"/>
      <c r="S1231" s="1"/>
      <c r="T1231" s="1"/>
      <c r="U1231" s="1"/>
      <c r="V1231" s="1"/>
      <c r="W1231" s="1"/>
      <c r="X1231" s="1"/>
      <c r="Y1231" s="1"/>
      <c r="Z1231" s="1"/>
    </row>
    <row r="1232">
      <c r="A1232" s="1" t="str">
        <f>IFERROR(__xludf.DUMMYFUNCTION("""COMPUTED_VALUE"""),"Chaotic Shadow Dragon Skull")</f>
        <v>Chaotic Shadow Dragon Skull</v>
      </c>
      <c r="B1232" s="1" t="str">
        <f>IFERROR(__xludf.DUMMYFUNCTION("""COMPUTED_VALUE"""),"can be consumed to obtain 1 free dark or chaos power. (Only one per character) (Item)")</f>
        <v>can be consumed to obtain 1 free dark or chaos power. (Only one per character) (Item)</v>
      </c>
      <c r="C1232" s="1"/>
      <c r="D1232" s="1"/>
      <c r="E1232" s="1"/>
      <c r="F1232" s="1"/>
      <c r="G1232" s="1"/>
      <c r="H1232" s="1"/>
      <c r="I1232" s="1"/>
      <c r="J1232" s="1"/>
      <c r="K1232" s="1"/>
      <c r="L1232" s="1"/>
      <c r="M1232" s="1"/>
      <c r="N1232" s="1"/>
      <c r="O1232" s="1"/>
      <c r="P1232" s="1"/>
      <c r="Q1232" s="1"/>
      <c r="R1232" s="1"/>
      <c r="S1232" s="1"/>
      <c r="T1232" s="1"/>
      <c r="U1232" s="1"/>
      <c r="V1232" s="1"/>
      <c r="W1232" s="1"/>
      <c r="X1232" s="1"/>
      <c r="Y1232" s="1"/>
      <c r="Z1232" s="1"/>
    </row>
    <row r="1233">
      <c r="A1233" s="1" t="str">
        <f>IFERROR(__xludf.DUMMYFUNCTION("""COMPUTED_VALUE"""),"Sharp Teeth")</f>
        <v>Sharp Teeth</v>
      </c>
      <c r="B1233" s="1" t="str">
        <f>IFERROR(__xludf.DUMMYFUNCTION("""COMPUTED_VALUE"""),"Consumable, 100 sharp teeth = permanantly increase attack by 1. (Item)")</f>
        <v>Consumable, 100 sharp teeth = permanantly increase attack by 1. (Item)</v>
      </c>
      <c r="C1233" s="1"/>
      <c r="D1233" s="1"/>
      <c r="E1233" s="1"/>
      <c r="F1233" s="1"/>
      <c r="G1233" s="1"/>
      <c r="H1233" s="1"/>
      <c r="I1233" s="1"/>
      <c r="J1233" s="1"/>
      <c r="K1233" s="1"/>
      <c r="L1233" s="1"/>
      <c r="M1233" s="1"/>
      <c r="N1233" s="1"/>
      <c r="O1233" s="1"/>
      <c r="P1233" s="1"/>
      <c r="Q1233" s="1"/>
      <c r="R1233" s="1"/>
      <c r="S1233" s="1"/>
      <c r="T1233" s="1"/>
      <c r="U1233" s="1"/>
      <c r="V1233" s="1"/>
      <c r="W1233" s="1"/>
      <c r="X1233" s="1"/>
      <c r="Y1233" s="1"/>
      <c r="Z1233" s="1"/>
    </row>
    <row r="1234">
      <c r="A1234" s="1" t="str">
        <f>IFERROR(__xludf.DUMMYFUNCTION("""COMPUTED_VALUE"""),"Letter from the Warden")</f>
        <v>Letter from the Warden</v>
      </c>
      <c r="B1234" s="1" t="str">
        <f>IFERROR(__xludf.DUMMYFUNCTION("""COMPUTED_VALUE"""),"Get out of jail for free. Can only be used once, Cannot be duplicated. (Item)")</f>
        <v>Get out of jail for free. Can only be used once, Cannot be duplicated. (Item)</v>
      </c>
      <c r="C1234" s="1"/>
      <c r="D1234" s="1"/>
      <c r="E1234" s="1"/>
      <c r="F1234" s="1"/>
      <c r="G1234" s="1"/>
      <c r="H1234" s="1"/>
      <c r="I1234" s="1"/>
      <c r="J1234" s="1"/>
      <c r="K1234" s="1"/>
      <c r="L1234" s="1"/>
      <c r="M1234" s="1"/>
      <c r="N1234" s="1"/>
      <c r="O1234" s="1"/>
      <c r="P1234" s="1"/>
      <c r="Q1234" s="1"/>
      <c r="R1234" s="1"/>
      <c r="S1234" s="1"/>
      <c r="T1234" s="1"/>
      <c r="U1234" s="1"/>
      <c r="V1234" s="1"/>
      <c r="W1234" s="1"/>
      <c r="X1234" s="1"/>
      <c r="Y1234" s="1"/>
      <c r="Z1234" s="1"/>
    </row>
    <row r="1235">
      <c r="A1235" s="1" t="str">
        <f>IFERROR(__xludf.DUMMYFUNCTION("""COMPUTED_VALUE"""),"Rank 9 Light Tome")</f>
        <v>Rank 9 Light Tome</v>
      </c>
      <c r="B1235" s="1" t="str">
        <f>IFERROR(__xludf.DUMMYFUNCTION("""COMPUTED_VALUE"""),"Allows you to use up to Rank 9 Light Powers. (Item)")</f>
        <v>Allows you to use up to Rank 9 Light Powers. (Item)</v>
      </c>
      <c r="C1235" s="1"/>
      <c r="D1235" s="1"/>
      <c r="E1235" s="1"/>
      <c r="F1235" s="1"/>
      <c r="G1235" s="1"/>
      <c r="H1235" s="1"/>
      <c r="I1235" s="1"/>
      <c r="J1235" s="1"/>
      <c r="K1235" s="1"/>
      <c r="L1235" s="1"/>
      <c r="M1235" s="1"/>
      <c r="N1235" s="1"/>
      <c r="O1235" s="1"/>
      <c r="P1235" s="1"/>
      <c r="Q1235" s="1"/>
      <c r="R1235" s="1"/>
      <c r="S1235" s="1"/>
      <c r="T1235" s="1"/>
      <c r="U1235" s="1"/>
      <c r="V1235" s="1"/>
      <c r="W1235" s="1"/>
      <c r="X1235" s="1"/>
      <c r="Y1235" s="1"/>
      <c r="Z1235" s="1"/>
    </row>
    <row r="1236">
      <c r="A1236" s="1" t="str">
        <f>IFERROR(__xludf.DUMMYFUNCTION("""COMPUTED_VALUE"""),"Lesser Healing Potion")</f>
        <v>Lesser Healing Potion</v>
      </c>
      <c r="B1236" s="1" t="str">
        <f>IFERROR(__xludf.DUMMYFUNCTION("""COMPUTED_VALUE"""),": + +25HP (Item)")</f>
        <v>: + +25HP (Item)</v>
      </c>
      <c r="C1236" s="1"/>
      <c r="D1236" s="1"/>
      <c r="E1236" s="1"/>
      <c r="F1236" s="1"/>
      <c r="G1236" s="1"/>
      <c r="H1236" s="1"/>
      <c r="I1236" s="1"/>
      <c r="J1236" s="1"/>
      <c r="K1236" s="1"/>
      <c r="L1236" s="1"/>
      <c r="M1236" s="1"/>
      <c r="N1236" s="1"/>
      <c r="O1236" s="1"/>
      <c r="P1236" s="1"/>
      <c r="Q1236" s="1"/>
      <c r="R1236" s="1"/>
      <c r="S1236" s="1"/>
      <c r="T1236" s="1"/>
      <c r="U1236" s="1"/>
      <c r="V1236" s="1"/>
      <c r="W1236" s="1"/>
      <c r="X1236" s="1"/>
      <c r="Y1236" s="1"/>
      <c r="Z1236" s="1"/>
    </row>
    <row r="1237">
      <c r="A1237" s="1" t="str">
        <f>IFERROR(__xludf.DUMMYFUNCTION("""COMPUTED_VALUE"""),"Blackhorn Healing Potion")</f>
        <v>Blackhorn Healing Potion</v>
      </c>
      <c r="B1237" s="1" t="str">
        <f>IFERROR(__xludf.DUMMYFUNCTION("""COMPUTED_VALUE"""),": + +75HP (Item)")</f>
        <v>: + +75HP (Item)</v>
      </c>
      <c r="C1237" s="1"/>
      <c r="D1237" s="1"/>
      <c r="E1237" s="1"/>
      <c r="F1237" s="1"/>
      <c r="G1237" s="1"/>
      <c r="H1237" s="1"/>
      <c r="I1237" s="1"/>
      <c r="J1237" s="1"/>
      <c r="K1237" s="1"/>
      <c r="L1237" s="1"/>
      <c r="M1237" s="1"/>
      <c r="N1237" s="1"/>
      <c r="O1237" s="1"/>
      <c r="P1237" s="1"/>
      <c r="Q1237" s="1"/>
      <c r="R1237" s="1"/>
      <c r="S1237" s="1"/>
      <c r="T1237" s="1"/>
      <c r="U1237" s="1"/>
      <c r="V1237" s="1"/>
      <c r="W1237" s="1"/>
      <c r="X1237" s="1"/>
      <c r="Y1237" s="1"/>
      <c r="Z1237" s="1"/>
    </row>
    <row r="1238">
      <c r="A1238" s="1" t="str">
        <f>IFERROR(__xludf.DUMMYFUNCTION("""COMPUTED_VALUE"""),"Greater Healing Potion")</f>
        <v>Greater Healing Potion</v>
      </c>
      <c r="B1238" s="1" t="str">
        <f>IFERROR(__xludf.DUMMYFUNCTION("""COMPUTED_VALUE"""),": + +100HP (Item)")</f>
        <v>: + +100HP (Item)</v>
      </c>
      <c r="C1238" s="1"/>
      <c r="D1238" s="1"/>
      <c r="E1238" s="1"/>
      <c r="F1238" s="1"/>
      <c r="G1238" s="1"/>
      <c r="H1238" s="1"/>
      <c r="I1238" s="1"/>
      <c r="J1238" s="1"/>
      <c r="K1238" s="1"/>
      <c r="L1238" s="1"/>
      <c r="M1238" s="1"/>
      <c r="N1238" s="1"/>
      <c r="O1238" s="1"/>
      <c r="P1238" s="1"/>
      <c r="Q1238" s="1"/>
      <c r="R1238" s="1"/>
      <c r="S1238" s="1"/>
      <c r="T1238" s="1"/>
      <c r="U1238" s="1"/>
      <c r="V1238" s="1"/>
      <c r="W1238" s="1"/>
      <c r="X1238" s="1"/>
      <c r="Y1238" s="1"/>
      <c r="Z1238" s="1"/>
    </row>
    <row r="1239">
      <c r="A1239" s="1" t="str">
        <f>IFERROR(__xludf.DUMMYFUNCTION("""COMPUTED_VALUE"""),"Awkward Potion")</f>
        <v>Awkward Potion</v>
      </c>
      <c r="B1239" s="1" t="str">
        <f>IFERROR(__xludf.DUMMYFUNCTION("""COMPUTED_VALUE"""),": + +100HP And 100 SP (Item)")</f>
        <v>: + +100HP And 100 SP (Item)</v>
      </c>
      <c r="C1239" s="1"/>
      <c r="D1239" s="1"/>
      <c r="E1239" s="1"/>
      <c r="F1239" s="1"/>
      <c r="G1239" s="1"/>
      <c r="H1239" s="1"/>
      <c r="I1239" s="1"/>
      <c r="J1239" s="1"/>
      <c r="K1239" s="1"/>
      <c r="L1239" s="1"/>
      <c r="M1239" s="1"/>
      <c r="N1239" s="1"/>
      <c r="O1239" s="1"/>
      <c r="P1239" s="1"/>
      <c r="Q1239" s="1"/>
      <c r="R1239" s="1"/>
      <c r="S1239" s="1"/>
      <c r="T1239" s="1"/>
      <c r="U1239" s="1"/>
      <c r="V1239" s="1"/>
      <c r="W1239" s="1"/>
      <c r="X1239" s="1"/>
      <c r="Y1239" s="1"/>
      <c r="Z1239" s="1"/>
    </row>
    <row r="1240">
      <c r="A1240" s="1" t="str">
        <f>IFERROR(__xludf.DUMMYFUNCTION("""COMPUTED_VALUE"""),"Defensive Potion")</f>
        <v>Defensive Potion</v>
      </c>
      <c r="B1240" s="1" t="str">
        <f>IFERROR(__xludf.DUMMYFUNCTION("""COMPUTED_VALUE"""),": + +1000 def for 3 rounds (Item)")</f>
        <v>: + +1000 def for 3 rounds (Item)</v>
      </c>
      <c r="C1240" s="1"/>
      <c r="D1240" s="1"/>
      <c r="E1240" s="1"/>
      <c r="F1240" s="1"/>
      <c r="G1240" s="1"/>
      <c r="H1240" s="1"/>
      <c r="I1240" s="1"/>
      <c r="J1240" s="1"/>
      <c r="K1240" s="1"/>
      <c r="L1240" s="1"/>
      <c r="M1240" s="1"/>
      <c r="N1240" s="1"/>
      <c r="O1240" s="1"/>
      <c r="P1240" s="1"/>
      <c r="Q1240" s="1"/>
      <c r="R1240" s="1"/>
      <c r="S1240" s="1"/>
      <c r="T1240" s="1"/>
      <c r="U1240" s="1"/>
      <c r="V1240" s="1"/>
      <c r="W1240" s="1"/>
      <c r="X1240" s="1"/>
      <c r="Y1240" s="1"/>
      <c r="Z1240" s="1"/>
    </row>
    <row r="1241">
      <c r="A1241" s="1" t="str">
        <f>IFERROR(__xludf.DUMMYFUNCTION("""COMPUTED_VALUE"""),"Offensive Potion")</f>
        <v>Offensive Potion</v>
      </c>
      <c r="B1241" s="1" t="str">
        <f>IFERROR(__xludf.DUMMYFUNCTION("""COMPUTED_VALUE"""),": + +1000 atk for 3 rounds (Item)")</f>
        <v>: + +1000 atk for 3 rounds (Item)</v>
      </c>
      <c r="C1241" s="1"/>
      <c r="D1241" s="1"/>
      <c r="E1241" s="1"/>
      <c r="F1241" s="1"/>
      <c r="G1241" s="1"/>
      <c r="H1241" s="1"/>
      <c r="I1241" s="1"/>
      <c r="J1241" s="1"/>
      <c r="K1241" s="1"/>
      <c r="L1241" s="1"/>
      <c r="M1241" s="1"/>
      <c r="N1241" s="1"/>
      <c r="O1241" s="1"/>
      <c r="P1241" s="1"/>
      <c r="Q1241" s="1"/>
      <c r="R1241" s="1"/>
      <c r="S1241" s="1"/>
      <c r="T1241" s="1"/>
      <c r="U1241" s="1"/>
      <c r="V1241" s="1"/>
      <c r="W1241" s="1"/>
      <c r="X1241" s="1"/>
      <c r="Y1241" s="1"/>
      <c r="Z1241" s="1"/>
    </row>
    <row r="1242">
      <c r="A1242" s="1" t="str">
        <f>IFERROR(__xludf.DUMMYFUNCTION("""COMPUTED_VALUE"""),"Potion of Swift")</f>
        <v>Potion of Swift</v>
      </c>
      <c r="B1242" s="1" t="str">
        <f>IFERROR(__xludf.DUMMYFUNCTION("""COMPUTED_VALUE"""),": + +add 5 evasion for 3 rounds (Item)")</f>
        <v>: + +add 5 evasion for 3 rounds (Item)</v>
      </c>
      <c r="C1242" s="1"/>
      <c r="D1242" s="1"/>
      <c r="E1242" s="1"/>
      <c r="F1242" s="1"/>
      <c r="G1242" s="1"/>
      <c r="H1242" s="1"/>
      <c r="I1242" s="1"/>
      <c r="J1242" s="1"/>
      <c r="K1242" s="1"/>
      <c r="L1242" s="1"/>
      <c r="M1242" s="1"/>
      <c r="N1242" s="1"/>
      <c r="O1242" s="1"/>
      <c r="P1242" s="1"/>
      <c r="Q1242" s="1"/>
      <c r="R1242" s="1"/>
      <c r="S1242" s="1"/>
      <c r="T1242" s="1"/>
      <c r="U1242" s="1"/>
      <c r="V1242" s="1"/>
      <c r="W1242" s="1"/>
      <c r="X1242" s="1"/>
      <c r="Y1242" s="1"/>
      <c r="Z1242" s="1"/>
    </row>
    <row r="1243">
      <c r="A1243" s="1" t="str">
        <f>IFERROR(__xludf.DUMMYFUNCTION("""COMPUTED_VALUE"""),"Potion of Mana Regeneration")</f>
        <v>Potion of Mana Regeneration</v>
      </c>
      <c r="B1243" s="1" t="str">
        <f>IFERROR(__xludf.DUMMYFUNCTION("""COMPUTED_VALUE"""),": + +500SP p/r for 3 rounds (Item)")</f>
        <v>: + +500SP p/r for 3 rounds (Item)</v>
      </c>
      <c r="C1243" s="1"/>
      <c r="D1243" s="1"/>
      <c r="E1243" s="1"/>
      <c r="F1243" s="1"/>
      <c r="G1243" s="1"/>
      <c r="H1243" s="1"/>
      <c r="I1243" s="1"/>
      <c r="J1243" s="1"/>
      <c r="K1243" s="1"/>
      <c r="L1243" s="1"/>
      <c r="M1243" s="1"/>
      <c r="N1243" s="1"/>
      <c r="O1243" s="1"/>
      <c r="P1243" s="1"/>
      <c r="Q1243" s="1"/>
      <c r="R1243" s="1"/>
      <c r="S1243" s="1"/>
      <c r="T1243" s="1"/>
      <c r="U1243" s="1"/>
      <c r="V1243" s="1"/>
      <c r="W1243" s="1"/>
      <c r="X1243" s="1"/>
      <c r="Y1243" s="1"/>
      <c r="Z1243" s="1"/>
    </row>
    <row r="1244">
      <c r="A1244" s="1" t="str">
        <f>IFERROR(__xludf.DUMMYFUNCTION("""COMPUTED_VALUE"""),"Potion of Thorns")</f>
        <v>Potion of Thorns</v>
      </c>
      <c r="B1244" s="1" t="str">
        <f>IFERROR(__xludf.DUMMYFUNCTION("""COMPUTED_VALUE"""),": + +When a target deals damage to you they take the same amount of damage back. (Item)")</f>
        <v>: + +When a target deals damage to you they take the same amount of damage back. (Item)</v>
      </c>
      <c r="C1244" s="1"/>
      <c r="D1244" s="1"/>
      <c r="E1244" s="1"/>
      <c r="F1244" s="1"/>
      <c r="G1244" s="1"/>
      <c r="H1244" s="1"/>
      <c r="I1244" s="1"/>
      <c r="J1244" s="1"/>
      <c r="K1244" s="1"/>
      <c r="L1244" s="1"/>
      <c r="M1244" s="1"/>
      <c r="N1244" s="1"/>
      <c r="O1244" s="1"/>
      <c r="P1244" s="1"/>
      <c r="Q1244" s="1"/>
      <c r="R1244" s="1"/>
      <c r="S1244" s="1"/>
      <c r="T1244" s="1"/>
      <c r="U1244" s="1"/>
      <c r="V1244" s="1"/>
      <c r="W1244" s="1"/>
      <c r="X1244" s="1"/>
      <c r="Y1244" s="1"/>
      <c r="Z1244" s="1"/>
    </row>
    <row r="1245">
      <c r="A1245" s="1" t="str">
        <f>IFERROR(__xludf.DUMMYFUNCTION("""COMPUTED_VALUE"""),"Potion of Resistance")</f>
        <v>Potion of Resistance</v>
      </c>
      <c r="B1245" s="1" t="str">
        <f>IFERROR(__xludf.DUMMYFUNCTION("""COMPUTED_VALUE"""),": + +1000 resistance to all attacks for 3 rounds. (Item)")</f>
        <v>: + +1000 resistance to all attacks for 3 rounds. (Item)</v>
      </c>
      <c r="C1245" s="1"/>
      <c r="D1245" s="1"/>
      <c r="E1245" s="1"/>
      <c r="F1245" s="1"/>
      <c r="G1245" s="1"/>
      <c r="H1245" s="1"/>
      <c r="I1245" s="1"/>
      <c r="J1245" s="1"/>
      <c r="K1245" s="1"/>
      <c r="L1245" s="1"/>
      <c r="M1245" s="1"/>
      <c r="N1245" s="1"/>
      <c r="O1245" s="1"/>
      <c r="P1245" s="1"/>
      <c r="Q1245" s="1"/>
      <c r="R1245" s="1"/>
      <c r="S1245" s="1"/>
      <c r="T1245" s="1"/>
      <c r="U1245" s="1"/>
      <c r="V1245" s="1"/>
      <c r="W1245" s="1"/>
      <c r="X1245" s="1"/>
      <c r="Y1245" s="1"/>
      <c r="Z1245" s="1"/>
    </row>
    <row r="1246">
      <c r="A1246" s="1" t="str">
        <f>IFERROR(__xludf.DUMMYFUNCTION("""COMPUTED_VALUE"""),"Potion of Speed")</f>
        <v>Potion of Speed</v>
      </c>
      <c r="B1246" s="1" t="str">
        <f>IFERROR(__xludf.DUMMYFUNCTION("""COMPUTED_VALUE"""),": + +Allows 2 additional turns in one on your next turn. (Item)")</f>
        <v>: + +Allows 2 additional turns in one on your next turn. (Item)</v>
      </c>
      <c r="C1246" s="1"/>
      <c r="D1246" s="1"/>
      <c r="E1246" s="1"/>
      <c r="F1246" s="1"/>
      <c r="G1246" s="1"/>
      <c r="H1246" s="1"/>
      <c r="I1246" s="1"/>
      <c r="J1246" s="1"/>
      <c r="K1246" s="1"/>
      <c r="L1246" s="1"/>
      <c r="M1246" s="1"/>
      <c r="N1246" s="1"/>
      <c r="O1246" s="1"/>
      <c r="P1246" s="1"/>
      <c r="Q1246" s="1"/>
      <c r="R1246" s="1"/>
      <c r="S1246" s="1"/>
      <c r="T1246" s="1"/>
      <c r="U1246" s="1"/>
      <c r="V1246" s="1"/>
      <c r="W1246" s="1"/>
      <c r="X1246" s="1"/>
      <c r="Y1246" s="1"/>
      <c r="Z1246" s="1"/>
    </row>
    <row r="1247">
      <c r="A1247" s="1" t="str">
        <f>IFERROR(__xludf.DUMMYFUNCTION("""COMPUTED_VALUE"""),"Potion of Luck")</f>
        <v>Potion of Luck</v>
      </c>
      <c r="B1247" s="1" t="str">
        <f>IFERROR(__xludf.DUMMYFUNCTION("""COMPUTED_VALUE"""),": + +Allows you to get an enemies highest loot role (Must be used during battle) (Item)")</f>
        <v>: + +Allows you to get an enemies highest loot role (Must be used during battle) (Item)</v>
      </c>
      <c r="C1247" s="1"/>
      <c r="D1247" s="1"/>
      <c r="E1247" s="1"/>
      <c r="F1247" s="1"/>
      <c r="G1247" s="1"/>
      <c r="H1247" s="1"/>
      <c r="I1247" s="1"/>
      <c r="J1247" s="1"/>
      <c r="K1247" s="1"/>
      <c r="L1247" s="1"/>
      <c r="M1247" s="1"/>
      <c r="N1247" s="1"/>
      <c r="O1247" s="1"/>
      <c r="P1247" s="1"/>
      <c r="Q1247" s="1"/>
      <c r="R1247" s="1"/>
      <c r="S1247" s="1"/>
      <c r="T1247" s="1"/>
      <c r="U1247" s="1"/>
      <c r="V1247" s="1"/>
      <c r="W1247" s="1"/>
      <c r="X1247" s="1"/>
      <c r="Y1247" s="1"/>
      <c r="Z1247" s="1"/>
    </row>
    <row r="1248">
      <c r="A1248" s="1" t="str">
        <f>IFERROR(__xludf.DUMMYFUNCTION("""COMPUTED_VALUE"""),"Potion of Regeneration")</f>
        <v>Potion of Regeneration</v>
      </c>
      <c r="B1248" s="1" t="str">
        <f>IFERROR(__xludf.DUMMYFUNCTION("""COMPUTED_VALUE"""),": + +500HP p/r for 3 rounds. (Item)")</f>
        <v>: + +500HP p/r for 3 rounds. (Item)</v>
      </c>
      <c r="C1248" s="1"/>
      <c r="D1248" s="1"/>
      <c r="E1248" s="1"/>
      <c r="F1248" s="1"/>
      <c r="G1248" s="1"/>
      <c r="H1248" s="1"/>
      <c r="I1248" s="1"/>
      <c r="J1248" s="1"/>
      <c r="K1248" s="1"/>
      <c r="L1248" s="1"/>
      <c r="M1248" s="1"/>
      <c r="N1248" s="1"/>
      <c r="O1248" s="1"/>
      <c r="P1248" s="1"/>
      <c r="Q1248" s="1"/>
      <c r="R1248" s="1"/>
      <c r="S1248" s="1"/>
      <c r="T1248" s="1"/>
      <c r="U1248" s="1"/>
      <c r="V1248" s="1"/>
      <c r="W1248" s="1"/>
      <c r="X1248" s="1"/>
      <c r="Y1248" s="1"/>
      <c r="Z1248" s="1"/>
    </row>
    <row r="1249">
      <c r="A1249" s="1" t="str">
        <f>IFERROR(__xludf.DUMMYFUNCTION("""COMPUTED_VALUE"""),"Potion of Immunity")</f>
        <v>Potion of Immunity</v>
      </c>
      <c r="B1249" s="1" t="str">
        <f>IFERROR(__xludf.DUMMYFUNCTION("""COMPUTED_VALUE"""),": + +Gain immunity to all attacks for 3 rounds. (Item)")</f>
        <v>: + +Gain immunity to all attacks for 3 rounds. (Item)</v>
      </c>
      <c r="C1249" s="1"/>
      <c r="D1249" s="1"/>
      <c r="E1249" s="1"/>
      <c r="F1249" s="1"/>
      <c r="G1249" s="1"/>
      <c r="H1249" s="1"/>
      <c r="I1249" s="1"/>
      <c r="J1249" s="1"/>
      <c r="K1249" s="1"/>
      <c r="L1249" s="1"/>
      <c r="M1249" s="1"/>
      <c r="N1249" s="1"/>
      <c r="O1249" s="1"/>
      <c r="P1249" s="1"/>
      <c r="Q1249" s="1"/>
      <c r="R1249" s="1"/>
      <c r="S1249" s="1"/>
      <c r="T1249" s="1"/>
      <c r="U1249" s="1"/>
      <c r="V1249" s="1"/>
      <c r="W1249" s="1"/>
      <c r="X1249" s="1"/>
      <c r="Y1249" s="1"/>
      <c r="Z1249" s="1"/>
    </row>
    <row r="1250">
      <c r="A1250" s="1" t="str">
        <f>IFERROR(__xludf.DUMMYFUNCTION("""COMPUTED_VALUE"""),"Apple")</f>
        <v>Apple</v>
      </c>
      <c r="B1250" s="1" t="str">
        <f>IFERROR(__xludf.DUMMYFUNCTION("""COMPUTED_VALUE"""),"5 hunger and thirst. (Crop)")</f>
        <v>5 hunger and thirst. (Crop)</v>
      </c>
      <c r="C1250" s="1"/>
      <c r="D1250" s="1"/>
      <c r="E1250" s="1"/>
      <c r="F1250" s="1"/>
      <c r="G1250" s="1"/>
      <c r="H1250" s="1"/>
      <c r="I1250" s="1"/>
      <c r="J1250" s="1"/>
      <c r="K1250" s="1"/>
      <c r="L1250" s="1"/>
      <c r="M1250" s="1"/>
      <c r="N1250" s="1"/>
      <c r="O1250" s="1"/>
      <c r="P1250" s="1"/>
      <c r="Q1250" s="1"/>
      <c r="R1250" s="1"/>
      <c r="S1250" s="1"/>
      <c r="T1250" s="1"/>
      <c r="U1250" s="1"/>
      <c r="V1250" s="1"/>
      <c r="W1250" s="1"/>
      <c r="X1250" s="1"/>
      <c r="Y1250" s="1"/>
      <c r="Z1250" s="1"/>
    </row>
    <row r="1251">
      <c r="A1251" s="1" t="str">
        <f>IFERROR(__xludf.DUMMYFUNCTION("""COMPUTED_VALUE"""),"Watermelon")</f>
        <v>Watermelon</v>
      </c>
      <c r="B1251" s="1" t="str">
        <f>IFERROR(__xludf.DUMMYFUNCTION("""COMPUTED_VALUE"""),"100 hunger, thirst, and energy. Feeds self and up to 2 party members. (Crop)")</f>
        <v>100 hunger, thirst, and energy. Feeds self and up to 2 party members. (Crop)</v>
      </c>
      <c r="C1251" s="1"/>
      <c r="D1251" s="1"/>
      <c r="E1251" s="1"/>
      <c r="F1251" s="1"/>
      <c r="G1251" s="1"/>
      <c r="H1251" s="1"/>
      <c r="I1251" s="1"/>
      <c r="J1251" s="1"/>
      <c r="K1251" s="1"/>
      <c r="L1251" s="1"/>
      <c r="M1251" s="1"/>
      <c r="N1251" s="1"/>
      <c r="O1251" s="1"/>
      <c r="P1251" s="1"/>
      <c r="Q1251" s="1"/>
      <c r="R1251" s="1"/>
      <c r="S1251" s="1"/>
      <c r="T1251" s="1"/>
      <c r="U1251" s="1"/>
      <c r="V1251" s="1"/>
      <c r="W1251" s="1"/>
      <c r="X1251" s="1"/>
      <c r="Y1251" s="1"/>
      <c r="Z1251" s="1"/>
    </row>
    <row r="1252">
      <c r="A1252" s="1" t="str">
        <f>IFERROR(__xludf.DUMMYFUNCTION("""COMPUTED_VALUE"""),"Orange")</f>
        <v>Orange</v>
      </c>
      <c r="B1252" s="1" t="str">
        <f>IFERROR(__xludf.DUMMYFUNCTION("""COMPUTED_VALUE"""),"5 hunger and thirst. (Crop)")</f>
        <v>5 hunger and thirst. (Crop)</v>
      </c>
      <c r="C1252" s="1"/>
      <c r="D1252" s="1"/>
      <c r="E1252" s="1"/>
      <c r="F1252" s="1"/>
      <c r="G1252" s="1"/>
      <c r="H1252" s="1"/>
      <c r="I1252" s="1"/>
      <c r="J1252" s="1"/>
      <c r="K1252" s="1"/>
      <c r="L1252" s="1"/>
      <c r="M1252" s="1"/>
      <c r="N1252" s="1"/>
      <c r="O1252" s="1"/>
      <c r="P1252" s="1"/>
      <c r="Q1252" s="1"/>
      <c r="R1252" s="1"/>
      <c r="S1252" s="1"/>
      <c r="T1252" s="1"/>
      <c r="U1252" s="1"/>
      <c r="V1252" s="1"/>
      <c r="W1252" s="1"/>
      <c r="X1252" s="1"/>
      <c r="Y1252" s="1"/>
      <c r="Z1252" s="1"/>
    </row>
    <row r="1253">
      <c r="A1253" s="1" t="str">
        <f>IFERROR(__xludf.DUMMYFUNCTION("""COMPUTED_VALUE"""),"Pear")</f>
        <v>Pear</v>
      </c>
      <c r="B1253" s="1" t="str">
        <f>IFERROR(__xludf.DUMMYFUNCTION("""COMPUTED_VALUE"""),"5 hunger and thirst. (Crop)")</f>
        <v>5 hunger and thirst. (Crop)</v>
      </c>
      <c r="C1253" s="1"/>
      <c r="D1253" s="1"/>
      <c r="E1253" s="1"/>
      <c r="F1253" s="1"/>
      <c r="G1253" s="1"/>
      <c r="H1253" s="1"/>
      <c r="I1253" s="1"/>
      <c r="J1253" s="1"/>
      <c r="K1253" s="1"/>
      <c r="L1253" s="1"/>
      <c r="M1253" s="1"/>
      <c r="N1253" s="1"/>
      <c r="O1253" s="1"/>
      <c r="P1253" s="1"/>
      <c r="Q1253" s="1"/>
      <c r="R1253" s="1"/>
      <c r="S1253" s="1"/>
      <c r="T1253" s="1"/>
      <c r="U1253" s="1"/>
      <c r="V1253" s="1"/>
      <c r="W1253" s="1"/>
      <c r="X1253" s="1"/>
      <c r="Y1253" s="1"/>
      <c r="Z1253" s="1"/>
    </row>
    <row r="1254">
      <c r="A1254" s="1" t="str">
        <f>IFERROR(__xludf.DUMMYFUNCTION("""COMPUTED_VALUE"""),"Cherry")</f>
        <v>Cherry</v>
      </c>
      <c r="B1254" s="1" t="str">
        <f>IFERROR(__xludf.DUMMYFUNCTION("""COMPUTED_VALUE"""),"5 hunger and thirst. (Crop)")</f>
        <v>5 hunger and thirst. (Crop)</v>
      </c>
      <c r="C1254" s="1"/>
      <c r="D1254" s="1"/>
      <c r="E1254" s="1"/>
      <c r="F1254" s="1"/>
      <c r="G1254" s="1"/>
      <c r="H1254" s="1"/>
      <c r="I1254" s="1"/>
      <c r="J1254" s="1"/>
      <c r="K1254" s="1"/>
      <c r="L1254" s="1"/>
      <c r="M1254" s="1"/>
      <c r="N1254" s="1"/>
      <c r="O1254" s="1"/>
      <c r="P1254" s="1"/>
      <c r="Q1254" s="1"/>
      <c r="R1254" s="1"/>
      <c r="S1254" s="1"/>
      <c r="T1254" s="1"/>
      <c r="U1254" s="1"/>
      <c r="V1254" s="1"/>
      <c r="W1254" s="1"/>
      <c r="X1254" s="1"/>
      <c r="Y1254" s="1"/>
      <c r="Z1254" s="1"/>
    </row>
    <row r="1255">
      <c r="A1255" s="1" t="str">
        <f>IFERROR(__xludf.DUMMYFUNCTION("""COMPUTED_VALUE"""),"Strawberries")</f>
        <v>Strawberries</v>
      </c>
      <c r="B1255" s="1" t="str">
        <f>IFERROR(__xludf.DUMMYFUNCTION("""COMPUTED_VALUE"""),"5 hunger and thirst. (Crop)")</f>
        <v>5 hunger and thirst. (Crop)</v>
      </c>
      <c r="C1255" s="1"/>
      <c r="D1255" s="1"/>
      <c r="E1255" s="1"/>
      <c r="F1255" s="1"/>
      <c r="G1255" s="1"/>
      <c r="H1255" s="1"/>
      <c r="I1255" s="1"/>
      <c r="J1255" s="1"/>
      <c r="K1255" s="1"/>
      <c r="L1255" s="1"/>
      <c r="M1255" s="1"/>
      <c r="N1255" s="1"/>
      <c r="O1255" s="1"/>
      <c r="P1255" s="1"/>
      <c r="Q1255" s="1"/>
      <c r="R1255" s="1"/>
      <c r="S1255" s="1"/>
      <c r="T1255" s="1"/>
      <c r="U1255" s="1"/>
      <c r="V1255" s="1"/>
      <c r="W1255" s="1"/>
      <c r="X1255" s="1"/>
      <c r="Y1255" s="1"/>
      <c r="Z1255" s="1"/>
    </row>
    <row r="1256">
      <c r="A1256" s="1" t="str">
        <f>IFERROR(__xludf.DUMMYFUNCTION("""COMPUTED_VALUE"""),"Nectarine")</f>
        <v>Nectarine</v>
      </c>
      <c r="B1256" s="1" t="str">
        <f>IFERROR(__xludf.DUMMYFUNCTION("""COMPUTED_VALUE"""),"5 hunger and thirst. (Crop)")</f>
        <v>5 hunger and thirst. (Crop)</v>
      </c>
      <c r="C1256" s="1"/>
      <c r="D1256" s="1"/>
      <c r="E1256" s="1"/>
      <c r="F1256" s="1"/>
      <c r="G1256" s="1"/>
      <c r="H1256" s="1"/>
      <c r="I1256" s="1"/>
      <c r="J1256" s="1"/>
      <c r="K1256" s="1"/>
      <c r="L1256" s="1"/>
      <c r="M1256" s="1"/>
      <c r="N1256" s="1"/>
      <c r="O1256" s="1"/>
      <c r="P1256" s="1"/>
      <c r="Q1256" s="1"/>
      <c r="R1256" s="1"/>
      <c r="S1256" s="1"/>
      <c r="T1256" s="1"/>
      <c r="U1256" s="1"/>
      <c r="V1256" s="1"/>
      <c r="W1256" s="1"/>
      <c r="X1256" s="1"/>
      <c r="Y1256" s="1"/>
      <c r="Z1256" s="1"/>
    </row>
    <row r="1257">
      <c r="A1257" s="1" t="str">
        <f>IFERROR(__xludf.DUMMYFUNCTION("""COMPUTED_VALUE"""),"Grapes")</f>
        <v>Grapes</v>
      </c>
      <c r="B1257" s="1" t="str">
        <f>IFERROR(__xludf.DUMMYFUNCTION("""COMPUTED_VALUE"""),"5 hunger and thirst. (Crop)")</f>
        <v>5 hunger and thirst. (Crop)</v>
      </c>
      <c r="C1257" s="1"/>
      <c r="D1257" s="1"/>
      <c r="E1257" s="1"/>
      <c r="F1257" s="1"/>
      <c r="G1257" s="1"/>
      <c r="H1257" s="1"/>
      <c r="I1257" s="1"/>
      <c r="J1257" s="1"/>
      <c r="K1257" s="1"/>
      <c r="L1257" s="1"/>
      <c r="M1257" s="1"/>
      <c r="N1257" s="1"/>
      <c r="O1257" s="1"/>
      <c r="P1257" s="1"/>
      <c r="Q1257" s="1"/>
      <c r="R1257" s="1"/>
      <c r="S1257" s="1"/>
      <c r="T1257" s="1"/>
      <c r="U1257" s="1"/>
      <c r="V1257" s="1"/>
      <c r="W1257" s="1"/>
      <c r="X1257" s="1"/>
      <c r="Y1257" s="1"/>
      <c r="Z1257" s="1"/>
    </row>
    <row r="1258">
      <c r="A1258" s="1" t="str">
        <f>IFERROR(__xludf.DUMMYFUNCTION("""COMPUTED_VALUE"""),"Mango")</f>
        <v>Mango</v>
      </c>
      <c r="B1258" s="1" t="str">
        <f>IFERROR(__xludf.DUMMYFUNCTION("""COMPUTED_VALUE"""),"5 hunger and thirst. (Crop)")</f>
        <v>5 hunger and thirst. (Crop)</v>
      </c>
      <c r="C1258" s="1"/>
      <c r="D1258" s="1"/>
      <c r="E1258" s="1"/>
      <c r="F1258" s="1"/>
      <c r="G1258" s="1"/>
      <c r="H1258" s="1"/>
      <c r="I1258" s="1"/>
      <c r="J1258" s="1"/>
      <c r="K1258" s="1"/>
      <c r="L1258" s="1"/>
      <c r="M1258" s="1"/>
      <c r="N1258" s="1"/>
      <c r="O1258" s="1"/>
      <c r="P1258" s="1"/>
      <c r="Q1258" s="1"/>
      <c r="R1258" s="1"/>
      <c r="S1258" s="1"/>
      <c r="T1258" s="1"/>
      <c r="U1258" s="1"/>
      <c r="V1258" s="1"/>
      <c r="W1258" s="1"/>
      <c r="X1258" s="1"/>
      <c r="Y1258" s="1"/>
      <c r="Z1258" s="1"/>
    </row>
    <row r="1259">
      <c r="A1259" s="1" t="str">
        <f>IFERROR(__xludf.DUMMYFUNCTION("""COMPUTED_VALUE"""),"Blueberries")</f>
        <v>Blueberries</v>
      </c>
      <c r="B1259" s="1" t="str">
        <f>IFERROR(__xludf.DUMMYFUNCTION("""COMPUTED_VALUE"""),"5 hunger and thirst. (Crop)")</f>
        <v>5 hunger and thirst. (Crop)</v>
      </c>
      <c r="C1259" s="1"/>
      <c r="D1259" s="1"/>
      <c r="E1259" s="1"/>
      <c r="F1259" s="1"/>
      <c r="G1259" s="1"/>
      <c r="H1259" s="1"/>
      <c r="I1259" s="1"/>
      <c r="J1259" s="1"/>
      <c r="K1259" s="1"/>
      <c r="L1259" s="1"/>
      <c r="M1259" s="1"/>
      <c r="N1259" s="1"/>
      <c r="O1259" s="1"/>
      <c r="P1259" s="1"/>
      <c r="Q1259" s="1"/>
      <c r="R1259" s="1"/>
      <c r="S1259" s="1"/>
      <c r="T1259" s="1"/>
      <c r="U1259" s="1"/>
      <c r="V1259" s="1"/>
      <c r="W1259" s="1"/>
      <c r="X1259" s="1"/>
      <c r="Y1259" s="1"/>
      <c r="Z1259" s="1"/>
    </row>
    <row r="1260">
      <c r="A1260" s="1" t="str">
        <f>IFERROR(__xludf.DUMMYFUNCTION("""COMPUTED_VALUE"""),"Pomegranate")</f>
        <v>Pomegranate</v>
      </c>
      <c r="B1260" s="1" t="str">
        <f>IFERROR(__xludf.DUMMYFUNCTION("""COMPUTED_VALUE"""),"10 hunger and thirst. (Crop)")</f>
        <v>10 hunger and thirst. (Crop)</v>
      </c>
      <c r="C1260" s="1"/>
      <c r="D1260" s="1"/>
      <c r="E1260" s="1"/>
      <c r="F1260" s="1"/>
      <c r="G1260" s="1"/>
      <c r="H1260" s="1"/>
      <c r="I1260" s="1"/>
      <c r="J1260" s="1"/>
      <c r="K1260" s="1"/>
      <c r="L1260" s="1"/>
      <c r="M1260" s="1"/>
      <c r="N1260" s="1"/>
      <c r="O1260" s="1"/>
      <c r="P1260" s="1"/>
      <c r="Q1260" s="1"/>
      <c r="R1260" s="1"/>
      <c r="S1260" s="1"/>
      <c r="T1260" s="1"/>
      <c r="U1260" s="1"/>
      <c r="V1260" s="1"/>
      <c r="W1260" s="1"/>
      <c r="X1260" s="1"/>
      <c r="Y1260" s="1"/>
      <c r="Z1260" s="1"/>
    </row>
    <row r="1261">
      <c r="A1261" s="1" t="str">
        <f>IFERROR(__xludf.DUMMYFUNCTION("""COMPUTED_VALUE"""),"StarFruit")</f>
        <v>StarFruit</v>
      </c>
      <c r="B1261" s="1" t="str">
        <f>IFERROR(__xludf.DUMMYFUNCTION("""COMPUTED_VALUE"""),"5 hunger and thirst. (Crop)")</f>
        <v>5 hunger and thirst. (Crop)</v>
      </c>
      <c r="C1261" s="1"/>
      <c r="D1261" s="1"/>
      <c r="E1261" s="1"/>
      <c r="F1261" s="1"/>
      <c r="G1261" s="1"/>
      <c r="H1261" s="1"/>
      <c r="I1261" s="1"/>
      <c r="J1261" s="1"/>
      <c r="K1261" s="1"/>
      <c r="L1261" s="1"/>
      <c r="M1261" s="1"/>
      <c r="N1261" s="1"/>
      <c r="O1261" s="1"/>
      <c r="P1261" s="1"/>
      <c r="Q1261" s="1"/>
      <c r="R1261" s="1"/>
      <c r="S1261" s="1"/>
      <c r="T1261" s="1"/>
      <c r="U1261" s="1"/>
      <c r="V1261" s="1"/>
      <c r="W1261" s="1"/>
      <c r="X1261" s="1"/>
      <c r="Y1261" s="1"/>
      <c r="Z1261" s="1"/>
    </row>
    <row r="1262">
      <c r="A1262" s="1" t="str">
        <f>IFERROR(__xludf.DUMMYFUNCTION("""COMPUTED_VALUE"""),"Plum")</f>
        <v>Plum</v>
      </c>
      <c r="B1262" s="1" t="str">
        <f>IFERROR(__xludf.DUMMYFUNCTION("""COMPUTED_VALUE"""),"5 hunger and thirst. (Crop)")</f>
        <v>5 hunger and thirst. (Crop)</v>
      </c>
      <c r="C1262" s="1"/>
      <c r="D1262" s="1"/>
      <c r="E1262" s="1"/>
      <c r="F1262" s="1"/>
      <c r="G1262" s="1"/>
      <c r="H1262" s="1"/>
      <c r="I1262" s="1"/>
      <c r="J1262" s="1"/>
      <c r="K1262" s="1"/>
      <c r="L1262" s="1"/>
      <c r="M1262" s="1"/>
      <c r="N1262" s="1"/>
      <c r="O1262" s="1"/>
      <c r="P1262" s="1"/>
      <c r="Q1262" s="1"/>
      <c r="R1262" s="1"/>
      <c r="S1262" s="1"/>
      <c r="T1262" s="1"/>
      <c r="U1262" s="1"/>
      <c r="V1262" s="1"/>
      <c r="W1262" s="1"/>
      <c r="X1262" s="1"/>
      <c r="Y1262" s="1"/>
      <c r="Z1262" s="1"/>
    </row>
    <row r="1263">
      <c r="A1263" s="1" t="str">
        <f>IFERROR(__xludf.DUMMYFUNCTION("""COMPUTED_VALUE"""),"Bananas")</f>
        <v>Bananas</v>
      </c>
      <c r="B1263" s="1" t="str">
        <f>IFERROR(__xludf.DUMMYFUNCTION("""COMPUTED_VALUE"""),"10 hunger. (Crop)")</f>
        <v>10 hunger. (Crop)</v>
      </c>
      <c r="C1263" s="1"/>
      <c r="D1263" s="1"/>
      <c r="E1263" s="1"/>
      <c r="F1263" s="1"/>
      <c r="G1263" s="1"/>
      <c r="H1263" s="1"/>
      <c r="I1263" s="1"/>
      <c r="J1263" s="1"/>
      <c r="K1263" s="1"/>
      <c r="L1263" s="1"/>
      <c r="M1263" s="1"/>
      <c r="N1263" s="1"/>
      <c r="O1263" s="1"/>
      <c r="P1263" s="1"/>
      <c r="Q1263" s="1"/>
      <c r="R1263" s="1"/>
      <c r="S1263" s="1"/>
      <c r="T1263" s="1"/>
      <c r="U1263" s="1"/>
      <c r="V1263" s="1"/>
      <c r="W1263" s="1"/>
      <c r="X1263" s="1"/>
      <c r="Y1263" s="1"/>
      <c r="Z1263" s="1"/>
    </row>
    <row r="1264">
      <c r="A1264" s="1" t="str">
        <f>IFERROR(__xludf.DUMMYFUNCTION("""COMPUTED_VALUE"""),"Raspberry")</f>
        <v>Raspberry</v>
      </c>
      <c r="B1264" s="1" t="str">
        <f>IFERROR(__xludf.DUMMYFUNCTION("""COMPUTED_VALUE"""),"5 hunger and thirst. (Crop)")</f>
        <v>5 hunger and thirst. (Crop)</v>
      </c>
      <c r="C1264" s="1"/>
      <c r="D1264" s="1"/>
      <c r="E1264" s="1"/>
      <c r="F1264" s="1"/>
      <c r="G1264" s="1"/>
      <c r="H1264" s="1"/>
      <c r="I1264" s="1"/>
      <c r="J1264" s="1"/>
      <c r="K1264" s="1"/>
      <c r="L1264" s="1"/>
      <c r="M1264" s="1"/>
      <c r="N1264" s="1"/>
      <c r="O1264" s="1"/>
      <c r="P1264" s="1"/>
      <c r="Q1264" s="1"/>
      <c r="R1264" s="1"/>
      <c r="S1264" s="1"/>
      <c r="T1264" s="1"/>
      <c r="U1264" s="1"/>
      <c r="V1264" s="1"/>
      <c r="W1264" s="1"/>
      <c r="X1264" s="1"/>
      <c r="Y1264" s="1"/>
      <c r="Z1264" s="1"/>
    </row>
    <row r="1265">
      <c r="A1265" s="1" t="str">
        <f>IFERROR(__xludf.DUMMYFUNCTION("""COMPUTED_VALUE"""),"Mandarin")</f>
        <v>Mandarin</v>
      </c>
      <c r="B1265" s="1" t="str">
        <f>IFERROR(__xludf.DUMMYFUNCTION("""COMPUTED_VALUE"""),"5 hunger and thirst. (Crop)")</f>
        <v>5 hunger and thirst. (Crop)</v>
      </c>
      <c r="C1265" s="1"/>
      <c r="D1265" s="1"/>
      <c r="E1265" s="1"/>
      <c r="F1265" s="1"/>
      <c r="G1265" s="1"/>
      <c r="H1265" s="1"/>
      <c r="I1265" s="1"/>
      <c r="J1265" s="1"/>
      <c r="K1265" s="1"/>
      <c r="L1265" s="1"/>
      <c r="M1265" s="1"/>
      <c r="N1265" s="1"/>
      <c r="O1265" s="1"/>
      <c r="P1265" s="1"/>
      <c r="Q1265" s="1"/>
      <c r="R1265" s="1"/>
      <c r="S1265" s="1"/>
      <c r="T1265" s="1"/>
      <c r="U1265" s="1"/>
      <c r="V1265" s="1"/>
      <c r="W1265" s="1"/>
      <c r="X1265" s="1"/>
      <c r="Y1265" s="1"/>
      <c r="Z1265" s="1"/>
    </row>
    <row r="1266">
      <c r="A1266" s="1" t="str">
        <f>IFERROR(__xludf.DUMMYFUNCTION("""COMPUTED_VALUE"""),"Jackfruit")</f>
        <v>Jackfruit</v>
      </c>
      <c r="B1266" s="1" t="str">
        <f>IFERROR(__xludf.DUMMYFUNCTION("""COMPUTED_VALUE"""),"5 hunger and thirst. (Crop)")</f>
        <v>5 hunger and thirst. (Crop)</v>
      </c>
      <c r="C1266" s="1"/>
      <c r="D1266" s="1"/>
      <c r="E1266" s="1"/>
      <c r="F1266" s="1"/>
      <c r="G1266" s="1"/>
      <c r="H1266" s="1"/>
      <c r="I1266" s="1"/>
      <c r="J1266" s="1"/>
      <c r="K1266" s="1"/>
      <c r="L1266" s="1"/>
      <c r="M1266" s="1"/>
      <c r="N1266" s="1"/>
      <c r="O1266" s="1"/>
      <c r="P1266" s="1"/>
      <c r="Q1266" s="1"/>
      <c r="R1266" s="1"/>
      <c r="S1266" s="1"/>
      <c r="T1266" s="1"/>
      <c r="U1266" s="1"/>
      <c r="V1266" s="1"/>
      <c r="W1266" s="1"/>
      <c r="X1266" s="1"/>
      <c r="Y1266" s="1"/>
      <c r="Z1266" s="1"/>
    </row>
    <row r="1267">
      <c r="A1267" s="1" t="str">
        <f>IFERROR(__xludf.DUMMYFUNCTION("""COMPUTED_VALUE"""),"Papaya")</f>
        <v>Papaya</v>
      </c>
      <c r="B1267" s="1" t="str">
        <f>IFERROR(__xludf.DUMMYFUNCTION("""COMPUTED_VALUE"""),"10 hunger and thirst. (Crop)")</f>
        <v>10 hunger and thirst. (Crop)</v>
      </c>
      <c r="C1267" s="1"/>
      <c r="D1267" s="1"/>
      <c r="E1267" s="1"/>
      <c r="F1267" s="1"/>
      <c r="G1267" s="1"/>
      <c r="H1267" s="1"/>
      <c r="I1267" s="1"/>
      <c r="J1267" s="1"/>
      <c r="K1267" s="1"/>
      <c r="L1267" s="1"/>
      <c r="M1267" s="1"/>
      <c r="N1267" s="1"/>
      <c r="O1267" s="1"/>
      <c r="P1267" s="1"/>
      <c r="Q1267" s="1"/>
      <c r="R1267" s="1"/>
      <c r="S1267" s="1"/>
      <c r="T1267" s="1"/>
      <c r="U1267" s="1"/>
      <c r="V1267" s="1"/>
      <c r="W1267" s="1"/>
      <c r="X1267" s="1"/>
      <c r="Y1267" s="1"/>
      <c r="Z1267" s="1"/>
    </row>
    <row r="1268">
      <c r="A1268" s="1" t="str">
        <f>IFERROR(__xludf.DUMMYFUNCTION("""COMPUTED_VALUE"""),"Kiwi")</f>
        <v>Kiwi</v>
      </c>
      <c r="B1268" s="1" t="str">
        <f>IFERROR(__xludf.DUMMYFUNCTION("""COMPUTED_VALUE"""),"5 hunger and thirst. (Crop)")</f>
        <v>5 hunger and thirst. (Crop)</v>
      </c>
      <c r="C1268" s="1"/>
      <c r="D1268" s="1"/>
      <c r="E1268" s="1"/>
      <c r="F1268" s="1"/>
      <c r="G1268" s="1"/>
      <c r="H1268" s="1"/>
      <c r="I1268" s="1"/>
      <c r="J1268" s="1"/>
      <c r="K1268" s="1"/>
      <c r="L1268" s="1"/>
      <c r="M1268" s="1"/>
      <c r="N1268" s="1"/>
      <c r="O1268" s="1"/>
      <c r="P1268" s="1"/>
      <c r="Q1268" s="1"/>
      <c r="R1268" s="1"/>
      <c r="S1268" s="1"/>
      <c r="T1268" s="1"/>
      <c r="U1268" s="1"/>
      <c r="V1268" s="1"/>
      <c r="W1268" s="1"/>
      <c r="X1268" s="1"/>
      <c r="Y1268" s="1"/>
      <c r="Z1268" s="1"/>
    </row>
    <row r="1269">
      <c r="A1269" s="1" t="str">
        <f>IFERROR(__xludf.DUMMYFUNCTION("""COMPUTED_VALUE"""),"Pineapple")</f>
        <v>Pineapple</v>
      </c>
      <c r="B1269" s="1" t="str">
        <f>IFERROR(__xludf.DUMMYFUNCTION("""COMPUTED_VALUE"""),"20 hunger and thirst. (Crop)")</f>
        <v>20 hunger and thirst. (Crop)</v>
      </c>
      <c r="C1269" s="1"/>
      <c r="D1269" s="1"/>
      <c r="E1269" s="1"/>
      <c r="F1269" s="1"/>
      <c r="G1269" s="1"/>
      <c r="H1269" s="1"/>
      <c r="I1269" s="1"/>
      <c r="J1269" s="1"/>
      <c r="K1269" s="1"/>
      <c r="L1269" s="1"/>
      <c r="M1269" s="1"/>
      <c r="N1269" s="1"/>
      <c r="O1269" s="1"/>
      <c r="P1269" s="1"/>
      <c r="Q1269" s="1"/>
      <c r="R1269" s="1"/>
      <c r="S1269" s="1"/>
      <c r="T1269" s="1"/>
      <c r="U1269" s="1"/>
      <c r="V1269" s="1"/>
      <c r="W1269" s="1"/>
      <c r="X1269" s="1"/>
      <c r="Y1269" s="1"/>
      <c r="Z1269" s="1"/>
    </row>
    <row r="1270">
      <c r="A1270" s="1" t="str">
        <f>IFERROR(__xludf.DUMMYFUNCTION("""COMPUTED_VALUE"""),"Lime")</f>
        <v>Lime</v>
      </c>
      <c r="B1270" s="1" t="str">
        <f>IFERROR(__xludf.DUMMYFUNCTION("""COMPUTED_VALUE"""),"5 hunger and thirst or 25% chance to lose 10 hunger and thirst. (Crop)")</f>
        <v>5 hunger and thirst or 25% chance to lose 10 hunger and thirst. (Crop)</v>
      </c>
      <c r="C1270" s="1"/>
      <c r="D1270" s="1"/>
      <c r="E1270" s="1"/>
      <c r="F1270" s="1"/>
      <c r="G1270" s="1"/>
      <c r="H1270" s="1"/>
      <c r="I1270" s="1"/>
      <c r="J1270" s="1"/>
      <c r="K1270" s="1"/>
      <c r="L1270" s="1"/>
      <c r="M1270" s="1"/>
      <c r="N1270" s="1"/>
      <c r="O1270" s="1"/>
      <c r="P1270" s="1"/>
      <c r="Q1270" s="1"/>
      <c r="R1270" s="1"/>
      <c r="S1270" s="1"/>
      <c r="T1270" s="1"/>
      <c r="U1270" s="1"/>
      <c r="V1270" s="1"/>
      <c r="W1270" s="1"/>
      <c r="X1270" s="1"/>
      <c r="Y1270" s="1"/>
      <c r="Z1270" s="1"/>
    </row>
    <row r="1271">
      <c r="A1271" s="1" t="str">
        <f>IFERROR(__xludf.DUMMYFUNCTION("""COMPUTED_VALUE"""),"Lemon")</f>
        <v>Lemon</v>
      </c>
      <c r="B1271" s="1" t="str">
        <f>IFERROR(__xludf.DUMMYFUNCTION("""COMPUTED_VALUE"""),"5 hunger and thirst or 50% chance to lose 10 hunger and thirst. (Crop)")</f>
        <v>5 hunger and thirst or 50% chance to lose 10 hunger and thirst. (Crop)</v>
      </c>
      <c r="C1271" s="1"/>
      <c r="D1271" s="1"/>
      <c r="E1271" s="1"/>
      <c r="F1271" s="1"/>
      <c r="G1271" s="1"/>
      <c r="H1271" s="1"/>
      <c r="I1271" s="1"/>
      <c r="J1271" s="1"/>
      <c r="K1271" s="1"/>
      <c r="L1271" s="1"/>
      <c r="M1271" s="1"/>
      <c r="N1271" s="1"/>
      <c r="O1271" s="1"/>
      <c r="P1271" s="1"/>
      <c r="Q1271" s="1"/>
      <c r="R1271" s="1"/>
      <c r="S1271" s="1"/>
      <c r="T1271" s="1"/>
      <c r="U1271" s="1"/>
      <c r="V1271" s="1"/>
      <c r="W1271" s="1"/>
      <c r="X1271" s="1"/>
      <c r="Y1271" s="1"/>
      <c r="Z1271" s="1"/>
    </row>
    <row r="1272">
      <c r="A1272" s="1" t="str">
        <f>IFERROR(__xludf.DUMMYFUNCTION("""COMPUTED_VALUE"""),"Apricot")</f>
        <v>Apricot</v>
      </c>
      <c r="B1272" s="1" t="str">
        <f>IFERROR(__xludf.DUMMYFUNCTION("""COMPUTED_VALUE"""),"5 hunger and thirst. (Crop)")</f>
        <v>5 hunger and thirst. (Crop)</v>
      </c>
      <c r="C1272" s="1"/>
      <c r="D1272" s="1"/>
      <c r="E1272" s="1"/>
      <c r="F1272" s="1"/>
      <c r="G1272" s="1"/>
      <c r="H1272" s="1"/>
      <c r="I1272" s="1"/>
      <c r="J1272" s="1"/>
      <c r="K1272" s="1"/>
      <c r="L1272" s="1"/>
      <c r="M1272" s="1"/>
      <c r="N1272" s="1"/>
      <c r="O1272" s="1"/>
      <c r="P1272" s="1"/>
      <c r="Q1272" s="1"/>
      <c r="R1272" s="1"/>
      <c r="S1272" s="1"/>
      <c r="T1272" s="1"/>
      <c r="U1272" s="1"/>
      <c r="V1272" s="1"/>
      <c r="W1272" s="1"/>
      <c r="X1272" s="1"/>
      <c r="Y1272" s="1"/>
      <c r="Z1272" s="1"/>
    </row>
    <row r="1273">
      <c r="A1273" s="1" t="str">
        <f>IFERROR(__xludf.DUMMYFUNCTION("""COMPUTED_VALUE"""),"Grapefruit")</f>
        <v>Grapefruit</v>
      </c>
      <c r="B1273" s="1" t="str">
        <f>IFERROR(__xludf.DUMMYFUNCTION("""COMPUTED_VALUE"""),"10 hunger and thirst. (Crop)")</f>
        <v>10 hunger and thirst. (Crop)</v>
      </c>
      <c r="C1273" s="1"/>
      <c r="D1273" s="1"/>
      <c r="E1273" s="1"/>
      <c r="F1273" s="1"/>
      <c r="G1273" s="1"/>
      <c r="H1273" s="1"/>
      <c r="I1273" s="1"/>
      <c r="J1273" s="1"/>
      <c r="K1273" s="1"/>
      <c r="L1273" s="1"/>
      <c r="M1273" s="1"/>
      <c r="N1273" s="1"/>
      <c r="O1273" s="1"/>
      <c r="P1273" s="1"/>
      <c r="Q1273" s="1"/>
      <c r="R1273" s="1"/>
      <c r="S1273" s="1"/>
      <c r="T1273" s="1"/>
      <c r="U1273" s="1"/>
      <c r="V1273" s="1"/>
      <c r="W1273" s="1"/>
      <c r="X1273" s="1"/>
      <c r="Y1273" s="1"/>
      <c r="Z1273" s="1"/>
    </row>
    <row r="1274">
      <c r="A1274" s="1" t="str">
        <f>IFERROR(__xludf.DUMMYFUNCTION("""COMPUTED_VALUE"""),"Coconut")</f>
        <v>Coconut</v>
      </c>
      <c r="B1274" s="1" t="str">
        <f>IFERROR(__xludf.DUMMYFUNCTION("""COMPUTED_VALUE"""),"10 hunger and thirst. (Crop)")</f>
        <v>10 hunger and thirst. (Crop)</v>
      </c>
      <c r="C1274" s="1"/>
      <c r="D1274" s="1"/>
      <c r="E1274" s="1"/>
      <c r="F1274" s="1"/>
      <c r="G1274" s="1"/>
      <c r="H1274" s="1"/>
      <c r="I1274" s="1"/>
      <c r="J1274" s="1"/>
      <c r="K1274" s="1"/>
      <c r="L1274" s="1"/>
      <c r="M1274" s="1"/>
      <c r="N1274" s="1"/>
      <c r="O1274" s="1"/>
      <c r="P1274" s="1"/>
      <c r="Q1274" s="1"/>
      <c r="R1274" s="1"/>
      <c r="S1274" s="1"/>
      <c r="T1274" s="1"/>
      <c r="U1274" s="1"/>
      <c r="V1274" s="1"/>
      <c r="W1274" s="1"/>
      <c r="X1274" s="1"/>
      <c r="Y1274" s="1"/>
      <c r="Z1274" s="1"/>
    </row>
    <row r="1275">
      <c r="A1275" s="1" t="str">
        <f>IFERROR(__xludf.DUMMYFUNCTION("""COMPUTED_VALUE"""),"Avocado")</f>
        <v>Avocado</v>
      </c>
      <c r="B1275" s="1" t="str">
        <f>IFERROR(__xludf.DUMMYFUNCTION("""COMPUTED_VALUE"""),"5 hunger. (Crop)")</f>
        <v>5 hunger. (Crop)</v>
      </c>
      <c r="C1275" s="1"/>
      <c r="D1275" s="1"/>
      <c r="E1275" s="1"/>
      <c r="F1275" s="1"/>
      <c r="G1275" s="1"/>
      <c r="H1275" s="1"/>
      <c r="I1275" s="1"/>
      <c r="J1275" s="1"/>
      <c r="K1275" s="1"/>
      <c r="L1275" s="1"/>
      <c r="M1275" s="1"/>
      <c r="N1275" s="1"/>
      <c r="O1275" s="1"/>
      <c r="P1275" s="1"/>
      <c r="Q1275" s="1"/>
      <c r="R1275" s="1"/>
      <c r="S1275" s="1"/>
      <c r="T1275" s="1"/>
      <c r="U1275" s="1"/>
      <c r="V1275" s="1"/>
      <c r="W1275" s="1"/>
      <c r="X1275" s="1"/>
      <c r="Y1275" s="1"/>
      <c r="Z1275" s="1"/>
    </row>
    <row r="1276">
      <c r="A1276" s="1" t="str">
        <f>IFERROR(__xludf.DUMMYFUNCTION("""COMPUTED_VALUE"""),"Peach")</f>
        <v>Peach</v>
      </c>
      <c r="B1276" s="1" t="str">
        <f>IFERROR(__xludf.DUMMYFUNCTION("""COMPUTED_VALUE"""),"5 hunger and thirst. (Crop)")</f>
        <v>5 hunger and thirst. (Crop)</v>
      </c>
      <c r="C1276" s="1"/>
      <c r="D1276" s="1"/>
      <c r="E1276" s="1"/>
      <c r="F1276" s="1"/>
      <c r="G1276" s="1"/>
      <c r="H1276" s="1"/>
      <c r="I1276" s="1"/>
      <c r="J1276" s="1"/>
      <c r="K1276" s="1"/>
      <c r="L1276" s="1"/>
      <c r="M1276" s="1"/>
      <c r="N1276" s="1"/>
      <c r="O1276" s="1"/>
      <c r="P1276" s="1"/>
      <c r="Q1276" s="1"/>
      <c r="R1276" s="1"/>
      <c r="S1276" s="1"/>
      <c r="T1276" s="1"/>
      <c r="U1276" s="1"/>
      <c r="V1276" s="1"/>
      <c r="W1276" s="1"/>
      <c r="X1276" s="1"/>
      <c r="Y1276" s="1"/>
      <c r="Z1276" s="1"/>
    </row>
    <row r="1277">
      <c r="A1277" s="1" t="str">
        <f>IFERROR(__xludf.DUMMYFUNCTION("""COMPUTED_VALUE"""),"Corn")</f>
        <v>Corn</v>
      </c>
      <c r="B1277" s="1" t="str">
        <f>IFERROR(__xludf.DUMMYFUNCTION("""COMPUTED_VALUE"""),"10 hunger. (Crop)")</f>
        <v>10 hunger. (Crop)</v>
      </c>
      <c r="C1277" s="1"/>
      <c r="D1277" s="1"/>
      <c r="E1277" s="1"/>
      <c r="F1277" s="1"/>
      <c r="G1277" s="1"/>
      <c r="H1277" s="1"/>
      <c r="I1277" s="1"/>
      <c r="J1277" s="1"/>
      <c r="K1277" s="1"/>
      <c r="L1277" s="1"/>
      <c r="M1277" s="1"/>
      <c r="N1277" s="1"/>
      <c r="O1277" s="1"/>
      <c r="P1277" s="1"/>
      <c r="Q1277" s="1"/>
      <c r="R1277" s="1"/>
      <c r="S1277" s="1"/>
      <c r="T1277" s="1"/>
      <c r="U1277" s="1"/>
      <c r="V1277" s="1"/>
      <c r="W1277" s="1"/>
      <c r="X1277" s="1"/>
      <c r="Y1277" s="1"/>
      <c r="Z1277" s="1"/>
    </row>
    <row r="1278">
      <c r="A1278" s="1" t="str">
        <f>IFERROR(__xludf.DUMMYFUNCTION("""COMPUTED_VALUE"""),"Mushroom")</f>
        <v>Mushroom</v>
      </c>
      <c r="B1278" s="1" t="str">
        <f>IFERROR(__xludf.DUMMYFUNCTION("""COMPUTED_VALUE"""),"10 hunger, 25% chance of wandering away from the party. (Crop)")</f>
        <v>10 hunger, 25% chance of wandering away from the party. (Crop)</v>
      </c>
      <c r="C1278" s="1"/>
      <c r="D1278" s="1"/>
      <c r="E1278" s="1"/>
      <c r="F1278" s="1"/>
      <c r="G1278" s="1"/>
      <c r="H1278" s="1"/>
      <c r="I1278" s="1"/>
      <c r="J1278" s="1"/>
      <c r="K1278" s="1"/>
      <c r="L1278" s="1"/>
      <c r="M1278" s="1"/>
      <c r="N1278" s="1"/>
      <c r="O1278" s="1"/>
      <c r="P1278" s="1"/>
      <c r="Q1278" s="1"/>
      <c r="R1278" s="1"/>
      <c r="S1278" s="1"/>
      <c r="T1278" s="1"/>
      <c r="U1278" s="1"/>
      <c r="V1278" s="1"/>
      <c r="W1278" s="1"/>
      <c r="X1278" s="1"/>
      <c r="Y1278" s="1"/>
      <c r="Z1278" s="1"/>
    </row>
    <row r="1279">
      <c r="A1279" s="1" t="str">
        <f>IFERROR(__xludf.DUMMYFUNCTION("""COMPUTED_VALUE"""),"Broccoli")</f>
        <v>Broccoli</v>
      </c>
      <c r="B1279" s="1" t="str">
        <f>IFERROR(__xludf.DUMMYFUNCTION("""COMPUTED_VALUE"""),"5 hunger (Crop)")</f>
        <v>5 hunger (Crop)</v>
      </c>
      <c r="C1279" s="1"/>
      <c r="D1279" s="1"/>
      <c r="E1279" s="1"/>
      <c r="F1279" s="1"/>
      <c r="G1279" s="1"/>
      <c r="H1279" s="1"/>
      <c r="I1279" s="1"/>
      <c r="J1279" s="1"/>
      <c r="K1279" s="1"/>
      <c r="L1279" s="1"/>
      <c r="M1279" s="1"/>
      <c r="N1279" s="1"/>
      <c r="O1279" s="1"/>
      <c r="P1279" s="1"/>
      <c r="Q1279" s="1"/>
      <c r="R1279" s="1"/>
      <c r="S1279" s="1"/>
      <c r="T1279" s="1"/>
      <c r="U1279" s="1"/>
      <c r="V1279" s="1"/>
      <c r="W1279" s="1"/>
      <c r="X1279" s="1"/>
      <c r="Y1279" s="1"/>
      <c r="Z1279" s="1"/>
    </row>
    <row r="1280">
      <c r="A1280" s="1" t="str">
        <f>IFERROR(__xludf.DUMMYFUNCTION("""COMPUTED_VALUE"""),"Cucumber")</f>
        <v>Cucumber</v>
      </c>
      <c r="B1280" s="1" t="str">
        <f>IFERROR(__xludf.DUMMYFUNCTION("""COMPUTED_VALUE"""),"5 hunger (Crop)")</f>
        <v>5 hunger (Crop)</v>
      </c>
      <c r="C1280" s="1"/>
      <c r="D1280" s="1"/>
      <c r="E1280" s="1"/>
      <c r="F1280" s="1"/>
      <c r="G1280" s="1"/>
      <c r="H1280" s="1"/>
      <c r="I1280" s="1"/>
      <c r="J1280" s="1"/>
      <c r="K1280" s="1"/>
      <c r="L1280" s="1"/>
      <c r="M1280" s="1"/>
      <c r="N1280" s="1"/>
      <c r="O1280" s="1"/>
      <c r="P1280" s="1"/>
      <c r="Q1280" s="1"/>
      <c r="R1280" s="1"/>
      <c r="S1280" s="1"/>
      <c r="T1280" s="1"/>
      <c r="U1280" s="1"/>
      <c r="V1280" s="1"/>
      <c r="W1280" s="1"/>
      <c r="X1280" s="1"/>
      <c r="Y1280" s="1"/>
      <c r="Z1280" s="1"/>
    </row>
    <row r="1281">
      <c r="A1281" s="1" t="str">
        <f>IFERROR(__xludf.DUMMYFUNCTION("""COMPUTED_VALUE"""),"Red Pepper/Red Bell Pepper")</f>
        <v>Red Pepper/Red Bell Pepper</v>
      </c>
      <c r="B1281" s="1" t="str">
        <f>IFERROR(__xludf.DUMMYFUNCTION("""COMPUTED_VALUE"""),"5 hunger (Crop)")</f>
        <v>5 hunger (Crop)</v>
      </c>
      <c r="C1281" s="1"/>
      <c r="D1281" s="1"/>
      <c r="E1281" s="1"/>
      <c r="F1281" s="1"/>
      <c r="G1281" s="1"/>
      <c r="H1281" s="1"/>
      <c r="I1281" s="1"/>
      <c r="J1281" s="1"/>
      <c r="K1281" s="1"/>
      <c r="L1281" s="1"/>
      <c r="M1281" s="1"/>
      <c r="N1281" s="1"/>
      <c r="O1281" s="1"/>
      <c r="P1281" s="1"/>
      <c r="Q1281" s="1"/>
      <c r="R1281" s="1"/>
      <c r="S1281" s="1"/>
      <c r="T1281" s="1"/>
      <c r="U1281" s="1"/>
      <c r="V1281" s="1"/>
      <c r="W1281" s="1"/>
      <c r="X1281" s="1"/>
      <c r="Y1281" s="1"/>
      <c r="Z1281" s="1"/>
    </row>
    <row r="1282">
      <c r="A1282" s="1" t="str">
        <f>IFERROR(__xludf.DUMMYFUNCTION("""COMPUTED_VALUE"""),"Tomato")</f>
        <v>Tomato</v>
      </c>
      <c r="B1282" s="1" t="str">
        <f>IFERROR(__xludf.DUMMYFUNCTION("""COMPUTED_VALUE"""),"5 hunger and thirst (Crop)")</f>
        <v>5 hunger and thirst (Crop)</v>
      </c>
      <c r="C1282" s="1"/>
      <c r="D1282" s="1"/>
      <c r="E1282" s="1"/>
      <c r="F1282" s="1"/>
      <c r="G1282" s="1"/>
      <c r="H1282" s="1"/>
      <c r="I1282" s="1"/>
      <c r="J1282" s="1"/>
      <c r="K1282" s="1"/>
      <c r="L1282" s="1"/>
      <c r="M1282" s="1"/>
      <c r="N1282" s="1"/>
      <c r="O1282" s="1"/>
      <c r="P1282" s="1"/>
      <c r="Q1282" s="1"/>
      <c r="R1282" s="1"/>
      <c r="S1282" s="1"/>
      <c r="T1282" s="1"/>
      <c r="U1282" s="1"/>
      <c r="V1282" s="1"/>
      <c r="W1282" s="1"/>
      <c r="X1282" s="1"/>
      <c r="Y1282" s="1"/>
      <c r="Z1282" s="1"/>
    </row>
    <row r="1283">
      <c r="A1283" s="1" t="str">
        <f>IFERROR(__xludf.DUMMYFUNCTION("""COMPUTED_VALUE"""),"Carrot")</f>
        <v>Carrot</v>
      </c>
      <c r="B1283" s="1" t="str">
        <f>IFERROR(__xludf.DUMMYFUNCTION("""COMPUTED_VALUE"""),"5 hunger (Crop)")</f>
        <v>5 hunger (Crop)</v>
      </c>
      <c r="C1283" s="1"/>
      <c r="D1283" s="1"/>
      <c r="E1283" s="1"/>
      <c r="F1283" s="1"/>
      <c r="G1283" s="1"/>
      <c r="H1283" s="1"/>
      <c r="I1283" s="1"/>
      <c r="J1283" s="1"/>
      <c r="K1283" s="1"/>
      <c r="L1283" s="1"/>
      <c r="M1283" s="1"/>
      <c r="N1283" s="1"/>
      <c r="O1283" s="1"/>
      <c r="P1283" s="1"/>
      <c r="Q1283" s="1"/>
      <c r="R1283" s="1"/>
      <c r="S1283" s="1"/>
      <c r="T1283" s="1"/>
      <c r="U1283" s="1"/>
      <c r="V1283" s="1"/>
      <c r="W1283" s="1"/>
      <c r="X1283" s="1"/>
      <c r="Y1283" s="1"/>
      <c r="Z1283" s="1"/>
    </row>
    <row r="1284">
      <c r="A1284" s="1" t="str">
        <f>IFERROR(__xludf.DUMMYFUNCTION("""COMPUTED_VALUE"""),"Brussels Sprout")</f>
        <v>Brussels Sprout</v>
      </c>
      <c r="B1284" s="1" t="str">
        <f>IFERROR(__xludf.DUMMYFUNCTION("""COMPUTED_VALUE"""),"5 hunger (Crop)")</f>
        <v>5 hunger (Crop)</v>
      </c>
      <c r="C1284" s="1"/>
      <c r="D1284" s="1"/>
      <c r="E1284" s="1"/>
      <c r="F1284" s="1"/>
      <c r="G1284" s="1"/>
      <c r="H1284" s="1"/>
      <c r="I1284" s="1"/>
      <c r="J1284" s="1"/>
      <c r="K1284" s="1"/>
      <c r="L1284" s="1"/>
      <c r="M1284" s="1"/>
      <c r="N1284" s="1"/>
      <c r="O1284" s="1"/>
      <c r="P1284" s="1"/>
      <c r="Q1284" s="1"/>
      <c r="R1284" s="1"/>
      <c r="S1284" s="1"/>
      <c r="T1284" s="1"/>
      <c r="U1284" s="1"/>
      <c r="V1284" s="1"/>
      <c r="W1284" s="1"/>
      <c r="X1284" s="1"/>
      <c r="Y1284" s="1"/>
      <c r="Z1284" s="1"/>
    </row>
    <row r="1285">
      <c r="A1285" s="1" t="str">
        <f>IFERROR(__xludf.DUMMYFUNCTION("""COMPUTED_VALUE"""),"Cabbage")</f>
        <v>Cabbage</v>
      </c>
      <c r="B1285" s="1" t="str">
        <f>IFERROR(__xludf.DUMMYFUNCTION("""COMPUTED_VALUE"""),"10 hunger (Crop)")</f>
        <v>10 hunger (Crop)</v>
      </c>
      <c r="C1285" s="1"/>
      <c r="D1285" s="1"/>
      <c r="E1285" s="1"/>
      <c r="F1285" s="1"/>
      <c r="G1285" s="1"/>
      <c r="H1285" s="1"/>
      <c r="I1285" s="1"/>
      <c r="J1285" s="1"/>
      <c r="K1285" s="1"/>
      <c r="L1285" s="1"/>
      <c r="M1285" s="1"/>
      <c r="N1285" s="1"/>
      <c r="O1285" s="1"/>
      <c r="P1285" s="1"/>
      <c r="Q1285" s="1"/>
      <c r="R1285" s="1"/>
      <c r="S1285" s="1"/>
      <c r="T1285" s="1"/>
      <c r="U1285" s="1"/>
      <c r="V1285" s="1"/>
      <c r="W1285" s="1"/>
      <c r="X1285" s="1"/>
      <c r="Y1285" s="1"/>
      <c r="Z1285" s="1"/>
    </row>
    <row r="1286">
      <c r="A1286" s="1" t="str">
        <f>IFERROR(__xludf.DUMMYFUNCTION("""COMPUTED_VALUE"""),"Potato")</f>
        <v>Potato</v>
      </c>
      <c r="B1286" s="1" t="str">
        <f>IFERROR(__xludf.DUMMYFUNCTION("""COMPUTED_VALUE"""),"5 hunger (Crop)")</f>
        <v>5 hunger (Crop)</v>
      </c>
      <c r="C1286" s="1"/>
      <c r="D1286" s="1"/>
      <c r="E1286" s="1"/>
      <c r="F1286" s="1"/>
      <c r="G1286" s="1"/>
      <c r="H1286" s="1"/>
      <c r="I1286" s="1"/>
      <c r="J1286" s="1"/>
      <c r="K1286" s="1"/>
      <c r="L1286" s="1"/>
      <c r="M1286" s="1"/>
      <c r="N1286" s="1"/>
      <c r="O1286" s="1"/>
      <c r="P1286" s="1"/>
      <c r="Q1286" s="1"/>
      <c r="R1286" s="1"/>
      <c r="S1286" s="1"/>
      <c r="T1286" s="1"/>
      <c r="U1286" s="1"/>
      <c r="V1286" s="1"/>
      <c r="W1286" s="1"/>
      <c r="X1286" s="1"/>
      <c r="Y1286" s="1"/>
      <c r="Z1286" s="1"/>
    </row>
    <row r="1287">
      <c r="A1287" s="1" t="str">
        <f>IFERROR(__xludf.DUMMYFUNCTION("""COMPUTED_VALUE"""),"Eggplant")</f>
        <v>Eggplant</v>
      </c>
      <c r="B1287" s="1" t="str">
        <f>IFERROR(__xludf.DUMMYFUNCTION("""COMPUTED_VALUE"""),"10 hunger (Crop)")</f>
        <v>10 hunger (Crop)</v>
      </c>
      <c r="C1287" s="1"/>
      <c r="D1287" s="1"/>
      <c r="E1287" s="1"/>
      <c r="F1287" s="1"/>
      <c r="G1287" s="1"/>
      <c r="H1287" s="1"/>
      <c r="I1287" s="1"/>
      <c r="J1287" s="1"/>
      <c r="K1287" s="1"/>
      <c r="L1287" s="1"/>
      <c r="M1287" s="1"/>
      <c r="N1287" s="1"/>
      <c r="O1287" s="1"/>
      <c r="P1287" s="1"/>
      <c r="Q1287" s="1"/>
      <c r="R1287" s="1"/>
      <c r="S1287" s="1"/>
      <c r="T1287" s="1"/>
      <c r="U1287" s="1"/>
      <c r="V1287" s="1"/>
      <c r="W1287" s="1"/>
      <c r="X1287" s="1"/>
      <c r="Y1287" s="1"/>
      <c r="Z1287" s="1"/>
    </row>
    <row r="1288">
      <c r="A1288" s="1" t="str">
        <f>IFERROR(__xludf.DUMMYFUNCTION("""COMPUTED_VALUE"""),"Sweet Potato")</f>
        <v>Sweet Potato</v>
      </c>
      <c r="B1288" s="1" t="str">
        <f>IFERROR(__xludf.DUMMYFUNCTION("""COMPUTED_VALUE"""),"5 hunger (Crop)")</f>
        <v>5 hunger (Crop)</v>
      </c>
      <c r="C1288" s="1"/>
      <c r="D1288" s="1"/>
      <c r="E1288" s="1"/>
      <c r="F1288" s="1"/>
      <c r="G1288" s="1"/>
      <c r="H1288" s="1"/>
      <c r="I1288" s="1"/>
      <c r="J1288" s="1"/>
      <c r="K1288" s="1"/>
      <c r="L1288" s="1"/>
      <c r="M1288" s="1"/>
      <c r="N1288" s="1"/>
      <c r="O1288" s="1"/>
      <c r="P1288" s="1"/>
      <c r="Q1288" s="1"/>
      <c r="R1288" s="1"/>
      <c r="S1288" s="1"/>
      <c r="T1288" s="1"/>
      <c r="U1288" s="1"/>
      <c r="V1288" s="1"/>
      <c r="W1288" s="1"/>
      <c r="X1288" s="1"/>
      <c r="Y1288" s="1"/>
      <c r="Z1288" s="1"/>
    </row>
    <row r="1289">
      <c r="A1289" s="1" t="str">
        <f>IFERROR(__xludf.DUMMYFUNCTION("""COMPUTED_VALUE"""),"Turnip")</f>
        <v>Turnip</v>
      </c>
      <c r="B1289" s="1" t="str">
        <f>IFERROR(__xludf.DUMMYFUNCTION("""COMPUTED_VALUE"""),"5 hunger (Crop)")</f>
        <v>5 hunger (Crop)</v>
      </c>
      <c r="C1289" s="1"/>
      <c r="D1289" s="1"/>
      <c r="E1289" s="1"/>
      <c r="F1289" s="1"/>
      <c r="G1289" s="1"/>
      <c r="H1289" s="1"/>
      <c r="I1289" s="1"/>
      <c r="J1289" s="1"/>
      <c r="K1289" s="1"/>
      <c r="L1289" s="1"/>
      <c r="M1289" s="1"/>
      <c r="N1289" s="1"/>
      <c r="O1289" s="1"/>
      <c r="P1289" s="1"/>
      <c r="Q1289" s="1"/>
      <c r="R1289" s="1"/>
      <c r="S1289" s="1"/>
      <c r="T1289" s="1"/>
      <c r="U1289" s="1"/>
      <c r="V1289" s="1"/>
      <c r="W1289" s="1"/>
      <c r="X1289" s="1"/>
      <c r="Y1289" s="1"/>
      <c r="Z1289" s="1"/>
    </row>
    <row r="1290">
      <c r="A1290" s="1" t="str">
        <f>IFERROR(__xludf.DUMMYFUNCTION("""COMPUTED_VALUE"""),"Green Chilli")</f>
        <v>Green Chilli</v>
      </c>
      <c r="B1290" s="1" t="str">
        <f>IFERROR(__xludf.DUMMYFUNCTION("""COMPUTED_VALUE"""),"5 hunger (Crop)")</f>
        <v>5 hunger (Crop)</v>
      </c>
      <c r="C1290" s="1"/>
      <c r="D1290" s="1"/>
      <c r="E1290" s="1"/>
      <c r="F1290" s="1"/>
      <c r="G1290" s="1"/>
      <c r="H1290" s="1"/>
      <c r="I1290" s="1"/>
      <c r="J1290" s="1"/>
      <c r="K1290" s="1"/>
      <c r="L1290" s="1"/>
      <c r="M1290" s="1"/>
      <c r="N1290" s="1"/>
      <c r="O1290" s="1"/>
      <c r="P1290" s="1"/>
      <c r="Q1290" s="1"/>
      <c r="R1290" s="1"/>
      <c r="S1290" s="1"/>
      <c r="T1290" s="1"/>
      <c r="U1290" s="1"/>
      <c r="V1290" s="1"/>
      <c r="W1290" s="1"/>
      <c r="X1290" s="1"/>
      <c r="Y1290" s="1"/>
      <c r="Z1290" s="1"/>
    </row>
    <row r="1291">
      <c r="A1291" s="1" t="str">
        <f>IFERROR(__xludf.DUMMYFUNCTION("""COMPUTED_VALUE"""),"Onion")</f>
        <v>Onion</v>
      </c>
      <c r="B1291" s="1" t="str">
        <f>IFERROR(__xludf.DUMMYFUNCTION("""COMPUTED_VALUE"""),"5 hunger, 50% Blindness 3 during the next battle. (Crop)")</f>
        <v>5 hunger, 50% Blindness 3 during the next battle. (Crop)</v>
      </c>
      <c r="C1291" s="1"/>
      <c r="D1291" s="1"/>
      <c r="E1291" s="1"/>
      <c r="F1291" s="1"/>
      <c r="G1291" s="1"/>
      <c r="H1291" s="1"/>
      <c r="I1291" s="1"/>
      <c r="J1291" s="1"/>
      <c r="K1291" s="1"/>
      <c r="L1291" s="1"/>
      <c r="M1291" s="1"/>
      <c r="N1291" s="1"/>
      <c r="O1291" s="1"/>
      <c r="P1291" s="1"/>
      <c r="Q1291" s="1"/>
      <c r="R1291" s="1"/>
      <c r="S1291" s="1"/>
      <c r="T1291" s="1"/>
      <c r="U1291" s="1"/>
      <c r="V1291" s="1"/>
      <c r="W1291" s="1"/>
      <c r="X1291" s="1"/>
      <c r="Y1291" s="1"/>
      <c r="Z1291" s="1"/>
    </row>
    <row r="1292">
      <c r="A1292" s="1" t="str">
        <f>IFERROR(__xludf.DUMMYFUNCTION("""COMPUTED_VALUE"""),"Lettuce")</f>
        <v>Lettuce</v>
      </c>
      <c r="B1292" s="1" t="str">
        <f>IFERROR(__xludf.DUMMYFUNCTION("""COMPUTED_VALUE"""),"5 hunger (Crop)")</f>
        <v>5 hunger (Crop)</v>
      </c>
      <c r="C1292" s="1"/>
      <c r="D1292" s="1"/>
      <c r="E1292" s="1"/>
      <c r="F1292" s="1"/>
      <c r="G1292" s="1"/>
      <c r="H1292" s="1"/>
      <c r="I1292" s="1"/>
      <c r="J1292" s="1"/>
      <c r="K1292" s="1"/>
      <c r="L1292" s="1"/>
      <c r="M1292" s="1"/>
      <c r="N1292" s="1"/>
      <c r="O1292" s="1"/>
      <c r="P1292" s="1"/>
      <c r="Q1292" s="1"/>
      <c r="R1292" s="1"/>
      <c r="S1292" s="1"/>
      <c r="T1292" s="1"/>
      <c r="U1292" s="1"/>
      <c r="V1292" s="1"/>
      <c r="W1292" s="1"/>
      <c r="X1292" s="1"/>
      <c r="Y1292" s="1"/>
      <c r="Z1292" s="1"/>
    </row>
    <row r="1293">
      <c r="A1293" s="1" t="str">
        <f>IFERROR(__xludf.DUMMYFUNCTION("""COMPUTED_VALUE"""),"Radish")</f>
        <v>Radish</v>
      </c>
      <c r="B1293" s="1" t="str">
        <f>IFERROR(__xludf.DUMMYFUNCTION("""COMPUTED_VALUE"""),"5 hunger (Crop)")</f>
        <v>5 hunger (Crop)</v>
      </c>
      <c r="C1293" s="1"/>
      <c r="D1293" s="1"/>
      <c r="E1293" s="1"/>
      <c r="F1293" s="1"/>
      <c r="G1293" s="1"/>
      <c r="H1293" s="1"/>
      <c r="I1293" s="1"/>
      <c r="J1293" s="1"/>
      <c r="K1293" s="1"/>
      <c r="L1293" s="1"/>
      <c r="M1293" s="1"/>
      <c r="N1293" s="1"/>
      <c r="O1293" s="1"/>
      <c r="P1293" s="1"/>
      <c r="Q1293" s="1"/>
      <c r="R1293" s="1"/>
      <c r="S1293" s="1"/>
      <c r="T1293" s="1"/>
      <c r="U1293" s="1"/>
      <c r="V1293" s="1"/>
      <c r="W1293" s="1"/>
      <c r="X1293" s="1"/>
      <c r="Y1293" s="1"/>
      <c r="Z1293" s="1"/>
    </row>
    <row r="1294">
      <c r="A1294" s="1" t="str">
        <f>IFERROR(__xludf.DUMMYFUNCTION("""COMPUTED_VALUE"""),"Peas")</f>
        <v>Peas</v>
      </c>
      <c r="B1294" s="1" t="str">
        <f>IFERROR(__xludf.DUMMYFUNCTION("""COMPUTED_VALUE"""),"5 hunger (Crop)")</f>
        <v>5 hunger (Crop)</v>
      </c>
      <c r="C1294" s="1"/>
      <c r="D1294" s="1"/>
      <c r="E1294" s="1"/>
      <c r="F1294" s="1"/>
      <c r="G1294" s="1"/>
      <c r="H1294" s="1"/>
      <c r="I1294" s="1"/>
      <c r="J1294" s="1"/>
      <c r="K1294" s="1"/>
      <c r="L1294" s="1"/>
      <c r="M1294" s="1"/>
      <c r="N1294" s="1"/>
      <c r="O1294" s="1"/>
      <c r="P1294" s="1"/>
      <c r="Q1294" s="1"/>
      <c r="R1294" s="1"/>
      <c r="S1294" s="1"/>
      <c r="T1294" s="1"/>
      <c r="U1294" s="1"/>
      <c r="V1294" s="1"/>
      <c r="W1294" s="1"/>
      <c r="X1294" s="1"/>
      <c r="Y1294" s="1"/>
      <c r="Z1294" s="1"/>
    </row>
    <row r="1295">
      <c r="A1295" s="1" t="str">
        <f>IFERROR(__xludf.DUMMYFUNCTION("""COMPUTED_VALUE"""),"Asparagus")</f>
        <v>Asparagus</v>
      </c>
      <c r="B1295" s="1" t="str">
        <f>IFERROR(__xludf.DUMMYFUNCTION("""COMPUTED_VALUE"""),"5 hunger (Crop)")</f>
        <v>5 hunger (Crop)</v>
      </c>
      <c r="C1295" s="1"/>
      <c r="D1295" s="1"/>
      <c r="E1295" s="1"/>
      <c r="F1295" s="1"/>
      <c r="G1295" s="1"/>
      <c r="H1295" s="1"/>
      <c r="I1295" s="1"/>
      <c r="J1295" s="1"/>
      <c r="K1295" s="1"/>
      <c r="L1295" s="1"/>
      <c r="M1295" s="1"/>
      <c r="N1295" s="1"/>
      <c r="O1295" s="1"/>
      <c r="P1295" s="1"/>
      <c r="Q1295" s="1"/>
      <c r="R1295" s="1"/>
      <c r="S1295" s="1"/>
      <c r="T1295" s="1"/>
      <c r="U1295" s="1"/>
      <c r="V1295" s="1"/>
      <c r="W1295" s="1"/>
      <c r="X1295" s="1"/>
      <c r="Y1295" s="1"/>
      <c r="Z1295" s="1"/>
    </row>
    <row r="1296">
      <c r="A1296" s="1" t="str">
        <f>IFERROR(__xludf.DUMMYFUNCTION("""COMPUTED_VALUE"""),"Celery")</f>
        <v>Celery</v>
      </c>
      <c r="B1296" s="1" t="str">
        <f>IFERROR(__xludf.DUMMYFUNCTION("""COMPUTED_VALUE"""),"5 hunger (Crop)")</f>
        <v>5 hunger (Crop)</v>
      </c>
      <c r="C1296" s="1"/>
      <c r="D1296" s="1"/>
      <c r="E1296" s="1"/>
      <c r="F1296" s="1"/>
      <c r="G1296" s="1"/>
      <c r="H1296" s="1"/>
      <c r="I1296" s="1"/>
      <c r="J1296" s="1"/>
      <c r="K1296" s="1"/>
      <c r="L1296" s="1"/>
      <c r="M1296" s="1"/>
      <c r="N1296" s="1"/>
      <c r="O1296" s="1"/>
      <c r="P1296" s="1"/>
      <c r="Q1296" s="1"/>
      <c r="R1296" s="1"/>
      <c r="S1296" s="1"/>
      <c r="T1296" s="1"/>
      <c r="U1296" s="1"/>
      <c r="V1296" s="1"/>
      <c r="W1296" s="1"/>
      <c r="X1296" s="1"/>
      <c r="Y1296" s="1"/>
      <c r="Z1296" s="1"/>
    </row>
    <row r="1297">
      <c r="A1297" s="1" t="str">
        <f>IFERROR(__xludf.DUMMYFUNCTION("""COMPUTED_VALUE"""),"Green Pepper")</f>
        <v>Green Pepper</v>
      </c>
      <c r="B1297" s="1" t="str">
        <f>IFERROR(__xludf.DUMMYFUNCTION("""COMPUTED_VALUE"""),"5 hunger (Crop)")</f>
        <v>5 hunger (Crop)</v>
      </c>
      <c r="C1297" s="1"/>
      <c r="D1297" s="1"/>
      <c r="E1297" s="1"/>
      <c r="F1297" s="1"/>
      <c r="G1297" s="1"/>
      <c r="H1297" s="1"/>
      <c r="I1297" s="1"/>
      <c r="J1297" s="1"/>
      <c r="K1297" s="1"/>
      <c r="L1297" s="1"/>
      <c r="M1297" s="1"/>
      <c r="N1297" s="1"/>
      <c r="O1297" s="1"/>
      <c r="P1297" s="1"/>
      <c r="Q1297" s="1"/>
      <c r="R1297" s="1"/>
      <c r="S1297" s="1"/>
      <c r="T1297" s="1"/>
      <c r="U1297" s="1"/>
      <c r="V1297" s="1"/>
      <c r="W1297" s="1"/>
      <c r="X1297" s="1"/>
      <c r="Y1297" s="1"/>
      <c r="Z1297" s="1"/>
    </row>
    <row r="1298">
      <c r="A1298" s="1" t="str">
        <f>IFERROR(__xludf.DUMMYFUNCTION("""COMPUTED_VALUE"""),"French Beans")</f>
        <v>French Beans</v>
      </c>
      <c r="B1298" s="1" t="str">
        <f>IFERROR(__xludf.DUMMYFUNCTION("""COMPUTED_VALUE"""),"5 hunger (Crop)")</f>
        <v>5 hunger (Crop)</v>
      </c>
      <c r="C1298" s="1"/>
      <c r="D1298" s="1"/>
      <c r="E1298" s="1"/>
      <c r="F1298" s="1"/>
      <c r="G1298" s="1"/>
      <c r="H1298" s="1"/>
      <c r="I1298" s="1"/>
      <c r="J1298" s="1"/>
      <c r="K1298" s="1"/>
      <c r="L1298" s="1"/>
      <c r="M1298" s="1"/>
      <c r="N1298" s="1"/>
      <c r="O1298" s="1"/>
      <c r="P1298" s="1"/>
      <c r="Q1298" s="1"/>
      <c r="R1298" s="1"/>
      <c r="S1298" s="1"/>
      <c r="T1298" s="1"/>
      <c r="U1298" s="1"/>
      <c r="V1298" s="1"/>
      <c r="W1298" s="1"/>
      <c r="X1298" s="1"/>
      <c r="Y1298" s="1"/>
      <c r="Z1298" s="1"/>
    </row>
    <row r="1299">
      <c r="A1299" s="1" t="str">
        <f>IFERROR(__xludf.DUMMYFUNCTION("""COMPUTED_VALUE"""),"Spinach")</f>
        <v>Spinach</v>
      </c>
      <c r="B1299" s="1" t="str">
        <f>IFERROR(__xludf.DUMMYFUNCTION("""COMPUTED_VALUE"""),"5 hunger (Crop)")</f>
        <v>5 hunger (Crop)</v>
      </c>
      <c r="C1299" s="1"/>
      <c r="D1299" s="1"/>
      <c r="E1299" s="1"/>
      <c r="F1299" s="1"/>
      <c r="G1299" s="1"/>
      <c r="H1299" s="1"/>
      <c r="I1299" s="1"/>
      <c r="J1299" s="1"/>
      <c r="K1299" s="1"/>
      <c r="L1299" s="1"/>
      <c r="M1299" s="1"/>
      <c r="N1299" s="1"/>
      <c r="O1299" s="1"/>
      <c r="P1299" s="1"/>
      <c r="Q1299" s="1"/>
      <c r="R1299" s="1"/>
      <c r="S1299" s="1"/>
      <c r="T1299" s="1"/>
      <c r="U1299" s="1"/>
      <c r="V1299" s="1"/>
      <c r="W1299" s="1"/>
      <c r="X1299" s="1"/>
      <c r="Y1299" s="1"/>
      <c r="Z1299" s="1"/>
    </row>
    <row r="1300">
      <c r="A1300" s="1" t="str">
        <f>IFERROR(__xludf.DUMMYFUNCTION("""COMPUTED_VALUE"""),"Beetroot")</f>
        <v>Beetroot</v>
      </c>
      <c r="B1300" s="1" t="str">
        <f>IFERROR(__xludf.DUMMYFUNCTION("""COMPUTED_VALUE"""),"5 hunger (Crop)")</f>
        <v>5 hunger (Crop)</v>
      </c>
      <c r="C1300" s="1"/>
      <c r="D1300" s="1"/>
      <c r="E1300" s="1"/>
      <c r="F1300" s="1"/>
      <c r="G1300" s="1"/>
      <c r="H1300" s="1"/>
      <c r="I1300" s="1"/>
      <c r="J1300" s="1"/>
      <c r="K1300" s="1"/>
      <c r="L1300" s="1"/>
      <c r="M1300" s="1"/>
      <c r="N1300" s="1"/>
      <c r="O1300" s="1"/>
      <c r="P1300" s="1"/>
      <c r="Q1300" s="1"/>
      <c r="R1300" s="1"/>
      <c r="S1300" s="1"/>
      <c r="T1300" s="1"/>
      <c r="U1300" s="1"/>
      <c r="V1300" s="1"/>
      <c r="W1300" s="1"/>
      <c r="X1300" s="1"/>
      <c r="Y1300" s="1"/>
      <c r="Z1300" s="1"/>
    </row>
    <row r="1301">
      <c r="A1301" s="1" t="str">
        <f>IFERROR(__xludf.DUMMYFUNCTION("""COMPUTED_VALUE"""),"Red Chili Peppers ")</f>
        <v>Red Chili Peppers </v>
      </c>
      <c r="B1301" s="1" t="str">
        <f>IFERROR(__xludf.DUMMYFUNCTION("""COMPUTED_VALUE"""),"5 hunger (Crop)")</f>
        <v>5 hunger (Crop)</v>
      </c>
      <c r="C1301" s="1"/>
      <c r="D1301" s="1"/>
      <c r="E1301" s="1"/>
      <c r="F1301" s="1"/>
      <c r="G1301" s="1"/>
      <c r="H1301" s="1"/>
      <c r="I1301" s="1"/>
      <c r="J1301" s="1"/>
      <c r="K1301" s="1"/>
      <c r="L1301" s="1"/>
      <c r="M1301" s="1"/>
      <c r="N1301" s="1"/>
      <c r="O1301" s="1"/>
      <c r="P1301" s="1"/>
      <c r="Q1301" s="1"/>
      <c r="R1301" s="1"/>
      <c r="S1301" s="1"/>
      <c r="T1301" s="1"/>
      <c r="U1301" s="1"/>
      <c r="V1301" s="1"/>
      <c r="W1301" s="1"/>
      <c r="X1301" s="1"/>
      <c r="Y1301" s="1"/>
      <c r="Z1301" s="1"/>
    </row>
    <row r="1302">
      <c r="A1302" s="1" t="str">
        <f>IFERROR(__xludf.DUMMYFUNCTION("""COMPUTED_VALUE"""),"Crystal Apple")</f>
        <v>Crystal Apple</v>
      </c>
      <c r="B1302" s="1" t="str">
        <f>IFERROR(__xludf.DUMMYFUNCTION("""COMPUTED_VALUE"""),"When consumed X2 additional Damage towards the users weapons. (Can only use 1 per battle) (Item)")</f>
        <v>When consumed X2 additional Damage towards the users weapons. (Can only use 1 per battle) (Item)</v>
      </c>
      <c r="C1302" s="1"/>
      <c r="D1302" s="1"/>
      <c r="E1302" s="1"/>
      <c r="F1302" s="1"/>
      <c r="G1302" s="1"/>
      <c r="H1302" s="1"/>
      <c r="I1302" s="1"/>
      <c r="J1302" s="1"/>
      <c r="K1302" s="1"/>
      <c r="L1302" s="1"/>
      <c r="M1302" s="1"/>
      <c r="N1302" s="1"/>
      <c r="O1302" s="1"/>
      <c r="P1302" s="1"/>
      <c r="Q1302" s="1"/>
      <c r="R1302" s="1"/>
      <c r="S1302" s="1"/>
      <c r="T1302" s="1"/>
      <c r="U1302" s="1"/>
      <c r="V1302" s="1"/>
      <c r="W1302" s="1"/>
      <c r="X1302" s="1"/>
      <c r="Y1302" s="1"/>
      <c r="Z1302" s="1"/>
    </row>
    <row r="1303">
      <c r="A1303" s="1" t="str">
        <f>IFERROR(__xludf.DUMMYFUNCTION("""COMPUTED_VALUE"""),"Dark Crystal Shard")</f>
        <v>Dark Crystal Shard</v>
      </c>
      <c r="B1303" s="1" t="str">
        <f>IFERROR(__xludf.DUMMYFUNCTION("""COMPUTED_VALUE"""),"Quest item, Crafting Material, roll a d20 to see how many you get if this is a loot drop. (Item)")</f>
        <v>Quest item, Crafting Material, roll a d20 to see how many you get if this is a loot drop. (Item)</v>
      </c>
      <c r="C1303" s="1"/>
      <c r="D1303" s="1"/>
      <c r="E1303" s="1"/>
      <c r="F1303" s="1"/>
      <c r="G1303" s="1"/>
      <c r="H1303" s="1"/>
      <c r="I1303" s="1"/>
      <c r="J1303" s="1"/>
      <c r="K1303" s="1"/>
      <c r="L1303" s="1"/>
      <c r="M1303" s="1"/>
      <c r="N1303" s="1"/>
      <c r="O1303" s="1"/>
      <c r="P1303" s="1"/>
      <c r="Q1303" s="1"/>
      <c r="R1303" s="1"/>
      <c r="S1303" s="1"/>
      <c r="T1303" s="1"/>
      <c r="U1303" s="1"/>
      <c r="V1303" s="1"/>
      <c r="W1303" s="1"/>
      <c r="X1303" s="1"/>
      <c r="Y1303" s="1"/>
      <c r="Z1303" s="1"/>
    </row>
    <row r="1304">
      <c r="A1304" s="1" t="str">
        <f>IFERROR(__xludf.DUMMYFUNCTION("""COMPUTED_VALUE"""),"Small Fuel Canister")</f>
        <v>Small Fuel Canister</v>
      </c>
      <c r="B1304" s="1" t="str">
        <f>IFERROR(__xludf.DUMMYFUNCTION("""COMPUTED_VALUE"""),"Restores 100 Fuel (Item)")</f>
        <v>Restores 100 Fuel (Item)</v>
      </c>
      <c r="C1304" s="1"/>
      <c r="D1304" s="1"/>
      <c r="E1304" s="1"/>
      <c r="F1304" s="1"/>
      <c r="G1304" s="1"/>
      <c r="H1304" s="1"/>
      <c r="I1304" s="1"/>
      <c r="J1304" s="1"/>
      <c r="K1304" s="1"/>
      <c r="L1304" s="1"/>
      <c r="M1304" s="1"/>
      <c r="N1304" s="1"/>
      <c r="O1304" s="1"/>
      <c r="P1304" s="1"/>
      <c r="Q1304" s="1"/>
      <c r="R1304" s="1"/>
      <c r="S1304" s="1"/>
      <c r="T1304" s="1"/>
      <c r="U1304" s="1"/>
      <c r="V1304" s="1"/>
      <c r="W1304" s="1"/>
      <c r="X1304" s="1"/>
      <c r="Y1304" s="1"/>
      <c r="Z1304" s="1"/>
    </row>
    <row r="1305">
      <c r="A1305" s="1" t="str">
        <f>IFERROR(__xludf.DUMMYFUNCTION("""COMPUTED_VALUE"""),"Medium Fuel Canister")</f>
        <v>Medium Fuel Canister</v>
      </c>
      <c r="B1305" s="1" t="str">
        <f>IFERROR(__xludf.DUMMYFUNCTION("""COMPUTED_VALUE"""),"Restores 250 Fuel (Item)")</f>
        <v>Restores 250 Fuel (Item)</v>
      </c>
      <c r="C1305" s="1"/>
      <c r="D1305" s="1"/>
      <c r="E1305" s="1"/>
      <c r="F1305" s="1"/>
      <c r="G1305" s="1"/>
      <c r="H1305" s="1"/>
      <c r="I1305" s="1"/>
      <c r="J1305" s="1"/>
      <c r="K1305" s="1"/>
      <c r="L1305" s="1"/>
      <c r="M1305" s="1"/>
      <c r="N1305" s="1"/>
      <c r="O1305" s="1"/>
      <c r="P1305" s="1"/>
      <c r="Q1305" s="1"/>
      <c r="R1305" s="1"/>
      <c r="S1305" s="1"/>
      <c r="T1305" s="1"/>
      <c r="U1305" s="1"/>
      <c r="V1305" s="1"/>
      <c r="W1305" s="1"/>
      <c r="X1305" s="1"/>
      <c r="Y1305" s="1"/>
      <c r="Z1305" s="1"/>
    </row>
    <row r="1306">
      <c r="A1306" s="1" t="str">
        <f>IFERROR(__xludf.DUMMYFUNCTION("""COMPUTED_VALUE"""),"Large Fuel Canister")</f>
        <v>Large Fuel Canister</v>
      </c>
      <c r="B1306" s="1" t="str">
        <f>IFERROR(__xludf.DUMMYFUNCTION("""COMPUTED_VALUE"""),"Restores 500 Fuel (Item)")</f>
        <v>Restores 500 Fuel (Item)</v>
      </c>
      <c r="C1306" s="1"/>
      <c r="D1306" s="1"/>
      <c r="E1306" s="1"/>
      <c r="F1306" s="1"/>
      <c r="G1306" s="1"/>
      <c r="H1306" s="1"/>
      <c r="I1306" s="1"/>
      <c r="J1306" s="1"/>
      <c r="K1306" s="1"/>
      <c r="L1306" s="1"/>
      <c r="M1306" s="1"/>
      <c r="N1306" s="1"/>
      <c r="O1306" s="1"/>
      <c r="P1306" s="1"/>
      <c r="Q1306" s="1"/>
      <c r="R1306" s="1"/>
      <c r="S1306" s="1"/>
      <c r="T1306" s="1"/>
      <c r="U1306" s="1"/>
      <c r="V1306" s="1"/>
      <c r="W1306" s="1"/>
      <c r="X1306" s="1"/>
      <c r="Y1306" s="1"/>
      <c r="Z1306" s="1"/>
    </row>
    <row r="1307">
      <c r="A1307" s="1" t="str">
        <f>IFERROR(__xludf.DUMMYFUNCTION("""COMPUTED_VALUE"""),"Letter from the Lord of Spira")</f>
        <v>Letter from the Lord of Spira</v>
      </c>
      <c r="B1307" s="1" t="str">
        <f>IFERROR(__xludf.DUMMYFUNCTION("""COMPUTED_VALUE"""),"Absolved from all crimes whitin The Land of Spira. Can only be used once, Cannot be duplicated (Item)")</f>
        <v>Absolved from all crimes whitin The Land of Spira. Can only be used once, Cannot be duplicated (Item)</v>
      </c>
      <c r="C1307" s="1"/>
      <c r="D1307" s="1"/>
      <c r="E1307" s="1"/>
      <c r="F1307" s="1"/>
      <c r="G1307" s="1"/>
      <c r="H1307" s="1"/>
      <c r="I1307" s="1"/>
      <c r="J1307" s="1"/>
      <c r="K1307" s="1"/>
      <c r="L1307" s="1"/>
      <c r="M1307" s="1"/>
      <c r="N1307" s="1"/>
      <c r="O1307" s="1"/>
      <c r="P1307" s="1"/>
      <c r="Q1307" s="1"/>
      <c r="R1307" s="1"/>
      <c r="S1307" s="1"/>
      <c r="T1307" s="1"/>
      <c r="U1307" s="1"/>
      <c r="V1307" s="1"/>
      <c r="W1307" s="1"/>
      <c r="X1307" s="1"/>
      <c r="Y1307" s="1"/>
      <c r="Z1307" s="1"/>
    </row>
    <row r="1308">
      <c r="A1308" s="1" t="str">
        <f>IFERROR(__xludf.DUMMYFUNCTION("""COMPUTED_VALUE"""),"Scroll of Bad Dreams")</f>
        <v>Scroll of Bad Dreams</v>
      </c>
      <c r="B1308" s="1" t="str">
        <f>IFERROR(__xludf.DUMMYFUNCTION("""COMPUTED_VALUE"""),"if you can learn the power you may absorb it and put it in your spell book, otherwise you can read the scroll to use the power once (Item)")</f>
        <v>if you can learn the power you may absorb it and put it in your spell book, otherwise you can read the scroll to use the power once (Item)</v>
      </c>
      <c r="C1308" s="1"/>
      <c r="D1308" s="1"/>
      <c r="E1308" s="1"/>
      <c r="F1308" s="1"/>
      <c r="G1308" s="1"/>
      <c r="H1308" s="1"/>
      <c r="I1308" s="1"/>
      <c r="J1308" s="1"/>
      <c r="K1308" s="1"/>
      <c r="L1308" s="1"/>
      <c r="M1308" s="1"/>
      <c r="N1308" s="1"/>
      <c r="O1308" s="1"/>
      <c r="P1308" s="1"/>
      <c r="Q1308" s="1"/>
      <c r="R1308" s="1"/>
      <c r="S1308" s="1"/>
      <c r="T1308" s="1"/>
      <c r="U1308" s="1"/>
      <c r="V1308" s="1"/>
      <c r="W1308" s="1"/>
      <c r="X1308" s="1"/>
      <c r="Y1308" s="1"/>
      <c r="Z1308" s="1"/>
    </row>
    <row r="1309">
      <c r="A1309" s="1" t="str">
        <f>IFERROR(__xludf.DUMMYFUNCTION("""COMPUTED_VALUE"""),"A Jar of Blood")</f>
        <v>A Jar of Blood</v>
      </c>
      <c r="B1309" s="1" t="str">
        <f>IFERROR(__xludf.DUMMYFUNCTION("""COMPUTED_VALUE"""),"Crafting Material, roll a d20 to see how many you get if this is a loot drop. (Item)")</f>
        <v>Crafting Material, roll a d20 to see how many you get if this is a loot drop. (Item)</v>
      </c>
      <c r="C1309" s="1"/>
      <c r="D1309" s="1"/>
      <c r="E1309" s="1"/>
      <c r="F1309" s="1"/>
      <c r="G1309" s="1"/>
      <c r="H1309" s="1"/>
      <c r="I1309" s="1"/>
      <c r="J1309" s="1"/>
      <c r="K1309" s="1"/>
      <c r="L1309" s="1"/>
      <c r="M1309" s="1"/>
      <c r="N1309" s="1"/>
      <c r="O1309" s="1"/>
      <c r="P1309" s="1"/>
      <c r="Q1309" s="1"/>
      <c r="R1309" s="1"/>
      <c r="S1309" s="1"/>
      <c r="T1309" s="1"/>
      <c r="U1309" s="1"/>
      <c r="V1309" s="1"/>
      <c r="W1309" s="1"/>
      <c r="X1309" s="1"/>
      <c r="Y1309" s="1"/>
      <c r="Z1309" s="1"/>
    </row>
    <row r="1310">
      <c r="A1310" s="1" t="str">
        <f>IFERROR(__xludf.DUMMYFUNCTION("""COMPUTED_VALUE"""),"Demon Blood")</f>
        <v>Demon Blood</v>
      </c>
      <c r="B1310" s="1" t="str">
        <f>IFERROR(__xludf.DUMMYFUNCTION("""COMPUTED_VALUE"""),"Crafting Material, roll a d20 to see how many you get if this is a loot drop. (Item)")</f>
        <v>Crafting Material, roll a d20 to see how many you get if this is a loot drop. (Item)</v>
      </c>
      <c r="C1310" s="1"/>
      <c r="D1310" s="1"/>
      <c r="E1310" s="1"/>
      <c r="F1310" s="1"/>
      <c r="G1310" s="1"/>
      <c r="H1310" s="1"/>
      <c r="I1310" s="1"/>
      <c r="J1310" s="1"/>
      <c r="K1310" s="1"/>
      <c r="L1310" s="1"/>
      <c r="M1310" s="1"/>
      <c r="N1310" s="1"/>
      <c r="O1310" s="1"/>
      <c r="P1310" s="1"/>
      <c r="Q1310" s="1"/>
      <c r="R1310" s="1"/>
      <c r="S1310" s="1"/>
      <c r="T1310" s="1"/>
      <c r="U1310" s="1"/>
      <c r="V1310" s="1"/>
      <c r="W1310" s="1"/>
      <c r="X1310" s="1"/>
      <c r="Y1310" s="1"/>
      <c r="Z1310" s="1"/>
    </row>
    <row r="1311">
      <c r="A1311" s="1" t="str">
        <f>IFERROR(__xludf.DUMMYFUNCTION("""COMPUTED_VALUE"""),"Demon Skull")</f>
        <v>Demon Skull</v>
      </c>
      <c r="B1311" s="1" t="str">
        <f>IFERROR(__xludf.DUMMYFUNCTION("""COMPUTED_VALUE"""),"Crafting Material, roll a d20 to see how many you get if this is a loot drop. (Item)")</f>
        <v>Crafting Material, roll a d20 to see how many you get if this is a loot drop. (Item)</v>
      </c>
      <c r="C1311" s="1"/>
      <c r="D1311" s="1"/>
      <c r="E1311" s="1"/>
      <c r="F1311" s="1"/>
      <c r="G1311" s="1"/>
      <c r="H1311" s="1"/>
      <c r="I1311" s="1"/>
      <c r="J1311" s="1"/>
      <c r="K1311" s="1"/>
      <c r="L1311" s="1"/>
      <c r="M1311" s="1"/>
      <c r="N1311" s="1"/>
      <c r="O1311" s="1"/>
      <c r="P1311" s="1"/>
      <c r="Q1311" s="1"/>
      <c r="R1311" s="1"/>
      <c r="S1311" s="1"/>
      <c r="T1311" s="1"/>
      <c r="U1311" s="1"/>
      <c r="V1311" s="1"/>
      <c r="W1311" s="1"/>
      <c r="X1311" s="1"/>
      <c r="Y1311" s="1"/>
      <c r="Z1311" s="1"/>
    </row>
    <row r="1312">
      <c r="A1312" s="1" t="str">
        <f>IFERROR(__xludf.DUMMYFUNCTION("""COMPUTED_VALUE"""),"Volcanic Teeth")</f>
        <v>Volcanic Teeth</v>
      </c>
      <c r="B1312" s="1" t="str">
        <f>IFERROR(__xludf.DUMMYFUNCTION("""COMPUTED_VALUE"""),"Crafting Material, roll a d20 to see how many you get if this is a loot drop. (Item)")</f>
        <v>Crafting Material, roll a d20 to see how many you get if this is a loot drop. (Item)</v>
      </c>
      <c r="C1312" s="1"/>
      <c r="D1312" s="1"/>
      <c r="E1312" s="1"/>
      <c r="F1312" s="1"/>
      <c r="G1312" s="1"/>
      <c r="H1312" s="1"/>
      <c r="I1312" s="1"/>
      <c r="J1312" s="1"/>
      <c r="K1312" s="1"/>
      <c r="L1312" s="1"/>
      <c r="M1312" s="1"/>
      <c r="N1312" s="1"/>
      <c r="O1312" s="1"/>
      <c r="P1312" s="1"/>
      <c r="Q1312" s="1"/>
      <c r="R1312" s="1"/>
      <c r="S1312" s="1"/>
      <c r="T1312" s="1"/>
      <c r="U1312" s="1"/>
      <c r="V1312" s="1"/>
      <c r="W1312" s="1"/>
      <c r="X1312" s="1"/>
      <c r="Y1312" s="1"/>
      <c r="Z1312" s="1"/>
    </row>
    <row r="1313">
      <c r="A1313" s="1" t="str">
        <f>IFERROR(__xludf.DUMMYFUNCTION("""COMPUTED_VALUE"""),"Volcanic Serpent Teeth ")</f>
        <v>Volcanic Serpent Teeth </v>
      </c>
      <c r="B1313" s="1" t="str">
        <f>IFERROR(__xludf.DUMMYFUNCTION("""COMPUTED_VALUE"""),"Crafting Material, roll a d20 to see how many you get if this is a loot drop. (Item)")</f>
        <v>Crafting Material, roll a d20 to see how many you get if this is a loot drop. (Item)</v>
      </c>
      <c r="C1313" s="1"/>
      <c r="D1313" s="1"/>
      <c r="E1313" s="1"/>
      <c r="F1313" s="1"/>
      <c r="G1313" s="1"/>
      <c r="H1313" s="1"/>
      <c r="I1313" s="1"/>
      <c r="J1313" s="1"/>
      <c r="K1313" s="1"/>
      <c r="L1313" s="1"/>
      <c r="M1313" s="1"/>
      <c r="N1313" s="1"/>
      <c r="O1313" s="1"/>
      <c r="P1313" s="1"/>
      <c r="Q1313" s="1"/>
      <c r="R1313" s="1"/>
      <c r="S1313" s="1"/>
      <c r="T1313" s="1"/>
      <c r="U1313" s="1"/>
      <c r="V1313" s="1"/>
      <c r="W1313" s="1"/>
      <c r="X1313" s="1"/>
      <c r="Y1313" s="1"/>
      <c r="Z1313" s="1"/>
    </row>
    <row r="1314">
      <c r="A1314" s="1" t="str">
        <f>IFERROR(__xludf.DUMMYFUNCTION("""COMPUTED_VALUE"""),"Volcanic Serpent Scales")</f>
        <v>Volcanic Serpent Scales</v>
      </c>
      <c r="B1314" s="1" t="str">
        <f>IFERROR(__xludf.DUMMYFUNCTION("""COMPUTED_VALUE"""),"Crafting Material, roll a d20 to see how many you get if this is a loot drop. (Item)")</f>
        <v>Crafting Material, roll a d20 to see how many you get if this is a loot drop. (Item)</v>
      </c>
      <c r="C1314" s="1"/>
      <c r="D1314" s="1"/>
      <c r="E1314" s="1"/>
      <c r="F1314" s="1"/>
      <c r="G1314" s="1"/>
      <c r="H1314" s="1"/>
      <c r="I1314" s="1"/>
      <c r="J1314" s="1"/>
      <c r="K1314" s="1"/>
      <c r="L1314" s="1"/>
      <c r="M1314" s="1"/>
      <c r="N1314" s="1"/>
      <c r="O1314" s="1"/>
      <c r="P1314" s="1"/>
      <c r="Q1314" s="1"/>
      <c r="R1314" s="1"/>
      <c r="S1314" s="1"/>
      <c r="T1314" s="1"/>
      <c r="U1314" s="1"/>
      <c r="V1314" s="1"/>
      <c r="W1314" s="1"/>
      <c r="X1314" s="1"/>
      <c r="Y1314" s="1"/>
      <c r="Z1314" s="1"/>
    </row>
    <row r="1315">
      <c r="A1315" s="1" t="str">
        <f>IFERROR(__xludf.DUMMYFUNCTION("""COMPUTED_VALUE"""),"Lava Panther Leather")</f>
        <v>Lava Panther Leather</v>
      </c>
      <c r="B1315" s="1" t="str">
        <f>IFERROR(__xludf.DUMMYFUNCTION("""COMPUTED_VALUE"""),"Crafting Material, roll a d20 to see how many you get if this is a loot drop. (Item)")</f>
        <v>Crafting Material, roll a d20 to see how many you get if this is a loot drop. (Item)</v>
      </c>
      <c r="C1315" s="1"/>
      <c r="D1315" s="1"/>
      <c r="E1315" s="1"/>
      <c r="F1315" s="1"/>
      <c r="G1315" s="1"/>
      <c r="H1315" s="1"/>
      <c r="I1315" s="1"/>
      <c r="J1315" s="1"/>
      <c r="K1315" s="1"/>
      <c r="L1315" s="1"/>
      <c r="M1315" s="1"/>
      <c r="N1315" s="1"/>
      <c r="O1315" s="1"/>
      <c r="P1315" s="1"/>
      <c r="Q1315" s="1"/>
      <c r="R1315" s="1"/>
      <c r="S1315" s="1"/>
      <c r="T1315" s="1"/>
      <c r="U1315" s="1"/>
      <c r="V1315" s="1"/>
      <c r="W1315" s="1"/>
      <c r="X1315" s="1"/>
      <c r="Y1315" s="1"/>
      <c r="Z1315" s="1"/>
    </row>
    <row r="1316">
      <c r="A1316" s="1" t="str">
        <f>IFERROR(__xludf.DUMMYFUNCTION("""COMPUTED_VALUE"""),"Endless Dark Core")</f>
        <v>Endless Dark Core</v>
      </c>
      <c r="B1316" s="1" t="str">
        <f>IFERROR(__xludf.DUMMYFUNCTION("""COMPUTED_VALUE"""),"Return a banished character from banishment without having to fight the Keeper of the Banished. (1 use) (Item)")</f>
        <v>Return a banished character from banishment without having to fight the Keeper of the Banished. (1 use) (Item)</v>
      </c>
      <c r="C1316" s="1"/>
      <c r="D1316" s="1"/>
      <c r="E1316" s="1"/>
      <c r="F1316" s="1"/>
      <c r="G1316" s="1"/>
      <c r="H1316" s="1"/>
      <c r="I1316" s="1"/>
      <c r="J1316" s="1"/>
      <c r="K1316" s="1"/>
      <c r="L1316" s="1"/>
      <c r="M1316" s="1"/>
      <c r="N1316" s="1"/>
      <c r="O1316" s="1"/>
      <c r="P1316" s="1"/>
      <c r="Q1316" s="1"/>
      <c r="R1316" s="1"/>
      <c r="S1316" s="1"/>
      <c r="T1316" s="1"/>
      <c r="U1316" s="1"/>
      <c r="V1316" s="1"/>
      <c r="W1316" s="1"/>
      <c r="X1316" s="1"/>
      <c r="Y1316" s="1"/>
      <c r="Z1316" s="1"/>
    </row>
    <row r="1317">
      <c r="A1317" s="1" t="str">
        <f>IFERROR(__xludf.DUMMYFUNCTION("""COMPUTED_VALUE"""),"Endless Dark Dragon Scales")</f>
        <v>Endless Dark Dragon Scales</v>
      </c>
      <c r="B1317" s="1" t="str">
        <f>IFERROR(__xludf.DUMMYFUNCTION("""COMPUTED_VALUE"""),"Crafting Material, roll a d20 to see how many you get if this is a loot drop. (Item)")</f>
        <v>Crafting Material, roll a d20 to see how many you get if this is a loot drop. (Item)</v>
      </c>
      <c r="C1317" s="1"/>
      <c r="D1317" s="1"/>
      <c r="E1317" s="1"/>
      <c r="F1317" s="1"/>
      <c r="G1317" s="1"/>
      <c r="H1317" s="1"/>
      <c r="I1317" s="1"/>
      <c r="J1317" s="1"/>
      <c r="K1317" s="1"/>
      <c r="L1317" s="1"/>
      <c r="M1317" s="1"/>
      <c r="N1317" s="1"/>
      <c r="O1317" s="1"/>
      <c r="P1317" s="1"/>
      <c r="Q1317" s="1"/>
      <c r="R1317" s="1"/>
      <c r="S1317" s="1"/>
      <c r="T1317" s="1"/>
      <c r="U1317" s="1"/>
      <c r="V1317" s="1"/>
      <c r="W1317" s="1"/>
      <c r="X1317" s="1"/>
      <c r="Y1317" s="1"/>
      <c r="Z1317" s="1"/>
    </row>
    <row r="1318">
      <c r="A1318" s="1" t="str">
        <f>IFERROR(__xludf.DUMMYFUNCTION("""COMPUTED_VALUE"""),"Magma Stone")</f>
        <v>Magma Stone</v>
      </c>
      <c r="B1318" s="1" t="str">
        <f>IFERROR(__xludf.DUMMYFUNCTION("""COMPUTED_VALUE"""),"Crafting Material, roll a d20 to see how many you get if this is a loot drop. (Item)")</f>
        <v>Crafting Material, roll a d20 to see how many you get if this is a loot drop. (Item)</v>
      </c>
      <c r="C1318" s="1"/>
      <c r="D1318" s="1"/>
      <c r="E1318" s="1"/>
      <c r="F1318" s="1"/>
      <c r="G1318" s="1"/>
      <c r="H1318" s="1"/>
      <c r="I1318" s="1"/>
      <c r="J1318" s="1"/>
      <c r="K1318" s="1"/>
      <c r="L1318" s="1"/>
      <c r="M1318" s="1"/>
      <c r="N1318" s="1"/>
      <c r="O1318" s="1"/>
      <c r="P1318" s="1"/>
      <c r="Q1318" s="1"/>
      <c r="R1318" s="1"/>
      <c r="S1318" s="1"/>
      <c r="T1318" s="1"/>
      <c r="U1318" s="1"/>
      <c r="V1318" s="1"/>
      <c r="W1318" s="1"/>
      <c r="X1318" s="1"/>
      <c r="Y1318" s="1"/>
      <c r="Z1318" s="1"/>
    </row>
    <row r="1319">
      <c r="A1319" s="1" t="str">
        <f>IFERROR(__xludf.DUMMYFUNCTION("""COMPUTED_VALUE"""),"Inferno Feather")</f>
        <v>Inferno Feather</v>
      </c>
      <c r="B1319" s="1" t="str">
        <f>IFERROR(__xludf.DUMMYFUNCTION("""COMPUTED_VALUE"""),"Crafting Material, roll a d20 to see how many you get if this is a loot drop. (Item)")</f>
        <v>Crafting Material, roll a d20 to see how many you get if this is a loot drop. (Item)</v>
      </c>
      <c r="C1319" s="1"/>
      <c r="D1319" s="1"/>
      <c r="E1319" s="1"/>
      <c r="F1319" s="1"/>
      <c r="G1319" s="1"/>
      <c r="H1319" s="1"/>
      <c r="I1319" s="1"/>
      <c r="J1319" s="1"/>
      <c r="K1319" s="1"/>
      <c r="L1319" s="1"/>
      <c r="M1319" s="1"/>
      <c r="N1319" s="1"/>
      <c r="O1319" s="1"/>
      <c r="P1319" s="1"/>
      <c r="Q1319" s="1"/>
      <c r="R1319" s="1"/>
      <c r="S1319" s="1"/>
      <c r="T1319" s="1"/>
      <c r="U1319" s="1"/>
      <c r="V1319" s="1"/>
      <c r="W1319" s="1"/>
      <c r="X1319" s="1"/>
      <c r="Y1319" s="1"/>
      <c r="Z1319" s="1"/>
    </row>
    <row r="1320">
      <c r="A1320" s="1" t="str">
        <f>IFERROR(__xludf.DUMMYFUNCTION("""COMPUTED_VALUE"""),"Ancient Stone Medallion")</f>
        <v>Ancient Stone Medallion</v>
      </c>
      <c r="B1320" s="1" t="str">
        <f>IFERROR(__xludf.DUMMYFUNCTION("""COMPUTED_VALUE"""),"Allows access to the Ruins of Mana. (Item)")</f>
        <v>Allows access to the Ruins of Mana. (Item)</v>
      </c>
      <c r="C1320" s="1"/>
      <c r="D1320" s="1"/>
      <c r="E1320" s="1"/>
      <c r="F1320" s="1"/>
      <c r="G1320" s="1"/>
      <c r="H1320" s="1"/>
      <c r="I1320" s="1"/>
      <c r="J1320" s="1"/>
      <c r="K1320" s="1"/>
      <c r="L1320" s="1"/>
      <c r="M1320" s="1"/>
      <c r="N1320" s="1"/>
      <c r="O1320" s="1"/>
      <c r="P1320" s="1"/>
      <c r="Q1320" s="1"/>
      <c r="R1320" s="1"/>
      <c r="S1320" s="1"/>
      <c r="T1320" s="1"/>
      <c r="U1320" s="1"/>
      <c r="V1320" s="1"/>
      <c r="W1320" s="1"/>
      <c r="X1320" s="1"/>
      <c r="Y1320" s="1"/>
      <c r="Z1320" s="1"/>
    </row>
    <row r="1321">
      <c r="A1321" s="1" t="str">
        <f>IFERROR(__xludf.DUMMYFUNCTION("""COMPUTED_VALUE"""),"Vial of Unknown Liquid")</f>
        <v>Vial of Unknown Liquid</v>
      </c>
      <c r="B1321" s="1" t="str">
        <f>IFERROR(__xludf.DUMMYFUNCTION("""COMPUTED_VALUE"""),"When consumed, roll a d20. For the next 3 rounds, lose the result d20x100 health and gain the result d20x500SP. (Item)")</f>
        <v>When consumed, roll a d20. For the next 3 rounds, lose the result d20x100 health and gain the result d20x500SP. (Item)</v>
      </c>
      <c r="C1321" s="1"/>
      <c r="D1321" s="1"/>
      <c r="E1321" s="1"/>
      <c r="F1321" s="1"/>
      <c r="G1321" s="1"/>
      <c r="H1321" s="1"/>
      <c r="I1321" s="1"/>
      <c r="J1321" s="1"/>
      <c r="K1321" s="1"/>
      <c r="L1321" s="1"/>
      <c r="M1321" s="1"/>
      <c r="N1321" s="1"/>
      <c r="O1321" s="1"/>
      <c r="P1321" s="1"/>
      <c r="Q1321" s="1"/>
      <c r="R1321" s="1"/>
      <c r="S1321" s="1"/>
      <c r="T1321" s="1"/>
      <c r="U1321" s="1"/>
      <c r="V1321" s="1"/>
      <c r="W1321" s="1"/>
      <c r="X1321" s="1"/>
      <c r="Y1321" s="1"/>
      <c r="Z1321" s="1"/>
    </row>
    <row r="1322">
      <c r="A1322" s="1" t="str">
        <f>IFERROR(__xludf.DUMMYFUNCTION("""COMPUTED_VALUE"""),"Diamond Fishing Pole ")</f>
        <v>Diamond Fishing Pole </v>
      </c>
      <c r="B1322" s="1" t="str">
        <f>IFERROR(__xludf.DUMMYFUNCTION("""COMPUTED_VALUE"""),"100/100 Uses. Used for fishing. (Item)")</f>
        <v>100/100 Uses. Used for fishing. (Item)</v>
      </c>
      <c r="C1322" s="1"/>
      <c r="D1322" s="1"/>
      <c r="E1322" s="1"/>
      <c r="F1322" s="1"/>
      <c r="G1322" s="1"/>
      <c r="H1322" s="1"/>
      <c r="I1322" s="1"/>
      <c r="J1322" s="1"/>
      <c r="K1322" s="1"/>
      <c r="L1322" s="1"/>
      <c r="M1322" s="1"/>
      <c r="N1322" s="1"/>
      <c r="O1322" s="1"/>
      <c r="P1322" s="1"/>
      <c r="Q1322" s="1"/>
      <c r="R1322" s="1"/>
      <c r="S1322" s="1"/>
      <c r="T1322" s="1"/>
      <c r="U1322" s="1"/>
      <c r="V1322" s="1"/>
      <c r="W1322" s="1"/>
      <c r="X1322" s="1"/>
      <c r="Y1322" s="1"/>
      <c r="Z1322" s="1"/>
    </row>
    <row r="1323">
      <c r="A1323" s="1" t="str">
        <f>IFERROR(__xludf.DUMMYFUNCTION("""COMPUTED_VALUE"""),"Obsidian Fishing Pole ")</f>
        <v>Obsidian Fishing Pole </v>
      </c>
      <c r="B1323" s="1" t="str">
        <f>IFERROR(__xludf.DUMMYFUNCTION("""COMPUTED_VALUE"""),"120/120 Uses. Used for fishing. (Item)")</f>
        <v>120/120 Uses. Used for fishing. (Item)</v>
      </c>
      <c r="C1323" s="1"/>
      <c r="D1323" s="1"/>
      <c r="E1323" s="1"/>
      <c r="F1323" s="1"/>
      <c r="G1323" s="1"/>
      <c r="H1323" s="1"/>
      <c r="I1323" s="1"/>
      <c r="J1323" s="1"/>
      <c r="K1323" s="1"/>
      <c r="L1323" s="1"/>
      <c r="M1323" s="1"/>
      <c r="N1323" s="1"/>
      <c r="O1323" s="1"/>
      <c r="P1323" s="1"/>
      <c r="Q1323" s="1"/>
      <c r="R1323" s="1"/>
      <c r="S1323" s="1"/>
      <c r="T1323" s="1"/>
      <c r="U1323" s="1"/>
      <c r="V1323" s="1"/>
      <c r="W1323" s="1"/>
      <c r="X1323" s="1"/>
      <c r="Y1323" s="1"/>
      <c r="Z1323" s="1"/>
    </row>
    <row r="1324">
      <c r="A1324" s="1" t="str">
        <f>IFERROR(__xludf.DUMMYFUNCTION("""COMPUTED_VALUE"""),"Golden Pickaxe")</f>
        <v>Golden Pickaxe</v>
      </c>
      <c r="B1324" s="1" t="str">
        <f>IFERROR(__xludf.DUMMYFUNCTION("""COMPUTED_VALUE"""),"80/80 Uses. Used for mining. (Item)")</f>
        <v>80/80 Uses. Used for mining. (Item)</v>
      </c>
      <c r="C1324" s="1"/>
      <c r="D1324" s="1"/>
      <c r="E1324" s="1"/>
      <c r="F1324" s="1"/>
      <c r="G1324" s="1"/>
      <c r="H1324" s="1"/>
      <c r="I1324" s="1"/>
      <c r="J1324" s="1"/>
      <c r="K1324" s="1"/>
      <c r="L1324" s="1"/>
      <c r="M1324" s="1"/>
      <c r="N1324" s="1"/>
      <c r="O1324" s="1"/>
      <c r="P1324" s="1"/>
      <c r="Q1324" s="1"/>
      <c r="R1324" s="1"/>
      <c r="S1324" s="1"/>
      <c r="T1324" s="1"/>
      <c r="U1324" s="1"/>
      <c r="V1324" s="1"/>
      <c r="W1324" s="1"/>
      <c r="X1324" s="1"/>
      <c r="Y1324" s="1"/>
      <c r="Z1324" s="1"/>
    </row>
    <row r="1325">
      <c r="A1325" s="1" t="str">
        <f>IFERROR(__xludf.DUMMYFUNCTION("""COMPUTED_VALUE"""),"Wooden Pickaxe")</f>
        <v>Wooden Pickaxe</v>
      </c>
      <c r="B1325" s="1" t="str">
        <f>IFERROR(__xludf.DUMMYFUNCTION("""COMPUTED_VALUE"""),"10/10 Uses. Used for mining. (Item)")</f>
        <v>10/10 Uses. Used for mining. (Item)</v>
      </c>
      <c r="C1325" s="1"/>
      <c r="D1325" s="1"/>
      <c r="E1325" s="1"/>
      <c r="F1325" s="1"/>
      <c r="G1325" s="1"/>
      <c r="H1325" s="1"/>
      <c r="I1325" s="1"/>
      <c r="J1325" s="1"/>
      <c r="K1325" s="1"/>
      <c r="L1325" s="1"/>
      <c r="M1325" s="1"/>
      <c r="N1325" s="1"/>
      <c r="O1325" s="1"/>
      <c r="P1325" s="1"/>
      <c r="Q1325" s="1"/>
      <c r="R1325" s="1"/>
      <c r="S1325" s="1"/>
      <c r="T1325" s="1"/>
      <c r="U1325" s="1"/>
      <c r="V1325" s="1"/>
      <c r="W1325" s="1"/>
      <c r="X1325" s="1"/>
      <c r="Y1325" s="1"/>
      <c r="Z1325" s="1"/>
    </row>
    <row r="1326">
      <c r="A1326" s="1" t="str">
        <f>IFERROR(__xludf.DUMMYFUNCTION("""COMPUTED_VALUE"""),"Iron Pickaxe")</f>
        <v>Iron Pickaxe</v>
      </c>
      <c r="B1326" s="1" t="str">
        <f>IFERROR(__xludf.DUMMYFUNCTION("""COMPUTED_VALUE"""),"20/20 Uses. Used for mining. (Item)")</f>
        <v>20/20 Uses. Used for mining. (Item)</v>
      </c>
      <c r="C1326" s="1"/>
      <c r="D1326" s="1"/>
      <c r="E1326" s="1"/>
      <c r="F1326" s="1"/>
      <c r="G1326" s="1"/>
      <c r="H1326" s="1"/>
      <c r="I1326" s="1"/>
      <c r="J1326" s="1"/>
      <c r="K1326" s="1"/>
      <c r="L1326" s="1"/>
      <c r="M1326" s="1"/>
      <c r="N1326" s="1"/>
      <c r="O1326" s="1"/>
      <c r="P1326" s="1"/>
      <c r="Q1326" s="1"/>
      <c r="R1326" s="1"/>
      <c r="S1326" s="1"/>
      <c r="T1326" s="1"/>
      <c r="U1326" s="1"/>
      <c r="V1326" s="1"/>
      <c r="W1326" s="1"/>
      <c r="X1326" s="1"/>
      <c r="Y1326" s="1"/>
      <c r="Z1326" s="1"/>
    </row>
    <row r="1327">
      <c r="A1327" s="1" t="str">
        <f>IFERROR(__xludf.DUMMYFUNCTION("""COMPUTED_VALUE"""),"Silver Pickaxe")</f>
        <v>Silver Pickaxe</v>
      </c>
      <c r="B1327" s="1" t="str">
        <f>IFERROR(__xludf.DUMMYFUNCTION("""COMPUTED_VALUE"""),"60/60 Uses. Used for mining. (Item)")</f>
        <v>60/60 Uses. Used for mining. (Item)</v>
      </c>
      <c r="C1327" s="1"/>
      <c r="D1327" s="1"/>
      <c r="E1327" s="1"/>
      <c r="F1327" s="1"/>
      <c r="G1327" s="1"/>
      <c r="H1327" s="1"/>
      <c r="I1327" s="1"/>
      <c r="J1327" s="1"/>
      <c r="K1327" s="1"/>
      <c r="L1327" s="1"/>
      <c r="M1327" s="1"/>
      <c r="N1327" s="1"/>
      <c r="O1327" s="1"/>
      <c r="P1327" s="1"/>
      <c r="Q1327" s="1"/>
      <c r="R1327" s="1"/>
      <c r="S1327" s="1"/>
      <c r="T1327" s="1"/>
      <c r="U1327" s="1"/>
      <c r="V1327" s="1"/>
      <c r="W1327" s="1"/>
      <c r="X1327" s="1"/>
      <c r="Y1327" s="1"/>
      <c r="Z1327" s="1"/>
    </row>
    <row r="1328">
      <c r="A1328" s="1" t="str">
        <f>IFERROR(__xludf.DUMMYFUNCTION("""COMPUTED_VALUE"""),"Diamond Pickaxe")</f>
        <v>Diamond Pickaxe</v>
      </c>
      <c r="B1328" s="1" t="str">
        <f>IFERROR(__xludf.DUMMYFUNCTION("""COMPUTED_VALUE"""),"100/100 Uses. Used for mining. (Item)")</f>
        <v>100/100 Uses. Used for mining. (Item)</v>
      </c>
      <c r="C1328" s="1"/>
      <c r="D1328" s="1"/>
      <c r="E1328" s="1"/>
      <c r="F1328" s="1"/>
      <c r="G1328" s="1"/>
      <c r="H1328" s="1"/>
      <c r="I1328" s="1"/>
      <c r="J1328" s="1"/>
      <c r="K1328" s="1"/>
      <c r="L1328" s="1"/>
      <c r="M1328" s="1"/>
      <c r="N1328" s="1"/>
      <c r="O1328" s="1"/>
      <c r="P1328" s="1"/>
      <c r="Q1328" s="1"/>
      <c r="R1328" s="1"/>
      <c r="S1328" s="1"/>
      <c r="T1328" s="1"/>
      <c r="U1328" s="1"/>
      <c r="V1328" s="1"/>
      <c r="W1328" s="1"/>
      <c r="X1328" s="1"/>
      <c r="Y1328" s="1"/>
      <c r="Z1328" s="1"/>
    </row>
    <row r="1329">
      <c r="A1329" s="1" t="str">
        <f>IFERROR(__xludf.DUMMYFUNCTION("""COMPUTED_VALUE"""),"Obsidian Pickaxe")</f>
        <v>Obsidian Pickaxe</v>
      </c>
      <c r="B1329" s="1" t="str">
        <f>IFERROR(__xludf.DUMMYFUNCTION("""COMPUTED_VALUE"""),"120/120 Uses. Used for mining. (Item)")</f>
        <v>120/120 Uses. Used for mining. (Item)</v>
      </c>
      <c r="C1329" s="1"/>
      <c r="D1329" s="1"/>
      <c r="E1329" s="1"/>
      <c r="F1329" s="1"/>
      <c r="G1329" s="1"/>
      <c r="H1329" s="1"/>
      <c r="I1329" s="1"/>
      <c r="J1329" s="1"/>
      <c r="K1329" s="1"/>
      <c r="L1329" s="1"/>
      <c r="M1329" s="1"/>
      <c r="N1329" s="1"/>
      <c r="O1329" s="1"/>
      <c r="P1329" s="1"/>
      <c r="Q1329" s="1"/>
      <c r="R1329" s="1"/>
      <c r="S1329" s="1"/>
      <c r="T1329" s="1"/>
      <c r="U1329" s="1"/>
      <c r="V1329" s="1"/>
      <c r="W1329" s="1"/>
      <c r="X1329" s="1"/>
      <c r="Y1329" s="1"/>
      <c r="Z1329" s="1"/>
    </row>
    <row r="1330">
      <c r="A1330" s="1" t="str">
        <f>IFERROR(__xludf.DUMMYFUNCTION("""COMPUTED_VALUE"""),"Fire Fishing Pole ")</f>
        <v>Fire Fishing Pole </v>
      </c>
      <c r="B1330" s="1" t="str">
        <f>IFERROR(__xludf.DUMMYFUNCTION("""COMPUTED_VALUE"""),"Made out of Iron. 20/20 Uses. Will cook fish caught giving them an additional hunger. Used for fishing. (Crop)")</f>
        <v>Made out of Iron. 20/20 Uses. Will cook fish caught giving them an additional hunger. Used for fishing. (Crop)</v>
      </c>
      <c r="C1330" s="1"/>
      <c r="D1330" s="1"/>
      <c r="E1330" s="1"/>
      <c r="F1330" s="1"/>
      <c r="G1330" s="1"/>
      <c r="H1330" s="1"/>
      <c r="I1330" s="1"/>
      <c r="J1330" s="1"/>
      <c r="K1330" s="1"/>
      <c r="L1330" s="1"/>
      <c r="M1330" s="1"/>
      <c r="N1330" s="1"/>
      <c r="O1330" s="1"/>
      <c r="P1330" s="1"/>
      <c r="Q1330" s="1"/>
      <c r="R1330" s="1"/>
      <c r="S1330" s="1"/>
      <c r="T1330" s="1"/>
      <c r="U1330" s="1"/>
      <c r="V1330" s="1"/>
      <c r="W1330" s="1"/>
      <c r="X1330" s="1"/>
      <c r="Y1330" s="1"/>
      <c r="Z1330" s="1"/>
    </row>
    <row r="1331">
      <c r="A1331" s="1" t="str">
        <f>IFERROR(__xludf.DUMMYFUNCTION("""COMPUTED_VALUE"""),"Golden Fishing Pole ")</f>
        <v>Golden Fishing Pole </v>
      </c>
      <c r="B1331" s="1" t="str">
        <f>IFERROR(__xludf.DUMMYFUNCTION("""COMPUTED_VALUE"""),"80/80 uses. Used for fishing. (Item)")</f>
        <v>80/80 uses. Used for fishing. (Item)</v>
      </c>
      <c r="C1331" s="1"/>
      <c r="D1331" s="1"/>
      <c r="E1331" s="1"/>
      <c r="F1331" s="1"/>
      <c r="G1331" s="1"/>
      <c r="H1331" s="1"/>
      <c r="I1331" s="1"/>
      <c r="J1331" s="1"/>
      <c r="K1331" s="1"/>
      <c r="L1331" s="1"/>
      <c r="M1331" s="1"/>
      <c r="N1331" s="1"/>
      <c r="O1331" s="1"/>
      <c r="P1331" s="1"/>
      <c r="Q1331" s="1"/>
      <c r="R1331" s="1"/>
      <c r="S1331" s="1"/>
      <c r="T1331" s="1"/>
      <c r="U1331" s="1"/>
      <c r="V1331" s="1"/>
      <c r="W1331" s="1"/>
      <c r="X1331" s="1"/>
      <c r="Y1331" s="1"/>
      <c r="Z1331" s="1"/>
    </row>
    <row r="1332">
      <c r="A1332" s="1" t="str">
        <f>IFERROR(__xludf.DUMMYFUNCTION("""COMPUTED_VALUE"""),"Wooden Fishing Pole ")</f>
        <v>Wooden Fishing Pole </v>
      </c>
      <c r="B1332" s="1" t="str">
        <f>IFERROR(__xludf.DUMMYFUNCTION("""COMPUTED_VALUE"""),"10/10 uses. Used for fishing. (Item)")</f>
        <v>10/10 uses. Used for fishing. (Item)</v>
      </c>
      <c r="C1332" s="1"/>
      <c r="D1332" s="1"/>
      <c r="E1332" s="1"/>
      <c r="F1332" s="1"/>
      <c r="G1332" s="1"/>
      <c r="H1332" s="1"/>
      <c r="I1332" s="1"/>
      <c r="J1332" s="1"/>
      <c r="K1332" s="1"/>
      <c r="L1332" s="1"/>
      <c r="M1332" s="1"/>
      <c r="N1332" s="1"/>
      <c r="O1332" s="1"/>
      <c r="P1332" s="1"/>
      <c r="Q1332" s="1"/>
      <c r="R1332" s="1"/>
      <c r="S1332" s="1"/>
      <c r="T1332" s="1"/>
      <c r="U1332" s="1"/>
      <c r="V1332" s="1"/>
      <c r="W1332" s="1"/>
      <c r="X1332" s="1"/>
      <c r="Y1332" s="1"/>
      <c r="Z1332" s="1"/>
    </row>
    <row r="1333">
      <c r="A1333" s="1" t="str">
        <f>IFERROR(__xludf.DUMMYFUNCTION("""COMPUTED_VALUE"""),"Steel Fishing Pole ")</f>
        <v>Steel Fishing Pole </v>
      </c>
      <c r="B1333" s="1" t="str">
        <f>IFERROR(__xludf.DUMMYFUNCTION("""COMPUTED_VALUE"""),"40/40 Uses. Used for fishing. (Item)")</f>
        <v>40/40 Uses. Used for fishing. (Item)</v>
      </c>
      <c r="C1333" s="1"/>
      <c r="D1333" s="1"/>
      <c r="E1333" s="1"/>
      <c r="F1333" s="1"/>
      <c r="G1333" s="1"/>
      <c r="H1333" s="1"/>
      <c r="I1333" s="1"/>
      <c r="J1333" s="1"/>
      <c r="K1333" s="1"/>
      <c r="L1333" s="1"/>
      <c r="M1333" s="1"/>
      <c r="N1333" s="1"/>
      <c r="O1333" s="1"/>
      <c r="P1333" s="1"/>
      <c r="Q1333" s="1"/>
      <c r="R1333" s="1"/>
      <c r="S1333" s="1"/>
      <c r="T1333" s="1"/>
      <c r="U1333" s="1"/>
      <c r="V1333" s="1"/>
      <c r="W1333" s="1"/>
      <c r="X1333" s="1"/>
      <c r="Y1333" s="1"/>
      <c r="Z1333" s="1"/>
    </row>
    <row r="1334">
      <c r="A1334" s="1" t="str">
        <f>IFERROR(__xludf.DUMMYFUNCTION("""COMPUTED_VALUE"""),"Silver Fishing Pole ")</f>
        <v>Silver Fishing Pole </v>
      </c>
      <c r="B1334" s="1" t="str">
        <f>IFERROR(__xludf.DUMMYFUNCTION("""COMPUTED_VALUE"""),"60/60 Uses. Used for fishing. (Item)")</f>
        <v>60/60 Uses. Used for fishing. (Item)</v>
      </c>
      <c r="C1334" s="1"/>
      <c r="D1334" s="1"/>
      <c r="E1334" s="1"/>
      <c r="F1334" s="1"/>
      <c r="G1334" s="1"/>
      <c r="H1334" s="1"/>
      <c r="I1334" s="1"/>
      <c r="J1334" s="1"/>
      <c r="K1334" s="1"/>
      <c r="L1334" s="1"/>
      <c r="M1334" s="1"/>
      <c r="N1334" s="1"/>
      <c r="O1334" s="1"/>
      <c r="P1334" s="1"/>
      <c r="Q1334" s="1"/>
      <c r="R1334" s="1"/>
      <c r="S1334" s="1"/>
      <c r="T1334" s="1"/>
      <c r="U1334" s="1"/>
      <c r="V1334" s="1"/>
      <c r="W1334" s="1"/>
      <c r="X1334" s="1"/>
      <c r="Y1334" s="1"/>
      <c r="Z1334" s="1"/>
    </row>
    <row r="1335">
      <c r="A1335" s="1" t="str">
        <f>IFERROR(__xludf.DUMMYFUNCTION("""COMPUTED_VALUE"""),"Iron Fishing Pole ")</f>
        <v>Iron Fishing Pole </v>
      </c>
      <c r="B1335" s="1" t="str">
        <f>IFERROR(__xludf.DUMMYFUNCTION("""COMPUTED_VALUE"""),"20/20 Uses. Used for fishing. (Item)")</f>
        <v>20/20 Uses. Used for fishing. (Item)</v>
      </c>
      <c r="C1335" s="1"/>
      <c r="D1335" s="1"/>
      <c r="E1335" s="1"/>
      <c r="F1335" s="1"/>
      <c r="G1335" s="1"/>
      <c r="H1335" s="1"/>
      <c r="I1335" s="1"/>
      <c r="J1335" s="1"/>
      <c r="K1335" s="1"/>
      <c r="L1335" s="1"/>
      <c r="M1335" s="1"/>
      <c r="N1335" s="1"/>
      <c r="O1335" s="1"/>
      <c r="P1335" s="1"/>
      <c r="Q1335" s="1"/>
      <c r="R1335" s="1"/>
      <c r="S1335" s="1"/>
      <c r="T1335" s="1"/>
      <c r="U1335" s="1"/>
      <c r="V1335" s="1"/>
      <c r="W1335" s="1"/>
      <c r="X1335" s="1"/>
      <c r="Y1335" s="1"/>
      <c r="Z1335" s="1"/>
    </row>
    <row r="1336">
      <c r="A1336" s="1" t="str">
        <f>IFERROR(__xludf.DUMMYFUNCTION("""COMPUTED_VALUE"""),"Elemental Crystal")</f>
        <v>Elemental Crystal</v>
      </c>
      <c r="B1336" s="1" t="str">
        <f>IFERROR(__xludf.DUMMYFUNCTION("""COMPUTED_VALUE"""),"Crafting Material, roll a d20 to see how many you get if this is a loot drop. (Item)")</f>
        <v>Crafting Material, roll a d20 to see how many you get if this is a loot drop. (Item)</v>
      </c>
      <c r="C1336" s="1"/>
      <c r="D1336" s="1"/>
      <c r="E1336" s="1"/>
      <c r="F1336" s="1"/>
      <c r="G1336" s="1"/>
      <c r="H1336" s="1"/>
      <c r="I1336" s="1"/>
      <c r="J1336" s="1"/>
      <c r="K1336" s="1"/>
      <c r="L1336" s="1"/>
      <c r="M1336" s="1"/>
      <c r="N1336" s="1"/>
      <c r="O1336" s="1"/>
      <c r="P1336" s="1"/>
      <c r="Q1336" s="1"/>
      <c r="R1336" s="1"/>
      <c r="S1336" s="1"/>
      <c r="T1336" s="1"/>
      <c r="U1336" s="1"/>
      <c r="V1336" s="1"/>
      <c r="W1336" s="1"/>
      <c r="X1336" s="1"/>
      <c r="Y1336" s="1"/>
      <c r="Z1336" s="1"/>
    </row>
    <row r="1337">
      <c r="A1337" s="1" t="str">
        <f>IFERROR(__xludf.DUMMYFUNCTION("""COMPUTED_VALUE"""),"Leather")</f>
        <v>Leather</v>
      </c>
      <c r="B1337" s="1" t="str">
        <f>IFERROR(__xludf.DUMMYFUNCTION("""COMPUTED_VALUE"""),"Crafting Material, roll a d20 to see how many you get if this is a loot drop. (Item)")</f>
        <v>Crafting Material, roll a d20 to see how many you get if this is a loot drop. (Item)</v>
      </c>
      <c r="C1337" s="1"/>
      <c r="D1337" s="1"/>
      <c r="E1337" s="1"/>
      <c r="F1337" s="1"/>
      <c r="G1337" s="1"/>
      <c r="H1337" s="1"/>
      <c r="I1337" s="1"/>
      <c r="J1337" s="1"/>
      <c r="K1337" s="1"/>
      <c r="L1337" s="1"/>
      <c r="M1337" s="1"/>
      <c r="N1337" s="1"/>
      <c r="O1337" s="1"/>
      <c r="P1337" s="1"/>
      <c r="Q1337" s="1"/>
      <c r="R1337" s="1"/>
      <c r="S1337" s="1"/>
      <c r="T1337" s="1"/>
      <c r="U1337" s="1"/>
      <c r="V1337" s="1"/>
      <c r="W1337" s="1"/>
      <c r="X1337" s="1"/>
      <c r="Y1337" s="1"/>
      <c r="Z1337" s="1"/>
    </row>
    <row r="1338">
      <c r="A1338" s="1" t="str">
        <f>IFERROR(__xludf.DUMMYFUNCTION("""COMPUTED_VALUE"""),"Pearlescent Fishing Rod ")</f>
        <v>Pearlescent Fishing Rod </v>
      </c>
      <c r="B1338" s="1" t="str">
        <f>IFERROR(__xludf.DUMMYFUNCTION("""COMPUTED_VALUE"""),"Allows lava fishing, Unbreakable. (Item)")</f>
        <v>Allows lava fishing, Unbreakable. (Item)</v>
      </c>
      <c r="C1338" s="1"/>
      <c r="D1338" s="1"/>
      <c r="E1338" s="1"/>
      <c r="F1338" s="1"/>
      <c r="G1338" s="1"/>
      <c r="H1338" s="1"/>
      <c r="I1338" s="1"/>
      <c r="J1338" s="1"/>
      <c r="K1338" s="1"/>
      <c r="L1338" s="1"/>
      <c r="M1338" s="1"/>
      <c r="N1338" s="1"/>
      <c r="O1338" s="1"/>
      <c r="P1338" s="1"/>
      <c r="Q1338" s="1"/>
      <c r="R1338" s="1"/>
      <c r="S1338" s="1"/>
      <c r="T1338" s="1"/>
      <c r="U1338" s="1"/>
      <c r="V1338" s="1"/>
      <c r="W1338" s="1"/>
      <c r="X1338" s="1"/>
      <c r="Y1338" s="1"/>
      <c r="Z1338" s="1"/>
    </row>
    <row r="1339">
      <c r="A1339" s="1" t="str">
        <f>IFERROR(__xludf.DUMMYFUNCTION("""COMPUTED_VALUE"""),"Mithril")</f>
        <v>Mithril</v>
      </c>
      <c r="B1339" s="1" t="str">
        <f>IFERROR(__xludf.DUMMYFUNCTION("""COMPUTED_VALUE"""),"Crafting Material, roll a d20 to see how many you get if this is a loot drop. A celestial stone holding minor heavenly power. (Item)")</f>
        <v>Crafting Material, roll a d20 to see how many you get if this is a loot drop. A celestial stone holding minor heavenly power. (Item)</v>
      </c>
      <c r="C1339" s="1"/>
      <c r="D1339" s="1"/>
      <c r="E1339" s="1"/>
      <c r="F1339" s="1"/>
      <c r="G1339" s="1"/>
      <c r="H1339" s="1"/>
      <c r="I1339" s="1"/>
      <c r="J1339" s="1"/>
      <c r="K1339" s="1"/>
      <c r="L1339" s="1"/>
      <c r="M1339" s="1"/>
      <c r="N1339" s="1"/>
      <c r="O1339" s="1"/>
      <c r="P1339" s="1"/>
      <c r="Q1339" s="1"/>
      <c r="R1339" s="1"/>
      <c r="S1339" s="1"/>
      <c r="T1339" s="1"/>
      <c r="U1339" s="1"/>
      <c r="V1339" s="1"/>
      <c r="W1339" s="1"/>
      <c r="X1339" s="1"/>
      <c r="Y1339" s="1"/>
      <c r="Z1339" s="1"/>
    </row>
    <row r="1340">
      <c r="A1340" s="1" t="str">
        <f>IFERROR(__xludf.DUMMYFUNCTION("""COMPUTED_VALUE"""),"Enchanted Leather")</f>
        <v>Enchanted Leather</v>
      </c>
      <c r="B1340" s="1" t="str">
        <f>IFERROR(__xludf.DUMMYFUNCTION("""COMPUTED_VALUE"""),"Crafting Material, roll a d20 to see how many you get if this is a loot drop. (Item)")</f>
        <v>Crafting Material, roll a d20 to see how many you get if this is a loot drop. (Item)</v>
      </c>
      <c r="C1340" s="1"/>
      <c r="D1340" s="1"/>
      <c r="E1340" s="1"/>
      <c r="F1340" s="1"/>
      <c r="G1340" s="1"/>
      <c r="H1340" s="1"/>
      <c r="I1340" s="1"/>
      <c r="J1340" s="1"/>
      <c r="K1340" s="1"/>
      <c r="L1340" s="1"/>
      <c r="M1340" s="1"/>
      <c r="N1340" s="1"/>
      <c r="O1340" s="1"/>
      <c r="P1340" s="1"/>
      <c r="Q1340" s="1"/>
      <c r="R1340" s="1"/>
      <c r="S1340" s="1"/>
      <c r="T1340" s="1"/>
      <c r="U1340" s="1"/>
      <c r="V1340" s="1"/>
      <c r="W1340" s="1"/>
      <c r="X1340" s="1"/>
      <c r="Y1340" s="1"/>
      <c r="Z1340" s="1"/>
    </row>
    <row r="1341">
      <c r="A1341" s="1" t="str">
        <f>IFERROR(__xludf.DUMMYFUNCTION("""COMPUTED_VALUE"""),"Dart")</f>
        <v>Dart</v>
      </c>
      <c r="B1341" s="1" t="str">
        <f>IFERROR(__xludf.DUMMYFUNCTION("""COMPUTED_VALUE"""),"Ammo (Item)")</f>
        <v>Ammo (Item)</v>
      </c>
      <c r="C1341" s="1"/>
      <c r="D1341" s="1"/>
      <c r="E1341" s="1"/>
      <c r="F1341" s="1"/>
      <c r="G1341" s="1"/>
      <c r="H1341" s="1"/>
      <c r="I1341" s="1"/>
      <c r="J1341" s="1"/>
      <c r="K1341" s="1"/>
      <c r="L1341" s="1"/>
      <c r="M1341" s="1"/>
      <c r="N1341" s="1"/>
      <c r="O1341" s="1"/>
      <c r="P1341" s="1"/>
      <c r="Q1341" s="1"/>
      <c r="R1341" s="1"/>
      <c r="S1341" s="1"/>
      <c r="T1341" s="1"/>
      <c r="U1341" s="1"/>
      <c r="V1341" s="1"/>
      <c r="W1341" s="1"/>
      <c r="X1341" s="1"/>
      <c r="Y1341" s="1"/>
      <c r="Z1341" s="1"/>
    </row>
    <row r="1342">
      <c r="A1342" s="1" t="str">
        <f>IFERROR(__xludf.DUMMYFUNCTION("""COMPUTED_VALUE"""),"Golden Coin")</f>
        <v>Golden Coin</v>
      </c>
      <c r="B1342" s="1" t="str">
        <f>IFERROR(__xludf.DUMMYFUNCTION("""COMPUTED_VALUE"""),"Flip: If heads 11-20 gain +5 Wisdom and Evasion until the end of battle. If tails 1-10 Half evasion and Wisdom. This item can only be used once per Battle/RP action. Cannot be duplicated. (Item)")</f>
        <v>Flip: If heads 11-20 gain +5 Wisdom and Evasion until the end of battle. If tails 1-10 Half evasion and Wisdom. This item can only be used once per Battle/RP action. Cannot be duplicated. (Item)</v>
      </c>
      <c r="C1342" s="1"/>
      <c r="D1342" s="1"/>
      <c r="E1342" s="1"/>
      <c r="F1342" s="1"/>
      <c r="G1342" s="1"/>
      <c r="H1342" s="1"/>
      <c r="I1342" s="1"/>
      <c r="J1342" s="1"/>
      <c r="K1342" s="1"/>
      <c r="L1342" s="1"/>
      <c r="M1342" s="1"/>
      <c r="N1342" s="1"/>
      <c r="O1342" s="1"/>
      <c r="P1342" s="1"/>
      <c r="Q1342" s="1"/>
      <c r="R1342" s="1"/>
      <c r="S1342" s="1"/>
      <c r="T1342" s="1"/>
      <c r="U1342" s="1"/>
      <c r="V1342" s="1"/>
      <c r="W1342" s="1"/>
      <c r="X1342" s="1"/>
      <c r="Y1342" s="1"/>
      <c r="Z1342" s="1"/>
    </row>
    <row r="1343">
      <c r="A1343" s="1" t="str">
        <f>IFERROR(__xludf.DUMMYFUNCTION("""COMPUTED_VALUE"""),"Oil lamp")</f>
        <v>Oil lamp</v>
      </c>
      <c r="B1343" s="1" t="str">
        <f>IFERROR(__xludf.DUMMYFUNCTION("""COMPUTED_VALUE"""),"Illuminates your path or any room your in (Item)")</f>
        <v>Illuminates your path or any room your in (Item)</v>
      </c>
      <c r="C1343" s="1"/>
      <c r="D1343" s="1"/>
      <c r="E1343" s="1"/>
      <c r="F1343" s="1"/>
      <c r="G1343" s="1"/>
      <c r="H1343" s="1"/>
      <c r="I1343" s="1"/>
      <c r="J1343" s="1"/>
      <c r="K1343" s="1"/>
      <c r="L1343" s="1"/>
      <c r="M1343" s="1"/>
      <c r="N1343" s="1"/>
      <c r="O1343" s="1"/>
      <c r="P1343" s="1"/>
      <c r="Q1343" s="1"/>
      <c r="R1343" s="1"/>
      <c r="S1343" s="1"/>
      <c r="T1343" s="1"/>
      <c r="U1343" s="1"/>
      <c r="V1343" s="1"/>
      <c r="W1343" s="1"/>
      <c r="X1343" s="1"/>
      <c r="Y1343" s="1"/>
      <c r="Z1343" s="1"/>
    </row>
    <row r="1344">
      <c r="A1344" s="1" t="str">
        <f>IFERROR(__xludf.DUMMYFUNCTION("""COMPUTED_VALUE"""),"Seed")</f>
        <v>Seed</v>
      </c>
      <c r="B1344" s="1" t="str">
        <f>IFERROR(__xludf.DUMMYFUNCTION("""COMPUTED_VALUE"""),"Can harvest in X/X days. (Item)")</f>
        <v>Can harvest in X/X days. (Item)</v>
      </c>
      <c r="C1344" s="1"/>
      <c r="D1344" s="1"/>
      <c r="E1344" s="1"/>
      <c r="F1344" s="1"/>
      <c r="G1344" s="1"/>
      <c r="H1344" s="1"/>
      <c r="I1344" s="1"/>
      <c r="J1344" s="1"/>
      <c r="K1344" s="1"/>
      <c r="L1344" s="1"/>
      <c r="M1344" s="1"/>
      <c r="N1344" s="1"/>
      <c r="O1344" s="1"/>
      <c r="P1344" s="1"/>
      <c r="Q1344" s="1"/>
      <c r="R1344" s="1"/>
      <c r="S1344" s="1"/>
      <c r="T1344" s="1"/>
      <c r="U1344" s="1"/>
      <c r="V1344" s="1"/>
      <c r="W1344" s="1"/>
      <c r="X1344" s="1"/>
      <c r="Y1344" s="1"/>
      <c r="Z1344" s="1"/>
    </row>
    <row r="1345">
      <c r="A1345" s="1" t="str">
        <f>IFERROR(__xludf.DUMMYFUNCTION("""COMPUTED_VALUE"""),"Potion of Cure Disease")</f>
        <v>Potion of Cure Disease</v>
      </c>
      <c r="B1345" s="1" t="str">
        <f>IFERROR(__xludf.DUMMYFUNCTION("""COMPUTED_VALUE"""),"Disease Antidote. (Item)")</f>
        <v>Disease Antidote. (Item)</v>
      </c>
      <c r="C1345" s="1"/>
      <c r="D1345" s="1"/>
      <c r="E1345" s="1"/>
      <c r="F1345" s="1"/>
      <c r="G1345" s="1"/>
      <c r="H1345" s="1"/>
      <c r="I1345" s="1"/>
      <c r="J1345" s="1"/>
      <c r="K1345" s="1"/>
      <c r="L1345" s="1"/>
      <c r="M1345" s="1"/>
      <c r="N1345" s="1"/>
      <c r="O1345" s="1"/>
      <c r="P1345" s="1"/>
      <c r="Q1345" s="1"/>
      <c r="R1345" s="1"/>
      <c r="S1345" s="1"/>
      <c r="T1345" s="1"/>
      <c r="U1345" s="1"/>
      <c r="V1345" s="1"/>
      <c r="W1345" s="1"/>
      <c r="X1345" s="1"/>
      <c r="Y1345" s="1"/>
      <c r="Z1345" s="1"/>
    </row>
    <row r="1346">
      <c r="A1346" s="1" t="str">
        <f>IFERROR(__xludf.DUMMYFUNCTION("""COMPUTED_VALUE"""),"Poison Vial")</f>
        <v>Poison Vial</v>
      </c>
      <c r="B1346" s="1" t="str">
        <f>IFERROR(__xludf.DUMMYFUNCTION("""COMPUTED_VALUE"""),"Using this will make all your weapon or natural attacks inflict an enemy with Poison 500 for 3 rounds. (Item)")</f>
        <v>Using this will make all your weapon or natural attacks inflict an enemy with Poison 500 for 3 rounds. (Item)</v>
      </c>
      <c r="C1346" s="1"/>
      <c r="D1346" s="1"/>
      <c r="E1346" s="1"/>
      <c r="F1346" s="1"/>
      <c r="G1346" s="1"/>
      <c r="H1346" s="1"/>
      <c r="I1346" s="1"/>
      <c r="J1346" s="1"/>
      <c r="K1346" s="1"/>
      <c r="L1346" s="1"/>
      <c r="M1346" s="1"/>
      <c r="N1346" s="1"/>
      <c r="O1346" s="1"/>
      <c r="P1346" s="1"/>
      <c r="Q1346" s="1"/>
      <c r="R1346" s="1"/>
      <c r="S1346" s="1"/>
      <c r="T1346" s="1"/>
      <c r="U1346" s="1"/>
      <c r="V1346" s="1"/>
      <c r="W1346" s="1"/>
      <c r="X1346" s="1"/>
      <c r="Y1346" s="1"/>
      <c r="Z1346" s="1"/>
    </row>
    <row r="1347">
      <c r="A1347" s="1" t="str">
        <f>IFERROR(__xludf.DUMMYFUNCTION("""COMPUTED_VALUE"""),"Stag Meat")</f>
        <v>Stag Meat</v>
      </c>
      <c r="B1347" s="1" t="str">
        <f>IFERROR(__xludf.DUMMYFUNCTION("""COMPUTED_VALUE"""),"Restores 20 hunger (Crop)")</f>
        <v>Restores 20 hunger (Crop)</v>
      </c>
      <c r="C1347" s="1"/>
      <c r="D1347" s="1"/>
      <c r="E1347" s="1"/>
      <c r="F1347" s="1"/>
      <c r="G1347" s="1"/>
      <c r="H1347" s="1"/>
      <c r="I1347" s="1"/>
      <c r="J1347" s="1"/>
      <c r="K1347" s="1"/>
      <c r="L1347" s="1"/>
      <c r="M1347" s="1"/>
      <c r="N1347" s="1"/>
      <c r="O1347" s="1"/>
      <c r="P1347" s="1"/>
      <c r="Q1347" s="1"/>
      <c r="R1347" s="1"/>
      <c r="S1347" s="1"/>
      <c r="T1347" s="1"/>
      <c r="U1347" s="1"/>
      <c r="V1347" s="1"/>
      <c r="W1347" s="1"/>
      <c r="X1347" s="1"/>
      <c r="Y1347" s="1"/>
      <c r="Z1347" s="1"/>
    </row>
    <row r="1348">
      <c r="A1348" s="1" t="str">
        <f>IFERROR(__xludf.DUMMYFUNCTION("""COMPUTED_VALUE"""),"Steed Meat")</f>
        <v>Steed Meat</v>
      </c>
      <c r="B1348" s="1" t="str">
        <f>IFERROR(__xludf.DUMMYFUNCTION("""COMPUTED_VALUE"""),"Restores 20 hunger (Crop)")</f>
        <v>Restores 20 hunger (Crop)</v>
      </c>
      <c r="C1348" s="1"/>
      <c r="D1348" s="1"/>
      <c r="E1348" s="1"/>
      <c r="F1348" s="1"/>
      <c r="G1348" s="1"/>
      <c r="H1348" s="1"/>
      <c r="I1348" s="1"/>
      <c r="J1348" s="1"/>
      <c r="K1348" s="1"/>
      <c r="L1348" s="1"/>
      <c r="M1348" s="1"/>
      <c r="N1348" s="1"/>
      <c r="O1348" s="1"/>
      <c r="P1348" s="1"/>
      <c r="Q1348" s="1"/>
      <c r="R1348" s="1"/>
      <c r="S1348" s="1"/>
      <c r="T1348" s="1"/>
      <c r="U1348" s="1"/>
      <c r="V1348" s="1"/>
      <c r="W1348" s="1"/>
      <c r="X1348" s="1"/>
      <c r="Y1348" s="1"/>
      <c r="Z1348" s="1"/>
    </row>
    <row r="1349">
      <c r="A1349" s="1" t="str">
        <f>IFERROR(__xludf.DUMMYFUNCTION("""COMPUTED_VALUE"""),"Moonstone")</f>
        <v>Moonstone</v>
      </c>
      <c r="B1349" s="1" t="str">
        <f>IFERROR(__xludf.DUMMYFUNCTION("""COMPUTED_VALUE"""),"Crafting Material, roll a d20 to see how many you get if this is a loot drop. (Item)")</f>
        <v>Crafting Material, roll a d20 to see how many you get if this is a loot drop. (Item)</v>
      </c>
      <c r="C1349" s="1"/>
      <c r="D1349" s="1"/>
      <c r="E1349" s="1"/>
      <c r="F1349" s="1"/>
      <c r="G1349" s="1"/>
      <c r="H1349" s="1"/>
      <c r="I1349" s="1"/>
      <c r="J1349" s="1"/>
      <c r="K1349" s="1"/>
      <c r="L1349" s="1"/>
      <c r="M1349" s="1"/>
      <c r="N1349" s="1"/>
      <c r="O1349" s="1"/>
      <c r="P1349" s="1"/>
      <c r="Q1349" s="1"/>
      <c r="R1349" s="1"/>
      <c r="S1349" s="1"/>
      <c r="T1349" s="1"/>
      <c r="U1349" s="1"/>
      <c r="V1349" s="1"/>
      <c r="W1349" s="1"/>
      <c r="X1349" s="1"/>
      <c r="Y1349" s="1"/>
      <c r="Z1349" s="1"/>
    </row>
    <row r="1350">
      <c r="A1350" s="1" t="str">
        <f>IFERROR(__xludf.DUMMYFUNCTION("""COMPUTED_VALUE"""),"Sunstone")</f>
        <v>Sunstone</v>
      </c>
      <c r="B1350" s="1" t="str">
        <f>IFERROR(__xludf.DUMMYFUNCTION("""COMPUTED_VALUE"""),"Crafting Material, roll a d20 to see how many you get if this is a loot drop. (Item)")</f>
        <v>Crafting Material, roll a d20 to see how many you get if this is a loot drop. (Item)</v>
      </c>
      <c r="C1350" s="1"/>
      <c r="D1350" s="1"/>
      <c r="E1350" s="1"/>
      <c r="F1350" s="1"/>
      <c r="G1350" s="1"/>
      <c r="H1350" s="1"/>
      <c r="I1350" s="1"/>
      <c r="J1350" s="1"/>
      <c r="K1350" s="1"/>
      <c r="L1350" s="1"/>
      <c r="M1350" s="1"/>
      <c r="N1350" s="1"/>
      <c r="O1350" s="1"/>
      <c r="P1350" s="1"/>
      <c r="Q1350" s="1"/>
      <c r="R1350" s="1"/>
      <c r="S1350" s="1"/>
      <c r="T1350" s="1"/>
      <c r="U1350" s="1"/>
      <c r="V1350" s="1"/>
      <c r="W1350" s="1"/>
      <c r="X1350" s="1"/>
      <c r="Y1350" s="1"/>
      <c r="Z1350" s="1"/>
    </row>
    <row r="1351">
      <c r="A1351" s="1" t="str">
        <f>IFERROR(__xludf.DUMMYFUNCTION("""COMPUTED_VALUE"""),"Tier 1 Treasure Chest (Non-Magical)")</f>
        <v>Tier 1 Treasure Chest (Non-Magical)</v>
      </c>
      <c r="B1351" s="1" t="str">
        <f>IFERROR(__xludf.DUMMYFUNCTION("""COMPUTED_VALUE"""),"Requires a Treasure Chest key to open (Item)")</f>
        <v>Requires a Treasure Chest key to open (Item)</v>
      </c>
      <c r="C1351" s="1"/>
      <c r="D1351" s="1"/>
      <c r="E1351" s="1"/>
      <c r="F1351" s="1"/>
      <c r="G1351" s="1"/>
      <c r="H1351" s="1"/>
      <c r="I1351" s="1"/>
      <c r="J1351" s="1"/>
      <c r="K1351" s="1"/>
      <c r="L1351" s="1"/>
      <c r="M1351" s="1"/>
      <c r="N1351" s="1"/>
      <c r="O1351" s="1"/>
      <c r="P1351" s="1"/>
      <c r="Q1351" s="1"/>
      <c r="R1351" s="1"/>
      <c r="S1351" s="1"/>
      <c r="T1351" s="1"/>
      <c r="U1351" s="1"/>
      <c r="V1351" s="1"/>
      <c r="W1351" s="1"/>
      <c r="X1351" s="1"/>
      <c r="Y1351" s="1"/>
      <c r="Z1351" s="1"/>
    </row>
    <row r="1352">
      <c r="A1352" s="1" t="str">
        <f>IFERROR(__xludf.DUMMYFUNCTION("""COMPUTED_VALUE"""),"Tier 2 Treasure Chest (Non-Magical)")</f>
        <v>Tier 2 Treasure Chest (Non-Magical)</v>
      </c>
      <c r="B1352" s="1" t="str">
        <f>IFERROR(__xludf.DUMMYFUNCTION("""COMPUTED_VALUE"""),"Requires a Treasure Chest key to open (Item)")</f>
        <v>Requires a Treasure Chest key to open (Item)</v>
      </c>
      <c r="C1352" s="1"/>
      <c r="D1352" s="1"/>
      <c r="E1352" s="1"/>
      <c r="F1352" s="1"/>
      <c r="G1352" s="1"/>
      <c r="H1352" s="1"/>
      <c r="I1352" s="1"/>
      <c r="J1352" s="1"/>
      <c r="K1352" s="1"/>
      <c r="L1352" s="1"/>
      <c r="M1352" s="1"/>
      <c r="N1352" s="1"/>
      <c r="O1352" s="1"/>
      <c r="P1352" s="1"/>
      <c r="Q1352" s="1"/>
      <c r="R1352" s="1"/>
      <c r="S1352" s="1"/>
      <c r="T1352" s="1"/>
      <c r="U1352" s="1"/>
      <c r="V1352" s="1"/>
      <c r="W1352" s="1"/>
      <c r="X1352" s="1"/>
      <c r="Y1352" s="1"/>
      <c r="Z1352" s="1"/>
    </row>
    <row r="1353">
      <c r="A1353" s="1" t="str">
        <f>IFERROR(__xludf.DUMMYFUNCTION("""COMPUTED_VALUE"""),"Tier 3 Treasure Chest (Non-Magical)")</f>
        <v>Tier 3 Treasure Chest (Non-Magical)</v>
      </c>
      <c r="B1353" s="1" t="str">
        <f>IFERROR(__xludf.DUMMYFUNCTION("""COMPUTED_VALUE"""),"Requires a Treasure Chest key to open (Item)")</f>
        <v>Requires a Treasure Chest key to open (Item)</v>
      </c>
      <c r="C1353" s="1"/>
      <c r="D1353" s="1"/>
      <c r="E1353" s="1"/>
      <c r="F1353" s="1"/>
      <c r="G1353" s="1"/>
      <c r="H1353" s="1"/>
      <c r="I1353" s="1"/>
      <c r="J1353" s="1"/>
      <c r="K1353" s="1"/>
      <c r="L1353" s="1"/>
      <c r="M1353" s="1"/>
      <c r="N1353" s="1"/>
      <c r="O1353" s="1"/>
      <c r="P1353" s="1"/>
      <c r="Q1353" s="1"/>
      <c r="R1353" s="1"/>
      <c r="S1353" s="1"/>
      <c r="T1353" s="1"/>
      <c r="U1353" s="1"/>
      <c r="V1353" s="1"/>
      <c r="W1353" s="1"/>
      <c r="X1353" s="1"/>
      <c r="Y1353" s="1"/>
      <c r="Z1353" s="1"/>
    </row>
    <row r="1354">
      <c r="A1354" s="1" t="str">
        <f>IFERROR(__xludf.DUMMYFUNCTION("""COMPUTED_VALUE"""),"Treasure Chest Key (Non-Magical)")</f>
        <v>Treasure Chest Key (Non-Magical)</v>
      </c>
      <c r="B1354" s="1" t="str">
        <f>IFERROR(__xludf.DUMMYFUNCTION("""COMPUTED_VALUE"""),"Unlocks Tier 1-3 Treasure Chests. (Item)")</f>
        <v>Unlocks Tier 1-3 Treasure Chests. (Item)</v>
      </c>
      <c r="C1354" s="1"/>
      <c r="D1354" s="1"/>
      <c r="E1354" s="1"/>
      <c r="F1354" s="1"/>
      <c r="G1354" s="1"/>
      <c r="H1354" s="1"/>
      <c r="I1354" s="1"/>
      <c r="J1354" s="1"/>
      <c r="K1354" s="1"/>
      <c r="L1354" s="1"/>
      <c r="M1354" s="1"/>
      <c r="N1354" s="1"/>
      <c r="O1354" s="1"/>
      <c r="P1354" s="1"/>
      <c r="Q1354" s="1"/>
      <c r="R1354" s="1"/>
      <c r="S1354" s="1"/>
      <c r="T1354" s="1"/>
      <c r="U1354" s="1"/>
      <c r="V1354" s="1"/>
      <c r="W1354" s="1"/>
      <c r="X1354" s="1"/>
      <c r="Y1354" s="1"/>
      <c r="Z1354" s="1"/>
    </row>
    <row r="1355">
      <c r="A1355" s="1" t="str">
        <f>IFERROR(__xludf.DUMMYFUNCTION("""COMPUTED_VALUE"""),"Random Dragon Egg")</f>
        <v>Random Dragon Egg</v>
      </c>
      <c r="B1355" s="1" t="str">
        <f>IFERROR(__xludf.DUMMYFUNCTION("""COMPUTED_VALUE"""),"determined by DM/GM (Item)")</f>
        <v>determined by DM/GM (Item)</v>
      </c>
      <c r="C1355" s="1"/>
      <c r="D1355" s="1"/>
      <c r="E1355" s="1"/>
      <c r="F1355" s="1"/>
      <c r="G1355" s="1"/>
      <c r="H1355" s="1"/>
      <c r="I1355" s="1"/>
      <c r="J1355" s="1"/>
      <c r="K1355" s="1"/>
      <c r="L1355" s="1"/>
      <c r="M1355" s="1"/>
      <c r="N1355" s="1"/>
      <c r="O1355" s="1"/>
      <c r="P1355" s="1"/>
      <c r="Q1355" s="1"/>
      <c r="R1355" s="1"/>
      <c r="S1355" s="1"/>
      <c r="T1355" s="1"/>
      <c r="U1355" s="1"/>
      <c r="V1355" s="1"/>
      <c r="W1355" s="1"/>
      <c r="X1355" s="1"/>
      <c r="Y1355" s="1"/>
      <c r="Z1355" s="1"/>
    </row>
    <row r="1356">
      <c r="A1356" s="1" t="str">
        <f>IFERROR(__xludf.DUMMYFUNCTION("""COMPUTED_VALUE"""),"Poisoned Bolts")</f>
        <v>Poisoned Bolts</v>
      </c>
      <c r="B1356" s="1" t="str">
        <f>IFERROR(__xludf.DUMMYFUNCTION("""COMPUTED_VALUE"""),"+5000 poison damage per round for 3 rounds (Item)")</f>
        <v>+5000 poison damage per round for 3 rounds (Item)</v>
      </c>
      <c r="C1356" s="1"/>
      <c r="D1356" s="1"/>
      <c r="E1356" s="1"/>
      <c r="F1356" s="1"/>
      <c r="G1356" s="1"/>
      <c r="H1356" s="1"/>
      <c r="I1356" s="1"/>
      <c r="J1356" s="1"/>
      <c r="K1356" s="1"/>
      <c r="L1356" s="1"/>
      <c r="M1356" s="1"/>
      <c r="N1356" s="1"/>
      <c r="O1356" s="1"/>
      <c r="P1356" s="1"/>
      <c r="Q1356" s="1"/>
      <c r="R1356" s="1"/>
      <c r="S1356" s="1"/>
      <c r="T1356" s="1"/>
      <c r="U1356" s="1"/>
      <c r="V1356" s="1"/>
      <c r="W1356" s="1"/>
      <c r="X1356" s="1"/>
      <c r="Y1356" s="1"/>
      <c r="Z1356" s="1"/>
    </row>
    <row r="1357">
      <c r="A1357" s="1" t="str">
        <f>IFERROR(__xludf.DUMMYFUNCTION("""COMPUTED_VALUE"""),"Standard Missile")</f>
        <v>Standard Missile</v>
      </c>
      <c r="B1357" s="1" t="str">
        <f>IFERROR(__xludf.DUMMYFUNCTION("""COMPUTED_VALUE"""),"Missile Turret Ammunition.+50,000 Damage. +50,000 Fire Damage. roll a d5 to see how many you get if this is a loot drop. (Item)")</f>
        <v>Missile Turret Ammunition.+50,000 Damage. +50,000 Fire Damage. roll a d5 to see how many you get if this is a loot drop. (Item)</v>
      </c>
      <c r="C1357" s="1"/>
      <c r="D1357" s="1"/>
      <c r="E1357" s="1"/>
      <c r="F1357" s="1"/>
      <c r="G1357" s="1"/>
      <c r="H1357" s="1"/>
      <c r="I1357" s="1"/>
      <c r="J1357" s="1"/>
      <c r="K1357" s="1"/>
      <c r="L1357" s="1"/>
      <c r="M1357" s="1"/>
      <c r="N1357" s="1"/>
      <c r="O1357" s="1"/>
      <c r="P1357" s="1"/>
      <c r="Q1357" s="1"/>
      <c r="R1357" s="1"/>
      <c r="S1357" s="1"/>
      <c r="T1357" s="1"/>
      <c r="U1357" s="1"/>
      <c r="V1357" s="1"/>
      <c r="W1357" s="1"/>
      <c r="X1357" s="1"/>
      <c r="Y1357" s="1"/>
      <c r="Z1357" s="1"/>
    </row>
    <row r="1358">
      <c r="A1358" s="1" t="str">
        <f>IFERROR(__xludf.DUMMYFUNCTION("""COMPUTED_VALUE"""),"Nuclear Missile")</f>
        <v>Nuclear Missile</v>
      </c>
      <c r="B1358" s="1" t="str">
        <f>IFERROR(__xludf.DUMMYFUNCTION("""COMPUTED_VALUE"""),"Missile Turret Ammunition.+100,000 Damage. +100,000 Fire Damage. +Burn 10,000. +Poison 10,000. roll a d5 to see how many you get if this is a loot drop. (Item)")</f>
        <v>Missile Turret Ammunition.+100,000 Damage. +100,000 Fire Damage. +Burn 10,000. +Poison 10,000. roll a d5 to see how many you get if this is a loot drop. (Item)</v>
      </c>
      <c r="C1358" s="1"/>
      <c r="D1358" s="1"/>
      <c r="E1358" s="1"/>
      <c r="F1358" s="1"/>
      <c r="G1358" s="1"/>
      <c r="H1358" s="1"/>
      <c r="I1358" s="1"/>
      <c r="J1358" s="1"/>
      <c r="K1358" s="1"/>
      <c r="L1358" s="1"/>
      <c r="M1358" s="1"/>
      <c r="N1358" s="1"/>
      <c r="O1358" s="1"/>
      <c r="P1358" s="1"/>
      <c r="Q1358" s="1"/>
      <c r="R1358" s="1"/>
      <c r="S1358" s="1"/>
      <c r="T1358" s="1"/>
      <c r="U1358" s="1"/>
      <c r="V1358" s="1"/>
      <c r="W1358" s="1"/>
      <c r="X1358" s="1"/>
      <c r="Y1358" s="1"/>
      <c r="Z1358" s="1"/>
    </row>
    <row r="1359">
      <c r="A1359" s="1" t="str">
        <f>IFERROR(__xludf.DUMMYFUNCTION("""COMPUTED_VALUE"""),"EMP Missile")</f>
        <v>EMP Missile</v>
      </c>
      <c r="B1359" s="1" t="str">
        <f>IFERROR(__xludf.DUMMYFUNCTION("""COMPUTED_VALUE"""),"Missile Turret Ammunition. +50,000 Damage. +50,000 Storm Damage. +25% chance the target(s) losses it's next turn. roll a d5 to see how many you get if this is a loot drop. (Item)")</f>
        <v>Missile Turret Ammunition. +50,000 Damage. +50,000 Storm Damage. +25% chance the target(s) losses it's next turn. roll a d5 to see how many you get if this is a loot drop. (Item)</v>
      </c>
      <c r="C1359" s="1"/>
      <c r="D1359" s="1"/>
      <c r="E1359" s="1"/>
      <c r="F1359" s="1"/>
      <c r="G1359" s="1"/>
      <c r="H1359" s="1"/>
      <c r="I1359" s="1"/>
      <c r="J1359" s="1"/>
      <c r="K1359" s="1"/>
      <c r="L1359" s="1"/>
      <c r="M1359" s="1"/>
      <c r="N1359" s="1"/>
      <c r="O1359" s="1"/>
      <c r="P1359" s="1"/>
      <c r="Q1359" s="1"/>
      <c r="R1359" s="1"/>
      <c r="S1359" s="1"/>
      <c r="T1359" s="1"/>
      <c r="U1359" s="1"/>
      <c r="V1359" s="1"/>
      <c r="W1359" s="1"/>
      <c r="X1359" s="1"/>
      <c r="Y1359" s="1"/>
      <c r="Z1359" s="1"/>
    </row>
    <row r="1360">
      <c r="A1360" s="1" t="str">
        <f>IFERROR(__xludf.DUMMYFUNCTION("""COMPUTED_VALUE"""),"Chaos Bullet")</f>
        <v>Chaos Bullet</v>
      </c>
      <c r="B1360" s="1" t="str">
        <f>IFERROR(__xludf.DUMMYFUNCTION("""COMPUTED_VALUE"""),"Firearm Ammunition. +100 chaos damage. roll a d20 to see how many you get if this is a loot drop. (Item)")</f>
        <v>Firearm Ammunition. +100 chaos damage. roll a d20 to see how many you get if this is a loot drop. (Item)</v>
      </c>
      <c r="C1360" s="1"/>
      <c r="D1360" s="1"/>
      <c r="E1360" s="1"/>
      <c r="F1360" s="1"/>
      <c r="G1360" s="1"/>
      <c r="H1360" s="1"/>
      <c r="I1360" s="1"/>
      <c r="J1360" s="1"/>
      <c r="K1360" s="1"/>
      <c r="L1360" s="1"/>
      <c r="M1360" s="1"/>
      <c r="N1360" s="1"/>
      <c r="O1360" s="1"/>
      <c r="P1360" s="1"/>
      <c r="Q1360" s="1"/>
      <c r="R1360" s="1"/>
      <c r="S1360" s="1"/>
      <c r="T1360" s="1"/>
      <c r="U1360" s="1"/>
      <c r="V1360" s="1"/>
      <c r="W1360" s="1"/>
      <c r="X1360" s="1"/>
      <c r="Y1360" s="1"/>
      <c r="Z1360" s="1"/>
    </row>
    <row r="1361">
      <c r="A1361" s="1" t="str">
        <f>IFERROR(__xludf.DUMMYFUNCTION("""COMPUTED_VALUE"""),"Dark Bullet")</f>
        <v>Dark Bullet</v>
      </c>
      <c r="B1361" s="1" t="str">
        <f>IFERROR(__xludf.DUMMYFUNCTION("""COMPUTED_VALUE"""),"Firearm Ammunition. +100 dark damage. roll a d20 to see how many you get if this is a loot drop. (Item)")</f>
        <v>Firearm Ammunition. +100 dark damage. roll a d20 to see how many you get if this is a loot drop. (Item)</v>
      </c>
      <c r="C1361" s="1"/>
      <c r="D1361" s="1"/>
      <c r="E1361" s="1"/>
      <c r="F1361" s="1"/>
      <c r="G1361" s="1"/>
      <c r="H1361" s="1"/>
      <c r="I1361" s="1"/>
      <c r="J1361" s="1"/>
      <c r="K1361" s="1"/>
      <c r="L1361" s="1"/>
      <c r="M1361" s="1"/>
      <c r="N1361" s="1"/>
      <c r="O1361" s="1"/>
      <c r="P1361" s="1"/>
      <c r="Q1361" s="1"/>
      <c r="R1361" s="1"/>
      <c r="S1361" s="1"/>
      <c r="T1361" s="1"/>
      <c r="U1361" s="1"/>
      <c r="V1361" s="1"/>
      <c r="W1361" s="1"/>
      <c r="X1361" s="1"/>
      <c r="Y1361" s="1"/>
      <c r="Z1361" s="1"/>
    </row>
    <row r="1362">
      <c r="A1362" s="1" t="str">
        <f>IFERROR(__xludf.DUMMYFUNCTION("""COMPUTED_VALUE"""),"Earth Bullet")</f>
        <v>Earth Bullet</v>
      </c>
      <c r="B1362" s="1" t="str">
        <f>IFERROR(__xludf.DUMMYFUNCTION("""COMPUTED_VALUE"""),"Firearm Ammunition. +100 earth damage. roll a d20 to see how many you get if this is a loot drop. (Item)")</f>
        <v>Firearm Ammunition. +100 earth damage. roll a d20 to see how many you get if this is a loot drop. (Item)</v>
      </c>
      <c r="C1362" s="1"/>
      <c r="D1362" s="1"/>
      <c r="E1362" s="1"/>
      <c r="F1362" s="1"/>
      <c r="G1362" s="1"/>
      <c r="H1362" s="1"/>
      <c r="I1362" s="1"/>
      <c r="J1362" s="1"/>
      <c r="K1362" s="1"/>
      <c r="L1362" s="1"/>
      <c r="M1362" s="1"/>
      <c r="N1362" s="1"/>
      <c r="O1362" s="1"/>
      <c r="P1362" s="1"/>
      <c r="Q1362" s="1"/>
      <c r="R1362" s="1"/>
      <c r="S1362" s="1"/>
      <c r="T1362" s="1"/>
      <c r="U1362" s="1"/>
      <c r="V1362" s="1"/>
      <c r="W1362" s="1"/>
      <c r="X1362" s="1"/>
      <c r="Y1362" s="1"/>
      <c r="Z1362" s="1"/>
    </row>
    <row r="1363">
      <c r="A1363" s="1" t="str">
        <f>IFERROR(__xludf.DUMMYFUNCTION("""COMPUTED_VALUE"""),"Fire Bullet")</f>
        <v>Fire Bullet</v>
      </c>
      <c r="B1363" s="1" t="str">
        <f>IFERROR(__xludf.DUMMYFUNCTION("""COMPUTED_VALUE"""),"Firearm Ammunition. +100 fire damage. roll a d20 to see how many you get if this is a loot drop. (Item)")</f>
        <v>Firearm Ammunition. +100 fire damage. roll a d20 to see how many you get if this is a loot drop. (Item)</v>
      </c>
      <c r="C1363" s="1"/>
      <c r="D1363" s="1"/>
      <c r="E1363" s="1"/>
      <c r="F1363" s="1"/>
      <c r="G1363" s="1"/>
      <c r="H1363" s="1"/>
      <c r="I1363" s="1"/>
      <c r="J1363" s="1"/>
      <c r="K1363" s="1"/>
      <c r="L1363" s="1"/>
      <c r="M1363" s="1"/>
      <c r="N1363" s="1"/>
      <c r="O1363" s="1"/>
      <c r="P1363" s="1"/>
      <c r="Q1363" s="1"/>
      <c r="R1363" s="1"/>
      <c r="S1363" s="1"/>
      <c r="T1363" s="1"/>
      <c r="U1363" s="1"/>
      <c r="V1363" s="1"/>
      <c r="W1363" s="1"/>
      <c r="X1363" s="1"/>
      <c r="Y1363" s="1"/>
      <c r="Z1363" s="1"/>
    </row>
    <row r="1364">
      <c r="A1364" s="1" t="str">
        <f>IFERROR(__xludf.DUMMYFUNCTION("""COMPUTED_VALUE"""),"Light Bullet")</f>
        <v>Light Bullet</v>
      </c>
      <c r="B1364" s="1" t="str">
        <f>IFERROR(__xludf.DUMMYFUNCTION("""COMPUTED_VALUE"""),"Firearm Ammunition. +100 light damage. roll a d20 to see how many you get if this is a loot drop. (Item)")</f>
        <v>Firearm Ammunition. +100 light damage. roll a d20 to see how many you get if this is a loot drop. (Item)</v>
      </c>
      <c r="C1364" s="1"/>
      <c r="D1364" s="1"/>
      <c r="E1364" s="1"/>
      <c r="F1364" s="1"/>
      <c r="G1364" s="1"/>
      <c r="H1364" s="1"/>
      <c r="I1364" s="1"/>
      <c r="J1364" s="1"/>
      <c r="K1364" s="1"/>
      <c r="L1364" s="1"/>
      <c r="M1364" s="1"/>
      <c r="N1364" s="1"/>
      <c r="O1364" s="1"/>
      <c r="P1364" s="1"/>
      <c r="Q1364" s="1"/>
      <c r="R1364" s="1"/>
      <c r="S1364" s="1"/>
      <c r="T1364" s="1"/>
      <c r="U1364" s="1"/>
      <c r="V1364" s="1"/>
      <c r="W1364" s="1"/>
      <c r="X1364" s="1"/>
      <c r="Y1364" s="1"/>
      <c r="Z1364" s="1"/>
    </row>
    <row r="1365">
      <c r="A1365" s="1" t="str">
        <f>IFERROR(__xludf.DUMMYFUNCTION("""COMPUTED_VALUE"""),"Spectral Bullet")</f>
        <v>Spectral Bullet</v>
      </c>
      <c r="B1365" s="1" t="str">
        <f>IFERROR(__xludf.DUMMYFUNCTION("""COMPUTED_VALUE"""),"Firearm Ammunition. +100 spirit damage. roll a d20 to see how many you get if this is a loot drop. (Item)")</f>
        <v>Firearm Ammunition. +100 spirit damage. roll a d20 to see how many you get if this is a loot drop. (Item)</v>
      </c>
      <c r="C1365" s="1"/>
      <c r="D1365" s="1"/>
      <c r="E1365" s="1"/>
      <c r="F1365" s="1"/>
      <c r="G1365" s="1"/>
      <c r="H1365" s="1"/>
      <c r="I1365" s="1"/>
      <c r="J1365" s="1"/>
      <c r="K1365" s="1"/>
      <c r="L1365" s="1"/>
      <c r="M1365" s="1"/>
      <c r="N1365" s="1"/>
      <c r="O1365" s="1"/>
      <c r="P1365" s="1"/>
      <c r="Q1365" s="1"/>
      <c r="R1365" s="1"/>
      <c r="S1365" s="1"/>
      <c r="T1365" s="1"/>
      <c r="U1365" s="1"/>
      <c r="V1365" s="1"/>
      <c r="W1365" s="1"/>
      <c r="X1365" s="1"/>
      <c r="Y1365" s="1"/>
      <c r="Z1365" s="1"/>
    </row>
    <row r="1366">
      <c r="A1366" s="1" t="str">
        <f>IFERROR(__xludf.DUMMYFUNCTION("""COMPUTED_VALUE"""),"Stunning Bullet")</f>
        <v>Stunning Bullet</v>
      </c>
      <c r="B1366" s="1" t="str">
        <f>IFERROR(__xludf.DUMMYFUNCTION("""COMPUTED_VALUE"""),"Firearm Ammunition. +100 storm damage. +25% chance of Stun 3 to the enemy if using no more than 1 bullet. roll a d20 to see how many you get if this is a loot drop. (Item)")</f>
        <v>Firearm Ammunition. +100 storm damage. +25% chance of Stun 3 to the enemy if using no more than 1 bullet. roll a d20 to see how many you get if this is a loot drop. (Item)</v>
      </c>
      <c r="C1366" s="1"/>
      <c r="D1366" s="1"/>
      <c r="E1366" s="1"/>
      <c r="F1366" s="1"/>
      <c r="G1366" s="1"/>
      <c r="H1366" s="1"/>
      <c r="I1366" s="1"/>
      <c r="J1366" s="1"/>
      <c r="K1366" s="1"/>
      <c r="L1366" s="1"/>
      <c r="M1366" s="1"/>
      <c r="N1366" s="1"/>
      <c r="O1366" s="1"/>
      <c r="P1366" s="1"/>
      <c r="Q1366" s="1"/>
      <c r="R1366" s="1"/>
      <c r="S1366" s="1"/>
      <c r="T1366" s="1"/>
      <c r="U1366" s="1"/>
      <c r="V1366" s="1"/>
      <c r="W1366" s="1"/>
      <c r="X1366" s="1"/>
      <c r="Y1366" s="1"/>
      <c r="Z1366" s="1"/>
    </row>
    <row r="1367">
      <c r="A1367" s="1" t="str">
        <f>IFERROR(__xludf.DUMMYFUNCTION("""COMPUTED_VALUE"""),"Freezing Bullet")</f>
        <v>Freezing Bullet</v>
      </c>
      <c r="B1367" s="1" t="str">
        <f>IFERROR(__xludf.DUMMYFUNCTION("""COMPUTED_VALUE"""),"Firearm Ammunition. +100 fire damage. +25% chance of Freeze to the enemy if using no more than 1 bullet. roll a d20 to see how many you get if this is a loot drop. (Item)")</f>
        <v>Firearm Ammunition. +100 fire damage. +25% chance of Freeze to the enemy if using no more than 1 bullet. roll a d20 to see how many you get if this is a loot drop. (Item)</v>
      </c>
      <c r="C1367" s="1"/>
      <c r="D1367" s="1"/>
      <c r="E1367" s="1"/>
      <c r="F1367" s="1"/>
      <c r="G1367" s="1"/>
      <c r="H1367" s="1"/>
      <c r="I1367" s="1"/>
      <c r="J1367" s="1"/>
      <c r="K1367" s="1"/>
      <c r="L1367" s="1"/>
      <c r="M1367" s="1"/>
      <c r="N1367" s="1"/>
      <c r="O1367" s="1"/>
      <c r="P1367" s="1"/>
      <c r="Q1367" s="1"/>
      <c r="R1367" s="1"/>
      <c r="S1367" s="1"/>
      <c r="T1367" s="1"/>
      <c r="U1367" s="1"/>
      <c r="V1367" s="1"/>
      <c r="W1367" s="1"/>
      <c r="X1367" s="1"/>
      <c r="Y1367" s="1"/>
      <c r="Z1367" s="1"/>
    </row>
    <row r="1368">
      <c r="A1368" s="1" t="str">
        <f>IFERROR(__xludf.DUMMYFUNCTION("""COMPUTED_VALUE"""),"Healing Bullet")</f>
        <v>Healing Bullet</v>
      </c>
      <c r="B1368" s="1" t="str">
        <f>IFERROR(__xludf.DUMMYFUNCTION("""COMPUTED_VALUE"""),"Firearm Ammunition. +Restores 1000 HP and SP to the target if using no more than 1 bullet. roll a d20 to see how many you get if this is a loot drop. (Item)")</f>
        <v>Firearm Ammunition. +Restores 1000 HP and SP to the target if using no more than 1 bullet. roll a d20 to see how many you get if this is a loot drop. (Item)</v>
      </c>
      <c r="C1368" s="1"/>
      <c r="D1368" s="1"/>
      <c r="E1368" s="1"/>
      <c r="F1368" s="1"/>
      <c r="G1368" s="1"/>
      <c r="H1368" s="1"/>
      <c r="I1368" s="1"/>
      <c r="J1368" s="1"/>
      <c r="K1368" s="1"/>
      <c r="L1368" s="1"/>
      <c r="M1368" s="1"/>
      <c r="N1368" s="1"/>
      <c r="O1368" s="1"/>
      <c r="P1368" s="1"/>
      <c r="Q1368" s="1"/>
      <c r="R1368" s="1"/>
      <c r="S1368" s="1"/>
      <c r="T1368" s="1"/>
      <c r="U1368" s="1"/>
      <c r="V1368" s="1"/>
      <c r="W1368" s="1"/>
      <c r="X1368" s="1"/>
      <c r="Y1368" s="1"/>
      <c r="Z1368" s="1"/>
    </row>
    <row r="1369">
      <c r="A1369" s="1" t="str">
        <f>IFERROR(__xludf.DUMMYFUNCTION("""COMPUTED_VALUE"""),"Celestial Arrow")</f>
        <v>Celestial Arrow</v>
      </c>
      <c r="B1369" s="1" t="str">
        <f>IFERROR(__xludf.DUMMYFUNCTION("""COMPUTED_VALUE"""),"Bow Ammunition. +500 celestial damage. roll a d20 to see how many you get if this is a loot drop. (Item)")</f>
        <v>Bow Ammunition. +500 celestial damage. roll a d20 to see how many you get if this is a loot drop. (Item)</v>
      </c>
      <c r="C1369" s="1"/>
      <c r="D1369" s="1"/>
      <c r="E1369" s="1"/>
      <c r="F1369" s="1"/>
      <c r="G1369" s="1"/>
      <c r="H1369" s="1"/>
      <c r="I1369" s="1"/>
      <c r="J1369" s="1"/>
      <c r="K1369" s="1"/>
      <c r="L1369" s="1"/>
      <c r="M1369" s="1"/>
      <c r="N1369" s="1"/>
      <c r="O1369" s="1"/>
      <c r="P1369" s="1"/>
      <c r="Q1369" s="1"/>
      <c r="R1369" s="1"/>
      <c r="S1369" s="1"/>
      <c r="T1369" s="1"/>
      <c r="U1369" s="1"/>
      <c r="V1369" s="1"/>
      <c r="W1369" s="1"/>
      <c r="X1369" s="1"/>
      <c r="Y1369" s="1"/>
      <c r="Z1369" s="1"/>
    </row>
    <row r="1370">
      <c r="A1370" s="1" t="str">
        <f>IFERROR(__xludf.DUMMYFUNCTION("""COMPUTED_VALUE"""),"Chaos Arrow")</f>
        <v>Chaos Arrow</v>
      </c>
      <c r="B1370" s="1" t="str">
        <f>IFERROR(__xludf.DUMMYFUNCTION("""COMPUTED_VALUE"""),"Bow Ammunition. +500 chaos damage. roll a d20 to see how many you get if this is a loot drop. (Item)")</f>
        <v>Bow Ammunition. +500 chaos damage. roll a d20 to see how many you get if this is a loot drop. (Item)</v>
      </c>
      <c r="C1370" s="1"/>
      <c r="D1370" s="1"/>
      <c r="E1370" s="1"/>
      <c r="F1370" s="1"/>
      <c r="G1370" s="1"/>
      <c r="H1370" s="1"/>
      <c r="I1370" s="1"/>
      <c r="J1370" s="1"/>
      <c r="K1370" s="1"/>
      <c r="L1370" s="1"/>
      <c r="M1370" s="1"/>
      <c r="N1370" s="1"/>
      <c r="O1370" s="1"/>
      <c r="P1370" s="1"/>
      <c r="Q1370" s="1"/>
      <c r="R1370" s="1"/>
      <c r="S1370" s="1"/>
      <c r="T1370" s="1"/>
      <c r="U1370" s="1"/>
      <c r="V1370" s="1"/>
      <c r="W1370" s="1"/>
      <c r="X1370" s="1"/>
      <c r="Y1370" s="1"/>
      <c r="Z1370" s="1"/>
    </row>
    <row r="1371">
      <c r="A1371" s="1" t="str">
        <f>IFERROR(__xludf.DUMMYFUNCTION("""COMPUTED_VALUE"""),"Dark Arrow")</f>
        <v>Dark Arrow</v>
      </c>
      <c r="B1371" s="1" t="str">
        <f>IFERROR(__xludf.DUMMYFUNCTION("""COMPUTED_VALUE"""),"Bow Ammunition. +500 dark damage. roll a d20 to see how many you get if this is a loot drop. (Item)")</f>
        <v>Bow Ammunition. +500 dark damage. roll a d20 to see how many you get if this is a loot drop. (Item)</v>
      </c>
      <c r="C1371" s="1"/>
      <c r="D1371" s="1"/>
      <c r="E1371" s="1"/>
      <c r="F1371" s="1"/>
      <c r="G1371" s="1"/>
      <c r="H1371" s="1"/>
      <c r="I1371" s="1"/>
      <c r="J1371" s="1"/>
      <c r="K1371" s="1"/>
      <c r="L1371" s="1"/>
      <c r="M1371" s="1"/>
      <c r="N1371" s="1"/>
      <c r="O1371" s="1"/>
      <c r="P1371" s="1"/>
      <c r="Q1371" s="1"/>
      <c r="R1371" s="1"/>
      <c r="S1371" s="1"/>
      <c r="T1371" s="1"/>
      <c r="U1371" s="1"/>
      <c r="V1371" s="1"/>
      <c r="W1371" s="1"/>
      <c r="X1371" s="1"/>
      <c r="Y1371" s="1"/>
      <c r="Z1371" s="1"/>
    </row>
    <row r="1372">
      <c r="A1372" s="1" t="str">
        <f>IFERROR(__xludf.DUMMYFUNCTION("""COMPUTED_VALUE"""),"Earth Arrow")</f>
        <v>Earth Arrow</v>
      </c>
      <c r="B1372" s="1" t="str">
        <f>IFERROR(__xludf.DUMMYFUNCTION("""COMPUTED_VALUE"""),"Bow Ammunition. +500 earth damage. roll a d20 to see how many you get if this is a loot drop. (Item)")</f>
        <v>Bow Ammunition. +500 earth damage. roll a d20 to see how many you get if this is a loot drop. (Item)</v>
      </c>
      <c r="C1372" s="1"/>
      <c r="D1372" s="1"/>
      <c r="E1372" s="1"/>
      <c r="F1372" s="1"/>
      <c r="G1372" s="1"/>
      <c r="H1372" s="1"/>
      <c r="I1372" s="1"/>
      <c r="J1372" s="1"/>
      <c r="K1372" s="1"/>
      <c r="L1372" s="1"/>
      <c r="M1372" s="1"/>
      <c r="N1372" s="1"/>
      <c r="O1372" s="1"/>
      <c r="P1372" s="1"/>
      <c r="Q1372" s="1"/>
      <c r="R1372" s="1"/>
      <c r="S1372" s="1"/>
      <c r="T1372" s="1"/>
      <c r="U1372" s="1"/>
      <c r="V1372" s="1"/>
      <c r="W1372" s="1"/>
      <c r="X1372" s="1"/>
      <c r="Y1372" s="1"/>
      <c r="Z1372" s="1"/>
    </row>
    <row r="1373">
      <c r="A1373" s="1" t="str">
        <f>IFERROR(__xludf.DUMMYFUNCTION("""COMPUTED_VALUE"""),"Fire Arrow")</f>
        <v>Fire Arrow</v>
      </c>
      <c r="B1373" s="1" t="str">
        <f>IFERROR(__xludf.DUMMYFUNCTION("""COMPUTED_VALUE"""),"Bow Ammunition. +500 fire damage. roll a d20 to see how many you get if this is a loot drop. (Item)")</f>
        <v>Bow Ammunition. +500 fire damage. roll a d20 to see how many you get if this is a loot drop. (Item)</v>
      </c>
      <c r="C1373" s="1"/>
      <c r="D1373" s="1"/>
      <c r="E1373" s="1"/>
      <c r="F1373" s="1"/>
      <c r="G1373" s="1"/>
      <c r="H1373" s="1"/>
      <c r="I1373" s="1"/>
      <c r="J1373" s="1"/>
      <c r="K1373" s="1"/>
      <c r="L1373" s="1"/>
      <c r="M1373" s="1"/>
      <c r="N1373" s="1"/>
      <c r="O1373" s="1"/>
      <c r="P1373" s="1"/>
      <c r="Q1373" s="1"/>
      <c r="R1373" s="1"/>
      <c r="S1373" s="1"/>
      <c r="T1373" s="1"/>
      <c r="U1373" s="1"/>
      <c r="V1373" s="1"/>
      <c r="W1373" s="1"/>
      <c r="X1373" s="1"/>
      <c r="Y1373" s="1"/>
      <c r="Z1373" s="1"/>
    </row>
    <row r="1374">
      <c r="A1374" s="1" t="str">
        <f>IFERROR(__xludf.DUMMYFUNCTION("""COMPUTED_VALUE"""),"Light Arrow")</f>
        <v>Light Arrow</v>
      </c>
      <c r="B1374" s="1" t="str">
        <f>IFERROR(__xludf.DUMMYFUNCTION("""COMPUTED_VALUE"""),"Bow Ammunition. +500 light damage. roll a d20 to see how many you get if this is a loot drop. (Item)")</f>
        <v>Bow Ammunition. +500 light damage. roll a d20 to see how many you get if this is a loot drop. (Item)</v>
      </c>
      <c r="C1374" s="1"/>
      <c r="D1374" s="1"/>
      <c r="E1374" s="1"/>
      <c r="F1374" s="1"/>
      <c r="G1374" s="1"/>
      <c r="H1374" s="1"/>
      <c r="I1374" s="1"/>
      <c r="J1374" s="1"/>
      <c r="K1374" s="1"/>
      <c r="L1374" s="1"/>
      <c r="M1374" s="1"/>
      <c r="N1374" s="1"/>
      <c r="O1374" s="1"/>
      <c r="P1374" s="1"/>
      <c r="Q1374" s="1"/>
      <c r="R1374" s="1"/>
      <c r="S1374" s="1"/>
      <c r="T1374" s="1"/>
      <c r="U1374" s="1"/>
      <c r="V1374" s="1"/>
      <c r="W1374" s="1"/>
      <c r="X1374" s="1"/>
      <c r="Y1374" s="1"/>
      <c r="Z1374" s="1"/>
    </row>
    <row r="1375">
      <c r="A1375" s="1" t="str">
        <f>IFERROR(__xludf.DUMMYFUNCTION("""COMPUTED_VALUE"""),"Spectral Arrow")</f>
        <v>Spectral Arrow</v>
      </c>
      <c r="B1375" s="1" t="str">
        <f>IFERROR(__xludf.DUMMYFUNCTION("""COMPUTED_VALUE"""),"Bow Ammunition. +500 spirit damage. roll a d20 to see how many you get if this is a loot drop. (Item)")</f>
        <v>Bow Ammunition. +500 spirit damage. roll a d20 to see how many you get if this is a loot drop. (Item)</v>
      </c>
      <c r="C1375" s="1"/>
      <c r="D1375" s="1"/>
      <c r="E1375" s="1"/>
      <c r="F1375" s="1"/>
      <c r="G1375" s="1"/>
      <c r="H1375" s="1"/>
      <c r="I1375" s="1"/>
      <c r="J1375" s="1"/>
      <c r="K1375" s="1"/>
      <c r="L1375" s="1"/>
      <c r="M1375" s="1"/>
      <c r="N1375" s="1"/>
      <c r="O1375" s="1"/>
      <c r="P1375" s="1"/>
      <c r="Q1375" s="1"/>
      <c r="R1375" s="1"/>
      <c r="S1375" s="1"/>
      <c r="T1375" s="1"/>
      <c r="U1375" s="1"/>
      <c r="V1375" s="1"/>
      <c r="W1375" s="1"/>
      <c r="X1375" s="1"/>
      <c r="Y1375" s="1"/>
      <c r="Z1375" s="1"/>
    </row>
    <row r="1376">
      <c r="A1376" s="1" t="str">
        <f>IFERROR(__xludf.DUMMYFUNCTION("""COMPUTED_VALUE"""),"Stunning Arrow")</f>
        <v>Stunning Arrow</v>
      </c>
      <c r="B1376" s="1" t="str">
        <f>IFERROR(__xludf.DUMMYFUNCTION("""COMPUTED_VALUE"""),"Bow Ammunition. +500 storm damage. +25% chance of Stun 3. roll a d20 to see how many you get if this is a loot drop. (Item)")</f>
        <v>Bow Ammunition. +500 storm damage. +25% chance of Stun 3. roll a d20 to see how many you get if this is a loot drop. (Item)</v>
      </c>
      <c r="C1376" s="1"/>
      <c r="D1376" s="1"/>
      <c r="E1376" s="1"/>
      <c r="F1376" s="1"/>
      <c r="G1376" s="1"/>
      <c r="H1376" s="1"/>
      <c r="I1376" s="1"/>
      <c r="J1376" s="1"/>
      <c r="K1376" s="1"/>
      <c r="L1376" s="1"/>
      <c r="M1376" s="1"/>
      <c r="N1376" s="1"/>
      <c r="O1376" s="1"/>
      <c r="P1376" s="1"/>
      <c r="Q1376" s="1"/>
      <c r="R1376" s="1"/>
      <c r="S1376" s="1"/>
      <c r="T1376" s="1"/>
      <c r="U1376" s="1"/>
      <c r="V1376" s="1"/>
      <c r="W1376" s="1"/>
      <c r="X1376" s="1"/>
      <c r="Y1376" s="1"/>
      <c r="Z1376" s="1"/>
    </row>
    <row r="1377">
      <c r="A1377" s="1" t="str">
        <f>IFERROR(__xludf.DUMMYFUNCTION("""COMPUTED_VALUE"""),"Freezing Arrow")</f>
        <v>Freezing Arrow</v>
      </c>
      <c r="B1377" s="1" t="str">
        <f>IFERROR(__xludf.DUMMYFUNCTION("""COMPUTED_VALUE"""),"Bow Ammunition. +500 water damage. +25% chance of Freeze to the enemy. roll a d20 to see how many you get if this is a loot drop. (Item)")</f>
        <v>Bow Ammunition. +500 water damage. +25% chance of Freeze to the enemy. roll a d20 to see how many you get if this is a loot drop. (Item)</v>
      </c>
      <c r="C1377" s="1"/>
      <c r="D1377" s="1"/>
      <c r="E1377" s="1"/>
      <c r="F1377" s="1"/>
      <c r="G1377" s="1"/>
      <c r="H1377" s="1"/>
      <c r="I1377" s="1"/>
      <c r="J1377" s="1"/>
      <c r="K1377" s="1"/>
      <c r="L1377" s="1"/>
      <c r="M1377" s="1"/>
      <c r="N1377" s="1"/>
      <c r="O1377" s="1"/>
      <c r="P1377" s="1"/>
      <c r="Q1377" s="1"/>
      <c r="R1377" s="1"/>
      <c r="S1377" s="1"/>
      <c r="T1377" s="1"/>
      <c r="U1377" s="1"/>
      <c r="V1377" s="1"/>
      <c r="W1377" s="1"/>
      <c r="X1377" s="1"/>
      <c r="Y1377" s="1"/>
      <c r="Z1377" s="1"/>
    </row>
    <row r="1378">
      <c r="A1378" s="1" t="str">
        <f>IFERROR(__xludf.DUMMYFUNCTION("""COMPUTED_VALUE"""),"Healing Arrow")</f>
        <v>Healing Arrow</v>
      </c>
      <c r="B1378" s="1" t="str">
        <f>IFERROR(__xludf.DUMMYFUNCTION("""COMPUTED_VALUE"""),"Bow Ammunition. +Restores 1000 HP and SP to the target. roll a d20 to see how many you get if this is a loot drop. (Item)")</f>
        <v>Bow Ammunition. +Restores 1000 HP and SP to the target. roll a d20 to see how many you get if this is a loot drop. (Item)</v>
      </c>
      <c r="C1378" s="1"/>
      <c r="D1378" s="1"/>
      <c r="E1378" s="1"/>
      <c r="F1378" s="1"/>
      <c r="G1378" s="1"/>
      <c r="H1378" s="1"/>
      <c r="I1378" s="1"/>
      <c r="J1378" s="1"/>
      <c r="K1378" s="1"/>
      <c r="L1378" s="1"/>
      <c r="M1378" s="1"/>
      <c r="N1378" s="1"/>
      <c r="O1378" s="1"/>
      <c r="P1378" s="1"/>
      <c r="Q1378" s="1"/>
      <c r="R1378" s="1"/>
      <c r="S1378" s="1"/>
      <c r="T1378" s="1"/>
      <c r="U1378" s="1"/>
      <c r="V1378" s="1"/>
      <c r="W1378" s="1"/>
      <c r="X1378" s="1"/>
      <c r="Y1378" s="1"/>
      <c r="Z1378" s="1"/>
    </row>
    <row r="1379">
      <c r="A1379" s="1" t="str">
        <f>IFERROR(__xludf.DUMMYFUNCTION("""COMPUTED_VALUE"""),"Celestial Bullet")</f>
        <v>Celestial Bullet</v>
      </c>
      <c r="B1379" s="1" t="str">
        <f>IFERROR(__xludf.DUMMYFUNCTION("""COMPUTED_VALUE"""),"Firearm Ammunition. +100 celestial damage. roll a d20 to see how many you get if this is a loot drop. (Item)")</f>
        <v>Firearm Ammunition. +100 celestial damage. roll a d20 to see how many you get if this is a loot drop. (Item)</v>
      </c>
      <c r="C1379" s="1"/>
      <c r="D1379" s="1"/>
      <c r="E1379" s="1"/>
      <c r="F1379" s="1"/>
      <c r="G1379" s="1"/>
      <c r="H1379" s="1"/>
      <c r="I1379" s="1"/>
      <c r="J1379" s="1"/>
      <c r="K1379" s="1"/>
      <c r="L1379" s="1"/>
      <c r="M1379" s="1"/>
      <c r="N1379" s="1"/>
      <c r="O1379" s="1"/>
      <c r="P1379" s="1"/>
      <c r="Q1379" s="1"/>
      <c r="R1379" s="1"/>
      <c r="S1379" s="1"/>
      <c r="T1379" s="1"/>
      <c r="U1379" s="1"/>
      <c r="V1379" s="1"/>
      <c r="W1379" s="1"/>
      <c r="X1379" s="1"/>
      <c r="Y1379" s="1"/>
      <c r="Z1379" s="1"/>
    </row>
    <row r="1380">
      <c r="A1380" s="1" t="str">
        <f>IFERROR(__xludf.DUMMYFUNCTION("""COMPUTED_VALUE"""),"Fire Cannon Ball")</f>
        <v>Fire Cannon Ball</v>
      </c>
      <c r="B1380" s="1" t="str">
        <f>IFERROR(__xludf.DUMMYFUNCTION("""COMPUTED_VALUE"""),"Fireball Cannon Ammunition, +5000 fire damage. roll a d20 to see how many you get if this is a loot drop. (Item)")</f>
        <v>Fireball Cannon Ammunition, +5000 fire damage. roll a d20 to see how many you get if this is a loot drop. (Item)</v>
      </c>
      <c r="C1380" s="1"/>
      <c r="D1380" s="1"/>
      <c r="E1380" s="1"/>
      <c r="F1380" s="1"/>
      <c r="G1380" s="1"/>
      <c r="H1380" s="1"/>
      <c r="I1380" s="1"/>
      <c r="J1380" s="1"/>
      <c r="K1380" s="1"/>
      <c r="L1380" s="1"/>
      <c r="M1380" s="1"/>
      <c r="N1380" s="1"/>
      <c r="O1380" s="1"/>
      <c r="P1380" s="1"/>
      <c r="Q1380" s="1"/>
      <c r="R1380" s="1"/>
      <c r="S1380" s="1"/>
      <c r="T1380" s="1"/>
      <c r="U1380" s="1"/>
      <c r="V1380" s="1"/>
      <c r="W1380" s="1"/>
      <c r="X1380" s="1"/>
      <c r="Y1380" s="1"/>
      <c r="Z1380" s="1"/>
    </row>
    <row r="1381">
      <c r="A1381" s="1" t="str">
        <f>IFERROR(__xludf.DUMMYFUNCTION("""COMPUTED_VALUE"""),"Torpedo")</f>
        <v>Torpedo</v>
      </c>
      <c r="B1381" s="1" t="str">
        <f>IFERROR(__xludf.DUMMYFUNCTION("""COMPUTED_VALUE"""),"Torpedo Launcher Ammunition. +10,000 damage. roll a d20 to see how many you get if this is a loot drop. (Item)")</f>
        <v>Torpedo Launcher Ammunition. +10,000 damage. roll a d20 to see how many you get if this is a loot drop. (Item)</v>
      </c>
      <c r="C1381" s="1"/>
      <c r="D1381" s="1"/>
      <c r="E1381" s="1"/>
      <c r="F1381" s="1"/>
      <c r="G1381" s="1"/>
      <c r="H1381" s="1"/>
      <c r="I1381" s="1"/>
      <c r="J1381" s="1"/>
      <c r="K1381" s="1"/>
      <c r="L1381" s="1"/>
      <c r="M1381" s="1"/>
      <c r="N1381" s="1"/>
      <c r="O1381" s="1"/>
      <c r="P1381" s="1"/>
      <c r="Q1381" s="1"/>
      <c r="R1381" s="1"/>
      <c r="S1381" s="1"/>
      <c r="T1381" s="1"/>
      <c r="U1381" s="1"/>
      <c r="V1381" s="1"/>
      <c r="W1381" s="1"/>
      <c r="X1381" s="1"/>
      <c r="Y1381" s="1"/>
      <c r="Z1381" s="1"/>
    </row>
    <row r="1382">
      <c r="A1382" s="1" t="str">
        <f>IFERROR(__xludf.DUMMYFUNCTION("""COMPUTED_VALUE"""),"Fragmentation Grenade")</f>
        <v>Fragmentation Grenade</v>
      </c>
      <c r="B1382" s="1" t="str">
        <f>IFERROR(__xludf.DUMMYFUNCTION("""COMPUTED_VALUE"""),"Deals 10000 damage to all enemies. (Grenade)")</f>
        <v>Deals 10000 damage to all enemies. (Grenade)</v>
      </c>
      <c r="C1382" s="1"/>
      <c r="D1382" s="1"/>
      <c r="E1382" s="1"/>
      <c r="F1382" s="1"/>
      <c r="G1382" s="1"/>
      <c r="H1382" s="1"/>
      <c r="I1382" s="1"/>
      <c r="J1382" s="1"/>
      <c r="K1382" s="1"/>
      <c r="L1382" s="1"/>
      <c r="M1382" s="1"/>
      <c r="N1382" s="1"/>
      <c r="O1382" s="1"/>
      <c r="P1382" s="1"/>
      <c r="Q1382" s="1"/>
      <c r="R1382" s="1"/>
      <c r="S1382" s="1"/>
      <c r="T1382" s="1"/>
      <c r="U1382" s="1"/>
      <c r="V1382" s="1"/>
      <c r="W1382" s="1"/>
      <c r="X1382" s="1"/>
      <c r="Y1382" s="1"/>
      <c r="Z1382" s="1"/>
    </row>
    <row r="1383">
      <c r="A1383" s="1" t="str">
        <f>IFERROR(__xludf.DUMMYFUNCTION("""COMPUTED_VALUE"""),"Flashbang")</f>
        <v>Flashbang</v>
      </c>
      <c r="B1383" s="1" t="str">
        <f>IFERROR(__xludf.DUMMYFUNCTION("""COMPUTED_VALUE"""),"Deals 5000 Light damage and has a 15% chance to inflict Blindness 2 to all enemies. (Grenade)")</f>
        <v>Deals 5000 Light damage and has a 15% chance to inflict Blindness 2 to all enemies. (Grenade)</v>
      </c>
      <c r="C1383" s="1"/>
      <c r="D1383" s="1"/>
      <c r="E1383" s="1"/>
      <c r="F1383" s="1"/>
      <c r="G1383" s="1"/>
      <c r="H1383" s="1"/>
      <c r="I1383" s="1"/>
      <c r="J1383" s="1"/>
      <c r="K1383" s="1"/>
      <c r="L1383" s="1"/>
      <c r="M1383" s="1"/>
      <c r="N1383" s="1"/>
      <c r="O1383" s="1"/>
      <c r="P1383" s="1"/>
      <c r="Q1383" s="1"/>
      <c r="R1383" s="1"/>
      <c r="S1383" s="1"/>
      <c r="T1383" s="1"/>
      <c r="U1383" s="1"/>
      <c r="V1383" s="1"/>
      <c r="W1383" s="1"/>
      <c r="X1383" s="1"/>
      <c r="Y1383" s="1"/>
      <c r="Z1383" s="1"/>
    </row>
    <row r="1384">
      <c r="A1384" s="1" t="str">
        <f>IFERROR(__xludf.DUMMYFUNCTION("""COMPUTED_VALUE"""),"Earth Golem Core")</f>
        <v>Earth Golem Core</v>
      </c>
      <c r="B1384" s="1" t="str">
        <f>IFERROR(__xludf.DUMMYFUNCTION("""COMPUTED_VALUE"""),"Summons an Earth Golem to battle (Can only be used once) (Item)")</f>
        <v>Summons an Earth Golem to battle (Can only be used once) (Item)</v>
      </c>
      <c r="C1384" s="1"/>
      <c r="D1384" s="1"/>
      <c r="E1384" s="1"/>
      <c r="F1384" s="1"/>
      <c r="G1384" s="1"/>
      <c r="H1384" s="1"/>
      <c r="I1384" s="1"/>
      <c r="J1384" s="1"/>
      <c r="K1384" s="1"/>
      <c r="L1384" s="1"/>
      <c r="M1384" s="1"/>
      <c r="N1384" s="1"/>
      <c r="O1384" s="1"/>
      <c r="P1384" s="1"/>
      <c r="Q1384" s="1"/>
      <c r="R1384" s="1"/>
      <c r="S1384" s="1"/>
      <c r="T1384" s="1"/>
      <c r="U1384" s="1"/>
      <c r="V1384" s="1"/>
      <c r="W1384" s="1"/>
      <c r="X1384" s="1"/>
      <c r="Y1384" s="1"/>
      <c r="Z1384" s="1"/>
    </row>
    <row r="1385">
      <c r="A1385" s="1" t="str">
        <f>IFERROR(__xludf.DUMMYFUNCTION("""COMPUTED_VALUE"""),"Nailbomb")</f>
        <v>Nailbomb</v>
      </c>
      <c r="B1385" s="1" t="str">
        <f>IFERROR(__xludf.DUMMYFUNCTION("""COMPUTED_VALUE"""),"Deals 5000 bleed damage and has a 25% chance of inflicting bleed 2500 for 3 rounds to all enemies. (Grenade)")</f>
        <v>Deals 5000 bleed damage and has a 25% chance of inflicting bleed 2500 for 3 rounds to all enemies. (Grenade)</v>
      </c>
      <c r="C1385" s="1"/>
      <c r="D1385" s="1"/>
      <c r="E1385" s="1"/>
      <c r="F1385" s="1"/>
      <c r="G1385" s="1"/>
      <c r="H1385" s="1"/>
      <c r="I1385" s="1"/>
      <c r="J1385" s="1"/>
      <c r="K1385" s="1"/>
      <c r="L1385" s="1"/>
      <c r="M1385" s="1"/>
      <c r="N1385" s="1"/>
      <c r="O1385" s="1"/>
      <c r="P1385" s="1"/>
      <c r="Q1385" s="1"/>
      <c r="R1385" s="1"/>
      <c r="S1385" s="1"/>
      <c r="T1385" s="1"/>
      <c r="U1385" s="1"/>
      <c r="V1385" s="1"/>
      <c r="W1385" s="1"/>
      <c r="X1385" s="1"/>
      <c r="Y1385" s="1"/>
      <c r="Z1385" s="1"/>
    </row>
    <row r="1386">
      <c r="A1386" s="1" t="str">
        <f>IFERROR(__xludf.DUMMYFUNCTION("""COMPUTED_VALUE"""),"Molotov")</f>
        <v>Molotov</v>
      </c>
      <c r="B1386" s="1" t="str">
        <f>IFERROR(__xludf.DUMMYFUNCTION("""COMPUTED_VALUE"""),"Deals 5000 fire damage and has a 25% chance of inflicting burn 2500 for 3 rounds to all enemies. (Grenade)")</f>
        <v>Deals 5000 fire damage and has a 25% chance of inflicting burn 2500 for 3 rounds to all enemies. (Grenade)</v>
      </c>
      <c r="C1386" s="1"/>
      <c r="D1386" s="1"/>
      <c r="E1386" s="1"/>
      <c r="F1386" s="1"/>
      <c r="G1386" s="1"/>
      <c r="H1386" s="1"/>
      <c r="I1386" s="1"/>
      <c r="J1386" s="1"/>
      <c r="K1386" s="1"/>
      <c r="L1386" s="1"/>
      <c r="M1386" s="1"/>
      <c r="N1386" s="1"/>
      <c r="O1386" s="1"/>
      <c r="P1386" s="1"/>
      <c r="Q1386" s="1"/>
      <c r="R1386" s="1"/>
      <c r="S1386" s="1"/>
      <c r="T1386" s="1"/>
      <c r="U1386" s="1"/>
      <c r="V1386" s="1"/>
      <c r="W1386" s="1"/>
      <c r="X1386" s="1"/>
      <c r="Y1386" s="1"/>
      <c r="Z1386" s="1"/>
    </row>
    <row r="1387">
      <c r="A1387" s="1" t="str">
        <f>IFERROR(__xludf.DUMMYFUNCTION("""COMPUTED_VALUE"""),"Smoke Bomb")</f>
        <v>Smoke Bomb</v>
      </c>
      <c r="B1387" s="1" t="str">
        <f>IFERROR(__xludf.DUMMYFUNCTION("""COMPUTED_VALUE"""),"Conceals you and gives you +5 mobility when fleeing. (Grenade)")</f>
        <v>Conceals you and gives you +5 mobility when fleeing. (Grenade)</v>
      </c>
      <c r="C1387" s="1"/>
      <c r="D1387" s="1"/>
      <c r="E1387" s="1"/>
      <c r="F1387" s="1"/>
      <c r="G1387" s="1"/>
      <c r="H1387" s="1"/>
      <c r="I1387" s="1"/>
      <c r="J1387" s="1"/>
      <c r="K1387" s="1"/>
      <c r="L1387" s="1"/>
      <c r="M1387" s="1"/>
      <c r="N1387" s="1"/>
      <c r="O1387" s="1"/>
      <c r="P1387" s="1"/>
      <c r="Q1387" s="1"/>
      <c r="R1387" s="1"/>
      <c r="S1387" s="1"/>
      <c r="T1387" s="1"/>
      <c r="U1387" s="1"/>
      <c r="V1387" s="1"/>
      <c r="W1387" s="1"/>
      <c r="X1387" s="1"/>
      <c r="Y1387" s="1"/>
      <c r="Z1387" s="1"/>
    </row>
    <row r="1388">
      <c r="A1388" s="1" t="str">
        <f>IFERROR(__xludf.DUMMYFUNCTION("""COMPUTED_VALUE"""),"Gas Grenade")</f>
        <v>Gas Grenade</v>
      </c>
      <c r="B1388" s="1" t="str">
        <f>IFERROR(__xludf.DUMMYFUNCTION("""COMPUTED_VALUE"""),"Inflicts poison 5000 for 3 rounds to all enemies. (Grenade)")</f>
        <v>Inflicts poison 5000 for 3 rounds to all enemies. (Grenade)</v>
      </c>
      <c r="C1388" s="1"/>
      <c r="D1388" s="1"/>
      <c r="E1388" s="1"/>
      <c r="F1388" s="1"/>
      <c r="G1388" s="1"/>
      <c r="H1388" s="1"/>
      <c r="I1388" s="1"/>
      <c r="J1388" s="1"/>
      <c r="K1388" s="1"/>
      <c r="L1388" s="1"/>
      <c r="M1388" s="1"/>
      <c r="N1388" s="1"/>
      <c r="O1388" s="1"/>
      <c r="P1388" s="1"/>
      <c r="Q1388" s="1"/>
      <c r="R1388" s="1"/>
      <c r="S1388" s="1"/>
      <c r="T1388" s="1"/>
      <c r="U1388" s="1"/>
      <c r="V1388" s="1"/>
      <c r="W1388" s="1"/>
      <c r="X1388" s="1"/>
      <c r="Y1388" s="1"/>
      <c r="Z1388" s="1"/>
    </row>
    <row r="1389">
      <c r="A1389" s="1" t="str">
        <f>IFERROR(__xludf.DUMMYFUNCTION("""COMPUTED_VALUE"""),"Booze Bomb")</f>
        <v>Booze Bomb</v>
      </c>
      <c r="B1389" s="1" t="str">
        <f>IFERROR(__xludf.DUMMYFUNCTION("""COMPUTED_VALUE"""),"75% to inflict disoriented 5 to all enemies. (Grenade)")</f>
        <v>75% to inflict disoriented 5 to all enemies. (Grenade)</v>
      </c>
      <c r="C1389" s="1"/>
      <c r="D1389" s="1"/>
      <c r="E1389" s="1"/>
      <c r="F1389" s="1"/>
      <c r="G1389" s="1"/>
      <c r="H1389" s="1"/>
      <c r="I1389" s="1"/>
      <c r="J1389" s="1"/>
      <c r="K1389" s="1"/>
      <c r="L1389" s="1"/>
      <c r="M1389" s="1"/>
      <c r="N1389" s="1"/>
      <c r="O1389" s="1"/>
      <c r="P1389" s="1"/>
      <c r="Q1389" s="1"/>
      <c r="R1389" s="1"/>
      <c r="S1389" s="1"/>
      <c r="T1389" s="1"/>
      <c r="U1389" s="1"/>
      <c r="V1389" s="1"/>
      <c r="W1389" s="1"/>
      <c r="X1389" s="1"/>
      <c r="Y1389" s="1"/>
      <c r="Z1389" s="1"/>
    </row>
    <row r="1390">
      <c r="A1390" s="1" t="str">
        <f>IFERROR(__xludf.DUMMYFUNCTION("""COMPUTED_VALUE"""),"Ice bomb")</f>
        <v>Ice bomb</v>
      </c>
      <c r="B1390" s="1" t="str">
        <f>IFERROR(__xludf.DUMMYFUNCTION("""COMPUTED_VALUE"""),"50% chance to freeze targets to all enemies. (Grenade)")</f>
        <v>50% chance to freeze targets to all enemies. (Grenade)</v>
      </c>
      <c r="C1390" s="1"/>
      <c r="D1390" s="1"/>
      <c r="E1390" s="1"/>
      <c r="F1390" s="1"/>
      <c r="G1390" s="1"/>
      <c r="H1390" s="1"/>
      <c r="I1390" s="1"/>
      <c r="J1390" s="1"/>
      <c r="K1390" s="1"/>
      <c r="L1390" s="1"/>
      <c r="M1390" s="1"/>
      <c r="N1390" s="1"/>
      <c r="O1390" s="1"/>
      <c r="P1390" s="1"/>
      <c r="Q1390" s="1"/>
      <c r="R1390" s="1"/>
      <c r="S1390" s="1"/>
      <c r="T1390" s="1"/>
      <c r="U1390" s="1"/>
      <c r="V1390" s="1"/>
      <c r="W1390" s="1"/>
      <c r="X1390" s="1"/>
      <c r="Y1390" s="1"/>
      <c r="Z1390" s="1"/>
    </row>
    <row r="1391">
      <c r="A1391" s="1" t="str">
        <f>IFERROR(__xludf.DUMMYFUNCTION("""COMPUTED_VALUE"""),"Holy Water")</f>
        <v>Holy Water</v>
      </c>
      <c r="B1391" s="1" t="str">
        <f>IFERROR(__xludf.DUMMYFUNCTION("""COMPUTED_VALUE"""),"Deals 10000 Light Damage (Grenade)")</f>
        <v>Deals 10000 Light Damage (Grenade)</v>
      </c>
      <c r="C1391" s="1"/>
      <c r="D1391" s="1"/>
      <c r="E1391" s="1"/>
      <c r="F1391" s="1"/>
      <c r="G1391" s="1"/>
      <c r="H1391" s="1"/>
      <c r="I1391" s="1"/>
      <c r="J1391" s="1"/>
      <c r="K1391" s="1"/>
      <c r="L1391" s="1"/>
      <c r="M1391" s="1"/>
      <c r="N1391" s="1"/>
      <c r="O1391" s="1"/>
      <c r="P1391" s="1"/>
      <c r="Q1391" s="1"/>
      <c r="R1391" s="1"/>
      <c r="S1391" s="1"/>
      <c r="T1391" s="1"/>
      <c r="U1391" s="1"/>
      <c r="V1391" s="1"/>
      <c r="W1391" s="1"/>
      <c r="X1391" s="1"/>
      <c r="Y1391" s="1"/>
      <c r="Z1391" s="1"/>
    </row>
    <row r="1392">
      <c r="A1392" s="1" t="str">
        <f>IFERROR(__xludf.DUMMYFUNCTION("""COMPUTED_VALUE"""),"Salve Grenade")</f>
        <v>Salve Grenade</v>
      </c>
      <c r="B1392" s="1" t="str">
        <f>IFERROR(__xludf.DUMMYFUNCTION("""COMPUTED_VALUE"""),"Heals 2500 Hp (Grenade)")</f>
        <v>Heals 2500 Hp (Grenade)</v>
      </c>
      <c r="C1392" s="1"/>
      <c r="D1392" s="1"/>
      <c r="E1392" s="1"/>
      <c r="F1392" s="1"/>
      <c r="G1392" s="1"/>
      <c r="H1392" s="1"/>
      <c r="I1392" s="1"/>
      <c r="J1392" s="1"/>
      <c r="K1392" s="1"/>
      <c r="L1392" s="1"/>
      <c r="M1392" s="1"/>
      <c r="N1392" s="1"/>
      <c r="O1392" s="1"/>
      <c r="P1392" s="1"/>
      <c r="Q1392" s="1"/>
      <c r="R1392" s="1"/>
      <c r="S1392" s="1"/>
      <c r="T1392" s="1"/>
      <c r="U1392" s="1"/>
      <c r="V1392" s="1"/>
      <c r="W1392" s="1"/>
      <c r="X1392" s="1"/>
      <c r="Y1392" s="1"/>
      <c r="Z1392" s="1"/>
    </row>
    <row r="1393">
      <c r="A1393" s="1" t="str">
        <f>IFERROR(__xludf.DUMMYFUNCTION("""COMPUTED_VALUE"""),"Potion of Banishment")</f>
        <v>Potion of Banishment</v>
      </c>
      <c r="B1393" s="1" t="str">
        <f>IFERROR(__xludf.DUMMYFUNCTION("""COMPUTED_VALUE"""),"Banishes an enemy (Item)")</f>
        <v>Banishes an enemy (Item)</v>
      </c>
      <c r="C1393" s="1"/>
      <c r="D1393" s="1"/>
      <c r="E1393" s="1"/>
      <c r="F1393" s="1"/>
      <c r="G1393" s="1"/>
      <c r="H1393" s="1"/>
      <c r="I1393" s="1"/>
      <c r="J1393" s="1"/>
      <c r="K1393" s="1"/>
      <c r="L1393" s="1"/>
      <c r="M1393" s="1"/>
      <c r="N1393" s="1"/>
      <c r="O1393" s="1"/>
      <c r="P1393" s="1"/>
      <c r="Q1393" s="1"/>
      <c r="R1393" s="1"/>
      <c r="S1393" s="1"/>
      <c r="T1393" s="1"/>
      <c r="U1393" s="1"/>
      <c r="V1393" s="1"/>
      <c r="W1393" s="1"/>
      <c r="X1393" s="1"/>
      <c r="Y1393" s="1"/>
      <c r="Z1393" s="1"/>
    </row>
    <row r="1394">
      <c r="A1394" s="1" t="str">
        <f>IFERROR(__xludf.DUMMYFUNCTION("""COMPUTED_VALUE"""),"Wooden Arrow")</f>
        <v>Wooden Arrow</v>
      </c>
      <c r="B1394" s="1" t="str">
        <f>IFERROR(__xludf.DUMMYFUNCTION("""COMPUTED_VALUE"""),"Bow Ammunition +50 Damage. roll a d20 to see how many you get if this is a loot drop. (Item)")</f>
        <v>Bow Ammunition +50 Damage. roll a d20 to see how many you get if this is a loot drop. (Item)</v>
      </c>
      <c r="C1394" s="1"/>
      <c r="D1394" s="1"/>
      <c r="E1394" s="1"/>
      <c r="F1394" s="1"/>
      <c r="G1394" s="1"/>
      <c r="H1394" s="1"/>
      <c r="I1394" s="1"/>
      <c r="J1394" s="1"/>
      <c r="K1394" s="1"/>
      <c r="L1394" s="1"/>
      <c r="M1394" s="1"/>
      <c r="N1394" s="1"/>
      <c r="O1394" s="1"/>
      <c r="P1394" s="1"/>
      <c r="Q1394" s="1"/>
      <c r="R1394" s="1"/>
      <c r="S1394" s="1"/>
      <c r="T1394" s="1"/>
      <c r="U1394" s="1"/>
      <c r="V1394" s="1"/>
      <c r="W1394" s="1"/>
      <c r="X1394" s="1"/>
      <c r="Y1394" s="1"/>
      <c r="Z1394" s="1"/>
    </row>
    <row r="1395">
      <c r="A1395" s="1" t="str">
        <f>IFERROR(__xludf.DUMMYFUNCTION("""COMPUTED_VALUE"""),"Bone Tipped Arrow")</f>
        <v>Bone Tipped Arrow</v>
      </c>
      <c r="B1395" s="1" t="str">
        <f>IFERROR(__xludf.DUMMYFUNCTION("""COMPUTED_VALUE"""),"Bow Ammunition +250 Blood damage. roll a d20 to see how many you get if this is a loot drop (Item)")</f>
        <v>Bow Ammunition +250 Blood damage. roll a d20 to see how many you get if this is a loot drop (Item)</v>
      </c>
      <c r="C1395" s="1"/>
      <c r="D1395" s="1"/>
      <c r="E1395" s="1"/>
      <c r="F1395" s="1"/>
      <c r="G1395" s="1"/>
      <c r="H1395" s="1"/>
      <c r="I1395" s="1"/>
      <c r="J1395" s="1"/>
      <c r="K1395" s="1"/>
      <c r="L1395" s="1"/>
      <c r="M1395" s="1"/>
      <c r="N1395" s="1"/>
      <c r="O1395" s="1"/>
      <c r="P1395" s="1"/>
      <c r="Q1395" s="1"/>
      <c r="R1395" s="1"/>
      <c r="S1395" s="1"/>
      <c r="T1395" s="1"/>
      <c r="U1395" s="1"/>
      <c r="V1395" s="1"/>
      <c r="W1395" s="1"/>
      <c r="X1395" s="1"/>
      <c r="Y1395" s="1"/>
      <c r="Z1395" s="1"/>
    </row>
    <row r="1396">
      <c r="A1396" s="1" t="str">
        <f>IFERROR(__xludf.DUMMYFUNCTION("""COMPUTED_VALUE"""),"Holy Arrow")</f>
        <v>Holy Arrow</v>
      </c>
      <c r="B1396" s="1" t="str">
        <f>IFERROR(__xludf.DUMMYFUNCTION("""COMPUTED_VALUE"""),"Bow Ammunition +250 light damage +20x damage against undead.roll a d20 to see how many you get if this is a loot drop (Item)")</f>
        <v>Bow Ammunition +250 light damage +20x damage against undead.roll a d20 to see how many you get if this is a loot drop (Item)</v>
      </c>
      <c r="C1396" s="1"/>
      <c r="D1396" s="1"/>
      <c r="E1396" s="1"/>
      <c r="F1396" s="1"/>
      <c r="G1396" s="1"/>
      <c r="H1396" s="1"/>
      <c r="I1396" s="1"/>
      <c r="J1396" s="1"/>
      <c r="K1396" s="1"/>
      <c r="L1396" s="1"/>
      <c r="M1396" s="1"/>
      <c r="N1396" s="1"/>
      <c r="O1396" s="1"/>
      <c r="P1396" s="1"/>
      <c r="Q1396" s="1"/>
      <c r="R1396" s="1"/>
      <c r="S1396" s="1"/>
      <c r="T1396" s="1"/>
      <c r="U1396" s="1"/>
      <c r="V1396" s="1"/>
      <c r="W1396" s="1"/>
      <c r="X1396" s="1"/>
      <c r="Y1396" s="1"/>
      <c r="Z1396" s="1"/>
    </row>
    <row r="1397">
      <c r="A1397" s="1" t="str">
        <f>IFERROR(__xludf.DUMMYFUNCTION("""COMPUTED_VALUE"""),"Small Bang")</f>
        <v>Small Bang</v>
      </c>
      <c r="B1397" s="1" t="str">
        <f>IFERROR(__xludf.DUMMYFUNCTION("""COMPUTED_VALUE"""),"500,000 Damage (Grenade)")</f>
        <v>500,000 Damage (Grenade)</v>
      </c>
      <c r="C1397" s="1"/>
      <c r="D1397" s="1"/>
      <c r="E1397" s="1"/>
      <c r="F1397" s="1"/>
      <c r="G1397" s="1"/>
      <c r="H1397" s="1"/>
      <c r="I1397" s="1"/>
      <c r="J1397" s="1"/>
      <c r="K1397" s="1"/>
      <c r="L1397" s="1"/>
      <c r="M1397" s="1"/>
      <c r="N1397" s="1"/>
      <c r="O1397" s="1"/>
      <c r="P1397" s="1"/>
      <c r="Q1397" s="1"/>
      <c r="R1397" s="1"/>
      <c r="S1397" s="1"/>
      <c r="T1397" s="1"/>
      <c r="U1397" s="1"/>
      <c r="V1397" s="1"/>
      <c r="W1397" s="1"/>
      <c r="X1397" s="1"/>
      <c r="Y1397" s="1"/>
      <c r="Z1397" s="1"/>
    </row>
    <row r="1398">
      <c r="A1398" s="1" t="str">
        <f>IFERROR(__xludf.DUMMYFUNCTION("""COMPUTED_VALUE"""),"Dragon Burst")</f>
        <v>Dragon Burst</v>
      </c>
      <c r="B1398" s="1" t="str">
        <f>IFERROR(__xludf.DUMMYFUNCTION("""COMPUTED_VALUE"""),"250,000 Damage (Grenade)")</f>
        <v>250,000 Damage (Grenade)</v>
      </c>
      <c r="C1398" s="1"/>
      <c r="D1398" s="1"/>
      <c r="E1398" s="1"/>
      <c r="F1398" s="1"/>
      <c r="G1398" s="1"/>
      <c r="H1398" s="1"/>
      <c r="I1398" s="1"/>
      <c r="J1398" s="1"/>
      <c r="K1398" s="1"/>
      <c r="L1398" s="1"/>
      <c r="M1398" s="1"/>
      <c r="N1398" s="1"/>
      <c r="O1398" s="1"/>
      <c r="P1398" s="1"/>
      <c r="Q1398" s="1"/>
      <c r="R1398" s="1"/>
      <c r="S1398" s="1"/>
      <c r="T1398" s="1"/>
      <c r="U1398" s="1"/>
      <c r="V1398" s="1"/>
      <c r="W1398" s="1"/>
      <c r="X1398" s="1"/>
      <c r="Y1398" s="1"/>
      <c r="Z1398" s="1"/>
    </row>
    <row r="1399">
      <c r="A1399" s="1" t="str">
        <f>IFERROR(__xludf.DUMMYFUNCTION("""COMPUTED_VALUE"""),"Iguanian Assassin's Box")</f>
        <v>Iguanian Assassin's Box</v>
      </c>
      <c r="B1399" s="1" t="str">
        <f>IFERROR(__xludf.DUMMYFUNCTION("""COMPUTED_VALUE"""),"Grants a random piece of Iguanian Assassin's equipment (Roll 1d7 and take the corresponding item from the equipment finder) (Item)")</f>
        <v>Grants a random piece of Iguanian Assassin's equipment (Roll 1d7 and take the corresponding item from the equipment finder) (Item)</v>
      </c>
      <c r="C1399" s="1"/>
      <c r="D1399" s="1"/>
      <c r="E1399" s="1"/>
      <c r="F1399" s="1"/>
      <c r="G1399" s="1"/>
      <c r="H1399" s="1"/>
      <c r="I1399" s="1"/>
      <c r="J1399" s="1"/>
      <c r="K1399" s="1"/>
      <c r="L1399" s="1"/>
      <c r="M1399" s="1"/>
      <c r="N1399" s="1"/>
      <c r="O1399" s="1"/>
      <c r="P1399" s="1"/>
      <c r="Q1399" s="1"/>
      <c r="R1399" s="1"/>
      <c r="S1399" s="1"/>
      <c r="T1399" s="1"/>
      <c r="U1399" s="1"/>
      <c r="V1399" s="1"/>
      <c r="W1399" s="1"/>
      <c r="X1399" s="1"/>
      <c r="Y1399" s="1"/>
      <c r="Z1399" s="1"/>
    </row>
    <row r="1400">
      <c r="A1400" s="1" t="str">
        <f>IFERROR(__xludf.DUMMYFUNCTION("""COMPUTED_VALUE"""),"Lizardfolk Warrior's Box")</f>
        <v>Lizardfolk Warrior's Box</v>
      </c>
      <c r="B1400" s="1" t="str">
        <f>IFERROR(__xludf.DUMMYFUNCTION("""COMPUTED_VALUE"""),"Grants a random piece of Lizard Warrior's equipment (Roll 1d9 and take the corresponding item from the equipment finder) (Item)")</f>
        <v>Grants a random piece of Lizard Warrior's equipment (Roll 1d9 and take the corresponding item from the equipment finder) (Item)</v>
      </c>
      <c r="C1400" s="1"/>
      <c r="D1400" s="1"/>
      <c r="E1400" s="1"/>
      <c r="F1400" s="1"/>
      <c r="G1400" s="1"/>
      <c r="H1400" s="1"/>
      <c r="I1400" s="1"/>
      <c r="J1400" s="1"/>
      <c r="K1400" s="1"/>
      <c r="L1400" s="1"/>
      <c r="M1400" s="1"/>
      <c r="N1400" s="1"/>
      <c r="O1400" s="1"/>
      <c r="P1400" s="1"/>
      <c r="Q1400" s="1"/>
      <c r="R1400" s="1"/>
      <c r="S1400" s="1"/>
      <c r="T1400" s="1"/>
      <c r="U1400" s="1"/>
      <c r="V1400" s="1"/>
      <c r="W1400" s="1"/>
      <c r="X1400" s="1"/>
      <c r="Y1400" s="1"/>
      <c r="Z1400" s="1"/>
    </row>
    <row r="1401">
      <c r="A1401" s="1" t="str">
        <f>IFERROR(__xludf.DUMMYFUNCTION("""COMPUTED_VALUE"""),"Lizard Thief's Box")</f>
        <v>Lizard Thief's Box</v>
      </c>
      <c r="B1401" s="1" t="str">
        <f>IFERROR(__xludf.DUMMYFUNCTION("""COMPUTED_VALUE"""),"Grants a random piece of Lizard Thief's equipment (Roll 1d5 and take the corresponding item from the equipment finder) (Item)")</f>
        <v>Grants a random piece of Lizard Thief's equipment (Roll 1d5 and take the corresponding item from the equipment finder) (Item)</v>
      </c>
      <c r="C1401" s="1"/>
      <c r="D1401" s="1"/>
      <c r="E1401" s="1"/>
      <c r="F1401" s="1"/>
      <c r="G1401" s="1"/>
      <c r="H1401" s="1"/>
      <c r="I1401" s="1"/>
      <c r="J1401" s="1"/>
      <c r="K1401" s="1"/>
      <c r="L1401" s="1"/>
      <c r="M1401" s="1"/>
      <c r="N1401" s="1"/>
      <c r="O1401" s="1"/>
      <c r="P1401" s="1"/>
      <c r="Q1401" s="1"/>
      <c r="R1401" s="1"/>
      <c r="S1401" s="1"/>
      <c r="T1401" s="1"/>
      <c r="U1401" s="1"/>
      <c r="V1401" s="1"/>
      <c r="W1401" s="1"/>
      <c r="X1401" s="1"/>
      <c r="Y1401" s="1"/>
      <c r="Z1401" s="1"/>
    </row>
    <row r="1402">
      <c r="A1402" s="1" t="str">
        <f>IFERROR(__xludf.DUMMYFUNCTION("""COMPUTED_VALUE"""),"Lizard Wizard's Box")</f>
        <v>Lizard Wizard's Box</v>
      </c>
      <c r="B1402" s="1" t="str">
        <f>IFERROR(__xludf.DUMMYFUNCTION("""COMPUTED_VALUE"""),"Grants a random piece of Lizard Wizard's equipment (Roll 1d6 and take the corresponding item from the equipment finder) (Item)")</f>
        <v>Grants a random piece of Lizard Wizard's equipment (Roll 1d6 and take the corresponding item from the equipment finder) (Item)</v>
      </c>
      <c r="C1402" s="1"/>
      <c r="D1402" s="1"/>
      <c r="E1402" s="1"/>
      <c r="F1402" s="1"/>
      <c r="G1402" s="1"/>
      <c r="H1402" s="1"/>
      <c r="I1402" s="1"/>
      <c r="J1402" s="1"/>
      <c r="K1402" s="1"/>
      <c r="L1402" s="1"/>
      <c r="M1402" s="1"/>
      <c r="N1402" s="1"/>
      <c r="O1402" s="1"/>
      <c r="P1402" s="1"/>
      <c r="Q1402" s="1"/>
      <c r="R1402" s="1"/>
      <c r="S1402" s="1"/>
      <c r="T1402" s="1"/>
      <c r="U1402" s="1"/>
      <c r="V1402" s="1"/>
      <c r="W1402" s="1"/>
      <c r="X1402" s="1"/>
      <c r="Y1402" s="1"/>
      <c r="Z1402" s="1"/>
    </row>
    <row r="1403">
      <c r="A1403" s="1" t="str">
        <f>IFERROR(__xludf.DUMMYFUNCTION("""COMPUTED_VALUE"""),"Iguanian Brawler's Box")</f>
        <v>Iguanian Brawler's Box</v>
      </c>
      <c r="B1403" s="1" t="str">
        <f>IFERROR(__xludf.DUMMYFUNCTION("""COMPUTED_VALUE"""),"Grants a random piece of Iguanian Brawler's equipment (Roll 1d8 and take the corresponding item from the equipment finder) (Item)")</f>
        <v>Grants a random piece of Iguanian Brawler's equipment (Roll 1d8 and take the corresponding item from the equipment finder) (Item)</v>
      </c>
      <c r="C1403" s="1"/>
      <c r="D1403" s="1"/>
      <c r="E1403" s="1"/>
      <c r="F1403" s="1"/>
      <c r="G1403" s="1"/>
      <c r="H1403" s="1"/>
      <c r="I1403" s="1"/>
      <c r="J1403" s="1"/>
      <c r="K1403" s="1"/>
      <c r="L1403" s="1"/>
      <c r="M1403" s="1"/>
      <c r="N1403" s="1"/>
      <c r="O1403" s="1"/>
      <c r="P1403" s="1"/>
      <c r="Q1403" s="1"/>
      <c r="R1403" s="1"/>
      <c r="S1403" s="1"/>
      <c r="T1403" s="1"/>
      <c r="U1403" s="1"/>
      <c r="V1403" s="1"/>
      <c r="W1403" s="1"/>
      <c r="X1403" s="1"/>
      <c r="Y1403" s="1"/>
      <c r="Z1403" s="1"/>
    </row>
    <row r="1404">
      <c r="A1404" s="1" t="str">
        <f>IFERROR(__xludf.DUMMYFUNCTION("""COMPUTED_VALUE"""),"Iguanian Mage's Box")</f>
        <v>Iguanian Mage's Box</v>
      </c>
      <c r="B1404" s="1" t="str">
        <f>IFERROR(__xludf.DUMMYFUNCTION("""COMPUTED_VALUE"""),"Grants a random piece of Iguanian Mage equipment (Roll 1d5 and take the corresponding item from the equipment finder) (Item)")</f>
        <v>Grants a random piece of Iguanian Mage equipment (Roll 1d5 and take the corresponding item from the equipment finder) (Item)</v>
      </c>
      <c r="C1404" s="1"/>
      <c r="D1404" s="1"/>
      <c r="E1404" s="1"/>
      <c r="F1404" s="1"/>
      <c r="G1404" s="1"/>
      <c r="H1404" s="1"/>
      <c r="I1404" s="1"/>
      <c r="J1404" s="1"/>
      <c r="K1404" s="1"/>
      <c r="L1404" s="1"/>
      <c r="M1404" s="1"/>
      <c r="N1404" s="1"/>
      <c r="O1404" s="1"/>
      <c r="P1404" s="1"/>
      <c r="Q1404" s="1"/>
      <c r="R1404" s="1"/>
      <c r="S1404" s="1"/>
      <c r="T1404" s="1"/>
      <c r="U1404" s="1"/>
      <c r="V1404" s="1"/>
      <c r="W1404" s="1"/>
      <c r="X1404" s="1"/>
      <c r="Y1404" s="1"/>
      <c r="Z1404" s="1"/>
    </row>
    <row r="1405">
      <c r="A1405" s="1"/>
      <c r="B1405" s="1"/>
      <c r="C1405" s="1"/>
      <c r="D1405" s="1"/>
      <c r="E1405" s="1"/>
      <c r="F1405" s="1"/>
      <c r="G1405" s="1"/>
      <c r="H1405" s="1"/>
      <c r="I1405" s="1"/>
      <c r="J1405" s="1"/>
      <c r="K1405" s="1"/>
      <c r="L1405" s="1"/>
      <c r="M1405" s="1"/>
      <c r="N1405" s="1"/>
      <c r="O1405" s="1"/>
      <c r="P1405" s="1"/>
      <c r="Q1405" s="1"/>
      <c r="R1405" s="1"/>
      <c r="S1405" s="1"/>
      <c r="T1405" s="1"/>
      <c r="U1405" s="1"/>
      <c r="V1405" s="1"/>
      <c r="W1405" s="1"/>
      <c r="X1405" s="1"/>
      <c r="Y1405" s="1"/>
      <c r="Z1405" s="1"/>
    </row>
    <row r="1406">
      <c r="A1406" s="1"/>
      <c r="B1406" s="1"/>
      <c r="C1406" s="1"/>
      <c r="D1406" s="1"/>
      <c r="E1406" s="1"/>
      <c r="F1406" s="1"/>
      <c r="G1406" s="1"/>
      <c r="H1406" s="1"/>
      <c r="I1406" s="1"/>
      <c r="J1406" s="1"/>
      <c r="K1406" s="1"/>
      <c r="L1406" s="1"/>
      <c r="M1406" s="1"/>
      <c r="N1406" s="1"/>
      <c r="O1406" s="1"/>
      <c r="P1406" s="1"/>
      <c r="Q1406" s="1"/>
      <c r="R1406" s="1"/>
      <c r="S1406" s="1"/>
      <c r="T1406" s="1"/>
      <c r="U1406" s="1"/>
      <c r="V1406" s="1"/>
      <c r="W1406" s="1"/>
      <c r="X1406" s="1"/>
      <c r="Y1406" s="1"/>
      <c r="Z1406" s="1"/>
    </row>
    <row r="1407">
      <c r="A1407" s="1"/>
      <c r="B1407" s="1"/>
      <c r="C1407" s="1"/>
      <c r="D1407" s="1"/>
      <c r="E1407" s="1"/>
      <c r="F1407" s="1"/>
      <c r="G1407" s="1"/>
      <c r="H1407" s="1"/>
      <c r="I1407" s="1"/>
      <c r="J1407" s="1"/>
      <c r="K1407" s="1"/>
      <c r="L1407" s="1"/>
      <c r="M1407" s="1"/>
      <c r="N1407" s="1"/>
      <c r="O1407" s="1"/>
      <c r="P1407" s="1"/>
      <c r="Q1407" s="1"/>
      <c r="R1407" s="1"/>
      <c r="S1407" s="1"/>
      <c r="T1407" s="1"/>
      <c r="U1407" s="1"/>
      <c r="V1407" s="1"/>
      <c r="W1407" s="1"/>
      <c r="X1407" s="1"/>
      <c r="Y1407" s="1"/>
      <c r="Z1407" s="1"/>
    </row>
    <row r="1408">
      <c r="A1408" s="1"/>
      <c r="B1408" s="1"/>
      <c r="C1408" s="1"/>
      <c r="D1408" s="1"/>
      <c r="E1408" s="1"/>
      <c r="F1408" s="1"/>
      <c r="G1408" s="1"/>
      <c r="H1408" s="1"/>
      <c r="I1408" s="1"/>
      <c r="J1408" s="1"/>
      <c r="K1408" s="1"/>
      <c r="L1408" s="1"/>
      <c r="M1408" s="1"/>
      <c r="N1408" s="1"/>
      <c r="O1408" s="1"/>
      <c r="P1408" s="1"/>
      <c r="Q1408" s="1"/>
      <c r="R1408" s="1"/>
      <c r="S1408" s="1"/>
      <c r="T1408" s="1"/>
      <c r="U1408" s="1"/>
      <c r="V1408" s="1"/>
      <c r="W1408" s="1"/>
      <c r="X1408" s="1"/>
      <c r="Y1408" s="1"/>
      <c r="Z1408" s="1"/>
    </row>
    <row r="1409">
      <c r="A1409" s="1"/>
      <c r="B1409" s="1"/>
      <c r="C1409" s="1"/>
      <c r="D1409" s="1"/>
      <c r="E1409" s="1"/>
      <c r="F1409" s="1"/>
      <c r="G1409" s="1"/>
      <c r="H1409" s="1"/>
      <c r="I1409" s="1"/>
      <c r="J1409" s="1"/>
      <c r="K1409" s="1"/>
      <c r="L1409" s="1"/>
      <c r="M1409" s="1"/>
      <c r="N1409" s="1"/>
      <c r="O1409" s="1"/>
      <c r="P1409" s="1"/>
      <c r="Q1409" s="1"/>
      <c r="R1409" s="1"/>
      <c r="S1409" s="1"/>
      <c r="T1409" s="1"/>
      <c r="U1409" s="1"/>
      <c r="V1409" s="1"/>
      <c r="W1409" s="1"/>
      <c r="X1409" s="1"/>
      <c r="Y1409" s="1"/>
      <c r="Z1409" s="1"/>
    </row>
    <row r="1410">
      <c r="A1410" s="1"/>
      <c r="B1410" s="1"/>
      <c r="C1410" s="1"/>
      <c r="D1410" s="1"/>
      <c r="E1410" s="1"/>
      <c r="F1410" s="1"/>
      <c r="G1410" s="1"/>
      <c r="H1410" s="1"/>
      <c r="I1410" s="1"/>
      <c r="J1410" s="1"/>
      <c r="K1410" s="1"/>
      <c r="L1410" s="1"/>
      <c r="M1410" s="1"/>
      <c r="N1410" s="1"/>
      <c r="O1410" s="1"/>
      <c r="P1410" s="1"/>
      <c r="Q1410" s="1"/>
      <c r="R1410" s="1"/>
      <c r="S1410" s="1"/>
      <c r="T1410" s="1"/>
      <c r="U1410" s="1"/>
      <c r="V1410" s="1"/>
      <c r="W1410" s="1"/>
      <c r="X1410" s="1"/>
      <c r="Y1410" s="1"/>
      <c r="Z1410" s="1"/>
    </row>
    <row r="1411">
      <c r="A1411" s="1"/>
      <c r="B1411" s="1"/>
      <c r="C1411" s="1"/>
      <c r="D1411" s="1"/>
      <c r="E1411" s="1"/>
      <c r="F1411" s="1"/>
      <c r="G1411" s="1"/>
      <c r="H1411" s="1"/>
      <c r="I1411" s="1"/>
      <c r="J1411" s="1"/>
      <c r="K1411" s="1"/>
      <c r="L1411" s="1"/>
      <c r="M1411" s="1"/>
      <c r="N1411" s="1"/>
      <c r="O1411" s="1"/>
      <c r="P1411" s="1"/>
      <c r="Q1411" s="1"/>
      <c r="R1411" s="1"/>
      <c r="S1411" s="1"/>
      <c r="T1411" s="1"/>
      <c r="U1411" s="1"/>
      <c r="V1411" s="1"/>
      <c r="W1411" s="1"/>
      <c r="X1411" s="1"/>
      <c r="Y1411" s="1"/>
      <c r="Z1411" s="1"/>
    </row>
    <row r="1412">
      <c r="A1412" s="1"/>
      <c r="B1412" s="1"/>
      <c r="C1412" s="1"/>
      <c r="D1412" s="1"/>
      <c r="E1412" s="1"/>
      <c r="F1412" s="1"/>
      <c r="G1412" s="1"/>
      <c r="H1412" s="1"/>
      <c r="I1412" s="1"/>
      <c r="J1412" s="1"/>
      <c r="K1412" s="1"/>
      <c r="L1412" s="1"/>
      <c r="M1412" s="1"/>
      <c r="N1412" s="1"/>
      <c r="O1412" s="1"/>
      <c r="P1412" s="1"/>
      <c r="Q1412" s="1"/>
      <c r="R1412" s="1"/>
      <c r="S1412" s="1"/>
      <c r="T1412" s="1"/>
      <c r="U1412" s="1"/>
      <c r="V1412" s="1"/>
      <c r="W1412" s="1"/>
      <c r="X1412" s="1"/>
      <c r="Y1412" s="1"/>
      <c r="Z1412" s="1"/>
    </row>
    <row r="1413">
      <c r="A1413" s="1"/>
      <c r="B1413" s="1"/>
      <c r="C1413" s="1"/>
      <c r="D1413" s="1"/>
      <c r="E1413" s="1"/>
      <c r="F1413" s="1"/>
      <c r="G1413" s="1"/>
      <c r="H1413" s="1"/>
      <c r="I1413" s="1"/>
      <c r="J1413" s="1"/>
      <c r="K1413" s="1"/>
      <c r="L1413" s="1"/>
      <c r="M1413" s="1"/>
      <c r="N1413" s="1"/>
      <c r="O1413" s="1"/>
      <c r="P1413" s="1"/>
      <c r="Q1413" s="1"/>
      <c r="R1413" s="1"/>
      <c r="S1413" s="1"/>
      <c r="T1413" s="1"/>
      <c r="U1413" s="1"/>
      <c r="V1413" s="1"/>
      <c r="W1413" s="1"/>
      <c r="X1413" s="1"/>
      <c r="Y1413" s="1"/>
      <c r="Z1413" s="1"/>
    </row>
    <row r="1414">
      <c r="A1414" s="1"/>
      <c r="B1414" s="1"/>
      <c r="C1414" s="1"/>
      <c r="D1414" s="1"/>
      <c r="E1414" s="1"/>
      <c r="F1414" s="1"/>
      <c r="G1414" s="1"/>
      <c r="H1414" s="1"/>
      <c r="I1414" s="1"/>
      <c r="J1414" s="1"/>
      <c r="K1414" s="1"/>
      <c r="L1414" s="1"/>
      <c r="M1414" s="1"/>
      <c r="N1414" s="1"/>
      <c r="O1414" s="1"/>
      <c r="P1414" s="1"/>
      <c r="Q1414" s="1"/>
      <c r="R1414" s="1"/>
      <c r="S1414" s="1"/>
      <c r="T1414" s="1"/>
      <c r="U1414" s="1"/>
      <c r="V1414" s="1"/>
      <c r="W1414" s="1"/>
      <c r="X1414" s="1"/>
      <c r="Y1414" s="1"/>
      <c r="Z1414" s="1"/>
    </row>
    <row r="1415">
      <c r="A1415" s="1"/>
      <c r="B1415" s="1"/>
      <c r="C1415" s="1"/>
      <c r="D1415" s="1"/>
      <c r="E1415" s="1"/>
      <c r="F1415" s="1"/>
      <c r="G1415" s="1"/>
      <c r="H1415" s="1"/>
      <c r="I1415" s="1"/>
      <c r="J1415" s="1"/>
      <c r="K1415" s="1"/>
      <c r="L1415" s="1"/>
      <c r="M1415" s="1"/>
      <c r="N1415" s="1"/>
      <c r="O1415" s="1"/>
      <c r="P1415" s="1"/>
      <c r="Q1415" s="1"/>
      <c r="R1415" s="1"/>
      <c r="S1415" s="1"/>
      <c r="T1415" s="1"/>
      <c r="U1415" s="1"/>
      <c r="V1415" s="1"/>
      <c r="W1415" s="1"/>
      <c r="X1415" s="1"/>
      <c r="Y1415" s="1"/>
      <c r="Z1415" s="1"/>
    </row>
    <row r="1416">
      <c r="A1416" s="1"/>
      <c r="B1416" s="1"/>
      <c r="C1416" s="1"/>
      <c r="D1416" s="1"/>
      <c r="E1416" s="1"/>
      <c r="F1416" s="1"/>
      <c r="G1416" s="1"/>
      <c r="H1416" s="1"/>
      <c r="I1416" s="1"/>
      <c r="J1416" s="1"/>
      <c r="K1416" s="1"/>
      <c r="L1416" s="1"/>
      <c r="M1416" s="1"/>
      <c r="N1416" s="1"/>
      <c r="O1416" s="1"/>
      <c r="P1416" s="1"/>
      <c r="Q1416" s="1"/>
      <c r="R1416" s="1"/>
      <c r="S1416" s="1"/>
      <c r="T1416" s="1"/>
      <c r="U1416" s="1"/>
      <c r="V1416" s="1"/>
      <c r="W1416" s="1"/>
      <c r="X1416" s="1"/>
      <c r="Y1416" s="1"/>
      <c r="Z1416" s="1"/>
    </row>
    <row r="1417">
      <c r="A1417" s="1"/>
      <c r="B1417" s="1"/>
      <c r="C1417" s="1"/>
      <c r="D1417" s="1"/>
      <c r="E1417" s="1"/>
      <c r="F1417" s="1"/>
      <c r="G1417" s="1"/>
      <c r="H1417" s="1"/>
      <c r="I1417" s="1"/>
      <c r="J1417" s="1"/>
      <c r="K1417" s="1"/>
      <c r="L1417" s="1"/>
      <c r="M1417" s="1"/>
      <c r="N1417" s="1"/>
      <c r="O1417" s="1"/>
      <c r="P1417" s="1"/>
      <c r="Q1417" s="1"/>
      <c r="R1417" s="1"/>
      <c r="S1417" s="1"/>
      <c r="T1417" s="1"/>
      <c r="U1417" s="1"/>
      <c r="V1417" s="1"/>
      <c r="W1417" s="1"/>
      <c r="X1417" s="1"/>
      <c r="Y1417" s="1"/>
      <c r="Z1417" s="1"/>
    </row>
    <row r="1418">
      <c r="A1418" s="1"/>
      <c r="B1418" s="1"/>
      <c r="C1418" s="1"/>
      <c r="D1418" s="1"/>
      <c r="E1418" s="1"/>
      <c r="F1418" s="1"/>
      <c r="G1418" s="1"/>
      <c r="H1418" s="1"/>
      <c r="I1418" s="1"/>
      <c r="J1418" s="1"/>
      <c r="K1418" s="1"/>
      <c r="L1418" s="1"/>
      <c r="M1418" s="1"/>
      <c r="N1418" s="1"/>
      <c r="O1418" s="1"/>
      <c r="P1418" s="1"/>
      <c r="Q1418" s="1"/>
      <c r="R1418" s="1"/>
      <c r="S1418" s="1"/>
      <c r="T1418" s="1"/>
      <c r="U1418" s="1"/>
      <c r="V1418" s="1"/>
      <c r="W1418" s="1"/>
      <c r="X1418" s="1"/>
      <c r="Y1418" s="1"/>
      <c r="Z1418" s="1"/>
    </row>
    <row r="1419">
      <c r="A1419" s="1"/>
      <c r="B1419" s="1"/>
      <c r="C1419" s="1"/>
      <c r="D1419" s="1"/>
      <c r="E1419" s="1"/>
      <c r="F1419" s="1"/>
      <c r="G1419" s="1"/>
      <c r="H1419" s="1"/>
      <c r="I1419" s="1"/>
      <c r="J1419" s="1"/>
      <c r="K1419" s="1"/>
      <c r="L1419" s="1"/>
      <c r="M1419" s="1"/>
      <c r="N1419" s="1"/>
      <c r="O1419" s="1"/>
      <c r="P1419" s="1"/>
      <c r="Q1419" s="1"/>
      <c r="R1419" s="1"/>
      <c r="S1419" s="1"/>
      <c r="T1419" s="1"/>
      <c r="U1419" s="1"/>
      <c r="V1419" s="1"/>
      <c r="W1419" s="1"/>
      <c r="X1419" s="1"/>
      <c r="Y1419" s="1"/>
      <c r="Z1419" s="1"/>
    </row>
    <row r="1420">
      <c r="A1420" s="1"/>
      <c r="B1420" s="1"/>
      <c r="C1420" s="1"/>
      <c r="D1420" s="1"/>
      <c r="E1420" s="1"/>
      <c r="F1420" s="1"/>
      <c r="G1420" s="1"/>
      <c r="H1420" s="1"/>
      <c r="I1420" s="1"/>
      <c r="J1420" s="1"/>
      <c r="K1420" s="1"/>
      <c r="L1420" s="1"/>
      <c r="M1420" s="1"/>
      <c r="N1420" s="1"/>
      <c r="O1420" s="1"/>
      <c r="P1420" s="1"/>
      <c r="Q1420" s="1"/>
      <c r="R1420" s="1"/>
      <c r="S1420" s="1"/>
      <c r="T1420" s="1"/>
      <c r="U1420" s="1"/>
      <c r="V1420" s="1"/>
      <c r="W1420" s="1"/>
      <c r="X1420" s="1"/>
      <c r="Y1420" s="1"/>
      <c r="Z1420" s="1"/>
    </row>
    <row r="1421">
      <c r="A1421" s="1"/>
      <c r="B1421" s="1"/>
      <c r="C1421" s="1"/>
      <c r="D1421" s="1"/>
      <c r="E1421" s="1"/>
      <c r="F1421" s="1"/>
      <c r="G1421" s="1"/>
      <c r="H1421" s="1"/>
      <c r="I1421" s="1"/>
      <c r="J1421" s="1"/>
      <c r="K1421" s="1"/>
      <c r="L1421" s="1"/>
      <c r="M1421" s="1"/>
      <c r="N1421" s="1"/>
      <c r="O1421" s="1"/>
      <c r="P1421" s="1"/>
      <c r="Q1421" s="1"/>
      <c r="R1421" s="1"/>
      <c r="S1421" s="1"/>
      <c r="T1421" s="1"/>
      <c r="U1421" s="1"/>
      <c r="V1421" s="1"/>
      <c r="W1421" s="1"/>
      <c r="X1421" s="1"/>
      <c r="Y1421" s="1"/>
      <c r="Z1421" s="1"/>
    </row>
    <row r="1422">
      <c r="A1422" s="1"/>
      <c r="B1422" s="1"/>
      <c r="C1422" s="1"/>
      <c r="D1422" s="1"/>
      <c r="E1422" s="1"/>
      <c r="F1422" s="1"/>
      <c r="G1422" s="1"/>
      <c r="H1422" s="1"/>
      <c r="I1422" s="1"/>
      <c r="J1422" s="1"/>
      <c r="K1422" s="1"/>
      <c r="L1422" s="1"/>
      <c r="M1422" s="1"/>
      <c r="N1422" s="1"/>
      <c r="O1422" s="1"/>
      <c r="P1422" s="1"/>
      <c r="Q1422" s="1"/>
      <c r="R1422" s="1"/>
      <c r="S1422" s="1"/>
      <c r="T1422" s="1"/>
      <c r="U1422" s="1"/>
      <c r="V1422" s="1"/>
      <c r="W1422" s="1"/>
      <c r="X1422" s="1"/>
      <c r="Y1422" s="1"/>
      <c r="Z1422" s="1"/>
    </row>
    <row r="1423">
      <c r="A1423" s="1"/>
      <c r="B1423" s="1"/>
      <c r="C1423" s="1"/>
      <c r="D1423" s="1"/>
      <c r="E1423" s="1"/>
      <c r="F1423" s="1"/>
      <c r="G1423" s="1"/>
      <c r="H1423" s="1"/>
      <c r="I1423" s="1"/>
      <c r="J1423" s="1"/>
      <c r="K1423" s="1"/>
      <c r="L1423" s="1"/>
      <c r="M1423" s="1"/>
      <c r="N1423" s="1"/>
      <c r="O1423" s="1"/>
      <c r="P1423" s="1"/>
      <c r="Q1423" s="1"/>
      <c r="R1423" s="1"/>
      <c r="S1423" s="1"/>
      <c r="T1423" s="1"/>
      <c r="U1423" s="1"/>
      <c r="V1423" s="1"/>
      <c r="W1423" s="1"/>
      <c r="X1423" s="1"/>
      <c r="Y1423" s="1"/>
      <c r="Z1423" s="1"/>
    </row>
    <row r="1424">
      <c r="A1424" s="1"/>
      <c r="B1424" s="1"/>
      <c r="C1424" s="1"/>
      <c r="D1424" s="1"/>
      <c r="E1424" s="1"/>
      <c r="F1424" s="1"/>
      <c r="G1424" s="1"/>
      <c r="H1424" s="1"/>
      <c r="I1424" s="1"/>
      <c r="J1424" s="1"/>
      <c r="K1424" s="1"/>
      <c r="L1424" s="1"/>
      <c r="M1424" s="1"/>
      <c r="N1424" s="1"/>
      <c r="O1424" s="1"/>
      <c r="P1424" s="1"/>
      <c r="Q1424" s="1"/>
      <c r="R1424" s="1"/>
      <c r="S1424" s="1"/>
      <c r="T1424" s="1"/>
      <c r="U1424" s="1"/>
      <c r="V1424" s="1"/>
      <c r="W1424" s="1"/>
      <c r="X1424" s="1"/>
      <c r="Y1424" s="1"/>
      <c r="Z1424" s="1"/>
    </row>
    <row r="1425">
      <c r="A1425" s="1"/>
      <c r="B1425" s="1"/>
      <c r="C1425" s="1"/>
      <c r="D1425" s="1"/>
      <c r="E1425" s="1"/>
      <c r="F1425" s="1"/>
      <c r="G1425" s="1"/>
      <c r="H1425" s="1"/>
      <c r="I1425" s="1"/>
      <c r="J1425" s="1"/>
      <c r="K1425" s="1"/>
      <c r="L1425" s="1"/>
      <c r="M1425" s="1"/>
      <c r="N1425" s="1"/>
      <c r="O1425" s="1"/>
      <c r="P1425" s="1"/>
      <c r="Q1425" s="1"/>
      <c r="R1425" s="1"/>
      <c r="S1425" s="1"/>
      <c r="T1425" s="1"/>
      <c r="U1425" s="1"/>
      <c r="V1425" s="1"/>
      <c r="W1425" s="1"/>
      <c r="X1425" s="1"/>
      <c r="Y1425" s="1"/>
      <c r="Z1425" s="1"/>
    </row>
    <row r="1426">
      <c r="A1426" s="1"/>
      <c r="B1426" s="1"/>
      <c r="C1426" s="1"/>
      <c r="D1426" s="1"/>
      <c r="E1426" s="1"/>
      <c r="F1426" s="1"/>
      <c r="G1426" s="1"/>
      <c r="H1426" s="1"/>
      <c r="I1426" s="1"/>
      <c r="J1426" s="1"/>
      <c r="K1426" s="1"/>
      <c r="L1426" s="1"/>
      <c r="M1426" s="1"/>
      <c r="N1426" s="1"/>
      <c r="O1426" s="1"/>
      <c r="P1426" s="1"/>
      <c r="Q1426" s="1"/>
      <c r="R1426" s="1"/>
      <c r="S1426" s="1"/>
      <c r="T1426" s="1"/>
      <c r="U1426" s="1"/>
      <c r="V1426" s="1"/>
      <c r="W1426" s="1"/>
      <c r="X1426" s="1"/>
      <c r="Y1426" s="1"/>
      <c r="Z1426" s="1"/>
    </row>
    <row r="1427">
      <c r="A1427" s="1"/>
      <c r="B1427" s="1"/>
      <c r="C1427" s="1"/>
      <c r="D1427" s="1"/>
      <c r="E1427" s="1"/>
      <c r="F1427" s="1"/>
      <c r="G1427" s="1"/>
      <c r="H1427" s="1"/>
      <c r="I1427" s="1"/>
      <c r="J1427" s="1"/>
      <c r="K1427" s="1"/>
      <c r="L1427" s="1"/>
      <c r="M1427" s="1"/>
      <c r="N1427" s="1"/>
      <c r="O1427" s="1"/>
      <c r="P1427" s="1"/>
      <c r="Q1427" s="1"/>
      <c r="R1427" s="1"/>
      <c r="S1427" s="1"/>
      <c r="T1427" s="1"/>
      <c r="U1427" s="1"/>
      <c r="V1427" s="1"/>
      <c r="W1427" s="1"/>
      <c r="X1427" s="1"/>
      <c r="Y1427" s="1"/>
      <c r="Z1427" s="1"/>
    </row>
    <row r="1428">
      <c r="A1428" s="1"/>
      <c r="B1428" s="1"/>
      <c r="C1428" s="1"/>
      <c r="D1428" s="1"/>
      <c r="E1428" s="1"/>
      <c r="F1428" s="1"/>
      <c r="G1428" s="1"/>
      <c r="H1428" s="1"/>
      <c r="I1428" s="1"/>
      <c r="J1428" s="1"/>
      <c r="K1428" s="1"/>
      <c r="L1428" s="1"/>
      <c r="M1428" s="1"/>
      <c r="N1428" s="1"/>
      <c r="O1428" s="1"/>
      <c r="P1428" s="1"/>
      <c r="Q1428" s="1"/>
      <c r="R1428" s="1"/>
      <c r="S1428" s="1"/>
      <c r="T1428" s="1"/>
      <c r="U1428" s="1"/>
      <c r="V1428" s="1"/>
      <c r="W1428" s="1"/>
      <c r="X1428" s="1"/>
      <c r="Y1428" s="1"/>
      <c r="Z1428" s="1"/>
    </row>
    <row r="1429">
      <c r="A1429" s="1"/>
      <c r="B1429" s="1"/>
      <c r="C1429" s="1"/>
      <c r="D1429" s="1"/>
      <c r="E1429" s="1"/>
      <c r="F1429" s="1"/>
      <c r="G1429" s="1"/>
      <c r="H1429" s="1"/>
      <c r="I1429" s="1"/>
      <c r="J1429" s="1"/>
      <c r="K1429" s="1"/>
      <c r="L1429" s="1"/>
      <c r="M1429" s="1"/>
      <c r="N1429" s="1"/>
      <c r="O1429" s="1"/>
      <c r="P1429" s="1"/>
      <c r="Q1429" s="1"/>
      <c r="R1429" s="1"/>
      <c r="S1429" s="1"/>
      <c r="T1429" s="1"/>
      <c r="U1429" s="1"/>
      <c r="V1429" s="1"/>
      <c r="W1429" s="1"/>
      <c r="X1429" s="1"/>
      <c r="Y1429" s="1"/>
      <c r="Z1429" s="1"/>
    </row>
    <row r="1430">
      <c r="A1430" s="1"/>
      <c r="B1430" s="1"/>
      <c r="C1430" s="1"/>
      <c r="D1430" s="1"/>
      <c r="E1430" s="1"/>
      <c r="F1430" s="1"/>
      <c r="G1430" s="1"/>
      <c r="H1430" s="1"/>
      <c r="I1430" s="1"/>
      <c r="J1430" s="1"/>
      <c r="K1430" s="1"/>
      <c r="L1430" s="1"/>
      <c r="M1430" s="1"/>
      <c r="N1430" s="1"/>
      <c r="O1430" s="1"/>
      <c r="P1430" s="1"/>
      <c r="Q1430" s="1"/>
      <c r="R1430" s="1"/>
      <c r="S1430" s="1"/>
      <c r="T1430" s="1"/>
      <c r="U1430" s="1"/>
      <c r="V1430" s="1"/>
      <c r="W1430" s="1"/>
      <c r="X1430" s="1"/>
      <c r="Y1430" s="1"/>
      <c r="Z1430" s="1"/>
    </row>
    <row r="1431">
      <c r="A1431" s="1"/>
      <c r="B1431" s="1"/>
      <c r="C1431" s="1"/>
      <c r="D1431" s="1"/>
      <c r="E1431" s="1"/>
      <c r="F1431" s="1"/>
      <c r="G1431" s="1"/>
      <c r="H1431" s="1"/>
      <c r="I1431" s="1"/>
      <c r="J1431" s="1"/>
      <c r="K1431" s="1"/>
      <c r="L1431" s="1"/>
      <c r="M1431" s="1"/>
      <c r="N1431" s="1"/>
      <c r="O1431" s="1"/>
      <c r="P1431" s="1"/>
      <c r="Q1431" s="1"/>
      <c r="R1431" s="1"/>
      <c r="S1431" s="1"/>
      <c r="T1431" s="1"/>
      <c r="U1431" s="1"/>
      <c r="V1431" s="1"/>
      <c r="W1431" s="1"/>
      <c r="X1431" s="1"/>
      <c r="Y1431" s="1"/>
      <c r="Z1431" s="1"/>
    </row>
    <row r="1432">
      <c r="A1432" s="1"/>
      <c r="B1432" s="1"/>
      <c r="C1432" s="1"/>
      <c r="D1432" s="1"/>
      <c r="E1432" s="1"/>
      <c r="F1432" s="1"/>
      <c r="G1432" s="1"/>
      <c r="H1432" s="1"/>
      <c r="I1432" s="1"/>
      <c r="J1432" s="1"/>
      <c r="K1432" s="1"/>
      <c r="L1432" s="1"/>
      <c r="M1432" s="1"/>
      <c r="N1432" s="1"/>
      <c r="O1432" s="1"/>
      <c r="P1432" s="1"/>
      <c r="Q1432" s="1"/>
      <c r="R1432" s="1"/>
      <c r="S1432" s="1"/>
      <c r="T1432" s="1"/>
      <c r="U1432" s="1"/>
      <c r="V1432" s="1"/>
      <c r="W1432" s="1"/>
      <c r="X1432" s="1"/>
      <c r="Y1432" s="1"/>
      <c r="Z1432" s="1"/>
    </row>
    <row r="1433">
      <c r="A1433" s="1"/>
      <c r="B1433" s="1"/>
      <c r="C1433" s="1"/>
      <c r="D1433" s="1"/>
      <c r="E1433" s="1"/>
      <c r="F1433" s="1"/>
      <c r="G1433" s="1"/>
      <c r="H1433" s="1"/>
      <c r="I1433" s="1"/>
      <c r="J1433" s="1"/>
      <c r="K1433" s="1"/>
      <c r="L1433" s="1"/>
      <c r="M1433" s="1"/>
      <c r="N1433" s="1"/>
      <c r="O1433" s="1"/>
      <c r="P1433" s="1"/>
      <c r="Q1433" s="1"/>
      <c r="R1433" s="1"/>
      <c r="S1433" s="1"/>
      <c r="T1433" s="1"/>
      <c r="U1433" s="1"/>
      <c r="V1433" s="1"/>
      <c r="W1433" s="1"/>
      <c r="X1433" s="1"/>
      <c r="Y1433" s="1"/>
      <c r="Z1433" s="1"/>
    </row>
    <row r="1434">
      <c r="A1434" s="1"/>
      <c r="B1434" s="1"/>
      <c r="C1434" s="1"/>
      <c r="D1434" s="1"/>
      <c r="E1434" s="1"/>
      <c r="F1434" s="1"/>
      <c r="G1434" s="1"/>
      <c r="H1434" s="1"/>
      <c r="I1434" s="1"/>
      <c r="J1434" s="1"/>
      <c r="K1434" s="1"/>
      <c r="L1434" s="1"/>
      <c r="M1434" s="1"/>
      <c r="N1434" s="1"/>
      <c r="O1434" s="1"/>
      <c r="P1434" s="1"/>
      <c r="Q1434" s="1"/>
      <c r="R1434" s="1"/>
      <c r="S1434" s="1"/>
      <c r="T1434" s="1"/>
      <c r="U1434" s="1"/>
      <c r="V1434" s="1"/>
      <c r="W1434" s="1"/>
      <c r="X1434" s="1"/>
      <c r="Y1434" s="1"/>
      <c r="Z1434" s="1"/>
    </row>
    <row r="1435">
      <c r="A1435" s="1"/>
      <c r="B1435" s="1"/>
      <c r="C1435" s="1"/>
      <c r="D1435" s="1"/>
      <c r="E1435" s="1"/>
      <c r="F1435" s="1"/>
      <c r="G1435" s="1"/>
      <c r="H1435" s="1"/>
      <c r="I1435" s="1"/>
      <c r="J1435" s="1"/>
      <c r="K1435" s="1"/>
      <c r="L1435" s="1"/>
      <c r="M1435" s="1"/>
      <c r="N1435" s="1"/>
      <c r="O1435" s="1"/>
      <c r="P1435" s="1"/>
      <c r="Q1435" s="1"/>
      <c r="R1435" s="1"/>
      <c r="S1435" s="1"/>
      <c r="T1435" s="1"/>
      <c r="U1435" s="1"/>
      <c r="V1435" s="1"/>
      <c r="W1435" s="1"/>
      <c r="X1435" s="1"/>
      <c r="Y1435" s="1"/>
      <c r="Z1435" s="1"/>
    </row>
    <row r="1436">
      <c r="A1436" s="1"/>
      <c r="B1436" s="1"/>
      <c r="C1436" s="1"/>
      <c r="D1436" s="1"/>
      <c r="E1436" s="1"/>
      <c r="F1436" s="1"/>
      <c r="G1436" s="1"/>
      <c r="H1436" s="1"/>
      <c r="I1436" s="1"/>
      <c r="J1436" s="1"/>
      <c r="K1436" s="1"/>
      <c r="L1436" s="1"/>
      <c r="M1436" s="1"/>
      <c r="N1436" s="1"/>
      <c r="O1436" s="1"/>
      <c r="P1436" s="1"/>
      <c r="Q1436" s="1"/>
      <c r="R1436" s="1"/>
      <c r="S1436" s="1"/>
      <c r="T1436" s="1"/>
      <c r="U1436" s="1"/>
      <c r="V1436" s="1"/>
      <c r="W1436" s="1"/>
      <c r="X1436" s="1"/>
      <c r="Y1436" s="1"/>
      <c r="Z1436" s="1"/>
    </row>
    <row r="1437">
      <c r="A1437" s="1"/>
      <c r="B1437" s="1"/>
      <c r="C1437" s="1"/>
      <c r="D1437" s="1"/>
      <c r="E1437" s="1"/>
      <c r="F1437" s="1"/>
      <c r="G1437" s="1"/>
      <c r="H1437" s="1"/>
      <c r="I1437" s="1"/>
      <c r="J1437" s="1"/>
      <c r="K1437" s="1"/>
      <c r="L1437" s="1"/>
      <c r="M1437" s="1"/>
      <c r="N1437" s="1"/>
      <c r="O1437" s="1"/>
      <c r="P1437" s="1"/>
      <c r="Q1437" s="1"/>
      <c r="R1437" s="1"/>
      <c r="S1437" s="1"/>
      <c r="T1437" s="1"/>
      <c r="U1437" s="1"/>
      <c r="V1437" s="1"/>
      <c r="W1437" s="1"/>
      <c r="X1437" s="1"/>
      <c r="Y1437" s="1"/>
      <c r="Z1437" s="1"/>
    </row>
    <row r="1438">
      <c r="A1438" s="1"/>
      <c r="B1438" s="1"/>
      <c r="C1438" s="1"/>
      <c r="D1438" s="1"/>
      <c r="E1438" s="1"/>
      <c r="F1438" s="1"/>
      <c r="G1438" s="1"/>
      <c r="H1438" s="1"/>
      <c r="I1438" s="1"/>
      <c r="J1438" s="1"/>
      <c r="K1438" s="1"/>
      <c r="L1438" s="1"/>
      <c r="M1438" s="1"/>
      <c r="N1438" s="1"/>
      <c r="O1438" s="1"/>
      <c r="P1438" s="1"/>
      <c r="Q1438" s="1"/>
      <c r="R1438" s="1"/>
      <c r="S1438" s="1"/>
      <c r="T1438" s="1"/>
      <c r="U1438" s="1"/>
      <c r="V1438" s="1"/>
      <c r="W1438" s="1"/>
      <c r="X1438" s="1"/>
      <c r="Y1438" s="1"/>
      <c r="Z1438" s="1"/>
    </row>
    <row r="1439">
      <c r="A1439" s="1"/>
      <c r="B1439" s="1"/>
      <c r="C1439" s="1"/>
      <c r="D1439" s="1"/>
      <c r="E1439" s="1"/>
      <c r="F1439" s="1"/>
      <c r="G1439" s="1"/>
      <c r="H1439" s="1"/>
      <c r="I1439" s="1"/>
      <c r="J1439" s="1"/>
      <c r="K1439" s="1"/>
      <c r="L1439" s="1"/>
      <c r="M1439" s="1"/>
      <c r="N1439" s="1"/>
      <c r="O1439" s="1"/>
      <c r="P1439" s="1"/>
      <c r="Q1439" s="1"/>
      <c r="R1439" s="1"/>
      <c r="S1439" s="1"/>
      <c r="T1439" s="1"/>
      <c r="U1439" s="1"/>
      <c r="V1439" s="1"/>
      <c r="W1439" s="1"/>
      <c r="X1439" s="1"/>
      <c r="Y1439" s="1"/>
      <c r="Z1439" s="1"/>
    </row>
    <row r="1440">
      <c r="A1440" s="1"/>
      <c r="B1440" s="1"/>
      <c r="C1440" s="1"/>
      <c r="D1440" s="1"/>
      <c r="E1440" s="1"/>
      <c r="F1440" s="1"/>
      <c r="G1440" s="1"/>
      <c r="H1440" s="1"/>
      <c r="I1440" s="1"/>
      <c r="J1440" s="1"/>
      <c r="K1440" s="1"/>
      <c r="L1440" s="1"/>
      <c r="M1440" s="1"/>
      <c r="N1440" s="1"/>
      <c r="O1440" s="1"/>
      <c r="P1440" s="1"/>
      <c r="Q1440" s="1"/>
      <c r="R1440" s="1"/>
      <c r="S1440" s="1"/>
      <c r="T1440" s="1"/>
      <c r="U1440" s="1"/>
      <c r="V1440" s="1"/>
      <c r="W1440" s="1"/>
      <c r="X1440" s="1"/>
      <c r="Y1440" s="1"/>
      <c r="Z1440" s="1"/>
    </row>
    <row r="1441">
      <c r="A1441" s="1"/>
      <c r="B1441" s="1"/>
      <c r="C1441" s="1"/>
      <c r="D1441" s="1"/>
      <c r="E1441" s="1"/>
      <c r="F1441" s="1"/>
      <c r="G1441" s="1"/>
      <c r="H1441" s="1"/>
      <c r="I1441" s="1"/>
      <c r="J1441" s="1"/>
      <c r="K1441" s="1"/>
      <c r="L1441" s="1"/>
      <c r="M1441" s="1"/>
      <c r="N1441" s="1"/>
      <c r="O1441" s="1"/>
      <c r="P1441" s="1"/>
      <c r="Q1441" s="1"/>
      <c r="R1441" s="1"/>
      <c r="S1441" s="1"/>
      <c r="T1441" s="1"/>
      <c r="U1441" s="1"/>
      <c r="V1441" s="1"/>
      <c r="W1441" s="1"/>
      <c r="X1441" s="1"/>
      <c r="Y1441" s="1"/>
      <c r="Z1441" s="1"/>
    </row>
    <row r="1442">
      <c r="A1442" s="1"/>
      <c r="B1442" s="1"/>
      <c r="C1442" s="1"/>
      <c r="D1442" s="1"/>
      <c r="E1442" s="1"/>
      <c r="F1442" s="1"/>
      <c r="G1442" s="1"/>
      <c r="H1442" s="1"/>
      <c r="I1442" s="1"/>
      <c r="J1442" s="1"/>
      <c r="K1442" s="1"/>
      <c r="L1442" s="1"/>
      <c r="M1442" s="1"/>
      <c r="N1442" s="1"/>
      <c r="O1442" s="1"/>
      <c r="P1442" s="1"/>
      <c r="Q1442" s="1"/>
      <c r="R1442" s="1"/>
      <c r="S1442" s="1"/>
      <c r="T1442" s="1"/>
      <c r="U1442" s="1"/>
      <c r="V1442" s="1"/>
      <c r="W1442" s="1"/>
      <c r="X1442" s="1"/>
      <c r="Y1442" s="1"/>
      <c r="Z1442" s="1"/>
    </row>
    <row r="1443">
      <c r="A1443" s="1"/>
      <c r="B1443" s="1"/>
      <c r="C1443" s="1"/>
      <c r="D1443" s="1"/>
      <c r="E1443" s="1"/>
      <c r="F1443" s="1"/>
      <c r="G1443" s="1"/>
      <c r="H1443" s="1"/>
      <c r="I1443" s="1"/>
      <c r="J1443" s="1"/>
      <c r="K1443" s="1"/>
      <c r="L1443" s="1"/>
      <c r="M1443" s="1"/>
      <c r="N1443" s="1"/>
      <c r="O1443" s="1"/>
      <c r="P1443" s="1"/>
      <c r="Q1443" s="1"/>
      <c r="R1443" s="1"/>
      <c r="S1443" s="1"/>
      <c r="T1443" s="1"/>
      <c r="U1443" s="1"/>
      <c r="V1443" s="1"/>
      <c r="W1443" s="1"/>
      <c r="X1443" s="1"/>
      <c r="Y1443" s="1"/>
      <c r="Z1443" s="1"/>
    </row>
    <row r="1444">
      <c r="A1444" s="1"/>
      <c r="B1444" s="1"/>
      <c r="C1444" s="1"/>
      <c r="D1444" s="1"/>
      <c r="E1444" s="1"/>
      <c r="F1444" s="1"/>
      <c r="G1444" s="1"/>
      <c r="H1444" s="1"/>
      <c r="I1444" s="1"/>
      <c r="J1444" s="1"/>
      <c r="K1444" s="1"/>
      <c r="L1444" s="1"/>
      <c r="M1444" s="1"/>
      <c r="N1444" s="1"/>
      <c r="O1444" s="1"/>
      <c r="P1444" s="1"/>
      <c r="Q1444" s="1"/>
      <c r="R1444" s="1"/>
      <c r="S1444" s="1"/>
      <c r="T1444" s="1"/>
      <c r="U1444" s="1"/>
      <c r="V1444" s="1"/>
      <c r="W1444" s="1"/>
      <c r="X1444" s="1"/>
      <c r="Y1444" s="1"/>
      <c r="Z1444" s="1"/>
    </row>
    <row r="1445">
      <c r="A1445" s="1"/>
      <c r="B1445" s="1"/>
      <c r="C1445" s="1"/>
      <c r="D1445" s="1"/>
      <c r="E1445" s="1"/>
      <c r="F1445" s="1"/>
      <c r="G1445" s="1"/>
      <c r="H1445" s="1"/>
      <c r="I1445" s="1"/>
      <c r="J1445" s="1"/>
      <c r="K1445" s="1"/>
      <c r="L1445" s="1"/>
      <c r="M1445" s="1"/>
      <c r="N1445" s="1"/>
      <c r="O1445" s="1"/>
      <c r="P1445" s="1"/>
      <c r="Q1445" s="1"/>
      <c r="R1445" s="1"/>
      <c r="S1445" s="1"/>
      <c r="T1445" s="1"/>
      <c r="U1445" s="1"/>
      <c r="V1445" s="1"/>
      <c r="W1445" s="1"/>
      <c r="X1445" s="1"/>
      <c r="Y1445" s="1"/>
      <c r="Z1445" s="1"/>
    </row>
    <row r="1446">
      <c r="A1446" s="1"/>
      <c r="B1446" s="1"/>
      <c r="C1446" s="1"/>
      <c r="D1446" s="1"/>
      <c r="E1446" s="1"/>
      <c r="F1446" s="1"/>
      <c r="G1446" s="1"/>
      <c r="H1446" s="1"/>
      <c r="I1446" s="1"/>
      <c r="J1446" s="1"/>
      <c r="K1446" s="1"/>
      <c r="L1446" s="1"/>
      <c r="M1446" s="1"/>
      <c r="N1446" s="1"/>
      <c r="O1446" s="1"/>
      <c r="P1446" s="1"/>
      <c r="Q1446" s="1"/>
      <c r="R1446" s="1"/>
      <c r="S1446" s="1"/>
      <c r="T1446" s="1"/>
      <c r="U1446" s="1"/>
      <c r="V1446" s="1"/>
      <c r="W1446" s="1"/>
      <c r="X1446" s="1"/>
      <c r="Y1446" s="1"/>
      <c r="Z1446" s="1"/>
    </row>
    <row r="1447">
      <c r="A1447" s="1"/>
      <c r="B1447" s="1"/>
      <c r="C1447" s="1"/>
      <c r="D1447" s="1"/>
      <c r="E1447" s="1"/>
      <c r="F1447" s="1"/>
      <c r="G1447" s="1"/>
      <c r="H1447" s="1"/>
      <c r="I1447" s="1"/>
      <c r="J1447" s="1"/>
      <c r="K1447" s="1"/>
      <c r="L1447" s="1"/>
      <c r="M1447" s="1"/>
      <c r="N1447" s="1"/>
      <c r="O1447" s="1"/>
      <c r="P1447" s="1"/>
      <c r="Q1447" s="1"/>
      <c r="R1447" s="1"/>
      <c r="S1447" s="1"/>
      <c r="T1447" s="1"/>
      <c r="U1447" s="1"/>
      <c r="V1447" s="1"/>
      <c r="W1447" s="1"/>
      <c r="X1447" s="1"/>
      <c r="Y1447" s="1"/>
      <c r="Z1447" s="1"/>
    </row>
    <row r="1448">
      <c r="A1448" s="1"/>
      <c r="B1448" s="1"/>
      <c r="C1448" s="1"/>
      <c r="D1448" s="1"/>
      <c r="E1448" s="1"/>
      <c r="F1448" s="1"/>
      <c r="G1448" s="1"/>
      <c r="H1448" s="1"/>
      <c r="I1448" s="1"/>
      <c r="J1448" s="1"/>
      <c r="K1448" s="1"/>
      <c r="L1448" s="1"/>
      <c r="M1448" s="1"/>
      <c r="N1448" s="1"/>
      <c r="O1448" s="1"/>
      <c r="P1448" s="1"/>
      <c r="Q1448" s="1"/>
      <c r="R1448" s="1"/>
      <c r="S1448" s="1"/>
      <c r="T1448" s="1"/>
      <c r="U1448" s="1"/>
      <c r="V1448" s="1"/>
      <c r="W1448" s="1"/>
      <c r="X1448" s="1"/>
      <c r="Y1448" s="1"/>
      <c r="Z1448" s="1"/>
    </row>
    <row r="1449">
      <c r="A1449" s="1"/>
      <c r="B1449" s="1"/>
      <c r="C1449" s="1"/>
      <c r="D1449" s="1"/>
      <c r="E1449" s="1"/>
      <c r="F1449" s="1"/>
      <c r="G1449" s="1"/>
      <c r="H1449" s="1"/>
      <c r="I1449" s="1"/>
      <c r="J1449" s="1"/>
      <c r="K1449" s="1"/>
      <c r="L1449" s="1"/>
      <c r="M1449" s="1"/>
      <c r="N1449" s="1"/>
      <c r="O1449" s="1"/>
      <c r="P1449" s="1"/>
      <c r="Q1449" s="1"/>
      <c r="R1449" s="1"/>
      <c r="S1449" s="1"/>
      <c r="T1449" s="1"/>
      <c r="U1449" s="1"/>
      <c r="V1449" s="1"/>
      <c r="W1449" s="1"/>
      <c r="X1449" s="1"/>
      <c r="Y1449" s="1"/>
      <c r="Z1449" s="1"/>
    </row>
    <row r="1450">
      <c r="A1450" s="1"/>
      <c r="B1450" s="1"/>
      <c r="C1450" s="1"/>
      <c r="D1450" s="1"/>
      <c r="E1450" s="1"/>
      <c r="F1450" s="1"/>
      <c r="G1450" s="1"/>
      <c r="H1450" s="1"/>
      <c r="I1450" s="1"/>
      <c r="J1450" s="1"/>
      <c r="K1450" s="1"/>
      <c r="L1450" s="1"/>
      <c r="M1450" s="1"/>
      <c r="N1450" s="1"/>
      <c r="O1450" s="1"/>
      <c r="P1450" s="1"/>
      <c r="Q1450" s="1"/>
      <c r="R1450" s="1"/>
      <c r="S1450" s="1"/>
      <c r="T1450" s="1"/>
      <c r="U1450" s="1"/>
      <c r="V1450" s="1"/>
      <c r="W1450" s="1"/>
      <c r="X1450" s="1"/>
      <c r="Y1450" s="1"/>
      <c r="Z1450" s="1"/>
    </row>
    <row r="1451">
      <c r="A1451" s="1"/>
      <c r="B1451" s="1"/>
      <c r="C1451" s="1"/>
      <c r="D1451" s="1"/>
      <c r="E1451" s="1"/>
      <c r="F1451" s="1"/>
      <c r="G1451" s="1"/>
      <c r="H1451" s="1"/>
      <c r="I1451" s="1"/>
      <c r="J1451" s="1"/>
      <c r="K1451" s="1"/>
      <c r="L1451" s="1"/>
      <c r="M1451" s="1"/>
      <c r="N1451" s="1"/>
      <c r="O1451" s="1"/>
      <c r="P1451" s="1"/>
      <c r="Q1451" s="1"/>
      <c r="R1451" s="1"/>
      <c r="S1451" s="1"/>
      <c r="T1451" s="1"/>
      <c r="U1451" s="1"/>
      <c r="V1451" s="1"/>
      <c r="W1451" s="1"/>
      <c r="X1451" s="1"/>
      <c r="Y1451" s="1"/>
      <c r="Z1451" s="1"/>
    </row>
    <row r="1452">
      <c r="A1452" s="1"/>
      <c r="B1452" s="1"/>
      <c r="C1452" s="1"/>
      <c r="D1452" s="1"/>
      <c r="E1452" s="1"/>
      <c r="F1452" s="1"/>
      <c r="G1452" s="1"/>
      <c r="H1452" s="1"/>
      <c r="I1452" s="1"/>
      <c r="J1452" s="1"/>
      <c r="K1452" s="1"/>
      <c r="L1452" s="1"/>
      <c r="M1452" s="1"/>
      <c r="N1452" s="1"/>
      <c r="O1452" s="1"/>
      <c r="P1452" s="1"/>
      <c r="Q1452" s="1"/>
      <c r="R1452" s="1"/>
      <c r="S1452" s="1"/>
      <c r="T1452" s="1"/>
      <c r="U1452" s="1"/>
      <c r="V1452" s="1"/>
      <c r="W1452" s="1"/>
      <c r="X1452" s="1"/>
      <c r="Y1452" s="1"/>
      <c r="Z1452" s="1"/>
    </row>
    <row r="1453">
      <c r="A1453" s="1"/>
      <c r="B1453" s="1"/>
      <c r="C1453" s="1"/>
      <c r="D1453" s="1"/>
      <c r="E1453" s="1"/>
      <c r="F1453" s="1"/>
      <c r="G1453" s="1"/>
      <c r="H1453" s="1"/>
      <c r="I1453" s="1"/>
      <c r="J1453" s="1"/>
      <c r="K1453" s="1"/>
      <c r="L1453" s="1"/>
      <c r="M1453" s="1"/>
      <c r="N1453" s="1"/>
      <c r="O1453" s="1"/>
      <c r="P1453" s="1"/>
      <c r="Q1453" s="1"/>
      <c r="R1453" s="1"/>
      <c r="S1453" s="1"/>
      <c r="T1453" s="1"/>
      <c r="U1453" s="1"/>
      <c r="V1453" s="1"/>
      <c r="W1453" s="1"/>
      <c r="X1453" s="1"/>
      <c r="Y1453" s="1"/>
      <c r="Z1453" s="1"/>
    </row>
    <row r="1454">
      <c r="A1454" s="1"/>
      <c r="B1454" s="1"/>
      <c r="C1454" s="1"/>
      <c r="D1454" s="1"/>
      <c r="E1454" s="1"/>
      <c r="F1454" s="1"/>
      <c r="G1454" s="1"/>
      <c r="H1454" s="1"/>
      <c r="I1454" s="1"/>
      <c r="J1454" s="1"/>
      <c r="K1454" s="1"/>
      <c r="L1454" s="1"/>
      <c r="M1454" s="1"/>
      <c r="N1454" s="1"/>
      <c r="O1454" s="1"/>
      <c r="P1454" s="1"/>
      <c r="Q1454" s="1"/>
      <c r="R1454" s="1"/>
      <c r="S1454" s="1"/>
      <c r="T1454" s="1"/>
      <c r="U1454" s="1"/>
      <c r="V1454" s="1"/>
      <c r="W1454" s="1"/>
      <c r="X1454" s="1"/>
      <c r="Y1454" s="1"/>
      <c r="Z1454" s="1"/>
    </row>
    <row r="1455">
      <c r="A1455" s="1"/>
      <c r="B1455" s="1"/>
      <c r="C1455" s="1"/>
      <c r="D1455" s="1"/>
      <c r="E1455" s="1"/>
      <c r="F1455" s="1"/>
      <c r="G1455" s="1"/>
      <c r="H1455" s="1"/>
      <c r="I1455" s="1"/>
      <c r="J1455" s="1"/>
      <c r="K1455" s="1"/>
      <c r="L1455" s="1"/>
      <c r="M1455" s="1"/>
      <c r="N1455" s="1"/>
      <c r="O1455" s="1"/>
      <c r="P1455" s="1"/>
      <c r="Q1455" s="1"/>
      <c r="R1455" s="1"/>
      <c r="S1455" s="1"/>
      <c r="T1455" s="1"/>
      <c r="U1455" s="1"/>
      <c r="V1455" s="1"/>
      <c r="W1455" s="1"/>
      <c r="X1455" s="1"/>
      <c r="Y1455" s="1"/>
      <c r="Z1455" s="1"/>
    </row>
    <row r="1456">
      <c r="A1456" s="1"/>
      <c r="B1456" s="1"/>
      <c r="C1456" s="1"/>
      <c r="D1456" s="1"/>
      <c r="E1456" s="1"/>
      <c r="F1456" s="1"/>
      <c r="G1456" s="1"/>
      <c r="H1456" s="1"/>
      <c r="I1456" s="1"/>
      <c r="J1456" s="1"/>
      <c r="K1456" s="1"/>
      <c r="L1456" s="1"/>
      <c r="M1456" s="1"/>
      <c r="N1456" s="1"/>
      <c r="O1456" s="1"/>
      <c r="P1456" s="1"/>
      <c r="Q1456" s="1"/>
      <c r="R1456" s="1"/>
      <c r="S1456" s="1"/>
      <c r="T1456" s="1"/>
      <c r="U1456" s="1"/>
      <c r="V1456" s="1"/>
      <c r="W1456" s="1"/>
      <c r="X1456" s="1"/>
      <c r="Y1456" s="1"/>
      <c r="Z1456" s="1"/>
    </row>
    <row r="1457">
      <c r="A1457" s="1"/>
      <c r="B1457" s="1"/>
      <c r="C1457" s="1"/>
      <c r="D1457" s="1"/>
      <c r="E1457" s="1"/>
      <c r="F1457" s="1"/>
      <c r="G1457" s="1"/>
      <c r="H1457" s="1"/>
      <c r="I1457" s="1"/>
      <c r="J1457" s="1"/>
      <c r="K1457" s="1"/>
      <c r="L1457" s="1"/>
      <c r="M1457" s="1"/>
      <c r="N1457" s="1"/>
      <c r="O1457" s="1"/>
      <c r="P1457" s="1"/>
      <c r="Q1457" s="1"/>
      <c r="R1457" s="1"/>
      <c r="S1457" s="1"/>
      <c r="T1457" s="1"/>
      <c r="U1457" s="1"/>
      <c r="V1457" s="1"/>
      <c r="W1457" s="1"/>
      <c r="X1457" s="1"/>
      <c r="Y1457" s="1"/>
      <c r="Z1457" s="1"/>
    </row>
    <row r="1458">
      <c r="A1458" s="1"/>
      <c r="B1458" s="1"/>
      <c r="C1458" s="1"/>
      <c r="D1458" s="1"/>
      <c r="E1458" s="1"/>
      <c r="F1458" s="1"/>
      <c r="G1458" s="1"/>
      <c r="H1458" s="1"/>
      <c r="I1458" s="1"/>
      <c r="J1458" s="1"/>
      <c r="K1458" s="1"/>
      <c r="L1458" s="1"/>
      <c r="M1458" s="1"/>
      <c r="N1458" s="1"/>
      <c r="O1458" s="1"/>
      <c r="P1458" s="1"/>
      <c r="Q1458" s="1"/>
      <c r="R1458" s="1"/>
      <c r="S1458" s="1"/>
      <c r="T1458" s="1"/>
      <c r="U1458" s="1"/>
      <c r="V1458" s="1"/>
      <c r="W1458" s="1"/>
      <c r="X1458" s="1"/>
      <c r="Y1458" s="1"/>
      <c r="Z1458" s="1"/>
    </row>
    <row r="1459">
      <c r="A1459" s="1"/>
      <c r="B1459" s="1"/>
      <c r="C1459" s="1"/>
      <c r="D1459" s="1"/>
      <c r="E1459" s="1"/>
      <c r="F1459" s="1"/>
      <c r="G1459" s="1"/>
      <c r="H1459" s="1"/>
      <c r="I1459" s="1"/>
      <c r="J1459" s="1"/>
      <c r="K1459" s="1"/>
      <c r="L1459" s="1"/>
      <c r="M1459" s="1"/>
      <c r="N1459" s="1"/>
      <c r="O1459" s="1"/>
      <c r="P1459" s="1"/>
      <c r="Q1459" s="1"/>
      <c r="R1459" s="1"/>
      <c r="S1459" s="1"/>
      <c r="T1459" s="1"/>
      <c r="U1459" s="1"/>
      <c r="V1459" s="1"/>
      <c r="W1459" s="1"/>
      <c r="X1459" s="1"/>
      <c r="Y1459" s="1"/>
      <c r="Z1459" s="1"/>
    </row>
    <row r="1460">
      <c r="A1460" s="1"/>
      <c r="B1460" s="1"/>
      <c r="C1460" s="1"/>
      <c r="D1460" s="1"/>
      <c r="E1460" s="1"/>
      <c r="F1460" s="1"/>
      <c r="G1460" s="1"/>
      <c r="H1460" s="1"/>
      <c r="I1460" s="1"/>
      <c r="J1460" s="1"/>
      <c r="K1460" s="1"/>
      <c r="L1460" s="1"/>
      <c r="M1460" s="1"/>
      <c r="N1460" s="1"/>
      <c r="O1460" s="1"/>
      <c r="P1460" s="1"/>
      <c r="Q1460" s="1"/>
      <c r="R1460" s="1"/>
      <c r="S1460" s="1"/>
      <c r="T1460" s="1"/>
      <c r="U1460" s="1"/>
      <c r="V1460" s="1"/>
      <c r="W1460" s="1"/>
      <c r="X1460" s="1"/>
      <c r="Y1460" s="1"/>
      <c r="Z1460" s="1"/>
    </row>
    <row r="1461">
      <c r="A1461" s="1"/>
      <c r="B1461" s="1"/>
      <c r="C1461" s="1"/>
      <c r="D1461" s="1"/>
      <c r="E1461" s="1"/>
      <c r="F1461" s="1"/>
      <c r="G1461" s="1"/>
      <c r="H1461" s="1"/>
      <c r="I1461" s="1"/>
      <c r="J1461" s="1"/>
      <c r="K1461" s="1"/>
      <c r="L1461" s="1"/>
      <c r="M1461" s="1"/>
      <c r="N1461" s="1"/>
      <c r="O1461" s="1"/>
      <c r="P1461" s="1"/>
      <c r="Q1461" s="1"/>
      <c r="R1461" s="1"/>
      <c r="S1461" s="1"/>
      <c r="T1461" s="1"/>
      <c r="U1461" s="1"/>
      <c r="V1461" s="1"/>
      <c r="W1461" s="1"/>
      <c r="X1461" s="1"/>
      <c r="Y1461" s="1"/>
      <c r="Z1461" s="1"/>
    </row>
    <row r="1462">
      <c r="A1462" s="1"/>
      <c r="B1462" s="1"/>
      <c r="C1462" s="1"/>
      <c r="D1462" s="1"/>
      <c r="E1462" s="1"/>
      <c r="F1462" s="1"/>
      <c r="G1462" s="1"/>
      <c r="H1462" s="1"/>
      <c r="I1462" s="1"/>
      <c r="J1462" s="1"/>
      <c r="K1462" s="1"/>
      <c r="L1462" s="1"/>
      <c r="M1462" s="1"/>
      <c r="N1462" s="1"/>
      <c r="O1462" s="1"/>
      <c r="P1462" s="1"/>
      <c r="Q1462" s="1"/>
      <c r="R1462" s="1"/>
      <c r="S1462" s="1"/>
      <c r="T1462" s="1"/>
      <c r="U1462" s="1"/>
      <c r="V1462" s="1"/>
      <c r="W1462" s="1"/>
      <c r="X1462" s="1"/>
      <c r="Y1462" s="1"/>
      <c r="Z1462" s="1"/>
    </row>
    <row r="1463">
      <c r="A1463" s="1"/>
      <c r="B1463" s="1"/>
      <c r="C1463" s="1"/>
      <c r="D1463" s="1"/>
      <c r="E1463" s="1"/>
      <c r="F1463" s="1"/>
      <c r="G1463" s="1"/>
      <c r="H1463" s="1"/>
      <c r="I1463" s="1"/>
      <c r="J1463" s="1"/>
      <c r="K1463" s="1"/>
      <c r="L1463" s="1"/>
      <c r="M1463" s="1"/>
      <c r="N1463" s="1"/>
      <c r="O1463" s="1"/>
      <c r="P1463" s="1"/>
      <c r="Q1463" s="1"/>
      <c r="R1463" s="1"/>
      <c r="S1463" s="1"/>
      <c r="T1463" s="1"/>
      <c r="U1463" s="1"/>
      <c r="V1463" s="1"/>
      <c r="W1463" s="1"/>
      <c r="X1463" s="1"/>
      <c r="Y1463" s="1"/>
      <c r="Z1463" s="1"/>
    </row>
    <row r="1464">
      <c r="A1464" s="1"/>
      <c r="B1464" s="1"/>
      <c r="C1464" s="1"/>
      <c r="D1464" s="1"/>
      <c r="E1464" s="1"/>
      <c r="F1464" s="1"/>
      <c r="G1464" s="1"/>
      <c r="H1464" s="1"/>
      <c r="I1464" s="1"/>
      <c r="J1464" s="1"/>
      <c r="K1464" s="1"/>
      <c r="L1464" s="1"/>
      <c r="M1464" s="1"/>
      <c r="N1464" s="1"/>
      <c r="O1464" s="1"/>
      <c r="P1464" s="1"/>
      <c r="Q1464" s="1"/>
      <c r="R1464" s="1"/>
      <c r="S1464" s="1"/>
      <c r="T1464" s="1"/>
      <c r="U1464" s="1"/>
      <c r="V1464" s="1"/>
      <c r="W1464" s="1"/>
      <c r="X1464" s="1"/>
      <c r="Y1464" s="1"/>
      <c r="Z1464" s="1"/>
    </row>
    <row r="1465">
      <c r="A1465" s="1"/>
      <c r="B1465" s="1"/>
      <c r="C1465" s="1"/>
      <c r="D1465" s="1"/>
      <c r="E1465" s="1"/>
      <c r="F1465" s="1"/>
      <c r="G1465" s="1"/>
      <c r="H1465" s="1"/>
      <c r="I1465" s="1"/>
      <c r="J1465" s="1"/>
      <c r="K1465" s="1"/>
      <c r="L1465" s="1"/>
      <c r="M1465" s="1"/>
      <c r="N1465" s="1"/>
      <c r="O1465" s="1"/>
      <c r="P1465" s="1"/>
      <c r="Q1465" s="1"/>
      <c r="R1465" s="1"/>
      <c r="S1465" s="1"/>
      <c r="T1465" s="1"/>
      <c r="U1465" s="1"/>
      <c r="V1465" s="1"/>
      <c r="W1465" s="1"/>
      <c r="X1465" s="1"/>
      <c r="Y1465" s="1"/>
      <c r="Z1465" s="1"/>
    </row>
    <row r="1466">
      <c r="A1466" s="1"/>
      <c r="B1466" s="1"/>
      <c r="C1466" s="1"/>
      <c r="D1466" s="1"/>
      <c r="E1466" s="1"/>
      <c r="F1466" s="1"/>
      <c r="G1466" s="1"/>
      <c r="H1466" s="1"/>
      <c r="I1466" s="1"/>
      <c r="J1466" s="1"/>
      <c r="K1466" s="1"/>
      <c r="L1466" s="1"/>
      <c r="M1466" s="1"/>
      <c r="N1466" s="1"/>
      <c r="O1466" s="1"/>
      <c r="P1466" s="1"/>
      <c r="Q1466" s="1"/>
      <c r="R1466" s="1"/>
      <c r="S1466" s="1"/>
      <c r="T1466" s="1"/>
      <c r="U1466" s="1"/>
      <c r="V1466" s="1"/>
      <c r="W1466" s="1"/>
      <c r="X1466" s="1"/>
      <c r="Y1466" s="1"/>
      <c r="Z1466" s="1"/>
    </row>
    <row r="1467">
      <c r="A1467" s="1"/>
      <c r="B1467" s="1"/>
      <c r="C1467" s="1"/>
      <c r="D1467" s="1"/>
      <c r="E1467" s="1"/>
      <c r="F1467" s="1"/>
      <c r="G1467" s="1"/>
      <c r="H1467" s="1"/>
      <c r="I1467" s="1"/>
      <c r="J1467" s="1"/>
      <c r="K1467" s="1"/>
      <c r="L1467" s="1"/>
      <c r="M1467" s="1"/>
      <c r="N1467" s="1"/>
      <c r="O1467" s="1"/>
      <c r="P1467" s="1"/>
      <c r="Q1467" s="1"/>
      <c r="R1467" s="1"/>
      <c r="S1467" s="1"/>
      <c r="T1467" s="1"/>
      <c r="U1467" s="1"/>
      <c r="V1467" s="1"/>
      <c r="W1467" s="1"/>
      <c r="X1467" s="1"/>
      <c r="Y1467" s="1"/>
      <c r="Z1467" s="1"/>
    </row>
    <row r="1468">
      <c r="A1468" s="1"/>
      <c r="B1468" s="1"/>
      <c r="C1468" s="1"/>
      <c r="D1468" s="1"/>
      <c r="E1468" s="1"/>
      <c r="F1468" s="1"/>
      <c r="G1468" s="1"/>
      <c r="H1468" s="1"/>
      <c r="I1468" s="1"/>
      <c r="J1468" s="1"/>
      <c r="K1468" s="1"/>
      <c r="L1468" s="1"/>
      <c r="M1468" s="1"/>
      <c r="N1468" s="1"/>
      <c r="O1468" s="1"/>
      <c r="P1468" s="1"/>
      <c r="Q1468" s="1"/>
      <c r="R1468" s="1"/>
      <c r="S1468" s="1"/>
      <c r="T1468" s="1"/>
      <c r="U1468" s="1"/>
      <c r="V1468" s="1"/>
      <c r="W1468" s="1"/>
      <c r="X1468" s="1"/>
      <c r="Y1468" s="1"/>
      <c r="Z1468" s="1"/>
    </row>
    <row r="1469">
      <c r="A1469" s="1"/>
      <c r="B1469" s="1"/>
      <c r="C1469" s="1"/>
      <c r="D1469" s="1"/>
      <c r="E1469" s="1"/>
      <c r="F1469" s="1"/>
      <c r="G1469" s="1"/>
      <c r="H1469" s="1"/>
      <c r="I1469" s="1"/>
      <c r="J1469" s="1"/>
      <c r="K1469" s="1"/>
      <c r="L1469" s="1"/>
      <c r="M1469" s="1"/>
      <c r="N1469" s="1"/>
      <c r="O1469" s="1"/>
      <c r="P1469" s="1"/>
      <c r="Q1469" s="1"/>
      <c r="R1469" s="1"/>
      <c r="S1469" s="1"/>
      <c r="T1469" s="1"/>
      <c r="U1469" s="1"/>
      <c r="V1469" s="1"/>
      <c r="W1469" s="1"/>
      <c r="X1469" s="1"/>
      <c r="Y1469" s="1"/>
      <c r="Z1469" s="1"/>
    </row>
    <row r="1470">
      <c r="A1470" s="1"/>
      <c r="B1470" s="1"/>
      <c r="C1470" s="1"/>
      <c r="D1470" s="1"/>
      <c r="E1470" s="1"/>
      <c r="F1470" s="1"/>
      <c r="G1470" s="1"/>
      <c r="H1470" s="1"/>
      <c r="I1470" s="1"/>
      <c r="J1470" s="1"/>
      <c r="K1470" s="1"/>
      <c r="L1470" s="1"/>
      <c r="M1470" s="1"/>
      <c r="N1470" s="1"/>
      <c r="O1470" s="1"/>
      <c r="P1470" s="1"/>
      <c r="Q1470" s="1"/>
      <c r="R1470" s="1"/>
      <c r="S1470" s="1"/>
      <c r="T1470" s="1"/>
      <c r="U1470" s="1"/>
      <c r="V1470" s="1"/>
      <c r="W1470" s="1"/>
      <c r="X1470" s="1"/>
      <c r="Y1470" s="1"/>
      <c r="Z1470" s="1"/>
    </row>
    <row r="1471">
      <c r="A1471" s="1"/>
      <c r="B1471" s="1"/>
      <c r="C1471" s="1"/>
      <c r="D1471" s="1"/>
      <c r="E1471" s="1"/>
      <c r="F1471" s="1"/>
      <c r="G1471" s="1"/>
      <c r="H1471" s="1"/>
      <c r="I1471" s="1"/>
      <c r="J1471" s="1"/>
      <c r="K1471" s="1"/>
      <c r="L1471" s="1"/>
      <c r="M1471" s="1"/>
      <c r="N1471" s="1"/>
      <c r="O1471" s="1"/>
      <c r="P1471" s="1"/>
      <c r="Q1471" s="1"/>
      <c r="R1471" s="1"/>
      <c r="S1471" s="1"/>
      <c r="T1471" s="1"/>
      <c r="U1471" s="1"/>
      <c r="V1471" s="1"/>
      <c r="W1471" s="1"/>
      <c r="X1471" s="1"/>
      <c r="Y1471" s="1"/>
      <c r="Z1471" s="1"/>
    </row>
    <row r="1472">
      <c r="A1472" s="1"/>
      <c r="B1472" s="1"/>
      <c r="C1472" s="1"/>
      <c r="D1472" s="1"/>
      <c r="E1472" s="1"/>
      <c r="F1472" s="1"/>
      <c r="G1472" s="1"/>
      <c r="H1472" s="1"/>
      <c r="I1472" s="1"/>
      <c r="J1472" s="1"/>
      <c r="K1472" s="1"/>
      <c r="L1472" s="1"/>
      <c r="M1472" s="1"/>
      <c r="N1472" s="1"/>
      <c r="O1472" s="1"/>
      <c r="P1472" s="1"/>
      <c r="Q1472" s="1"/>
      <c r="R1472" s="1"/>
      <c r="S1472" s="1"/>
      <c r="T1472" s="1"/>
      <c r="U1472" s="1"/>
      <c r="V1472" s="1"/>
      <c r="W1472" s="1"/>
      <c r="X1472" s="1"/>
      <c r="Y1472" s="1"/>
      <c r="Z1472" s="1"/>
    </row>
    <row r="1473">
      <c r="A1473" s="1"/>
      <c r="B1473" s="1"/>
      <c r="C1473" s="1"/>
      <c r="D1473" s="1"/>
      <c r="E1473" s="1"/>
      <c r="F1473" s="1"/>
      <c r="G1473" s="1"/>
      <c r="H1473" s="1"/>
      <c r="I1473" s="1"/>
      <c r="J1473" s="1"/>
      <c r="K1473" s="1"/>
      <c r="L1473" s="1"/>
      <c r="M1473" s="1"/>
      <c r="N1473" s="1"/>
      <c r="O1473" s="1"/>
      <c r="P1473" s="1"/>
      <c r="Q1473" s="1"/>
      <c r="R1473" s="1"/>
      <c r="S1473" s="1"/>
      <c r="T1473" s="1"/>
      <c r="U1473" s="1"/>
      <c r="V1473" s="1"/>
      <c r="W1473" s="1"/>
      <c r="X1473" s="1"/>
      <c r="Y1473" s="1"/>
      <c r="Z1473" s="1"/>
    </row>
    <row r="1474">
      <c r="A1474" s="1"/>
      <c r="B1474" s="1"/>
      <c r="C1474" s="1"/>
      <c r="D1474" s="1"/>
      <c r="E1474" s="1"/>
      <c r="F1474" s="1"/>
      <c r="G1474" s="1"/>
      <c r="H1474" s="1"/>
      <c r="I1474" s="1"/>
      <c r="J1474" s="1"/>
      <c r="K1474" s="1"/>
      <c r="L1474" s="1"/>
      <c r="M1474" s="1"/>
      <c r="N1474" s="1"/>
      <c r="O1474" s="1"/>
      <c r="P1474" s="1"/>
      <c r="Q1474" s="1"/>
      <c r="R1474" s="1"/>
      <c r="S1474" s="1"/>
      <c r="T1474" s="1"/>
      <c r="U1474" s="1"/>
      <c r="V1474" s="1"/>
      <c r="W1474" s="1"/>
      <c r="X1474" s="1"/>
      <c r="Y1474" s="1"/>
      <c r="Z1474" s="1"/>
    </row>
    <row r="1475">
      <c r="A1475" s="1"/>
      <c r="B1475" s="1"/>
      <c r="C1475" s="1"/>
      <c r="D1475" s="1"/>
      <c r="E1475" s="1"/>
      <c r="F1475" s="1"/>
      <c r="G1475" s="1"/>
      <c r="H1475" s="1"/>
      <c r="I1475" s="1"/>
      <c r="J1475" s="1"/>
      <c r="K1475" s="1"/>
      <c r="L1475" s="1"/>
      <c r="M1475" s="1"/>
      <c r="N1475" s="1"/>
      <c r="O1475" s="1"/>
      <c r="P1475" s="1"/>
      <c r="Q1475" s="1"/>
      <c r="R1475" s="1"/>
      <c r="S1475" s="1"/>
      <c r="T1475" s="1"/>
      <c r="U1475" s="1"/>
      <c r="V1475" s="1"/>
      <c r="W1475" s="1"/>
      <c r="X1475" s="1"/>
      <c r="Y1475" s="1"/>
      <c r="Z1475" s="1"/>
    </row>
    <row r="1476">
      <c r="A1476" s="1"/>
      <c r="B1476" s="1"/>
      <c r="C1476" s="1"/>
      <c r="D1476" s="1"/>
      <c r="E1476" s="1"/>
      <c r="F1476" s="1"/>
      <c r="G1476" s="1"/>
      <c r="H1476" s="1"/>
      <c r="I1476" s="1"/>
      <c r="J1476" s="1"/>
      <c r="K1476" s="1"/>
      <c r="L1476" s="1"/>
      <c r="M1476" s="1"/>
      <c r="N1476" s="1"/>
      <c r="O1476" s="1"/>
      <c r="P1476" s="1"/>
      <c r="Q1476" s="1"/>
      <c r="R1476" s="1"/>
      <c r="S1476" s="1"/>
      <c r="T1476" s="1"/>
      <c r="U1476" s="1"/>
      <c r="V1476" s="1"/>
      <c r="W1476" s="1"/>
      <c r="X1476" s="1"/>
      <c r="Y1476" s="1"/>
      <c r="Z1476" s="1"/>
    </row>
    <row r="1477">
      <c r="A1477" s="1"/>
      <c r="B1477" s="1"/>
      <c r="C1477" s="1"/>
      <c r="D1477" s="1"/>
      <c r="E1477" s="1"/>
      <c r="F1477" s="1"/>
      <c r="G1477" s="1"/>
      <c r="H1477" s="1"/>
      <c r="I1477" s="1"/>
      <c r="J1477" s="1"/>
      <c r="K1477" s="1"/>
      <c r="L1477" s="1"/>
      <c r="M1477" s="1"/>
      <c r="N1477" s="1"/>
      <c r="O1477" s="1"/>
      <c r="P1477" s="1"/>
      <c r="Q1477" s="1"/>
      <c r="R1477" s="1"/>
      <c r="S1477" s="1"/>
      <c r="T1477" s="1"/>
      <c r="U1477" s="1"/>
      <c r="V1477" s="1"/>
      <c r="W1477" s="1"/>
      <c r="X1477" s="1"/>
      <c r="Y1477" s="1"/>
      <c r="Z1477" s="1"/>
    </row>
    <row r="1478">
      <c r="A1478" s="1"/>
      <c r="B1478" s="1"/>
      <c r="C1478" s="1"/>
      <c r="D1478" s="1"/>
      <c r="E1478" s="1"/>
      <c r="F1478" s="1"/>
      <c r="G1478" s="1"/>
      <c r="H1478" s="1"/>
      <c r="I1478" s="1"/>
      <c r="J1478" s="1"/>
      <c r="K1478" s="1"/>
      <c r="L1478" s="1"/>
      <c r="M1478" s="1"/>
      <c r="N1478" s="1"/>
      <c r="O1478" s="1"/>
      <c r="P1478" s="1"/>
      <c r="Q1478" s="1"/>
      <c r="R1478" s="1"/>
      <c r="S1478" s="1"/>
      <c r="T1478" s="1"/>
      <c r="U1478" s="1"/>
      <c r="V1478" s="1"/>
      <c r="W1478" s="1"/>
      <c r="X1478" s="1"/>
      <c r="Y1478" s="1"/>
      <c r="Z1478" s="1"/>
    </row>
    <row r="1479">
      <c r="A1479" s="1"/>
      <c r="B1479" s="1"/>
      <c r="C1479" s="1"/>
      <c r="D1479" s="1"/>
      <c r="E1479" s="1"/>
      <c r="F1479" s="1"/>
      <c r="G1479" s="1"/>
      <c r="H1479" s="1"/>
      <c r="I1479" s="1"/>
      <c r="J1479" s="1"/>
      <c r="K1479" s="1"/>
      <c r="L1479" s="1"/>
      <c r="M1479" s="1"/>
      <c r="N1479" s="1"/>
      <c r="O1479" s="1"/>
      <c r="P1479" s="1"/>
      <c r="Q1479" s="1"/>
      <c r="R1479" s="1"/>
      <c r="S1479" s="1"/>
      <c r="T1479" s="1"/>
      <c r="U1479" s="1"/>
      <c r="V1479" s="1"/>
      <c r="W1479" s="1"/>
      <c r="X1479" s="1"/>
      <c r="Y1479" s="1"/>
      <c r="Z1479" s="1"/>
    </row>
    <row r="1480">
      <c r="A1480" s="1"/>
      <c r="B1480" s="1"/>
      <c r="C1480" s="1"/>
      <c r="D1480" s="1"/>
      <c r="E1480" s="1"/>
      <c r="F1480" s="1"/>
      <c r="G1480" s="1"/>
      <c r="H1480" s="1"/>
      <c r="I1480" s="1"/>
      <c r="J1480" s="1"/>
      <c r="K1480" s="1"/>
      <c r="L1480" s="1"/>
      <c r="M1480" s="1"/>
      <c r="N1480" s="1"/>
      <c r="O1480" s="1"/>
      <c r="P1480" s="1"/>
      <c r="Q1480" s="1"/>
      <c r="R1480" s="1"/>
      <c r="S1480" s="1"/>
      <c r="T1480" s="1"/>
      <c r="U1480" s="1"/>
      <c r="V1480" s="1"/>
      <c r="W1480" s="1"/>
      <c r="X1480" s="1"/>
      <c r="Y1480" s="1"/>
      <c r="Z1480" s="1"/>
    </row>
    <row r="1481">
      <c r="A1481" s="1"/>
      <c r="B1481" s="1"/>
      <c r="C1481" s="1"/>
      <c r="D1481" s="1"/>
      <c r="E1481" s="1"/>
      <c r="F1481" s="1"/>
      <c r="G1481" s="1"/>
      <c r="H1481" s="1"/>
      <c r="I1481" s="1"/>
      <c r="J1481" s="1"/>
      <c r="K1481" s="1"/>
      <c r="L1481" s="1"/>
      <c r="M1481" s="1"/>
      <c r="N1481" s="1"/>
      <c r="O1481" s="1"/>
      <c r="P1481" s="1"/>
      <c r="Q1481" s="1"/>
      <c r="R1481" s="1"/>
      <c r="S1481" s="1"/>
      <c r="T1481" s="1"/>
      <c r="U1481" s="1"/>
      <c r="V1481" s="1"/>
      <c r="W1481" s="1"/>
      <c r="X1481" s="1"/>
      <c r="Y1481" s="1"/>
      <c r="Z1481" s="1"/>
    </row>
    <row r="1482">
      <c r="A1482" s="1"/>
      <c r="B1482" s="1"/>
      <c r="C1482" s="1"/>
      <c r="D1482" s="1"/>
      <c r="E1482" s="1"/>
      <c r="F1482" s="1"/>
      <c r="G1482" s="1"/>
      <c r="H1482" s="1"/>
      <c r="I1482" s="1"/>
      <c r="J1482" s="1"/>
      <c r="K1482" s="1"/>
      <c r="L1482" s="1"/>
      <c r="M1482" s="1"/>
      <c r="N1482" s="1"/>
      <c r="O1482" s="1"/>
      <c r="P1482" s="1"/>
      <c r="Q1482" s="1"/>
      <c r="R1482" s="1"/>
      <c r="S1482" s="1"/>
      <c r="T1482" s="1"/>
      <c r="U1482" s="1"/>
      <c r="V1482" s="1"/>
      <c r="W1482" s="1"/>
      <c r="X1482" s="1"/>
      <c r="Y1482" s="1"/>
      <c r="Z1482" s="1"/>
    </row>
    <row r="1483">
      <c r="A1483" s="1"/>
      <c r="B1483" s="1"/>
      <c r="C1483" s="1"/>
      <c r="D1483" s="1"/>
      <c r="E1483" s="1"/>
      <c r="F1483" s="1"/>
      <c r="G1483" s="1"/>
      <c r="H1483" s="1"/>
      <c r="I1483" s="1"/>
      <c r="J1483" s="1"/>
      <c r="K1483" s="1"/>
      <c r="L1483" s="1"/>
      <c r="M1483" s="1"/>
      <c r="N1483" s="1"/>
      <c r="O1483" s="1"/>
      <c r="P1483" s="1"/>
      <c r="Q1483" s="1"/>
      <c r="R1483" s="1"/>
      <c r="S1483" s="1"/>
      <c r="T1483" s="1"/>
      <c r="U1483" s="1"/>
      <c r="V1483" s="1"/>
      <c r="W1483" s="1"/>
      <c r="X1483" s="1"/>
      <c r="Y1483" s="1"/>
      <c r="Z1483" s="1"/>
    </row>
    <row r="1484">
      <c r="A1484" s="1"/>
      <c r="B1484" s="1"/>
      <c r="C1484" s="1"/>
      <c r="D1484" s="1"/>
      <c r="E1484" s="1"/>
      <c r="F1484" s="1"/>
      <c r="G1484" s="1"/>
      <c r="H1484" s="1"/>
      <c r="I1484" s="1"/>
      <c r="J1484" s="1"/>
      <c r="K1484" s="1"/>
      <c r="L1484" s="1"/>
      <c r="M1484" s="1"/>
      <c r="N1484" s="1"/>
      <c r="O1484" s="1"/>
      <c r="P1484" s="1"/>
      <c r="Q1484" s="1"/>
      <c r="R1484" s="1"/>
      <c r="S1484" s="1"/>
      <c r="T1484" s="1"/>
      <c r="U1484" s="1"/>
      <c r="V1484" s="1"/>
      <c r="W1484" s="1"/>
      <c r="X1484" s="1"/>
      <c r="Y1484" s="1"/>
      <c r="Z1484" s="1"/>
    </row>
    <row r="1485">
      <c r="A1485" s="1"/>
      <c r="B1485" s="1"/>
      <c r="C1485" s="1"/>
      <c r="D1485" s="1"/>
      <c r="E1485" s="1"/>
      <c r="F1485" s="1"/>
      <c r="G1485" s="1"/>
      <c r="H1485" s="1"/>
      <c r="I1485" s="1"/>
      <c r="J1485" s="1"/>
      <c r="K1485" s="1"/>
      <c r="L1485" s="1"/>
      <c r="M1485" s="1"/>
      <c r="N1485" s="1"/>
      <c r="O1485" s="1"/>
      <c r="P1485" s="1"/>
      <c r="Q1485" s="1"/>
      <c r="R1485" s="1"/>
      <c r="S1485" s="1"/>
      <c r="T1485" s="1"/>
      <c r="U1485" s="1"/>
      <c r="V1485" s="1"/>
      <c r="W1485" s="1"/>
      <c r="X1485" s="1"/>
      <c r="Y1485" s="1"/>
      <c r="Z1485" s="1"/>
    </row>
    <row r="1486">
      <c r="A1486" s="1"/>
      <c r="B1486" s="1"/>
      <c r="C1486" s="1"/>
      <c r="D1486" s="1"/>
      <c r="E1486" s="1"/>
      <c r="F1486" s="1"/>
      <c r="G1486" s="1"/>
      <c r="H1486" s="1"/>
      <c r="I1486" s="1"/>
      <c r="J1486" s="1"/>
      <c r="K1486" s="1"/>
      <c r="L1486" s="1"/>
      <c r="M1486" s="1"/>
      <c r="N1486" s="1"/>
      <c r="O1486" s="1"/>
      <c r="P1486" s="1"/>
      <c r="Q1486" s="1"/>
      <c r="R1486" s="1"/>
      <c r="S1486" s="1"/>
      <c r="T1486" s="1"/>
      <c r="U1486" s="1"/>
      <c r="V1486" s="1"/>
      <c r="W1486" s="1"/>
      <c r="X1486" s="1"/>
      <c r="Y1486" s="1"/>
      <c r="Z1486" s="1"/>
    </row>
    <row r="1487">
      <c r="A1487" s="1"/>
      <c r="B1487" s="1"/>
      <c r="C1487" s="1"/>
      <c r="D1487" s="1"/>
      <c r="E1487" s="1"/>
      <c r="F1487" s="1"/>
      <c r="G1487" s="1"/>
      <c r="H1487" s="1"/>
      <c r="I1487" s="1"/>
      <c r="J1487" s="1"/>
      <c r="K1487" s="1"/>
      <c r="L1487" s="1"/>
      <c r="M1487" s="1"/>
      <c r="N1487" s="1"/>
      <c r="O1487" s="1"/>
      <c r="P1487" s="1"/>
      <c r="Q1487" s="1"/>
      <c r="R1487" s="1"/>
      <c r="S1487" s="1"/>
      <c r="T1487" s="1"/>
      <c r="U1487" s="1"/>
      <c r="V1487" s="1"/>
      <c r="W1487" s="1"/>
      <c r="X1487" s="1"/>
      <c r="Y1487" s="1"/>
      <c r="Z1487" s="1"/>
    </row>
    <row r="1488">
      <c r="A1488" s="1"/>
      <c r="B1488" s="1"/>
      <c r="C1488" s="1"/>
      <c r="D1488" s="1"/>
      <c r="E1488" s="1"/>
      <c r="F1488" s="1"/>
      <c r="G1488" s="1"/>
      <c r="H1488" s="1"/>
      <c r="I1488" s="1"/>
      <c r="J1488" s="1"/>
      <c r="K1488" s="1"/>
      <c r="L1488" s="1"/>
      <c r="M1488" s="1"/>
      <c r="N1488" s="1"/>
      <c r="O1488" s="1"/>
      <c r="P1488" s="1"/>
      <c r="Q1488" s="1"/>
      <c r="R1488" s="1"/>
      <c r="S1488" s="1"/>
      <c r="T1488" s="1"/>
      <c r="U1488" s="1"/>
      <c r="V1488" s="1"/>
      <c r="W1488" s="1"/>
      <c r="X1488" s="1"/>
      <c r="Y1488" s="1"/>
      <c r="Z1488" s="1"/>
    </row>
    <row r="1489">
      <c r="A1489" s="1"/>
      <c r="B1489" s="1"/>
      <c r="C1489" s="1"/>
      <c r="D1489" s="1"/>
      <c r="E1489" s="1"/>
      <c r="F1489" s="1"/>
      <c r="G1489" s="1"/>
      <c r="H1489" s="1"/>
      <c r="I1489" s="1"/>
      <c r="J1489" s="1"/>
      <c r="K1489" s="1"/>
      <c r="L1489" s="1"/>
      <c r="M1489" s="1"/>
      <c r="N1489" s="1"/>
      <c r="O1489" s="1"/>
      <c r="P1489" s="1"/>
      <c r="Q1489" s="1"/>
      <c r="R1489" s="1"/>
      <c r="S1489" s="1"/>
      <c r="T1489" s="1"/>
      <c r="U1489" s="1"/>
      <c r="V1489" s="1"/>
      <c r="W1489" s="1"/>
      <c r="X1489" s="1"/>
      <c r="Y1489" s="1"/>
      <c r="Z1489" s="1"/>
    </row>
    <row r="1490">
      <c r="A1490" s="1"/>
      <c r="B1490" s="1"/>
      <c r="C1490" s="1"/>
      <c r="D1490" s="1"/>
      <c r="E1490" s="1"/>
      <c r="F1490" s="1"/>
      <c r="G1490" s="1"/>
      <c r="H1490" s="1"/>
      <c r="I1490" s="1"/>
      <c r="J1490" s="1"/>
      <c r="K1490" s="1"/>
      <c r="L1490" s="1"/>
      <c r="M1490" s="1"/>
      <c r="N1490" s="1"/>
      <c r="O1490" s="1"/>
      <c r="P1490" s="1"/>
      <c r="Q1490" s="1"/>
      <c r="R1490" s="1"/>
      <c r="S1490" s="1"/>
      <c r="T1490" s="1"/>
      <c r="U1490" s="1"/>
      <c r="V1490" s="1"/>
      <c r="W1490" s="1"/>
      <c r="X1490" s="1"/>
      <c r="Y1490" s="1"/>
      <c r="Z1490" s="1"/>
    </row>
    <row r="1491">
      <c r="A1491" s="1"/>
      <c r="B1491" s="1"/>
      <c r="C1491" s="1"/>
      <c r="D1491" s="1"/>
      <c r="E1491" s="1"/>
      <c r="F1491" s="1"/>
      <c r="G1491" s="1"/>
      <c r="H1491" s="1"/>
      <c r="I1491" s="1"/>
      <c r="J1491" s="1"/>
      <c r="K1491" s="1"/>
      <c r="L1491" s="1"/>
      <c r="M1491" s="1"/>
      <c r="N1491" s="1"/>
      <c r="O1491" s="1"/>
      <c r="P1491" s="1"/>
      <c r="Q1491" s="1"/>
      <c r="R1491" s="1"/>
      <c r="S1491" s="1"/>
      <c r="T1491" s="1"/>
      <c r="U1491" s="1"/>
      <c r="V1491" s="1"/>
      <c r="W1491" s="1"/>
      <c r="X1491" s="1"/>
      <c r="Y1491" s="1"/>
      <c r="Z1491" s="1"/>
    </row>
    <row r="1492">
      <c r="A1492" s="1"/>
      <c r="B1492" s="1"/>
      <c r="C1492" s="1"/>
      <c r="D1492" s="1"/>
      <c r="E1492" s="1"/>
      <c r="F1492" s="1"/>
      <c r="G1492" s="1"/>
      <c r="H1492" s="1"/>
      <c r="I1492" s="1"/>
      <c r="J1492" s="1"/>
      <c r="K1492" s="1"/>
      <c r="L1492" s="1"/>
      <c r="M1492" s="1"/>
      <c r="N1492" s="1"/>
      <c r="O1492" s="1"/>
      <c r="P1492" s="1"/>
      <c r="Q1492" s="1"/>
      <c r="R1492" s="1"/>
      <c r="S1492" s="1"/>
      <c r="T1492" s="1"/>
      <c r="U1492" s="1"/>
      <c r="V1492" s="1"/>
      <c r="W1492" s="1"/>
      <c r="X1492" s="1"/>
      <c r="Y1492" s="1"/>
      <c r="Z1492" s="1"/>
    </row>
    <row r="1493">
      <c r="A1493" s="1"/>
      <c r="B1493" s="1"/>
      <c r="C1493" s="1"/>
      <c r="D1493" s="1"/>
      <c r="E1493" s="1"/>
      <c r="F1493" s="1"/>
      <c r="G1493" s="1"/>
      <c r="H1493" s="1"/>
      <c r="I1493" s="1"/>
      <c r="J1493" s="1"/>
      <c r="K1493" s="1"/>
      <c r="L1493" s="1"/>
      <c r="M1493" s="1"/>
      <c r="N1493" s="1"/>
      <c r="O1493" s="1"/>
      <c r="P1493" s="1"/>
      <c r="Q1493" s="1"/>
      <c r="R1493" s="1"/>
      <c r="S1493" s="1"/>
      <c r="T1493" s="1"/>
      <c r="U1493" s="1"/>
      <c r="V1493" s="1"/>
      <c r="W1493" s="1"/>
      <c r="X1493" s="1"/>
      <c r="Y1493" s="1"/>
      <c r="Z1493" s="1"/>
    </row>
    <row r="1494">
      <c r="A1494" s="1"/>
      <c r="B1494" s="1"/>
      <c r="C1494" s="1"/>
      <c r="D1494" s="1"/>
      <c r="E1494" s="1"/>
      <c r="F1494" s="1"/>
      <c r="G1494" s="1"/>
      <c r="H1494" s="1"/>
      <c r="I1494" s="1"/>
      <c r="J1494" s="1"/>
      <c r="K1494" s="1"/>
      <c r="L1494" s="1"/>
      <c r="M1494" s="1"/>
      <c r="N1494" s="1"/>
      <c r="O1494" s="1"/>
      <c r="P1494" s="1"/>
      <c r="Q1494" s="1"/>
      <c r="R1494" s="1"/>
      <c r="S1494" s="1"/>
      <c r="T1494" s="1"/>
      <c r="U1494" s="1"/>
      <c r="V1494" s="1"/>
      <c r="W1494" s="1"/>
      <c r="X1494" s="1"/>
      <c r="Y1494" s="1"/>
      <c r="Z1494" s="1"/>
    </row>
    <row r="1495">
      <c r="A1495" s="1"/>
      <c r="B1495" s="1"/>
      <c r="C1495" s="1"/>
      <c r="D1495" s="1"/>
      <c r="E1495" s="1"/>
      <c r="F1495" s="1"/>
      <c r="G1495" s="1"/>
      <c r="H1495" s="1"/>
      <c r="I1495" s="1"/>
      <c r="J1495" s="1"/>
      <c r="K1495" s="1"/>
      <c r="L1495" s="1"/>
      <c r="M1495" s="1"/>
      <c r="N1495" s="1"/>
      <c r="O1495" s="1"/>
      <c r="P1495" s="1"/>
      <c r="Q1495" s="1"/>
      <c r="R1495" s="1"/>
      <c r="S1495" s="1"/>
      <c r="T1495" s="1"/>
      <c r="U1495" s="1"/>
      <c r="V1495" s="1"/>
      <c r="W1495" s="1"/>
      <c r="X1495" s="1"/>
      <c r="Y1495" s="1"/>
      <c r="Z1495" s="1"/>
    </row>
    <row r="1496">
      <c r="A1496" s="1"/>
      <c r="B1496" s="1"/>
      <c r="C1496" s="1"/>
      <c r="D1496" s="1"/>
      <c r="E1496" s="1"/>
      <c r="F1496" s="1"/>
      <c r="G1496" s="1"/>
      <c r="H1496" s="1"/>
      <c r="I1496" s="1"/>
      <c r="J1496" s="1"/>
      <c r="K1496" s="1"/>
      <c r="L1496" s="1"/>
      <c r="M1496" s="1"/>
      <c r="N1496" s="1"/>
      <c r="O1496" s="1"/>
      <c r="P1496" s="1"/>
      <c r="Q1496" s="1"/>
      <c r="R1496" s="1"/>
      <c r="S1496" s="1"/>
      <c r="T1496" s="1"/>
      <c r="U1496" s="1"/>
      <c r="V1496" s="1"/>
      <c r="W1496" s="1"/>
      <c r="X1496" s="1"/>
      <c r="Y1496" s="1"/>
      <c r="Z1496" s="1"/>
    </row>
    <row r="1497">
      <c r="A1497" s="1"/>
      <c r="B1497" s="1"/>
      <c r="C1497" s="1"/>
      <c r="D1497" s="1"/>
      <c r="E1497" s="1"/>
      <c r="F1497" s="1"/>
      <c r="G1497" s="1"/>
      <c r="H1497" s="1"/>
      <c r="I1497" s="1"/>
      <c r="J1497" s="1"/>
      <c r="K1497" s="1"/>
      <c r="L1497" s="1"/>
      <c r="M1497" s="1"/>
      <c r="N1497" s="1"/>
      <c r="O1497" s="1"/>
      <c r="P1497" s="1"/>
      <c r="Q1497" s="1"/>
      <c r="R1497" s="1"/>
      <c r="S1497" s="1"/>
      <c r="T1497" s="1"/>
      <c r="U1497" s="1"/>
      <c r="V1497" s="1"/>
      <c r="W1497" s="1"/>
      <c r="X1497" s="1"/>
      <c r="Y1497" s="1"/>
      <c r="Z1497" s="1"/>
    </row>
    <row r="1498">
      <c r="A1498" s="1"/>
      <c r="B1498" s="1"/>
      <c r="C1498" s="1"/>
      <c r="D1498" s="1"/>
      <c r="E1498" s="1"/>
      <c r="F1498" s="1"/>
      <c r="G1498" s="1"/>
      <c r="H1498" s="1"/>
      <c r="I1498" s="1"/>
      <c r="J1498" s="1"/>
      <c r="K1498" s="1"/>
      <c r="L1498" s="1"/>
      <c r="M1498" s="1"/>
      <c r="N1498" s="1"/>
      <c r="O1498" s="1"/>
      <c r="P1498" s="1"/>
      <c r="Q1498" s="1"/>
      <c r="R1498" s="1"/>
      <c r="S1498" s="1"/>
      <c r="T1498" s="1"/>
      <c r="U1498" s="1"/>
      <c r="V1498" s="1"/>
      <c r="W1498" s="1"/>
      <c r="X1498" s="1"/>
      <c r="Y1498" s="1"/>
      <c r="Z1498" s="1"/>
    </row>
    <row r="1499">
      <c r="A1499" s="1"/>
      <c r="B1499" s="1"/>
      <c r="C1499" s="1"/>
      <c r="D1499" s="1"/>
      <c r="E1499" s="1"/>
      <c r="F1499" s="1"/>
      <c r="G1499" s="1"/>
      <c r="H1499" s="1"/>
      <c r="I1499" s="1"/>
      <c r="J1499" s="1"/>
      <c r="K1499" s="1"/>
      <c r="L1499" s="1"/>
      <c r="M1499" s="1"/>
      <c r="N1499" s="1"/>
      <c r="O1499" s="1"/>
      <c r="P1499" s="1"/>
      <c r="Q1499" s="1"/>
      <c r="R1499" s="1"/>
      <c r="S1499" s="1"/>
      <c r="T1499" s="1"/>
      <c r="U1499" s="1"/>
      <c r="V1499" s="1"/>
      <c r="W1499" s="1"/>
      <c r="X1499" s="1"/>
      <c r="Y1499" s="1"/>
      <c r="Z1499" s="1"/>
    </row>
    <row r="1500">
      <c r="A1500" s="1"/>
      <c r="B1500" s="1"/>
      <c r="C1500" s="1"/>
      <c r="D1500" s="1"/>
      <c r="E1500" s="1"/>
      <c r="F1500" s="1"/>
      <c r="G1500" s="1"/>
      <c r="H1500" s="1"/>
      <c r="I1500" s="1"/>
      <c r="J1500" s="1"/>
      <c r="K1500" s="1"/>
      <c r="L1500" s="1"/>
      <c r="M1500" s="1"/>
      <c r="N1500" s="1"/>
      <c r="O1500" s="1"/>
      <c r="P1500" s="1"/>
      <c r="Q1500" s="1"/>
      <c r="R1500" s="1"/>
      <c r="S1500" s="1"/>
      <c r="T1500" s="1"/>
      <c r="U1500" s="1"/>
      <c r="V1500" s="1"/>
      <c r="W1500" s="1"/>
      <c r="X1500" s="1"/>
      <c r="Y1500" s="1"/>
      <c r="Z1500" s="1"/>
    </row>
    <row r="1501">
      <c r="A1501" s="1"/>
      <c r="B1501" s="1"/>
      <c r="C1501" s="1"/>
      <c r="D1501" s="1"/>
      <c r="E1501" s="1"/>
      <c r="F1501" s="1"/>
      <c r="G1501" s="1"/>
      <c r="H1501" s="1"/>
      <c r="I1501" s="1"/>
      <c r="J1501" s="1"/>
      <c r="K1501" s="1"/>
      <c r="L1501" s="1"/>
      <c r="M1501" s="1"/>
      <c r="N1501" s="1"/>
      <c r="O1501" s="1"/>
      <c r="P1501" s="1"/>
      <c r="Q1501" s="1"/>
      <c r="R1501" s="1"/>
      <c r="S1501" s="1"/>
      <c r="T1501" s="1"/>
      <c r="U1501" s="1"/>
      <c r="V1501" s="1"/>
      <c r="W1501" s="1"/>
      <c r="X1501" s="1"/>
      <c r="Y1501" s="1"/>
      <c r="Z1501" s="1"/>
    </row>
    <row r="1502">
      <c r="A1502" s="1"/>
      <c r="B1502" s="1"/>
      <c r="C1502" s="1"/>
      <c r="D1502" s="1"/>
      <c r="E1502" s="1"/>
      <c r="F1502" s="1"/>
      <c r="G1502" s="1"/>
      <c r="H1502" s="1"/>
      <c r="I1502" s="1"/>
      <c r="J1502" s="1"/>
      <c r="K1502" s="1"/>
      <c r="L1502" s="1"/>
      <c r="M1502" s="1"/>
      <c r="N1502" s="1"/>
      <c r="O1502" s="1"/>
      <c r="P1502" s="1"/>
      <c r="Q1502" s="1"/>
      <c r="R1502" s="1"/>
      <c r="S1502" s="1"/>
      <c r="T1502" s="1"/>
      <c r="U1502" s="1"/>
      <c r="V1502" s="1"/>
      <c r="W1502" s="1"/>
      <c r="X1502" s="1"/>
      <c r="Y1502" s="1"/>
      <c r="Z1502" s="1"/>
    </row>
    <row r="1503">
      <c r="A1503" s="1"/>
      <c r="B1503" s="1"/>
      <c r="C1503" s="1"/>
      <c r="D1503" s="1"/>
      <c r="E1503" s="1"/>
      <c r="F1503" s="1"/>
      <c r="G1503" s="1"/>
      <c r="H1503" s="1"/>
      <c r="I1503" s="1"/>
      <c r="J1503" s="1"/>
      <c r="K1503" s="1"/>
      <c r="L1503" s="1"/>
      <c r="M1503" s="1"/>
      <c r="N1503" s="1"/>
      <c r="O1503" s="1"/>
      <c r="P1503" s="1"/>
      <c r="Q1503" s="1"/>
      <c r="R1503" s="1"/>
      <c r="S1503" s="1"/>
      <c r="T1503" s="1"/>
      <c r="U1503" s="1"/>
      <c r="V1503" s="1"/>
      <c r="W1503" s="1"/>
      <c r="X1503" s="1"/>
      <c r="Y1503" s="1"/>
      <c r="Z1503" s="1"/>
    </row>
    <row r="1504">
      <c r="A1504" s="1"/>
      <c r="B1504" s="1"/>
      <c r="C1504" s="1"/>
      <c r="D1504" s="1"/>
      <c r="E1504" s="1"/>
      <c r="F1504" s="1"/>
      <c r="G1504" s="1"/>
      <c r="H1504" s="1"/>
      <c r="I1504" s="1"/>
      <c r="J1504" s="1"/>
      <c r="K1504" s="1"/>
      <c r="L1504" s="1"/>
      <c r="M1504" s="1"/>
      <c r="N1504" s="1"/>
      <c r="O1504" s="1"/>
      <c r="P1504" s="1"/>
      <c r="Q1504" s="1"/>
      <c r="R1504" s="1"/>
      <c r="S1504" s="1"/>
      <c r="T1504" s="1"/>
      <c r="U1504" s="1"/>
      <c r="V1504" s="1"/>
      <c r="W1504" s="1"/>
      <c r="X1504" s="1"/>
      <c r="Y1504" s="1"/>
      <c r="Z1504" s="1"/>
    </row>
    <row r="1505">
      <c r="A1505" s="1"/>
      <c r="B1505" s="1"/>
      <c r="C1505" s="1"/>
      <c r="D1505" s="1"/>
      <c r="E1505" s="1"/>
      <c r="F1505" s="1"/>
      <c r="G1505" s="1"/>
      <c r="H1505" s="1"/>
      <c r="I1505" s="1"/>
      <c r="J1505" s="1"/>
      <c r="K1505" s="1"/>
      <c r="L1505" s="1"/>
      <c r="M1505" s="1"/>
      <c r="N1505" s="1"/>
      <c r="O1505" s="1"/>
      <c r="P1505" s="1"/>
      <c r="Q1505" s="1"/>
      <c r="R1505" s="1"/>
      <c r="S1505" s="1"/>
      <c r="T1505" s="1"/>
      <c r="U1505" s="1"/>
      <c r="V1505" s="1"/>
      <c r="W1505" s="1"/>
      <c r="X1505" s="1"/>
      <c r="Y1505" s="1"/>
      <c r="Z1505" s="1"/>
    </row>
    <row r="1506">
      <c r="A1506" s="1"/>
      <c r="B1506" s="1"/>
      <c r="C1506" s="1"/>
      <c r="D1506" s="1"/>
      <c r="E1506" s="1"/>
      <c r="F1506" s="1"/>
      <c r="G1506" s="1"/>
      <c r="H1506" s="1"/>
      <c r="I1506" s="1"/>
      <c r="J1506" s="1"/>
      <c r="K1506" s="1"/>
      <c r="L1506" s="1"/>
      <c r="M1506" s="1"/>
      <c r="N1506" s="1"/>
      <c r="O1506" s="1"/>
      <c r="P1506" s="1"/>
      <c r="Q1506" s="1"/>
      <c r="R1506" s="1"/>
      <c r="S1506" s="1"/>
      <c r="T1506" s="1"/>
      <c r="U1506" s="1"/>
      <c r="V1506" s="1"/>
      <c r="W1506" s="1"/>
      <c r="X1506" s="1"/>
      <c r="Y1506" s="1"/>
      <c r="Z1506" s="1"/>
    </row>
    <row r="1507">
      <c r="A1507" s="1"/>
      <c r="B1507" s="1"/>
      <c r="C1507" s="1"/>
      <c r="D1507" s="1"/>
      <c r="E1507" s="1"/>
      <c r="F1507" s="1"/>
      <c r="G1507" s="1"/>
      <c r="H1507" s="1"/>
      <c r="I1507" s="1"/>
      <c r="J1507" s="1"/>
      <c r="K1507" s="1"/>
      <c r="L1507" s="1"/>
      <c r="M1507" s="1"/>
      <c r="N1507" s="1"/>
      <c r="O1507" s="1"/>
      <c r="P1507" s="1"/>
      <c r="Q1507" s="1"/>
      <c r="R1507" s="1"/>
      <c r="S1507" s="1"/>
      <c r="T1507" s="1"/>
      <c r="U1507" s="1"/>
      <c r="V1507" s="1"/>
      <c r="W1507" s="1"/>
      <c r="X1507" s="1"/>
      <c r="Y1507" s="1"/>
      <c r="Z1507" s="1"/>
    </row>
    <row r="1508">
      <c r="A1508" s="1"/>
      <c r="B1508" s="1"/>
      <c r="C1508" s="1"/>
      <c r="D1508" s="1"/>
      <c r="E1508" s="1"/>
      <c r="F1508" s="1"/>
      <c r="G1508" s="1"/>
      <c r="H1508" s="1"/>
      <c r="I1508" s="1"/>
      <c r="J1508" s="1"/>
      <c r="K1508" s="1"/>
      <c r="L1508" s="1"/>
      <c r="M1508" s="1"/>
      <c r="N1508" s="1"/>
      <c r="O1508" s="1"/>
      <c r="P1508" s="1"/>
      <c r="Q1508" s="1"/>
      <c r="R1508" s="1"/>
      <c r="S1508" s="1"/>
      <c r="T1508" s="1"/>
      <c r="U1508" s="1"/>
      <c r="V1508" s="1"/>
      <c r="W1508" s="1"/>
      <c r="X1508" s="1"/>
      <c r="Y1508" s="1"/>
      <c r="Z1508" s="1"/>
    </row>
    <row r="1509">
      <c r="A1509" s="1"/>
      <c r="B1509" s="1"/>
      <c r="C1509" s="1"/>
      <c r="D1509" s="1"/>
      <c r="E1509" s="1"/>
      <c r="F1509" s="1"/>
      <c r="G1509" s="1"/>
      <c r="H1509" s="1"/>
      <c r="I1509" s="1"/>
      <c r="J1509" s="1"/>
      <c r="K1509" s="1"/>
      <c r="L1509" s="1"/>
      <c r="M1509" s="1"/>
      <c r="N1509" s="1"/>
      <c r="O1509" s="1"/>
      <c r="P1509" s="1"/>
      <c r="Q1509" s="1"/>
      <c r="R1509" s="1"/>
      <c r="S1509" s="1"/>
      <c r="T1509" s="1"/>
      <c r="U1509" s="1"/>
      <c r="V1509" s="1"/>
      <c r="W1509" s="1"/>
      <c r="X1509" s="1"/>
      <c r="Y1509" s="1"/>
      <c r="Z1509" s="1"/>
    </row>
    <row r="1510">
      <c r="A1510" s="1"/>
      <c r="B1510" s="1"/>
      <c r="C1510" s="1"/>
      <c r="D1510" s="1"/>
      <c r="E1510" s="1"/>
      <c r="F1510" s="1"/>
      <c r="G1510" s="1"/>
      <c r="H1510" s="1"/>
      <c r="I1510" s="1"/>
      <c r="J1510" s="1"/>
      <c r="K1510" s="1"/>
      <c r="L1510" s="1"/>
      <c r="M1510" s="1"/>
      <c r="N1510" s="1"/>
      <c r="O1510" s="1"/>
      <c r="P1510" s="1"/>
      <c r="Q1510" s="1"/>
      <c r="R1510" s="1"/>
      <c r="S1510" s="1"/>
      <c r="T1510" s="1"/>
      <c r="U1510" s="1"/>
      <c r="V1510" s="1"/>
      <c r="W1510" s="1"/>
      <c r="X1510" s="1"/>
      <c r="Y1510" s="1"/>
      <c r="Z1510" s="1"/>
    </row>
    <row r="1511">
      <c r="A1511" s="1"/>
      <c r="B1511" s="1"/>
      <c r="C1511" s="1"/>
      <c r="D1511" s="1"/>
      <c r="E1511" s="1"/>
      <c r="F1511" s="1"/>
      <c r="G1511" s="1"/>
      <c r="H1511" s="1"/>
      <c r="I1511" s="1"/>
      <c r="J1511" s="1"/>
      <c r="K1511" s="1"/>
      <c r="L1511" s="1"/>
      <c r="M1511" s="1"/>
      <c r="N1511" s="1"/>
      <c r="O1511" s="1"/>
      <c r="P1511" s="1"/>
      <c r="Q1511" s="1"/>
      <c r="R1511" s="1"/>
      <c r="S1511" s="1"/>
      <c r="T1511" s="1"/>
      <c r="U1511" s="1"/>
      <c r="V1511" s="1"/>
      <c r="W1511" s="1"/>
      <c r="X1511" s="1"/>
      <c r="Y1511" s="1"/>
      <c r="Z1511" s="1"/>
    </row>
    <row r="1512">
      <c r="A1512" s="1"/>
      <c r="B1512" s="1"/>
      <c r="C1512" s="1"/>
      <c r="D1512" s="1"/>
      <c r="E1512" s="1"/>
      <c r="F1512" s="1"/>
      <c r="G1512" s="1"/>
      <c r="H1512" s="1"/>
      <c r="I1512" s="1"/>
      <c r="J1512" s="1"/>
      <c r="K1512" s="1"/>
      <c r="L1512" s="1"/>
      <c r="M1512" s="1"/>
      <c r="N1512" s="1"/>
      <c r="O1512" s="1"/>
      <c r="P1512" s="1"/>
      <c r="Q1512" s="1"/>
      <c r="R1512" s="1"/>
      <c r="S1512" s="1"/>
      <c r="T1512" s="1"/>
      <c r="U1512" s="1"/>
      <c r="V1512" s="1"/>
      <c r="W1512" s="1"/>
      <c r="X1512" s="1"/>
      <c r="Y1512" s="1"/>
      <c r="Z1512" s="1"/>
    </row>
    <row r="1513">
      <c r="A1513" s="1"/>
      <c r="B1513" s="1"/>
      <c r="C1513" s="1"/>
      <c r="D1513" s="1"/>
      <c r="E1513" s="1"/>
      <c r="F1513" s="1"/>
      <c r="G1513" s="1"/>
      <c r="H1513" s="1"/>
      <c r="I1513" s="1"/>
      <c r="J1513" s="1"/>
      <c r="K1513" s="1"/>
      <c r="L1513" s="1"/>
      <c r="M1513" s="1"/>
      <c r="N1513" s="1"/>
      <c r="O1513" s="1"/>
      <c r="P1513" s="1"/>
      <c r="Q1513" s="1"/>
      <c r="R1513" s="1"/>
      <c r="S1513" s="1"/>
      <c r="T1513" s="1"/>
      <c r="U1513" s="1"/>
      <c r="V1513" s="1"/>
      <c r="W1513" s="1"/>
      <c r="X1513" s="1"/>
      <c r="Y1513" s="1"/>
      <c r="Z1513" s="1"/>
    </row>
    <row r="1514">
      <c r="A1514" s="1"/>
      <c r="B1514" s="1"/>
      <c r="C1514" s="1"/>
      <c r="D1514" s="1"/>
      <c r="E1514" s="1"/>
      <c r="F1514" s="1"/>
      <c r="G1514" s="1"/>
      <c r="H1514" s="1"/>
      <c r="I1514" s="1"/>
      <c r="J1514" s="1"/>
      <c r="K1514" s="1"/>
      <c r="L1514" s="1"/>
      <c r="M1514" s="1"/>
      <c r="N1514" s="1"/>
      <c r="O1514" s="1"/>
      <c r="P1514" s="1"/>
      <c r="Q1514" s="1"/>
      <c r="R1514" s="1"/>
      <c r="S1514" s="1"/>
      <c r="T1514" s="1"/>
      <c r="U1514" s="1"/>
      <c r="V1514" s="1"/>
      <c r="W1514" s="1"/>
      <c r="X1514" s="1"/>
      <c r="Y1514" s="1"/>
      <c r="Z1514" s="1"/>
    </row>
    <row r="1515">
      <c r="A1515" s="1"/>
      <c r="B1515" s="1"/>
      <c r="C1515" s="1"/>
      <c r="D1515" s="1"/>
      <c r="E1515" s="1"/>
      <c r="F1515" s="1"/>
      <c r="G1515" s="1"/>
      <c r="H1515" s="1"/>
      <c r="I1515" s="1"/>
      <c r="J1515" s="1"/>
      <c r="K1515" s="1"/>
      <c r="L1515" s="1"/>
      <c r="M1515" s="1"/>
      <c r="N1515" s="1"/>
      <c r="O1515" s="1"/>
      <c r="P1515" s="1"/>
      <c r="Q1515" s="1"/>
      <c r="R1515" s="1"/>
      <c r="S1515" s="1"/>
      <c r="T1515" s="1"/>
      <c r="U1515" s="1"/>
      <c r="V1515" s="1"/>
      <c r="W1515" s="1"/>
      <c r="X1515" s="1"/>
      <c r="Y1515" s="1"/>
      <c r="Z1515" s="1"/>
    </row>
    <row r="1516">
      <c r="A1516" s="1"/>
      <c r="B1516" s="1"/>
      <c r="C1516" s="1"/>
      <c r="D1516" s="1"/>
      <c r="E1516" s="1"/>
      <c r="F1516" s="1"/>
      <c r="G1516" s="1"/>
      <c r="H1516" s="1"/>
      <c r="I1516" s="1"/>
      <c r="J1516" s="1"/>
      <c r="K1516" s="1"/>
      <c r="L1516" s="1"/>
      <c r="M1516" s="1"/>
      <c r="N1516" s="1"/>
      <c r="O1516" s="1"/>
      <c r="P1516" s="1"/>
      <c r="Q1516" s="1"/>
      <c r="R1516" s="1"/>
      <c r="S1516" s="1"/>
      <c r="T1516" s="1"/>
      <c r="U1516" s="1"/>
      <c r="V1516" s="1"/>
      <c r="W1516" s="1"/>
      <c r="X1516" s="1"/>
      <c r="Y1516" s="1"/>
      <c r="Z1516" s="1"/>
    </row>
    <row r="1517">
      <c r="A1517" s="1"/>
      <c r="B1517" s="1"/>
      <c r="C1517" s="1"/>
      <c r="D1517" s="1"/>
      <c r="E1517" s="1"/>
      <c r="F1517" s="1"/>
      <c r="G1517" s="1"/>
      <c r="H1517" s="1"/>
      <c r="I1517" s="1"/>
      <c r="J1517" s="1"/>
      <c r="K1517" s="1"/>
      <c r="L1517" s="1"/>
      <c r="M1517" s="1"/>
      <c r="N1517" s="1"/>
      <c r="O1517" s="1"/>
      <c r="P1517" s="1"/>
      <c r="Q1517" s="1"/>
      <c r="R1517" s="1"/>
      <c r="S1517" s="1"/>
      <c r="T1517" s="1"/>
      <c r="U1517" s="1"/>
      <c r="V1517" s="1"/>
      <c r="W1517" s="1"/>
      <c r="X1517" s="1"/>
      <c r="Y1517" s="1"/>
      <c r="Z1517" s="1"/>
    </row>
    <row r="1518">
      <c r="A1518" s="1"/>
      <c r="B1518" s="1"/>
      <c r="C1518" s="1"/>
      <c r="D1518" s="1"/>
      <c r="E1518" s="1"/>
      <c r="F1518" s="1"/>
      <c r="G1518" s="1"/>
      <c r="H1518" s="1"/>
      <c r="I1518" s="1"/>
      <c r="J1518" s="1"/>
      <c r="K1518" s="1"/>
      <c r="L1518" s="1"/>
      <c r="M1518" s="1"/>
      <c r="N1518" s="1"/>
      <c r="O1518" s="1"/>
      <c r="P1518" s="1"/>
      <c r="Q1518" s="1"/>
      <c r="R1518" s="1"/>
      <c r="S1518" s="1"/>
      <c r="T1518" s="1"/>
      <c r="U1518" s="1"/>
      <c r="V1518" s="1"/>
      <c r="W1518" s="1"/>
      <c r="X1518" s="1"/>
      <c r="Y1518" s="1"/>
      <c r="Z1518" s="1"/>
    </row>
    <row r="1519">
      <c r="A1519" s="1"/>
      <c r="B1519" s="1"/>
      <c r="C1519" s="1"/>
      <c r="D1519" s="1"/>
      <c r="E1519" s="1"/>
      <c r="F1519" s="1"/>
      <c r="G1519" s="1"/>
      <c r="H1519" s="1"/>
      <c r="I1519" s="1"/>
      <c r="J1519" s="1"/>
      <c r="K1519" s="1"/>
      <c r="L1519" s="1"/>
      <c r="M1519" s="1"/>
      <c r="N1519" s="1"/>
      <c r="O1519" s="1"/>
      <c r="P1519" s="1"/>
      <c r="Q1519" s="1"/>
      <c r="R1519" s="1"/>
      <c r="S1519" s="1"/>
      <c r="T1519" s="1"/>
      <c r="U1519" s="1"/>
      <c r="V1519" s="1"/>
      <c r="W1519" s="1"/>
      <c r="X1519" s="1"/>
      <c r="Y1519" s="1"/>
      <c r="Z1519" s="1"/>
    </row>
    <row r="1520">
      <c r="A1520" s="1"/>
      <c r="B1520" s="1"/>
      <c r="C1520" s="1"/>
      <c r="D1520" s="1"/>
      <c r="E1520" s="1"/>
      <c r="F1520" s="1"/>
      <c r="G1520" s="1"/>
      <c r="H1520" s="1"/>
      <c r="I1520" s="1"/>
      <c r="J1520" s="1"/>
      <c r="K1520" s="1"/>
      <c r="L1520" s="1"/>
      <c r="M1520" s="1"/>
      <c r="N1520" s="1"/>
      <c r="O1520" s="1"/>
      <c r="P1520" s="1"/>
      <c r="Q1520" s="1"/>
      <c r="R1520" s="1"/>
      <c r="S1520" s="1"/>
      <c r="T1520" s="1"/>
      <c r="U1520" s="1"/>
      <c r="V1520" s="1"/>
      <c r="W1520" s="1"/>
      <c r="X1520" s="1"/>
      <c r="Y1520" s="1"/>
      <c r="Z1520" s="1"/>
    </row>
    <row r="1521">
      <c r="A1521" s="1"/>
      <c r="B1521" s="1"/>
      <c r="C1521" s="1"/>
      <c r="D1521" s="1"/>
      <c r="E1521" s="1"/>
      <c r="F1521" s="1"/>
      <c r="G1521" s="1"/>
      <c r="H1521" s="1"/>
      <c r="I1521" s="1"/>
      <c r="J1521" s="1"/>
      <c r="K1521" s="1"/>
      <c r="L1521" s="1"/>
      <c r="M1521" s="1"/>
      <c r="N1521" s="1"/>
      <c r="O1521" s="1"/>
      <c r="P1521" s="1"/>
      <c r="Q1521" s="1"/>
      <c r="R1521" s="1"/>
      <c r="S1521" s="1"/>
      <c r="T1521" s="1"/>
      <c r="U1521" s="1"/>
      <c r="V1521" s="1"/>
      <c r="W1521" s="1"/>
      <c r="X1521" s="1"/>
      <c r="Y1521" s="1"/>
      <c r="Z1521" s="1"/>
    </row>
    <row r="1522">
      <c r="A1522" s="1"/>
      <c r="B1522" s="1"/>
      <c r="C1522" s="1"/>
      <c r="D1522" s="1"/>
      <c r="E1522" s="1"/>
      <c r="F1522" s="1"/>
      <c r="G1522" s="1"/>
      <c r="H1522" s="1"/>
      <c r="I1522" s="1"/>
      <c r="J1522" s="1"/>
      <c r="K1522" s="1"/>
      <c r="L1522" s="1"/>
      <c r="M1522" s="1"/>
      <c r="N1522" s="1"/>
      <c r="O1522" s="1"/>
      <c r="P1522" s="1"/>
      <c r="Q1522" s="1"/>
      <c r="R1522" s="1"/>
      <c r="S1522" s="1"/>
      <c r="T1522" s="1"/>
      <c r="U1522" s="1"/>
      <c r="V1522" s="1"/>
      <c r="W1522" s="1"/>
      <c r="X1522" s="1"/>
      <c r="Y1522" s="1"/>
      <c r="Z1522" s="1"/>
    </row>
    <row r="1523">
      <c r="A1523" s="1"/>
      <c r="B1523" s="1"/>
      <c r="C1523" s="1"/>
      <c r="D1523" s="1"/>
      <c r="E1523" s="1"/>
      <c r="F1523" s="1"/>
      <c r="G1523" s="1"/>
      <c r="H1523" s="1"/>
      <c r="I1523" s="1"/>
      <c r="J1523" s="1"/>
      <c r="K1523" s="1"/>
      <c r="L1523" s="1"/>
      <c r="M1523" s="1"/>
      <c r="N1523" s="1"/>
      <c r="O1523" s="1"/>
      <c r="P1523" s="1"/>
      <c r="Q1523" s="1"/>
      <c r="R1523" s="1"/>
      <c r="S1523" s="1"/>
      <c r="T1523" s="1"/>
      <c r="U1523" s="1"/>
      <c r="V1523" s="1"/>
      <c r="W1523" s="1"/>
      <c r="X1523" s="1"/>
      <c r="Y1523" s="1"/>
      <c r="Z1523" s="1"/>
    </row>
    <row r="1524">
      <c r="A1524" s="1"/>
      <c r="B1524" s="1"/>
      <c r="C1524" s="1"/>
      <c r="D1524" s="1"/>
      <c r="E1524" s="1"/>
      <c r="F1524" s="1"/>
      <c r="G1524" s="1"/>
      <c r="H1524" s="1"/>
      <c r="I1524" s="1"/>
      <c r="J1524" s="1"/>
      <c r="K1524" s="1"/>
      <c r="L1524" s="1"/>
      <c r="M1524" s="1"/>
      <c r="N1524" s="1"/>
      <c r="O1524" s="1"/>
      <c r="P1524" s="1"/>
      <c r="Q1524" s="1"/>
      <c r="R1524" s="1"/>
      <c r="S1524" s="1"/>
      <c r="T1524" s="1"/>
      <c r="U1524" s="1"/>
      <c r="V1524" s="1"/>
      <c r="W1524" s="1"/>
      <c r="X1524" s="1"/>
      <c r="Y1524" s="1"/>
      <c r="Z1524" s="1"/>
    </row>
    <row r="1525">
      <c r="A1525" s="1"/>
      <c r="B1525" s="1"/>
      <c r="C1525" s="1"/>
      <c r="D1525" s="1"/>
      <c r="E1525" s="1"/>
      <c r="F1525" s="1"/>
      <c r="G1525" s="1"/>
      <c r="H1525" s="1"/>
      <c r="I1525" s="1"/>
      <c r="J1525" s="1"/>
      <c r="K1525" s="1"/>
      <c r="L1525" s="1"/>
      <c r="M1525" s="1"/>
      <c r="N1525" s="1"/>
      <c r="O1525" s="1"/>
      <c r="P1525" s="1"/>
      <c r="Q1525" s="1"/>
      <c r="R1525" s="1"/>
      <c r="S1525" s="1"/>
      <c r="T1525" s="1"/>
      <c r="U1525" s="1"/>
      <c r="V1525" s="1"/>
      <c r="W1525" s="1"/>
      <c r="X1525" s="1"/>
      <c r="Y1525" s="1"/>
      <c r="Z1525" s="1"/>
    </row>
    <row r="1526">
      <c r="A1526" s="1"/>
      <c r="B1526" s="1"/>
      <c r="C1526" s="1"/>
      <c r="D1526" s="1"/>
      <c r="E1526" s="1"/>
      <c r="F1526" s="1"/>
      <c r="G1526" s="1"/>
      <c r="H1526" s="1"/>
      <c r="I1526" s="1"/>
      <c r="J1526" s="1"/>
      <c r="K1526" s="1"/>
      <c r="L1526" s="1"/>
      <c r="M1526" s="1"/>
      <c r="N1526" s="1"/>
      <c r="O1526" s="1"/>
      <c r="P1526" s="1"/>
      <c r="Q1526" s="1"/>
      <c r="R1526" s="1"/>
      <c r="S1526" s="1"/>
      <c r="T1526" s="1"/>
      <c r="U1526" s="1"/>
      <c r="V1526" s="1"/>
      <c r="W1526" s="1"/>
      <c r="X1526" s="1"/>
      <c r="Y1526" s="1"/>
      <c r="Z1526" s="1"/>
    </row>
    <row r="1527">
      <c r="A1527" s="1"/>
      <c r="B1527" s="1"/>
      <c r="C1527" s="1"/>
      <c r="D1527" s="1"/>
      <c r="E1527" s="1"/>
      <c r="F1527" s="1"/>
      <c r="G1527" s="1"/>
      <c r="H1527" s="1"/>
      <c r="I1527" s="1"/>
      <c r="J1527" s="1"/>
      <c r="K1527" s="1"/>
      <c r="L1527" s="1"/>
      <c r="M1527" s="1"/>
      <c r="N1527" s="1"/>
      <c r="O1527" s="1"/>
      <c r="P1527" s="1"/>
      <c r="Q1527" s="1"/>
      <c r="R1527" s="1"/>
      <c r="S1527" s="1"/>
      <c r="T1527" s="1"/>
      <c r="U1527" s="1"/>
      <c r="V1527" s="1"/>
      <c r="W1527" s="1"/>
      <c r="X1527" s="1"/>
      <c r="Y1527" s="1"/>
      <c r="Z1527" s="1"/>
    </row>
    <row r="1528">
      <c r="A1528" s="1"/>
      <c r="B1528" s="1"/>
      <c r="C1528" s="1"/>
      <c r="D1528" s="1"/>
      <c r="E1528" s="1"/>
      <c r="F1528" s="1"/>
      <c r="G1528" s="1"/>
      <c r="H1528" s="1"/>
      <c r="I1528" s="1"/>
      <c r="J1528" s="1"/>
      <c r="K1528" s="1"/>
      <c r="L1528" s="1"/>
      <c r="M1528" s="1"/>
      <c r="N1528" s="1"/>
      <c r="O1528" s="1"/>
      <c r="P1528" s="1"/>
      <c r="Q1528" s="1"/>
      <c r="R1528" s="1"/>
      <c r="S1528" s="1"/>
      <c r="T1528" s="1"/>
      <c r="U1528" s="1"/>
      <c r="V1528" s="1"/>
      <c r="W1528" s="1"/>
      <c r="X1528" s="1"/>
      <c r="Y1528" s="1"/>
      <c r="Z1528" s="1"/>
    </row>
    <row r="1529">
      <c r="A1529" s="1"/>
      <c r="B1529" s="1"/>
      <c r="C1529" s="1"/>
      <c r="D1529" s="1"/>
      <c r="E1529" s="1"/>
      <c r="F1529" s="1"/>
      <c r="G1529" s="1"/>
      <c r="H1529" s="1"/>
      <c r="I1529" s="1"/>
      <c r="J1529" s="1"/>
      <c r="K1529" s="1"/>
      <c r="L1529" s="1"/>
      <c r="M1529" s="1"/>
      <c r="N1529" s="1"/>
      <c r="O1529" s="1"/>
      <c r="P1529" s="1"/>
      <c r="Q1529" s="1"/>
      <c r="R1529" s="1"/>
      <c r="S1529" s="1"/>
      <c r="T1529" s="1"/>
      <c r="U1529" s="1"/>
      <c r="V1529" s="1"/>
      <c r="W1529" s="1"/>
      <c r="X1529" s="1"/>
      <c r="Y1529" s="1"/>
      <c r="Z1529" s="1"/>
    </row>
    <row r="1530">
      <c r="A1530" s="1"/>
      <c r="B1530" s="1"/>
      <c r="C1530" s="1"/>
      <c r="D1530" s="1"/>
      <c r="E1530" s="1"/>
      <c r="F1530" s="1"/>
      <c r="G1530" s="1"/>
      <c r="H1530" s="1"/>
      <c r="I1530" s="1"/>
      <c r="J1530" s="1"/>
      <c r="K1530" s="1"/>
      <c r="L1530" s="1"/>
      <c r="M1530" s="1"/>
      <c r="N1530" s="1"/>
      <c r="O1530" s="1"/>
      <c r="P1530" s="1"/>
      <c r="Q1530" s="1"/>
      <c r="R1530" s="1"/>
      <c r="S1530" s="1"/>
      <c r="T1530" s="1"/>
      <c r="U1530" s="1"/>
      <c r="V1530" s="1"/>
      <c r="W1530" s="1"/>
      <c r="X1530" s="1"/>
      <c r="Y1530" s="1"/>
      <c r="Z1530" s="1"/>
    </row>
    <row r="1531">
      <c r="A1531" s="1"/>
      <c r="B1531" s="1"/>
      <c r="C1531" s="1"/>
      <c r="D1531" s="1"/>
      <c r="E1531" s="1"/>
      <c r="F1531" s="1"/>
      <c r="G1531" s="1"/>
      <c r="H1531" s="1"/>
      <c r="I1531" s="1"/>
      <c r="J1531" s="1"/>
      <c r="K1531" s="1"/>
      <c r="L1531" s="1"/>
      <c r="M1531" s="1"/>
      <c r="N1531" s="1"/>
      <c r="O1531" s="1"/>
      <c r="P1531" s="1"/>
      <c r="Q1531" s="1"/>
      <c r="R1531" s="1"/>
      <c r="S1531" s="1"/>
      <c r="T1531" s="1"/>
      <c r="U1531" s="1"/>
      <c r="V1531" s="1"/>
      <c r="W1531" s="1"/>
      <c r="X1531" s="1"/>
      <c r="Y1531" s="1"/>
      <c r="Z1531" s="1"/>
    </row>
    <row r="1532">
      <c r="A1532" s="1"/>
      <c r="B1532" s="1"/>
      <c r="C1532" s="1"/>
      <c r="D1532" s="1"/>
      <c r="E1532" s="1"/>
      <c r="F1532" s="1"/>
      <c r="G1532" s="1"/>
      <c r="H1532" s="1"/>
      <c r="I1532" s="1"/>
      <c r="J1532" s="1"/>
      <c r="K1532" s="1"/>
      <c r="L1532" s="1"/>
      <c r="M1532" s="1"/>
      <c r="N1532" s="1"/>
      <c r="O1532" s="1"/>
      <c r="P1532" s="1"/>
      <c r="Q1532" s="1"/>
      <c r="R1532" s="1"/>
      <c r="S1532" s="1"/>
      <c r="T1532" s="1"/>
      <c r="U1532" s="1"/>
      <c r="V1532" s="1"/>
      <c r="W1532" s="1"/>
      <c r="X1532" s="1"/>
      <c r="Y1532" s="1"/>
      <c r="Z1532" s="1"/>
    </row>
    <row r="1533">
      <c r="A1533" s="1"/>
      <c r="B1533" s="1"/>
      <c r="C1533" s="1"/>
      <c r="D1533" s="1"/>
      <c r="E1533" s="1"/>
      <c r="F1533" s="1"/>
      <c r="G1533" s="1"/>
      <c r="H1533" s="1"/>
      <c r="I1533" s="1"/>
      <c r="J1533" s="1"/>
      <c r="K1533" s="1"/>
      <c r="L1533" s="1"/>
      <c r="M1533" s="1"/>
      <c r="N1533" s="1"/>
      <c r="O1533" s="1"/>
      <c r="P1533" s="1"/>
      <c r="Q1533" s="1"/>
      <c r="R1533" s="1"/>
      <c r="S1533" s="1"/>
      <c r="T1533" s="1"/>
      <c r="U1533" s="1"/>
      <c r="V1533" s="1"/>
      <c r="W1533" s="1"/>
      <c r="X1533" s="1"/>
      <c r="Y1533" s="1"/>
      <c r="Z1533" s="1"/>
    </row>
    <row r="1534">
      <c r="A1534" s="1"/>
      <c r="B1534" s="1"/>
      <c r="C1534" s="1"/>
      <c r="D1534" s="1"/>
      <c r="E1534" s="1"/>
      <c r="F1534" s="1"/>
      <c r="G1534" s="1"/>
      <c r="H1534" s="1"/>
      <c r="I1534" s="1"/>
      <c r="J1534" s="1"/>
      <c r="K1534" s="1"/>
      <c r="L1534" s="1"/>
      <c r="M1534" s="1"/>
      <c r="N1534" s="1"/>
      <c r="O1534" s="1"/>
      <c r="P1534" s="1"/>
      <c r="Q1534" s="1"/>
      <c r="R1534" s="1"/>
      <c r="S1534" s="1"/>
      <c r="T1534" s="1"/>
      <c r="U1534" s="1"/>
      <c r="V1534" s="1"/>
      <c r="W1534" s="1"/>
      <c r="X1534" s="1"/>
      <c r="Y1534" s="1"/>
      <c r="Z1534" s="1"/>
    </row>
    <row r="1535">
      <c r="A1535" s="1"/>
      <c r="B1535" s="1"/>
      <c r="C1535" s="1"/>
      <c r="D1535" s="1"/>
      <c r="E1535" s="1"/>
      <c r="F1535" s="1"/>
      <c r="G1535" s="1"/>
      <c r="H1535" s="1"/>
      <c r="I1535" s="1"/>
      <c r="J1535" s="1"/>
      <c r="K1535" s="1"/>
      <c r="L1535" s="1"/>
      <c r="M1535" s="1"/>
      <c r="N1535" s="1"/>
      <c r="O1535" s="1"/>
      <c r="P1535" s="1"/>
      <c r="Q1535" s="1"/>
      <c r="R1535" s="1"/>
      <c r="S1535" s="1"/>
      <c r="T1535" s="1"/>
      <c r="U1535" s="1"/>
      <c r="V1535" s="1"/>
      <c r="W1535" s="1"/>
      <c r="X1535" s="1"/>
      <c r="Y1535" s="1"/>
      <c r="Z1535" s="1"/>
    </row>
    <row r="1536">
      <c r="A1536" s="1"/>
      <c r="B1536" s="1"/>
      <c r="C1536" s="1"/>
      <c r="D1536" s="1"/>
      <c r="E1536" s="1"/>
      <c r="F1536" s="1"/>
      <c r="G1536" s="1"/>
      <c r="H1536" s="1"/>
      <c r="I1536" s="1"/>
      <c r="J1536" s="1"/>
      <c r="K1536" s="1"/>
      <c r="L1536" s="1"/>
      <c r="M1536" s="1"/>
      <c r="N1536" s="1"/>
      <c r="O1536" s="1"/>
      <c r="P1536" s="1"/>
      <c r="Q1536" s="1"/>
      <c r="R1536" s="1"/>
      <c r="S1536" s="1"/>
      <c r="T1536" s="1"/>
      <c r="U1536" s="1"/>
      <c r="V1536" s="1"/>
      <c r="W1536" s="1"/>
      <c r="X1536" s="1"/>
      <c r="Y1536" s="1"/>
      <c r="Z1536" s="1"/>
    </row>
    <row r="1537">
      <c r="A1537" s="1"/>
      <c r="B1537" s="1"/>
      <c r="C1537" s="1"/>
      <c r="D1537" s="1"/>
      <c r="E1537" s="1"/>
      <c r="F1537" s="1"/>
      <c r="G1537" s="1"/>
      <c r="H1537" s="1"/>
      <c r="I1537" s="1"/>
      <c r="J1537" s="1"/>
      <c r="K1537" s="1"/>
      <c r="L1537" s="1"/>
      <c r="M1537" s="1"/>
      <c r="N1537" s="1"/>
      <c r="O1537" s="1"/>
      <c r="P1537" s="1"/>
      <c r="Q1537" s="1"/>
      <c r="R1537" s="1"/>
      <c r="S1537" s="1"/>
      <c r="T1537" s="1"/>
      <c r="U1537" s="1"/>
      <c r="V1537" s="1"/>
      <c r="W1537" s="1"/>
      <c r="X1537" s="1"/>
      <c r="Y1537" s="1"/>
      <c r="Z1537" s="1"/>
    </row>
    <row r="1538">
      <c r="A1538" s="1"/>
      <c r="B1538" s="1"/>
      <c r="C1538" s="1"/>
      <c r="D1538" s="1"/>
      <c r="E1538" s="1"/>
      <c r="F1538" s="1"/>
      <c r="G1538" s="1"/>
      <c r="H1538" s="1"/>
      <c r="I1538" s="1"/>
      <c r="J1538" s="1"/>
      <c r="K1538" s="1"/>
      <c r="L1538" s="1"/>
      <c r="M1538" s="1"/>
      <c r="N1538" s="1"/>
      <c r="O1538" s="1"/>
      <c r="P1538" s="1"/>
      <c r="Q1538" s="1"/>
      <c r="R1538" s="1"/>
      <c r="S1538" s="1"/>
      <c r="T1538" s="1"/>
      <c r="U1538" s="1"/>
      <c r="V1538" s="1"/>
      <c r="W1538" s="1"/>
      <c r="X1538" s="1"/>
      <c r="Y1538" s="1"/>
      <c r="Z1538" s="1"/>
    </row>
    <row r="1539">
      <c r="A1539" s="1"/>
      <c r="B1539" s="1"/>
      <c r="C1539" s="1"/>
      <c r="D1539" s="1"/>
      <c r="E1539" s="1"/>
      <c r="F1539" s="1"/>
      <c r="G1539" s="1"/>
      <c r="H1539" s="1"/>
      <c r="I1539" s="1"/>
      <c r="J1539" s="1"/>
      <c r="K1539" s="1"/>
      <c r="L1539" s="1"/>
      <c r="M1539" s="1"/>
      <c r="N1539" s="1"/>
      <c r="O1539" s="1"/>
      <c r="P1539" s="1"/>
      <c r="Q1539" s="1"/>
      <c r="R1539" s="1"/>
      <c r="S1539" s="1"/>
      <c r="T1539" s="1"/>
      <c r="U1539" s="1"/>
      <c r="V1539" s="1"/>
      <c r="W1539" s="1"/>
      <c r="X1539" s="1"/>
      <c r="Y1539" s="1"/>
      <c r="Z1539" s="1"/>
    </row>
    <row r="1540">
      <c r="A1540" s="1"/>
      <c r="B1540" s="1"/>
      <c r="C1540" s="1"/>
      <c r="D1540" s="1"/>
      <c r="E1540" s="1"/>
      <c r="F1540" s="1"/>
      <c r="G1540" s="1"/>
      <c r="H1540" s="1"/>
      <c r="I1540" s="1"/>
      <c r="J1540" s="1"/>
      <c r="K1540" s="1"/>
      <c r="L1540" s="1"/>
      <c r="M1540" s="1"/>
      <c r="N1540" s="1"/>
      <c r="O1540" s="1"/>
      <c r="P1540" s="1"/>
      <c r="Q1540" s="1"/>
      <c r="R1540" s="1"/>
      <c r="S1540" s="1"/>
      <c r="T1540" s="1"/>
      <c r="U1540" s="1"/>
      <c r="V1540" s="1"/>
      <c r="W1540" s="1"/>
      <c r="X1540" s="1"/>
      <c r="Y1540" s="1"/>
      <c r="Z1540" s="1"/>
    </row>
    <row r="1541">
      <c r="A1541" s="1"/>
      <c r="B1541" s="1"/>
      <c r="C1541" s="1"/>
      <c r="D1541" s="1"/>
      <c r="E1541" s="1"/>
      <c r="F1541" s="1"/>
      <c r="G1541" s="1"/>
      <c r="H1541" s="1"/>
      <c r="I1541" s="1"/>
      <c r="J1541" s="1"/>
      <c r="K1541" s="1"/>
      <c r="L1541" s="1"/>
      <c r="M1541" s="1"/>
      <c r="N1541" s="1"/>
      <c r="O1541" s="1"/>
      <c r="P1541" s="1"/>
      <c r="Q1541" s="1"/>
      <c r="R1541" s="1"/>
      <c r="S1541" s="1"/>
      <c r="T1541" s="1"/>
      <c r="U1541" s="1"/>
      <c r="V1541" s="1"/>
      <c r="W1541" s="1"/>
      <c r="X1541" s="1"/>
      <c r="Y1541" s="1"/>
      <c r="Z1541" s="1"/>
    </row>
    <row r="1542">
      <c r="A1542" s="1"/>
      <c r="B1542" s="1"/>
      <c r="C1542" s="1"/>
      <c r="D1542" s="1"/>
      <c r="E1542" s="1"/>
      <c r="F1542" s="1"/>
      <c r="G1542" s="1"/>
      <c r="H1542" s="1"/>
      <c r="I1542" s="1"/>
      <c r="J1542" s="1"/>
      <c r="K1542" s="1"/>
      <c r="L1542" s="1"/>
      <c r="M1542" s="1"/>
      <c r="N1542" s="1"/>
      <c r="O1542" s="1"/>
      <c r="P1542" s="1"/>
      <c r="Q1542" s="1"/>
      <c r="R1542" s="1"/>
      <c r="S1542" s="1"/>
      <c r="T1542" s="1"/>
      <c r="U1542" s="1"/>
      <c r="V1542" s="1"/>
      <c r="W1542" s="1"/>
      <c r="X1542" s="1"/>
      <c r="Y1542" s="1"/>
      <c r="Z1542" s="1"/>
    </row>
    <row r="1543">
      <c r="A1543" s="1"/>
      <c r="B1543" s="1"/>
      <c r="C1543" s="1"/>
      <c r="D1543" s="1"/>
      <c r="E1543" s="1"/>
      <c r="F1543" s="1"/>
      <c r="G1543" s="1"/>
      <c r="H1543" s="1"/>
      <c r="I1543" s="1"/>
      <c r="J1543" s="1"/>
      <c r="K1543" s="1"/>
      <c r="L1543" s="1"/>
      <c r="M1543" s="1"/>
      <c r="N1543" s="1"/>
      <c r="O1543" s="1"/>
      <c r="P1543" s="1"/>
      <c r="Q1543" s="1"/>
      <c r="R1543" s="1"/>
      <c r="S1543" s="1"/>
      <c r="T1543" s="1"/>
      <c r="U1543" s="1"/>
      <c r="V1543" s="1"/>
      <c r="W1543" s="1"/>
      <c r="X1543" s="1"/>
      <c r="Y1543" s="1"/>
      <c r="Z1543" s="1"/>
    </row>
    <row r="1544">
      <c r="A1544" s="1"/>
      <c r="B1544" s="1"/>
      <c r="C1544" s="1"/>
      <c r="D1544" s="1"/>
      <c r="E1544" s="1"/>
      <c r="F1544" s="1"/>
      <c r="G1544" s="1"/>
      <c r="H1544" s="1"/>
      <c r="I1544" s="1"/>
      <c r="J1544" s="1"/>
      <c r="K1544" s="1"/>
      <c r="L1544" s="1"/>
      <c r="M1544" s="1"/>
      <c r="N1544" s="1"/>
      <c r="O1544" s="1"/>
      <c r="P1544" s="1"/>
      <c r="Q1544" s="1"/>
      <c r="R1544" s="1"/>
      <c r="S1544" s="1"/>
      <c r="T1544" s="1"/>
      <c r="U1544" s="1"/>
      <c r="V1544" s="1"/>
      <c r="W1544" s="1"/>
      <c r="X1544" s="1"/>
      <c r="Y1544" s="1"/>
      <c r="Z1544" s="1"/>
    </row>
    <row r="1545">
      <c r="A1545" s="1"/>
      <c r="B1545" s="1"/>
      <c r="C1545" s="1"/>
      <c r="D1545" s="1"/>
      <c r="E1545" s="1"/>
      <c r="F1545" s="1"/>
      <c r="G1545" s="1"/>
      <c r="H1545" s="1"/>
      <c r="I1545" s="1"/>
      <c r="J1545" s="1"/>
      <c r="K1545" s="1"/>
      <c r="L1545" s="1"/>
      <c r="M1545" s="1"/>
      <c r="N1545" s="1"/>
      <c r="O1545" s="1"/>
      <c r="P1545" s="1"/>
      <c r="Q1545" s="1"/>
      <c r="R1545" s="1"/>
      <c r="S1545" s="1"/>
      <c r="T1545" s="1"/>
      <c r="U1545" s="1"/>
      <c r="V1545" s="1"/>
      <c r="W1545" s="1"/>
      <c r="X1545" s="1"/>
      <c r="Y1545" s="1"/>
      <c r="Z1545" s="1"/>
    </row>
    <row r="1546">
      <c r="A1546" s="1"/>
      <c r="B1546" s="1"/>
      <c r="C1546" s="1"/>
      <c r="D1546" s="1"/>
      <c r="E1546" s="1"/>
      <c r="F1546" s="1"/>
      <c r="G1546" s="1"/>
      <c r="H1546" s="1"/>
      <c r="I1546" s="1"/>
      <c r="J1546" s="1"/>
      <c r="K1546" s="1"/>
      <c r="L1546" s="1"/>
      <c r="M1546" s="1"/>
      <c r="N1546" s="1"/>
      <c r="O1546" s="1"/>
      <c r="P1546" s="1"/>
      <c r="Q1546" s="1"/>
      <c r="R1546" s="1"/>
      <c r="S1546" s="1"/>
      <c r="T1546" s="1"/>
      <c r="U1546" s="1"/>
      <c r="V1546" s="1"/>
      <c r="W1546" s="1"/>
      <c r="X1546" s="1"/>
      <c r="Y1546" s="1"/>
      <c r="Z1546" s="1"/>
    </row>
    <row r="1547">
      <c r="A1547" s="1"/>
      <c r="B1547" s="1"/>
      <c r="C1547" s="1"/>
      <c r="D1547" s="1"/>
      <c r="E1547" s="1"/>
      <c r="F1547" s="1"/>
      <c r="G1547" s="1"/>
      <c r="H1547" s="1"/>
      <c r="I1547" s="1"/>
      <c r="J1547" s="1"/>
      <c r="K1547" s="1"/>
      <c r="L1547" s="1"/>
      <c r="M1547" s="1"/>
      <c r="N1547" s="1"/>
      <c r="O1547" s="1"/>
      <c r="P1547" s="1"/>
      <c r="Q1547" s="1"/>
      <c r="R1547" s="1"/>
      <c r="S1547" s="1"/>
      <c r="T1547" s="1"/>
      <c r="U1547" s="1"/>
      <c r="V1547" s="1"/>
      <c r="W1547" s="1"/>
      <c r="X1547" s="1"/>
      <c r="Y1547" s="1"/>
      <c r="Z1547" s="1"/>
    </row>
    <row r="1548">
      <c r="A1548" s="1"/>
      <c r="B1548" s="1"/>
      <c r="C1548" s="1"/>
      <c r="D1548" s="1"/>
      <c r="E1548" s="1"/>
      <c r="F1548" s="1"/>
      <c r="G1548" s="1"/>
      <c r="H1548" s="1"/>
      <c r="I1548" s="1"/>
      <c r="J1548" s="1"/>
      <c r="K1548" s="1"/>
      <c r="L1548" s="1"/>
      <c r="M1548" s="1"/>
      <c r="N1548" s="1"/>
      <c r="O1548" s="1"/>
      <c r="P1548" s="1"/>
      <c r="Q1548" s="1"/>
      <c r="R1548" s="1"/>
      <c r="S1548" s="1"/>
      <c r="T1548" s="1"/>
      <c r="U1548" s="1"/>
      <c r="V1548" s="1"/>
      <c r="W1548" s="1"/>
      <c r="X1548" s="1"/>
      <c r="Y1548" s="1"/>
      <c r="Z1548" s="1"/>
    </row>
    <row r="1549">
      <c r="A1549" s="1"/>
      <c r="B1549" s="1"/>
      <c r="C1549" s="1"/>
      <c r="D1549" s="1"/>
      <c r="E1549" s="1"/>
      <c r="F1549" s="1"/>
      <c r="G1549" s="1"/>
      <c r="H1549" s="1"/>
      <c r="I1549" s="1"/>
      <c r="J1549" s="1"/>
      <c r="K1549" s="1"/>
      <c r="L1549" s="1"/>
      <c r="M1549" s="1"/>
      <c r="N1549" s="1"/>
      <c r="O1549" s="1"/>
      <c r="P1549" s="1"/>
      <c r="Q1549" s="1"/>
      <c r="R1549" s="1"/>
      <c r="S1549" s="1"/>
      <c r="T1549" s="1"/>
      <c r="U1549" s="1"/>
      <c r="V1549" s="1"/>
      <c r="W1549" s="1"/>
      <c r="X1549" s="1"/>
      <c r="Y1549" s="1"/>
      <c r="Z1549" s="1"/>
    </row>
    <row r="1550">
      <c r="A1550" s="1"/>
      <c r="B1550" s="1"/>
      <c r="C1550" s="1"/>
      <c r="D1550" s="1"/>
      <c r="E1550" s="1"/>
      <c r="F1550" s="1"/>
      <c r="G1550" s="1"/>
      <c r="H1550" s="1"/>
      <c r="I1550" s="1"/>
      <c r="J1550" s="1"/>
      <c r="K1550" s="1"/>
      <c r="L1550" s="1"/>
      <c r="M1550" s="1"/>
      <c r="N1550" s="1"/>
      <c r="O1550" s="1"/>
      <c r="P1550" s="1"/>
      <c r="Q1550" s="1"/>
      <c r="R1550" s="1"/>
      <c r="S1550" s="1"/>
      <c r="T1550" s="1"/>
      <c r="U1550" s="1"/>
      <c r="V1550" s="1"/>
      <c r="W1550" s="1"/>
      <c r="X1550" s="1"/>
      <c r="Y1550" s="1"/>
      <c r="Z1550" s="1"/>
    </row>
    <row r="1551">
      <c r="A1551" s="1"/>
      <c r="B1551" s="1"/>
      <c r="C1551" s="1"/>
      <c r="D1551" s="1"/>
      <c r="E1551" s="1"/>
      <c r="F1551" s="1"/>
      <c r="G1551" s="1"/>
      <c r="H1551" s="1"/>
      <c r="I1551" s="1"/>
      <c r="J1551" s="1"/>
      <c r="K1551" s="1"/>
      <c r="L1551" s="1"/>
      <c r="M1551" s="1"/>
      <c r="N1551" s="1"/>
      <c r="O1551" s="1"/>
      <c r="P1551" s="1"/>
      <c r="Q1551" s="1"/>
      <c r="R1551" s="1"/>
      <c r="S1551" s="1"/>
      <c r="T1551" s="1"/>
      <c r="U1551" s="1"/>
      <c r="V1551" s="1"/>
      <c r="W1551" s="1"/>
      <c r="X1551" s="1"/>
      <c r="Y1551" s="1"/>
      <c r="Z1551" s="1"/>
    </row>
    <row r="1552">
      <c r="A1552" s="1"/>
      <c r="B1552" s="1"/>
      <c r="C1552" s="1"/>
      <c r="D1552" s="1"/>
      <c r="E1552" s="1"/>
      <c r="F1552" s="1"/>
      <c r="G1552" s="1"/>
      <c r="H1552" s="1"/>
      <c r="I1552" s="1"/>
      <c r="J1552" s="1"/>
      <c r="K1552" s="1"/>
      <c r="L1552" s="1"/>
      <c r="M1552" s="1"/>
      <c r="N1552" s="1"/>
      <c r="O1552" s="1"/>
      <c r="P1552" s="1"/>
      <c r="Q1552" s="1"/>
      <c r="R1552" s="1"/>
      <c r="S1552" s="1"/>
      <c r="T1552" s="1"/>
      <c r="U1552" s="1"/>
      <c r="V1552" s="1"/>
      <c r="W1552" s="1"/>
      <c r="X1552" s="1"/>
      <c r="Y1552" s="1"/>
      <c r="Z1552" s="1"/>
    </row>
    <row r="1553">
      <c r="A1553" s="1"/>
      <c r="B1553" s="1"/>
      <c r="C1553" s="1"/>
      <c r="D1553" s="1"/>
      <c r="E1553" s="1"/>
      <c r="F1553" s="1"/>
      <c r="G1553" s="1"/>
      <c r="H1553" s="1"/>
      <c r="I1553" s="1"/>
      <c r="J1553" s="1"/>
      <c r="K1553" s="1"/>
      <c r="L1553" s="1"/>
      <c r="M1553" s="1"/>
      <c r="N1553" s="1"/>
      <c r="O1553" s="1"/>
      <c r="P1553" s="1"/>
      <c r="Q1553" s="1"/>
      <c r="R1553" s="1"/>
      <c r="S1553" s="1"/>
      <c r="T1553" s="1"/>
      <c r="U1553" s="1"/>
      <c r="V1553" s="1"/>
      <c r="W1553" s="1"/>
      <c r="X1553" s="1"/>
      <c r="Y1553" s="1"/>
      <c r="Z1553" s="1"/>
    </row>
    <row r="1554">
      <c r="A1554" s="1"/>
      <c r="B1554" s="1"/>
      <c r="C1554" s="1"/>
      <c r="D1554" s="1"/>
      <c r="E1554" s="1"/>
      <c r="F1554" s="1"/>
      <c r="G1554" s="1"/>
      <c r="H1554" s="1"/>
      <c r="I1554" s="1"/>
      <c r="J1554" s="1"/>
      <c r="K1554" s="1"/>
      <c r="L1554" s="1"/>
      <c r="M1554" s="1"/>
      <c r="N1554" s="1"/>
      <c r="O1554" s="1"/>
      <c r="P1554" s="1"/>
      <c r="Q1554" s="1"/>
      <c r="R1554" s="1"/>
      <c r="S1554" s="1"/>
      <c r="T1554" s="1"/>
      <c r="U1554" s="1"/>
      <c r="V1554" s="1"/>
      <c r="W1554" s="1"/>
      <c r="X1554" s="1"/>
      <c r="Y1554" s="1"/>
      <c r="Z1554" s="1"/>
    </row>
    <row r="1555">
      <c r="A1555" s="1"/>
      <c r="B1555" s="1"/>
      <c r="C1555" s="1"/>
      <c r="D1555" s="1"/>
      <c r="E1555" s="1"/>
      <c r="F1555" s="1"/>
      <c r="G1555" s="1"/>
      <c r="H1555" s="1"/>
      <c r="I1555" s="1"/>
      <c r="J1555" s="1"/>
      <c r="K1555" s="1"/>
      <c r="L1555" s="1"/>
      <c r="M1555" s="1"/>
      <c r="N1555" s="1"/>
      <c r="O1555" s="1"/>
      <c r="P1555" s="1"/>
      <c r="Q1555" s="1"/>
      <c r="R1555" s="1"/>
      <c r="S1555" s="1"/>
      <c r="T1555" s="1"/>
      <c r="U1555" s="1"/>
      <c r="V1555" s="1"/>
      <c r="W1555" s="1"/>
      <c r="X1555" s="1"/>
      <c r="Y1555" s="1"/>
      <c r="Z1555" s="1"/>
    </row>
    <row r="1556">
      <c r="A1556" s="1"/>
      <c r="B1556" s="1"/>
      <c r="C1556" s="1"/>
      <c r="D1556" s="1"/>
      <c r="E1556" s="1"/>
      <c r="F1556" s="1"/>
      <c r="G1556" s="1"/>
      <c r="H1556" s="1"/>
      <c r="I1556" s="1"/>
      <c r="J1556" s="1"/>
      <c r="K1556" s="1"/>
      <c r="L1556" s="1"/>
      <c r="M1556" s="1"/>
      <c r="N1556" s="1"/>
      <c r="O1556" s="1"/>
      <c r="P1556" s="1"/>
      <c r="Q1556" s="1"/>
      <c r="R1556" s="1"/>
      <c r="S1556" s="1"/>
      <c r="T1556" s="1"/>
      <c r="U1556" s="1"/>
      <c r="V1556" s="1"/>
      <c r="W1556" s="1"/>
      <c r="X1556" s="1"/>
      <c r="Y1556" s="1"/>
      <c r="Z1556" s="1"/>
    </row>
    <row r="1557">
      <c r="A1557" s="1"/>
      <c r="B1557" s="1"/>
      <c r="C1557" s="1"/>
      <c r="D1557" s="1"/>
      <c r="E1557" s="1"/>
      <c r="F1557" s="1"/>
      <c r="G1557" s="1"/>
      <c r="H1557" s="1"/>
      <c r="I1557" s="1"/>
      <c r="J1557" s="1"/>
      <c r="K1557" s="1"/>
      <c r="L1557" s="1"/>
      <c r="M1557" s="1"/>
      <c r="N1557" s="1"/>
      <c r="O1557" s="1"/>
      <c r="P1557" s="1"/>
      <c r="Q1557" s="1"/>
      <c r="R1557" s="1"/>
      <c r="S1557" s="1"/>
      <c r="T1557" s="1"/>
      <c r="U1557" s="1"/>
      <c r="V1557" s="1"/>
      <c r="W1557" s="1"/>
      <c r="X1557" s="1"/>
      <c r="Y1557" s="1"/>
      <c r="Z1557" s="1"/>
    </row>
    <row r="1558">
      <c r="A1558" s="1"/>
      <c r="B1558" s="1"/>
      <c r="C1558" s="1"/>
      <c r="D1558" s="1"/>
      <c r="E1558" s="1"/>
      <c r="F1558" s="1"/>
      <c r="G1558" s="1"/>
      <c r="H1558" s="1"/>
      <c r="I1558" s="1"/>
      <c r="J1558" s="1"/>
      <c r="K1558" s="1"/>
      <c r="L1558" s="1"/>
      <c r="M1558" s="1"/>
      <c r="N1558" s="1"/>
      <c r="O1558" s="1"/>
      <c r="P1558" s="1"/>
      <c r="Q1558" s="1"/>
      <c r="R1558" s="1"/>
      <c r="S1558" s="1"/>
      <c r="T1558" s="1"/>
      <c r="U1558" s="1"/>
      <c r="V1558" s="1"/>
      <c r="W1558" s="1"/>
      <c r="X1558" s="1"/>
      <c r="Y1558" s="1"/>
      <c r="Z1558" s="1"/>
    </row>
    <row r="1559">
      <c r="A1559" s="1"/>
      <c r="B1559" s="1"/>
      <c r="C1559" s="1"/>
      <c r="D1559" s="1"/>
      <c r="E1559" s="1"/>
      <c r="F1559" s="1"/>
      <c r="G1559" s="1"/>
      <c r="H1559" s="1"/>
      <c r="I1559" s="1"/>
      <c r="J1559" s="1"/>
      <c r="K1559" s="1"/>
      <c r="L1559" s="1"/>
      <c r="M1559" s="1"/>
      <c r="N1559" s="1"/>
      <c r="O1559" s="1"/>
      <c r="P1559" s="1"/>
      <c r="Q1559" s="1"/>
      <c r="R1559" s="1"/>
      <c r="S1559" s="1"/>
      <c r="T1559" s="1"/>
      <c r="U1559" s="1"/>
      <c r="V1559" s="1"/>
      <c r="W1559" s="1"/>
      <c r="X1559" s="1"/>
      <c r="Y1559" s="1"/>
      <c r="Z1559" s="1"/>
    </row>
    <row r="1560">
      <c r="A1560" s="1"/>
      <c r="B1560" s="1"/>
      <c r="C1560" s="1"/>
      <c r="D1560" s="1"/>
      <c r="E1560" s="1"/>
      <c r="F1560" s="1"/>
      <c r="G1560" s="1"/>
      <c r="H1560" s="1"/>
      <c r="I1560" s="1"/>
      <c r="J1560" s="1"/>
      <c r="K1560" s="1"/>
      <c r="L1560" s="1"/>
      <c r="M1560" s="1"/>
      <c r="N1560" s="1"/>
      <c r="O1560" s="1"/>
      <c r="P1560" s="1"/>
      <c r="Q1560" s="1"/>
      <c r="R1560" s="1"/>
      <c r="S1560" s="1"/>
      <c r="T1560" s="1"/>
      <c r="U1560" s="1"/>
      <c r="V1560" s="1"/>
      <c r="W1560" s="1"/>
      <c r="X1560" s="1"/>
      <c r="Y1560" s="1"/>
      <c r="Z1560" s="1"/>
    </row>
    <row r="1561">
      <c r="A1561" s="1"/>
      <c r="B1561" s="1"/>
      <c r="C1561" s="1"/>
      <c r="D1561" s="1"/>
      <c r="E1561" s="1"/>
      <c r="F1561" s="1"/>
      <c r="G1561" s="1"/>
      <c r="H1561" s="1"/>
      <c r="I1561" s="1"/>
      <c r="J1561" s="1"/>
      <c r="K1561" s="1"/>
      <c r="L1561" s="1"/>
      <c r="M1561" s="1"/>
      <c r="N1561" s="1"/>
      <c r="O1561" s="1"/>
      <c r="P1561" s="1"/>
      <c r="Q1561" s="1"/>
      <c r="R1561" s="1"/>
      <c r="S1561" s="1"/>
      <c r="T1561" s="1"/>
      <c r="U1561" s="1"/>
      <c r="V1561" s="1"/>
      <c r="W1561" s="1"/>
      <c r="X1561" s="1"/>
      <c r="Y1561" s="1"/>
      <c r="Z1561" s="1"/>
    </row>
    <row r="1562">
      <c r="A1562" s="1"/>
      <c r="B1562" s="1"/>
      <c r="C1562" s="1"/>
      <c r="D1562" s="1"/>
      <c r="E1562" s="1"/>
      <c r="F1562" s="1"/>
      <c r="G1562" s="1"/>
      <c r="H1562" s="1"/>
      <c r="I1562" s="1"/>
      <c r="J1562" s="1"/>
      <c r="K1562" s="1"/>
      <c r="L1562" s="1"/>
      <c r="M1562" s="1"/>
      <c r="N1562" s="1"/>
      <c r="O1562" s="1"/>
      <c r="P1562" s="1"/>
      <c r="Q1562" s="1"/>
      <c r="R1562" s="1"/>
      <c r="S1562" s="1"/>
      <c r="T1562" s="1"/>
      <c r="U1562" s="1"/>
      <c r="V1562" s="1"/>
      <c r="W1562" s="1"/>
      <c r="X1562" s="1"/>
      <c r="Y1562" s="1"/>
      <c r="Z1562" s="1"/>
    </row>
    <row r="1563">
      <c r="A1563" s="1"/>
      <c r="B1563" s="1"/>
      <c r="C1563" s="1"/>
      <c r="D1563" s="1"/>
      <c r="E1563" s="1"/>
      <c r="F1563" s="1"/>
      <c r="G1563" s="1"/>
      <c r="H1563" s="1"/>
      <c r="I1563" s="1"/>
      <c r="J1563" s="1"/>
      <c r="K1563" s="1"/>
      <c r="L1563" s="1"/>
      <c r="M1563" s="1"/>
      <c r="N1563" s="1"/>
      <c r="O1563" s="1"/>
      <c r="P1563" s="1"/>
      <c r="Q1563" s="1"/>
      <c r="R1563" s="1"/>
      <c r="S1563" s="1"/>
      <c r="T1563" s="1"/>
      <c r="U1563" s="1"/>
      <c r="V1563" s="1"/>
      <c r="W1563" s="1"/>
      <c r="X1563" s="1"/>
      <c r="Y1563" s="1"/>
      <c r="Z1563" s="1"/>
    </row>
    <row r="1564">
      <c r="A1564" s="1"/>
      <c r="B1564" s="1"/>
      <c r="C1564" s="1"/>
      <c r="D1564" s="1"/>
      <c r="E1564" s="1"/>
      <c r="F1564" s="1"/>
      <c r="G1564" s="1"/>
      <c r="H1564" s="1"/>
      <c r="I1564" s="1"/>
      <c r="J1564" s="1"/>
      <c r="K1564" s="1"/>
      <c r="L1564" s="1"/>
      <c r="M1564" s="1"/>
      <c r="N1564" s="1"/>
      <c r="O1564" s="1"/>
      <c r="P1564" s="1"/>
      <c r="Q1564" s="1"/>
      <c r="R1564" s="1"/>
      <c r="S1564" s="1"/>
      <c r="T1564" s="1"/>
      <c r="U1564" s="1"/>
      <c r="V1564" s="1"/>
      <c r="W1564" s="1"/>
      <c r="X1564" s="1"/>
      <c r="Y1564" s="1"/>
      <c r="Z1564" s="1"/>
    </row>
    <row r="1565">
      <c r="A1565" s="1"/>
      <c r="B1565" s="1"/>
      <c r="C1565" s="1"/>
      <c r="D1565" s="1"/>
      <c r="E1565" s="1"/>
      <c r="F1565" s="1"/>
      <c r="G1565" s="1"/>
      <c r="H1565" s="1"/>
      <c r="I1565" s="1"/>
      <c r="J1565" s="1"/>
      <c r="K1565" s="1"/>
      <c r="L1565" s="1"/>
      <c r="M1565" s="1"/>
      <c r="N1565" s="1"/>
      <c r="O1565" s="1"/>
      <c r="P1565" s="1"/>
      <c r="Q1565" s="1"/>
      <c r="R1565" s="1"/>
      <c r="S1565" s="1"/>
      <c r="T1565" s="1"/>
      <c r="U1565" s="1"/>
      <c r="V1565" s="1"/>
      <c r="W1565" s="1"/>
      <c r="X1565" s="1"/>
      <c r="Y1565" s="1"/>
      <c r="Z1565" s="1"/>
    </row>
    <row r="1566">
      <c r="A1566" s="1"/>
      <c r="B1566" s="1"/>
      <c r="C1566" s="1"/>
      <c r="D1566" s="1"/>
      <c r="E1566" s="1"/>
      <c r="F1566" s="1"/>
      <c r="G1566" s="1"/>
      <c r="H1566" s="1"/>
      <c r="I1566" s="1"/>
      <c r="J1566" s="1"/>
      <c r="K1566" s="1"/>
      <c r="L1566" s="1"/>
      <c r="M1566" s="1"/>
      <c r="N1566" s="1"/>
      <c r="O1566" s="1"/>
      <c r="P1566" s="1"/>
      <c r="Q1566" s="1"/>
      <c r="R1566" s="1"/>
      <c r="S1566" s="1"/>
      <c r="T1566" s="1"/>
      <c r="U1566" s="1"/>
      <c r="V1566" s="1"/>
      <c r="W1566" s="1"/>
      <c r="X1566" s="1"/>
      <c r="Y1566" s="1"/>
      <c r="Z1566" s="1"/>
    </row>
    <row r="1567">
      <c r="A1567" s="1"/>
      <c r="B1567" s="1"/>
      <c r="C1567" s="1"/>
      <c r="D1567" s="1"/>
      <c r="E1567" s="1"/>
      <c r="F1567" s="1"/>
      <c r="G1567" s="1"/>
      <c r="H1567" s="1"/>
      <c r="I1567" s="1"/>
      <c r="J1567" s="1"/>
      <c r="K1567" s="1"/>
      <c r="L1567" s="1"/>
      <c r="M1567" s="1"/>
      <c r="N1567" s="1"/>
      <c r="O1567" s="1"/>
      <c r="P1567" s="1"/>
      <c r="Q1567" s="1"/>
      <c r="R1567" s="1"/>
      <c r="S1567" s="1"/>
      <c r="T1567" s="1"/>
      <c r="U1567" s="1"/>
      <c r="V1567" s="1"/>
      <c r="W1567" s="1"/>
      <c r="X1567" s="1"/>
      <c r="Y1567" s="1"/>
      <c r="Z1567" s="1"/>
    </row>
    <row r="1568">
      <c r="A1568" s="1"/>
      <c r="B1568" s="1"/>
      <c r="C1568" s="1"/>
      <c r="D1568" s="1"/>
      <c r="E1568" s="1"/>
      <c r="F1568" s="1"/>
      <c r="G1568" s="1"/>
      <c r="H1568" s="1"/>
      <c r="I1568" s="1"/>
      <c r="J1568" s="1"/>
      <c r="K1568" s="1"/>
      <c r="L1568" s="1"/>
      <c r="M1568" s="1"/>
      <c r="N1568" s="1"/>
      <c r="O1568" s="1"/>
      <c r="P1568" s="1"/>
      <c r="Q1568" s="1"/>
      <c r="R1568" s="1"/>
      <c r="S1568" s="1"/>
      <c r="T1568" s="1"/>
      <c r="U1568" s="1"/>
      <c r="V1568" s="1"/>
      <c r="W1568" s="1"/>
      <c r="X1568" s="1"/>
      <c r="Y1568" s="1"/>
      <c r="Z1568" s="1"/>
    </row>
    <row r="1569">
      <c r="A1569" s="1"/>
      <c r="B1569" s="1"/>
      <c r="C1569" s="1"/>
      <c r="D1569" s="1"/>
      <c r="E1569" s="1"/>
      <c r="F1569" s="1"/>
      <c r="G1569" s="1"/>
      <c r="H1569" s="1"/>
      <c r="I1569" s="1"/>
      <c r="J1569" s="1"/>
      <c r="K1569" s="1"/>
      <c r="L1569" s="1"/>
      <c r="M1569" s="1"/>
      <c r="N1569" s="1"/>
      <c r="O1569" s="1"/>
      <c r="P1569" s="1"/>
      <c r="Q1569" s="1"/>
      <c r="R1569" s="1"/>
      <c r="S1569" s="1"/>
      <c r="T1569" s="1"/>
      <c r="U1569" s="1"/>
      <c r="V1569" s="1"/>
      <c r="W1569" s="1"/>
      <c r="X1569" s="1"/>
      <c r="Y1569" s="1"/>
      <c r="Z1569" s="1"/>
    </row>
    <row r="1570">
      <c r="A1570" s="1"/>
      <c r="B1570" s="1"/>
      <c r="C1570" s="1"/>
      <c r="D1570" s="1"/>
      <c r="E1570" s="1"/>
      <c r="F1570" s="1"/>
      <c r="G1570" s="1"/>
      <c r="H1570" s="1"/>
      <c r="I1570" s="1"/>
      <c r="J1570" s="1"/>
      <c r="K1570" s="1"/>
      <c r="L1570" s="1"/>
      <c r="M1570" s="1"/>
      <c r="N1570" s="1"/>
      <c r="O1570" s="1"/>
      <c r="P1570" s="1"/>
      <c r="Q1570" s="1"/>
      <c r="R1570" s="1"/>
      <c r="S1570" s="1"/>
      <c r="T1570" s="1"/>
      <c r="U1570" s="1"/>
      <c r="V1570" s="1"/>
      <c r="W1570" s="1"/>
      <c r="X1570" s="1"/>
      <c r="Y1570" s="1"/>
      <c r="Z1570" s="1"/>
    </row>
    <row r="1571">
      <c r="A1571" s="1"/>
      <c r="B1571" s="1"/>
      <c r="C1571" s="1"/>
      <c r="D1571" s="1"/>
      <c r="E1571" s="1"/>
      <c r="F1571" s="1"/>
      <c r="G1571" s="1"/>
      <c r="H1571" s="1"/>
      <c r="I1571" s="1"/>
      <c r="J1571" s="1"/>
      <c r="K1571" s="1"/>
      <c r="L1571" s="1"/>
      <c r="M1571" s="1"/>
      <c r="N1571" s="1"/>
      <c r="O1571" s="1"/>
      <c r="P1571" s="1"/>
      <c r="Q1571" s="1"/>
      <c r="R1571" s="1"/>
      <c r="S1571" s="1"/>
      <c r="T1571" s="1"/>
      <c r="U1571" s="1"/>
      <c r="V1571" s="1"/>
      <c r="W1571" s="1"/>
      <c r="X1571" s="1"/>
      <c r="Y1571" s="1"/>
      <c r="Z1571" s="1"/>
    </row>
    <row r="1572">
      <c r="A1572" s="1"/>
      <c r="B1572" s="1"/>
      <c r="C1572" s="1"/>
      <c r="D1572" s="1"/>
      <c r="E1572" s="1"/>
      <c r="F1572" s="1"/>
      <c r="G1572" s="1"/>
      <c r="H1572" s="1"/>
      <c r="I1572" s="1"/>
      <c r="J1572" s="1"/>
      <c r="K1572" s="1"/>
      <c r="L1572" s="1"/>
      <c r="M1572" s="1"/>
      <c r="N1572" s="1"/>
      <c r="O1572" s="1"/>
      <c r="P1572" s="1"/>
      <c r="Q1572" s="1"/>
      <c r="R1572" s="1"/>
      <c r="S1572" s="1"/>
      <c r="T1572" s="1"/>
      <c r="U1572" s="1"/>
      <c r="V1572" s="1"/>
      <c r="W1572" s="1"/>
      <c r="X1572" s="1"/>
      <c r="Y1572" s="1"/>
      <c r="Z1572" s="1"/>
    </row>
    <row r="1573">
      <c r="A1573" s="1"/>
      <c r="B1573" s="1"/>
      <c r="C1573" s="1"/>
      <c r="D1573" s="1"/>
      <c r="E1573" s="1"/>
      <c r="F1573" s="1"/>
      <c r="G1573" s="1"/>
      <c r="H1573" s="1"/>
      <c r="I1573" s="1"/>
      <c r="J1573" s="1"/>
      <c r="K1573" s="1"/>
      <c r="L1573" s="1"/>
      <c r="M1573" s="1"/>
      <c r="N1573" s="1"/>
      <c r="O1573" s="1"/>
      <c r="P1573" s="1"/>
      <c r="Q1573" s="1"/>
      <c r="R1573" s="1"/>
      <c r="S1573" s="1"/>
      <c r="T1573" s="1"/>
      <c r="U1573" s="1"/>
      <c r="V1573" s="1"/>
      <c r="W1573" s="1"/>
      <c r="X1573" s="1"/>
      <c r="Y1573" s="1"/>
      <c r="Z1573" s="1"/>
    </row>
    <row r="1574">
      <c r="A1574" s="1"/>
      <c r="B1574" s="1"/>
      <c r="C1574" s="1"/>
      <c r="D1574" s="1"/>
      <c r="E1574" s="1"/>
      <c r="F1574" s="1"/>
      <c r="G1574" s="1"/>
      <c r="H1574" s="1"/>
      <c r="I1574" s="1"/>
      <c r="J1574" s="1"/>
      <c r="K1574" s="1"/>
      <c r="L1574" s="1"/>
      <c r="M1574" s="1"/>
      <c r="N1574" s="1"/>
      <c r="O1574" s="1"/>
      <c r="P1574" s="1"/>
      <c r="Q1574" s="1"/>
      <c r="R1574" s="1"/>
      <c r="S1574" s="1"/>
      <c r="T1574" s="1"/>
      <c r="U1574" s="1"/>
      <c r="V1574" s="1"/>
      <c r="W1574" s="1"/>
      <c r="X1574" s="1"/>
      <c r="Y1574" s="1"/>
      <c r="Z1574" s="1"/>
    </row>
    <row r="1575">
      <c r="A1575" s="1"/>
      <c r="B1575" s="1"/>
      <c r="C1575" s="1"/>
      <c r="D1575" s="1"/>
      <c r="E1575" s="1"/>
      <c r="F1575" s="1"/>
      <c r="G1575" s="1"/>
      <c r="H1575" s="1"/>
      <c r="I1575" s="1"/>
      <c r="J1575" s="1"/>
      <c r="K1575" s="1"/>
      <c r="L1575" s="1"/>
      <c r="M1575" s="1"/>
      <c r="N1575" s="1"/>
      <c r="O1575" s="1"/>
      <c r="P1575" s="1"/>
      <c r="Q1575" s="1"/>
      <c r="R1575" s="1"/>
      <c r="S1575" s="1"/>
      <c r="T1575" s="1"/>
      <c r="U1575" s="1"/>
      <c r="V1575" s="1"/>
      <c r="W1575" s="1"/>
      <c r="X1575" s="1"/>
      <c r="Y1575" s="1"/>
      <c r="Z1575" s="1"/>
    </row>
    <row r="1576">
      <c r="A1576" s="1"/>
      <c r="B1576" s="1"/>
      <c r="C1576" s="1"/>
      <c r="D1576" s="1"/>
      <c r="E1576" s="1"/>
      <c r="F1576" s="1"/>
      <c r="G1576" s="1"/>
      <c r="H1576" s="1"/>
      <c r="I1576" s="1"/>
      <c r="J1576" s="1"/>
      <c r="K1576" s="1"/>
      <c r="L1576" s="1"/>
      <c r="M1576" s="1"/>
      <c r="N1576" s="1"/>
      <c r="O1576" s="1"/>
      <c r="P1576" s="1"/>
      <c r="Q1576" s="1"/>
      <c r="R1576" s="1"/>
      <c r="S1576" s="1"/>
      <c r="T1576" s="1"/>
      <c r="U1576" s="1"/>
      <c r="V1576" s="1"/>
      <c r="W1576" s="1"/>
      <c r="X1576" s="1"/>
      <c r="Y1576" s="1"/>
      <c r="Z1576" s="1"/>
    </row>
    <row r="1577">
      <c r="A1577" s="1"/>
      <c r="B1577" s="1"/>
      <c r="C1577" s="1"/>
      <c r="D1577" s="1"/>
      <c r="E1577" s="1"/>
      <c r="F1577" s="1"/>
      <c r="G1577" s="1"/>
      <c r="H1577" s="1"/>
      <c r="I1577" s="1"/>
      <c r="J1577" s="1"/>
      <c r="K1577" s="1"/>
      <c r="L1577" s="1"/>
      <c r="M1577" s="1"/>
      <c r="N1577" s="1"/>
      <c r="O1577" s="1"/>
      <c r="P1577" s="1"/>
      <c r="Q1577" s="1"/>
      <c r="R1577" s="1"/>
      <c r="S1577" s="1"/>
      <c r="T1577" s="1"/>
      <c r="U1577" s="1"/>
      <c r="V1577" s="1"/>
      <c r="W1577" s="1"/>
      <c r="X1577" s="1"/>
      <c r="Y1577" s="1"/>
      <c r="Z1577" s="1"/>
    </row>
    <row r="1578">
      <c r="A1578" s="1"/>
      <c r="B1578" s="1"/>
      <c r="C1578" s="1"/>
      <c r="D1578" s="1"/>
      <c r="E1578" s="1"/>
      <c r="F1578" s="1"/>
      <c r="G1578" s="1"/>
      <c r="H1578" s="1"/>
      <c r="I1578" s="1"/>
      <c r="J1578" s="1"/>
      <c r="K1578" s="1"/>
      <c r="L1578" s="1"/>
      <c r="M1578" s="1"/>
      <c r="N1578" s="1"/>
      <c r="O1578" s="1"/>
      <c r="P1578" s="1"/>
      <c r="Q1578" s="1"/>
      <c r="R1578" s="1"/>
      <c r="S1578" s="1"/>
      <c r="T1578" s="1"/>
      <c r="U1578" s="1"/>
      <c r="V1578" s="1"/>
      <c r="W1578" s="1"/>
      <c r="X1578" s="1"/>
      <c r="Y1578" s="1"/>
      <c r="Z1578" s="1"/>
    </row>
    <row r="1579">
      <c r="A1579" s="1"/>
      <c r="B1579" s="1"/>
      <c r="C1579" s="1"/>
      <c r="D1579" s="1"/>
      <c r="E1579" s="1"/>
      <c r="F1579" s="1"/>
      <c r="G1579" s="1"/>
      <c r="H1579" s="1"/>
      <c r="I1579" s="1"/>
      <c r="J1579" s="1"/>
      <c r="K1579" s="1"/>
      <c r="L1579" s="1"/>
      <c r="M1579" s="1"/>
      <c r="N1579" s="1"/>
      <c r="O1579" s="1"/>
      <c r="P1579" s="1"/>
      <c r="Q1579" s="1"/>
      <c r="R1579" s="1"/>
      <c r="S1579" s="1"/>
      <c r="T1579" s="1"/>
      <c r="U1579" s="1"/>
      <c r="V1579" s="1"/>
      <c r="W1579" s="1"/>
      <c r="X1579" s="1"/>
      <c r="Y1579" s="1"/>
      <c r="Z1579" s="1"/>
    </row>
    <row r="1580">
      <c r="A1580" s="1"/>
      <c r="B1580" s="1"/>
      <c r="C1580" s="1"/>
      <c r="D1580" s="1"/>
      <c r="E1580" s="1"/>
      <c r="F1580" s="1"/>
      <c r="G1580" s="1"/>
      <c r="H1580" s="1"/>
      <c r="I1580" s="1"/>
      <c r="J1580" s="1"/>
      <c r="K1580" s="1"/>
      <c r="L1580" s="1"/>
      <c r="M1580" s="1"/>
      <c r="N1580" s="1"/>
      <c r="O1580" s="1"/>
      <c r="P1580" s="1"/>
      <c r="Q1580" s="1"/>
      <c r="R1580" s="1"/>
      <c r="S1580" s="1"/>
      <c r="T1580" s="1"/>
      <c r="U1580" s="1"/>
      <c r="V1580" s="1"/>
      <c r="W1580" s="1"/>
      <c r="X1580" s="1"/>
      <c r="Y1580" s="1"/>
      <c r="Z1580" s="1"/>
    </row>
    <row r="1581">
      <c r="A1581" s="1"/>
      <c r="B1581" s="1"/>
      <c r="C1581" s="1"/>
      <c r="D1581" s="1"/>
      <c r="E1581" s="1"/>
      <c r="F1581" s="1"/>
      <c r="G1581" s="1"/>
      <c r="H1581" s="1"/>
      <c r="I1581" s="1"/>
      <c r="J1581" s="1"/>
      <c r="K1581" s="1"/>
      <c r="L1581" s="1"/>
      <c r="M1581" s="1"/>
      <c r="N1581" s="1"/>
      <c r="O1581" s="1"/>
      <c r="P1581" s="1"/>
      <c r="Q1581" s="1"/>
      <c r="R1581" s="1"/>
      <c r="S1581" s="1"/>
      <c r="T1581" s="1"/>
      <c r="U1581" s="1"/>
      <c r="V1581" s="1"/>
      <c r="W1581" s="1"/>
      <c r="X1581" s="1"/>
      <c r="Y1581" s="1"/>
      <c r="Z1581" s="1"/>
    </row>
    <row r="1582">
      <c r="A1582" s="1"/>
      <c r="B1582" s="1"/>
      <c r="C1582" s="1"/>
      <c r="D1582" s="1"/>
      <c r="E1582" s="1"/>
      <c r="F1582" s="1"/>
      <c r="G1582" s="1"/>
      <c r="H1582" s="1"/>
      <c r="I1582" s="1"/>
      <c r="J1582" s="1"/>
      <c r="K1582" s="1"/>
      <c r="L1582" s="1"/>
      <c r="M1582" s="1"/>
      <c r="N1582" s="1"/>
      <c r="O1582" s="1"/>
      <c r="P1582" s="1"/>
      <c r="Q1582" s="1"/>
      <c r="R1582" s="1"/>
      <c r="S1582" s="1"/>
      <c r="T1582" s="1"/>
      <c r="U1582" s="1"/>
      <c r="V1582" s="1"/>
      <c r="W1582" s="1"/>
      <c r="X1582" s="1"/>
      <c r="Y1582" s="1"/>
      <c r="Z1582" s="1"/>
    </row>
    <row r="1583">
      <c r="A1583" s="1"/>
      <c r="B1583" s="1"/>
      <c r="C1583" s="1"/>
      <c r="D1583" s="1"/>
      <c r="E1583" s="1"/>
      <c r="F1583" s="1"/>
      <c r="G1583" s="1"/>
      <c r="H1583" s="1"/>
      <c r="I1583" s="1"/>
      <c r="J1583" s="1"/>
      <c r="K1583" s="1"/>
      <c r="L1583" s="1"/>
      <c r="M1583" s="1"/>
      <c r="N1583" s="1"/>
      <c r="O1583" s="1"/>
      <c r="P1583" s="1"/>
      <c r="Q1583" s="1"/>
      <c r="R1583" s="1"/>
      <c r="S1583" s="1"/>
      <c r="T1583" s="1"/>
      <c r="U1583" s="1"/>
      <c r="V1583" s="1"/>
      <c r="W1583" s="1"/>
      <c r="X1583" s="1"/>
      <c r="Y1583" s="1"/>
      <c r="Z1583" s="1"/>
    </row>
    <row r="1584">
      <c r="A1584" s="1"/>
      <c r="B1584" s="1"/>
      <c r="C1584" s="1"/>
      <c r="D1584" s="1"/>
      <c r="E1584" s="1"/>
      <c r="F1584" s="1"/>
      <c r="G1584" s="1"/>
      <c r="H1584" s="1"/>
      <c r="I1584" s="1"/>
      <c r="J1584" s="1"/>
      <c r="K1584" s="1"/>
      <c r="L1584" s="1"/>
      <c r="M1584" s="1"/>
      <c r="N1584" s="1"/>
      <c r="O1584" s="1"/>
      <c r="P1584" s="1"/>
      <c r="Q1584" s="1"/>
      <c r="R1584" s="1"/>
      <c r="S1584" s="1"/>
      <c r="T1584" s="1"/>
      <c r="U1584" s="1"/>
      <c r="V1584" s="1"/>
      <c r="W1584" s="1"/>
      <c r="X1584" s="1"/>
      <c r="Y1584" s="1"/>
      <c r="Z1584" s="1"/>
    </row>
    <row r="1585">
      <c r="A1585" s="1"/>
      <c r="B1585" s="1"/>
      <c r="C1585" s="1"/>
      <c r="D1585" s="1"/>
      <c r="E1585" s="1"/>
      <c r="F1585" s="1"/>
      <c r="G1585" s="1"/>
      <c r="H1585" s="1"/>
      <c r="I1585" s="1"/>
      <c r="J1585" s="1"/>
      <c r="K1585" s="1"/>
      <c r="L1585" s="1"/>
      <c r="M1585" s="1"/>
      <c r="N1585" s="1"/>
      <c r="O1585" s="1"/>
      <c r="P1585" s="1"/>
      <c r="Q1585" s="1"/>
      <c r="R1585" s="1"/>
      <c r="S1585" s="1"/>
      <c r="T1585" s="1"/>
      <c r="U1585" s="1"/>
      <c r="V1585" s="1"/>
      <c r="W1585" s="1"/>
      <c r="X1585" s="1"/>
      <c r="Y1585" s="1"/>
      <c r="Z1585" s="1"/>
    </row>
    <row r="1586">
      <c r="A1586" s="1"/>
      <c r="B1586" s="1"/>
      <c r="C1586" s="1"/>
      <c r="D1586" s="1"/>
      <c r="E1586" s="1"/>
      <c r="F1586" s="1"/>
      <c r="G1586" s="1"/>
      <c r="H1586" s="1"/>
      <c r="I1586" s="1"/>
      <c r="J1586" s="1"/>
      <c r="K1586" s="1"/>
      <c r="L1586" s="1"/>
      <c r="M1586" s="1"/>
      <c r="N1586" s="1"/>
      <c r="O1586" s="1"/>
      <c r="P1586" s="1"/>
      <c r="Q1586" s="1"/>
      <c r="R1586" s="1"/>
      <c r="S1586" s="1"/>
      <c r="T1586" s="1"/>
      <c r="U1586" s="1"/>
      <c r="V1586" s="1"/>
      <c r="W1586" s="1"/>
      <c r="X1586" s="1"/>
      <c r="Y1586" s="1"/>
      <c r="Z1586" s="1"/>
    </row>
    <row r="1587">
      <c r="A1587" s="1"/>
      <c r="B1587" s="1"/>
      <c r="C1587" s="1"/>
      <c r="D1587" s="1"/>
      <c r="E1587" s="1"/>
      <c r="F1587" s="1"/>
      <c r="G1587" s="1"/>
      <c r="H1587" s="1"/>
      <c r="I1587" s="1"/>
      <c r="J1587" s="1"/>
      <c r="K1587" s="1"/>
      <c r="L1587" s="1"/>
      <c r="M1587" s="1"/>
      <c r="N1587" s="1"/>
      <c r="O1587" s="1"/>
      <c r="P1587" s="1"/>
      <c r="Q1587" s="1"/>
      <c r="R1587" s="1"/>
      <c r="S1587" s="1"/>
      <c r="T1587" s="1"/>
      <c r="U1587" s="1"/>
      <c r="V1587" s="1"/>
      <c r="W1587" s="1"/>
      <c r="X1587" s="1"/>
      <c r="Y1587" s="1"/>
      <c r="Z1587" s="1"/>
    </row>
    <row r="1588">
      <c r="A1588" s="1"/>
      <c r="B1588" s="1"/>
      <c r="C1588" s="1"/>
      <c r="D1588" s="1"/>
      <c r="E1588" s="1"/>
      <c r="F1588" s="1"/>
      <c r="G1588" s="1"/>
      <c r="H1588" s="1"/>
      <c r="I1588" s="1"/>
      <c r="J1588" s="1"/>
      <c r="K1588" s="1"/>
      <c r="L1588" s="1"/>
      <c r="M1588" s="1"/>
      <c r="N1588" s="1"/>
      <c r="O1588" s="1"/>
      <c r="P1588" s="1"/>
      <c r="Q1588" s="1"/>
      <c r="R1588" s="1"/>
      <c r="S1588" s="1"/>
      <c r="T1588" s="1"/>
      <c r="U1588" s="1"/>
      <c r="V1588" s="1"/>
      <c r="W1588" s="1"/>
      <c r="X1588" s="1"/>
      <c r="Y1588" s="1"/>
      <c r="Z1588" s="1"/>
    </row>
    <row r="1589">
      <c r="A1589" s="1"/>
      <c r="B1589" s="1"/>
      <c r="C1589" s="1"/>
      <c r="D1589" s="1"/>
      <c r="E1589" s="1"/>
      <c r="F1589" s="1"/>
      <c r="G1589" s="1"/>
      <c r="H1589" s="1"/>
      <c r="I1589" s="1"/>
      <c r="J1589" s="1"/>
      <c r="K1589" s="1"/>
      <c r="L1589" s="1"/>
      <c r="M1589" s="1"/>
      <c r="N1589" s="1"/>
      <c r="O1589" s="1"/>
      <c r="P1589" s="1"/>
      <c r="Q1589" s="1"/>
      <c r="R1589" s="1"/>
      <c r="S1589" s="1"/>
      <c r="T1589" s="1"/>
      <c r="U1589" s="1"/>
      <c r="V1589" s="1"/>
      <c r="W1589" s="1"/>
      <c r="X1589" s="1"/>
      <c r="Y1589" s="1"/>
      <c r="Z1589" s="1"/>
    </row>
    <row r="1590">
      <c r="A1590" s="1"/>
      <c r="B1590" s="1"/>
      <c r="C1590" s="1"/>
      <c r="D1590" s="1"/>
      <c r="E1590" s="1"/>
      <c r="F1590" s="1"/>
      <c r="G1590" s="1"/>
      <c r="H1590" s="1"/>
      <c r="I1590" s="1"/>
      <c r="J1590" s="1"/>
      <c r="K1590" s="1"/>
      <c r="L1590" s="1"/>
      <c r="M1590" s="1"/>
      <c r="N1590" s="1"/>
      <c r="O1590" s="1"/>
      <c r="P1590" s="1"/>
      <c r="Q1590" s="1"/>
      <c r="R1590" s="1"/>
      <c r="S1590" s="1"/>
      <c r="T1590" s="1"/>
      <c r="U1590" s="1"/>
      <c r="V1590" s="1"/>
      <c r="W1590" s="1"/>
      <c r="X1590" s="1"/>
      <c r="Y1590" s="1"/>
      <c r="Z1590" s="1"/>
    </row>
    <row r="1591">
      <c r="A1591" s="1"/>
      <c r="B1591" s="1"/>
      <c r="C1591" s="1"/>
      <c r="D1591" s="1"/>
      <c r="E1591" s="1"/>
      <c r="F1591" s="1"/>
      <c r="G1591" s="1"/>
      <c r="H1591" s="1"/>
      <c r="I1591" s="1"/>
      <c r="J1591" s="1"/>
      <c r="K1591" s="1"/>
      <c r="L1591" s="1"/>
      <c r="M1591" s="1"/>
      <c r="N1591" s="1"/>
      <c r="O1591" s="1"/>
      <c r="P1591" s="1"/>
      <c r="Q1591" s="1"/>
      <c r="R1591" s="1"/>
      <c r="S1591" s="1"/>
      <c r="T1591" s="1"/>
      <c r="U1591" s="1"/>
      <c r="V1591" s="1"/>
      <c r="W1591" s="1"/>
      <c r="X1591" s="1"/>
      <c r="Y1591" s="1"/>
      <c r="Z1591" s="1"/>
    </row>
    <row r="1592">
      <c r="A1592" s="1"/>
      <c r="B1592" s="1"/>
      <c r="C1592" s="1"/>
      <c r="D1592" s="1"/>
      <c r="E1592" s="1"/>
      <c r="F1592" s="1"/>
      <c r="G1592" s="1"/>
      <c r="H1592" s="1"/>
      <c r="I1592" s="1"/>
      <c r="J1592" s="1"/>
      <c r="K1592" s="1"/>
      <c r="L1592" s="1"/>
      <c r="M1592" s="1"/>
      <c r="N1592" s="1"/>
      <c r="O1592" s="1"/>
      <c r="P1592" s="1"/>
      <c r="Q1592" s="1"/>
      <c r="R1592" s="1"/>
      <c r="S1592" s="1"/>
      <c r="T1592" s="1"/>
      <c r="U1592" s="1"/>
      <c r="V1592" s="1"/>
      <c r="W1592" s="1"/>
      <c r="X1592" s="1"/>
      <c r="Y1592" s="1"/>
      <c r="Z1592" s="1"/>
    </row>
    <row r="1593">
      <c r="A1593" s="1"/>
      <c r="B1593" s="1"/>
      <c r="C1593" s="1"/>
      <c r="D1593" s="1"/>
      <c r="E1593" s="1"/>
      <c r="F1593" s="1"/>
      <c r="G1593" s="1"/>
      <c r="H1593" s="1"/>
      <c r="I1593" s="1"/>
      <c r="J1593" s="1"/>
      <c r="K1593" s="1"/>
      <c r="L1593" s="1"/>
      <c r="M1593" s="1"/>
      <c r="N1593" s="1"/>
      <c r="O1593" s="1"/>
      <c r="P1593" s="1"/>
      <c r="Q1593" s="1"/>
      <c r="R1593" s="1"/>
      <c r="S1593" s="1"/>
      <c r="T1593" s="1"/>
      <c r="U1593" s="1"/>
      <c r="V1593" s="1"/>
      <c r="W1593" s="1"/>
      <c r="X1593" s="1"/>
      <c r="Y1593" s="1"/>
      <c r="Z1593" s="1"/>
    </row>
    <row r="1594">
      <c r="A1594" s="1"/>
      <c r="B1594" s="1"/>
      <c r="C1594" s="1"/>
      <c r="D1594" s="1"/>
      <c r="E1594" s="1"/>
      <c r="F1594" s="1"/>
      <c r="G1594" s="1"/>
      <c r="H1594" s="1"/>
      <c r="I1594" s="1"/>
      <c r="J1594" s="1"/>
      <c r="K1594" s="1"/>
      <c r="L1594" s="1"/>
      <c r="M1594" s="1"/>
      <c r="N1594" s="1"/>
      <c r="O1594" s="1"/>
      <c r="P1594" s="1"/>
      <c r="Q1594" s="1"/>
      <c r="R1594" s="1"/>
      <c r="S1594" s="1"/>
      <c r="T1594" s="1"/>
      <c r="U1594" s="1"/>
      <c r="V1594" s="1"/>
      <c r="W1594" s="1"/>
      <c r="X1594" s="1"/>
      <c r="Y1594" s="1"/>
      <c r="Z1594" s="1"/>
    </row>
    <row r="1595">
      <c r="A1595" s="1"/>
      <c r="B1595" s="1"/>
      <c r="C1595" s="1"/>
      <c r="D1595" s="1"/>
      <c r="E1595" s="1"/>
      <c r="F1595" s="1"/>
      <c r="G1595" s="1"/>
      <c r="H1595" s="1"/>
      <c r="I1595" s="1"/>
      <c r="J1595" s="1"/>
      <c r="K1595" s="1"/>
      <c r="L1595" s="1"/>
      <c r="M1595" s="1"/>
      <c r="N1595" s="1"/>
      <c r="O1595" s="1"/>
      <c r="P1595" s="1"/>
      <c r="Q1595" s="1"/>
      <c r="R1595" s="1"/>
      <c r="S1595" s="1"/>
      <c r="T1595" s="1"/>
      <c r="U1595" s="1"/>
      <c r="V1595" s="1"/>
      <c r="W1595" s="1"/>
      <c r="X1595" s="1"/>
      <c r="Y1595" s="1"/>
      <c r="Z1595" s="1"/>
    </row>
    <row r="1596">
      <c r="A1596" s="1"/>
      <c r="B1596" s="1"/>
      <c r="C1596" s="1"/>
      <c r="D1596" s="1"/>
      <c r="E1596" s="1"/>
      <c r="F1596" s="1"/>
      <c r="G1596" s="1"/>
      <c r="H1596" s="1"/>
      <c r="I1596" s="1"/>
      <c r="J1596" s="1"/>
      <c r="K1596" s="1"/>
      <c r="L1596" s="1"/>
      <c r="M1596" s="1"/>
      <c r="N1596" s="1"/>
      <c r="O1596" s="1"/>
      <c r="P1596" s="1"/>
      <c r="Q1596" s="1"/>
      <c r="R1596" s="1"/>
      <c r="S1596" s="1"/>
      <c r="T1596" s="1"/>
      <c r="U1596" s="1"/>
      <c r="V1596" s="1"/>
      <c r="W1596" s="1"/>
      <c r="X1596" s="1"/>
      <c r="Y1596" s="1"/>
      <c r="Z1596"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27.38"/>
    <col customWidth="1" min="2" max="6" width="12.63"/>
    <col customWidth="1" min="12" max="12" width="28.75"/>
    <col customWidth="1" min="58" max="58" width="26.13"/>
  </cols>
  <sheetData>
    <row r="1" ht="15.75" customHeight="1">
      <c r="A1" s="2" t="str">
        <f>IFERROR(__xludf.DUMMYFUNCTION("IMPORTRANGE(""https://docs.google.com/spreadsheets/d/1HXoAI5UG3zq1UHqU5n7fPdbQk93qOha2VQb1r7iRi1o"",""Mobs!A:BQ"")"),"Name")</f>
        <v>Name</v>
      </c>
      <c r="B1" s="2" t="str">
        <f>IFERROR(__xludf.DUMMYFUNCTION("""COMPUTED_VALUE"""),"Level")</f>
        <v>Level</v>
      </c>
      <c r="C1" s="2" t="str">
        <f>IFERROR(__xludf.DUMMYFUNCTION("""COMPUTED_VALUE"""),"Description")</f>
        <v>Description</v>
      </c>
      <c r="D1" s="2" t="str">
        <f>IFERROR(__xludf.DUMMYFUNCTION("""COMPUTED_VALUE"""),"EntityType")</f>
        <v>EntityType</v>
      </c>
      <c r="E1" s="2" t="str">
        <f>IFERROR(__xludf.DUMMYFUNCTION("""COMPUTED_VALUE"""),"Attack")</f>
        <v>Attack</v>
      </c>
      <c r="F1" s="2" t="str">
        <f>IFERROR(__xludf.DUMMYFUNCTION("""COMPUTED_VALUE"""),"Accuracy")</f>
        <v>Accuracy</v>
      </c>
      <c r="G1" s="2" t="str">
        <f>IFERROR(__xludf.DUMMYFUNCTION("""COMPUTED_VALUE"""),"Defence")</f>
        <v>Defence</v>
      </c>
      <c r="H1" s="2" t="str">
        <f>IFERROR(__xludf.DUMMYFUNCTION("""COMPUTED_VALUE"""),"Evasion")</f>
        <v>Evasion</v>
      </c>
      <c r="I1" s="2" t="str">
        <f>IFERROR(__xludf.DUMMYFUNCTION("""COMPUTED_VALUE"""),"Intimidation")</f>
        <v>Intimidation</v>
      </c>
      <c r="J1" s="2" t="str">
        <f>IFERROR(__xludf.DUMMYFUNCTION("""COMPUTED_VALUE"""),"Wisdom")</f>
        <v>Wisdom</v>
      </c>
      <c r="K1" s="2" t="str">
        <f>IFERROR(__xludf.DUMMYFUNCTION("""COMPUTED_VALUE"""),"HP")</f>
        <v>HP</v>
      </c>
      <c r="L1" s="2" t="str">
        <f>IFERROR(__xludf.DUMMYFUNCTION("""COMPUTED_VALUE"""),"SP")</f>
        <v>SP</v>
      </c>
      <c r="M1" s="2" t="str">
        <f>IFERROR(__xludf.DUMMYFUNCTION("""COMPUTED_VALUE"""),"Resistances")</f>
        <v>Resistances</v>
      </c>
      <c r="N1" s="2" t="str">
        <f>IFERROR(__xludf.DUMMYFUNCTION("""COMPUTED_VALUE"""),"Vulnerabilities")</f>
        <v>Vulnerabilities</v>
      </c>
      <c r="O1" s="2" t="str">
        <f>IFERROR(__xludf.DUMMYFUNCTION("""COMPUTED_VALUE"""),"Head")</f>
        <v>Head</v>
      </c>
      <c r="P1" s="2" t="str">
        <f>IFERROR(__xludf.DUMMYFUNCTION("""COMPUTED_VALUE"""),"Neck 1")</f>
        <v>Neck 1</v>
      </c>
      <c r="Q1" s="2" t="str">
        <f>IFERROR(__xludf.DUMMYFUNCTION("""COMPUTED_VALUE"""),"Neck 2")</f>
        <v>Neck 2</v>
      </c>
      <c r="R1" s="2" t="str">
        <f>IFERROR(__xludf.DUMMYFUNCTION("""COMPUTED_VALUE"""),"Neck 3")</f>
        <v>Neck 3</v>
      </c>
      <c r="S1" s="2" t="str">
        <f>IFERROR(__xludf.DUMMYFUNCTION("""COMPUTED_VALUE"""),"Shoulders")</f>
        <v>Shoulders</v>
      </c>
      <c r="T1" s="2" t="str">
        <f>IFERROR(__xludf.DUMMYFUNCTION("""COMPUTED_VALUE"""),"Torso")</f>
        <v>Torso</v>
      </c>
      <c r="U1" s="2" t="str">
        <f>IFERROR(__xludf.DUMMYFUNCTION("""COMPUTED_VALUE"""),"Arms")</f>
        <v>Arms</v>
      </c>
      <c r="V1" s="2" t="str">
        <f>IFERROR(__xludf.DUMMYFUNCTION("""COMPUTED_VALUE"""),"L. Hand")</f>
        <v>L. Hand</v>
      </c>
      <c r="W1" s="2" t="str">
        <f>IFERROR(__xludf.DUMMYFUNCTION("""COMPUTED_VALUE"""),"R. Hand")</f>
        <v>R. Hand</v>
      </c>
      <c r="X1" s="2" t="str">
        <f>IFERROR(__xludf.DUMMYFUNCTION("""COMPUTED_VALUE"""),"Finger 1")</f>
        <v>Finger 1</v>
      </c>
      <c r="Y1" s="2" t="str">
        <f>IFERROR(__xludf.DUMMYFUNCTION("""COMPUTED_VALUE"""),"Finger 2")</f>
        <v>Finger 2</v>
      </c>
      <c r="Z1" s="2" t="str">
        <f>IFERROR(__xludf.DUMMYFUNCTION("""COMPUTED_VALUE"""),"Finger 3")</f>
        <v>Finger 3</v>
      </c>
      <c r="AA1" s="2" t="str">
        <f>IFERROR(__xludf.DUMMYFUNCTION("""COMPUTED_VALUE"""),"Finger 4")</f>
        <v>Finger 4</v>
      </c>
      <c r="AB1" s="2" t="str">
        <f>IFERROR(__xludf.DUMMYFUNCTION("""COMPUTED_VALUE"""),"Finger 5")</f>
        <v>Finger 5</v>
      </c>
      <c r="AC1" s="2" t="str">
        <f>IFERROR(__xludf.DUMMYFUNCTION("""COMPUTED_VALUE"""),"Finger 6")</f>
        <v>Finger 6</v>
      </c>
      <c r="AD1" s="2" t="str">
        <f>IFERROR(__xludf.DUMMYFUNCTION("""COMPUTED_VALUE"""),"Finger 7")</f>
        <v>Finger 7</v>
      </c>
      <c r="AE1" s="2" t="str">
        <f>IFERROR(__xludf.DUMMYFUNCTION("""COMPUTED_VALUE"""),"Finger 8")</f>
        <v>Finger 8</v>
      </c>
      <c r="AF1" s="2" t="str">
        <f>IFERROR(__xludf.DUMMYFUNCTION("""COMPUTED_VALUE"""),"Finger 9")</f>
        <v>Finger 9</v>
      </c>
      <c r="AG1" s="2" t="str">
        <f>IFERROR(__xludf.DUMMYFUNCTION("""COMPUTED_VALUE"""),"Finger 10")</f>
        <v>Finger 10</v>
      </c>
      <c r="AH1" s="2" t="str">
        <f>IFERROR(__xludf.DUMMYFUNCTION("""COMPUTED_VALUE"""),"Legs")</f>
        <v>Legs</v>
      </c>
      <c r="AI1" s="2" t="str">
        <f>IFERROR(__xludf.DUMMYFUNCTION("""COMPUTED_VALUE"""),"Feet")</f>
        <v>Feet</v>
      </c>
      <c r="AJ1" s="2" t="str">
        <f>IFERROR(__xludf.DUMMYFUNCTION("""COMPUTED_VALUE"""),"Spell 1")</f>
        <v>Spell 1</v>
      </c>
      <c r="AK1" s="2" t="str">
        <f>IFERROR(__xludf.DUMMYFUNCTION("""COMPUTED_VALUE"""),"Spell 2")</f>
        <v>Spell 2</v>
      </c>
      <c r="AL1" s="2" t="str">
        <f>IFERROR(__xludf.DUMMYFUNCTION("""COMPUTED_VALUE"""),"Spell 3")</f>
        <v>Spell 3</v>
      </c>
      <c r="AM1" s="2" t="str">
        <f>IFERROR(__xludf.DUMMYFUNCTION("""COMPUTED_VALUE"""),"Spell 4")</f>
        <v>Spell 4</v>
      </c>
      <c r="AN1" s="2" t="str">
        <f>IFERROR(__xludf.DUMMYFUNCTION("""COMPUTED_VALUE"""),"Spell 5")</f>
        <v>Spell 5</v>
      </c>
      <c r="AO1" s="2" t="str">
        <f>IFERROR(__xludf.DUMMYFUNCTION("""COMPUTED_VALUE"""),"Spell 6")</f>
        <v>Spell 6</v>
      </c>
      <c r="AP1" s="2" t="str">
        <f>IFERROR(__xludf.DUMMYFUNCTION("""COMPUTED_VALUE"""),"Spell 7")</f>
        <v>Spell 7</v>
      </c>
      <c r="AQ1" s="2" t="str">
        <f>IFERROR(__xludf.DUMMYFUNCTION("""COMPUTED_VALUE"""),"Spell 8")</f>
        <v>Spell 8</v>
      </c>
      <c r="AR1" s="2" t="str">
        <f>IFERROR(__xludf.DUMMYFUNCTION("""COMPUTED_VALUE"""),"Spell 9")</f>
        <v>Spell 9</v>
      </c>
      <c r="AS1" s="2" t="str">
        <f>IFERROR(__xludf.DUMMYFUNCTION("""COMPUTED_VALUE"""),"Spell 10")</f>
        <v>Spell 10</v>
      </c>
      <c r="AT1" s="2" t="str">
        <f>IFERROR(__xludf.DUMMYFUNCTION("""COMPUTED_VALUE"""),"Spell 11")</f>
        <v>Spell 11</v>
      </c>
      <c r="AU1" s="2" t="str">
        <f>IFERROR(__xludf.DUMMYFUNCTION("""COMPUTED_VALUE"""),"Spell 12")</f>
        <v>Spell 12</v>
      </c>
      <c r="AV1" s="2" t="str">
        <f>IFERROR(__xludf.DUMMYFUNCTION("""COMPUTED_VALUE"""),"Spell 13")</f>
        <v>Spell 13</v>
      </c>
      <c r="AW1" s="2" t="str">
        <f>IFERROR(__xludf.DUMMYFUNCTION("""COMPUTED_VALUE"""),"Spell 14")</f>
        <v>Spell 14</v>
      </c>
      <c r="AX1" s="2" t="str">
        <f>IFERROR(__xludf.DUMMYFUNCTION("""COMPUTED_VALUE"""),"Spell 15")</f>
        <v>Spell 15</v>
      </c>
      <c r="AY1" s="2" t="str">
        <f>IFERROR(__xludf.DUMMYFUNCTION("""COMPUTED_VALUE"""),"Spell 16")</f>
        <v>Spell 16</v>
      </c>
      <c r="AZ1" s="2" t="str">
        <f>IFERROR(__xludf.DUMMYFUNCTION("""COMPUTED_VALUE"""),"Spell 17")</f>
        <v>Spell 17</v>
      </c>
      <c r="BA1" s="3" t="str">
        <f>IFERROR(__xludf.DUMMYFUNCTION("""COMPUTED_VALUE"""),"Spell 18")</f>
        <v>Spell 18</v>
      </c>
      <c r="BB1" s="3" t="str">
        <f>IFERROR(__xludf.DUMMYFUNCTION("""COMPUTED_VALUE"""),"Spell 19")</f>
        <v>Spell 19</v>
      </c>
      <c r="BC1" s="2" t="str">
        <f>IFERROR(__xludf.DUMMYFUNCTION("""COMPUTED_VALUE"""),"Spell 20")</f>
        <v>Spell 20</v>
      </c>
      <c r="BD1" s="3" t="str">
        <f>IFERROR(__xludf.DUMMYFUNCTION("""COMPUTED_VALUE"""),"Charisma")</f>
        <v>Charisma</v>
      </c>
      <c r="BE1" s="4" t="str">
        <f>IFERROR(__xludf.DUMMYFUNCTION("""COMPUTED_VALUE"""),"Mobility")</f>
        <v>Mobility</v>
      </c>
      <c r="BF1" s="3" t="str">
        <f>IFERROR(__xludf.DUMMYFUNCTION("""COMPUTED_VALUE"""),"OtherBonusesAndAbilities")</f>
        <v>OtherBonusesAndAbilities</v>
      </c>
      <c r="BG1" s="3" t="str">
        <f>IFERROR(__xludf.DUMMYFUNCTION("""COMPUTED_VALUE"""),"Region")</f>
        <v>Region</v>
      </c>
      <c r="BH1" s="3" t="str">
        <f>IFERROR(__xludf.DUMMYFUNCTION("""COMPUTED_VALUE"""),"Worlds")</f>
        <v>Worlds</v>
      </c>
      <c r="BI1" s="3" t="str">
        <f>IFERROR(__xludf.DUMMYFUNCTION("""COMPUTED_VALUE"""),"DLC")</f>
        <v>DLC</v>
      </c>
      <c r="BJ1" s="3" t="str">
        <f>IFERROR(__xludf.DUMMYFUNCTION("""COMPUTED_VALUE"""),"Event")</f>
        <v>Event</v>
      </c>
      <c r="BK1" s="3" t="str">
        <f>IFERROR(__xludf.DUMMYFUNCTION("""COMPUTED_VALUE"""),"Fuel")</f>
        <v>Fuel</v>
      </c>
      <c r="BL1" s="3" t="str">
        <f>IFERROR(__xludf.DUMMYFUNCTION("""COMPUTED_VALUE"""),"Vehicle")</f>
        <v>Vehicle</v>
      </c>
      <c r="BM1" s="3" t="str">
        <f>IFERROR(__xludf.DUMMYFUNCTION("""COMPUTED_VALUE"""),"VehicleType")</f>
        <v>VehicleType</v>
      </c>
      <c r="BN1" s="3"/>
      <c r="BO1" s="3"/>
      <c r="BP1" s="3"/>
      <c r="BQ1" s="3"/>
      <c r="BR1" s="3"/>
      <c r="BS1" s="3"/>
      <c r="BT1" s="3"/>
      <c r="BU1" s="3"/>
      <c r="BV1" s="3"/>
      <c r="BW1" s="3"/>
    </row>
    <row r="2" ht="15.75" customHeight="1">
      <c r="A2" s="2" t="str">
        <f>IFERROR(__xludf.DUMMYFUNCTION("""COMPUTED_VALUE"""),"Acid Dragon")</f>
        <v>Acid Dragon</v>
      </c>
      <c r="B2" s="2">
        <f>IFERROR(__xludf.DUMMYFUNCTION("""COMPUTED_VALUE"""),1.0)</f>
        <v>1</v>
      </c>
      <c r="C2" s="2" t="str">
        <f>IFERROR(__xludf.DUMMYFUNCTION("""COMPUTED_VALUE"""),"This dragon can be found commonly in swamps doing things like dissolving trees, dissolving rocks, oh shit, it's dissolving my legs.")</f>
        <v>This dragon can be found commonly in swamps doing things like dissolving trees, dissolving rocks, oh shit, it's dissolving my legs.</v>
      </c>
      <c r="D2" s="5" t="str">
        <f>IFERROR(__xludf.DUMMYFUNCTION("""COMPUTED_VALUE"""),"Draconic")</f>
        <v>Draconic</v>
      </c>
      <c r="E2" s="5">
        <f>IFERROR(__xludf.DUMMYFUNCTION("""COMPUTED_VALUE"""),1010.0)</f>
        <v>1010</v>
      </c>
      <c r="F2" s="5">
        <f>IFERROR(__xludf.DUMMYFUNCTION("""COMPUTED_VALUE"""),1010.0)</f>
        <v>1010</v>
      </c>
      <c r="G2" s="5">
        <f>IFERROR(__xludf.DUMMYFUNCTION("""COMPUTED_VALUE"""),1010.0)</f>
        <v>1010</v>
      </c>
      <c r="H2" s="2">
        <f>IFERROR(__xludf.DUMMYFUNCTION("""COMPUTED_VALUE"""),10.0)</f>
        <v>10</v>
      </c>
      <c r="I2" s="2">
        <f>IFERROR(__xludf.DUMMYFUNCTION("""COMPUTED_VALUE"""),0.0)</f>
        <v>0</v>
      </c>
      <c r="J2" s="2">
        <f>IFERROR(__xludf.DUMMYFUNCTION("""COMPUTED_VALUE"""),0.0)</f>
        <v>0</v>
      </c>
      <c r="K2" s="2">
        <f>IFERROR(__xludf.DUMMYFUNCTION("""COMPUTED_VALUE"""),100.0)</f>
        <v>100</v>
      </c>
      <c r="L2" s="2">
        <f>IFERROR(__xludf.DUMMYFUNCTION("""COMPUTED_VALUE"""),100.0)</f>
        <v>100</v>
      </c>
      <c r="M2" s="2" t="str">
        <f>IFERROR(__xludf.DUMMYFUNCTION("""COMPUTED_VALUE"""),"Nature:Immune, Instant Death:Immune, Banishment:Immune, ")</f>
        <v>Nature:Immune, Instant Death:Immune, Banishment:Immune, </v>
      </c>
      <c r="N2" s="2" t="str">
        <f>IFERROR(__xludf.DUMMYFUNCTION("""COMPUTED_VALUE"""),"Fire:100, Storm:100, ")</f>
        <v>Fire:100, Storm:100, </v>
      </c>
      <c r="O2" s="2"/>
      <c r="P2" s="2"/>
      <c r="Q2" s="2"/>
      <c r="R2" s="2"/>
      <c r="S2" s="2"/>
      <c r="T2" s="2"/>
      <c r="U2" s="2"/>
      <c r="V2" s="2"/>
      <c r="W2" s="2"/>
      <c r="X2" s="2"/>
      <c r="Y2" s="2"/>
      <c r="Z2" s="2"/>
      <c r="AA2" s="2"/>
      <c r="AB2" s="2"/>
      <c r="AC2" s="2"/>
      <c r="AD2" s="2"/>
      <c r="AE2" s="2"/>
      <c r="AF2" s="2"/>
      <c r="AG2" s="2"/>
      <c r="AH2" s="2"/>
      <c r="AI2" s="2"/>
      <c r="AJ2" s="2" t="str">
        <f>IFERROR(__xludf.DUMMYFUNCTION("""COMPUTED_VALUE"""),"Dragon's Breath")</f>
        <v>Dragon's Breath</v>
      </c>
      <c r="AK2" s="2" t="str">
        <f>IFERROR(__xludf.DUMMYFUNCTION("""COMPUTED_VALUE"""),"Bite")</f>
        <v>Bite</v>
      </c>
      <c r="AL2" s="2" t="str">
        <f>IFERROR(__xludf.DUMMYFUNCTION("""COMPUTED_VALUE"""),"Tail Smash")</f>
        <v>Tail Smash</v>
      </c>
      <c r="AM2" s="2" t="str">
        <f>IFERROR(__xludf.DUMMYFUNCTION("""COMPUTED_VALUE"""),"Claws")</f>
        <v>Claws</v>
      </c>
      <c r="AN2" s="2" t="str">
        <f>IFERROR(__xludf.DUMMYFUNCTION("""COMPUTED_VALUE"""),"Berserk")</f>
        <v>Berserk</v>
      </c>
      <c r="AO2" s="2" t="str">
        <f>IFERROR(__xludf.DUMMYFUNCTION("""COMPUTED_VALUE"""),"Multishot")</f>
        <v>Multishot</v>
      </c>
      <c r="AP2" s="2" t="str">
        <f>IFERROR(__xludf.DUMMYFUNCTION("""COMPUTED_VALUE"""),"Draconic Scream")</f>
        <v>Draconic Scream</v>
      </c>
      <c r="AQ2" s="2" t="str">
        <f>IFERROR(__xludf.DUMMYFUNCTION("""COMPUTED_VALUE"""),"Poison Fang")</f>
        <v>Poison Fang</v>
      </c>
      <c r="AR2" s="2" t="str">
        <f>IFERROR(__xludf.DUMMYFUNCTION("""COMPUTED_VALUE"""),"Class 3 Poison")</f>
        <v>Class 3 Poison</v>
      </c>
      <c r="AS2" s="2" t="str">
        <f>IFERROR(__xludf.DUMMYFUNCTION("""COMPUTED_VALUE"""),"1000 Poisons Body")</f>
        <v>1000 Poisons Body</v>
      </c>
      <c r="AT2" s="2" t="str">
        <f>IFERROR(__xludf.DUMMYFUNCTION("""COMPUTED_VALUE"""),"Poisonous Fumes")</f>
        <v>Poisonous Fumes</v>
      </c>
      <c r="AU2" s="2" t="str">
        <f>IFERROR(__xludf.DUMMYFUNCTION("""COMPUTED_VALUE"""),"Celestial Wrath")</f>
        <v>Celestial Wrath</v>
      </c>
      <c r="AV2" s="2"/>
      <c r="AW2" s="2"/>
      <c r="AX2" s="2"/>
      <c r="AY2" s="2"/>
      <c r="AZ2" s="2"/>
      <c r="BA2" s="3"/>
      <c r="BB2" s="3"/>
      <c r="BC2" s="1"/>
      <c r="BD2" s="3">
        <f>IFERROR(__xludf.DUMMYFUNCTION("""COMPUTED_VALUE"""),0.0)</f>
        <v>0</v>
      </c>
      <c r="BE2" s="4">
        <f>IFERROR(__xludf.DUMMYFUNCTION("""COMPUTED_VALUE"""),10.0)</f>
        <v>10</v>
      </c>
      <c r="BF2"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2" s="3" t="str">
        <f>IFERROR(__xludf.DUMMYFUNCTION("""COMPUTED_VALUE"""),"Swamp")</f>
        <v>Swamp</v>
      </c>
      <c r="BH2" s="3" t="str">
        <f>IFERROR(__xludf.DUMMYFUNCTION("""COMPUTED_VALUE"""),"Dragonscale Island")</f>
        <v>Dragonscale Island</v>
      </c>
      <c r="BI2" s="3"/>
      <c r="BJ2" s="3"/>
      <c r="BK2" s="3"/>
      <c r="BL2" s="3" t="b">
        <f>IFERROR(__xludf.DUMMYFUNCTION("""COMPUTED_VALUE"""),FALSE)</f>
        <v>0</v>
      </c>
      <c r="BM2" s="3"/>
      <c r="BN2" s="3"/>
      <c r="BO2" s="3"/>
      <c r="BP2" s="3"/>
      <c r="BQ2" s="3"/>
      <c r="BR2" s="3"/>
      <c r="BS2" s="3"/>
      <c r="BT2" s="3"/>
      <c r="BU2" s="3"/>
      <c r="BV2" s="3"/>
      <c r="BW2" s="3"/>
    </row>
    <row r="3" ht="15.75" customHeight="1">
      <c r="A3" s="2" t="str">
        <f>IFERROR(__xludf.DUMMYFUNCTION("""COMPUTED_VALUE"""),"Acid Slime")</f>
        <v>Acid Slime</v>
      </c>
      <c r="B3" s="2">
        <f>IFERROR(__xludf.DUMMYFUNCTION("""COMPUTED_VALUE"""),1.0)</f>
        <v>1</v>
      </c>
      <c r="C3" s="2" t="str">
        <f>IFERROR(__xludf.DUMMYFUNCTION("""COMPUTED_VALUE"""),"Kris's worst nightmare, and it can be yours too for the low cost of everything in your bag.")</f>
        <v>Kris's worst nightmare, and it can be yours too for the low cost of everything in your bag.</v>
      </c>
      <c r="D3" s="5" t="str">
        <f>IFERROR(__xludf.DUMMYFUNCTION("""COMPUTED_VALUE"""),"Monstrosity")</f>
        <v>Monstrosity</v>
      </c>
      <c r="E3" s="6">
        <f>IFERROR(__xludf.DUMMYFUNCTION("""COMPUTED_VALUE"""),1010.0)</f>
        <v>1010</v>
      </c>
      <c r="F3" s="5">
        <f>IFERROR(__xludf.DUMMYFUNCTION("""COMPUTED_VALUE"""),1010.0)</f>
        <v>1010</v>
      </c>
      <c r="G3" s="5">
        <f>IFERROR(__xludf.DUMMYFUNCTION("""COMPUTED_VALUE"""),1010.0)</f>
        <v>1010</v>
      </c>
      <c r="H3" s="2">
        <f>IFERROR(__xludf.DUMMYFUNCTION("""COMPUTED_VALUE"""),10.0)</f>
        <v>10</v>
      </c>
      <c r="I3" s="2">
        <f>IFERROR(__xludf.DUMMYFUNCTION("""COMPUTED_VALUE"""),0.0)</f>
        <v>0</v>
      </c>
      <c r="J3" s="2">
        <f>IFERROR(__xludf.DUMMYFUNCTION("""COMPUTED_VALUE"""),0.0)</f>
        <v>0</v>
      </c>
      <c r="K3" s="2">
        <f>IFERROR(__xludf.DUMMYFUNCTION("""COMPUTED_VALUE"""),100.0)</f>
        <v>100</v>
      </c>
      <c r="L3" s="2">
        <f>IFERROR(__xludf.DUMMYFUNCTION("""COMPUTED_VALUE"""),100.0)</f>
        <v>100</v>
      </c>
      <c r="M3" s="2" t="str">
        <f>IFERROR(__xludf.DUMMYFUNCTION("""COMPUTED_VALUE"""),"Nature:Immune, ")</f>
        <v>Nature:Immune, </v>
      </c>
      <c r="N3" s="2" t="str">
        <f>IFERROR(__xludf.DUMMYFUNCTION("""COMPUTED_VALUE"""),"")</f>
        <v/>
      </c>
      <c r="O3" s="2"/>
      <c r="P3" s="2"/>
      <c r="Q3" s="2"/>
      <c r="R3" s="2"/>
      <c r="S3" s="2"/>
      <c r="T3" s="2"/>
      <c r="U3" s="2"/>
      <c r="V3" s="2"/>
      <c r="W3" s="2"/>
      <c r="X3" s="2"/>
      <c r="Y3" s="2"/>
      <c r="Z3" s="2"/>
      <c r="AA3" s="2"/>
      <c r="AB3" s="2"/>
      <c r="AC3" s="2"/>
      <c r="AD3" s="2"/>
      <c r="AE3" s="2"/>
      <c r="AF3" s="2"/>
      <c r="AG3" s="2"/>
      <c r="AH3" s="2"/>
      <c r="AI3" s="2"/>
      <c r="AJ3" s="2" t="str">
        <f>IFERROR(__xludf.DUMMYFUNCTION("""COMPUTED_VALUE"""),"Latch on")</f>
        <v>Latch on</v>
      </c>
      <c r="AK3" s="2" t="str">
        <f>IFERROR(__xludf.DUMMYFUNCTION("""COMPUTED_VALUE"""),"Absorb Enemy ")</f>
        <v>Absorb Enemy </v>
      </c>
      <c r="AL3" s="2" t="str">
        <f>IFERROR(__xludf.DUMMYFUNCTION("""COMPUTED_VALUE"""),"Poison Needle")</f>
        <v>Poison Needle</v>
      </c>
      <c r="AM3" s="2" t="str">
        <f>IFERROR(__xludf.DUMMYFUNCTION("""COMPUTED_VALUE"""),"Poisonous Fumes")</f>
        <v>Poisonous Fumes</v>
      </c>
      <c r="AN3" s="2" t="str">
        <f>IFERROR(__xludf.DUMMYFUNCTION("""COMPUTED_VALUE"""),"Darkest Abyss")</f>
        <v>Darkest Abyss</v>
      </c>
      <c r="AO3" s="2" t="str">
        <f>IFERROR(__xludf.DUMMYFUNCTION("""COMPUTED_VALUE"""),"Dark Curse")</f>
        <v>Dark Curse</v>
      </c>
      <c r="AP3" s="2"/>
      <c r="AQ3" s="2"/>
      <c r="AR3" s="2"/>
      <c r="AS3" s="2"/>
      <c r="AT3" s="2"/>
      <c r="AU3" s="2"/>
      <c r="AV3" s="2"/>
      <c r="AW3" s="2"/>
      <c r="AX3" s="2"/>
      <c r="AY3" s="2"/>
      <c r="AZ3" s="2"/>
      <c r="BA3" s="3"/>
      <c r="BB3" s="3"/>
      <c r="BC3" s="1"/>
      <c r="BD3" s="3">
        <f>IFERROR(__xludf.DUMMYFUNCTION("""COMPUTED_VALUE"""),0.0)</f>
        <v>0</v>
      </c>
      <c r="BE3" s="4">
        <f>IFERROR(__xludf.DUMMYFUNCTION("""COMPUTED_VALUE"""),10.0)</f>
        <v>10</v>
      </c>
      <c r="BF3" s="3" t="str">
        <f>IFERROR(__xludf.DUMMYFUNCTION("""COMPUTED_VALUE"""),"Absorb: 75% chance to be unaffected by any spells and attacks affecting this creature
When this creature latches on to a target; at the end of each of the targets turns this creature will melt the first item listed in the backpack.")</f>
        <v>Absorb: 75% chance to be unaffected by any spells and attacks affecting this creature
When this creature latches on to a target; at the end of each of the targets turns this creature will melt the first item listed in the backpack.</v>
      </c>
      <c r="BG3" s="3" t="str">
        <f>IFERROR(__xludf.DUMMYFUNCTION("""COMPUTED_VALUE"""),"All")</f>
        <v>All</v>
      </c>
      <c r="BH3" s="3" t="str">
        <f>IFERROR(__xludf.DUMMYFUNCTION("""COMPUTED_VALUE"""),"Abstara")</f>
        <v>Abstara</v>
      </c>
      <c r="BI3" s="3"/>
      <c r="BJ3" s="3"/>
      <c r="BK3" s="3"/>
      <c r="BL3" s="3" t="b">
        <f>IFERROR(__xludf.DUMMYFUNCTION("""COMPUTED_VALUE"""),FALSE)</f>
        <v>0</v>
      </c>
      <c r="BM3" s="3"/>
      <c r="BN3" s="3"/>
      <c r="BO3" s="3"/>
      <c r="BP3" s="3"/>
      <c r="BQ3" s="3"/>
      <c r="BR3" s="3"/>
      <c r="BS3" s="3"/>
      <c r="BT3" s="3"/>
      <c r="BU3" s="3"/>
      <c r="BV3" s="3"/>
      <c r="BW3" s="3"/>
    </row>
    <row r="4" ht="15.75" customHeight="1">
      <c r="A4" s="2" t="str">
        <f>IFERROR(__xludf.DUMMYFUNCTION("""COMPUTED_VALUE"""),"Ancient Colossal Frost Spider")</f>
        <v>Ancient Colossal Frost Spider</v>
      </c>
      <c r="B4" s="2">
        <f>IFERROR(__xludf.DUMMYFUNCTION("""COMPUTED_VALUE"""),1.0)</f>
        <v>1</v>
      </c>
      <c r="C4" s="1" t="str">
        <f>IFERROR(__xludf.DUMMYFUNCTION("""COMPUTED_VALUE"""),"A prime example that being old and being strong do not correlate.")</f>
        <v>A prime example that being old and being strong do not correlate.</v>
      </c>
      <c r="D4" s="5" t="str">
        <f>IFERROR(__xludf.DUMMYFUNCTION("""COMPUTED_VALUE"""),"Beast")</f>
        <v>Beast</v>
      </c>
      <c r="E4" s="5">
        <f>IFERROR(__xludf.DUMMYFUNCTION("""COMPUTED_VALUE"""),1010.0)</f>
        <v>1010</v>
      </c>
      <c r="F4" s="5">
        <f>IFERROR(__xludf.DUMMYFUNCTION("""COMPUTED_VALUE"""),1010.0)</f>
        <v>1010</v>
      </c>
      <c r="G4" s="5">
        <f>IFERROR(__xludf.DUMMYFUNCTION("""COMPUTED_VALUE"""),1010.0)</f>
        <v>1010</v>
      </c>
      <c r="H4" s="2">
        <f>IFERROR(__xludf.DUMMYFUNCTION("""COMPUTED_VALUE"""),10.0)</f>
        <v>10</v>
      </c>
      <c r="I4" s="2">
        <f>IFERROR(__xludf.DUMMYFUNCTION("""COMPUTED_VALUE"""),0.0)</f>
        <v>0</v>
      </c>
      <c r="J4" s="2">
        <f>IFERROR(__xludf.DUMMYFUNCTION("""COMPUTED_VALUE"""),0.0)</f>
        <v>0</v>
      </c>
      <c r="K4" s="2">
        <f>IFERROR(__xludf.DUMMYFUNCTION("""COMPUTED_VALUE"""),100.0)</f>
        <v>100</v>
      </c>
      <c r="L4" s="2">
        <f>IFERROR(__xludf.DUMMYFUNCTION("""COMPUTED_VALUE"""),100.0)</f>
        <v>100</v>
      </c>
      <c r="M4" s="2" t="str">
        <f>IFERROR(__xludf.DUMMYFUNCTION("""COMPUTED_VALUE"""),"Water:100, ")</f>
        <v>Water:100, </v>
      </c>
      <c r="N4" s="2" t="str">
        <f>IFERROR(__xludf.DUMMYFUNCTION("""COMPUTED_VALUE"""),"Fire:100, Nature:100, ")</f>
        <v>Fire:100, Nature:100, </v>
      </c>
      <c r="O4" s="2"/>
      <c r="P4" s="2"/>
      <c r="Q4" s="2"/>
      <c r="R4" s="2"/>
      <c r="S4" s="2"/>
      <c r="T4" s="2"/>
      <c r="U4" s="2"/>
      <c r="V4" s="2"/>
      <c r="W4" s="2"/>
      <c r="X4" s="2"/>
      <c r="Y4" s="2"/>
      <c r="Z4" s="2"/>
      <c r="AA4" s="2"/>
      <c r="AB4" s="2"/>
      <c r="AC4" s="2"/>
      <c r="AD4" s="2"/>
      <c r="AE4" s="2"/>
      <c r="AF4" s="2"/>
      <c r="AG4" s="2"/>
      <c r="AH4" s="2"/>
      <c r="AI4" s="2"/>
      <c r="AJ4" s="2" t="str">
        <f>IFERROR(__xludf.DUMMYFUNCTION("""COMPUTED_VALUE"""),"Frost Cloak")</f>
        <v>Frost Cloak</v>
      </c>
      <c r="AK4" s="2" t="str">
        <f>IFERROR(__xludf.DUMMYFUNCTION("""COMPUTED_VALUE"""),"Web Shot")</f>
        <v>Web Shot</v>
      </c>
      <c r="AL4" s="2" t="str">
        <f>IFERROR(__xludf.DUMMYFUNCTION("""COMPUTED_VALUE"""),"Freezing Fog")</f>
        <v>Freezing Fog</v>
      </c>
      <c r="AM4" s="2" t="str">
        <f>IFERROR(__xludf.DUMMYFUNCTION("""COMPUTED_VALUE"""),"Multishot")</f>
        <v>Multishot</v>
      </c>
      <c r="AN4" s="2" t="str">
        <f>IFERROR(__xludf.DUMMYFUNCTION("""COMPUTED_VALUE"""),"Berserk")</f>
        <v>Berserk</v>
      </c>
      <c r="AO4" s="2" t="str">
        <f>IFERROR(__xludf.DUMMYFUNCTION("""COMPUTED_VALUE"""),"Avalanche")</f>
        <v>Avalanche</v>
      </c>
      <c r="AP4" s="2" t="str">
        <f>IFERROR(__xludf.DUMMYFUNCTION("""COMPUTED_VALUE"""),"Celestial Wrath")</f>
        <v>Celestial Wrath</v>
      </c>
      <c r="AQ4" s="2"/>
      <c r="AR4" s="2"/>
      <c r="AS4" s="2"/>
      <c r="AT4" s="2"/>
      <c r="AU4" s="2"/>
      <c r="AV4" s="2"/>
      <c r="AW4" s="2"/>
      <c r="AX4" s="2"/>
      <c r="AY4" s="2"/>
      <c r="AZ4" s="2"/>
      <c r="BA4" s="3"/>
      <c r="BB4" s="3"/>
      <c r="BC4" s="1"/>
      <c r="BD4" s="3">
        <f>IFERROR(__xludf.DUMMYFUNCTION("""COMPUTED_VALUE"""),0.0)</f>
        <v>0</v>
      </c>
      <c r="BE4" s="4">
        <f>IFERROR(__xludf.DUMMYFUNCTION("""COMPUTED_VALUE"""),10.0)</f>
        <v>10</v>
      </c>
      <c r="BF4" s="3" t="str">
        <f>IFERROR(__xludf.DUMMYFUNCTION("""COMPUTED_VALUE"""),"50% chance to be unaffected by any spells affecting this mob
+5 can be added to this mobs d20 rolls.
Immune to Freezing.")</f>
        <v>50% chance to be unaffected by any spells affecting this mob
+5 can be added to this mobs d20 rolls.
Immune to Freezing.</v>
      </c>
      <c r="BG4" s="3" t="str">
        <f>IFERROR(__xludf.DUMMYFUNCTION("""COMPUTED_VALUE"""),"Tundra")</f>
        <v>Tundra</v>
      </c>
      <c r="BH4" s="3" t="str">
        <f>IFERROR(__xludf.DUMMYFUNCTION("""COMPUTED_VALUE"""),"Land of Spira")</f>
        <v>Land of Spira</v>
      </c>
      <c r="BI4" s="3"/>
      <c r="BJ4" s="3"/>
      <c r="BK4" s="3"/>
      <c r="BL4" s="3" t="b">
        <f>IFERROR(__xludf.DUMMYFUNCTION("""COMPUTED_VALUE"""),FALSE)</f>
        <v>0</v>
      </c>
      <c r="BM4" s="3"/>
      <c r="BN4" s="3"/>
      <c r="BO4" s="3"/>
      <c r="BP4" s="3"/>
      <c r="BQ4" s="3"/>
      <c r="BR4" s="3"/>
      <c r="BS4" s="3"/>
      <c r="BT4" s="3"/>
      <c r="BU4" s="3"/>
      <c r="BV4" s="3"/>
      <c r="BW4" s="3"/>
    </row>
    <row r="5" ht="15.75" customHeight="1">
      <c r="A5" s="1" t="str">
        <f>IFERROR(__xludf.DUMMYFUNCTION("""COMPUTED_VALUE"""),"Ancient Deer Of The Forest")</f>
        <v>Ancient Deer Of The Forest</v>
      </c>
      <c r="B5" s="1">
        <f>IFERROR(__xludf.DUMMYFUNCTION("""COMPUTED_VALUE"""),1.0)</f>
        <v>1</v>
      </c>
      <c r="C5" s="1" t="str">
        <f>IFERROR(__xludf.DUMMYFUNCTION("""COMPUTED_VALUE"""),"It's a mirracle no one has tried to eat this yet.")</f>
        <v>It's a mirracle no one has tried to eat this yet.</v>
      </c>
      <c r="D5" s="1" t="str">
        <f>IFERROR(__xludf.DUMMYFUNCTION("""COMPUTED_VALUE"""),"Beast")</f>
        <v>Beast</v>
      </c>
      <c r="E5" s="1">
        <f>IFERROR(__xludf.DUMMYFUNCTION("""COMPUTED_VALUE"""),1010.0)</f>
        <v>1010</v>
      </c>
      <c r="F5" s="7">
        <f>IFERROR(__xludf.DUMMYFUNCTION("""COMPUTED_VALUE"""),1010.0)</f>
        <v>1010</v>
      </c>
      <c r="G5" s="1">
        <f>IFERROR(__xludf.DUMMYFUNCTION("""COMPUTED_VALUE"""),1010.0)</f>
        <v>1010</v>
      </c>
      <c r="H5" s="1">
        <f>IFERROR(__xludf.DUMMYFUNCTION("""COMPUTED_VALUE"""),10.0)</f>
        <v>10</v>
      </c>
      <c r="I5" s="1">
        <f>IFERROR(__xludf.DUMMYFUNCTION("""COMPUTED_VALUE"""),0.0)</f>
        <v>0</v>
      </c>
      <c r="J5" s="1">
        <f>IFERROR(__xludf.DUMMYFUNCTION("""COMPUTED_VALUE"""),0.0)</f>
        <v>0</v>
      </c>
      <c r="K5" s="1">
        <f>IFERROR(__xludf.DUMMYFUNCTION("""COMPUTED_VALUE"""),100.0)</f>
        <v>100</v>
      </c>
      <c r="L5" s="1">
        <f>IFERROR(__xludf.DUMMYFUNCTION("""COMPUTED_VALUE"""),100.0)</f>
        <v>100</v>
      </c>
      <c r="M5" s="1" t="str">
        <f>IFERROR(__xludf.DUMMYFUNCTION("""COMPUTED_VALUE"""),"Nature:Immune, ")</f>
        <v>Nature:Immune, </v>
      </c>
      <c r="N5" s="2" t="str">
        <f>IFERROR(__xludf.DUMMYFUNCTION("""COMPUTED_VALUE"""),"Fire:100, Storm:100, ")</f>
        <v>Fire:100, Storm:100, </v>
      </c>
      <c r="O5" s="2"/>
      <c r="P5" s="2"/>
      <c r="Q5" s="2"/>
      <c r="R5" s="2"/>
      <c r="S5" s="2"/>
      <c r="T5" s="2"/>
      <c r="U5" s="2"/>
      <c r="V5" s="2"/>
      <c r="W5" s="2"/>
      <c r="X5" s="2"/>
      <c r="Y5" s="2"/>
      <c r="Z5" s="2"/>
      <c r="AA5" s="2"/>
      <c r="AB5" s="2"/>
      <c r="AC5" s="2"/>
      <c r="AD5" s="2"/>
      <c r="AE5" s="2"/>
      <c r="AF5" s="2"/>
      <c r="AG5" s="2"/>
      <c r="AH5" s="2"/>
      <c r="AI5" s="2"/>
      <c r="AJ5" s="2" t="str">
        <f>IFERROR(__xludf.DUMMYFUNCTION("""COMPUTED_VALUE"""),"Gore")</f>
        <v>Gore</v>
      </c>
      <c r="AK5" s="2"/>
      <c r="AL5" s="2"/>
      <c r="AM5" s="2"/>
      <c r="AN5" s="2"/>
      <c r="AO5" s="2"/>
      <c r="AP5" s="2"/>
      <c r="AQ5" s="2"/>
      <c r="AR5" s="2"/>
      <c r="AS5" s="2"/>
      <c r="AT5" s="2"/>
      <c r="AU5" s="2"/>
      <c r="AV5" s="2"/>
      <c r="AW5" s="2"/>
      <c r="AX5" s="2"/>
      <c r="AY5" s="2"/>
      <c r="AZ5" s="2"/>
      <c r="BA5" s="3"/>
      <c r="BB5" s="3"/>
      <c r="BC5" s="1"/>
      <c r="BD5" s="3">
        <f>IFERROR(__xludf.DUMMYFUNCTION("""COMPUTED_VALUE"""),0.0)</f>
        <v>0</v>
      </c>
      <c r="BE5" s="4">
        <f>IFERROR(__xludf.DUMMYFUNCTION("""COMPUTED_VALUE"""),10.0)</f>
        <v>10</v>
      </c>
      <c r="BF5" s="3"/>
      <c r="BG5" s="3" t="str">
        <f>IFERROR(__xludf.DUMMYFUNCTION("""COMPUTED_VALUE"""),"Forest")</f>
        <v>Forest</v>
      </c>
      <c r="BH5" s="3" t="str">
        <f>IFERROR(__xludf.DUMMYFUNCTION("""COMPUTED_VALUE"""),"Land of Spira")</f>
        <v>Land of Spira</v>
      </c>
      <c r="BI5" s="3"/>
      <c r="BJ5" s="3"/>
      <c r="BK5" s="3"/>
      <c r="BL5" s="3" t="b">
        <f>IFERROR(__xludf.DUMMYFUNCTION("""COMPUTED_VALUE"""),FALSE)</f>
        <v>0</v>
      </c>
      <c r="BM5" s="3"/>
      <c r="BN5" s="3"/>
      <c r="BO5" s="3"/>
      <c r="BP5" s="3"/>
      <c r="BQ5" s="3"/>
      <c r="BR5" s="3"/>
      <c r="BS5" s="3"/>
      <c r="BT5" s="3"/>
      <c r="BU5" s="3"/>
      <c r="BV5" s="3"/>
      <c r="BW5" s="3"/>
    </row>
    <row r="6" ht="15.75" customHeight="1">
      <c r="A6" s="2" t="str">
        <f>IFERROR(__xludf.DUMMYFUNCTION("""COMPUTED_VALUE"""),"Demon Snowman")</f>
        <v>Demon Snowman</v>
      </c>
      <c r="B6" s="2">
        <f>IFERROR(__xludf.DUMMYFUNCTION("""COMPUTED_VALUE"""),1.0)</f>
        <v>1</v>
      </c>
      <c r="C6" s="1" t="str">
        <f>IFERROR(__xludf.DUMMYFUNCTION("""COMPUTED_VALUE"""),"Frosty the snowman, Will eat your fucking soul")</f>
        <v>Frosty the snowman, Will eat your fucking soul</v>
      </c>
      <c r="D6" s="5" t="str">
        <f>IFERROR(__xludf.DUMMYFUNCTION("""COMPUTED_VALUE"""),"Monstrosity")</f>
        <v>Monstrosity</v>
      </c>
      <c r="E6" s="5">
        <f>IFERROR(__xludf.DUMMYFUNCTION("""COMPUTED_VALUE"""),1010.0)</f>
        <v>1010</v>
      </c>
      <c r="F6" s="5">
        <f>IFERROR(__xludf.DUMMYFUNCTION("""COMPUTED_VALUE"""),1010.0)</f>
        <v>1010</v>
      </c>
      <c r="G6" s="5">
        <f>IFERROR(__xludf.DUMMYFUNCTION("""COMPUTED_VALUE"""),1010.0)</f>
        <v>1010</v>
      </c>
      <c r="H6" s="2">
        <f>IFERROR(__xludf.DUMMYFUNCTION("""COMPUTED_VALUE"""),10.0)</f>
        <v>10</v>
      </c>
      <c r="I6" s="2">
        <f>IFERROR(__xludf.DUMMYFUNCTION("""COMPUTED_VALUE"""),0.0)</f>
        <v>0</v>
      </c>
      <c r="J6" s="5">
        <f>IFERROR(__xludf.DUMMYFUNCTION("""COMPUTED_VALUE"""),0.0)</f>
        <v>0</v>
      </c>
      <c r="K6" s="5">
        <f>IFERROR(__xludf.DUMMYFUNCTION("""COMPUTED_VALUE"""),100.0)</f>
        <v>100</v>
      </c>
      <c r="L6" s="2">
        <f>IFERROR(__xludf.DUMMYFUNCTION("""COMPUTED_VALUE"""),100.0)</f>
        <v>100</v>
      </c>
      <c r="M6" s="2" t="str">
        <f>IFERROR(__xludf.DUMMYFUNCTION("""COMPUTED_VALUE"""),"Water:100, ")</f>
        <v>Water:100, </v>
      </c>
      <c r="N6" s="2" t="str">
        <f>IFERROR(__xludf.DUMMYFUNCTION("""COMPUTED_VALUE"""),"Fire:100, Nature:100, ")</f>
        <v>Fire:100, Nature:100, </v>
      </c>
      <c r="O6" s="2"/>
      <c r="P6" s="2"/>
      <c r="Q6" s="2"/>
      <c r="R6" s="2"/>
      <c r="S6" s="2"/>
      <c r="T6" s="2"/>
      <c r="U6" s="2"/>
      <c r="V6" s="2" t="str">
        <f>IFERROR(__xludf.DUMMYFUNCTION("""COMPUTED_VALUE"""),"Frozen carrot dagger")</f>
        <v>Frozen carrot dagger</v>
      </c>
      <c r="W6" s="2" t="str">
        <f>IFERROR(__xludf.DUMMYFUNCTION("""COMPUTED_VALUE"""),"Snowball")</f>
        <v>Snowball</v>
      </c>
      <c r="X6" s="2"/>
      <c r="Y6" s="2"/>
      <c r="Z6" s="2"/>
      <c r="AA6" s="2"/>
      <c r="AB6" s="2"/>
      <c r="AC6" s="2"/>
      <c r="AD6" s="2"/>
      <c r="AE6" s="2"/>
      <c r="AF6" s="2"/>
      <c r="AG6" s="2"/>
      <c r="AH6" s="2"/>
      <c r="AI6" s="2"/>
      <c r="AJ6" s="2" t="str">
        <f>IFERROR(__xludf.DUMMYFUNCTION("""COMPUTED_VALUE"""),"Storm Of Snowballs")</f>
        <v>Storm Of Snowballs</v>
      </c>
      <c r="AK6" s="2" t="str">
        <f>IFERROR(__xludf.DUMMYFUNCTION("""COMPUTED_VALUE"""),"Blizzard")</f>
        <v>Blizzard</v>
      </c>
      <c r="AL6" s="2" t="str">
        <f>IFERROR(__xludf.DUMMYFUNCTION("""COMPUTED_VALUE"""),"Snowmans Wrath")</f>
        <v>Snowmans Wrath</v>
      </c>
      <c r="AM6" s="2" t="str">
        <f>IFERROR(__xludf.DUMMYFUNCTION("""COMPUTED_VALUE"""),"Freezing Fog")</f>
        <v>Freezing Fog</v>
      </c>
      <c r="AN6" s="2" t="str">
        <f>IFERROR(__xludf.DUMMYFUNCTION("""COMPUTED_VALUE"""),"Avalanche")</f>
        <v>Avalanche</v>
      </c>
      <c r="AO6" s="2"/>
      <c r="AP6" s="2"/>
      <c r="AQ6" s="2"/>
      <c r="AR6" s="2"/>
      <c r="AS6" s="2"/>
      <c r="AT6" s="2"/>
      <c r="AU6" s="2"/>
      <c r="AV6" s="2"/>
      <c r="AW6" s="2"/>
      <c r="AX6" s="2"/>
      <c r="AY6" s="2"/>
      <c r="AZ6" s="2"/>
      <c r="BA6" s="3"/>
      <c r="BB6" s="3"/>
      <c r="BC6" s="1"/>
      <c r="BD6" s="3">
        <f>IFERROR(__xludf.DUMMYFUNCTION("""COMPUTED_VALUE"""),0.0)</f>
        <v>0</v>
      </c>
      <c r="BE6" s="4">
        <f>IFERROR(__xludf.DUMMYFUNCTION("""COMPUTED_VALUE"""),10.0)</f>
        <v>10</v>
      </c>
      <c r="BF6" s="3" t="str">
        <f>IFERROR(__xludf.DUMMYFUNCTION("""COMPUTED_VALUE"""),"+5 can be added to this mobs d20 rolls.
When this mob attacks a target(s), That target(s) will have a 25% chance to turn into a Demon Snowman and be recruited to the mobs side for 2 rounds. While you are a Demon Snowman your character sheet becomes nulli"&amp;"fied and you act as if you are the mob. 
Immune to Freezing.")</f>
        <v>+5 can be added to this mobs d20 rolls.
When this mob attacks a target(s), That target(s) will have a 25% chance to turn into a Demon Snowman and be recruited to the mobs side for 2 rounds. While you are a Demon Snowman your character sheet becomes nullified and you act as if you are the mob. 
Immune to Freezing.</v>
      </c>
      <c r="BG6" s="3" t="str">
        <f>IFERROR(__xludf.DUMMYFUNCTION("""COMPUTED_VALUE"""),"Tundra")</f>
        <v>Tundra</v>
      </c>
      <c r="BH6" s="3" t="str">
        <f>IFERROR(__xludf.DUMMYFUNCTION("""COMPUTED_VALUE"""),"Land of Spira")</f>
        <v>Land of Spira</v>
      </c>
      <c r="BI6" s="3"/>
      <c r="BJ6" s="3"/>
      <c r="BK6" s="3"/>
      <c r="BL6" s="3" t="b">
        <f>IFERROR(__xludf.DUMMYFUNCTION("""COMPUTED_VALUE"""),FALSE)</f>
        <v>0</v>
      </c>
      <c r="BM6" s="3"/>
      <c r="BN6" s="3"/>
      <c r="BO6" s="3"/>
      <c r="BP6" s="3"/>
      <c r="BQ6" s="3"/>
      <c r="BR6" s="3"/>
      <c r="BS6" s="3"/>
      <c r="BT6" s="3"/>
      <c r="BU6" s="3"/>
      <c r="BV6" s="3"/>
      <c r="BW6" s="3"/>
    </row>
    <row r="7" ht="15.75" customHeight="1">
      <c r="A7" s="2" t="str">
        <f>IFERROR(__xludf.DUMMYFUNCTION("""COMPUTED_VALUE"""),"Ancient Desert Serpent")</f>
        <v>Ancient Desert Serpent</v>
      </c>
      <c r="B7" s="2">
        <f>IFERROR(__xludf.DUMMYFUNCTION("""COMPUTED_VALUE"""),1.0)</f>
        <v>1</v>
      </c>
      <c r="C7" s="1" t="str">
        <f>IFERROR(__xludf.DUMMYFUNCTION("""COMPUTED_VALUE"""),"Just a big snake, that's litterally it.")</f>
        <v>Just a big snake, that's litterally it.</v>
      </c>
      <c r="D7" s="5" t="str">
        <f>IFERROR(__xludf.DUMMYFUNCTION("""COMPUTED_VALUE"""),"Beast")</f>
        <v>Beast</v>
      </c>
      <c r="E7" s="5">
        <f>IFERROR(__xludf.DUMMYFUNCTION("""COMPUTED_VALUE"""),1010.0)</f>
        <v>1010</v>
      </c>
      <c r="F7" s="5">
        <f>IFERROR(__xludf.DUMMYFUNCTION("""COMPUTED_VALUE"""),1010.0)</f>
        <v>1010</v>
      </c>
      <c r="G7" s="5">
        <f>IFERROR(__xludf.DUMMYFUNCTION("""COMPUTED_VALUE"""),1010.0)</f>
        <v>1010</v>
      </c>
      <c r="H7" s="2">
        <f>IFERROR(__xludf.DUMMYFUNCTION("""COMPUTED_VALUE"""),10.0)</f>
        <v>10</v>
      </c>
      <c r="I7" s="2">
        <f>IFERROR(__xludf.DUMMYFUNCTION("""COMPUTED_VALUE"""),0.0)</f>
        <v>0</v>
      </c>
      <c r="J7" s="2">
        <f>IFERROR(__xludf.DUMMYFUNCTION("""COMPUTED_VALUE"""),0.0)</f>
        <v>0</v>
      </c>
      <c r="K7" s="2">
        <f>IFERROR(__xludf.DUMMYFUNCTION("""COMPUTED_VALUE"""),100.0)</f>
        <v>100</v>
      </c>
      <c r="L7" s="2">
        <f>IFERROR(__xludf.DUMMYFUNCTION("""COMPUTED_VALUE"""),100.0)</f>
        <v>100</v>
      </c>
      <c r="M7" s="2" t="str">
        <f>IFERROR(__xludf.DUMMYFUNCTION("""COMPUTED_VALUE"""),"Fire:Immune, Water:Immune, ")</f>
        <v>Fire:Immune, Water:Immune, </v>
      </c>
      <c r="N7" s="2" t="str">
        <f>IFERROR(__xludf.DUMMYFUNCTION("""COMPUTED_VALUE"""),"Water:100, Storm:100, ")</f>
        <v>Water:100, Storm:100, </v>
      </c>
      <c r="O7" s="2"/>
      <c r="P7" s="2"/>
      <c r="Q7" s="2"/>
      <c r="R7" s="2"/>
      <c r="S7" s="2"/>
      <c r="T7" s="2"/>
      <c r="U7" s="2"/>
      <c r="V7" s="2"/>
      <c r="W7" s="2"/>
      <c r="X7" s="2"/>
      <c r="Y7" s="2"/>
      <c r="Z7" s="2"/>
      <c r="AA7" s="2"/>
      <c r="AB7" s="2"/>
      <c r="AC7" s="2"/>
      <c r="AD7" s="2"/>
      <c r="AE7" s="2"/>
      <c r="AF7" s="2"/>
      <c r="AG7" s="2"/>
      <c r="AH7" s="2"/>
      <c r="AI7" s="2"/>
      <c r="AJ7" s="2" t="str">
        <f>IFERROR(__xludf.DUMMYFUNCTION("""COMPUTED_VALUE"""),"Earthquake")</f>
        <v>Earthquake</v>
      </c>
      <c r="AK7" s="2" t="str">
        <f>IFERROR(__xludf.DUMMYFUNCTION("""COMPUTED_VALUE"""),"Quicksand")</f>
        <v>Quicksand</v>
      </c>
      <c r="AL7" s="2" t="str">
        <f>IFERROR(__xludf.DUMMYFUNCTION("""COMPUTED_VALUE"""),"Mountain Formation")</f>
        <v>Mountain Formation</v>
      </c>
      <c r="AM7" s="2" t="str">
        <f>IFERROR(__xludf.DUMMYFUNCTION("""COMPUTED_VALUE"""),"Rock Cycle")</f>
        <v>Rock Cycle</v>
      </c>
      <c r="AN7" s="2" t="str">
        <f>IFERROR(__xludf.DUMMYFUNCTION("""COMPUTED_VALUE"""),"Sandstorm")</f>
        <v>Sandstorm</v>
      </c>
      <c r="AO7" s="2"/>
      <c r="AP7" s="2"/>
      <c r="AQ7" s="2"/>
      <c r="AR7" s="2"/>
      <c r="AS7" s="2"/>
      <c r="AT7" s="2"/>
      <c r="AU7" s="2"/>
      <c r="AV7" s="2"/>
      <c r="AW7" s="2"/>
      <c r="AX7" s="2"/>
      <c r="AY7" s="2"/>
      <c r="AZ7" s="2"/>
      <c r="BA7" s="3"/>
      <c r="BB7" s="3"/>
      <c r="BC7" s="1"/>
      <c r="BD7" s="3">
        <f>IFERROR(__xludf.DUMMYFUNCTION("""COMPUTED_VALUE"""),0.0)</f>
        <v>0</v>
      </c>
      <c r="BE7" s="4">
        <f>IFERROR(__xludf.DUMMYFUNCTION("""COMPUTED_VALUE"""),10.0)</f>
        <v>10</v>
      </c>
      <c r="BF7" s="3" t="str">
        <f>IFERROR(__xludf.DUMMYFUNCTION("""COMPUTED_VALUE"""),"Serpents Luck: +5 can be added to this mobs rolls.")</f>
        <v>Serpents Luck: +5 can be added to this mobs rolls.</v>
      </c>
      <c r="BG7" s="3" t="str">
        <f>IFERROR(__xludf.DUMMYFUNCTION("""COMPUTED_VALUE"""),"Desert")</f>
        <v>Desert</v>
      </c>
      <c r="BH7" s="3" t="str">
        <f>IFERROR(__xludf.DUMMYFUNCTION("""COMPUTED_VALUE"""),"Land of Spira")</f>
        <v>Land of Spira</v>
      </c>
      <c r="BI7" s="3"/>
      <c r="BJ7" s="3"/>
      <c r="BK7" s="3"/>
      <c r="BL7" s="3" t="b">
        <f>IFERROR(__xludf.DUMMYFUNCTION("""COMPUTED_VALUE"""),FALSE)</f>
        <v>0</v>
      </c>
      <c r="BM7" s="3"/>
      <c r="BN7" s="3"/>
      <c r="BO7" s="3"/>
      <c r="BP7" s="3"/>
      <c r="BQ7" s="3"/>
      <c r="BR7" s="3"/>
      <c r="BS7" s="3"/>
      <c r="BT7" s="3"/>
      <c r="BU7" s="3"/>
      <c r="BV7" s="3"/>
      <c r="BW7" s="3"/>
    </row>
    <row r="8" ht="15.75" customHeight="1">
      <c r="A8" s="2" t="str">
        <f>IFERROR(__xludf.DUMMYFUNCTION("""COMPUTED_VALUE"""),"Ancient Fire Sentinel")</f>
        <v>Ancient Fire Sentinel</v>
      </c>
      <c r="B8" s="2">
        <f>IFERROR(__xludf.DUMMYFUNCTION("""COMPUTED_VALUE"""),1.0)</f>
        <v>1</v>
      </c>
      <c r="C8" s="1" t="str">
        <f>IFERROR(__xludf.DUMMYFUNCTION("""COMPUTED_VALUE"""),"Why are there so many ancient things in Spira? Should really start culling these things, huh? Good thing you exist!")</f>
        <v>Why are there so many ancient things in Spira? Should really start culling these things, huh? Good thing you exist!</v>
      </c>
      <c r="D8" s="5" t="str">
        <f>IFERROR(__xludf.DUMMYFUNCTION("""COMPUTED_VALUE"""),"Construct")</f>
        <v>Construct</v>
      </c>
      <c r="E8" s="5">
        <f>IFERROR(__xludf.DUMMYFUNCTION("""COMPUTED_VALUE"""),1010.0)</f>
        <v>1010</v>
      </c>
      <c r="F8" s="5">
        <f>IFERROR(__xludf.DUMMYFUNCTION("""COMPUTED_VALUE"""),1010.0)</f>
        <v>1010</v>
      </c>
      <c r="G8" s="5">
        <f>IFERROR(__xludf.DUMMYFUNCTION("""COMPUTED_VALUE"""),1010.0)</f>
        <v>1010</v>
      </c>
      <c r="H8" s="2">
        <f>IFERROR(__xludf.DUMMYFUNCTION("""COMPUTED_VALUE"""),10.0)</f>
        <v>10</v>
      </c>
      <c r="I8" s="2">
        <f>IFERROR(__xludf.DUMMYFUNCTION("""COMPUTED_VALUE"""),0.0)</f>
        <v>0</v>
      </c>
      <c r="J8" s="2">
        <f>IFERROR(__xludf.DUMMYFUNCTION("""COMPUTED_VALUE"""),0.0)</f>
        <v>0</v>
      </c>
      <c r="K8" s="2">
        <f>IFERROR(__xludf.DUMMYFUNCTION("""COMPUTED_VALUE"""),100.0)</f>
        <v>100</v>
      </c>
      <c r="L8" s="2">
        <f>IFERROR(__xludf.DUMMYFUNCTION("""COMPUTED_VALUE"""),100.0)</f>
        <v>100</v>
      </c>
      <c r="M8" s="2" t="str">
        <f>IFERROR(__xludf.DUMMYFUNCTION("""COMPUTED_VALUE"""),"Fire:100, Nature:Immune, ")</f>
        <v>Fire:100, Nature:Immune, </v>
      </c>
      <c r="N8" s="2" t="str">
        <f>IFERROR(__xludf.DUMMYFUNCTION("""COMPUTED_VALUE"""),"Water:100, Earth:100, ")</f>
        <v>Water:100, Earth:100, </v>
      </c>
      <c r="O8" s="2"/>
      <c r="P8" s="2"/>
      <c r="Q8" s="2"/>
      <c r="R8" s="2"/>
      <c r="S8" s="2"/>
      <c r="T8" s="2"/>
      <c r="U8" s="2"/>
      <c r="V8" s="2"/>
      <c r="W8" s="2"/>
      <c r="X8" s="2"/>
      <c r="Y8" s="2"/>
      <c r="Z8" s="2"/>
      <c r="AA8" s="2"/>
      <c r="AB8" s="2"/>
      <c r="AC8" s="2"/>
      <c r="AD8" s="2"/>
      <c r="AE8" s="2"/>
      <c r="AF8" s="2"/>
      <c r="AG8" s="2"/>
      <c r="AH8" s="2"/>
      <c r="AI8" s="2"/>
      <c r="AJ8" s="2" t="str">
        <f>IFERROR(__xludf.DUMMYFUNCTION("""COMPUTED_VALUE"""),"Mass Destruction")</f>
        <v>Mass Destruction</v>
      </c>
      <c r="AK8" s="2" t="str">
        <f>IFERROR(__xludf.DUMMYFUNCTION("""COMPUTED_VALUE"""),"Last resort")</f>
        <v>Last resort</v>
      </c>
      <c r="AL8" s="2" t="str">
        <f>IFERROR(__xludf.DUMMYFUNCTION("""COMPUTED_VALUE"""),"Flame Sanctuary")</f>
        <v>Flame Sanctuary</v>
      </c>
      <c r="AM8" s="2" t="str">
        <f>IFERROR(__xludf.DUMMYFUNCTION("""COMPUTED_VALUE"""),"Volcanic Rain")</f>
        <v>Volcanic Rain</v>
      </c>
      <c r="AN8" s="2" t="str">
        <f>IFERROR(__xludf.DUMMYFUNCTION("""COMPUTED_VALUE"""),"Rock Cycle")</f>
        <v>Rock Cycle</v>
      </c>
      <c r="AO8" s="2" t="str">
        <f>IFERROR(__xludf.DUMMYFUNCTION("""COMPUTED_VALUE"""),"Earthquake")</f>
        <v>Earthquake</v>
      </c>
      <c r="AP8" s="2"/>
      <c r="AQ8" s="2"/>
      <c r="AR8" s="2"/>
      <c r="AS8" s="2"/>
      <c r="AT8" s="2"/>
      <c r="AU8" s="2"/>
      <c r="AV8" s="2"/>
      <c r="AW8" s="2"/>
      <c r="AX8" s="2"/>
      <c r="AY8" s="2"/>
      <c r="AZ8" s="2"/>
      <c r="BA8" s="3"/>
      <c r="BB8" s="3"/>
      <c r="BC8" s="1"/>
      <c r="BD8" s="3">
        <f>IFERROR(__xludf.DUMMYFUNCTION("""COMPUTED_VALUE"""),0.0)</f>
        <v>0</v>
      </c>
      <c r="BE8" s="4">
        <f>IFERROR(__xludf.DUMMYFUNCTION("""COMPUTED_VALUE"""),10.0)</f>
        <v>10</v>
      </c>
      <c r="BF8" s="3" t="str">
        <f>IFERROR(__xludf.DUMMYFUNCTION("""COMPUTED_VALUE"""),"Sentinel Charge: Anytime this mob takes damage multiply it's defense by X2 up to X6.
Sentinel Reboot: When the mob dies, it revives with half hp and sp. Can only be done once per battle. ")</f>
        <v>Sentinel Charge: Anytime this mob takes damage multiply it's defense by X2 up to X6.
Sentinel Reboot: When the mob dies, it revives with half hp and sp. Can only be done once per battle. </v>
      </c>
      <c r="BG8" s="3" t="str">
        <f>IFERROR(__xludf.DUMMYFUNCTION("""COMPUTED_VALUE"""),"Jungle")</f>
        <v>Jungle</v>
      </c>
      <c r="BH8" s="3" t="str">
        <f>IFERROR(__xludf.DUMMYFUNCTION("""COMPUTED_VALUE"""),"Land Of Spira")</f>
        <v>Land Of Spira</v>
      </c>
      <c r="BI8" s="3"/>
      <c r="BJ8" s="3"/>
      <c r="BK8" s="3"/>
      <c r="BL8" s="3" t="b">
        <f>IFERROR(__xludf.DUMMYFUNCTION("""COMPUTED_VALUE"""),FALSE)</f>
        <v>0</v>
      </c>
      <c r="BM8" s="3"/>
      <c r="BN8" s="3"/>
      <c r="BO8" s="3"/>
      <c r="BP8" s="3"/>
      <c r="BQ8" s="3"/>
      <c r="BR8" s="3"/>
      <c r="BS8" s="3"/>
      <c r="BT8" s="3"/>
      <c r="BU8" s="3"/>
      <c r="BV8" s="3"/>
      <c r="BW8" s="3"/>
    </row>
    <row r="9" ht="15.75" customHeight="1">
      <c r="A9" s="2" t="str">
        <f>IFERROR(__xludf.DUMMYFUNCTION("""COMPUTED_VALUE"""),"Ancient Fire Serpent")</f>
        <v>Ancient Fire Serpent</v>
      </c>
      <c r="B9" s="2">
        <f>IFERROR(__xludf.DUMMYFUNCTION("""COMPUTED_VALUE"""),1.0)</f>
        <v>1</v>
      </c>
      <c r="C9" s="1" t="str">
        <f>IFERROR(__xludf.DUMMYFUNCTION("""COMPUTED_VALUE"""),"Big snake Part 2: electric boogaloo")</f>
        <v>Big snake Part 2: electric boogaloo</v>
      </c>
      <c r="D9" s="5" t="str">
        <f>IFERROR(__xludf.DUMMYFUNCTION("""COMPUTED_VALUE"""),"Beast")</f>
        <v>Beast</v>
      </c>
      <c r="E9" s="5">
        <f>IFERROR(__xludf.DUMMYFUNCTION("""COMPUTED_VALUE"""),1010.0)</f>
        <v>1010</v>
      </c>
      <c r="F9" s="5">
        <f>IFERROR(__xludf.DUMMYFUNCTION("""COMPUTED_VALUE"""),1010.0)</f>
        <v>1010</v>
      </c>
      <c r="G9" s="5">
        <f>IFERROR(__xludf.DUMMYFUNCTION("""COMPUTED_VALUE"""),1010.0)</f>
        <v>1010</v>
      </c>
      <c r="H9" s="2">
        <f>IFERROR(__xludf.DUMMYFUNCTION("""COMPUTED_VALUE"""),10.0)</f>
        <v>10</v>
      </c>
      <c r="I9" s="2">
        <f>IFERROR(__xludf.DUMMYFUNCTION("""COMPUTED_VALUE"""),0.0)</f>
        <v>0</v>
      </c>
      <c r="J9" s="2">
        <f>IFERROR(__xludf.DUMMYFUNCTION("""COMPUTED_VALUE"""),0.0)</f>
        <v>0</v>
      </c>
      <c r="K9" s="2">
        <f>IFERROR(__xludf.DUMMYFUNCTION("""COMPUTED_VALUE"""),100.0)</f>
        <v>100</v>
      </c>
      <c r="L9" s="2">
        <f>IFERROR(__xludf.DUMMYFUNCTION("""COMPUTED_VALUE"""),100.0)</f>
        <v>100</v>
      </c>
      <c r="M9" s="2" t="str">
        <f>IFERROR(__xludf.DUMMYFUNCTION("""COMPUTED_VALUE"""),"Fire:100, Nature:Immune, Instant Death:Immune, ")</f>
        <v>Fire:100, Nature:Immune, Instant Death:Immune, </v>
      </c>
      <c r="N9" s="2" t="str">
        <f>IFERROR(__xludf.DUMMYFUNCTION("""COMPUTED_VALUE"""),"Water:100, ")</f>
        <v>Water:100, </v>
      </c>
      <c r="O9" s="2"/>
      <c r="P9" s="2"/>
      <c r="Q9" s="2"/>
      <c r="R9" s="2"/>
      <c r="S9" s="2"/>
      <c r="T9" s="2"/>
      <c r="U9" s="2"/>
      <c r="V9" s="2"/>
      <c r="W9" s="2"/>
      <c r="X9" s="2"/>
      <c r="Y9" s="2"/>
      <c r="Z9" s="2"/>
      <c r="AA9" s="2"/>
      <c r="AB9" s="2"/>
      <c r="AC9" s="2"/>
      <c r="AD9" s="2"/>
      <c r="AE9" s="2"/>
      <c r="AF9" s="2"/>
      <c r="AG9" s="2"/>
      <c r="AH9" s="2"/>
      <c r="AI9" s="2"/>
      <c r="AJ9" s="2" t="str">
        <f>IFERROR(__xludf.DUMMYFUNCTION("""COMPUTED_VALUE"""),"Take")</f>
        <v>Take</v>
      </c>
      <c r="AK9" s="2" t="str">
        <f>IFERROR(__xludf.DUMMYFUNCTION("""COMPUTED_VALUE"""),"Berserk")</f>
        <v>Berserk</v>
      </c>
      <c r="AL9" s="2" t="str">
        <f>IFERROR(__xludf.DUMMYFUNCTION("""COMPUTED_VALUE"""),"Volcanic Rain")</f>
        <v>Volcanic Rain</v>
      </c>
      <c r="AM9" s="2" t="str">
        <f>IFERROR(__xludf.DUMMYFUNCTION("""COMPUTED_VALUE"""),"Celestial Blast")</f>
        <v>Celestial Blast</v>
      </c>
      <c r="AN9" s="2" t="str">
        <f>IFERROR(__xludf.DUMMYFUNCTION("""COMPUTED_VALUE"""),"Mass Destruction")</f>
        <v>Mass Destruction</v>
      </c>
      <c r="AO9" s="2"/>
      <c r="AP9" s="2"/>
      <c r="AQ9" s="2"/>
      <c r="AR9" s="2"/>
      <c r="AS9" s="2"/>
      <c r="AT9" s="2"/>
      <c r="AU9" s="2"/>
      <c r="AV9" s="2"/>
      <c r="AW9" s="2"/>
      <c r="AX9" s="2"/>
      <c r="AY9" s="2"/>
      <c r="AZ9" s="2"/>
      <c r="BA9" s="3"/>
      <c r="BB9" s="3"/>
      <c r="BC9" s="1"/>
      <c r="BD9" s="3">
        <f>IFERROR(__xludf.DUMMYFUNCTION("""COMPUTED_VALUE"""),0.0)</f>
        <v>0</v>
      </c>
      <c r="BE9" s="4">
        <f>IFERROR(__xludf.DUMMYFUNCTION("""COMPUTED_VALUE"""),10.0)</f>
        <v>10</v>
      </c>
      <c r="BF9" s="3" t="str">
        <f>IFERROR(__xludf.DUMMYFUNCTION("""COMPUTED_VALUE"""),"Serpents Luck: +10 can be added to this mobs d20 rolls.
75% chance to be unaffected by any spells affecting this mob")</f>
        <v>Serpents Luck: +10 can be added to this mobs d20 rolls.
75% chance to be unaffected by any spells affecting this mob</v>
      </c>
      <c r="BG9" s="3" t="str">
        <f>IFERROR(__xludf.DUMMYFUNCTION("""COMPUTED_VALUE"""),"Jungle")</f>
        <v>Jungle</v>
      </c>
      <c r="BH9" s="3" t="str">
        <f>IFERROR(__xludf.DUMMYFUNCTION("""COMPUTED_VALUE"""),"Land Of Spira")</f>
        <v>Land Of Spira</v>
      </c>
      <c r="BI9" s="3"/>
      <c r="BJ9" s="3"/>
      <c r="BK9" s="3"/>
      <c r="BL9" s="3" t="b">
        <f>IFERROR(__xludf.DUMMYFUNCTION("""COMPUTED_VALUE"""),FALSE)</f>
        <v>0</v>
      </c>
      <c r="BM9" s="3"/>
      <c r="BN9" s="3"/>
      <c r="BO9" s="3"/>
      <c r="BP9" s="3"/>
      <c r="BQ9" s="3"/>
      <c r="BR9" s="3"/>
      <c r="BS9" s="3"/>
      <c r="BT9" s="3"/>
      <c r="BU9" s="3"/>
      <c r="BV9" s="3"/>
      <c r="BW9" s="3"/>
    </row>
    <row r="10" ht="15.75" customHeight="1">
      <c r="A10" s="2" t="str">
        <f>IFERROR(__xludf.DUMMYFUNCTION("""COMPUTED_VALUE"""),"Flame Ostrich")</f>
        <v>Flame Ostrich</v>
      </c>
      <c r="B10" s="2">
        <f>IFERROR(__xludf.DUMMYFUNCTION("""COMPUTED_VALUE"""),1.0)</f>
        <v>1</v>
      </c>
      <c r="C10" s="1" t="str">
        <f>IFERROR(__xludf.DUMMYFUNCTION("""COMPUTED_VALUE"""),"Commonly known for beating Desert island in a war")</f>
        <v>Commonly known for beating Desert island in a war</v>
      </c>
      <c r="D10" s="5" t="str">
        <f>IFERROR(__xludf.DUMMYFUNCTION("""COMPUTED_VALUE"""),"Beast")</f>
        <v>Beast</v>
      </c>
      <c r="E10" s="5">
        <f>IFERROR(__xludf.DUMMYFUNCTION("""COMPUTED_VALUE"""),1010.0)</f>
        <v>1010</v>
      </c>
      <c r="F10" s="5">
        <f>IFERROR(__xludf.DUMMYFUNCTION("""COMPUTED_VALUE"""),1010.0)</f>
        <v>1010</v>
      </c>
      <c r="G10" s="5">
        <f>IFERROR(__xludf.DUMMYFUNCTION("""COMPUTED_VALUE"""),1010.0)</f>
        <v>1010</v>
      </c>
      <c r="H10" s="2">
        <f>IFERROR(__xludf.DUMMYFUNCTION("""COMPUTED_VALUE"""),10.0)</f>
        <v>10</v>
      </c>
      <c r="I10" s="2">
        <f>IFERROR(__xludf.DUMMYFUNCTION("""COMPUTED_VALUE"""),0.0)</f>
        <v>0</v>
      </c>
      <c r="J10" s="2">
        <f>IFERROR(__xludf.DUMMYFUNCTION("""COMPUTED_VALUE"""),0.0)</f>
        <v>0</v>
      </c>
      <c r="K10" s="2">
        <f>IFERROR(__xludf.DUMMYFUNCTION("""COMPUTED_VALUE"""),100.0)</f>
        <v>100</v>
      </c>
      <c r="L10" s="2">
        <f>IFERROR(__xludf.DUMMYFUNCTION("""COMPUTED_VALUE"""),100.0)</f>
        <v>100</v>
      </c>
      <c r="M10" s="2" t="str">
        <f>IFERROR(__xludf.DUMMYFUNCTION("""COMPUTED_VALUE"""),"Fire:100, Nature:Immune, ")</f>
        <v>Fire:100, Nature:Immune, </v>
      </c>
      <c r="N10" s="2" t="str">
        <f>IFERROR(__xludf.DUMMYFUNCTION("""COMPUTED_VALUE"""),"Water:100, ")</f>
        <v>Water:100, </v>
      </c>
      <c r="O10" s="2"/>
      <c r="P10" s="2"/>
      <c r="Q10" s="2"/>
      <c r="R10" s="2"/>
      <c r="S10" s="2"/>
      <c r="T10" s="2"/>
      <c r="U10" s="2"/>
      <c r="V10" s="2"/>
      <c r="W10" s="2"/>
      <c r="X10" s="2"/>
      <c r="Y10" s="2"/>
      <c r="Z10" s="2"/>
      <c r="AA10" s="2"/>
      <c r="AB10" s="2"/>
      <c r="AC10" s="2"/>
      <c r="AD10" s="2"/>
      <c r="AE10" s="2"/>
      <c r="AF10" s="2"/>
      <c r="AG10" s="2"/>
      <c r="AH10" s="2"/>
      <c r="AI10" s="2"/>
      <c r="AJ10" s="2" t="str">
        <f>IFERROR(__xludf.DUMMYFUNCTION("""COMPUTED_VALUE"""),"Sacred Flame Peck")</f>
        <v>Sacred Flame Peck</v>
      </c>
      <c r="AK10" s="2" t="str">
        <f>IFERROR(__xludf.DUMMYFUNCTION("""COMPUTED_VALUE"""),"Screech of the Ostrich")</f>
        <v>Screech of the Ostrich</v>
      </c>
      <c r="AL10" s="2"/>
      <c r="AM10" s="2"/>
      <c r="AN10" s="2"/>
      <c r="AO10" s="2"/>
      <c r="AP10" s="2"/>
      <c r="AQ10" s="2"/>
      <c r="AR10" s="2"/>
      <c r="AS10" s="2"/>
      <c r="AT10" s="2"/>
      <c r="AU10" s="2"/>
      <c r="AV10" s="2"/>
      <c r="AW10" s="2"/>
      <c r="AX10" s="2"/>
      <c r="AY10" s="2"/>
      <c r="AZ10" s="2"/>
      <c r="BA10" s="3"/>
      <c r="BB10" s="3"/>
      <c r="BC10" s="1"/>
      <c r="BD10" s="3">
        <f>IFERROR(__xludf.DUMMYFUNCTION("""COMPUTED_VALUE"""),0.0)</f>
        <v>0</v>
      </c>
      <c r="BE10" s="4">
        <f>IFERROR(__xludf.DUMMYFUNCTION("""COMPUTED_VALUE"""),10.0)</f>
        <v>10</v>
      </c>
      <c r="BF10" s="3"/>
      <c r="BG10" s="3" t="str">
        <f>IFERROR(__xludf.DUMMYFUNCTION("""COMPUTED_VALUE"""),"Jungle")</f>
        <v>Jungle</v>
      </c>
      <c r="BH10" s="3" t="str">
        <f>IFERROR(__xludf.DUMMYFUNCTION("""COMPUTED_VALUE"""),"Land Of Spira")</f>
        <v>Land Of Spira</v>
      </c>
      <c r="BI10" s="3"/>
      <c r="BJ10" s="3"/>
      <c r="BK10" s="3"/>
      <c r="BL10" s="3" t="b">
        <f>IFERROR(__xludf.DUMMYFUNCTION("""COMPUTED_VALUE"""),FALSE)</f>
        <v>0</v>
      </c>
      <c r="BM10" s="3"/>
      <c r="BN10" s="3"/>
      <c r="BO10" s="3"/>
      <c r="BP10" s="3"/>
      <c r="BQ10" s="3"/>
      <c r="BR10" s="3"/>
      <c r="BS10" s="3"/>
      <c r="BT10" s="3"/>
      <c r="BU10" s="3"/>
      <c r="BV10" s="3"/>
      <c r="BW10" s="3"/>
    </row>
    <row r="11" ht="15.75" customHeight="1">
      <c r="A11" s="2" t="str">
        <f>IFERROR(__xludf.DUMMYFUNCTION("""COMPUTED_VALUE"""),"Ancient Forest Colossus")</f>
        <v>Ancient Forest Colossus</v>
      </c>
      <c r="B11" s="2">
        <f>IFERROR(__xludf.DUMMYFUNCTION("""COMPUTED_VALUE"""),1.0)</f>
        <v>1</v>
      </c>
      <c r="C11" s="1" t="str">
        <f>IFERROR(__xludf.DUMMYFUNCTION("""COMPUTED_VALUE"""),"One of the Guardians of Spira.")</f>
        <v>One of the Guardians of Spira.</v>
      </c>
      <c r="D11" s="5" t="str">
        <f>IFERROR(__xludf.DUMMYFUNCTION("""COMPUTED_VALUE"""),"Giant")</f>
        <v>Giant</v>
      </c>
      <c r="E11" s="5">
        <f>IFERROR(__xludf.DUMMYFUNCTION("""COMPUTED_VALUE"""),1010.0)</f>
        <v>1010</v>
      </c>
      <c r="F11" s="5">
        <f>IFERROR(__xludf.DUMMYFUNCTION("""COMPUTED_VALUE"""),1010.0)</f>
        <v>1010</v>
      </c>
      <c r="G11" s="5">
        <f>IFERROR(__xludf.DUMMYFUNCTION("""COMPUTED_VALUE"""),1010.0)</f>
        <v>1010</v>
      </c>
      <c r="H11" s="2">
        <f>IFERROR(__xludf.DUMMYFUNCTION("""COMPUTED_VALUE"""),10.0)</f>
        <v>10</v>
      </c>
      <c r="I11" s="2">
        <f>IFERROR(__xludf.DUMMYFUNCTION("""COMPUTED_VALUE"""),0.0)</f>
        <v>0</v>
      </c>
      <c r="J11" s="2">
        <f>IFERROR(__xludf.DUMMYFUNCTION("""COMPUTED_VALUE"""),0.0)</f>
        <v>0</v>
      </c>
      <c r="K11" s="2">
        <f>IFERROR(__xludf.DUMMYFUNCTION("""COMPUTED_VALUE"""),100.0)</f>
        <v>100</v>
      </c>
      <c r="L11" s="2">
        <f>IFERROR(__xludf.DUMMYFUNCTION("""COMPUTED_VALUE"""),100.0)</f>
        <v>100</v>
      </c>
      <c r="M11" s="2" t="str">
        <f>IFERROR(__xludf.DUMMYFUNCTION("""COMPUTED_VALUE"""),"Water:100, Nature:Immune, Instant Death:Immune, ")</f>
        <v>Water:100, Nature:Immune, Instant Death:Immune, </v>
      </c>
      <c r="N11" s="2" t="str">
        <f>IFERROR(__xludf.DUMMYFUNCTION("""COMPUTED_VALUE"""),"Fire:100, Storm:100, ")</f>
        <v>Fire:100, Storm:100, </v>
      </c>
      <c r="O11" s="2"/>
      <c r="P11" s="2"/>
      <c r="Q11" s="2"/>
      <c r="R11" s="2"/>
      <c r="S11" s="2"/>
      <c r="T11" s="2"/>
      <c r="U11" s="2"/>
      <c r="V11" s="2"/>
      <c r="W11" s="2" t="str">
        <f>IFERROR(__xludf.DUMMYFUNCTION("""COMPUTED_VALUE"""),"Ancient Colossus Forest Hammer")</f>
        <v>Ancient Colossus Forest Hammer</v>
      </c>
      <c r="X11" s="2"/>
      <c r="Y11" s="2"/>
      <c r="Z11" s="2"/>
      <c r="AA11" s="2"/>
      <c r="AB11" s="2"/>
      <c r="AC11" s="2"/>
      <c r="AD11" s="2"/>
      <c r="AE11" s="2"/>
      <c r="AF11" s="2"/>
      <c r="AG11" s="2"/>
      <c r="AH11" s="2"/>
      <c r="AI11" s="2"/>
      <c r="AJ11" s="2" t="str">
        <f>IFERROR(__xludf.DUMMYFUNCTION("""COMPUTED_VALUE"""),"Poisonous Fumes")</f>
        <v>Poisonous Fumes</v>
      </c>
      <c r="AK11" s="2" t="str">
        <f>IFERROR(__xludf.DUMMYFUNCTION("""COMPUTED_VALUE"""),"Creature Control")</f>
        <v>Creature Control</v>
      </c>
      <c r="AL11" s="2" t="str">
        <f>IFERROR(__xludf.DUMMYFUNCTION("""COMPUTED_VALUE"""),"Mass Destruction")</f>
        <v>Mass Destruction</v>
      </c>
      <c r="AM11" s="2" t="str">
        <f>IFERROR(__xludf.DUMMYFUNCTION("""COMPUTED_VALUE"""),"The World Tree")</f>
        <v>The World Tree</v>
      </c>
      <c r="AN11" s="2" t="str">
        <f>IFERROR(__xludf.DUMMYFUNCTION("""COMPUTED_VALUE"""),"Chaincast")</f>
        <v>Chaincast</v>
      </c>
      <c r="AO11" s="2" t="str">
        <f>IFERROR(__xludf.DUMMYFUNCTION("""COMPUTED_VALUE"""),"Berserk")</f>
        <v>Berserk</v>
      </c>
      <c r="AP11" s="2" t="str">
        <f>IFERROR(__xludf.DUMMYFUNCTION("""COMPUTED_VALUE"""),"Multishot")</f>
        <v>Multishot</v>
      </c>
      <c r="AQ11" s="2"/>
      <c r="AR11" s="2"/>
      <c r="AS11" s="2"/>
      <c r="AT11" s="2"/>
      <c r="AU11" s="2"/>
      <c r="AV11" s="2"/>
      <c r="AW11" s="2"/>
      <c r="AX11" s="2"/>
      <c r="AY11" s="2"/>
      <c r="AZ11" s="2"/>
      <c r="BA11" s="3"/>
      <c r="BB11" s="3"/>
      <c r="BC11" s="1"/>
      <c r="BD11" s="3">
        <f>IFERROR(__xludf.DUMMYFUNCTION("""COMPUTED_VALUE"""),20.0)</f>
        <v>20</v>
      </c>
      <c r="BE11" s="4">
        <f>IFERROR(__xludf.DUMMYFUNCTION("""COMPUTED_VALUE"""),10.0)</f>
        <v>10</v>
      </c>
      <c r="BF11" s="3" t="str">
        <f>IFERROR(__xludf.DUMMYFUNCTION("""COMPUTED_VALUE"""),"75% chance to be unaffected by any spells affecting this mob
Luck of The Forest II: +10 can be added to this mobs d20 rolls.")</f>
        <v>75% chance to be unaffected by any spells affecting this mob
Luck of The Forest II: +10 can be added to this mobs d20 rolls.</v>
      </c>
      <c r="BG11" s="3" t="str">
        <f>IFERROR(__xludf.DUMMYFUNCTION("""COMPUTED_VALUE"""),"Forest")</f>
        <v>Forest</v>
      </c>
      <c r="BH11" s="3" t="str">
        <f>IFERROR(__xludf.DUMMYFUNCTION("""COMPUTED_VALUE"""),"Land of Spira")</f>
        <v>Land of Spira</v>
      </c>
      <c r="BI11" s="3"/>
      <c r="BJ11" s="3"/>
      <c r="BK11" s="3"/>
      <c r="BL11" s="3" t="b">
        <f>IFERROR(__xludf.DUMMYFUNCTION("""COMPUTED_VALUE"""),FALSE)</f>
        <v>0</v>
      </c>
      <c r="BM11" s="3"/>
      <c r="BN11" s="3"/>
      <c r="BO11" s="3"/>
      <c r="BP11" s="3"/>
      <c r="BQ11" s="3"/>
      <c r="BR11" s="3"/>
      <c r="BS11" s="3"/>
      <c r="BT11" s="3"/>
      <c r="BU11" s="3"/>
      <c r="BV11" s="3"/>
      <c r="BW11" s="3"/>
    </row>
    <row r="12" ht="15.75" customHeight="1">
      <c r="A12" s="2" t="str">
        <f>IFERROR(__xludf.DUMMYFUNCTION("""COMPUTED_VALUE"""),"Frost Colossus")</f>
        <v>Frost Colossus</v>
      </c>
      <c r="B12" s="2">
        <f>IFERROR(__xludf.DUMMYFUNCTION("""COMPUTED_VALUE"""),1.0)</f>
        <v>1</v>
      </c>
      <c r="C12" s="1"/>
      <c r="D12" s="5" t="str">
        <f>IFERROR(__xludf.DUMMYFUNCTION("""COMPUTED_VALUE"""),"Giant")</f>
        <v>Giant</v>
      </c>
      <c r="E12" s="5">
        <f>IFERROR(__xludf.DUMMYFUNCTION("""COMPUTED_VALUE"""),1010.0)</f>
        <v>1010</v>
      </c>
      <c r="F12" s="5">
        <f>IFERROR(__xludf.DUMMYFUNCTION("""COMPUTED_VALUE"""),1010.0)</f>
        <v>1010</v>
      </c>
      <c r="G12" s="5">
        <f>IFERROR(__xludf.DUMMYFUNCTION("""COMPUTED_VALUE"""),1010.0)</f>
        <v>1010</v>
      </c>
      <c r="H12" s="2">
        <f>IFERROR(__xludf.DUMMYFUNCTION("""COMPUTED_VALUE"""),10.0)</f>
        <v>10</v>
      </c>
      <c r="I12" s="2">
        <f>IFERROR(__xludf.DUMMYFUNCTION("""COMPUTED_VALUE"""),0.0)</f>
        <v>0</v>
      </c>
      <c r="J12" s="2">
        <f>IFERROR(__xludf.DUMMYFUNCTION("""COMPUTED_VALUE"""),0.0)</f>
        <v>0</v>
      </c>
      <c r="K12" s="2">
        <f>IFERROR(__xludf.DUMMYFUNCTION("""COMPUTED_VALUE"""),100.0)</f>
        <v>100</v>
      </c>
      <c r="L12" s="2">
        <f>IFERROR(__xludf.DUMMYFUNCTION("""COMPUTED_VALUE"""),100.0)</f>
        <v>100</v>
      </c>
      <c r="M12" s="2" t="str">
        <f>IFERROR(__xludf.DUMMYFUNCTION("""COMPUTED_VALUE"""),"Water:Immune, ")</f>
        <v>Water:Immune, </v>
      </c>
      <c r="N12" s="2" t="str">
        <f>IFERROR(__xludf.DUMMYFUNCTION("""COMPUTED_VALUE"""),"Fire:100, Nature:100, ")</f>
        <v>Fire:100, Nature:100, </v>
      </c>
      <c r="O12" s="2"/>
      <c r="P12" s="2"/>
      <c r="Q12" s="2"/>
      <c r="R12" s="2"/>
      <c r="S12" s="2"/>
      <c r="T12" s="2"/>
      <c r="U12" s="2"/>
      <c r="V12" s="2"/>
      <c r="W12" s="2" t="str">
        <f>IFERROR(__xludf.DUMMYFUNCTION("""COMPUTED_VALUE"""),"Frozen Head-Splitter")</f>
        <v>Frozen Head-Splitter</v>
      </c>
      <c r="X12" s="2"/>
      <c r="Y12" s="2"/>
      <c r="Z12" s="2"/>
      <c r="AA12" s="2"/>
      <c r="AB12" s="2"/>
      <c r="AC12" s="2"/>
      <c r="AD12" s="2"/>
      <c r="AE12" s="2"/>
      <c r="AF12" s="2"/>
      <c r="AG12" s="2"/>
      <c r="AH12" s="2"/>
      <c r="AI12" s="2"/>
      <c r="AJ12" s="2" t="str">
        <f>IFERROR(__xludf.DUMMYFUNCTION("""COMPUTED_VALUE"""),"Freezing Fog")</f>
        <v>Freezing Fog</v>
      </c>
      <c r="AK12" s="2" t="str">
        <f>IFERROR(__xludf.DUMMYFUNCTION("""COMPUTED_VALUE"""),"Blizzard")</f>
        <v>Blizzard</v>
      </c>
      <c r="AL12" s="2" t="str">
        <f>IFERROR(__xludf.DUMMYFUNCTION("""COMPUTED_VALUE"""),"Roaring Frost Winds")</f>
        <v>Roaring Frost Winds</v>
      </c>
      <c r="AM12" s="2" t="str">
        <f>IFERROR(__xludf.DUMMYFUNCTION("""COMPUTED_VALUE"""),"Crashing Waves (Enhanced)")</f>
        <v>Crashing Waves (Enhanced)</v>
      </c>
      <c r="AN12" s="2" t="str">
        <f>IFERROR(__xludf.DUMMYFUNCTION("""COMPUTED_VALUE"""),"Chaincast")</f>
        <v>Chaincast</v>
      </c>
      <c r="AO12" s="2" t="str">
        <f>IFERROR(__xludf.DUMMYFUNCTION("""COMPUTED_VALUE"""),"Mass Destruction")</f>
        <v>Mass Destruction</v>
      </c>
      <c r="AP12" s="2" t="str">
        <f>IFERROR(__xludf.DUMMYFUNCTION("""COMPUTED_VALUE"""),"Berserk")</f>
        <v>Berserk</v>
      </c>
      <c r="AQ12" s="2" t="str">
        <f>IFERROR(__xludf.DUMMYFUNCTION("""COMPUTED_VALUE"""),"Multishot")</f>
        <v>Multishot</v>
      </c>
      <c r="AR12" s="2"/>
      <c r="AS12" s="2"/>
      <c r="AT12" s="2"/>
      <c r="AU12" s="2"/>
      <c r="AV12" s="2"/>
      <c r="AW12" s="2"/>
      <c r="AX12" s="2"/>
      <c r="AY12" s="2"/>
      <c r="AZ12" s="2"/>
      <c r="BA12" s="3"/>
      <c r="BB12" s="3"/>
      <c r="BC12" s="1"/>
      <c r="BD12" s="3">
        <f>IFERROR(__xludf.DUMMYFUNCTION("""COMPUTED_VALUE"""),20.0)</f>
        <v>20</v>
      </c>
      <c r="BE12" s="4">
        <f>IFERROR(__xludf.DUMMYFUNCTION("""COMPUTED_VALUE"""),10.0)</f>
        <v>10</v>
      </c>
      <c r="BF12" s="3" t="str">
        <f>IFERROR(__xludf.DUMMYFUNCTION("""COMPUTED_VALUE"""),"75% chance to be unaffected by any spells affecting this mob
+10 can be added to this mobs d20 rolls.
Immune to Freezing.")</f>
        <v>75% chance to be unaffected by any spells affecting this mob
+10 can be added to this mobs d20 rolls.
Immune to Freezing.</v>
      </c>
      <c r="BG12" s="3" t="str">
        <f>IFERROR(__xludf.DUMMYFUNCTION("""COMPUTED_VALUE"""),"Tundra")</f>
        <v>Tundra</v>
      </c>
      <c r="BH12" s="3" t="str">
        <f>IFERROR(__xludf.DUMMYFUNCTION("""COMPUTED_VALUE"""),"Land of Spira")</f>
        <v>Land of Spira</v>
      </c>
      <c r="BI12" s="3"/>
      <c r="BJ12" s="3"/>
      <c r="BK12" s="3"/>
      <c r="BL12" s="3" t="b">
        <f>IFERROR(__xludf.DUMMYFUNCTION("""COMPUTED_VALUE"""),FALSE)</f>
        <v>0</v>
      </c>
      <c r="BM12" s="3"/>
      <c r="BN12" s="3"/>
      <c r="BO12" s="3"/>
      <c r="BP12" s="3"/>
      <c r="BQ12" s="3"/>
      <c r="BR12" s="3"/>
      <c r="BS12" s="3"/>
      <c r="BT12" s="3"/>
      <c r="BU12" s="3"/>
      <c r="BV12" s="3"/>
      <c r="BW12" s="3"/>
    </row>
    <row r="13" ht="15.75" customHeight="1">
      <c r="A13" s="2" t="str">
        <f>IFERROR(__xludf.DUMMYFUNCTION("""COMPUTED_VALUE"""),"Frost Cyclops")</f>
        <v>Frost Cyclops</v>
      </c>
      <c r="B13" s="2">
        <f>IFERROR(__xludf.DUMMYFUNCTION("""COMPUTED_VALUE"""),1.0)</f>
        <v>1</v>
      </c>
      <c r="C13" s="1" t="str">
        <f>IFERROR(__xludf.DUMMYFUNCTION("""COMPUTED_VALUE"""),"A big angry bastard commonly found in the cold as tits northern regions, you'd think that would serve to cool their head but no, the cold makes them even more pissed.")</f>
        <v>A big angry bastard commonly found in the cold as tits northern regions, you'd think that would serve to cool their head but no, the cold makes them even more pissed.</v>
      </c>
      <c r="D13" s="5" t="str">
        <f>IFERROR(__xludf.DUMMYFUNCTION("""COMPUTED_VALUE"""),"Giant")</f>
        <v>Giant</v>
      </c>
      <c r="E13" s="5">
        <f>IFERROR(__xludf.DUMMYFUNCTION("""COMPUTED_VALUE"""),1010.0)</f>
        <v>1010</v>
      </c>
      <c r="F13" s="5">
        <f>IFERROR(__xludf.DUMMYFUNCTION("""COMPUTED_VALUE"""),1010.0)</f>
        <v>1010</v>
      </c>
      <c r="G13" s="5">
        <f>IFERROR(__xludf.DUMMYFUNCTION("""COMPUTED_VALUE"""),1010.0)</f>
        <v>1010</v>
      </c>
      <c r="H13" s="2">
        <f>IFERROR(__xludf.DUMMYFUNCTION("""COMPUTED_VALUE"""),10.0)</f>
        <v>10</v>
      </c>
      <c r="I13" s="2">
        <f>IFERROR(__xludf.DUMMYFUNCTION("""COMPUTED_VALUE"""),0.0)</f>
        <v>0</v>
      </c>
      <c r="J13" s="2">
        <f>IFERROR(__xludf.DUMMYFUNCTION("""COMPUTED_VALUE"""),0.0)</f>
        <v>0</v>
      </c>
      <c r="K13" s="2">
        <f>IFERROR(__xludf.DUMMYFUNCTION("""COMPUTED_VALUE"""),100.0)</f>
        <v>100</v>
      </c>
      <c r="L13" s="8">
        <f>IFERROR(__xludf.DUMMYFUNCTION("""COMPUTED_VALUE"""),100.0)</f>
        <v>100</v>
      </c>
      <c r="M13" s="2" t="str">
        <f>IFERROR(__xludf.DUMMYFUNCTION("""COMPUTED_VALUE"""),"Water:Immune, ")</f>
        <v>Water:Immune, </v>
      </c>
      <c r="N13" s="2" t="str">
        <f>IFERROR(__xludf.DUMMYFUNCTION("""COMPUTED_VALUE"""),"Fire:100, Nature:100, ")</f>
        <v>Fire:100, Nature:100, </v>
      </c>
      <c r="O13" s="2"/>
      <c r="P13" s="2"/>
      <c r="Q13" s="2"/>
      <c r="R13" s="2"/>
      <c r="S13" s="2"/>
      <c r="T13" s="2"/>
      <c r="U13" s="2"/>
      <c r="V13" s="2"/>
      <c r="W13" s="2" t="str">
        <f>IFERROR(__xludf.DUMMYFUNCTION("""COMPUTED_VALUE"""),"Frozen Head-Splitter")</f>
        <v>Frozen Head-Splitter</v>
      </c>
      <c r="X13" s="2"/>
      <c r="Y13" s="2"/>
      <c r="Z13" s="2"/>
      <c r="AA13" s="2"/>
      <c r="AB13" s="2"/>
      <c r="AC13" s="2"/>
      <c r="AD13" s="2"/>
      <c r="AE13" s="2"/>
      <c r="AF13" s="2"/>
      <c r="AG13" s="2"/>
      <c r="AH13" s="2"/>
      <c r="AI13" s="2"/>
      <c r="AJ13" s="2" t="str">
        <f>IFERROR(__xludf.DUMMYFUNCTION("""COMPUTED_VALUE"""),"Blizzard")</f>
        <v>Blizzard</v>
      </c>
      <c r="AK13" s="2" t="str">
        <f>IFERROR(__xludf.DUMMYFUNCTION("""COMPUTED_VALUE"""),"Freezing Fog")</f>
        <v>Freezing Fog</v>
      </c>
      <c r="AL13" s="2" t="str">
        <f>IFERROR(__xludf.DUMMYFUNCTION("""COMPUTED_VALUE"""),"Icicle spear")</f>
        <v>Icicle spear</v>
      </c>
      <c r="AM13" s="2" t="str">
        <f>IFERROR(__xludf.DUMMYFUNCTION("""COMPUTED_VALUE"""),"Avalanche")</f>
        <v>Avalanche</v>
      </c>
      <c r="AN13" s="2"/>
      <c r="AO13" s="2"/>
      <c r="AP13" s="2"/>
      <c r="AQ13" s="2"/>
      <c r="AR13" s="2"/>
      <c r="AS13" s="2"/>
      <c r="AT13" s="2"/>
      <c r="AU13" s="2"/>
      <c r="AV13" s="2"/>
      <c r="AW13" s="2"/>
      <c r="AX13" s="2"/>
      <c r="AY13" s="2"/>
      <c r="AZ13" s="2"/>
      <c r="BA13" s="3"/>
      <c r="BB13" s="3"/>
      <c r="BC13" s="1"/>
      <c r="BD13" s="3">
        <f>IFERROR(__xludf.DUMMYFUNCTION("""COMPUTED_VALUE"""),0.0)</f>
        <v>0</v>
      </c>
      <c r="BE13" s="4">
        <f>IFERROR(__xludf.DUMMYFUNCTION("""COMPUTED_VALUE"""),10.0)</f>
        <v>10</v>
      </c>
      <c r="BF13" s="3" t="str">
        <f>IFERROR(__xludf.DUMMYFUNCTION("""COMPUTED_VALUE"""),"+5 can be added to this mobs d20 rolls.
Immune to Freezing.")</f>
        <v>+5 can be added to this mobs d20 rolls.
Immune to Freezing.</v>
      </c>
      <c r="BG13" s="3" t="str">
        <f>IFERROR(__xludf.DUMMYFUNCTION("""COMPUTED_VALUE"""),"Tundra")</f>
        <v>Tundra</v>
      </c>
      <c r="BH13" s="3" t="str">
        <f>IFERROR(__xludf.DUMMYFUNCTION("""COMPUTED_VALUE"""),"Land of Spira")</f>
        <v>Land of Spira</v>
      </c>
      <c r="BI13" s="3"/>
      <c r="BJ13" s="3"/>
      <c r="BK13" s="3"/>
      <c r="BL13" s="3" t="b">
        <f>IFERROR(__xludf.DUMMYFUNCTION("""COMPUTED_VALUE"""),FALSE)</f>
        <v>0</v>
      </c>
      <c r="BM13" s="3"/>
      <c r="BN13" s="3"/>
      <c r="BO13" s="3"/>
      <c r="BP13" s="3"/>
      <c r="BQ13" s="3"/>
      <c r="BR13" s="3"/>
      <c r="BS13" s="3"/>
      <c r="BT13" s="3"/>
      <c r="BU13" s="3"/>
      <c r="BV13" s="3"/>
      <c r="BW13" s="3"/>
    </row>
    <row r="14" ht="15.75" customHeight="1">
      <c r="A14" s="2" t="str">
        <f>IFERROR(__xludf.DUMMYFUNCTION("""COMPUTED_VALUE"""),"Frost Grand Mage")</f>
        <v>Frost Grand Mage</v>
      </c>
      <c r="B14" s="2">
        <f>IFERROR(__xludf.DUMMYFUNCTION("""COMPUTED_VALUE"""),1.0)</f>
        <v>1</v>
      </c>
      <c r="C14" s="1"/>
      <c r="D14" s="5" t="str">
        <f>IFERROR(__xludf.DUMMYFUNCTION("""COMPUTED_VALUE"""),"Humanoid")</f>
        <v>Humanoid</v>
      </c>
      <c r="E14" s="5">
        <f>IFERROR(__xludf.DUMMYFUNCTION("""COMPUTED_VALUE"""),1010.0)</f>
        <v>1010</v>
      </c>
      <c r="F14" s="5">
        <f>IFERROR(__xludf.DUMMYFUNCTION("""COMPUTED_VALUE"""),1010.0)</f>
        <v>1010</v>
      </c>
      <c r="G14" s="5">
        <f>IFERROR(__xludf.DUMMYFUNCTION("""COMPUTED_VALUE"""),1010.0)</f>
        <v>1010</v>
      </c>
      <c r="H14" s="2">
        <f>IFERROR(__xludf.DUMMYFUNCTION("""COMPUTED_VALUE"""),20.0)</f>
        <v>20</v>
      </c>
      <c r="I14" s="2">
        <f>IFERROR(__xludf.DUMMYFUNCTION("""COMPUTED_VALUE"""),0.0)</f>
        <v>0</v>
      </c>
      <c r="J14" s="2">
        <f>IFERROR(__xludf.DUMMYFUNCTION("""COMPUTED_VALUE"""),0.0)</f>
        <v>0</v>
      </c>
      <c r="K14" s="2">
        <f>IFERROR(__xludf.DUMMYFUNCTION("""COMPUTED_VALUE"""),100.0)</f>
        <v>100</v>
      </c>
      <c r="L14" s="2">
        <f>IFERROR(__xludf.DUMMYFUNCTION("""COMPUTED_VALUE"""),100.0)</f>
        <v>100</v>
      </c>
      <c r="M14" s="2" t="str">
        <f>IFERROR(__xludf.DUMMYFUNCTION("""COMPUTED_VALUE"""),"Water:Immune, Storm:100, Instant Death:Immune, ")</f>
        <v>Water:Immune, Storm:100, Instant Death:Immune, </v>
      </c>
      <c r="N14" s="2" t="str">
        <f>IFERROR(__xludf.DUMMYFUNCTION("""COMPUTED_VALUE"""),"Fire:100, Nature:100, ")</f>
        <v>Fire:100, Nature:100, </v>
      </c>
      <c r="O14" s="2" t="str">
        <f>IFERROR(__xludf.DUMMYFUNCTION("""COMPUTED_VALUE"""),"Frost Mage's Hood")</f>
        <v>Frost Mage's Hood</v>
      </c>
      <c r="P14" s="2"/>
      <c r="Q14" s="2"/>
      <c r="R14" s="2"/>
      <c r="S14" s="2"/>
      <c r="T14" s="2" t="str">
        <f>IFERROR(__xludf.DUMMYFUNCTION("""COMPUTED_VALUE"""),"Frost Mage's Cloak")</f>
        <v>Frost Mage's Cloak</v>
      </c>
      <c r="U14" s="2"/>
      <c r="V14" s="2" t="str">
        <f>IFERROR(__xludf.DUMMYFUNCTION("""COMPUTED_VALUE"""),"Frost Mage's Staff")</f>
        <v>Frost Mage's Staff</v>
      </c>
      <c r="W14" s="2"/>
      <c r="X14" s="2"/>
      <c r="Y14" s="2"/>
      <c r="Z14" s="2"/>
      <c r="AA14" s="2"/>
      <c r="AB14" s="2"/>
      <c r="AC14" s="2"/>
      <c r="AD14" s="2"/>
      <c r="AE14" s="2"/>
      <c r="AF14" s="2"/>
      <c r="AG14" s="2"/>
      <c r="AH14" s="2"/>
      <c r="AI14" s="2" t="str">
        <f>IFERROR(__xludf.DUMMYFUNCTION("""COMPUTED_VALUE"""),"Frost Mage's Boots")</f>
        <v>Frost Mage's Boots</v>
      </c>
      <c r="AJ14" s="2" t="str">
        <f>IFERROR(__xludf.DUMMYFUNCTION("""COMPUTED_VALUE"""),"Chaincast")</f>
        <v>Chaincast</v>
      </c>
      <c r="AK14" s="2" t="str">
        <f>IFERROR(__xludf.DUMMYFUNCTION("""COMPUTED_VALUE"""),"Ancient Frost Grand Mages Curse")</f>
        <v>Ancient Frost Grand Mages Curse</v>
      </c>
      <c r="AL14" s="2" t="str">
        <f>IFERROR(__xludf.DUMMYFUNCTION("""COMPUTED_VALUE"""),"Frost Barrier")</f>
        <v>Frost Barrier</v>
      </c>
      <c r="AM14" s="2" t="str">
        <f>IFERROR(__xludf.DUMMYFUNCTION("""COMPUTED_VALUE"""),"Frost Cloak")</f>
        <v>Frost Cloak</v>
      </c>
      <c r="AN14" s="2" t="str">
        <f>IFERROR(__xludf.DUMMYFUNCTION("""COMPUTED_VALUE"""),"Freezing Fog")</f>
        <v>Freezing Fog</v>
      </c>
      <c r="AO14" s="2" t="str">
        <f>IFERROR(__xludf.DUMMYFUNCTION("""COMPUTED_VALUE"""),"Brewing Storm")</f>
        <v>Brewing Storm</v>
      </c>
      <c r="AP14" s="2" t="str">
        <f>IFERROR(__xludf.DUMMYFUNCTION("""COMPUTED_VALUE"""),"Berserk")</f>
        <v>Berserk</v>
      </c>
      <c r="AQ14" s="2" t="str">
        <f>IFERROR(__xludf.DUMMYFUNCTION("""COMPUTED_VALUE"""),"Multishot")</f>
        <v>Multishot</v>
      </c>
      <c r="AR14" s="2" t="str">
        <f>IFERROR(__xludf.DUMMYFUNCTION("""COMPUTED_VALUE"""),"Mass Destruction")</f>
        <v>Mass Destruction</v>
      </c>
      <c r="AS14" s="2"/>
      <c r="AT14" s="2"/>
      <c r="AU14" s="2"/>
      <c r="AV14" s="2"/>
      <c r="AW14" s="2"/>
      <c r="AX14" s="2"/>
      <c r="AY14" s="2"/>
      <c r="AZ14" s="2"/>
      <c r="BA14" s="3"/>
      <c r="BB14" s="3"/>
      <c r="BC14" s="1"/>
      <c r="BD14" s="3">
        <f>IFERROR(__xludf.DUMMYFUNCTION("""COMPUTED_VALUE"""),0.0)</f>
        <v>0</v>
      </c>
      <c r="BE14" s="4">
        <f>IFERROR(__xludf.DUMMYFUNCTION("""COMPUTED_VALUE"""),20.0)</f>
        <v>20</v>
      </c>
      <c r="BF14" s="3" t="str">
        <f>IFERROR(__xludf.DUMMYFUNCTION("""COMPUTED_VALUE"""),"75% chance to be unaffected by any spells affecting this mob
Ancient Frost Grand Mages Ice Show: When this mob takes damage, 30% chance to freeze the target that attacked this mob.
+10 can be added to this mobs d20 rolls.
Immune to Freezing.")</f>
        <v>75% chance to be unaffected by any spells affecting this mob
Ancient Frost Grand Mages Ice Show: When this mob takes damage, 30% chance to freeze the target that attacked this mob.
+10 can be added to this mobs d20 rolls.
Immune to Freezing.</v>
      </c>
      <c r="BG14" s="3" t="str">
        <f>IFERROR(__xludf.DUMMYFUNCTION("""COMPUTED_VALUE"""),"Tundra")</f>
        <v>Tundra</v>
      </c>
      <c r="BH14" s="3" t="str">
        <f>IFERROR(__xludf.DUMMYFUNCTION("""COMPUTED_VALUE"""),"Land of Spira")</f>
        <v>Land of Spira</v>
      </c>
      <c r="BI14" s="3"/>
      <c r="BJ14" s="3"/>
      <c r="BK14" s="3"/>
      <c r="BL14" s="3" t="b">
        <f>IFERROR(__xludf.DUMMYFUNCTION("""COMPUTED_VALUE"""),FALSE)</f>
        <v>0</v>
      </c>
      <c r="BM14" s="3"/>
      <c r="BN14" s="3"/>
      <c r="BO14" s="3"/>
      <c r="BP14" s="3"/>
      <c r="BQ14" s="3"/>
      <c r="BR14" s="3"/>
      <c r="BS14" s="3"/>
      <c r="BT14" s="3"/>
      <c r="BU14" s="3"/>
      <c r="BV14" s="3"/>
      <c r="BW14" s="3"/>
    </row>
    <row r="15" ht="15.75" customHeight="1">
      <c r="A15" s="2" t="str">
        <f>IFERROR(__xludf.DUMMYFUNCTION("""COMPUTED_VALUE"""),"Frost King")</f>
        <v>Frost King</v>
      </c>
      <c r="B15" s="2">
        <f>IFERROR(__xludf.DUMMYFUNCTION("""COMPUTED_VALUE"""),1.0)</f>
        <v>1</v>
      </c>
      <c r="C15" s="1"/>
      <c r="D15" s="5" t="str">
        <f>IFERROR(__xludf.DUMMYFUNCTION("""COMPUTED_VALUE"""),"Humanoid")</f>
        <v>Humanoid</v>
      </c>
      <c r="E15" s="5">
        <f>IFERROR(__xludf.DUMMYFUNCTION("""COMPUTED_VALUE"""),1010.0)</f>
        <v>1010</v>
      </c>
      <c r="F15" s="5">
        <f>IFERROR(__xludf.DUMMYFUNCTION("""COMPUTED_VALUE"""),1010.0)</f>
        <v>1010</v>
      </c>
      <c r="G15" s="5">
        <f>IFERROR(__xludf.DUMMYFUNCTION("""COMPUTED_VALUE"""),1010.0)</f>
        <v>1010</v>
      </c>
      <c r="H15" s="2">
        <f>IFERROR(__xludf.DUMMYFUNCTION("""COMPUTED_VALUE"""),20.0)</f>
        <v>20</v>
      </c>
      <c r="I15" s="2">
        <f>IFERROR(__xludf.DUMMYFUNCTION("""COMPUTED_VALUE"""),0.0)</f>
        <v>0</v>
      </c>
      <c r="J15" s="2">
        <f>IFERROR(__xludf.DUMMYFUNCTION("""COMPUTED_VALUE"""),0.0)</f>
        <v>0</v>
      </c>
      <c r="K15" s="2">
        <f>IFERROR(__xludf.DUMMYFUNCTION("""COMPUTED_VALUE"""),100.0)</f>
        <v>100</v>
      </c>
      <c r="L15" s="2">
        <f>IFERROR(__xludf.DUMMYFUNCTION("""COMPUTED_VALUE"""),100.0)</f>
        <v>100</v>
      </c>
      <c r="M15" s="2" t="str">
        <f>IFERROR(__xludf.DUMMYFUNCTION("""COMPUTED_VALUE"""),"Water:Immune, ")</f>
        <v>Water:Immune, </v>
      </c>
      <c r="N15" s="2" t="str">
        <f>IFERROR(__xludf.DUMMYFUNCTION("""COMPUTED_VALUE"""),"Fire:100, Nature:100, ")</f>
        <v>Fire:100, Nature:100, </v>
      </c>
      <c r="O15" s="2" t="str">
        <f>IFERROR(__xludf.DUMMYFUNCTION("""COMPUTED_VALUE"""),"Crown of Frozen Swords")</f>
        <v>Crown of Frozen Swords</v>
      </c>
      <c r="P15" s="2"/>
      <c r="Q15" s="2"/>
      <c r="R15" s="2"/>
      <c r="S15" s="2" t="str">
        <f>IFERROR(__xludf.DUMMYFUNCTION("""COMPUTED_VALUE"""),"Frost-bitten Cape")</f>
        <v>Frost-bitten Cape</v>
      </c>
      <c r="T15" s="2" t="str">
        <f>IFERROR(__xludf.DUMMYFUNCTION("""COMPUTED_VALUE"""),"Plate of the Frozen Sun")</f>
        <v>Plate of the Frozen Sun</v>
      </c>
      <c r="U15" s="2" t="str">
        <f>IFERROR(__xludf.DUMMYFUNCTION("""COMPUTED_VALUE"""),"Ice-steel Bracers")</f>
        <v>Ice-steel Bracers</v>
      </c>
      <c r="V15" s="2"/>
      <c r="W15" s="2" t="str">
        <f>IFERROR(__xludf.DUMMYFUNCTION("""COMPUTED_VALUE"""),"Cryogenic Claymore")</f>
        <v>Cryogenic Claymore</v>
      </c>
      <c r="X15" s="2"/>
      <c r="Y15" s="2"/>
      <c r="Z15" s="2"/>
      <c r="AA15" s="2"/>
      <c r="AB15" s="2"/>
      <c r="AC15" s="2"/>
      <c r="AD15" s="2"/>
      <c r="AE15" s="2"/>
      <c r="AF15" s="2"/>
      <c r="AG15" s="2"/>
      <c r="AH15" s="2" t="str">
        <f>IFERROR(__xludf.DUMMYFUNCTION("""COMPUTED_VALUE"""),"Ice-steel Chausses")</f>
        <v>Ice-steel Chausses</v>
      </c>
      <c r="AI15" s="2" t="str">
        <f>IFERROR(__xludf.DUMMYFUNCTION("""COMPUTED_VALUE"""),"Frost Stompers")</f>
        <v>Frost Stompers</v>
      </c>
      <c r="AJ15" s="2" t="str">
        <f>IFERROR(__xludf.DUMMYFUNCTION("""COMPUTED_VALUE"""),"Chaincast")</f>
        <v>Chaincast</v>
      </c>
      <c r="AK15" s="2" t="str">
        <f>IFERROR(__xludf.DUMMYFUNCTION("""COMPUTED_VALUE"""),"Ancient Frost Grand Mages Curse")</f>
        <v>Ancient Frost Grand Mages Curse</v>
      </c>
      <c r="AL15" s="2" t="str">
        <f>IFERROR(__xludf.DUMMYFUNCTION("""COMPUTED_VALUE"""),"Frost Barrier")</f>
        <v>Frost Barrier</v>
      </c>
      <c r="AM15" s="2" t="str">
        <f>IFERROR(__xludf.DUMMYFUNCTION("""COMPUTED_VALUE"""),"Roaring Frost Winds")</f>
        <v>Roaring Frost Winds</v>
      </c>
      <c r="AN15" s="2" t="str">
        <f>IFERROR(__xludf.DUMMYFUNCTION("""COMPUTED_VALUE"""),"Freezing Fog")</f>
        <v>Freezing Fog</v>
      </c>
      <c r="AO15" s="2" t="str">
        <f>IFERROR(__xludf.DUMMYFUNCTION("""COMPUTED_VALUE"""),"HailStorm")</f>
        <v>HailStorm</v>
      </c>
      <c r="AP15" s="2" t="str">
        <f>IFERROR(__xludf.DUMMYFUNCTION("""COMPUTED_VALUE"""),"Avalanche")</f>
        <v>Avalanche</v>
      </c>
      <c r="AQ15" s="2" t="str">
        <f>IFERROR(__xludf.DUMMYFUNCTION("""COMPUTED_VALUE"""),"Frost Boost")</f>
        <v>Frost Boost</v>
      </c>
      <c r="AR15" s="2" t="str">
        <f>IFERROR(__xludf.DUMMYFUNCTION("""COMPUTED_VALUE"""),"Mass Destruction")</f>
        <v>Mass Destruction</v>
      </c>
      <c r="AS15" s="2" t="str">
        <f>IFERROR(__xludf.DUMMYFUNCTION("""COMPUTED_VALUE"""),"Vaporize")</f>
        <v>Vaporize</v>
      </c>
      <c r="AT15" s="2" t="str">
        <f>IFERROR(__xludf.DUMMYFUNCTION("""COMPUTED_VALUE"""),"Arrest")</f>
        <v>Arrest</v>
      </c>
      <c r="AU15" s="2" t="str">
        <f>IFERROR(__xludf.DUMMYFUNCTION("""COMPUTED_VALUE"""),"Berserk")</f>
        <v>Berserk</v>
      </c>
      <c r="AV15" s="2"/>
      <c r="AW15" s="2"/>
      <c r="AX15" s="2"/>
      <c r="AY15" s="2"/>
      <c r="AZ15" s="2"/>
      <c r="BA15" s="3"/>
      <c r="BB15" s="3"/>
      <c r="BC15" s="1"/>
      <c r="BD15" s="3">
        <f>IFERROR(__xludf.DUMMYFUNCTION("""COMPUTED_VALUE"""),20.0)</f>
        <v>20</v>
      </c>
      <c r="BE15" s="4">
        <f>IFERROR(__xludf.DUMMYFUNCTION("""COMPUTED_VALUE"""),20.0)</f>
        <v>20</v>
      </c>
      <c r="BF15" s="3" t="str">
        <f>IFERROR(__xludf.DUMMYFUNCTION("""COMPUTED_VALUE"""),"50% chance to be unaffected by any spells affecting this mob
Frost Kings Wrath - When this creature dies 2 Frost Knights will be summoned to the battle.
Frost Kings Beckoning - +10 can be added to the casters d20 rolls.
Immune to Freezing.")</f>
        <v>50% chance to be unaffected by any spells affecting this mob
Frost Kings Wrath - When this creature dies 2 Frost Knights will be summoned to the battle.
Frost Kings Beckoning - +10 can be added to the casters d20 rolls.
Immune to Freezing.</v>
      </c>
      <c r="BG15" s="3" t="str">
        <f>IFERROR(__xludf.DUMMYFUNCTION("""COMPUTED_VALUE"""),"Tundra")</f>
        <v>Tundra</v>
      </c>
      <c r="BH15" s="3" t="str">
        <f>IFERROR(__xludf.DUMMYFUNCTION("""COMPUTED_VALUE"""),"Land of Spira")</f>
        <v>Land of Spira</v>
      </c>
      <c r="BI15" s="3"/>
      <c r="BJ15" s="3"/>
      <c r="BK15" s="3"/>
      <c r="BL15" s="3" t="b">
        <f>IFERROR(__xludf.DUMMYFUNCTION("""COMPUTED_VALUE"""),FALSE)</f>
        <v>0</v>
      </c>
      <c r="BM15" s="3"/>
      <c r="BN15" s="3"/>
      <c r="BO15" s="3"/>
      <c r="BP15" s="3"/>
      <c r="BQ15" s="3"/>
      <c r="BR15" s="3"/>
      <c r="BS15" s="3"/>
      <c r="BT15" s="3"/>
      <c r="BU15" s="3"/>
      <c r="BV15" s="3"/>
      <c r="BW15" s="3"/>
    </row>
    <row r="16" ht="15.75" customHeight="1">
      <c r="A16" s="2" t="str">
        <f>IFERROR(__xludf.DUMMYFUNCTION("""COMPUTED_VALUE"""),"Frost Queen")</f>
        <v>Frost Queen</v>
      </c>
      <c r="B16" s="2">
        <f>IFERROR(__xludf.DUMMYFUNCTION("""COMPUTED_VALUE"""),1.0)</f>
        <v>1</v>
      </c>
      <c r="C16" s="1"/>
      <c r="D16" s="6" t="str">
        <f>IFERROR(__xludf.DUMMYFUNCTION("""COMPUTED_VALUE"""),"Humanoid")</f>
        <v>Humanoid</v>
      </c>
      <c r="E16" s="6">
        <f>IFERROR(__xludf.DUMMYFUNCTION("""COMPUTED_VALUE"""),1010.0)</f>
        <v>1010</v>
      </c>
      <c r="F16" s="6">
        <f>IFERROR(__xludf.DUMMYFUNCTION("""COMPUTED_VALUE"""),1010.0)</f>
        <v>1010</v>
      </c>
      <c r="G16" s="6">
        <f>IFERROR(__xludf.DUMMYFUNCTION("""COMPUTED_VALUE"""),1010.0)</f>
        <v>1010</v>
      </c>
      <c r="H16" s="2">
        <f>IFERROR(__xludf.DUMMYFUNCTION("""COMPUTED_VALUE"""),20.0)</f>
        <v>20</v>
      </c>
      <c r="I16" s="2">
        <f>IFERROR(__xludf.DUMMYFUNCTION("""COMPUTED_VALUE"""),0.0)</f>
        <v>0</v>
      </c>
      <c r="J16" s="2">
        <f>IFERROR(__xludf.DUMMYFUNCTION("""COMPUTED_VALUE"""),0.0)</f>
        <v>0</v>
      </c>
      <c r="K16" s="2">
        <f>IFERROR(__xludf.DUMMYFUNCTION("""COMPUTED_VALUE"""),100.0)</f>
        <v>100</v>
      </c>
      <c r="L16" s="2">
        <f>IFERROR(__xludf.DUMMYFUNCTION("""COMPUTED_VALUE"""),100.0)</f>
        <v>100</v>
      </c>
      <c r="M16" s="2" t="str">
        <f>IFERROR(__xludf.DUMMYFUNCTION("""COMPUTED_VALUE"""),"Water:Immune, ")</f>
        <v>Water:Immune, </v>
      </c>
      <c r="N16" s="2" t="str">
        <f>IFERROR(__xludf.DUMMYFUNCTION("""COMPUTED_VALUE"""),"Fire:100, Nature:100, ")</f>
        <v>Fire:100, Nature:100, </v>
      </c>
      <c r="O16" s="2" t="str">
        <f>IFERROR(__xludf.DUMMYFUNCTION("""COMPUTED_VALUE"""),"Crown of Ice Spears")</f>
        <v>Crown of Ice Spears</v>
      </c>
      <c r="P16" s="2"/>
      <c r="Q16" s="2"/>
      <c r="R16" s="2"/>
      <c r="S16" s="2" t="str">
        <f>IFERROR(__xludf.DUMMYFUNCTION("""COMPUTED_VALUE"""),"Frozen Spearman's Fur Cloak")</f>
        <v>Frozen Spearman's Fur Cloak</v>
      </c>
      <c r="T16" s="2" t="str">
        <f>IFERROR(__xludf.DUMMYFUNCTION("""COMPUTED_VALUE"""),"Frozen Spearman's High-Low Dress")</f>
        <v>Frozen Spearman's High-Low Dress</v>
      </c>
      <c r="U16" s="2" t="str">
        <f>IFERROR(__xludf.DUMMYFUNCTION("""COMPUTED_VALUE"""),"Frozen Spearman's Bracers")</f>
        <v>Frozen Spearman's Bracers</v>
      </c>
      <c r="V16" s="2"/>
      <c r="W16" s="2" t="str">
        <f>IFERROR(__xludf.DUMMYFUNCTION("""COMPUTED_VALUE"""),"Frost Spear")</f>
        <v>Frost Spear</v>
      </c>
      <c r="X16" s="2"/>
      <c r="Y16" s="2"/>
      <c r="Z16" s="2"/>
      <c r="AA16" s="2"/>
      <c r="AB16" s="2"/>
      <c r="AC16" s="2"/>
      <c r="AD16" s="2"/>
      <c r="AE16" s="2"/>
      <c r="AF16" s="2"/>
      <c r="AG16" s="2"/>
      <c r="AH16" s="2" t="str">
        <f>IFERROR(__xludf.DUMMYFUNCTION("""COMPUTED_VALUE"""),"Frozen Spearman's Jhodpur's")</f>
        <v>Frozen Spearman's Jhodpur's</v>
      </c>
      <c r="AI16" s="2" t="str">
        <f>IFERROR(__xludf.DUMMYFUNCTION("""COMPUTED_VALUE"""),"Frozen Spearman's Fur Boots")</f>
        <v>Frozen Spearman's Fur Boots</v>
      </c>
      <c r="AJ16" s="2" t="str">
        <f>IFERROR(__xludf.DUMMYFUNCTION("""COMPUTED_VALUE"""),"Chaincast")</f>
        <v>Chaincast</v>
      </c>
      <c r="AK16" s="2" t="str">
        <f>IFERROR(__xludf.DUMMYFUNCTION("""COMPUTED_VALUE"""),"Ancient Frost Grand Mages Curse")</f>
        <v>Ancient Frost Grand Mages Curse</v>
      </c>
      <c r="AL16" s="2" t="str">
        <f>IFERROR(__xludf.DUMMYFUNCTION("""COMPUTED_VALUE"""),"Frost Barrier")</f>
        <v>Frost Barrier</v>
      </c>
      <c r="AM16" s="2" t="str">
        <f>IFERROR(__xludf.DUMMYFUNCTION("""COMPUTED_VALUE"""),"Roaring Frost Winds")</f>
        <v>Roaring Frost Winds</v>
      </c>
      <c r="AN16" s="2" t="str">
        <f>IFERROR(__xludf.DUMMYFUNCTION("""COMPUTED_VALUE"""),"Freezing Fog")</f>
        <v>Freezing Fog</v>
      </c>
      <c r="AO16" s="2" t="str">
        <f>IFERROR(__xludf.DUMMYFUNCTION("""COMPUTED_VALUE"""),"HailStorm")</f>
        <v>HailStorm</v>
      </c>
      <c r="AP16" s="2" t="str">
        <f>IFERROR(__xludf.DUMMYFUNCTION("""COMPUTED_VALUE"""),"Avalanche")</f>
        <v>Avalanche</v>
      </c>
      <c r="AQ16" s="2" t="str">
        <f>IFERROR(__xludf.DUMMYFUNCTION("""COMPUTED_VALUE"""),"Frost Boost")</f>
        <v>Frost Boost</v>
      </c>
      <c r="AR16" s="2" t="str">
        <f>IFERROR(__xludf.DUMMYFUNCTION("""COMPUTED_VALUE"""),"Mass Destruction")</f>
        <v>Mass Destruction</v>
      </c>
      <c r="AS16" s="2" t="str">
        <f>IFERROR(__xludf.DUMMYFUNCTION("""COMPUTED_VALUE"""),"Vaporize")</f>
        <v>Vaporize</v>
      </c>
      <c r="AT16" s="2" t="str">
        <f>IFERROR(__xludf.DUMMYFUNCTION("""COMPUTED_VALUE"""),"Arrest")</f>
        <v>Arrest</v>
      </c>
      <c r="AU16" s="2" t="str">
        <f>IFERROR(__xludf.DUMMYFUNCTION("""COMPUTED_VALUE"""),"Berserk")</f>
        <v>Berserk</v>
      </c>
      <c r="AV16" s="2"/>
      <c r="AW16" s="2"/>
      <c r="AX16" s="2"/>
      <c r="AY16" s="2"/>
      <c r="AZ16" s="2"/>
      <c r="BA16" s="3"/>
      <c r="BB16" s="3"/>
      <c r="BC16" s="1"/>
      <c r="BD16" s="3">
        <f>IFERROR(__xludf.DUMMYFUNCTION("""COMPUTED_VALUE"""),20.0)</f>
        <v>20</v>
      </c>
      <c r="BE16" s="4">
        <f>IFERROR(__xludf.DUMMYFUNCTION("""COMPUTED_VALUE"""),20.0)</f>
        <v>20</v>
      </c>
      <c r="BF16" s="3" t="str">
        <f>IFERROR(__xludf.DUMMYFUNCTION("""COMPUTED_VALUE"""),"50% chance to be unaffected by any spells affecting this mob
Frost Queens Wrath - When this creature dies 2 Frost Knights will be summoned to the battle.
Frost Queens Beckoning - +10 can be added to the casters d20 rolls.
Immune to Freezing.")</f>
        <v>50% chance to be unaffected by any spells affecting this mob
Frost Queens Wrath - When this creature dies 2 Frost Knights will be summoned to the battle.
Frost Queens Beckoning - +10 can be added to the casters d20 rolls.
Immune to Freezing.</v>
      </c>
      <c r="BG16" s="3" t="str">
        <f>IFERROR(__xludf.DUMMYFUNCTION("""COMPUTED_VALUE"""),"Tundra")</f>
        <v>Tundra</v>
      </c>
      <c r="BH16" s="3" t="str">
        <f>IFERROR(__xludf.DUMMYFUNCTION("""COMPUTED_VALUE"""),"Land of Spira")</f>
        <v>Land of Spira</v>
      </c>
      <c r="BI16" s="3"/>
      <c r="BJ16" s="3"/>
      <c r="BK16" s="3"/>
      <c r="BL16" s="3" t="b">
        <f>IFERROR(__xludf.DUMMYFUNCTION("""COMPUTED_VALUE"""),FALSE)</f>
        <v>0</v>
      </c>
      <c r="BM16" s="3"/>
      <c r="BN16" s="3"/>
      <c r="BO16" s="3"/>
      <c r="BP16" s="3"/>
      <c r="BQ16" s="3"/>
      <c r="BR16" s="3"/>
      <c r="BS16" s="3"/>
      <c r="BT16" s="3"/>
      <c r="BU16" s="3"/>
      <c r="BV16" s="3"/>
      <c r="BW16" s="3"/>
    </row>
    <row r="17" ht="15.75" customHeight="1">
      <c r="A17" s="2" t="str">
        <f>IFERROR(__xludf.DUMMYFUNCTION("""COMPUTED_VALUE"""),"Sea Dinosaur (WD)")</f>
        <v>Sea Dinosaur (WD)</v>
      </c>
      <c r="B17" s="2">
        <f>IFERROR(__xludf.DUMMYFUNCTION("""COMPUTED_VALUE"""),1.0)</f>
        <v>1</v>
      </c>
      <c r="C17" s="1" t="str">
        <f>IFERROR(__xludf.DUMMYFUNCTION("""COMPUTED_VALUE"""),"Also known as the big fucking fish from Jurrassic Park,")</f>
        <v>Also known as the big fucking fish from Jurrassic Park,</v>
      </c>
      <c r="D17" s="5" t="str">
        <f>IFERROR(__xludf.DUMMYFUNCTION("""COMPUTED_VALUE"""),"Beast")</f>
        <v>Beast</v>
      </c>
      <c r="E17" s="5">
        <f>IFERROR(__xludf.DUMMYFUNCTION("""COMPUTED_VALUE"""),1010.0)</f>
        <v>1010</v>
      </c>
      <c r="F17" s="5">
        <f>IFERROR(__xludf.DUMMYFUNCTION("""COMPUTED_VALUE"""),1010.0)</f>
        <v>1010</v>
      </c>
      <c r="G17" s="5">
        <f>IFERROR(__xludf.DUMMYFUNCTION("""COMPUTED_VALUE"""),1010.0)</f>
        <v>1010</v>
      </c>
      <c r="H17" s="2">
        <f>IFERROR(__xludf.DUMMYFUNCTION("""COMPUTED_VALUE"""),10.0)</f>
        <v>10</v>
      </c>
      <c r="I17" s="2">
        <f>IFERROR(__xludf.DUMMYFUNCTION("""COMPUTED_VALUE"""),0.0)</f>
        <v>0</v>
      </c>
      <c r="J17" s="2">
        <f>IFERROR(__xludf.DUMMYFUNCTION("""COMPUTED_VALUE"""),0.0)</f>
        <v>0</v>
      </c>
      <c r="K17" s="2">
        <f>IFERROR(__xludf.DUMMYFUNCTION("""COMPUTED_VALUE"""),100.0)</f>
        <v>100</v>
      </c>
      <c r="L17" s="2">
        <f>IFERROR(__xludf.DUMMYFUNCTION("""COMPUTED_VALUE"""),100.0)</f>
        <v>100</v>
      </c>
      <c r="M17" s="2" t="str">
        <f>IFERROR(__xludf.DUMMYFUNCTION("""COMPUTED_VALUE"""),"Fire:Immune, Water:Immune, Instant Death:Immune, ")</f>
        <v>Fire:Immune, Water:Immune, Instant Death:Immune, </v>
      </c>
      <c r="N17" s="2" t="str">
        <f>IFERROR(__xludf.DUMMYFUNCTION("""COMPUTED_VALUE"""),"Nature:100, ")</f>
        <v>Nature:100, </v>
      </c>
      <c r="O17" s="2"/>
      <c r="P17" s="2"/>
      <c r="Q17" s="2"/>
      <c r="R17" s="2"/>
      <c r="S17" s="2"/>
      <c r="T17" s="2"/>
      <c r="U17" s="2"/>
      <c r="V17" s="2"/>
      <c r="W17" s="2"/>
      <c r="X17" s="2"/>
      <c r="Y17" s="2"/>
      <c r="Z17" s="2"/>
      <c r="AA17" s="2"/>
      <c r="AB17" s="2"/>
      <c r="AC17" s="2"/>
      <c r="AD17" s="2"/>
      <c r="AE17" s="2"/>
      <c r="AF17" s="2"/>
      <c r="AG17" s="2"/>
      <c r="AH17" s="2"/>
      <c r="AI17" s="2"/>
      <c r="AJ17" s="2" t="str">
        <f>IFERROR(__xludf.DUMMYFUNCTION("""COMPUTED_VALUE"""),"Tail Smash")</f>
        <v>Tail Smash</v>
      </c>
      <c r="AK17" s="2" t="str">
        <f>IFERROR(__xludf.DUMMYFUNCTION("""COMPUTED_VALUE"""),"Full Impact")</f>
        <v>Full Impact</v>
      </c>
      <c r="AL17" s="2" t="str">
        <f>IFERROR(__xludf.DUMMYFUNCTION("""COMPUTED_VALUE"""),"Reckless Chomp ")</f>
        <v>Reckless Chomp </v>
      </c>
      <c r="AM17" s="2" t="str">
        <f>IFERROR(__xludf.DUMMYFUNCTION("""COMPUTED_VALUE"""),"Aggressive Chomp")</f>
        <v>Aggressive Chomp</v>
      </c>
      <c r="AN17" s="2" t="str">
        <f>IFERROR(__xludf.DUMMYFUNCTION("""COMPUTED_VALUE"""),"Crashing Waves")</f>
        <v>Crashing Waves</v>
      </c>
      <c r="AO17" s="2" t="str">
        <f>IFERROR(__xludf.DUMMYFUNCTION("""COMPUTED_VALUE"""),"Mass Destruction")</f>
        <v>Mass Destruction</v>
      </c>
      <c r="AP17" s="2" t="str">
        <f>IFERROR(__xludf.DUMMYFUNCTION("""COMPUTED_VALUE"""),"Berserk")</f>
        <v>Berserk</v>
      </c>
      <c r="AQ17" s="2" t="str">
        <f>IFERROR(__xludf.DUMMYFUNCTION("""COMPUTED_VALUE"""),"Multishot")</f>
        <v>Multishot</v>
      </c>
      <c r="AR17" s="2" t="str">
        <f>IFERROR(__xludf.DUMMYFUNCTION("""COMPUTED_VALUE"""),"Bite")</f>
        <v>Bite</v>
      </c>
      <c r="AS17" s="2" t="str">
        <f>IFERROR(__xludf.DUMMYFUNCTION("""COMPUTED_VALUE"""),"Distracting Blow")</f>
        <v>Distracting Blow</v>
      </c>
      <c r="AT17" s="2"/>
      <c r="AU17" s="2"/>
      <c r="AV17" s="2"/>
      <c r="AW17" s="2"/>
      <c r="AX17" s="2"/>
      <c r="AY17" s="2"/>
      <c r="AZ17" s="2"/>
      <c r="BA17" s="3"/>
      <c r="BB17" s="3"/>
      <c r="BC17" s="1"/>
      <c r="BD17" s="3">
        <f>IFERROR(__xludf.DUMMYFUNCTION("""COMPUTED_VALUE"""),0.0)</f>
        <v>0</v>
      </c>
      <c r="BE17" s="4">
        <f>IFERROR(__xludf.DUMMYFUNCTION("""COMPUTED_VALUE"""),10.0)</f>
        <v>10</v>
      </c>
      <c r="BF17" s="3" t="str">
        <f>IFERROR(__xludf.DUMMYFUNCTION("""COMPUTED_VALUE"""),"50% chance to be unaffected by any spells affecting this mob
Luck of the Sea: +5 can be added to this mobs rolls.")</f>
        <v>50% chance to be unaffected by any spells affecting this mob
Luck of the Sea: +5 can be added to this mobs rolls.</v>
      </c>
      <c r="BG17" s="3" t="str">
        <f>IFERROR(__xludf.DUMMYFUNCTION("""COMPUTED_VALUE"""),"Ocean")</f>
        <v>Ocean</v>
      </c>
      <c r="BH17" s="3" t="str">
        <f>IFERROR(__xludf.DUMMYFUNCTION("""COMPUTED_VALUE"""),"Land Of Spira")</f>
        <v>Land Of Spira</v>
      </c>
      <c r="BI17" s="3"/>
      <c r="BJ17" s="3"/>
      <c r="BK17" s="3"/>
      <c r="BL17" s="3" t="b">
        <f>IFERROR(__xludf.DUMMYFUNCTION("""COMPUTED_VALUE"""),FALSE)</f>
        <v>0</v>
      </c>
      <c r="BM17" s="3"/>
      <c r="BN17" s="3"/>
      <c r="BO17" s="3"/>
      <c r="BP17" s="3"/>
      <c r="BQ17" s="3"/>
      <c r="BR17" s="3"/>
      <c r="BS17" s="3"/>
      <c r="BT17" s="3"/>
      <c r="BU17" s="3"/>
      <c r="BV17" s="3"/>
      <c r="BW17" s="3"/>
    </row>
    <row r="18" ht="15.75" customHeight="1">
      <c r="A18" s="2" t="str">
        <f>IFERROR(__xludf.DUMMYFUNCTION("""COMPUTED_VALUE"""),"Sea Dinosaur (WD) (Enhanced)")</f>
        <v>Sea Dinosaur (WD) (Enhanced)</v>
      </c>
      <c r="B18" s="2">
        <f>IFERROR(__xludf.DUMMYFUNCTION("""COMPUTED_VALUE"""),1.0)</f>
        <v>1</v>
      </c>
      <c r="C18" s="1" t="str">
        <f>IFERROR(__xludf.DUMMYFUNCTION("""COMPUTED_VALUE"""),"Also known as the big fucking fish from Jurrassic Park,")</f>
        <v>Also known as the big fucking fish from Jurrassic Park,</v>
      </c>
      <c r="D18" s="5" t="str">
        <f>IFERROR(__xludf.DUMMYFUNCTION("""COMPUTED_VALUE"""),"Beast")</f>
        <v>Beast</v>
      </c>
      <c r="E18" s="5">
        <f>IFERROR(__xludf.DUMMYFUNCTION("""COMPUTED_VALUE"""),1010.0)</f>
        <v>1010</v>
      </c>
      <c r="F18" s="5">
        <f>IFERROR(__xludf.DUMMYFUNCTION("""COMPUTED_VALUE"""),1010.0)</f>
        <v>1010</v>
      </c>
      <c r="G18" s="5">
        <f>IFERROR(__xludf.DUMMYFUNCTION("""COMPUTED_VALUE"""),1010.0)</f>
        <v>1010</v>
      </c>
      <c r="H18" s="1">
        <f>IFERROR(__xludf.DUMMYFUNCTION("""COMPUTED_VALUE"""),10.0)</f>
        <v>10</v>
      </c>
      <c r="I18" s="2">
        <f>IFERROR(__xludf.DUMMYFUNCTION("""COMPUTED_VALUE"""),0.0)</f>
        <v>0</v>
      </c>
      <c r="J18" s="2">
        <f>IFERROR(__xludf.DUMMYFUNCTION("""COMPUTED_VALUE"""),0.0)</f>
        <v>0</v>
      </c>
      <c r="K18" s="2">
        <f>IFERROR(__xludf.DUMMYFUNCTION("""COMPUTED_VALUE"""),100.0)</f>
        <v>100</v>
      </c>
      <c r="L18" s="2">
        <f>IFERROR(__xludf.DUMMYFUNCTION("""COMPUTED_VALUE"""),100.0)</f>
        <v>100</v>
      </c>
      <c r="M18" s="2" t="str">
        <f>IFERROR(__xludf.DUMMYFUNCTION("""COMPUTED_VALUE"""),"Fire:Immune, Water:Immune, Instant Death:Immune, ")</f>
        <v>Fire:Immune, Water:Immune, Instant Death:Immune, </v>
      </c>
      <c r="N18" s="2" t="str">
        <f>IFERROR(__xludf.DUMMYFUNCTION("""COMPUTED_VALUE"""),"Nature:100, ")</f>
        <v>Nature:100, </v>
      </c>
      <c r="O18" s="2"/>
      <c r="P18" s="2"/>
      <c r="Q18" s="2"/>
      <c r="R18" s="2"/>
      <c r="S18" s="2"/>
      <c r="T18" s="2"/>
      <c r="U18" s="2"/>
      <c r="V18" s="2"/>
      <c r="W18" s="2"/>
      <c r="X18" s="2"/>
      <c r="Y18" s="2"/>
      <c r="Z18" s="2"/>
      <c r="AA18" s="2"/>
      <c r="AB18" s="2"/>
      <c r="AC18" s="2"/>
      <c r="AD18" s="2"/>
      <c r="AE18" s="2"/>
      <c r="AF18" s="2"/>
      <c r="AG18" s="2"/>
      <c r="AH18" s="2"/>
      <c r="AI18" s="2"/>
      <c r="AJ18" s="2" t="str">
        <f>IFERROR(__xludf.DUMMYFUNCTION("""COMPUTED_VALUE"""),"Tail Smash")</f>
        <v>Tail Smash</v>
      </c>
      <c r="AK18" s="2" t="str">
        <f>IFERROR(__xludf.DUMMYFUNCTION("""COMPUTED_VALUE"""),"Full Impact")</f>
        <v>Full Impact</v>
      </c>
      <c r="AL18" s="2" t="str">
        <f>IFERROR(__xludf.DUMMYFUNCTION("""COMPUTED_VALUE"""),"Reckless Chomp ")</f>
        <v>Reckless Chomp </v>
      </c>
      <c r="AM18" s="2" t="str">
        <f>IFERROR(__xludf.DUMMYFUNCTION("""COMPUTED_VALUE"""),"Aggressive Chomp")</f>
        <v>Aggressive Chomp</v>
      </c>
      <c r="AN18" s="2" t="str">
        <f>IFERROR(__xludf.DUMMYFUNCTION("""COMPUTED_VALUE"""),"Crashing Waves (Enhanced)")</f>
        <v>Crashing Waves (Enhanced)</v>
      </c>
      <c r="AO18" s="2" t="str">
        <f>IFERROR(__xludf.DUMMYFUNCTION("""COMPUTED_VALUE"""),"Mass Destruction")</f>
        <v>Mass Destruction</v>
      </c>
      <c r="AP18" s="2" t="str">
        <f>IFERROR(__xludf.DUMMYFUNCTION("""COMPUTED_VALUE"""),"Berserk")</f>
        <v>Berserk</v>
      </c>
      <c r="AQ18" s="2" t="str">
        <f>IFERROR(__xludf.DUMMYFUNCTION("""COMPUTED_VALUE"""),"Multishot")</f>
        <v>Multishot</v>
      </c>
      <c r="AR18" s="2" t="str">
        <f>IFERROR(__xludf.DUMMYFUNCTION("""COMPUTED_VALUE"""),"Bite")</f>
        <v>Bite</v>
      </c>
      <c r="AS18" s="2" t="str">
        <f>IFERROR(__xludf.DUMMYFUNCTION("""COMPUTED_VALUE"""),"Distracting Blow")</f>
        <v>Distracting Blow</v>
      </c>
      <c r="AT18" s="2"/>
      <c r="AU18" s="2"/>
      <c r="AV18" s="2"/>
      <c r="AW18" s="2"/>
      <c r="AX18" s="2"/>
      <c r="AY18" s="2"/>
      <c r="AZ18" s="2"/>
      <c r="BA18" s="3"/>
      <c r="BB18" s="3"/>
      <c r="BC18" s="1"/>
      <c r="BD18" s="3">
        <f>IFERROR(__xludf.DUMMYFUNCTION("""COMPUTED_VALUE"""),0.0)</f>
        <v>0</v>
      </c>
      <c r="BE18" s="4">
        <f>IFERROR(__xludf.DUMMYFUNCTION("""COMPUTED_VALUE"""),10.0)</f>
        <v>10</v>
      </c>
      <c r="BF18" s="3" t="str">
        <f>IFERROR(__xludf.DUMMYFUNCTION("""COMPUTED_VALUE"""),"75% chance to be unaffected by any spells affecting this mob
Luck of the Sea II: +10 can be added to this mobs rolls.")</f>
        <v>75% chance to be unaffected by any spells affecting this mob
Luck of the Sea II: +10 can be added to this mobs rolls.</v>
      </c>
      <c r="BG18" s="3" t="str">
        <f>IFERROR(__xludf.DUMMYFUNCTION("""COMPUTED_VALUE"""),"Ocean")</f>
        <v>Ocean</v>
      </c>
      <c r="BH18" s="3" t="str">
        <f>IFERROR(__xludf.DUMMYFUNCTION("""COMPUTED_VALUE"""),"Land Of Spira")</f>
        <v>Land Of Spira</v>
      </c>
      <c r="BI18" s="3"/>
      <c r="BJ18" s="3"/>
      <c r="BK18" s="3"/>
      <c r="BL18" s="3" t="b">
        <f>IFERROR(__xludf.DUMMYFUNCTION("""COMPUTED_VALUE"""),FALSE)</f>
        <v>0</v>
      </c>
      <c r="BM18" s="3"/>
      <c r="BN18" s="3"/>
      <c r="BO18" s="3"/>
      <c r="BP18" s="3"/>
      <c r="BQ18" s="3"/>
      <c r="BR18" s="3"/>
      <c r="BS18" s="3"/>
      <c r="BT18" s="3"/>
      <c r="BU18" s="3"/>
      <c r="BV18" s="3"/>
      <c r="BW18" s="3"/>
    </row>
    <row r="19" ht="15.75" customHeight="1">
      <c r="A19" s="2" t="str">
        <f>IFERROR(__xludf.DUMMYFUNCTION("""COMPUTED_VALUE"""),"Ancient Skeleton Colossus")</f>
        <v>Ancient Skeleton Colossus</v>
      </c>
      <c r="B19" s="2">
        <f>IFERROR(__xludf.DUMMYFUNCTION("""COMPUTED_VALUE"""),1.0)</f>
        <v>1</v>
      </c>
      <c r="C19" s="1" t="str">
        <f>IFERROR(__xludf.DUMMYFUNCTION("""COMPUTED_VALUE"""),"The backstabbing Cunt of a Spira guardian, commonly gets his ass kicked in hand to hand combat by creatures not even an eigth his size.")</f>
        <v>The backstabbing Cunt of a Spira guardian, commonly gets his ass kicked in hand to hand combat by creatures not even an eigth his size.</v>
      </c>
      <c r="D19" s="6" t="str">
        <f>IFERROR(__xludf.DUMMYFUNCTION("""COMPUTED_VALUE"""),"Undead")</f>
        <v>Undead</v>
      </c>
      <c r="E19" s="6">
        <f>IFERROR(__xludf.DUMMYFUNCTION("""COMPUTED_VALUE"""),1010.0)</f>
        <v>1010</v>
      </c>
      <c r="F19" s="6">
        <f>IFERROR(__xludf.DUMMYFUNCTION("""COMPUTED_VALUE"""),1010.0)</f>
        <v>1010</v>
      </c>
      <c r="G19" s="6">
        <f>IFERROR(__xludf.DUMMYFUNCTION("""COMPUTED_VALUE"""),1010.0)</f>
        <v>1010</v>
      </c>
      <c r="H19" s="2">
        <f>IFERROR(__xludf.DUMMYFUNCTION("""COMPUTED_VALUE"""),20.0)</f>
        <v>20</v>
      </c>
      <c r="I19" s="2">
        <f>IFERROR(__xludf.DUMMYFUNCTION("""COMPUTED_VALUE"""),0.0)</f>
        <v>0</v>
      </c>
      <c r="J19" s="2">
        <f>IFERROR(__xludf.DUMMYFUNCTION("""COMPUTED_VALUE"""),0.0)</f>
        <v>0</v>
      </c>
      <c r="K19" s="2">
        <f>IFERROR(__xludf.DUMMYFUNCTION("""COMPUTED_VALUE"""),100.0)</f>
        <v>100</v>
      </c>
      <c r="L19" s="2">
        <f>IFERROR(__xludf.DUMMYFUNCTION("""COMPUTED_VALUE"""),100.0)</f>
        <v>100</v>
      </c>
      <c r="M19" s="2" t="str">
        <f>IFERROR(__xludf.DUMMYFUNCTION("""COMPUTED_VALUE"""),"Dark:Immune, Instant Death:Immune, Banishment:Immune, ")</f>
        <v>Dark:Immune, Instant Death:Immune, Banishment:Immune, </v>
      </c>
      <c r="N19" s="2" t="str">
        <f>IFERROR(__xludf.DUMMYFUNCTION("""COMPUTED_VALUE"""),"Fire:100, Light:100, ")</f>
        <v>Fire:100, Light:100, </v>
      </c>
      <c r="O19" s="2"/>
      <c r="P19" s="2"/>
      <c r="Q19" s="2"/>
      <c r="R19" s="2"/>
      <c r="S19" s="2"/>
      <c r="T19" s="2"/>
      <c r="U19" s="2"/>
      <c r="V19" s="2" t="str">
        <f>IFERROR(__xludf.DUMMYFUNCTION("""COMPUTED_VALUE"""),"Colossus Bone Sword")</f>
        <v>Colossus Bone Sword</v>
      </c>
      <c r="W19" s="2"/>
      <c r="X19" s="2"/>
      <c r="Y19" s="2"/>
      <c r="Z19" s="2"/>
      <c r="AA19" s="2"/>
      <c r="AB19" s="2"/>
      <c r="AC19" s="2"/>
      <c r="AD19" s="2"/>
      <c r="AE19" s="2"/>
      <c r="AF19" s="2"/>
      <c r="AG19" s="2"/>
      <c r="AH19" s="2"/>
      <c r="AI19" s="2"/>
      <c r="AJ19" s="2" t="str">
        <f>IFERROR(__xludf.DUMMYFUNCTION("""COMPUTED_VALUE"""),"Undead Energy")</f>
        <v>Undead Energy</v>
      </c>
      <c r="AK19" s="2" t="str">
        <f>IFERROR(__xludf.DUMMYFUNCTION("""COMPUTED_VALUE"""),"Dark Curse")</f>
        <v>Dark Curse</v>
      </c>
      <c r="AL19" s="2" t="str">
        <f>IFERROR(__xludf.DUMMYFUNCTION("""COMPUTED_VALUE"""),"Shadow Strike")</f>
        <v>Shadow Strike</v>
      </c>
      <c r="AM19" s="2" t="str">
        <f>IFERROR(__xludf.DUMMYFUNCTION("""COMPUTED_VALUE"""),"Darkest Abyss")</f>
        <v>Darkest Abyss</v>
      </c>
      <c r="AN19" s="2" t="str">
        <f>IFERROR(__xludf.DUMMYFUNCTION("""COMPUTED_VALUE"""),"Mass Destruction")</f>
        <v>Mass Destruction</v>
      </c>
      <c r="AO19" s="2" t="str">
        <f>IFERROR(__xludf.DUMMYFUNCTION("""COMPUTED_VALUE"""),"Multishot")</f>
        <v>Multishot</v>
      </c>
      <c r="AP19" s="2" t="str">
        <f>IFERROR(__xludf.DUMMYFUNCTION("""COMPUTED_VALUE"""),"Berserk")</f>
        <v>Berserk</v>
      </c>
      <c r="AQ19" s="2" t="str">
        <f>IFERROR(__xludf.DUMMYFUNCTION("""COMPUTED_VALUE"""),"Punch")</f>
        <v>Punch</v>
      </c>
      <c r="AR19" s="2"/>
      <c r="AS19" s="2"/>
      <c r="AT19" s="2"/>
      <c r="AU19" s="2"/>
      <c r="AV19" s="2"/>
      <c r="AW19" s="2"/>
      <c r="AX19" s="2"/>
      <c r="AY19" s="2"/>
      <c r="AZ19" s="2"/>
      <c r="BA19" s="3"/>
      <c r="BB19" s="3"/>
      <c r="BC19" s="1"/>
      <c r="BD19" s="3">
        <f>IFERROR(__xludf.DUMMYFUNCTION("""COMPUTED_VALUE"""),20.0)</f>
        <v>20</v>
      </c>
      <c r="BE19" s="4">
        <f>IFERROR(__xludf.DUMMYFUNCTION("""COMPUTED_VALUE"""),20.0)</f>
        <v>20</v>
      </c>
      <c r="BF19" s="3" t="str">
        <f>IFERROR(__xludf.DUMMYFUNCTION("""COMPUTED_VALUE"""),"75% chance to be unaffected by any spells affecting this mob
A Dark Calling II: +10 can be added to this mobs rolls.
Undead: Can only be killed by light, fire, or celestial.")</f>
        <v>75% chance to be unaffected by any spells affecting this mob
A Dark Calling II: +10 can be added to this mobs rolls.
Undead: Can only be killed by light, fire, or celestial.</v>
      </c>
      <c r="BG19" s="3" t="str">
        <f>IFERROR(__xludf.DUMMYFUNCTION("""COMPUTED_VALUE"""),"All")</f>
        <v>All</v>
      </c>
      <c r="BH19" s="3" t="str">
        <f>IFERROR(__xludf.DUMMYFUNCTION("""COMPUTED_VALUE"""),"Land Of Spira")</f>
        <v>Land Of Spira</v>
      </c>
      <c r="BI19" s="3"/>
      <c r="BJ19" s="3"/>
      <c r="BK19" s="3"/>
      <c r="BL19" s="3" t="b">
        <f>IFERROR(__xludf.DUMMYFUNCTION("""COMPUTED_VALUE"""),FALSE)</f>
        <v>0</v>
      </c>
      <c r="BM19" s="3"/>
      <c r="BN19" s="3"/>
      <c r="BO19" s="3"/>
      <c r="BP19" s="3"/>
      <c r="BQ19" s="3"/>
      <c r="BR19" s="3"/>
      <c r="BS19" s="3"/>
      <c r="BT19" s="3"/>
      <c r="BU19" s="3"/>
      <c r="BV19" s="3"/>
      <c r="BW19" s="3"/>
    </row>
    <row r="20" ht="15.75" customHeight="1">
      <c r="A20" s="2" t="str">
        <f>IFERROR(__xludf.DUMMYFUNCTION("""COMPUTED_VALUE"""),"Ancient Stone Guard")</f>
        <v>Ancient Stone Guard</v>
      </c>
      <c r="B20" s="2">
        <f>IFERROR(__xludf.DUMMYFUNCTION("""COMPUTED_VALUE"""),1.0)</f>
        <v>1</v>
      </c>
      <c r="C20" s="1" t="str">
        <f>IFERROR(__xludf.DUMMYFUNCTION("""COMPUTED_VALUE"""),"These poor bastards have been stuck in the various crypts and tombs of Spira for centuries without a single break.")</f>
        <v>These poor bastards have been stuck in the various crypts and tombs of Spira for centuries without a single break.</v>
      </c>
      <c r="D20" s="5" t="str">
        <f>IFERROR(__xludf.DUMMYFUNCTION("""COMPUTED_VALUE"""),"Construct")</f>
        <v>Construct</v>
      </c>
      <c r="E20" s="5">
        <f>IFERROR(__xludf.DUMMYFUNCTION("""COMPUTED_VALUE"""),1010.0)</f>
        <v>1010</v>
      </c>
      <c r="F20" s="5">
        <f>IFERROR(__xludf.DUMMYFUNCTION("""COMPUTED_VALUE"""),1010.0)</f>
        <v>1010</v>
      </c>
      <c r="G20" s="5">
        <f>IFERROR(__xludf.DUMMYFUNCTION("""COMPUTED_VALUE"""),1010.0)</f>
        <v>1010</v>
      </c>
      <c r="H20" s="2">
        <f>IFERROR(__xludf.DUMMYFUNCTION("""COMPUTED_VALUE"""),10.0)</f>
        <v>10</v>
      </c>
      <c r="I20" s="2">
        <f>IFERROR(__xludf.DUMMYFUNCTION("""COMPUTED_VALUE"""),0.0)</f>
        <v>0</v>
      </c>
      <c r="J20" s="5">
        <f>IFERROR(__xludf.DUMMYFUNCTION("""COMPUTED_VALUE"""),0.0)</f>
        <v>0</v>
      </c>
      <c r="K20" s="5">
        <f>IFERROR(__xludf.DUMMYFUNCTION("""COMPUTED_VALUE"""),100.0)</f>
        <v>100</v>
      </c>
      <c r="L20" s="2">
        <f>IFERROR(__xludf.DUMMYFUNCTION("""COMPUTED_VALUE"""),100.0)</f>
        <v>100</v>
      </c>
      <c r="M20" s="2" t="str">
        <f>IFERROR(__xludf.DUMMYFUNCTION("""COMPUTED_VALUE"""),"Earth:Immune, Light:100, Order:Immune, ")</f>
        <v>Earth:Immune, Light:100, Order:Immune, </v>
      </c>
      <c r="N20" s="2" t="str">
        <f>IFERROR(__xludf.DUMMYFUNCTION("""COMPUTED_VALUE"""),"Water:100, Storm:100, Dark:100, Chaos:100, ")</f>
        <v>Water:100, Storm:100, Dark:100, Chaos:100, </v>
      </c>
      <c r="O20" s="2"/>
      <c r="P20" s="2"/>
      <c r="Q20" s="2"/>
      <c r="R20" s="2"/>
      <c r="S20" s="2"/>
      <c r="T20" s="2"/>
      <c r="U20" s="2"/>
      <c r="V20" s="2"/>
      <c r="W20" s="2" t="str">
        <f>IFERROR(__xludf.DUMMYFUNCTION("""COMPUTED_VALUE"""),"Ancient Stone Guardians Sword")</f>
        <v>Ancient Stone Guardians Sword</v>
      </c>
      <c r="X20" s="2"/>
      <c r="Y20" s="2"/>
      <c r="Z20" s="2"/>
      <c r="AA20" s="2"/>
      <c r="AB20" s="2"/>
      <c r="AC20" s="2"/>
      <c r="AD20" s="2"/>
      <c r="AE20" s="2"/>
      <c r="AF20" s="2"/>
      <c r="AG20" s="2"/>
      <c r="AH20" s="2"/>
      <c r="AI20" s="2"/>
      <c r="AJ20" s="2" t="str">
        <f>IFERROR(__xludf.DUMMYFUNCTION("""COMPUTED_VALUE"""),"Arrest")</f>
        <v>Arrest</v>
      </c>
      <c r="AK20" s="2" t="str">
        <f>IFERROR(__xludf.DUMMYFUNCTION("""COMPUTED_VALUE"""),"Earthquake")</f>
        <v>Earthquake</v>
      </c>
      <c r="AL20" s="2" t="str">
        <f>IFERROR(__xludf.DUMMYFUNCTION("""COMPUTED_VALUE"""),"Rock Cycle")</f>
        <v>Rock Cycle</v>
      </c>
      <c r="AM20" s="2" t="str">
        <f>IFERROR(__xludf.DUMMYFUNCTION("""COMPUTED_VALUE"""),"Mud Wave")</f>
        <v>Mud Wave</v>
      </c>
      <c r="AN20" s="2" t="str">
        <f>IFERROR(__xludf.DUMMYFUNCTION("""COMPUTED_VALUE"""),"Obliterating Light of Blindness")</f>
        <v>Obliterating Light of Blindness</v>
      </c>
      <c r="AO20" s="2" t="str">
        <f>IFERROR(__xludf.DUMMYFUNCTION("""COMPUTED_VALUE"""),"Berserk")</f>
        <v>Berserk</v>
      </c>
      <c r="AP20" s="2" t="str">
        <f>IFERROR(__xludf.DUMMYFUNCTION("""COMPUTED_VALUE"""),"Confiscate")</f>
        <v>Confiscate</v>
      </c>
      <c r="AQ20" s="2" t="str">
        <f>IFERROR(__xludf.DUMMYFUNCTION("""COMPUTED_VALUE"""),"Mass Destruction")</f>
        <v>Mass Destruction</v>
      </c>
      <c r="AR20" s="2"/>
      <c r="AS20" s="2"/>
      <c r="AT20" s="2"/>
      <c r="AU20" s="2"/>
      <c r="AV20" s="2"/>
      <c r="AW20" s="2"/>
      <c r="AX20" s="2"/>
      <c r="AY20" s="2"/>
      <c r="AZ20" s="2"/>
      <c r="BA20" s="3"/>
      <c r="BB20" s="3"/>
      <c r="BC20" s="1"/>
      <c r="BD20" s="3">
        <f>IFERROR(__xludf.DUMMYFUNCTION("""COMPUTED_VALUE"""),10.0)</f>
        <v>10</v>
      </c>
      <c r="BE20" s="4">
        <f>IFERROR(__xludf.DUMMYFUNCTION("""COMPUTED_VALUE"""),10.0)</f>
        <v>10</v>
      </c>
      <c r="BF20" s="3" t="str">
        <f>IFERROR(__xludf.DUMMYFUNCTION("""COMPUTED_VALUE"""),"50% chance to be unaffected by any spells affecting this mob
50% Chance to dodge any attack without fail. 
Guards Reinforcement: 5 can be added to the casters d20 roll.")</f>
        <v>50% chance to be unaffected by any spells affecting this mob
50% Chance to dodge any attack without fail. 
Guards Reinforcement: 5 can be added to the casters d20 roll.</v>
      </c>
      <c r="BG20" s="3" t="str">
        <f>IFERROR(__xludf.DUMMYFUNCTION("""COMPUTED_VALUE"""),"Mountains")</f>
        <v>Mountains</v>
      </c>
      <c r="BH20" s="3" t="str">
        <f>IFERROR(__xludf.DUMMYFUNCTION("""COMPUTED_VALUE"""),"Land Of Spira")</f>
        <v>Land Of Spira</v>
      </c>
      <c r="BI20" s="3"/>
      <c r="BJ20" s="3"/>
      <c r="BK20" s="3"/>
      <c r="BL20" s="3" t="b">
        <f>IFERROR(__xludf.DUMMYFUNCTION("""COMPUTED_VALUE"""),FALSE)</f>
        <v>0</v>
      </c>
      <c r="BM20" s="3"/>
      <c r="BN20" s="3"/>
      <c r="BO20" s="3"/>
      <c r="BP20" s="3"/>
      <c r="BQ20" s="3"/>
      <c r="BR20" s="3"/>
      <c r="BS20" s="3"/>
      <c r="BT20" s="3"/>
      <c r="BU20" s="3"/>
      <c r="BV20" s="3"/>
      <c r="BW20" s="3"/>
    </row>
    <row r="21" ht="15.75" customHeight="1">
      <c r="A21" s="2" t="str">
        <f>IFERROR(__xludf.DUMMYFUNCTION("""COMPUTED_VALUE"""),"Ancient Tree Of Flames")</f>
        <v>Ancient Tree Of Flames</v>
      </c>
      <c r="B21" s="2">
        <f>IFERROR(__xludf.DUMMYFUNCTION("""COMPUTED_VALUE"""),1.0)</f>
        <v>1</v>
      </c>
      <c r="C21" s="1" t="str">
        <f>IFERROR(__xludf.DUMMYFUNCTION("""COMPUTED_VALUE"""),"A warning to Forestview, you're next.")</f>
        <v>A warning to Forestview, you're next.</v>
      </c>
      <c r="D21" s="5" t="str">
        <f>IFERROR(__xludf.DUMMYFUNCTION("""COMPUTED_VALUE"""),"Monstrosity")</f>
        <v>Monstrosity</v>
      </c>
      <c r="E21" s="5">
        <f>IFERROR(__xludf.DUMMYFUNCTION("""COMPUTED_VALUE"""),1010.0)</f>
        <v>1010</v>
      </c>
      <c r="F21" s="5">
        <f>IFERROR(__xludf.DUMMYFUNCTION("""COMPUTED_VALUE"""),1010.0)</f>
        <v>1010</v>
      </c>
      <c r="G21" s="5">
        <f>IFERROR(__xludf.DUMMYFUNCTION("""COMPUTED_VALUE"""),1010.0)</f>
        <v>1010</v>
      </c>
      <c r="H21" s="2">
        <f>IFERROR(__xludf.DUMMYFUNCTION("""COMPUTED_VALUE"""),10.0)</f>
        <v>10</v>
      </c>
      <c r="I21" s="2">
        <f>IFERROR(__xludf.DUMMYFUNCTION("""COMPUTED_VALUE"""),0.0)</f>
        <v>0</v>
      </c>
      <c r="J21" s="2">
        <f>IFERROR(__xludf.DUMMYFUNCTION("""COMPUTED_VALUE"""),0.0)</f>
        <v>0</v>
      </c>
      <c r="K21" s="2">
        <f>IFERROR(__xludf.DUMMYFUNCTION("""COMPUTED_VALUE"""),100.0)</f>
        <v>100</v>
      </c>
      <c r="L21" s="2">
        <f>IFERROR(__xludf.DUMMYFUNCTION("""COMPUTED_VALUE"""),100.0)</f>
        <v>100</v>
      </c>
      <c r="M21" s="2" t="str">
        <f>IFERROR(__xludf.DUMMYFUNCTION("""COMPUTED_VALUE"""),"Nature:Immune, ")</f>
        <v>Nature:Immune, </v>
      </c>
      <c r="N21" s="2" t="str">
        <f>IFERROR(__xludf.DUMMYFUNCTION("""COMPUTED_VALUE"""),"Water:100, ")</f>
        <v>Water:100, </v>
      </c>
      <c r="O21" s="2"/>
      <c r="P21" s="2"/>
      <c r="Q21" s="2"/>
      <c r="R21" s="2"/>
      <c r="S21" s="2"/>
      <c r="T21" s="2"/>
      <c r="U21" s="2"/>
      <c r="V21" s="2"/>
      <c r="W21" s="2"/>
      <c r="X21" s="2"/>
      <c r="Y21" s="2"/>
      <c r="Z21" s="2"/>
      <c r="AA21" s="2"/>
      <c r="AB21" s="2"/>
      <c r="AC21" s="2"/>
      <c r="AD21" s="2"/>
      <c r="AE21" s="2"/>
      <c r="AF21" s="2"/>
      <c r="AG21" s="2"/>
      <c r="AH21" s="2"/>
      <c r="AI21" s="2"/>
      <c r="AJ21" s="2" t="str">
        <f>IFERROR(__xludf.DUMMYFUNCTION("""COMPUTED_VALUE"""),"Last resort")</f>
        <v>Last resort</v>
      </c>
      <c r="AK21" s="2"/>
      <c r="AL21" s="2"/>
      <c r="AM21" s="2"/>
      <c r="AN21" s="2"/>
      <c r="AO21" s="2"/>
      <c r="AP21" s="2"/>
      <c r="AQ21" s="2"/>
      <c r="AR21" s="2"/>
      <c r="AS21" s="2"/>
      <c r="AT21" s="2"/>
      <c r="AU21" s="2"/>
      <c r="AV21" s="2"/>
      <c r="AW21" s="2"/>
      <c r="AX21" s="2"/>
      <c r="AY21" s="2"/>
      <c r="AZ21" s="2"/>
      <c r="BA21" s="3"/>
      <c r="BB21" s="3"/>
      <c r="BC21" s="1"/>
      <c r="BD21" s="3">
        <f>IFERROR(__xludf.DUMMYFUNCTION("""COMPUTED_VALUE"""),0.0)</f>
        <v>0</v>
      </c>
      <c r="BE21" s="4">
        <f>IFERROR(__xludf.DUMMYFUNCTION("""COMPUTED_VALUE"""),10.0)</f>
        <v>10</v>
      </c>
      <c r="BF21" s="3" t="str">
        <f>IFERROR(__xludf.DUMMYFUNCTION("""COMPUTED_VALUE"""),"Ancient Flame Charge: +5 is added to turn order for caster.
Ignores all defense")</f>
        <v>Ancient Flame Charge: +5 is added to turn order for caster.
Ignores all defense</v>
      </c>
      <c r="BG21" s="3" t="str">
        <f>IFERROR(__xludf.DUMMYFUNCTION("""COMPUTED_VALUE"""),"Tundra")</f>
        <v>Tundra</v>
      </c>
      <c r="BH21" s="3" t="str">
        <f>IFERROR(__xludf.DUMMYFUNCTION("""COMPUTED_VALUE"""),"Land Of Spira")</f>
        <v>Land Of Spira</v>
      </c>
      <c r="BI21" s="3"/>
      <c r="BJ21" s="3"/>
      <c r="BK21" s="3"/>
      <c r="BL21" s="3" t="b">
        <f>IFERROR(__xludf.DUMMYFUNCTION("""COMPUTED_VALUE"""),FALSE)</f>
        <v>0</v>
      </c>
      <c r="BM21" s="3"/>
      <c r="BN21" s="3"/>
      <c r="BO21" s="3"/>
      <c r="BP21" s="3"/>
      <c r="BQ21" s="3"/>
      <c r="BR21" s="3"/>
      <c r="BS21" s="3"/>
      <c r="BT21" s="3"/>
      <c r="BU21" s="3"/>
      <c r="BV21" s="3"/>
      <c r="BW21" s="3"/>
    </row>
    <row r="22" ht="15.75" customHeight="1">
      <c r="A22" s="2" t="str">
        <f>IFERROR(__xludf.DUMMYFUNCTION("""COMPUTED_VALUE"""),"Volcanic Worm")</f>
        <v>Volcanic Worm</v>
      </c>
      <c r="B22" s="2">
        <f>IFERROR(__xludf.DUMMYFUNCTION("""COMPUTED_VALUE"""),1.0)</f>
        <v>1</v>
      </c>
      <c r="C22" s="1" t="str">
        <f>IFERROR(__xludf.DUMMYFUNCTION("""COMPUTED_VALUE"""),"Big slithery thing that will absolutely fucking eat you.")</f>
        <v>Big slithery thing that will absolutely fucking eat you.</v>
      </c>
      <c r="D22" s="5" t="str">
        <f>IFERROR(__xludf.DUMMYFUNCTION("""COMPUTED_VALUE"""),"Monstrosity")</f>
        <v>Monstrosity</v>
      </c>
      <c r="E22" s="5">
        <f>IFERROR(__xludf.DUMMYFUNCTION("""COMPUTED_VALUE"""),1010.0)</f>
        <v>1010</v>
      </c>
      <c r="F22" s="5">
        <f>IFERROR(__xludf.DUMMYFUNCTION("""COMPUTED_VALUE"""),1010.0)</f>
        <v>1010</v>
      </c>
      <c r="G22" s="5">
        <f>IFERROR(__xludf.DUMMYFUNCTION("""COMPUTED_VALUE"""),1010.0)</f>
        <v>1010</v>
      </c>
      <c r="H22" s="2">
        <f>IFERROR(__xludf.DUMMYFUNCTION("""COMPUTED_VALUE"""),10.0)</f>
        <v>10</v>
      </c>
      <c r="I22" s="2">
        <f>IFERROR(__xludf.DUMMYFUNCTION("""COMPUTED_VALUE"""),0.0)</f>
        <v>0</v>
      </c>
      <c r="J22" s="2">
        <f>IFERROR(__xludf.DUMMYFUNCTION("""COMPUTED_VALUE"""),0.0)</f>
        <v>0</v>
      </c>
      <c r="K22" s="2">
        <f>IFERROR(__xludf.DUMMYFUNCTION("""COMPUTED_VALUE"""),100.0)</f>
        <v>100</v>
      </c>
      <c r="L22" s="2">
        <f>IFERROR(__xludf.DUMMYFUNCTION("""COMPUTED_VALUE"""),100.0)</f>
        <v>100</v>
      </c>
      <c r="M22" s="2" t="str">
        <f>IFERROR(__xludf.DUMMYFUNCTION("""COMPUTED_VALUE"""),"Fire:100, Nature:Immune, Instant Death:Immune, ")</f>
        <v>Fire:100, Nature:Immune, Instant Death:Immune, </v>
      </c>
      <c r="N22" s="2" t="str">
        <f>IFERROR(__xludf.DUMMYFUNCTION("""COMPUTED_VALUE"""),"Water:100, ")</f>
        <v>Water:100, </v>
      </c>
      <c r="O22" s="2"/>
      <c r="P22" s="2"/>
      <c r="Q22" s="2"/>
      <c r="R22" s="2"/>
      <c r="S22" s="2"/>
      <c r="T22" s="2"/>
      <c r="U22" s="2"/>
      <c r="V22" s="2"/>
      <c r="W22" s="2"/>
      <c r="X22" s="2"/>
      <c r="Y22" s="2"/>
      <c r="Z22" s="2"/>
      <c r="AA22" s="2"/>
      <c r="AB22" s="2"/>
      <c r="AC22" s="2"/>
      <c r="AD22" s="2"/>
      <c r="AE22" s="2"/>
      <c r="AF22" s="2"/>
      <c r="AG22" s="2"/>
      <c r="AH22" s="2"/>
      <c r="AI22" s="2"/>
      <c r="AJ22" s="2" t="str">
        <f>IFERROR(__xludf.DUMMYFUNCTION("""COMPUTED_VALUE"""),"Absorb")</f>
        <v>Absorb</v>
      </c>
      <c r="AK22" s="2" t="str">
        <f>IFERROR(__xludf.DUMMYFUNCTION("""COMPUTED_VALUE"""),"Absorb Enemy ")</f>
        <v>Absorb Enemy </v>
      </c>
      <c r="AL22" s="2" t="str">
        <f>IFERROR(__xludf.DUMMYFUNCTION("""COMPUTED_VALUE"""),"Mass Ignition")</f>
        <v>Mass Ignition</v>
      </c>
      <c r="AM22" s="2" t="str">
        <f>IFERROR(__xludf.DUMMYFUNCTION("""COMPUTED_VALUE"""),"Meteor Shower")</f>
        <v>Meteor Shower</v>
      </c>
      <c r="AN22" s="2" t="str">
        <f>IFERROR(__xludf.DUMMYFUNCTION("""COMPUTED_VALUE"""),"Forgotten Fire")</f>
        <v>Forgotten Fire</v>
      </c>
      <c r="AO22" s="2" t="str">
        <f>IFERROR(__xludf.DUMMYFUNCTION("""COMPUTED_VALUE"""),"Lesser Nova")</f>
        <v>Lesser Nova</v>
      </c>
      <c r="AP22" s="2" t="str">
        <f>IFERROR(__xludf.DUMMYFUNCTION("""COMPUTED_VALUE"""),"Celestial blast")</f>
        <v>Celestial blast</v>
      </c>
      <c r="AQ22" s="2" t="str">
        <f>IFERROR(__xludf.DUMMYFUNCTION("""COMPUTED_VALUE"""),"Berserk")</f>
        <v>Berserk</v>
      </c>
      <c r="AR22" s="2"/>
      <c r="AS22" s="2"/>
      <c r="AT22" s="2"/>
      <c r="AU22" s="2"/>
      <c r="AV22" s="2"/>
      <c r="AW22" s="2"/>
      <c r="AX22" s="2"/>
      <c r="AY22" s="2"/>
      <c r="AZ22" s="2"/>
      <c r="BA22" s="3"/>
      <c r="BB22" s="3"/>
      <c r="BC22" s="1"/>
      <c r="BD22" s="3">
        <f>IFERROR(__xludf.DUMMYFUNCTION("""COMPUTED_VALUE"""),0.0)</f>
        <v>0</v>
      </c>
      <c r="BE22" s="4">
        <f>IFERROR(__xludf.DUMMYFUNCTION("""COMPUTED_VALUE"""),15.0)</f>
        <v>15</v>
      </c>
      <c r="BF22" s="3" t="str">
        <f>IFERROR(__xludf.DUMMYFUNCTION("""COMPUTED_VALUE"""),"Absorb Attack (Enhanced): has a 75% to absorb an attack or spell.")</f>
        <v>Absorb Attack (Enhanced): has a 75% to absorb an attack or spell.</v>
      </c>
      <c r="BG22" s="3" t="str">
        <f>IFERROR(__xludf.DUMMYFUNCTION("""COMPUTED_VALUE"""),"Tundra")</f>
        <v>Tundra</v>
      </c>
      <c r="BH22" s="3" t="str">
        <f>IFERROR(__xludf.DUMMYFUNCTION("""COMPUTED_VALUE"""),"Land Of Spira")</f>
        <v>Land Of Spira</v>
      </c>
      <c r="BI22" s="3"/>
      <c r="BJ22" s="3"/>
      <c r="BK22" s="3"/>
      <c r="BL22" s="3" t="b">
        <f>IFERROR(__xludf.DUMMYFUNCTION("""COMPUTED_VALUE"""),FALSE)</f>
        <v>0</v>
      </c>
      <c r="BM22" s="3"/>
      <c r="BN22" s="3"/>
      <c r="BO22" s="3"/>
      <c r="BP22" s="3"/>
      <c r="BQ22" s="3"/>
      <c r="BR22" s="3"/>
      <c r="BS22" s="3"/>
      <c r="BT22" s="3"/>
      <c r="BU22" s="3"/>
      <c r="BV22" s="3"/>
      <c r="BW22" s="3"/>
    </row>
    <row r="23" ht="15.75" customHeight="1">
      <c r="A23" s="2" t="str">
        <f>IFERROR(__xludf.DUMMYFUNCTION("""COMPUTED_VALUE"""),"Water Dragon (WD)")</f>
        <v>Water Dragon (WD)</v>
      </c>
      <c r="B23" s="2">
        <f>IFERROR(__xludf.DUMMYFUNCTION("""COMPUTED_VALUE"""),1.0)</f>
        <v>1</v>
      </c>
      <c r="C23" s="1" t="str">
        <f>IFERROR(__xludf.DUMMYFUNCTION("""COMPUTED_VALUE"""),"The mighty Dragon of the sea lays slumbering in the depths of the water dungeon killing all who dare to disturb it's slumber.")</f>
        <v>The mighty Dragon of the sea lays slumbering in the depths of the water dungeon killing all who dare to disturb it's slumber.</v>
      </c>
      <c r="D23" s="6" t="str">
        <f>IFERROR(__xludf.DUMMYFUNCTION("""COMPUTED_VALUE"""),"Draconic")</f>
        <v>Draconic</v>
      </c>
      <c r="E23" s="6">
        <f>IFERROR(__xludf.DUMMYFUNCTION("""COMPUTED_VALUE"""),1010.0)</f>
        <v>1010</v>
      </c>
      <c r="F23" s="6">
        <f>IFERROR(__xludf.DUMMYFUNCTION("""COMPUTED_VALUE"""),1010.0)</f>
        <v>1010</v>
      </c>
      <c r="G23" s="6">
        <f>IFERROR(__xludf.DUMMYFUNCTION("""COMPUTED_VALUE"""),1010.0)</f>
        <v>1010</v>
      </c>
      <c r="H23" s="2">
        <f>IFERROR(__xludf.DUMMYFUNCTION("""COMPUTED_VALUE"""),10.0)</f>
        <v>10</v>
      </c>
      <c r="I23" s="2">
        <f>IFERROR(__xludf.DUMMYFUNCTION("""COMPUTED_VALUE"""),0.0)</f>
        <v>0</v>
      </c>
      <c r="J23" s="2">
        <f>IFERROR(__xludf.DUMMYFUNCTION("""COMPUTED_VALUE"""),0.0)</f>
        <v>0</v>
      </c>
      <c r="K23" s="2">
        <f>IFERROR(__xludf.DUMMYFUNCTION("""COMPUTED_VALUE"""),100.0)</f>
        <v>100</v>
      </c>
      <c r="L23" s="2">
        <f>IFERROR(__xludf.DUMMYFUNCTION("""COMPUTED_VALUE"""),100.0)</f>
        <v>100</v>
      </c>
      <c r="M23" s="2" t="str">
        <f>IFERROR(__xludf.DUMMYFUNCTION("""COMPUTED_VALUE"""),"Fire:Immune, Water:Immune, Instant Death:Immune, Banishment:Immune, ")</f>
        <v>Fire:Immune, Water:Immune, Instant Death:Immune, Banishment:Immune, </v>
      </c>
      <c r="N23" s="2" t="str">
        <f>IFERROR(__xludf.DUMMYFUNCTION("""COMPUTED_VALUE"""),"Nature:100, ")</f>
        <v>Nature:100, </v>
      </c>
      <c r="O23" s="2"/>
      <c r="P23" s="2"/>
      <c r="Q23" s="2"/>
      <c r="R23" s="2"/>
      <c r="S23" s="2"/>
      <c r="T23" s="2"/>
      <c r="U23" s="2"/>
      <c r="V23" s="2"/>
      <c r="W23" s="2"/>
      <c r="X23" s="2"/>
      <c r="Y23" s="2"/>
      <c r="Z23" s="2"/>
      <c r="AA23" s="2"/>
      <c r="AB23" s="2"/>
      <c r="AC23" s="2"/>
      <c r="AD23" s="2"/>
      <c r="AE23" s="2"/>
      <c r="AF23" s="2"/>
      <c r="AG23" s="2"/>
      <c r="AH23" s="2"/>
      <c r="AI23" s="2"/>
      <c r="AJ23" s="2" t="str">
        <f>IFERROR(__xludf.DUMMYFUNCTION("""COMPUTED_VALUE"""),"Dragon's Breath")</f>
        <v>Dragon's Breath</v>
      </c>
      <c r="AK23" s="2" t="str">
        <f>IFERROR(__xludf.DUMMYFUNCTION("""COMPUTED_VALUE"""),"Bite")</f>
        <v>Bite</v>
      </c>
      <c r="AL23" s="2" t="str">
        <f>IFERROR(__xludf.DUMMYFUNCTION("""COMPUTED_VALUE"""),"Tail Smash")</f>
        <v>Tail Smash</v>
      </c>
      <c r="AM23" s="2" t="str">
        <f>IFERROR(__xludf.DUMMYFUNCTION("""COMPUTED_VALUE"""),"Claws")</f>
        <v>Claws</v>
      </c>
      <c r="AN23" s="2" t="str">
        <f>IFERROR(__xludf.DUMMYFUNCTION("""COMPUTED_VALUE"""),"Berserk")</f>
        <v>Berserk</v>
      </c>
      <c r="AO23" s="2" t="str">
        <f>IFERROR(__xludf.DUMMYFUNCTION("""COMPUTED_VALUE"""),"Multishot")</f>
        <v>Multishot</v>
      </c>
      <c r="AP23" s="2" t="str">
        <f>IFERROR(__xludf.DUMMYFUNCTION("""COMPUTED_VALUE"""),"Draconic Scream")</f>
        <v>Draconic Scream</v>
      </c>
      <c r="AQ23" s="2" t="str">
        <f>IFERROR(__xludf.DUMMYFUNCTION("""COMPUTED_VALUE"""),"Crashing Waves")</f>
        <v>Crashing Waves</v>
      </c>
      <c r="AR23" s="2" t="str">
        <f>IFERROR(__xludf.DUMMYFUNCTION("""COMPUTED_VALUE"""),"Celestial Wrath")</f>
        <v>Celestial Wrath</v>
      </c>
      <c r="AS23" s="2"/>
      <c r="AT23" s="2"/>
      <c r="AU23" s="2"/>
      <c r="AV23" s="2"/>
      <c r="AW23" s="2"/>
      <c r="AX23" s="2"/>
      <c r="AY23" s="2"/>
      <c r="AZ23" s="2"/>
      <c r="BA23" s="3"/>
      <c r="BB23" s="3"/>
      <c r="BC23" s="1"/>
      <c r="BD23" s="3">
        <f>IFERROR(__xludf.DUMMYFUNCTION("""COMPUTED_VALUE"""),0.0)</f>
        <v>0</v>
      </c>
      <c r="BE23" s="4">
        <f>IFERROR(__xludf.DUMMYFUNCTION("""COMPUTED_VALUE"""),10.0)</f>
        <v>10</v>
      </c>
      <c r="BF23" s="3"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23" s="3" t="str">
        <f>IFERROR(__xludf.DUMMYFUNCTION("""COMPUTED_VALUE"""),"Ocean")</f>
        <v>Ocean</v>
      </c>
      <c r="BH23" s="3" t="str">
        <f>IFERROR(__xludf.DUMMYFUNCTION("""COMPUTED_VALUE"""),"Land Of Spira")</f>
        <v>Land Of Spira</v>
      </c>
      <c r="BI23" s="3"/>
      <c r="BJ23" s="3"/>
      <c r="BK23" s="3"/>
      <c r="BL23" s="3" t="b">
        <f>IFERROR(__xludf.DUMMYFUNCTION("""COMPUTED_VALUE"""),FALSE)</f>
        <v>0</v>
      </c>
      <c r="BM23" s="3"/>
      <c r="BN23" s="3"/>
      <c r="BO23" s="3"/>
      <c r="BP23" s="3"/>
      <c r="BQ23" s="3"/>
      <c r="BR23" s="3"/>
      <c r="BS23" s="3"/>
      <c r="BT23" s="3"/>
      <c r="BU23" s="3"/>
      <c r="BV23" s="3"/>
      <c r="BW23" s="3"/>
    </row>
    <row r="24" ht="15.75" customHeight="1">
      <c r="A24" s="2"/>
      <c r="B24" s="2">
        <f>IFERROR(__xludf.DUMMYFUNCTION("""COMPUTED_VALUE"""),1.0)</f>
        <v>1</v>
      </c>
      <c r="C24" s="1" t="str">
        <f>IFERROR(__xludf.DUMMYFUNCTION("""COMPUTED_VALUE"""),"Brought back to life and freed from it's shackles, it is reasonably pissed about being woken up and that is suddenly about to become your problem.")</f>
        <v>Brought back to life and freed from it's shackles, it is reasonably pissed about being woken up and that is suddenly about to become your problem.</v>
      </c>
      <c r="D24" s="5" t="str">
        <f>IFERROR(__xludf.DUMMYFUNCTION("""COMPUTED_VALUE"""),"Draconic")</f>
        <v>Draconic</v>
      </c>
      <c r="E24" s="5">
        <f>IFERROR(__xludf.DUMMYFUNCTION("""COMPUTED_VALUE"""),1010.0)</f>
        <v>1010</v>
      </c>
      <c r="F24" s="5">
        <f>IFERROR(__xludf.DUMMYFUNCTION("""COMPUTED_VALUE"""),1010.0)</f>
        <v>1010</v>
      </c>
      <c r="G24" s="5">
        <f>IFERROR(__xludf.DUMMYFUNCTION("""COMPUTED_VALUE"""),1010.0)</f>
        <v>1010</v>
      </c>
      <c r="H24" s="2">
        <f>IFERROR(__xludf.DUMMYFUNCTION("""COMPUTED_VALUE"""),10.0)</f>
        <v>10</v>
      </c>
      <c r="I24" s="2">
        <f>IFERROR(__xludf.DUMMYFUNCTION("""COMPUTED_VALUE"""),0.0)</f>
        <v>0</v>
      </c>
      <c r="J24" s="2">
        <f>IFERROR(__xludf.DUMMYFUNCTION("""COMPUTED_VALUE"""),0.0)</f>
        <v>0</v>
      </c>
      <c r="K24" s="2">
        <f>IFERROR(__xludf.DUMMYFUNCTION("""COMPUTED_VALUE"""),100.0)</f>
        <v>100</v>
      </c>
      <c r="L24" s="2">
        <f>IFERROR(__xludf.DUMMYFUNCTION("""COMPUTED_VALUE"""),100.0)</f>
        <v>100</v>
      </c>
      <c r="M24" s="2" t="str">
        <f>IFERROR(__xludf.DUMMYFUNCTION("""COMPUTED_VALUE"""),"#N/A")</f>
        <v>#N/A</v>
      </c>
      <c r="N24" s="2" t="str">
        <f>IFERROR(__xludf.DUMMYFUNCTION("""COMPUTED_VALUE"""),"#N/A")</f>
        <v>#N/A</v>
      </c>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3"/>
      <c r="BB24" s="3"/>
      <c r="BC24" s="1"/>
      <c r="BD24" s="3">
        <f>IFERROR(__xludf.DUMMYFUNCTION("""COMPUTED_VALUE"""),0.0)</f>
        <v>0</v>
      </c>
      <c r="BE24" s="4">
        <f>IFERROR(__xludf.DUMMYFUNCTION("""COMPUTED_VALUE"""),10.0)</f>
        <v>10</v>
      </c>
      <c r="BF24" s="3"/>
      <c r="BG24" s="3"/>
      <c r="BH24" s="3"/>
      <c r="BI24" s="3"/>
      <c r="BJ24" s="3"/>
      <c r="BK24" s="3"/>
      <c r="BL24" s="3" t="b">
        <f>IFERROR(__xludf.DUMMYFUNCTION("""COMPUTED_VALUE"""),FALSE)</f>
        <v>0</v>
      </c>
      <c r="BM24" s="3"/>
      <c r="BN24" s="3"/>
      <c r="BO24" s="3"/>
      <c r="BP24" s="3"/>
      <c r="BQ24" s="3"/>
      <c r="BR24" s="3"/>
      <c r="BS24" s="3"/>
      <c r="BT24" s="3"/>
      <c r="BU24" s="3"/>
      <c r="BV24" s="3"/>
      <c r="BW24" s="3"/>
    </row>
    <row r="25" ht="15.75" customHeight="1">
      <c r="A25" s="2" t="str">
        <f>IFERROR(__xludf.DUMMYFUNCTION("""COMPUTED_VALUE"""),"Aonbharr of Manannán")</f>
        <v>Aonbharr of Manannán</v>
      </c>
      <c r="B25" s="2">
        <f>IFERROR(__xludf.DUMMYFUNCTION("""COMPUTED_VALUE"""),1.0)</f>
        <v>1</v>
      </c>
      <c r="C25" s="1" t="str">
        <f>IFERROR(__xludf.DUMMYFUNCTION("""COMPUTED_VALUE"""),"A trusty mount fit for a god")</f>
        <v>A trusty mount fit for a god</v>
      </c>
      <c r="D25" s="2" t="str">
        <f>IFERROR(__xludf.DUMMYFUNCTION("""COMPUTED_VALUE"""),"Beast")</f>
        <v>Beast</v>
      </c>
      <c r="E25" s="2">
        <f>IFERROR(__xludf.DUMMYFUNCTION("""COMPUTED_VALUE"""),1010.0)</f>
        <v>1010</v>
      </c>
      <c r="F25" s="5">
        <f>IFERROR(__xludf.DUMMYFUNCTION("""COMPUTED_VALUE"""),1010.0)</f>
        <v>1010</v>
      </c>
      <c r="G25" s="2">
        <f>IFERROR(__xludf.DUMMYFUNCTION("""COMPUTED_VALUE"""),1010.0)</f>
        <v>1010</v>
      </c>
      <c r="H25" s="2">
        <f>IFERROR(__xludf.DUMMYFUNCTION("""COMPUTED_VALUE"""),10.0)</f>
        <v>10</v>
      </c>
      <c r="I25" s="2">
        <f>IFERROR(__xludf.DUMMYFUNCTION("""COMPUTED_VALUE"""),0.0)</f>
        <v>0</v>
      </c>
      <c r="J25" s="2">
        <f>IFERROR(__xludf.DUMMYFUNCTION("""COMPUTED_VALUE"""),0.0)</f>
        <v>0</v>
      </c>
      <c r="K25" s="2">
        <f>IFERROR(__xludf.DUMMYFUNCTION("""COMPUTED_VALUE"""),100.0)</f>
        <v>100</v>
      </c>
      <c r="L25" s="2">
        <f>IFERROR(__xludf.DUMMYFUNCTION("""COMPUTED_VALUE"""),100.0)</f>
        <v>100</v>
      </c>
      <c r="M25" s="2" t="str">
        <f>IFERROR(__xludf.DUMMYFUNCTION("""COMPUTED_VALUE"""),"")</f>
        <v/>
      </c>
      <c r="N25" s="2" t="str">
        <f>IFERROR(__xludf.DUMMYFUNCTION("""COMPUTED_VALUE"""),"")</f>
        <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3"/>
      <c r="BB25" s="3"/>
      <c r="BC25" s="1"/>
      <c r="BD25" s="3">
        <f>IFERROR(__xludf.DUMMYFUNCTION("""COMPUTED_VALUE"""),0.0)</f>
        <v>0</v>
      </c>
      <c r="BE25" s="4">
        <f>IFERROR(__xludf.DUMMYFUNCTION("""COMPUTED_VALUE"""),10.0)</f>
        <v>10</v>
      </c>
      <c r="BF25" s="3" t="str">
        <f>IFERROR(__xludf.DUMMYFUNCTION("""COMPUTED_VALUE"""),"Can traverse water without a boat 
*Acts as a boat when ridden in the water ")</f>
        <v>Can traverse water without a boat 
*Acts as a boat when ridden in the water </v>
      </c>
      <c r="BG25" s="3"/>
      <c r="BH25" s="3" t="str">
        <f>IFERROR(__xludf.DUMMYFUNCTION("""COMPUTED_VALUE"""),"Land of Spira")</f>
        <v>Land of Spira</v>
      </c>
      <c r="BI25" s="3"/>
      <c r="BJ25" s="3" t="str">
        <f>IFERROR(__xludf.DUMMYFUNCTION("""COMPUTED_VALUE"""),"Lughnasadh")</f>
        <v>Lughnasadh</v>
      </c>
      <c r="BK25" s="3"/>
      <c r="BL25" s="3" t="b">
        <f>IFERROR(__xludf.DUMMYFUNCTION("""COMPUTED_VALUE"""),FALSE)</f>
        <v>0</v>
      </c>
      <c r="BM25" s="3"/>
      <c r="BN25" s="3"/>
      <c r="BO25" s="3"/>
      <c r="BP25" s="3"/>
      <c r="BQ25" s="3"/>
      <c r="BR25" s="3"/>
      <c r="BS25" s="3"/>
      <c r="BT25" s="3"/>
      <c r="BU25" s="3"/>
      <c r="BV25" s="3"/>
      <c r="BW25" s="3"/>
    </row>
    <row r="26" ht="15.75" customHeight="1">
      <c r="A26" s="2" t="str">
        <f>IFERROR(__xludf.DUMMYFUNCTION("""COMPUTED_VALUE"""),"Aquatic Serpent")</f>
        <v>Aquatic Serpent</v>
      </c>
      <c r="B26" s="2">
        <f>IFERROR(__xludf.DUMMYFUNCTION("""COMPUTED_VALUE"""),1.0)</f>
        <v>1</v>
      </c>
      <c r="C26" s="1" t="str">
        <f>IFERROR(__xludf.DUMMYFUNCTION("""COMPUTED_VALUE"""),"A mighty serpent of the sea known for casuig terror across Port Fawn")</f>
        <v>A mighty serpent of the sea known for casuig terror across Port Fawn</v>
      </c>
      <c r="D26" s="2" t="str">
        <f>IFERROR(__xludf.DUMMYFUNCTION("""COMPUTED_VALUE"""),"Beast")</f>
        <v>Beast</v>
      </c>
      <c r="E26" s="2">
        <f>IFERROR(__xludf.DUMMYFUNCTION("""COMPUTED_VALUE"""),1010.0)</f>
        <v>1010</v>
      </c>
      <c r="F26" s="5">
        <f>IFERROR(__xludf.DUMMYFUNCTION("""COMPUTED_VALUE"""),1010.0)</f>
        <v>1010</v>
      </c>
      <c r="G26" s="2">
        <f>IFERROR(__xludf.DUMMYFUNCTION("""COMPUTED_VALUE"""),1010.0)</f>
        <v>1010</v>
      </c>
      <c r="H26" s="2">
        <f>IFERROR(__xludf.DUMMYFUNCTION("""COMPUTED_VALUE"""),10.0)</f>
        <v>10</v>
      </c>
      <c r="I26" s="2">
        <f>IFERROR(__xludf.DUMMYFUNCTION("""COMPUTED_VALUE"""),0.0)</f>
        <v>0</v>
      </c>
      <c r="J26" s="2">
        <f>IFERROR(__xludf.DUMMYFUNCTION("""COMPUTED_VALUE"""),0.0)</f>
        <v>0</v>
      </c>
      <c r="K26" s="2">
        <f>IFERROR(__xludf.DUMMYFUNCTION("""COMPUTED_VALUE"""),100.0)</f>
        <v>100</v>
      </c>
      <c r="L26" s="2">
        <f>IFERROR(__xludf.DUMMYFUNCTION("""COMPUTED_VALUE"""),100.0)</f>
        <v>100</v>
      </c>
      <c r="M26" s="2" t="str">
        <f>IFERROR(__xludf.DUMMYFUNCTION("""COMPUTED_VALUE"""),"Fire:Immune, Water:Immune, Instant Death:Immune, Banishment:Immune, ")</f>
        <v>Fire:Immune, Water:Immune, Instant Death:Immune, Banishment:Immune, </v>
      </c>
      <c r="N26" s="2" t="str">
        <f>IFERROR(__xludf.DUMMYFUNCTION("""COMPUTED_VALUE"""),"Nature:100, ")</f>
        <v>Nature:100, </v>
      </c>
      <c r="O26" s="2"/>
      <c r="P26" s="2"/>
      <c r="Q26" s="2"/>
      <c r="R26" s="2"/>
      <c r="S26" s="2"/>
      <c r="T26" s="2"/>
      <c r="U26" s="2"/>
      <c r="V26" s="2"/>
      <c r="W26" s="2"/>
      <c r="X26" s="2"/>
      <c r="Y26" s="2"/>
      <c r="Z26" s="2"/>
      <c r="AA26" s="2"/>
      <c r="AB26" s="2"/>
      <c r="AC26" s="2"/>
      <c r="AD26" s="2"/>
      <c r="AE26" s="2"/>
      <c r="AF26" s="2"/>
      <c r="AG26" s="2"/>
      <c r="AH26" s="2"/>
      <c r="AI26" s="2"/>
      <c r="AJ26" s="2" t="str">
        <f>IFERROR(__xludf.DUMMYFUNCTION("""COMPUTED_VALUE"""),"Ancient Monolith Of Water")</f>
        <v>Ancient Monolith Of Water</v>
      </c>
      <c r="AK26" s="2" t="str">
        <f>IFERROR(__xludf.DUMMYFUNCTION("""COMPUTED_VALUE"""),"Water Ward")</f>
        <v>Water Ward</v>
      </c>
      <c r="AL26" s="2" t="str">
        <f>IFERROR(__xludf.DUMMYFUNCTION("""COMPUTED_VALUE"""),"Torrential Downpour")</f>
        <v>Torrential Downpour</v>
      </c>
      <c r="AM26" s="2" t="str">
        <f>IFERROR(__xludf.DUMMYFUNCTION("""COMPUTED_VALUE"""),"Crashing Waves (Enhanced)")</f>
        <v>Crashing Waves (Enhanced)</v>
      </c>
      <c r="AN26" s="2" t="str">
        <f>IFERROR(__xludf.DUMMYFUNCTION("""COMPUTED_VALUE"""),"Reckless Chomp ")</f>
        <v>Reckless Chomp </v>
      </c>
      <c r="AO26" s="2" t="str">
        <f>IFERROR(__xludf.DUMMYFUNCTION("""COMPUTED_VALUE"""),"Celestial Wrath")</f>
        <v>Celestial Wrath</v>
      </c>
      <c r="AP26" s="2"/>
      <c r="AQ26" s="2"/>
      <c r="AR26" s="2"/>
      <c r="AS26" s="2"/>
      <c r="AT26" s="2"/>
      <c r="AU26" s="2"/>
      <c r="AV26" s="2"/>
      <c r="AW26" s="2"/>
      <c r="AX26" s="2"/>
      <c r="AY26" s="2"/>
      <c r="AZ26" s="2"/>
      <c r="BA26" s="3"/>
      <c r="BB26" s="3"/>
      <c r="BC26" s="1"/>
      <c r="BD26" s="3">
        <f>IFERROR(__xludf.DUMMYFUNCTION("""COMPUTED_VALUE"""),0.0)</f>
        <v>0</v>
      </c>
      <c r="BE26" s="4">
        <f>IFERROR(__xludf.DUMMYFUNCTION("""COMPUTED_VALUE"""),10.0)</f>
        <v>10</v>
      </c>
      <c r="BF26" s="3"/>
      <c r="BG26" s="3" t="str">
        <f>IFERROR(__xludf.DUMMYFUNCTION("""COMPUTED_VALUE"""),"Ocean")</f>
        <v>Ocean</v>
      </c>
      <c r="BH26" s="3" t="str">
        <f>IFERROR(__xludf.DUMMYFUNCTION("""COMPUTED_VALUE"""),"Land of Spira")</f>
        <v>Land of Spira</v>
      </c>
      <c r="BI26" s="3"/>
      <c r="BJ26" s="3"/>
      <c r="BK26" s="3"/>
      <c r="BL26" s="3" t="b">
        <f>IFERROR(__xludf.DUMMYFUNCTION("""COMPUTED_VALUE"""),FALSE)</f>
        <v>0</v>
      </c>
      <c r="BM26" s="3"/>
      <c r="BN26" s="3"/>
      <c r="BO26" s="3"/>
      <c r="BP26" s="3"/>
      <c r="BQ26" s="3"/>
      <c r="BR26" s="3"/>
      <c r="BS26" s="3"/>
      <c r="BT26" s="3"/>
      <c r="BU26" s="3"/>
      <c r="BV26" s="3"/>
      <c r="BW26" s="3"/>
    </row>
    <row r="27" ht="15.75" customHeight="1">
      <c r="A27" s="2" t="str">
        <f>IFERROR(__xludf.DUMMYFUNCTION("""COMPUTED_VALUE"""),"Assassin Doll")</f>
        <v>Assassin Doll</v>
      </c>
      <c r="B27" s="2">
        <f>IFERROR(__xludf.DUMMYFUNCTION("""COMPUTED_VALUE"""),1.0)</f>
        <v>1</v>
      </c>
      <c r="C27" s="2"/>
      <c r="D27" s="2" t="str">
        <f>IFERROR(__xludf.DUMMYFUNCTION("""COMPUTED_VALUE"""),"Construct")</f>
        <v>Construct</v>
      </c>
      <c r="E27" s="2">
        <f>IFERROR(__xludf.DUMMYFUNCTION("""COMPUTED_VALUE"""),1010.0)</f>
        <v>1010</v>
      </c>
      <c r="F27" s="5">
        <f>IFERROR(__xludf.DUMMYFUNCTION("""COMPUTED_VALUE"""),1010.0)</f>
        <v>1010</v>
      </c>
      <c r="G27" s="2">
        <f>IFERROR(__xludf.DUMMYFUNCTION("""COMPUTED_VALUE"""),1010.0)</f>
        <v>1010</v>
      </c>
      <c r="H27" s="2">
        <f>IFERROR(__xludf.DUMMYFUNCTION("""COMPUTED_VALUE"""),10.0)</f>
        <v>10</v>
      </c>
      <c r="I27" s="2">
        <f>IFERROR(__xludf.DUMMYFUNCTION("""COMPUTED_VALUE"""),0.0)</f>
        <v>0</v>
      </c>
      <c r="J27" s="2">
        <f>IFERROR(__xludf.DUMMYFUNCTION("""COMPUTED_VALUE"""),0.0)</f>
        <v>0</v>
      </c>
      <c r="K27" s="2">
        <f>IFERROR(__xludf.DUMMYFUNCTION("""COMPUTED_VALUE"""),100.0)</f>
        <v>100</v>
      </c>
      <c r="L27" s="2">
        <f>IFERROR(__xludf.DUMMYFUNCTION("""COMPUTED_VALUE"""),100.0)</f>
        <v>100</v>
      </c>
      <c r="M27" s="2" t="str">
        <f>IFERROR(__xludf.DUMMYFUNCTION("""COMPUTED_VALUE"""),"Dark:Immune, Spirit:Immune, Voodoo:Immune, Instant Death:Immune, ")</f>
        <v>Dark:Immune, Spirit:Immune, Voodoo:Immune, Instant Death:Immune, </v>
      </c>
      <c r="N27" s="2" t="str">
        <f>IFERROR(__xludf.DUMMYFUNCTION("""COMPUTED_VALUE"""),"Light:100, ")</f>
        <v>Light:100, </v>
      </c>
      <c r="O27" s="2"/>
      <c r="P27" s="2"/>
      <c r="Q27" s="2"/>
      <c r="R27" s="2"/>
      <c r="S27" s="2"/>
      <c r="T27" s="2"/>
      <c r="U27" s="2"/>
      <c r="V27" s="2"/>
      <c r="W27" s="2" t="str">
        <f>IFERROR(__xludf.DUMMYFUNCTION("""COMPUTED_VALUE"""),"Dagger")</f>
        <v>Dagger</v>
      </c>
      <c r="X27" s="2"/>
      <c r="Y27" s="2"/>
      <c r="Z27" s="2"/>
      <c r="AA27" s="2"/>
      <c r="AB27" s="2"/>
      <c r="AC27" s="2"/>
      <c r="AD27" s="2"/>
      <c r="AE27" s="2"/>
      <c r="AF27" s="2"/>
      <c r="AG27" s="2"/>
      <c r="AH27" s="2"/>
      <c r="AI27" s="2"/>
      <c r="AJ27" s="2" t="str">
        <f>IFERROR(__xludf.DUMMYFUNCTION("""COMPUTED_VALUE"""),"Final Rest")</f>
        <v>Final Rest</v>
      </c>
      <c r="AK27" s="2"/>
      <c r="AL27" s="2"/>
      <c r="AM27" s="2"/>
      <c r="AN27" s="2"/>
      <c r="AO27" s="2"/>
      <c r="AP27" s="2"/>
      <c r="AQ27" s="2"/>
      <c r="AR27" s="2"/>
      <c r="AS27" s="2"/>
      <c r="AT27" s="2"/>
      <c r="AU27" s="2"/>
      <c r="AV27" s="2"/>
      <c r="AW27" s="2"/>
      <c r="AX27" s="2"/>
      <c r="AY27" s="2"/>
      <c r="AZ27" s="2"/>
      <c r="BA27" s="3"/>
      <c r="BB27" s="3"/>
      <c r="BC27" s="1"/>
      <c r="BD27" s="3">
        <f>IFERROR(__xludf.DUMMYFUNCTION("""COMPUTED_VALUE"""),0.0)</f>
        <v>0</v>
      </c>
      <c r="BE27" s="4">
        <f>IFERROR(__xludf.DUMMYFUNCTION("""COMPUTED_VALUE"""),10.0)</f>
        <v>10</v>
      </c>
      <c r="BF27" s="3" t="str">
        <f>IFERROR(__xludf.DUMMYFUNCTION("""COMPUTED_VALUE"""),"100% chance of fleeing on its third turn")</f>
        <v>100% chance of fleeing on its third turn</v>
      </c>
      <c r="BG27" s="3" t="str">
        <f>IFERROR(__xludf.DUMMYFUNCTION("""COMPUTED_VALUE"""),"All")</f>
        <v>All</v>
      </c>
      <c r="BH27" s="3" t="str">
        <f>IFERROR(__xludf.DUMMYFUNCTION("""COMPUTED_VALUE"""),"Land of Spira")</f>
        <v>Land of Spira</v>
      </c>
      <c r="BI27" s="3"/>
      <c r="BJ27" s="3"/>
      <c r="BK27" s="3"/>
      <c r="BL27" s="3" t="b">
        <f>IFERROR(__xludf.DUMMYFUNCTION("""COMPUTED_VALUE"""),FALSE)</f>
        <v>0</v>
      </c>
      <c r="BM27" s="3"/>
      <c r="BN27" s="3"/>
      <c r="BO27" s="3"/>
      <c r="BP27" s="3"/>
      <c r="BQ27" s="3"/>
      <c r="BR27" s="3"/>
      <c r="BS27" s="3"/>
      <c r="BT27" s="3"/>
      <c r="BU27" s="3"/>
      <c r="BV27" s="3"/>
      <c r="BW27" s="3"/>
    </row>
    <row r="28" ht="15.75" customHeight="1">
      <c r="A28" s="2" t="str">
        <f>IFERROR(__xludf.DUMMYFUNCTION("""COMPUTED_VALUE"""),"Astral Dragon")</f>
        <v>Astral Dragon</v>
      </c>
      <c r="B28" s="2">
        <f>IFERROR(__xludf.DUMMYFUNCTION("""COMPUTED_VALUE"""),1.0)</f>
        <v>1</v>
      </c>
      <c r="C28" s="1" t="str">
        <f>IFERROR(__xludf.DUMMYFUNCTION("""COMPUTED_VALUE"""),"The Regal Astral Dragon are thought to be the distant offspring of Astralis")</f>
        <v>The Regal Astral Dragon are thought to be the distant offspring of Astralis</v>
      </c>
      <c r="D28" s="2" t="str">
        <f>IFERROR(__xludf.DUMMYFUNCTION("""COMPUTED_VALUE"""),"Draconic")</f>
        <v>Draconic</v>
      </c>
      <c r="E28" s="2">
        <f>IFERROR(__xludf.DUMMYFUNCTION("""COMPUTED_VALUE"""),1010.0)</f>
        <v>1010</v>
      </c>
      <c r="F28" s="5">
        <f>IFERROR(__xludf.DUMMYFUNCTION("""COMPUTED_VALUE"""),31010.0)</f>
        <v>31010</v>
      </c>
      <c r="G28" s="2">
        <f>IFERROR(__xludf.DUMMYFUNCTION("""COMPUTED_VALUE"""),1010.0)</f>
        <v>1010</v>
      </c>
      <c r="H28" s="2">
        <f>IFERROR(__xludf.DUMMYFUNCTION("""COMPUTED_VALUE"""),10.0)</f>
        <v>10</v>
      </c>
      <c r="I28" s="2">
        <f>IFERROR(__xludf.DUMMYFUNCTION("""COMPUTED_VALUE"""),0.0)</f>
        <v>0</v>
      </c>
      <c r="J28" s="2">
        <f>IFERROR(__xludf.DUMMYFUNCTION("""COMPUTED_VALUE"""),0.0)</f>
        <v>0</v>
      </c>
      <c r="K28" s="2">
        <f>IFERROR(__xludf.DUMMYFUNCTION("""COMPUTED_VALUE"""),100.0)</f>
        <v>100</v>
      </c>
      <c r="L28" s="2">
        <f>IFERROR(__xludf.DUMMYFUNCTION("""COMPUTED_VALUE"""),100.0)</f>
        <v>100</v>
      </c>
      <c r="M28" s="2" t="str">
        <f>IFERROR(__xludf.DUMMYFUNCTION("""COMPUTED_VALUE"""),"Astral:Immune, Instant Death:Immune, Banishment:Immune, ")</f>
        <v>Astral:Immune, Instant Death:Immune, Banishment:Immune, </v>
      </c>
      <c r="N28" s="2" t="str">
        <f>IFERROR(__xludf.DUMMYFUNCTION("""COMPUTED_VALUE"""),"Celestial:100, ")</f>
        <v>Celestial:100, </v>
      </c>
      <c r="O28" s="2"/>
      <c r="P28" s="2"/>
      <c r="Q28" s="2"/>
      <c r="R28" s="2"/>
      <c r="S28" s="2"/>
      <c r="T28" s="2"/>
      <c r="U28" s="2"/>
      <c r="V28" s="2"/>
      <c r="W28" s="2"/>
      <c r="X28" s="2"/>
      <c r="Y28" s="2"/>
      <c r="Z28" s="2"/>
      <c r="AA28" s="2"/>
      <c r="AB28" s="2"/>
      <c r="AC28" s="2"/>
      <c r="AD28" s="2"/>
      <c r="AE28" s="2"/>
      <c r="AF28" s="2"/>
      <c r="AG28" s="2"/>
      <c r="AH28" s="2"/>
      <c r="AI28" s="2"/>
      <c r="AJ28" s="2" t="str">
        <f>IFERROR(__xludf.DUMMYFUNCTION("""COMPUTED_VALUE"""),"Dragon's Breath")</f>
        <v>Dragon's Breath</v>
      </c>
      <c r="AK28" s="2" t="str">
        <f>IFERROR(__xludf.DUMMYFUNCTION("""COMPUTED_VALUE"""),"Bite")</f>
        <v>Bite</v>
      </c>
      <c r="AL28" s="2" t="str">
        <f>IFERROR(__xludf.DUMMYFUNCTION("""COMPUTED_VALUE"""),"Tail Smash")</f>
        <v>Tail Smash</v>
      </c>
      <c r="AM28" s="2" t="str">
        <f>IFERROR(__xludf.DUMMYFUNCTION("""COMPUTED_VALUE"""),"Claws")</f>
        <v>Claws</v>
      </c>
      <c r="AN28" s="2" t="str">
        <f>IFERROR(__xludf.DUMMYFUNCTION("""COMPUTED_VALUE"""),"Berserk")</f>
        <v>Berserk</v>
      </c>
      <c r="AO28" s="2" t="str">
        <f>IFERROR(__xludf.DUMMYFUNCTION("""COMPUTED_VALUE"""),"Multishot")</f>
        <v>Multishot</v>
      </c>
      <c r="AP28" s="2" t="str">
        <f>IFERROR(__xludf.DUMMYFUNCTION("""COMPUTED_VALUE"""),"Draconic Scream")</f>
        <v>Draconic Scream</v>
      </c>
      <c r="AQ28" s="2" t="str">
        <f>IFERROR(__xludf.DUMMYFUNCTION("""COMPUTED_VALUE"""),"Black Hole")</f>
        <v>Black Hole</v>
      </c>
      <c r="AR28" s="2" t="str">
        <f>IFERROR(__xludf.DUMMYFUNCTION("""COMPUTED_VALUE"""),"Planetary Meteor Storm")</f>
        <v>Planetary Meteor Storm</v>
      </c>
      <c r="AS28" s="2" t="str">
        <f>IFERROR(__xludf.DUMMYFUNCTION("""COMPUTED_VALUE"""),"Lunar Ward")</f>
        <v>Lunar Ward</v>
      </c>
      <c r="AT28" s="2" t="str">
        <f>IFERROR(__xludf.DUMMYFUNCTION("""COMPUTED_VALUE"""),"Solar Ward")</f>
        <v>Solar Ward</v>
      </c>
      <c r="AU28" s="2" t="str">
        <f>IFERROR(__xludf.DUMMYFUNCTION("""COMPUTED_VALUE"""),"Celestial Wrath")</f>
        <v>Celestial Wrath</v>
      </c>
      <c r="AV28" s="2"/>
      <c r="AW28" s="2"/>
      <c r="AX28" s="2"/>
      <c r="AY28" s="2"/>
      <c r="AZ28" s="2"/>
      <c r="BA28" s="3"/>
      <c r="BB28" s="3"/>
      <c r="BC28" s="1"/>
      <c r="BD28" s="3">
        <f>IFERROR(__xludf.DUMMYFUNCTION("""COMPUTED_VALUE"""),0.0)</f>
        <v>0</v>
      </c>
      <c r="BE28" s="4">
        <f>IFERROR(__xludf.DUMMYFUNCTION("""COMPUTED_VALUE"""),10.0)</f>
        <v>10</v>
      </c>
      <c r="BF28"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28" s="3" t="str">
        <f>IFERROR(__xludf.DUMMYFUNCTION("""COMPUTED_VALUE"""),"All")</f>
        <v>All</v>
      </c>
      <c r="BH28" s="3" t="str">
        <f>IFERROR(__xludf.DUMMYFUNCTION("""COMPUTED_VALUE"""),"Dragonscale Island")</f>
        <v>Dragonscale Island</v>
      </c>
      <c r="BI28" s="3"/>
      <c r="BJ28" s="3"/>
      <c r="BK28" s="3"/>
      <c r="BL28" s="3" t="b">
        <f>IFERROR(__xludf.DUMMYFUNCTION("""COMPUTED_VALUE"""),FALSE)</f>
        <v>0</v>
      </c>
      <c r="BM28" s="3"/>
      <c r="BN28" s="3"/>
      <c r="BO28" s="3"/>
      <c r="BP28" s="3"/>
      <c r="BQ28" s="3"/>
      <c r="BR28" s="3"/>
      <c r="BS28" s="3"/>
      <c r="BT28" s="3"/>
      <c r="BU28" s="3"/>
      <c r="BV28" s="3"/>
      <c r="BW28" s="3"/>
    </row>
    <row r="29" ht="15.75" customHeight="1">
      <c r="A29" s="2" t="str">
        <f>IFERROR(__xludf.DUMMYFUNCTION("""COMPUTED_VALUE"""),"Baboon")</f>
        <v>Baboon</v>
      </c>
      <c r="B29" s="2">
        <f>IFERROR(__xludf.DUMMYFUNCTION("""COMPUTED_VALUE"""),1.0)</f>
        <v>1</v>
      </c>
      <c r="C29" s="1"/>
      <c r="D29" s="5" t="str">
        <f>IFERROR(__xludf.DUMMYFUNCTION("""COMPUTED_VALUE"""),"Beast")</f>
        <v>Beast</v>
      </c>
      <c r="E29" s="5">
        <f>IFERROR(__xludf.DUMMYFUNCTION("""COMPUTED_VALUE"""),1010.0)</f>
        <v>1010</v>
      </c>
      <c r="F29" s="5">
        <f>IFERROR(__xludf.DUMMYFUNCTION("""COMPUTED_VALUE"""),1010.0)</f>
        <v>1010</v>
      </c>
      <c r="G29" s="5">
        <f>IFERROR(__xludf.DUMMYFUNCTION("""COMPUTED_VALUE"""),1010.0)</f>
        <v>1010</v>
      </c>
      <c r="H29" s="2">
        <f>IFERROR(__xludf.DUMMYFUNCTION("""COMPUTED_VALUE"""),10.0)</f>
        <v>10</v>
      </c>
      <c r="I29" s="2">
        <f>IFERROR(__xludf.DUMMYFUNCTION("""COMPUTED_VALUE"""),0.0)</f>
        <v>0</v>
      </c>
      <c r="J29" s="2">
        <f>IFERROR(__xludf.DUMMYFUNCTION("""COMPUTED_VALUE"""),0.0)</f>
        <v>0</v>
      </c>
      <c r="K29" s="2">
        <f>IFERROR(__xludf.DUMMYFUNCTION("""COMPUTED_VALUE"""),100.0)</f>
        <v>100</v>
      </c>
      <c r="L29" s="8">
        <f>IFERROR(__xludf.DUMMYFUNCTION("""COMPUTED_VALUE"""),100.0)</f>
        <v>100</v>
      </c>
      <c r="M29" s="8" t="str">
        <f>IFERROR(__xludf.DUMMYFUNCTION("""COMPUTED_VALUE"""),"")</f>
        <v/>
      </c>
      <c r="N29" s="2" t="str">
        <f>IFERROR(__xludf.DUMMYFUNCTION("""COMPUTED_VALUE"""),"")</f>
        <v/>
      </c>
      <c r="O29" s="2"/>
      <c r="P29" s="2"/>
      <c r="Q29" s="2"/>
      <c r="R29" s="2"/>
      <c r="S29" s="2"/>
      <c r="T29" s="2"/>
      <c r="U29" s="2"/>
      <c r="V29" s="2"/>
      <c r="W29" s="2"/>
      <c r="X29" s="2"/>
      <c r="Y29" s="2"/>
      <c r="Z29" s="2"/>
      <c r="AA29" s="2"/>
      <c r="AB29" s="2"/>
      <c r="AC29" s="2"/>
      <c r="AD29" s="2"/>
      <c r="AE29" s="2"/>
      <c r="AF29" s="2"/>
      <c r="AG29" s="2"/>
      <c r="AH29" s="2"/>
      <c r="AI29" s="2"/>
      <c r="AJ29" s="2"/>
      <c r="AK29" s="2" t="str">
        <f>IFERROR(__xludf.DUMMYFUNCTION("""COMPUTED_VALUE"""),"Punch")</f>
        <v>Punch</v>
      </c>
      <c r="AL29" s="2" t="str">
        <f>IFERROR(__xludf.DUMMYFUNCTION("""COMPUTED_VALUE"""),"Bite")</f>
        <v>Bite</v>
      </c>
      <c r="AM29" s="2" t="str">
        <f>IFERROR(__xludf.DUMMYFUNCTION("""COMPUTED_VALUE"""),"Take")</f>
        <v>Take</v>
      </c>
      <c r="AN29" s="2"/>
      <c r="AO29" s="2"/>
      <c r="AP29" s="2"/>
      <c r="AQ29" s="2"/>
      <c r="AR29" s="2"/>
      <c r="AS29" s="2"/>
      <c r="AT29" s="2"/>
      <c r="AU29" s="2"/>
      <c r="AV29" s="2"/>
      <c r="AW29" s="2"/>
      <c r="AX29" s="2"/>
      <c r="AY29" s="2"/>
      <c r="AZ29" s="2"/>
      <c r="BA29" s="3"/>
      <c r="BB29" s="3"/>
      <c r="BC29" s="1"/>
      <c r="BD29" s="3">
        <f>IFERROR(__xludf.DUMMYFUNCTION("""COMPUTED_VALUE"""),0.0)</f>
        <v>0</v>
      </c>
      <c r="BE29" s="4">
        <f>IFERROR(__xludf.DUMMYFUNCTION("""COMPUTED_VALUE"""),10.0)</f>
        <v>10</v>
      </c>
      <c r="BF29" s="3"/>
      <c r="BG29" s="3" t="str">
        <f>IFERROR(__xludf.DUMMYFUNCTION("""COMPUTED_VALUE"""),"Jungle")</f>
        <v>Jungle</v>
      </c>
      <c r="BH29" s="3" t="str">
        <f>IFERROR(__xludf.DUMMYFUNCTION("""COMPUTED_VALUE"""),"Land Of Spira")</f>
        <v>Land Of Spira</v>
      </c>
      <c r="BI29" s="3"/>
      <c r="BJ29" s="3"/>
      <c r="BK29" s="3"/>
      <c r="BL29" s="3" t="b">
        <f>IFERROR(__xludf.DUMMYFUNCTION("""COMPUTED_VALUE"""),FALSE)</f>
        <v>0</v>
      </c>
      <c r="BM29" s="3"/>
      <c r="BN29" s="3"/>
      <c r="BO29" s="3"/>
      <c r="BP29" s="3"/>
      <c r="BQ29" s="3"/>
      <c r="BR29" s="3"/>
      <c r="BS29" s="3"/>
      <c r="BT29" s="3"/>
      <c r="BU29" s="3"/>
      <c r="BV29" s="3"/>
      <c r="BW29" s="3"/>
    </row>
    <row r="30" ht="15.75" customHeight="1">
      <c r="A30" s="2" t="str">
        <f>IFERROR(__xludf.DUMMYFUNCTION("""COMPUTED_VALUE"""),"Bandit")</f>
        <v>Bandit</v>
      </c>
      <c r="B30" s="2">
        <f>IFERROR(__xludf.DUMMYFUNCTION("""COMPUTED_VALUE"""),1.0)</f>
        <v>1</v>
      </c>
      <c r="C30" s="1" t="str">
        <f>IFERROR(__xludf.DUMMYFUNCTION("""COMPUTED_VALUE"""),"A nefarious ne'er do well")</f>
        <v>A nefarious ne'er do well</v>
      </c>
      <c r="D30" s="5" t="str">
        <f>IFERROR(__xludf.DUMMYFUNCTION("""COMPUTED_VALUE"""),"Humanoid")</f>
        <v>Humanoid</v>
      </c>
      <c r="E30" s="5">
        <f>IFERROR(__xludf.DUMMYFUNCTION("""COMPUTED_VALUE"""),1010.0)</f>
        <v>1010</v>
      </c>
      <c r="F30" s="5">
        <f>IFERROR(__xludf.DUMMYFUNCTION("""COMPUTED_VALUE"""),1010.0)</f>
        <v>1010</v>
      </c>
      <c r="G30" s="5">
        <f>IFERROR(__xludf.DUMMYFUNCTION("""COMPUTED_VALUE"""),301010.0)</f>
        <v>301010</v>
      </c>
      <c r="H30" s="2">
        <f>IFERROR(__xludf.DUMMYFUNCTION("""COMPUTED_VALUE"""),10.0)</f>
        <v>10</v>
      </c>
      <c r="I30" s="2">
        <f>IFERROR(__xludf.DUMMYFUNCTION("""COMPUTED_VALUE"""),5.0)</f>
        <v>5</v>
      </c>
      <c r="J30" s="2">
        <f>IFERROR(__xludf.DUMMYFUNCTION("""COMPUTED_VALUE"""),0.0)</f>
        <v>0</v>
      </c>
      <c r="K30" s="2">
        <f>IFERROR(__xludf.DUMMYFUNCTION("""COMPUTED_VALUE"""),100.0)</f>
        <v>100</v>
      </c>
      <c r="L30" s="2">
        <f>IFERROR(__xludf.DUMMYFUNCTION("""COMPUTED_VALUE"""),100.0)</f>
        <v>100</v>
      </c>
      <c r="M30" s="2" t="str">
        <f>IFERROR(__xludf.DUMMYFUNCTION("""COMPUTED_VALUE"""),"")</f>
        <v/>
      </c>
      <c r="N30" s="2" t="str">
        <f>IFERROR(__xludf.DUMMYFUNCTION("""COMPUTED_VALUE"""),"")</f>
        <v/>
      </c>
      <c r="O30" s="2" t="str">
        <f>IFERROR(__xludf.DUMMYFUNCTION("""COMPUTED_VALUE"""),"Bandit Hide Helm")</f>
        <v>Bandit Hide Helm</v>
      </c>
      <c r="P30" s="2"/>
      <c r="Q30" s="2"/>
      <c r="R30" s="2"/>
      <c r="S30" s="2" t="str">
        <f>IFERROR(__xludf.DUMMYFUNCTION("""COMPUTED_VALUE"""),"Bandit Hide Padding")</f>
        <v>Bandit Hide Padding</v>
      </c>
      <c r="T30" s="2" t="str">
        <f>IFERROR(__xludf.DUMMYFUNCTION("""COMPUTED_VALUE"""),"Bandit Hide Chestplate")</f>
        <v>Bandit Hide Chestplate</v>
      </c>
      <c r="U30" s="2" t="str">
        <f>IFERROR(__xludf.DUMMYFUNCTION("""COMPUTED_VALUE"""),"Bandit Hide Vambraces")</f>
        <v>Bandit Hide Vambraces</v>
      </c>
      <c r="V30" s="2" t="str">
        <f>IFERROR(__xludf.DUMMYFUNCTION("""COMPUTED_VALUE"""),"Steel Bandit Dagger")</f>
        <v>Steel Bandit Dagger</v>
      </c>
      <c r="W30" s="2" t="str">
        <f>IFERROR(__xludf.DUMMYFUNCTION("""COMPUTED_VALUE"""),"Sword of Bad Luck")</f>
        <v>Sword of Bad Luck</v>
      </c>
      <c r="X30" s="2"/>
      <c r="Y30" s="2"/>
      <c r="Z30" s="2"/>
      <c r="AA30" s="2"/>
      <c r="AB30" s="2"/>
      <c r="AC30" s="2"/>
      <c r="AD30" s="2"/>
      <c r="AE30" s="2"/>
      <c r="AF30" s="2"/>
      <c r="AG30" s="2"/>
      <c r="AH30" s="2" t="str">
        <f>IFERROR(__xludf.DUMMYFUNCTION("""COMPUTED_VALUE"""),"Bandit Hide Greaves")</f>
        <v>Bandit Hide Greaves</v>
      </c>
      <c r="AI30" s="2" t="str">
        <f>IFERROR(__xludf.DUMMYFUNCTION("""COMPUTED_VALUE"""),"Bandit Hide Boots")</f>
        <v>Bandit Hide Boots</v>
      </c>
      <c r="AJ30" s="2" t="str">
        <f>IFERROR(__xludf.DUMMYFUNCTION("""COMPUTED_VALUE"""),"Pick Pocket")</f>
        <v>Pick Pocket</v>
      </c>
      <c r="AK30" s="2" t="str">
        <f>IFERROR(__xludf.DUMMYFUNCTION("""COMPUTED_VALUE"""),"Punch")</f>
        <v>Punch</v>
      </c>
      <c r="AL30" s="2" t="str">
        <f>IFERROR(__xludf.DUMMYFUNCTION("""COMPUTED_VALUE"""),"Double Strike")</f>
        <v>Double Strike</v>
      </c>
      <c r="AM30" s="2" t="str">
        <f>IFERROR(__xludf.DUMMYFUNCTION("""COMPUTED_VALUE"""),"Berserk")</f>
        <v>Berserk</v>
      </c>
      <c r="AN30" s="2"/>
      <c r="AO30" s="2"/>
      <c r="AP30" s="2"/>
      <c r="AQ30" s="2"/>
      <c r="AR30" s="2"/>
      <c r="AS30" s="2"/>
      <c r="AT30" s="2"/>
      <c r="AU30" s="2"/>
      <c r="AV30" s="2"/>
      <c r="AW30" s="2"/>
      <c r="AX30" s="2"/>
      <c r="AY30" s="2"/>
      <c r="AZ30" s="2"/>
      <c r="BA30" s="3"/>
      <c r="BB30" s="3"/>
      <c r="BC30" s="1"/>
      <c r="BD30" s="3">
        <f>IFERROR(__xludf.DUMMYFUNCTION("""COMPUTED_VALUE"""),5.0)</f>
        <v>5</v>
      </c>
      <c r="BE30" s="4">
        <f>IFERROR(__xludf.DUMMYFUNCTION("""COMPUTED_VALUE"""),10.0)</f>
        <v>10</v>
      </c>
      <c r="BF30" s="3"/>
      <c r="BG30" s="3" t="str">
        <f>IFERROR(__xludf.DUMMYFUNCTION("""COMPUTED_VALUE"""),"All")</f>
        <v>All</v>
      </c>
      <c r="BH30" s="3" t="str">
        <f>IFERROR(__xludf.DUMMYFUNCTION("""COMPUTED_VALUE"""),"Land of Spira")</f>
        <v>Land of Spira</v>
      </c>
      <c r="BI30" s="3"/>
      <c r="BJ30" s="3"/>
      <c r="BK30" s="3"/>
      <c r="BL30" s="3" t="b">
        <f>IFERROR(__xludf.DUMMYFUNCTION("""COMPUTED_VALUE"""),FALSE)</f>
        <v>0</v>
      </c>
      <c r="BM30" s="3"/>
      <c r="BN30" s="3"/>
      <c r="BO30" s="3"/>
      <c r="BP30" s="3"/>
      <c r="BQ30" s="3"/>
      <c r="BR30" s="3"/>
      <c r="BS30" s="3"/>
      <c r="BT30" s="3"/>
      <c r="BU30" s="3"/>
      <c r="BV30" s="3"/>
      <c r="BW30" s="3"/>
    </row>
    <row r="31" ht="15.75" customHeight="1">
      <c r="A31" s="2" t="str">
        <f>IFERROR(__xludf.DUMMYFUNCTION("""COMPUTED_VALUE"""),"Bees")</f>
        <v>Bees</v>
      </c>
      <c r="B31" s="2">
        <f>IFERROR(__xludf.DUMMYFUNCTION("""COMPUTED_VALUE"""),1.0)</f>
        <v>1</v>
      </c>
      <c r="C31" s="1" t="str">
        <f>IFERROR(__xludf.DUMMYFUNCTION("""COMPUTED_VALUE"""),"BEEEEEEEEEEEEEEEEEEEEEEEEEEEEESSSSSSSSSSSSSSSS!!!!!!!!!!!!!!!!!")</f>
        <v>BEEEEEEEEEEEEEEEEEEEEEEEEEEEEESSSSSSSSSSSSSSSS!!!!!!!!!!!!!!!!!</v>
      </c>
      <c r="D31" s="5" t="str">
        <f>IFERROR(__xludf.DUMMYFUNCTION("""COMPUTED_VALUE"""),"Beast")</f>
        <v>Beast</v>
      </c>
      <c r="E31" s="5">
        <f>IFERROR(__xludf.DUMMYFUNCTION("""COMPUTED_VALUE"""),1010.0)</f>
        <v>1010</v>
      </c>
      <c r="F31" s="5">
        <f>IFERROR(__xludf.DUMMYFUNCTION("""COMPUTED_VALUE"""),1010.0)</f>
        <v>1010</v>
      </c>
      <c r="G31" s="5">
        <f>IFERROR(__xludf.DUMMYFUNCTION("""COMPUTED_VALUE"""),1010.0)</f>
        <v>1010</v>
      </c>
      <c r="H31" s="2">
        <f>IFERROR(__xludf.DUMMYFUNCTION("""COMPUTED_VALUE"""),10.0)</f>
        <v>10</v>
      </c>
      <c r="I31" s="2">
        <f>IFERROR(__xludf.DUMMYFUNCTION("""COMPUTED_VALUE"""),0.0)</f>
        <v>0</v>
      </c>
      <c r="J31" s="2">
        <f>IFERROR(__xludf.DUMMYFUNCTION("""COMPUTED_VALUE"""),0.0)</f>
        <v>0</v>
      </c>
      <c r="K31" s="2">
        <f>IFERROR(__xludf.DUMMYFUNCTION("""COMPUTED_VALUE"""),100.0)</f>
        <v>100</v>
      </c>
      <c r="L31" s="2">
        <f>IFERROR(__xludf.DUMMYFUNCTION("""COMPUTED_VALUE"""),100.0)</f>
        <v>100</v>
      </c>
      <c r="M31" s="2" t="str">
        <f>IFERROR(__xludf.DUMMYFUNCTION("""COMPUTED_VALUE"""),"Nature:100, ")</f>
        <v>Nature:100, </v>
      </c>
      <c r="N31" s="2" t="str">
        <f>IFERROR(__xludf.DUMMYFUNCTION("""COMPUTED_VALUE"""),"Fire:100, Water:100, ")</f>
        <v>Fire:100, Water:100, </v>
      </c>
      <c r="O31" s="2" t="str">
        <f>IFERROR(__xludf.DUMMYFUNCTION("""COMPUTED_VALUE"""),"Top Hat")</f>
        <v>Top Hat</v>
      </c>
      <c r="P31" s="2"/>
      <c r="Q31" s="2"/>
      <c r="R31" s="2"/>
      <c r="S31" s="2"/>
      <c r="T31" s="2"/>
      <c r="U31" s="2"/>
      <c r="V31" s="2"/>
      <c r="W31" s="2"/>
      <c r="X31" s="2"/>
      <c r="Y31" s="2"/>
      <c r="Z31" s="2"/>
      <c r="AA31" s="2"/>
      <c r="AB31" s="2"/>
      <c r="AC31" s="2"/>
      <c r="AD31" s="2"/>
      <c r="AE31" s="2"/>
      <c r="AF31" s="2"/>
      <c r="AG31" s="2"/>
      <c r="AH31" s="2"/>
      <c r="AI31" s="2"/>
      <c r="AJ31" s="2" t="str">
        <f>IFERROR(__xludf.DUMMYFUNCTION("""COMPUTED_VALUE"""),"Stinger (Bee)")</f>
        <v>Stinger (Bee)</v>
      </c>
      <c r="AK31" s="2" t="str">
        <f>IFERROR(__xludf.DUMMYFUNCTION("""COMPUTED_VALUE"""),"Poison Needle")</f>
        <v>Poison Needle</v>
      </c>
      <c r="AL31" s="2" t="str">
        <f>IFERROR(__xludf.DUMMYFUNCTION("""COMPUTED_VALUE"""),"Multishot")</f>
        <v>Multishot</v>
      </c>
      <c r="AM31" s="2" t="str">
        <f>IFERROR(__xludf.DUMMYFUNCTION("""COMPUTED_VALUE"""),"Dive Bomb")</f>
        <v>Dive Bomb</v>
      </c>
      <c r="AN31" s="2"/>
      <c r="AO31" s="2"/>
      <c r="AP31" s="2"/>
      <c r="AQ31" s="2"/>
      <c r="AR31" s="2"/>
      <c r="AS31" s="2"/>
      <c r="AT31" s="2"/>
      <c r="AU31" s="2"/>
      <c r="AV31" s="2"/>
      <c r="AW31" s="2"/>
      <c r="AX31" s="2"/>
      <c r="AY31" s="2"/>
      <c r="AZ31" s="2"/>
      <c r="BA31" s="3"/>
      <c r="BB31" s="3"/>
      <c r="BC31" s="1"/>
      <c r="BD31" s="3">
        <f>IFERROR(__xludf.DUMMYFUNCTION("""COMPUTED_VALUE"""),0.0)</f>
        <v>0</v>
      </c>
      <c r="BE31" s="4">
        <f>IFERROR(__xludf.DUMMYFUNCTION("""COMPUTED_VALUE"""),10.0)</f>
        <v>10</v>
      </c>
      <c r="BF31" s="3"/>
      <c r="BG31" s="3" t="str">
        <f>IFERROR(__xludf.DUMMYFUNCTION("""COMPUTED_VALUE"""),"Grassland")</f>
        <v>Grassland</v>
      </c>
      <c r="BH31" s="3" t="str">
        <f>IFERROR(__xludf.DUMMYFUNCTION("""COMPUTED_VALUE"""),"Land of Spira")</f>
        <v>Land of Spira</v>
      </c>
      <c r="BI31" s="3"/>
      <c r="BJ31" s="3"/>
      <c r="BK31" s="3"/>
      <c r="BL31" s="3" t="b">
        <f>IFERROR(__xludf.DUMMYFUNCTION("""COMPUTED_VALUE"""),FALSE)</f>
        <v>0</v>
      </c>
      <c r="BM31" s="3"/>
      <c r="BN31" s="3"/>
      <c r="BO31" s="3"/>
      <c r="BP31" s="3"/>
      <c r="BQ31" s="3"/>
      <c r="BR31" s="3"/>
      <c r="BS31" s="3"/>
      <c r="BT31" s="3"/>
      <c r="BU31" s="3"/>
      <c r="BV31" s="3"/>
      <c r="BW31" s="3"/>
    </row>
    <row r="32" ht="15.75" customHeight="1">
      <c r="A32" s="2" t="str">
        <f>IFERROR(__xludf.DUMMYFUNCTION("""COMPUTED_VALUE"""),"Big Frost Owl")</f>
        <v>Big Frost Owl</v>
      </c>
      <c r="B32" s="2">
        <f>IFERROR(__xludf.DUMMYFUNCTION("""COMPUTED_VALUE"""),1.0)</f>
        <v>1</v>
      </c>
      <c r="C32" s="1" t="str">
        <f>IFERROR(__xludf.DUMMYFUNCTION("""COMPUTED_VALUE"""),"Hoo! Who? Nay, It's whom for they are the object for which an event is occuring! Said event being death.")</f>
        <v>Hoo! Who? Nay, It's whom for they are the object for which an event is occuring! Said event being death.</v>
      </c>
      <c r="D32" s="5" t="str">
        <f>IFERROR(__xludf.DUMMYFUNCTION("""COMPUTED_VALUE"""),"Beast")</f>
        <v>Beast</v>
      </c>
      <c r="E32" s="5">
        <f>IFERROR(__xludf.DUMMYFUNCTION("""COMPUTED_VALUE"""),1010.0)</f>
        <v>1010</v>
      </c>
      <c r="F32" s="5">
        <f>IFERROR(__xludf.DUMMYFUNCTION("""COMPUTED_VALUE"""),1010.0)</f>
        <v>1010</v>
      </c>
      <c r="G32" s="5">
        <f>IFERROR(__xludf.DUMMYFUNCTION("""COMPUTED_VALUE"""),1010.0)</f>
        <v>1010</v>
      </c>
      <c r="H32" s="2">
        <f>IFERROR(__xludf.DUMMYFUNCTION("""COMPUTED_VALUE"""),10.0)</f>
        <v>10</v>
      </c>
      <c r="I32" s="2">
        <f>IFERROR(__xludf.DUMMYFUNCTION("""COMPUTED_VALUE"""),0.0)</f>
        <v>0</v>
      </c>
      <c r="J32" s="2">
        <f>IFERROR(__xludf.DUMMYFUNCTION("""COMPUTED_VALUE"""),0.0)</f>
        <v>0</v>
      </c>
      <c r="K32" s="2">
        <f>IFERROR(__xludf.DUMMYFUNCTION("""COMPUTED_VALUE"""),100.0)</f>
        <v>100</v>
      </c>
      <c r="L32" s="8">
        <f>IFERROR(__xludf.DUMMYFUNCTION("""COMPUTED_VALUE"""),100.0)</f>
        <v>100</v>
      </c>
      <c r="M32" s="2" t="str">
        <f>IFERROR(__xludf.DUMMYFUNCTION("""COMPUTED_VALUE"""),"Water:100, ")</f>
        <v>Water:100, </v>
      </c>
      <c r="N32" s="2" t="str">
        <f>IFERROR(__xludf.DUMMYFUNCTION("""COMPUTED_VALUE"""),"Fire:100, Nature:100, ")</f>
        <v>Fire:100, Nature:100, </v>
      </c>
      <c r="O32" s="2"/>
      <c r="P32" s="2"/>
      <c r="Q32" s="2"/>
      <c r="R32" s="2"/>
      <c r="S32" s="2"/>
      <c r="T32" s="2"/>
      <c r="U32" s="2"/>
      <c r="V32" s="2"/>
      <c r="W32" s="2"/>
      <c r="X32" s="2"/>
      <c r="Y32" s="2"/>
      <c r="Z32" s="2"/>
      <c r="AA32" s="2"/>
      <c r="AB32" s="2"/>
      <c r="AC32" s="2"/>
      <c r="AD32" s="2"/>
      <c r="AE32" s="2"/>
      <c r="AF32" s="2"/>
      <c r="AG32" s="2"/>
      <c r="AH32" s="2"/>
      <c r="AI32" s="2"/>
      <c r="AJ32" s="2" t="str">
        <f>IFERROR(__xludf.DUMMYFUNCTION("""COMPUTED_VALUE"""),"Rapid Frost Peck")</f>
        <v>Rapid Frost Peck</v>
      </c>
      <c r="AK32" s="2" t="str">
        <f>IFERROR(__xludf.DUMMYFUNCTION("""COMPUTED_VALUE"""),"Roaring Frost Winds")</f>
        <v>Roaring Frost Winds</v>
      </c>
      <c r="AL32" s="2" t="str">
        <f>IFERROR(__xludf.DUMMYFUNCTION("""COMPUTED_VALUE"""),"Bullseye")</f>
        <v>Bullseye</v>
      </c>
      <c r="AM32" s="2" t="str">
        <f>IFERROR(__xludf.DUMMYFUNCTION("""COMPUTED_VALUE"""),"Rapid Swoop")</f>
        <v>Rapid Swoop</v>
      </c>
      <c r="AN32" s="2" t="str">
        <f>IFERROR(__xludf.DUMMYFUNCTION("""COMPUTED_VALUE"""),"Bite")</f>
        <v>Bite</v>
      </c>
      <c r="AO32" s="2" t="str">
        <f>IFERROR(__xludf.DUMMYFUNCTION("""COMPUTED_VALUE"""),"Distracting Blow")</f>
        <v>Distracting Blow</v>
      </c>
      <c r="AP32" s="2" t="str">
        <f>IFERROR(__xludf.DUMMYFUNCTION("""COMPUTED_VALUE"""),"Dive Bomb")</f>
        <v>Dive Bomb</v>
      </c>
      <c r="AQ32" s="2" t="str">
        <f>IFERROR(__xludf.DUMMYFUNCTION("""COMPUTED_VALUE"""),"Freezing Fog")</f>
        <v>Freezing Fog</v>
      </c>
      <c r="AR32" s="2" t="str">
        <f>IFERROR(__xludf.DUMMYFUNCTION("""COMPUTED_VALUE"""),"Multishot")</f>
        <v>Multishot</v>
      </c>
      <c r="AS32" s="2"/>
      <c r="AT32" s="2"/>
      <c r="AU32" s="2"/>
      <c r="AV32" s="2"/>
      <c r="AW32" s="2"/>
      <c r="AX32" s="2"/>
      <c r="AY32" s="2"/>
      <c r="AZ32" s="2"/>
      <c r="BA32" s="3"/>
      <c r="BB32" s="3"/>
      <c r="BC32" s="1"/>
      <c r="BD32" s="3">
        <f>IFERROR(__xludf.DUMMYFUNCTION("""COMPUTED_VALUE"""),0.0)</f>
        <v>0</v>
      </c>
      <c r="BE32" s="4">
        <f>IFERROR(__xludf.DUMMYFUNCTION("""COMPUTED_VALUE"""),10.0)</f>
        <v>10</v>
      </c>
      <c r="BF32" s="3" t="str">
        <f>IFERROR(__xludf.DUMMYFUNCTION("""COMPUTED_VALUE"""),"+5 can be added to this mobs d20 rolls.
Immune to Freezing.")</f>
        <v>+5 can be added to this mobs d20 rolls.
Immune to Freezing.</v>
      </c>
      <c r="BG32" s="3" t="str">
        <f>IFERROR(__xludf.DUMMYFUNCTION("""COMPUTED_VALUE"""),"Tundra")</f>
        <v>Tundra</v>
      </c>
      <c r="BH32" s="3" t="str">
        <f>IFERROR(__xludf.DUMMYFUNCTION("""COMPUTED_VALUE"""),"Land of Spira")</f>
        <v>Land of Spira</v>
      </c>
      <c r="BI32" s="3"/>
      <c r="BJ32" s="3"/>
      <c r="BK32" s="3"/>
      <c r="BL32" s="3" t="b">
        <f>IFERROR(__xludf.DUMMYFUNCTION("""COMPUTED_VALUE"""),FALSE)</f>
        <v>0</v>
      </c>
      <c r="BM32" s="3"/>
      <c r="BN32" s="3"/>
      <c r="BO32" s="3"/>
      <c r="BP32" s="3"/>
      <c r="BQ32" s="3"/>
      <c r="BR32" s="3"/>
      <c r="BS32" s="3"/>
      <c r="BT32" s="3"/>
      <c r="BU32" s="3"/>
      <c r="BV32" s="3"/>
      <c r="BW32" s="3"/>
    </row>
    <row r="33" ht="15.75" customHeight="1">
      <c r="A33" s="2" t="str">
        <f>IFERROR(__xludf.DUMMYFUNCTION("""COMPUTED_VALUE"""),"Black Serpent Dragon")</f>
        <v>Black Serpent Dragon</v>
      </c>
      <c r="B33" s="2">
        <f>IFERROR(__xludf.DUMMYFUNCTION("""COMPUTED_VALUE"""),1.0)</f>
        <v>1</v>
      </c>
      <c r="C33" s="1" t="str">
        <f>IFERROR(__xludf.DUMMYFUNCTION("""COMPUTED_VALUE"""),"Is it a dragon? Is it a snake? Fuck no it's both, as if it couldn't get worse.")</f>
        <v>Is it a dragon? Is it a snake? Fuck no it's both, as if it couldn't get worse.</v>
      </c>
      <c r="D33" s="5" t="str">
        <f>IFERROR(__xludf.DUMMYFUNCTION("""COMPUTED_VALUE"""),"Draconic")</f>
        <v>Draconic</v>
      </c>
      <c r="E33" s="5">
        <f>IFERROR(__xludf.DUMMYFUNCTION("""COMPUTED_VALUE"""),1010.0)</f>
        <v>1010</v>
      </c>
      <c r="F33" s="5">
        <f>IFERROR(__xludf.DUMMYFUNCTION("""COMPUTED_VALUE"""),1010.0)</f>
        <v>1010</v>
      </c>
      <c r="G33" s="5">
        <f>IFERROR(__xludf.DUMMYFUNCTION("""COMPUTED_VALUE"""),1010.0)</f>
        <v>1010</v>
      </c>
      <c r="H33" s="2">
        <f>IFERROR(__xludf.DUMMYFUNCTION("""COMPUTED_VALUE"""),10.0)</f>
        <v>10</v>
      </c>
      <c r="I33" s="2">
        <f>IFERROR(__xludf.DUMMYFUNCTION("""COMPUTED_VALUE"""),0.0)</f>
        <v>0</v>
      </c>
      <c r="J33" s="2">
        <f>IFERROR(__xludf.DUMMYFUNCTION("""COMPUTED_VALUE"""),0.0)</f>
        <v>0</v>
      </c>
      <c r="K33" s="2">
        <f>IFERROR(__xludf.DUMMYFUNCTION("""COMPUTED_VALUE"""),100.0)</f>
        <v>100</v>
      </c>
      <c r="L33" s="8">
        <f>IFERROR(__xludf.DUMMYFUNCTION("""COMPUTED_VALUE"""),100.0)</f>
        <v>100</v>
      </c>
      <c r="M33" s="2"/>
      <c r="N33" s="2"/>
      <c r="O33" s="2"/>
      <c r="P33" s="2"/>
      <c r="Q33" s="2"/>
      <c r="R33" s="2"/>
      <c r="S33" s="2"/>
      <c r="T33" s="2"/>
      <c r="U33" s="2"/>
      <c r="V33" s="2"/>
      <c r="W33" s="2"/>
      <c r="X33" s="2"/>
      <c r="Y33" s="2"/>
      <c r="Z33" s="2"/>
      <c r="AA33" s="2"/>
      <c r="AB33" s="2"/>
      <c r="AC33" s="2"/>
      <c r="AD33" s="2"/>
      <c r="AE33" s="2"/>
      <c r="AF33" s="2"/>
      <c r="AG33" s="2"/>
      <c r="AH33" s="2"/>
      <c r="AI33" s="2"/>
      <c r="AJ33" s="2" t="str">
        <f>IFERROR(__xludf.DUMMYFUNCTION("""COMPUTED_VALUE"""),"Darkest Abyss")</f>
        <v>Darkest Abyss</v>
      </c>
      <c r="AK33" s="2" t="str">
        <f>IFERROR(__xludf.DUMMYFUNCTION("""COMPUTED_VALUE"""),"Dark Curse")</f>
        <v>Dark Curse</v>
      </c>
      <c r="AL33" s="2" t="str">
        <f>IFERROR(__xludf.DUMMYFUNCTION("""COMPUTED_VALUE"""),"Darkness Ablaze")</f>
        <v>Darkness Ablaze</v>
      </c>
      <c r="AM33" s="2" t="str">
        <f>IFERROR(__xludf.DUMMYFUNCTION("""COMPUTED_VALUE"""),"Chaotic Shadow Storm")</f>
        <v>Chaotic Shadow Storm</v>
      </c>
      <c r="AN33" s="2" t="str">
        <f>IFERROR(__xludf.DUMMYFUNCTION("""COMPUTED_VALUE"""),"Chaotic Shadow Breath")</f>
        <v>Chaotic Shadow Breath</v>
      </c>
      <c r="AO33" s="2" t="str">
        <f>IFERROR(__xludf.DUMMYFUNCTION("""COMPUTED_VALUE"""),"Berserk")</f>
        <v>Berserk</v>
      </c>
      <c r="AP33" s="2" t="str">
        <f>IFERROR(__xludf.DUMMYFUNCTION("""COMPUTED_VALUE"""),"Multishot")</f>
        <v>Multishot</v>
      </c>
      <c r="AQ33" s="2" t="str">
        <f>IFERROR(__xludf.DUMMYFUNCTION("""COMPUTED_VALUE"""),"Claws")</f>
        <v>Claws</v>
      </c>
      <c r="AR33" s="2" t="str">
        <f>IFERROR(__xludf.DUMMYFUNCTION("""COMPUTED_VALUE"""),"Greater Dragon's Breath")</f>
        <v>Greater Dragon's Breath</v>
      </c>
      <c r="AS33" s="2" t="str">
        <f>IFERROR(__xludf.DUMMYFUNCTION("""COMPUTED_VALUE"""),"Vaporize")</f>
        <v>Vaporize</v>
      </c>
      <c r="AT33" s="2" t="str">
        <f>IFERROR(__xludf.DUMMYFUNCTION("""COMPUTED_VALUE"""),"Cancel")</f>
        <v>Cancel</v>
      </c>
      <c r="AU33" s="2" t="str">
        <f>IFERROR(__xludf.DUMMYFUNCTION("""COMPUTED_VALUE"""),"Dive Bomb")</f>
        <v>Dive Bomb</v>
      </c>
      <c r="AV33" s="2" t="str">
        <f>IFERROR(__xludf.DUMMYFUNCTION("""COMPUTED_VALUE"""),"Max Focus")</f>
        <v>Max Focus</v>
      </c>
      <c r="AW33" s="2"/>
      <c r="AX33" s="2"/>
      <c r="AY33" s="2"/>
      <c r="AZ33" s="2"/>
      <c r="BA33" s="3"/>
      <c r="BB33" s="3"/>
      <c r="BC33" s="1"/>
      <c r="BD33" s="3">
        <f>IFERROR(__xludf.DUMMYFUNCTION("""COMPUTED_VALUE"""),0.0)</f>
        <v>0</v>
      </c>
      <c r="BE33" s="4">
        <f>IFERROR(__xludf.DUMMYFUNCTION("""COMPUTED_VALUE"""),10.0)</f>
        <v>10</v>
      </c>
      <c r="BF33" s="3" t="str">
        <f>IFERROR(__xludf.DUMMYFUNCTION("""COMPUTED_VALUE"""),"Dragons Luck II: +10 can be added to the casters d20 rolls.
Serpents Luck II:  +10 can be added to the casters d20 rolls.
75% chance to be unaffected by any spells affecting this mob")</f>
        <v>Dragons Luck II: +10 can be added to the casters d20 rolls.
Serpents Luck II:  +10 can be added to the casters d20 rolls.
75% chance to be unaffected by any spells affecting this mob</v>
      </c>
      <c r="BG33" s="3" t="str">
        <f>IFERROR(__xludf.DUMMYFUNCTION("""COMPUTED_VALUE"""),"All")</f>
        <v>All</v>
      </c>
      <c r="BH33" s="3" t="str">
        <f>IFERROR(__xludf.DUMMYFUNCTION("""COMPUTED_VALUE"""),"Abstara")</f>
        <v>Abstara</v>
      </c>
      <c r="BI33" s="3"/>
      <c r="BJ33" s="3"/>
      <c r="BK33" s="3"/>
      <c r="BL33" s="3" t="b">
        <f>IFERROR(__xludf.DUMMYFUNCTION("""COMPUTED_VALUE"""),FALSE)</f>
        <v>0</v>
      </c>
      <c r="BM33" s="3"/>
      <c r="BN33" s="3"/>
      <c r="BO33" s="3"/>
      <c r="BP33" s="3"/>
      <c r="BQ33" s="3"/>
      <c r="BR33" s="3"/>
      <c r="BS33" s="3"/>
      <c r="BT33" s="3"/>
      <c r="BU33" s="3"/>
      <c r="BV33" s="3"/>
      <c r="BW33" s="3"/>
    </row>
    <row r="34" ht="15.75" customHeight="1">
      <c r="A34" s="2" t="str">
        <f>IFERROR(__xludf.DUMMYFUNCTION("""COMPUTED_VALUE"""),"Black Soul")</f>
        <v>Black Soul</v>
      </c>
      <c r="B34" s="2">
        <f>IFERROR(__xludf.DUMMYFUNCTION("""COMPUTED_VALUE"""),1.0)</f>
        <v>1</v>
      </c>
      <c r="C34" s="1" t="str">
        <f>IFERROR(__xludf.DUMMYFUNCTION("""COMPUTED_VALUE"""),"Just a common nameless soul within the depths of abstara, for some reason they don't much seem to like you, probably from something you killed.")</f>
        <v>Just a common nameless soul within the depths of abstara, for some reason they don't much seem to like you, probably from something you killed.</v>
      </c>
      <c r="D34" s="5" t="str">
        <f>IFERROR(__xludf.DUMMYFUNCTION("""COMPUTED_VALUE"""),"Spirit")</f>
        <v>Spirit</v>
      </c>
      <c r="E34" s="5">
        <f>IFERROR(__xludf.DUMMYFUNCTION("""COMPUTED_VALUE"""),1010.0)</f>
        <v>1010</v>
      </c>
      <c r="F34" s="5">
        <f>IFERROR(__xludf.DUMMYFUNCTION("""COMPUTED_VALUE"""),1010.0)</f>
        <v>1010</v>
      </c>
      <c r="G34" s="5">
        <f>IFERROR(__xludf.DUMMYFUNCTION("""COMPUTED_VALUE"""),1010.0)</f>
        <v>1010</v>
      </c>
      <c r="H34" s="2">
        <f>IFERROR(__xludf.DUMMYFUNCTION("""COMPUTED_VALUE"""),10.0)</f>
        <v>10</v>
      </c>
      <c r="I34" s="2">
        <f>IFERROR(__xludf.DUMMYFUNCTION("""COMPUTED_VALUE"""),0.0)</f>
        <v>0</v>
      </c>
      <c r="J34" s="2">
        <f>IFERROR(__xludf.DUMMYFUNCTION("""COMPUTED_VALUE"""),0.0)</f>
        <v>0</v>
      </c>
      <c r="K34" s="2">
        <f>IFERROR(__xludf.DUMMYFUNCTION("""COMPUTED_VALUE"""),100.0)</f>
        <v>100</v>
      </c>
      <c r="L34" s="8">
        <f>IFERROR(__xludf.DUMMYFUNCTION("""COMPUTED_VALUE"""),100.0)</f>
        <v>100</v>
      </c>
      <c r="M34" s="2" t="str">
        <f>IFERROR(__xludf.DUMMYFUNCTION("""COMPUTED_VALUE"""),"Dark:Immune, Spirit:Immune, ")</f>
        <v>Dark:Immune, Spirit:Immune, </v>
      </c>
      <c r="N34" s="2" t="str">
        <f>IFERROR(__xludf.DUMMYFUNCTION("""COMPUTED_VALUE"""),"Fire:100, Light:100, ")</f>
        <v>Fire:100, Light:100, </v>
      </c>
      <c r="O34" s="2"/>
      <c r="P34" s="2"/>
      <c r="Q34" s="2"/>
      <c r="R34" s="2"/>
      <c r="S34" s="2"/>
      <c r="T34" s="2"/>
      <c r="U34" s="2"/>
      <c r="V34" s="2"/>
      <c r="W34" s="2"/>
      <c r="X34" s="2"/>
      <c r="Y34" s="2"/>
      <c r="Z34" s="2"/>
      <c r="AA34" s="2"/>
      <c r="AB34" s="2"/>
      <c r="AC34" s="2"/>
      <c r="AD34" s="2"/>
      <c r="AE34" s="2"/>
      <c r="AF34" s="2"/>
      <c r="AG34" s="2"/>
      <c r="AH34" s="2"/>
      <c r="AI34" s="2"/>
      <c r="AJ34" s="2" t="str">
        <f>IFERROR(__xludf.DUMMYFUNCTION("""COMPUTED_VALUE"""),"A Deal With The Spirit World")</f>
        <v>A Deal With The Spirit World</v>
      </c>
      <c r="AK34" s="2" t="str">
        <f>IFERROR(__xludf.DUMMYFUNCTION("""COMPUTED_VALUE"""),"Final Blast")</f>
        <v>Final Blast</v>
      </c>
      <c r="AL34" s="2" t="str">
        <f>IFERROR(__xludf.DUMMYFUNCTION("""COMPUTED_VALUE"""),"Soul Shot")</f>
        <v>Soul Shot</v>
      </c>
      <c r="AM34" s="2" t="str">
        <f>IFERROR(__xludf.DUMMYFUNCTION("""COMPUTED_VALUE"""),"Final Rest")</f>
        <v>Final Rest</v>
      </c>
      <c r="AN34" s="2" t="str">
        <f>IFERROR(__xludf.DUMMYFUNCTION("""COMPUTED_VALUE"""),"Soul Trap")</f>
        <v>Soul Trap</v>
      </c>
      <c r="AO34" s="2" t="str">
        <f>IFERROR(__xludf.DUMMYFUNCTION("""COMPUTED_VALUE"""),"Possession")</f>
        <v>Possession</v>
      </c>
      <c r="AP34" s="2" t="str">
        <f>IFERROR(__xludf.DUMMYFUNCTION("""COMPUTED_VALUE"""),"Confuse")</f>
        <v>Confuse</v>
      </c>
      <c r="AQ34" s="2"/>
      <c r="AR34" s="2"/>
      <c r="AS34" s="2"/>
      <c r="AT34" s="2"/>
      <c r="AU34" s="2"/>
      <c r="AV34" s="2"/>
      <c r="AW34" s="2"/>
      <c r="AX34" s="2"/>
      <c r="AY34" s="2"/>
      <c r="AZ34" s="2"/>
      <c r="BA34" s="3"/>
      <c r="BB34" s="3"/>
      <c r="BC34" s="1"/>
      <c r="BD34" s="3">
        <f>IFERROR(__xludf.DUMMYFUNCTION("""COMPUTED_VALUE"""),0.0)</f>
        <v>0</v>
      </c>
      <c r="BE34" s="4">
        <f>IFERROR(__xludf.DUMMYFUNCTION("""COMPUTED_VALUE"""),10.0)</f>
        <v>10</v>
      </c>
      <c r="BF34" s="3" t="str">
        <f>IFERROR(__xludf.DUMMYFUNCTION("""COMPUTED_VALUE"""),"The Black Spirit -  After 1 round a black token will appear in battle, after another round if the token is still there, a dark explosion will occur causing instant death to all enemies.")</f>
        <v>The Black Spirit -  After 1 round a black token will appear in battle, after another round if the token is still there, a dark explosion will occur causing instant death to all enemies.</v>
      </c>
      <c r="BG34" s="3" t="str">
        <f>IFERROR(__xludf.DUMMYFUNCTION("""COMPUTED_VALUE"""),"All")</f>
        <v>All</v>
      </c>
      <c r="BH34" s="3" t="str">
        <f>IFERROR(__xludf.DUMMYFUNCTION("""COMPUTED_VALUE"""),"Abstara")</f>
        <v>Abstara</v>
      </c>
      <c r="BI34" s="3"/>
      <c r="BJ34" s="3"/>
      <c r="BK34" s="3"/>
      <c r="BL34" s="3" t="b">
        <f>IFERROR(__xludf.DUMMYFUNCTION("""COMPUTED_VALUE"""),FALSE)</f>
        <v>0</v>
      </c>
      <c r="BM34" s="3"/>
      <c r="BN34" s="3"/>
      <c r="BO34" s="3"/>
      <c r="BP34" s="3"/>
      <c r="BQ34" s="3"/>
      <c r="BR34" s="3"/>
      <c r="BS34" s="3"/>
      <c r="BT34" s="3"/>
      <c r="BU34" s="3"/>
      <c r="BV34" s="3"/>
      <c r="BW34" s="3"/>
    </row>
    <row r="35" ht="15.75" customHeight="1">
      <c r="A35" s="2" t="str">
        <f>IFERROR(__xludf.DUMMYFUNCTION("""COMPUTED_VALUE"""),"Blood Monk")</f>
        <v>Blood Monk</v>
      </c>
      <c r="B35" s="2">
        <f>IFERROR(__xludf.DUMMYFUNCTION("""COMPUTED_VALUE"""),1.0)</f>
        <v>1</v>
      </c>
      <c r="C35" s="1" t="str">
        <f>IFERROR(__xludf.DUMMYFUNCTION("""COMPUTED_VALUE"""),"Monks, edgy edition.")</f>
        <v>Monks, edgy edition.</v>
      </c>
      <c r="D35" s="5" t="str">
        <f>IFERROR(__xludf.DUMMYFUNCTION("""COMPUTED_VALUE"""),"Humanoid")</f>
        <v>Humanoid</v>
      </c>
      <c r="E35" s="5">
        <f>IFERROR(__xludf.DUMMYFUNCTION("""COMPUTED_VALUE"""),1010.0)</f>
        <v>1010</v>
      </c>
      <c r="F35" s="5">
        <f>IFERROR(__xludf.DUMMYFUNCTION("""COMPUTED_VALUE"""),1010.0)</f>
        <v>1010</v>
      </c>
      <c r="G35" s="5">
        <f>IFERROR(__xludf.DUMMYFUNCTION("""COMPUTED_VALUE"""),1010.0)</f>
        <v>1010</v>
      </c>
      <c r="H35" s="2">
        <f>IFERROR(__xludf.DUMMYFUNCTION("""COMPUTED_VALUE"""),10.0)</f>
        <v>10</v>
      </c>
      <c r="I35" s="2">
        <f>IFERROR(__xludf.DUMMYFUNCTION("""COMPUTED_VALUE"""),0.0)</f>
        <v>0</v>
      </c>
      <c r="J35" s="2">
        <f>IFERROR(__xludf.DUMMYFUNCTION("""COMPUTED_VALUE"""),0.0)</f>
        <v>0</v>
      </c>
      <c r="K35" s="2">
        <f>IFERROR(__xludf.DUMMYFUNCTION("""COMPUTED_VALUE"""),100.0)</f>
        <v>100</v>
      </c>
      <c r="L35" s="8">
        <f>IFERROR(__xludf.DUMMYFUNCTION("""COMPUTED_VALUE"""),100.0)</f>
        <v>100</v>
      </c>
      <c r="M35" s="2" t="str">
        <f>IFERROR(__xludf.DUMMYFUNCTION("""COMPUTED_VALUE"""),"Dark:Immune, Zen:Immune, ")</f>
        <v>Dark:Immune, Zen:Immune, </v>
      </c>
      <c r="N35" s="2" t="str">
        <f>IFERROR(__xludf.DUMMYFUNCTION("""COMPUTED_VALUE"""),"Fire:100, Light:100, Voodoo:100, ")</f>
        <v>Fire:100, Light:100, Voodoo:100, </v>
      </c>
      <c r="O35" s="2"/>
      <c r="P35" s="2"/>
      <c r="Q35" s="2"/>
      <c r="R35" s="2"/>
      <c r="S35" s="2"/>
      <c r="T35" s="2"/>
      <c r="U35" s="2"/>
      <c r="V35" s="2"/>
      <c r="W35" s="2" t="str">
        <f>IFERROR(__xludf.DUMMYFUNCTION("""COMPUTED_VALUE"""),"Blood Katana")</f>
        <v>Blood Katana</v>
      </c>
      <c r="X35" s="2"/>
      <c r="Y35" s="2"/>
      <c r="Z35" s="2"/>
      <c r="AA35" s="2"/>
      <c r="AB35" s="2"/>
      <c r="AC35" s="2"/>
      <c r="AD35" s="2"/>
      <c r="AE35" s="2"/>
      <c r="AF35" s="2"/>
      <c r="AG35" s="2"/>
      <c r="AH35" s="2"/>
      <c r="AI35" s="2"/>
      <c r="AJ35" s="2" t="str">
        <f>IFERROR(__xludf.DUMMYFUNCTION("""COMPUTED_VALUE"""),"The All Knowing Eye")</f>
        <v>The All Knowing Eye</v>
      </c>
      <c r="AK35" s="2" t="str">
        <f>IFERROR(__xludf.DUMMYFUNCTION("""COMPUTED_VALUE"""),"Focus")</f>
        <v>Focus</v>
      </c>
      <c r="AL35" s="2" t="str">
        <f>IFERROR(__xludf.DUMMYFUNCTION("""COMPUTED_VALUE"""),"Mind Press")</f>
        <v>Mind Press</v>
      </c>
      <c r="AM35" s="2" t="str">
        <f>IFERROR(__xludf.DUMMYFUNCTION("""COMPUTED_VALUE"""),"FlashStep")</f>
        <v>FlashStep</v>
      </c>
      <c r="AN35" s="2" t="str">
        <f>IFERROR(__xludf.DUMMYFUNCTION("""COMPUTED_VALUE"""),"A Worthy Sacrifice")</f>
        <v>A Worthy Sacrifice</v>
      </c>
      <c r="AO35" s="2" t="str">
        <f>IFERROR(__xludf.DUMMYFUNCTION("""COMPUTED_VALUE"""),"Blood Barrage")</f>
        <v>Blood Barrage</v>
      </c>
      <c r="AP35" s="2" t="str">
        <f>IFERROR(__xludf.DUMMYFUNCTION("""COMPUTED_VALUE"""),"Blood Geyser")</f>
        <v>Blood Geyser</v>
      </c>
      <c r="AQ35" s="2"/>
      <c r="AR35" s="2"/>
      <c r="AS35" s="2"/>
      <c r="AT35" s="2"/>
      <c r="AU35" s="2"/>
      <c r="AV35" s="2"/>
      <c r="AW35" s="2"/>
      <c r="AX35" s="2"/>
      <c r="AY35" s="2"/>
      <c r="AZ35" s="2"/>
      <c r="BA35" s="3"/>
      <c r="BB35" s="3"/>
      <c r="BC35" s="1"/>
      <c r="BD35" s="3">
        <f>IFERROR(__xludf.DUMMYFUNCTION("""COMPUTED_VALUE"""),0.0)</f>
        <v>0</v>
      </c>
      <c r="BE35" s="4">
        <f>IFERROR(__xludf.DUMMYFUNCTION("""COMPUTED_VALUE"""),10.0)</f>
        <v>10</v>
      </c>
      <c r="BF35" s="3"/>
      <c r="BG35" s="3" t="str">
        <f>IFERROR(__xludf.DUMMYFUNCTION("""COMPUTED_VALUE"""),"City/Town")</f>
        <v>City/Town</v>
      </c>
      <c r="BH35" s="3" t="str">
        <f>IFERROR(__xludf.DUMMYFUNCTION("""COMPUTED_VALUE"""),"Land Of Spira")</f>
        <v>Land Of Spira</v>
      </c>
      <c r="BI35" s="3"/>
      <c r="BJ35" s="3"/>
      <c r="BK35" s="3"/>
      <c r="BL35" s="3" t="b">
        <f>IFERROR(__xludf.DUMMYFUNCTION("""COMPUTED_VALUE"""),FALSE)</f>
        <v>0</v>
      </c>
      <c r="BM35" s="3"/>
      <c r="BN35" s="3"/>
      <c r="BO35" s="3"/>
      <c r="BP35" s="3"/>
      <c r="BQ35" s="3"/>
      <c r="BR35" s="3"/>
      <c r="BS35" s="3"/>
      <c r="BT35" s="3"/>
      <c r="BU35" s="3"/>
      <c r="BV35" s="3"/>
      <c r="BW35" s="3"/>
    </row>
    <row r="36" ht="15.75" customHeight="1">
      <c r="A36" s="2" t="str">
        <f>IFERROR(__xludf.DUMMYFUNCTION("""COMPUTED_VALUE"""),"Blue Soul")</f>
        <v>Blue Soul</v>
      </c>
      <c r="B36" s="2">
        <f>IFERROR(__xludf.DUMMYFUNCTION("""COMPUTED_VALUE"""),1.0)</f>
        <v>1</v>
      </c>
      <c r="C36" s="2" t="str">
        <f>IFERROR(__xludf.DUMMYFUNCTION("""COMPUTED_VALUE"""),"Just a common nameless soul within the depths of abstara, for some reason they don't much seem to like you, probably from something you killed.")</f>
        <v>Just a common nameless soul within the depths of abstara, for some reason they don't much seem to like you, probably from something you killed.</v>
      </c>
      <c r="D36" s="5" t="str">
        <f>IFERROR(__xludf.DUMMYFUNCTION("""COMPUTED_VALUE"""),"Spirit")</f>
        <v>Spirit</v>
      </c>
      <c r="E36" s="5">
        <f>IFERROR(__xludf.DUMMYFUNCTION("""COMPUTED_VALUE"""),1010.0)</f>
        <v>1010</v>
      </c>
      <c r="F36" s="5">
        <f>IFERROR(__xludf.DUMMYFUNCTION("""COMPUTED_VALUE"""),1010.0)</f>
        <v>1010</v>
      </c>
      <c r="G36" s="5">
        <f>IFERROR(__xludf.DUMMYFUNCTION("""COMPUTED_VALUE"""),1010.0)</f>
        <v>1010</v>
      </c>
      <c r="H36" s="2">
        <f>IFERROR(__xludf.DUMMYFUNCTION("""COMPUTED_VALUE"""),10.0)</f>
        <v>10</v>
      </c>
      <c r="I36" s="2">
        <f>IFERROR(__xludf.DUMMYFUNCTION("""COMPUTED_VALUE"""),0.0)</f>
        <v>0</v>
      </c>
      <c r="J36" s="5">
        <f>IFERROR(__xludf.DUMMYFUNCTION("""COMPUTED_VALUE"""),0.0)</f>
        <v>0</v>
      </c>
      <c r="K36" s="5">
        <f>IFERROR(__xludf.DUMMYFUNCTION("""COMPUTED_VALUE"""),100.0)</f>
        <v>100</v>
      </c>
      <c r="L36" s="2">
        <f>IFERROR(__xludf.DUMMYFUNCTION("""COMPUTED_VALUE"""),100.0)</f>
        <v>100</v>
      </c>
      <c r="M36" s="2" t="str">
        <f>IFERROR(__xludf.DUMMYFUNCTION("""COMPUTED_VALUE"""),"Water:Immune, Spirit:Immune, ")</f>
        <v>Water:Immune, Spirit:Immune, </v>
      </c>
      <c r="N36" s="2" t="str">
        <f>IFERROR(__xludf.DUMMYFUNCTION("""COMPUTED_VALUE"""),"Nature:100, ")</f>
        <v>Nature:100, </v>
      </c>
      <c r="O36" s="2"/>
      <c r="P36" s="2"/>
      <c r="Q36" s="2"/>
      <c r="R36" s="2"/>
      <c r="S36" s="2"/>
      <c r="T36" s="2"/>
      <c r="U36" s="2"/>
      <c r="V36" s="2"/>
      <c r="W36" s="2"/>
      <c r="X36" s="2"/>
      <c r="Y36" s="2"/>
      <c r="Z36" s="2"/>
      <c r="AA36" s="2"/>
      <c r="AB36" s="2"/>
      <c r="AC36" s="2"/>
      <c r="AD36" s="2"/>
      <c r="AE36" s="2"/>
      <c r="AF36" s="2"/>
      <c r="AG36" s="2"/>
      <c r="AH36" s="2"/>
      <c r="AI36" s="2"/>
      <c r="AJ36" s="2" t="str">
        <f>IFERROR(__xludf.DUMMYFUNCTION("""COMPUTED_VALUE"""),"A Deal With The Spirit World")</f>
        <v>A Deal With The Spirit World</v>
      </c>
      <c r="AK36" s="2" t="str">
        <f>IFERROR(__xludf.DUMMYFUNCTION("""COMPUTED_VALUE"""),"Final Blast")</f>
        <v>Final Blast</v>
      </c>
      <c r="AL36" s="2" t="str">
        <f>IFERROR(__xludf.DUMMYFUNCTION("""COMPUTED_VALUE"""),"Soul Shot")</f>
        <v>Soul Shot</v>
      </c>
      <c r="AM36" s="2" t="str">
        <f>IFERROR(__xludf.DUMMYFUNCTION("""COMPUTED_VALUE"""),"Final Rest")</f>
        <v>Final Rest</v>
      </c>
      <c r="AN36" s="2" t="str">
        <f>IFERROR(__xludf.DUMMYFUNCTION("""COMPUTED_VALUE"""),"Soul Trap")</f>
        <v>Soul Trap</v>
      </c>
      <c r="AO36" s="2" t="str">
        <f>IFERROR(__xludf.DUMMYFUNCTION("""COMPUTED_VALUE"""),"Possession")</f>
        <v>Possession</v>
      </c>
      <c r="AP36" s="2" t="str">
        <f>IFERROR(__xludf.DUMMYFUNCTION("""COMPUTED_VALUE"""),"Confuse")</f>
        <v>Confuse</v>
      </c>
      <c r="AQ36" s="2"/>
      <c r="AR36" s="2"/>
      <c r="AS36" s="2"/>
      <c r="AT36" s="2"/>
      <c r="AU36" s="2"/>
      <c r="AV36" s="2"/>
      <c r="AW36" s="2"/>
      <c r="AX36" s="2"/>
      <c r="AY36" s="2"/>
      <c r="AZ36" s="2"/>
      <c r="BA36" s="3"/>
      <c r="BB36" s="3"/>
      <c r="BC36" s="1"/>
      <c r="BD36" s="3">
        <f>IFERROR(__xludf.DUMMYFUNCTION("""COMPUTED_VALUE"""),0.0)</f>
        <v>0</v>
      </c>
      <c r="BE36" s="4">
        <f>IFERROR(__xludf.DUMMYFUNCTION("""COMPUTED_VALUE"""),10.0)</f>
        <v>10</v>
      </c>
      <c r="BF36" s="3" t="str">
        <f>IFERROR(__xludf.DUMMYFUNCTION("""COMPUTED_VALUE"""),"The Blue Spirit -  After 1 round a blue token will appear in battle, after another round if the token is still there, a giant whirlpool will occur causing all enemies to be teleported to a random location on the map.")</f>
        <v>The Blue Spirit -  After 1 round a blue token will appear in battle, after another round if the token is still there, a giant whirlpool will occur causing all enemies to be teleported to a random location on the map.</v>
      </c>
      <c r="BG36" s="3" t="str">
        <f>IFERROR(__xludf.DUMMYFUNCTION("""COMPUTED_VALUE"""),"All")</f>
        <v>All</v>
      </c>
      <c r="BH36" s="3" t="str">
        <f>IFERROR(__xludf.DUMMYFUNCTION("""COMPUTED_VALUE"""),"Abstara")</f>
        <v>Abstara</v>
      </c>
      <c r="BI36" s="3"/>
      <c r="BJ36" s="3"/>
      <c r="BK36" s="3"/>
      <c r="BL36" s="3" t="b">
        <f>IFERROR(__xludf.DUMMYFUNCTION("""COMPUTED_VALUE"""),FALSE)</f>
        <v>0</v>
      </c>
      <c r="BM36" s="3"/>
      <c r="BN36" s="3"/>
      <c r="BO36" s="3"/>
      <c r="BP36" s="3"/>
      <c r="BQ36" s="3"/>
      <c r="BR36" s="3"/>
      <c r="BS36" s="3"/>
      <c r="BT36" s="3"/>
      <c r="BU36" s="3"/>
      <c r="BV36" s="3"/>
      <c r="BW36" s="3"/>
    </row>
    <row r="37" ht="15.75" customHeight="1">
      <c r="A37" s="2" t="str">
        <f>IFERROR(__xludf.DUMMYFUNCTION("""COMPUTED_VALUE"""),"Boar")</f>
        <v>Boar</v>
      </c>
      <c r="B37" s="2">
        <f>IFERROR(__xludf.DUMMYFUNCTION("""COMPUTED_VALUE"""),1.0)</f>
        <v>1</v>
      </c>
      <c r="C37" s="2" t="str">
        <f>IFERROR(__xludf.DUMMYFUNCTION("""COMPUTED_VALUE"""),"The tenacious bastards of nature, never quite knowing when to quit, and weirdly enough also the emblem for many families.")</f>
        <v>The tenacious bastards of nature, never quite knowing when to quit, and weirdly enough also the emblem for many families.</v>
      </c>
      <c r="D37" s="2" t="str">
        <f>IFERROR(__xludf.DUMMYFUNCTION("""COMPUTED_VALUE"""),"Beast")</f>
        <v>Beast</v>
      </c>
      <c r="E37" s="2">
        <f>IFERROR(__xludf.DUMMYFUNCTION("""COMPUTED_VALUE"""),1010.0)</f>
        <v>1010</v>
      </c>
      <c r="F37" s="5">
        <f>IFERROR(__xludf.DUMMYFUNCTION("""COMPUTED_VALUE"""),1010.0)</f>
        <v>1010</v>
      </c>
      <c r="G37" s="2">
        <f>IFERROR(__xludf.DUMMYFUNCTION("""COMPUTED_VALUE"""),51010.0)</f>
        <v>51010</v>
      </c>
      <c r="H37" s="2">
        <f>IFERROR(__xludf.DUMMYFUNCTION("""COMPUTED_VALUE"""),10.0)</f>
        <v>10</v>
      </c>
      <c r="I37" s="2">
        <f>IFERROR(__xludf.DUMMYFUNCTION("""COMPUTED_VALUE"""),0.0)</f>
        <v>0</v>
      </c>
      <c r="J37" s="2">
        <f>IFERROR(__xludf.DUMMYFUNCTION("""COMPUTED_VALUE"""),0.0)</f>
        <v>0</v>
      </c>
      <c r="K37" s="2">
        <f>IFERROR(__xludf.DUMMYFUNCTION("""COMPUTED_VALUE"""),100.0)</f>
        <v>100</v>
      </c>
      <c r="L37" s="2">
        <f>IFERROR(__xludf.DUMMYFUNCTION("""COMPUTED_VALUE"""),100.0)</f>
        <v>100</v>
      </c>
      <c r="M37" s="2" t="str">
        <f>IFERROR(__xludf.DUMMYFUNCTION("""COMPUTED_VALUE"""),"")</f>
        <v/>
      </c>
      <c r="N37" s="2" t="str">
        <f>IFERROR(__xludf.DUMMYFUNCTION("""COMPUTED_VALUE"""),"")</f>
        <v/>
      </c>
      <c r="O37" s="2"/>
      <c r="P37" s="2"/>
      <c r="Q37" s="2"/>
      <c r="R37" s="2"/>
      <c r="S37" s="2"/>
      <c r="T37" s="2"/>
      <c r="U37" s="2"/>
      <c r="V37" s="2"/>
      <c r="W37" s="2"/>
      <c r="X37" s="2"/>
      <c r="Y37" s="2"/>
      <c r="Z37" s="2"/>
      <c r="AA37" s="2"/>
      <c r="AB37" s="2"/>
      <c r="AC37" s="2"/>
      <c r="AD37" s="2"/>
      <c r="AE37" s="2"/>
      <c r="AF37" s="2"/>
      <c r="AG37" s="2"/>
      <c r="AH37" s="2"/>
      <c r="AI37" s="2"/>
      <c r="AJ37" s="2" t="str">
        <f>IFERROR(__xludf.DUMMYFUNCTION("""COMPUTED_VALUE"""),"Gore")</f>
        <v>Gore</v>
      </c>
      <c r="AK37" s="2" t="str">
        <f>IFERROR(__xludf.DUMMYFUNCTION("""COMPUTED_VALUE"""),"Distracting Blow")</f>
        <v>Distracting Blow</v>
      </c>
      <c r="AL37" s="2" t="str">
        <f>IFERROR(__xludf.DUMMYFUNCTION("""COMPUTED_VALUE"""),"Taunt")</f>
        <v>Taunt</v>
      </c>
      <c r="AM37" s="2" t="str">
        <f>IFERROR(__xludf.DUMMYFUNCTION("""COMPUTED_VALUE"""),"Guard")</f>
        <v>Guard</v>
      </c>
      <c r="AN37" s="2" t="str">
        <f>IFERROR(__xludf.DUMMYFUNCTION("""COMPUTED_VALUE"""),"Tackle")</f>
        <v>Tackle</v>
      </c>
      <c r="AO37" s="2" t="str">
        <f>IFERROR(__xludf.DUMMYFUNCTION("""COMPUTED_VALUE"""),"Aggresive Tear")</f>
        <v>Aggresive Tear</v>
      </c>
      <c r="AP37" s="2"/>
      <c r="AQ37" s="2"/>
      <c r="AR37" s="2"/>
      <c r="AS37" s="2"/>
      <c r="AT37" s="2"/>
      <c r="AU37" s="2"/>
      <c r="AV37" s="2"/>
      <c r="AW37" s="2"/>
      <c r="AX37" s="2"/>
      <c r="AY37" s="2"/>
      <c r="AZ37" s="2"/>
      <c r="BA37" s="3"/>
      <c r="BB37" s="3"/>
      <c r="BC37" s="1"/>
      <c r="BD37" s="3">
        <f>IFERROR(__xludf.DUMMYFUNCTION("""COMPUTED_VALUE"""),0.0)</f>
        <v>0</v>
      </c>
      <c r="BE37" s="4">
        <f>IFERROR(__xludf.DUMMYFUNCTION("""COMPUTED_VALUE"""),10.0)</f>
        <v>10</v>
      </c>
      <c r="BF37" s="3"/>
      <c r="BG37" s="3" t="str">
        <f>IFERROR(__xludf.DUMMYFUNCTION("""COMPUTED_VALUE"""),"Forest")</f>
        <v>Forest</v>
      </c>
      <c r="BH37" s="3" t="str">
        <f>IFERROR(__xludf.DUMMYFUNCTION("""COMPUTED_VALUE"""),"Land of Spira")</f>
        <v>Land of Spira</v>
      </c>
      <c r="BI37" s="3"/>
      <c r="BJ37" s="3"/>
      <c r="BK37" s="3"/>
      <c r="BL37" s="3" t="b">
        <f>IFERROR(__xludf.DUMMYFUNCTION("""COMPUTED_VALUE"""),FALSE)</f>
        <v>0</v>
      </c>
      <c r="BM37" s="3"/>
      <c r="BN37" s="3"/>
      <c r="BO37" s="3"/>
      <c r="BP37" s="3"/>
      <c r="BQ37" s="3"/>
      <c r="BR37" s="3"/>
      <c r="BS37" s="3"/>
      <c r="BT37" s="3"/>
      <c r="BU37" s="3"/>
      <c r="BV37" s="3"/>
      <c r="BW37" s="3"/>
    </row>
    <row r="38" ht="15.75" customHeight="1">
      <c r="A38" s="2" t="str">
        <f>IFERROR(__xludf.DUMMYFUNCTION("""COMPUTED_VALUE"""),"Bounty Hunter")</f>
        <v>Bounty Hunter</v>
      </c>
      <c r="B38" s="2">
        <f>IFERROR(__xludf.DUMMYFUNCTION("""COMPUTED_VALUE"""),1.0)</f>
        <v>1</v>
      </c>
      <c r="C38" s="1" t="str">
        <f>IFERROR(__xludf.DUMMYFUNCTION("""COMPUTED_VALUE"""),"Better hope you're sorely lacking in a bounty, otherwise these friendly folk are going have a word with you.")</f>
        <v>Better hope you're sorely lacking in a bounty, otherwise these friendly folk are going have a word with you.</v>
      </c>
      <c r="D38" s="2" t="str">
        <f>IFERROR(__xludf.DUMMYFUNCTION("""COMPUTED_VALUE"""),"Humanoid")</f>
        <v>Humanoid</v>
      </c>
      <c r="E38" s="2">
        <f>IFERROR(__xludf.DUMMYFUNCTION("""COMPUTED_VALUE"""),1010.0)</f>
        <v>1010</v>
      </c>
      <c r="F38" s="5">
        <f>IFERROR(__xludf.DUMMYFUNCTION("""COMPUTED_VALUE"""),1010.0)</f>
        <v>1010</v>
      </c>
      <c r="G38" s="2">
        <f>IFERROR(__xludf.DUMMYFUNCTION("""COMPUTED_VALUE"""),1010.0)</f>
        <v>1010</v>
      </c>
      <c r="H38" s="2">
        <f>IFERROR(__xludf.DUMMYFUNCTION("""COMPUTED_VALUE"""),10.0)</f>
        <v>10</v>
      </c>
      <c r="I38" s="2">
        <f>IFERROR(__xludf.DUMMYFUNCTION("""COMPUTED_VALUE"""),15.0)</f>
        <v>15</v>
      </c>
      <c r="J38" s="2">
        <f>IFERROR(__xludf.DUMMYFUNCTION("""COMPUTED_VALUE"""),0.0)</f>
        <v>0</v>
      </c>
      <c r="K38" s="2">
        <f>IFERROR(__xludf.DUMMYFUNCTION("""COMPUTED_VALUE"""),100.0)</f>
        <v>100</v>
      </c>
      <c r="L38" s="2">
        <f>IFERROR(__xludf.DUMMYFUNCTION("""COMPUTED_VALUE"""),100.0)</f>
        <v>100</v>
      </c>
      <c r="M38" s="2" t="str">
        <f>IFERROR(__xludf.DUMMYFUNCTION("""COMPUTED_VALUE"""),"Dark:Immune, Instant Death:immune, Banishment:Immune, Natural:100, ")</f>
        <v>Dark:Immune, Instant Death:immune, Banishment:Immune, Natural:100, </v>
      </c>
      <c r="N38" s="2" t="str">
        <f>IFERROR(__xludf.DUMMYFUNCTION("""COMPUTED_VALUE"""),"Light:100, ")</f>
        <v>Light:100, </v>
      </c>
      <c r="O38" s="2" t="str">
        <f>IFERROR(__xludf.DUMMYFUNCTION("""COMPUTED_VALUE"""),"Royal Guard Helmet")</f>
        <v>Royal Guard Helmet</v>
      </c>
      <c r="P38" s="2" t="str">
        <f>IFERROR(__xludf.DUMMYFUNCTION("""COMPUTED_VALUE"""),"Black Crystal Necklace of Luck")</f>
        <v>Black Crystal Necklace of Luck</v>
      </c>
      <c r="Q38" s="2"/>
      <c r="R38" s="2"/>
      <c r="S38" s="2" t="str">
        <f>IFERROR(__xludf.DUMMYFUNCTION("""COMPUTED_VALUE"""),"Royal Guard Pauldrons")</f>
        <v>Royal Guard Pauldrons</v>
      </c>
      <c r="T38" s="2" t="str">
        <f>IFERROR(__xludf.DUMMYFUNCTION("""COMPUTED_VALUE"""),"Royal Guard Chestplate")</f>
        <v>Royal Guard Chestplate</v>
      </c>
      <c r="U38" s="2" t="str">
        <f>IFERROR(__xludf.DUMMYFUNCTION("""COMPUTED_VALUE"""),"Guard Vambraces")</f>
        <v>Guard Vambraces</v>
      </c>
      <c r="V38" s="2"/>
      <c r="W38" s="2" t="str">
        <f>IFERROR(__xludf.DUMMYFUNCTION("""COMPUTED_VALUE"""),"Guard Sword")</f>
        <v>Guard Sword</v>
      </c>
      <c r="X38" s="2" t="str">
        <f>IFERROR(__xludf.DUMMYFUNCTION("""COMPUTED_VALUE"""),"Ring o’ Luck and Nature")</f>
        <v>Ring o’ Luck and Nature</v>
      </c>
      <c r="Y38" s="2" t="str">
        <f>IFERROR(__xludf.DUMMYFUNCTION("""COMPUTED_VALUE"""),"Ring of the Bonded Undead")</f>
        <v>Ring of the Bonded Undead</v>
      </c>
      <c r="Z38" s="2"/>
      <c r="AA38" s="2"/>
      <c r="AB38" s="2"/>
      <c r="AC38" s="2"/>
      <c r="AD38" s="2"/>
      <c r="AE38" s="2"/>
      <c r="AF38" s="2"/>
      <c r="AG38" s="2"/>
      <c r="AH38" s="2"/>
      <c r="AI38" s="2"/>
      <c r="AJ38" s="2" t="str">
        <f>IFERROR(__xludf.DUMMYFUNCTION("""COMPUTED_VALUE"""),"Arrest")</f>
        <v>Arrest</v>
      </c>
      <c r="AK38" s="2" t="str">
        <f>IFERROR(__xludf.DUMMYFUNCTION("""COMPUTED_VALUE"""),"Strong ward")</f>
        <v>Strong ward</v>
      </c>
      <c r="AL38" s="2" t="str">
        <f>IFERROR(__xludf.DUMMYFUNCTION("""COMPUTED_VALUE"""),"Confiscate (Enhanced)")</f>
        <v>Confiscate (Enhanced)</v>
      </c>
      <c r="AM38" s="2" t="str">
        <f>IFERROR(__xludf.DUMMYFUNCTION("""COMPUTED_VALUE"""),"Max Focus")</f>
        <v>Max Focus</v>
      </c>
      <c r="AN38" s="2" t="str">
        <f>IFERROR(__xludf.DUMMYFUNCTION("""COMPUTED_VALUE"""),"Chaincast")</f>
        <v>Chaincast</v>
      </c>
      <c r="AO38" s="2" t="str">
        <f>IFERROR(__xludf.DUMMYFUNCTION("""COMPUTED_VALUE"""),"Cancel")</f>
        <v>Cancel</v>
      </c>
      <c r="AP38" s="2" t="str">
        <f>IFERROR(__xludf.DUMMYFUNCTION("""COMPUTED_VALUE"""),"Celestial Wrath")</f>
        <v>Celestial Wrath</v>
      </c>
      <c r="AQ38" s="2"/>
      <c r="AR38" s="2"/>
      <c r="AS38" s="2"/>
      <c r="AT38" s="2"/>
      <c r="AU38" s="2"/>
      <c r="AV38" s="2"/>
      <c r="AW38" s="2"/>
      <c r="AX38" s="2"/>
      <c r="AY38" s="2"/>
      <c r="AZ38" s="2"/>
      <c r="BA38" s="3"/>
      <c r="BB38" s="3"/>
      <c r="BC38" s="1"/>
      <c r="BD38" s="3">
        <f>IFERROR(__xludf.DUMMYFUNCTION("""COMPUTED_VALUE"""),15.0)</f>
        <v>15</v>
      </c>
      <c r="BE38" s="4">
        <f>IFERROR(__xludf.DUMMYFUNCTION("""COMPUTED_VALUE"""),15.0)</f>
        <v>15</v>
      </c>
      <c r="BF38" s="3" t="str">
        <f>IFERROR(__xludf.DUMMYFUNCTION("""COMPUTED_VALUE"""),"50% chance to be unaffected by any spells affecting this mob
50% chance to dodge an attack from a weapon.
25% chance to fully resist an item effect from the enemy that used it.
Bounty Hunters Awareness: +10 to d20 rolls.")</f>
        <v>50% chance to be unaffected by any spells affecting this mob
50% chance to dodge an attack from a weapon.
25% chance to fully resist an item effect from the enemy that used it.
Bounty Hunters Awareness: +10 to d20 rolls.</v>
      </c>
      <c r="BG38" s="3" t="str">
        <f>IFERROR(__xludf.DUMMYFUNCTION("""COMPUTED_VALUE"""),"All")</f>
        <v>All</v>
      </c>
      <c r="BH38" s="3" t="str">
        <f>IFERROR(__xludf.DUMMYFUNCTION("""COMPUTED_VALUE"""),"Land of Spira")</f>
        <v>Land of Spira</v>
      </c>
      <c r="BI38" s="3"/>
      <c r="BJ38" s="3"/>
      <c r="BK38" s="3"/>
      <c r="BL38" s="3" t="b">
        <f>IFERROR(__xludf.DUMMYFUNCTION("""COMPUTED_VALUE"""),FALSE)</f>
        <v>0</v>
      </c>
      <c r="BM38" s="3"/>
      <c r="BN38" s="3"/>
      <c r="BO38" s="3"/>
      <c r="BP38" s="3"/>
      <c r="BQ38" s="3"/>
      <c r="BR38" s="3"/>
      <c r="BS38" s="3"/>
      <c r="BT38" s="3"/>
      <c r="BU38" s="3"/>
      <c r="BV38" s="3"/>
      <c r="BW38" s="3"/>
    </row>
    <row r="39" ht="15.75" customHeight="1">
      <c r="A39" s="2" t="str">
        <f>IFERROR(__xludf.DUMMYFUNCTION("""COMPUTED_VALUE"""),"Brown Soul")</f>
        <v>Brown Soul</v>
      </c>
      <c r="B39" s="2">
        <f>IFERROR(__xludf.DUMMYFUNCTION("""COMPUTED_VALUE"""),1.0)</f>
        <v>1</v>
      </c>
      <c r="C39" s="1" t="str">
        <f>IFERROR(__xludf.DUMMYFUNCTION("""COMPUTED_VALUE"""),"Just a common nameless soul within the depths of abstara, for some reason they don't much seem to like you, probably from something you killed.")</f>
        <v>Just a common nameless soul within the depths of abstara, for some reason they don't much seem to like you, probably from something you killed.</v>
      </c>
      <c r="D39" s="5" t="str">
        <f>IFERROR(__xludf.DUMMYFUNCTION("""COMPUTED_VALUE"""),"Spirit")</f>
        <v>Spirit</v>
      </c>
      <c r="E39" s="5">
        <f>IFERROR(__xludf.DUMMYFUNCTION("""COMPUTED_VALUE"""),1010.0)</f>
        <v>1010</v>
      </c>
      <c r="F39" s="5">
        <f>IFERROR(__xludf.DUMMYFUNCTION("""COMPUTED_VALUE"""),1010.0)</f>
        <v>1010</v>
      </c>
      <c r="G39" s="5">
        <f>IFERROR(__xludf.DUMMYFUNCTION("""COMPUTED_VALUE"""),1010.0)</f>
        <v>1010</v>
      </c>
      <c r="H39" s="2">
        <f>IFERROR(__xludf.DUMMYFUNCTION("""COMPUTED_VALUE"""),10.0)</f>
        <v>10</v>
      </c>
      <c r="I39" s="2">
        <f>IFERROR(__xludf.DUMMYFUNCTION("""COMPUTED_VALUE"""),0.0)</f>
        <v>0</v>
      </c>
      <c r="J39" s="2">
        <f>IFERROR(__xludf.DUMMYFUNCTION("""COMPUTED_VALUE"""),0.0)</f>
        <v>0</v>
      </c>
      <c r="K39" s="2">
        <f>IFERROR(__xludf.DUMMYFUNCTION("""COMPUTED_VALUE"""),100.0)</f>
        <v>100</v>
      </c>
      <c r="L39" s="2">
        <f>IFERROR(__xludf.DUMMYFUNCTION("""COMPUTED_VALUE"""),100.0)</f>
        <v>100</v>
      </c>
      <c r="M39" s="2" t="str">
        <f>IFERROR(__xludf.DUMMYFUNCTION("""COMPUTED_VALUE"""),"Earth:Immune, Spirit:Immune, ")</f>
        <v>Earth:Immune, Spirit:Immune, </v>
      </c>
      <c r="N39" s="2" t="str">
        <f>IFERROR(__xludf.DUMMYFUNCTION("""COMPUTED_VALUE"""),"Fire:100, Light:100, ")</f>
        <v>Fire:100, Light:100, </v>
      </c>
      <c r="O39" s="2"/>
      <c r="P39" s="2"/>
      <c r="Q39" s="2"/>
      <c r="R39" s="2"/>
      <c r="S39" s="2"/>
      <c r="T39" s="2"/>
      <c r="U39" s="2"/>
      <c r="V39" s="2"/>
      <c r="W39" s="2"/>
      <c r="X39" s="2"/>
      <c r="Y39" s="2"/>
      <c r="Z39" s="2"/>
      <c r="AA39" s="2"/>
      <c r="AB39" s="2"/>
      <c r="AC39" s="2"/>
      <c r="AD39" s="2"/>
      <c r="AE39" s="2"/>
      <c r="AF39" s="2"/>
      <c r="AG39" s="2"/>
      <c r="AH39" s="2"/>
      <c r="AI39" s="2"/>
      <c r="AJ39" s="2" t="str">
        <f>IFERROR(__xludf.DUMMYFUNCTION("""COMPUTED_VALUE"""),"A Deal With The Spirit World")</f>
        <v>A Deal With The Spirit World</v>
      </c>
      <c r="AK39" s="2" t="str">
        <f>IFERROR(__xludf.DUMMYFUNCTION("""COMPUTED_VALUE"""),"Final Blast")</f>
        <v>Final Blast</v>
      </c>
      <c r="AL39" s="2" t="str">
        <f>IFERROR(__xludf.DUMMYFUNCTION("""COMPUTED_VALUE"""),"Soul Shot")</f>
        <v>Soul Shot</v>
      </c>
      <c r="AM39" s="2" t="str">
        <f>IFERROR(__xludf.DUMMYFUNCTION("""COMPUTED_VALUE"""),"Final Rest")</f>
        <v>Final Rest</v>
      </c>
      <c r="AN39" s="2" t="str">
        <f>IFERROR(__xludf.DUMMYFUNCTION("""COMPUTED_VALUE"""),"Soul Trap")</f>
        <v>Soul Trap</v>
      </c>
      <c r="AO39" s="2" t="str">
        <f>IFERROR(__xludf.DUMMYFUNCTION("""COMPUTED_VALUE"""),"Possession")</f>
        <v>Possession</v>
      </c>
      <c r="AP39" s="2" t="str">
        <f>IFERROR(__xludf.DUMMYFUNCTION("""COMPUTED_VALUE"""),"Confuse")</f>
        <v>Confuse</v>
      </c>
      <c r="AQ39" s="2"/>
      <c r="AR39" s="2"/>
      <c r="AS39" s="2"/>
      <c r="AT39" s="2"/>
      <c r="AU39" s="2"/>
      <c r="AV39" s="2"/>
      <c r="AW39" s="2"/>
      <c r="AX39" s="2"/>
      <c r="AY39" s="2"/>
      <c r="AZ39" s="2"/>
      <c r="BA39" s="3"/>
      <c r="BB39" s="3"/>
      <c r="BC39" s="1"/>
      <c r="BD39" s="3">
        <f>IFERROR(__xludf.DUMMYFUNCTION("""COMPUTED_VALUE"""),0.0)</f>
        <v>0</v>
      </c>
      <c r="BE39" s="4">
        <f>IFERROR(__xludf.DUMMYFUNCTION("""COMPUTED_VALUE"""),10.0)</f>
        <v>10</v>
      </c>
      <c r="BF39" s="3" t="str">
        <f>IFERROR(__xludf.DUMMYFUNCTION("""COMPUTED_VALUE"""),"The Brown Spirit - After 1 round a brown token will appear in battle, after another round if the token is still there, a giant explosion will occur causing all enemies to take Poison 10,000 for 3 rounds.")</f>
        <v>The Brown Spirit - After 1 round a brown token will appear in battle, after another round if the token is still there, a giant explosion will occur causing all enemies to take Poison 10,000 for 3 rounds.</v>
      </c>
      <c r="BG39" s="3" t="str">
        <f>IFERROR(__xludf.DUMMYFUNCTION("""COMPUTED_VALUE"""),"All")</f>
        <v>All</v>
      </c>
      <c r="BH39" s="3" t="str">
        <f>IFERROR(__xludf.DUMMYFUNCTION("""COMPUTED_VALUE"""),"Abstara")</f>
        <v>Abstara</v>
      </c>
      <c r="BI39" s="3"/>
      <c r="BJ39" s="3"/>
      <c r="BK39" s="3"/>
      <c r="BL39" s="3" t="b">
        <f>IFERROR(__xludf.DUMMYFUNCTION("""COMPUTED_VALUE"""),FALSE)</f>
        <v>0</v>
      </c>
      <c r="BM39" s="3"/>
      <c r="BN39" s="3"/>
      <c r="BO39" s="3"/>
      <c r="BP39" s="3"/>
      <c r="BQ39" s="3"/>
      <c r="BR39" s="3"/>
      <c r="BS39" s="3"/>
      <c r="BT39" s="3"/>
      <c r="BU39" s="3"/>
      <c r="BV39" s="3"/>
      <c r="BW39" s="3"/>
    </row>
    <row r="40" ht="15.75" customHeight="1">
      <c r="A40" s="2" t="str">
        <f>IFERROR(__xludf.DUMMYFUNCTION("""COMPUTED_VALUE"""),"Bull")</f>
        <v>Bull</v>
      </c>
      <c r="B40" s="2">
        <f>IFERROR(__xludf.DUMMYFUNCTION("""COMPUTED_VALUE"""),1.0)</f>
        <v>1</v>
      </c>
      <c r="C40" s="2" t="str">
        <f>IFERROR(__xludf.DUMMYFUNCTION("""COMPUTED_VALUE"""),"Seems like someone hasn't been keeping up with their sayings, time for the horns then.")</f>
        <v>Seems like someone hasn't been keeping up with their sayings, time for the horns then.</v>
      </c>
      <c r="D40" s="5" t="str">
        <f>IFERROR(__xludf.DUMMYFUNCTION("""COMPUTED_VALUE"""),"Beast")</f>
        <v>Beast</v>
      </c>
      <c r="E40" s="5">
        <f>IFERROR(__xludf.DUMMYFUNCTION("""COMPUTED_VALUE"""),31010.0)</f>
        <v>31010</v>
      </c>
      <c r="F40" s="5">
        <f>IFERROR(__xludf.DUMMYFUNCTION("""COMPUTED_VALUE"""),1010.0)</f>
        <v>1010</v>
      </c>
      <c r="G40" s="5">
        <f>IFERROR(__xludf.DUMMYFUNCTION("""COMPUTED_VALUE"""),1010.0)</f>
        <v>1010</v>
      </c>
      <c r="H40" s="2">
        <f>IFERROR(__xludf.DUMMYFUNCTION("""COMPUTED_VALUE"""),10.0)</f>
        <v>10</v>
      </c>
      <c r="I40" s="2">
        <f>IFERROR(__xludf.DUMMYFUNCTION("""COMPUTED_VALUE"""),0.0)</f>
        <v>0</v>
      </c>
      <c r="J40" s="5">
        <f>IFERROR(__xludf.DUMMYFUNCTION("""COMPUTED_VALUE"""),0.0)</f>
        <v>0</v>
      </c>
      <c r="K40" s="5">
        <f>IFERROR(__xludf.DUMMYFUNCTION("""COMPUTED_VALUE"""),100.0)</f>
        <v>100</v>
      </c>
      <c r="L40" s="2">
        <f>IFERROR(__xludf.DUMMYFUNCTION("""COMPUTED_VALUE"""),100.0)</f>
        <v>100</v>
      </c>
      <c r="M40" s="2" t="str">
        <f>IFERROR(__xludf.DUMMYFUNCTION("""COMPUTED_VALUE"""),"")</f>
        <v/>
      </c>
      <c r="N40" s="2" t="str">
        <f>IFERROR(__xludf.DUMMYFUNCTION("""COMPUTED_VALUE"""),"")</f>
        <v/>
      </c>
      <c r="O40" s="2"/>
      <c r="P40" s="2"/>
      <c r="Q40" s="2"/>
      <c r="R40" s="2"/>
      <c r="S40" s="2"/>
      <c r="T40" s="2"/>
      <c r="U40" s="2"/>
      <c r="V40" s="2"/>
      <c r="W40" s="2"/>
      <c r="X40" s="2"/>
      <c r="Y40" s="2"/>
      <c r="Z40" s="2"/>
      <c r="AA40" s="2"/>
      <c r="AB40" s="2"/>
      <c r="AC40" s="2"/>
      <c r="AD40" s="2"/>
      <c r="AE40" s="2"/>
      <c r="AF40" s="2"/>
      <c r="AG40" s="2"/>
      <c r="AH40" s="2"/>
      <c r="AI40" s="2"/>
      <c r="AJ40" s="2" t="str">
        <f>IFERROR(__xludf.DUMMYFUNCTION("""COMPUTED_VALUE"""),"Horns")</f>
        <v>Horns</v>
      </c>
      <c r="AK40" s="2" t="str">
        <f>IFERROR(__xludf.DUMMYFUNCTION("""COMPUTED_VALUE"""),"Charge")</f>
        <v>Charge</v>
      </c>
      <c r="AL40" s="2" t="str">
        <f>IFERROR(__xludf.DUMMYFUNCTION("""COMPUTED_VALUE"""),"Heighten reflexes")</f>
        <v>Heighten reflexes</v>
      </c>
      <c r="AM40" s="2" t="str">
        <f>IFERROR(__xludf.DUMMYFUNCTION("""COMPUTED_VALUE"""),"Taunt")</f>
        <v>Taunt</v>
      </c>
      <c r="AN40" s="2" t="str">
        <f>IFERROR(__xludf.DUMMYFUNCTION("""COMPUTED_VALUE"""),"Bite")</f>
        <v>Bite</v>
      </c>
      <c r="AO40" s="2"/>
      <c r="AP40" s="2"/>
      <c r="AQ40" s="2"/>
      <c r="AR40" s="2"/>
      <c r="AS40" s="2"/>
      <c r="AT40" s="2"/>
      <c r="AU40" s="2"/>
      <c r="AV40" s="2"/>
      <c r="AW40" s="2"/>
      <c r="AX40" s="2"/>
      <c r="AY40" s="2"/>
      <c r="AZ40" s="2"/>
      <c r="BA40" s="3"/>
      <c r="BB40" s="3"/>
      <c r="BC40" s="1"/>
      <c r="BD40" s="3">
        <f>IFERROR(__xludf.DUMMYFUNCTION("""COMPUTED_VALUE"""),0.0)</f>
        <v>0</v>
      </c>
      <c r="BE40" s="4">
        <f>IFERROR(__xludf.DUMMYFUNCTION("""COMPUTED_VALUE"""),10.0)</f>
        <v>10</v>
      </c>
      <c r="BF40" s="3"/>
      <c r="BG40" s="3" t="str">
        <f>IFERROR(__xludf.DUMMYFUNCTION("""COMPUTED_VALUE"""),"Plains")</f>
        <v>Plains</v>
      </c>
      <c r="BH40" s="3" t="str">
        <f>IFERROR(__xludf.DUMMYFUNCTION("""COMPUTED_VALUE"""),"Land Of Spira")</f>
        <v>Land Of Spira</v>
      </c>
      <c r="BI40" s="3"/>
      <c r="BJ40" s="3"/>
      <c r="BK40" s="3"/>
      <c r="BL40" s="3" t="b">
        <f>IFERROR(__xludf.DUMMYFUNCTION("""COMPUTED_VALUE"""),FALSE)</f>
        <v>0</v>
      </c>
      <c r="BM40" s="3"/>
      <c r="BN40" s="3"/>
      <c r="BO40" s="3"/>
      <c r="BP40" s="3"/>
      <c r="BQ40" s="3"/>
      <c r="BR40" s="3"/>
      <c r="BS40" s="3"/>
      <c r="BT40" s="3"/>
      <c r="BU40" s="3"/>
      <c r="BV40" s="3"/>
      <c r="BW40" s="3"/>
    </row>
    <row r="41" ht="15.75" customHeight="1">
      <c r="A41" s="2" t="str">
        <f>IFERROR(__xludf.DUMMYFUNCTION("""COMPUTED_VALUE"""),"Celestial Dragon")</f>
        <v>Celestial Dragon</v>
      </c>
      <c r="B41" s="2">
        <f>IFERROR(__xludf.DUMMYFUNCTION("""COMPUTED_VALUE"""),1.0)</f>
        <v>1</v>
      </c>
      <c r="C41" s="1" t="str">
        <f>IFERROR(__xludf.DUMMYFUNCTION("""COMPUTED_VALUE"""),"A dragon made out of pure celestial power, and you went and pissed it off.")</f>
        <v>A dragon made out of pure celestial power, and you went and pissed it off.</v>
      </c>
      <c r="D41" s="2" t="str">
        <f>IFERROR(__xludf.DUMMYFUNCTION("""COMPUTED_VALUE"""),"Draconic")</f>
        <v>Draconic</v>
      </c>
      <c r="E41" s="2">
        <f>IFERROR(__xludf.DUMMYFUNCTION("""COMPUTED_VALUE"""),1010.0)</f>
        <v>1010</v>
      </c>
      <c r="F41" s="5">
        <f>IFERROR(__xludf.DUMMYFUNCTION("""COMPUTED_VALUE"""),31010.0)</f>
        <v>31010</v>
      </c>
      <c r="G41" s="2">
        <f>IFERROR(__xludf.DUMMYFUNCTION("""COMPUTED_VALUE"""),1010.0)</f>
        <v>1010</v>
      </c>
      <c r="H41" s="2">
        <f>IFERROR(__xludf.DUMMYFUNCTION("""COMPUTED_VALUE"""),10.0)</f>
        <v>10</v>
      </c>
      <c r="I41" s="2">
        <f>IFERROR(__xludf.DUMMYFUNCTION("""COMPUTED_VALUE"""),20.0)</f>
        <v>20</v>
      </c>
      <c r="J41" s="2">
        <f>IFERROR(__xludf.DUMMYFUNCTION("""COMPUTED_VALUE"""),0.0)</f>
        <v>0</v>
      </c>
      <c r="K41" s="2">
        <f>IFERROR(__xludf.DUMMYFUNCTION("""COMPUTED_VALUE"""),100.0)</f>
        <v>100</v>
      </c>
      <c r="L41" s="2">
        <f>IFERROR(__xludf.DUMMYFUNCTION("""COMPUTED_VALUE"""),100.0)</f>
        <v>100</v>
      </c>
      <c r="M41" s="2" t="str">
        <f>IFERROR(__xludf.DUMMYFUNCTION("""COMPUTED_VALUE"""),"Celestial:Immune, Instant Death:Immune, Banishment:Immune, ")</f>
        <v>Celestial:Immune, Instant Death:Immune, Banishment:Immune, </v>
      </c>
      <c r="N41" s="2" t="str">
        <f>IFERROR(__xludf.DUMMYFUNCTION("""COMPUTED_VALUE"""),"Astral:100, ")</f>
        <v>Astral:100, </v>
      </c>
      <c r="O41" s="2"/>
      <c r="P41" s="2"/>
      <c r="Q41" s="2"/>
      <c r="R41" s="2"/>
      <c r="S41" s="2"/>
      <c r="T41" s="2"/>
      <c r="U41" s="2"/>
      <c r="V41" s="2"/>
      <c r="W41" s="2"/>
      <c r="X41" s="2"/>
      <c r="Y41" s="2"/>
      <c r="Z41" s="2"/>
      <c r="AA41" s="2"/>
      <c r="AB41" s="2"/>
      <c r="AC41" s="2"/>
      <c r="AD41" s="2"/>
      <c r="AE41" s="2"/>
      <c r="AF41" s="2"/>
      <c r="AG41" s="2"/>
      <c r="AH41" s="2"/>
      <c r="AI41" s="2"/>
      <c r="AJ41" s="2" t="str">
        <f>IFERROR(__xludf.DUMMYFUNCTION("""COMPUTED_VALUE"""),"Dragon's Breath")</f>
        <v>Dragon's Breath</v>
      </c>
      <c r="AK41" s="2" t="str">
        <f>IFERROR(__xludf.DUMMYFUNCTION("""COMPUTED_VALUE"""),"Bite")</f>
        <v>Bite</v>
      </c>
      <c r="AL41" s="2" t="str">
        <f>IFERROR(__xludf.DUMMYFUNCTION("""COMPUTED_VALUE"""),"Tail Smash")</f>
        <v>Tail Smash</v>
      </c>
      <c r="AM41" s="2" t="str">
        <f>IFERROR(__xludf.DUMMYFUNCTION("""COMPUTED_VALUE"""),"Claws")</f>
        <v>Claws</v>
      </c>
      <c r="AN41" s="2" t="str">
        <f>IFERROR(__xludf.DUMMYFUNCTION("""COMPUTED_VALUE"""),"Berserk")</f>
        <v>Berserk</v>
      </c>
      <c r="AO41" s="2" t="str">
        <f>IFERROR(__xludf.DUMMYFUNCTION("""COMPUTED_VALUE"""),"Multishot")</f>
        <v>Multishot</v>
      </c>
      <c r="AP41" s="2" t="str">
        <f>IFERROR(__xludf.DUMMYFUNCTION("""COMPUTED_VALUE"""),"Draconic Scream")</f>
        <v>Draconic Scream</v>
      </c>
      <c r="AQ41" s="2" t="str">
        <f>IFERROR(__xludf.DUMMYFUNCTION("""COMPUTED_VALUE"""),"Mass Destruction")</f>
        <v>Mass Destruction</v>
      </c>
      <c r="AR41" s="2" t="str">
        <f>IFERROR(__xludf.DUMMYFUNCTION("""COMPUTED_VALUE"""),"Vaporize")</f>
        <v>Vaporize</v>
      </c>
      <c r="AS41" s="2" t="str">
        <f>IFERROR(__xludf.DUMMYFUNCTION("""COMPUTED_VALUE"""),"Celestial Wrath")</f>
        <v>Celestial Wrath</v>
      </c>
      <c r="AT41" s="2"/>
      <c r="AU41" s="2"/>
      <c r="AV41" s="2"/>
      <c r="AW41" s="2"/>
      <c r="AX41" s="2"/>
      <c r="AY41" s="2"/>
      <c r="AZ41" s="2"/>
      <c r="BA41" s="3"/>
      <c r="BB41" s="3"/>
      <c r="BC41" s="1"/>
      <c r="BD41" s="3">
        <f>IFERROR(__xludf.DUMMYFUNCTION("""COMPUTED_VALUE"""),0.0)</f>
        <v>0</v>
      </c>
      <c r="BE41" s="4">
        <f>IFERROR(__xludf.DUMMYFUNCTION("""COMPUTED_VALUE"""),10.0)</f>
        <v>10</v>
      </c>
      <c r="BF41"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41" s="3" t="str">
        <f>IFERROR(__xludf.DUMMYFUNCTION("""COMPUTED_VALUE"""),"All")</f>
        <v>All</v>
      </c>
      <c r="BH41" s="3" t="str">
        <f>IFERROR(__xludf.DUMMYFUNCTION("""COMPUTED_VALUE"""),"Dragonscale Island")</f>
        <v>Dragonscale Island</v>
      </c>
      <c r="BI41" s="3"/>
      <c r="BJ41" s="3"/>
      <c r="BK41" s="3"/>
      <c r="BL41" s="3" t="b">
        <f>IFERROR(__xludf.DUMMYFUNCTION("""COMPUTED_VALUE"""),FALSE)</f>
        <v>0</v>
      </c>
      <c r="BM41" s="3"/>
      <c r="BN41" s="3"/>
      <c r="BO41" s="3"/>
      <c r="BP41" s="3"/>
      <c r="BQ41" s="3"/>
      <c r="BR41" s="3"/>
      <c r="BS41" s="3"/>
      <c r="BT41" s="3"/>
      <c r="BU41" s="3"/>
      <c r="BV41" s="3"/>
      <c r="BW41" s="3"/>
    </row>
    <row r="42" ht="15.75" customHeight="1">
      <c r="A42" s="2" t="str">
        <f>IFERROR(__xludf.DUMMYFUNCTION("""COMPUTED_VALUE"""),"Cerberus Gatekeeper of Souls")</f>
        <v>Cerberus Gatekeeper of Souls</v>
      </c>
      <c r="B42" s="2">
        <f>IFERROR(__xludf.DUMMYFUNCTION("""COMPUTED_VALUE"""),1.0)</f>
        <v>1</v>
      </c>
      <c r="C42" s="1" t="str">
        <f>IFERROR(__xludf.DUMMYFUNCTION("""COMPUTED_VALUE"""),"What's better than one dog? Three, that hades guy has good taste.")</f>
        <v>What's better than one dog? Three, that hades guy has good taste.</v>
      </c>
      <c r="D42" s="5" t="str">
        <f>IFERROR(__xludf.DUMMYFUNCTION("""COMPUTED_VALUE"""),"Demonic")</f>
        <v>Demonic</v>
      </c>
      <c r="E42" s="5">
        <f>IFERROR(__xludf.DUMMYFUNCTION("""COMPUTED_VALUE"""),1010.0)</f>
        <v>1010</v>
      </c>
      <c r="F42" s="5">
        <f>IFERROR(__xludf.DUMMYFUNCTION("""COMPUTED_VALUE"""),1010.0)</f>
        <v>1010</v>
      </c>
      <c r="G42" s="5">
        <f>IFERROR(__xludf.DUMMYFUNCTION("""COMPUTED_VALUE"""),1010.0)</f>
        <v>1010</v>
      </c>
      <c r="H42" s="2">
        <f>IFERROR(__xludf.DUMMYFUNCTION("""COMPUTED_VALUE"""),10.0)</f>
        <v>10</v>
      </c>
      <c r="I42" s="2">
        <f>IFERROR(__xludf.DUMMYFUNCTION("""COMPUTED_VALUE"""),0.0)</f>
        <v>0</v>
      </c>
      <c r="J42" s="2">
        <f>IFERROR(__xludf.DUMMYFUNCTION("""COMPUTED_VALUE"""),0.0)</f>
        <v>0</v>
      </c>
      <c r="K42" s="2">
        <f>IFERROR(__xludf.DUMMYFUNCTION("""COMPUTED_VALUE"""),100.0)</f>
        <v>100</v>
      </c>
      <c r="L42" s="2">
        <f>IFERROR(__xludf.DUMMYFUNCTION("""COMPUTED_VALUE"""),100.0)</f>
        <v>100</v>
      </c>
      <c r="M42" s="2" t="str">
        <f>IFERROR(__xludf.DUMMYFUNCTION("""COMPUTED_VALUE"""),"Fire:Immune, Dark:Immune, Chaos:Immune, Voodoo:Immune, Instant Death:Immune, Banishment:Immune, ")</f>
        <v>Fire:Immune, Dark:Immune, Chaos:Immune, Voodoo:Immune, Instant Death:Immune, Banishment:Immune, </v>
      </c>
      <c r="N42" s="2" t="str">
        <f>IFERROR(__xludf.DUMMYFUNCTION("""COMPUTED_VALUE"""),"Light:100, Order:100, ")</f>
        <v>Light:100, Order:100, </v>
      </c>
      <c r="O42" s="2"/>
      <c r="P42" s="2"/>
      <c r="Q42" s="2"/>
      <c r="R42" s="2"/>
      <c r="S42" s="2"/>
      <c r="T42" s="2"/>
      <c r="U42" s="2"/>
      <c r="V42" s="2"/>
      <c r="W42" s="2"/>
      <c r="X42" s="2"/>
      <c r="Y42" s="2"/>
      <c r="Z42" s="2"/>
      <c r="AA42" s="2"/>
      <c r="AB42" s="2"/>
      <c r="AC42" s="2"/>
      <c r="AD42" s="2"/>
      <c r="AE42" s="2"/>
      <c r="AF42" s="2"/>
      <c r="AG42" s="2"/>
      <c r="AH42" s="2"/>
      <c r="AI42" s="2"/>
      <c r="AJ42" s="2" t="str">
        <f>IFERROR(__xludf.DUMMYFUNCTION("""COMPUTED_VALUE"""),"Chaincast")</f>
        <v>Chaincast</v>
      </c>
      <c r="AK42" s="2" t="str">
        <f>IFERROR(__xludf.DUMMYFUNCTION("""COMPUTED_VALUE"""),"Big Chomping Souls")</f>
        <v>Big Chomping Souls</v>
      </c>
      <c r="AL42" s="2" t="str">
        <f>IFERROR(__xludf.DUMMYFUNCTION("""COMPUTED_VALUE"""),"Soul Trap")</f>
        <v>Soul Trap</v>
      </c>
      <c r="AM42" s="2" t="str">
        <f>IFERROR(__xludf.DUMMYFUNCTION("""COMPUTED_VALUE"""),"Volcanic Rain")</f>
        <v>Volcanic Rain</v>
      </c>
      <c r="AN42" s="2" t="str">
        <f>IFERROR(__xludf.DUMMYFUNCTION("""COMPUTED_VALUE"""),"Lucifer's Flames Of Damned Nation")</f>
        <v>Lucifer's Flames Of Damned Nation</v>
      </c>
      <c r="AO42" s="2" t="str">
        <f>IFERROR(__xludf.DUMMYFUNCTION("""COMPUTED_VALUE"""),"Dimensional Quake")</f>
        <v>Dimensional Quake</v>
      </c>
      <c r="AP42" s="2" t="str">
        <f>IFERROR(__xludf.DUMMYFUNCTION("""COMPUTED_VALUE"""),"Chaotic Shadow Slam")</f>
        <v>Chaotic Shadow Slam</v>
      </c>
      <c r="AQ42" s="2" t="str">
        <f>IFERROR(__xludf.DUMMYFUNCTION("""COMPUTED_VALUE"""),"Berserk")</f>
        <v>Berserk</v>
      </c>
      <c r="AR42" s="2" t="str">
        <f>IFERROR(__xludf.DUMMYFUNCTION("""COMPUTED_VALUE"""),"Celestial Strike")</f>
        <v>Celestial Strike</v>
      </c>
      <c r="AS42" s="2" t="str">
        <f>IFERROR(__xludf.DUMMYFUNCTION("""COMPUTED_VALUE"""),"Mass Destruction")</f>
        <v>Mass Destruction</v>
      </c>
      <c r="AT42" s="2" t="str">
        <f>IFERROR(__xludf.DUMMYFUNCTION("""COMPUTED_VALUE"""),"Banish")</f>
        <v>Banish</v>
      </c>
      <c r="AU42" s="2" t="str">
        <f>IFERROR(__xludf.DUMMYFUNCTION("""COMPUTED_VALUE"""),"Bite")</f>
        <v>Bite</v>
      </c>
      <c r="AV42" s="2"/>
      <c r="AW42" s="2"/>
      <c r="AX42" s="2"/>
      <c r="AY42" s="2"/>
      <c r="AZ42" s="2"/>
      <c r="BA42" s="3"/>
      <c r="BB42" s="3"/>
      <c r="BC42" s="1"/>
      <c r="BD42" s="3">
        <f>IFERROR(__xludf.DUMMYFUNCTION("""COMPUTED_VALUE"""),0.0)</f>
        <v>0</v>
      </c>
      <c r="BE42" s="4">
        <f>IFERROR(__xludf.DUMMYFUNCTION("""COMPUTED_VALUE"""),10.0)</f>
        <v>10</v>
      </c>
      <c r="BF42" s="3" t="str">
        <f>IFERROR(__xludf.DUMMYFUNCTION("""COMPUTED_VALUE"""),"75% chance to be unaffected by any spells affecting this mob
A Dark Calling II: +10 can be added to this mobs rolls.
This mob gets an additional action during each of it's turns determined by how many heads are left (max 3).
Must kill each head to kill"&amp;" this creature. (3 heads)
Must target each head 1 at a time to deplete this creature’s hp (3 heads), Only 1 head can be affected by spell and item effects at a time.")</f>
        <v>75% chance to be unaffected by any spells affecting this mob
A Dark Calling II: +10 can be added to this mobs rolls.
This mob gets an additional action during each of it's turns determined by how many heads are left (max 3).
Must kill each head to kill this creature. (3 heads)
Must target each head 1 at a time to deplete this creature’s hp (3 heads), Only 1 head can be affected by spell and item effects at a time.</v>
      </c>
      <c r="BG42" s="3" t="str">
        <f>IFERROR(__xludf.DUMMYFUNCTION("""COMPUTED_VALUE"""),"Quest")</f>
        <v>Quest</v>
      </c>
      <c r="BH42" s="3" t="str">
        <f>IFERROR(__xludf.DUMMYFUNCTION("""COMPUTED_VALUE"""),"Abstara")</f>
        <v>Abstara</v>
      </c>
      <c r="BI42" s="3"/>
      <c r="BJ42" s="3"/>
      <c r="BK42" s="3"/>
      <c r="BL42" s="3" t="b">
        <f>IFERROR(__xludf.DUMMYFUNCTION("""COMPUTED_VALUE"""),FALSE)</f>
        <v>0</v>
      </c>
      <c r="BM42" s="3"/>
      <c r="BN42" s="3"/>
      <c r="BO42" s="3"/>
      <c r="BP42" s="3"/>
      <c r="BQ42" s="3"/>
      <c r="BR42" s="3"/>
      <c r="BS42" s="3"/>
      <c r="BT42" s="3"/>
      <c r="BU42" s="3"/>
      <c r="BV42" s="3"/>
      <c r="BW42" s="3"/>
    </row>
    <row r="43" ht="15.75" customHeight="1">
      <c r="A43" s="2" t="str">
        <f>IFERROR(__xludf.DUMMYFUNCTION("""COMPUTED_VALUE"""),"Chaos Dragon")</f>
        <v>Chaos Dragon</v>
      </c>
      <c r="B43" s="2">
        <f>IFERROR(__xludf.DUMMYFUNCTION("""COMPUTED_VALUE"""),1.0)</f>
        <v>1</v>
      </c>
      <c r="C43" s="1" t="str">
        <f>IFERROR(__xludf.DUMMYFUNCTION("""COMPUTED_VALUE"""),"This Dragon has a penchant for stealing, try not to let it steal your life.")</f>
        <v>This Dragon has a penchant for stealing, try not to let it steal your life.</v>
      </c>
      <c r="D43" s="5" t="str">
        <f>IFERROR(__xludf.DUMMYFUNCTION("""COMPUTED_VALUE"""),"Draconic")</f>
        <v>Draconic</v>
      </c>
      <c r="E43" s="5">
        <f>IFERROR(__xludf.DUMMYFUNCTION("""COMPUTED_VALUE"""),1010.0)</f>
        <v>1010</v>
      </c>
      <c r="F43" s="5">
        <f>IFERROR(__xludf.DUMMYFUNCTION("""COMPUTED_VALUE"""),31010.0)</f>
        <v>31010</v>
      </c>
      <c r="G43" s="5">
        <f>IFERROR(__xludf.DUMMYFUNCTION("""COMPUTED_VALUE"""),1010.0)</f>
        <v>1010</v>
      </c>
      <c r="H43" s="2">
        <f>IFERROR(__xludf.DUMMYFUNCTION("""COMPUTED_VALUE"""),10.0)</f>
        <v>10</v>
      </c>
      <c r="I43" s="2">
        <f>IFERROR(__xludf.DUMMYFUNCTION("""COMPUTED_VALUE"""),0.0)</f>
        <v>0</v>
      </c>
      <c r="J43" s="2">
        <f>IFERROR(__xludf.DUMMYFUNCTION("""COMPUTED_VALUE"""),0.0)</f>
        <v>0</v>
      </c>
      <c r="K43" s="2">
        <f>IFERROR(__xludf.DUMMYFUNCTION("""COMPUTED_VALUE"""),100.0)</f>
        <v>100</v>
      </c>
      <c r="L43" s="2">
        <f>IFERROR(__xludf.DUMMYFUNCTION("""COMPUTED_VALUE"""),100.0)</f>
        <v>100</v>
      </c>
      <c r="M43" s="2" t="str">
        <f>IFERROR(__xludf.DUMMYFUNCTION("""COMPUTED_VALUE"""),"Chaos:Immune, Instant Death:Immune, Banishment:Immune, ")</f>
        <v>Chaos:Immune, Instant Death:Immune, Banishment:Immune, </v>
      </c>
      <c r="N43" s="2" t="str">
        <f>IFERROR(__xludf.DUMMYFUNCTION("""COMPUTED_VALUE"""),"Order:100, ")</f>
        <v>Order:100, </v>
      </c>
      <c r="O43" s="2"/>
      <c r="P43" s="2"/>
      <c r="Q43" s="2"/>
      <c r="R43" s="2"/>
      <c r="S43" s="2"/>
      <c r="T43" s="2"/>
      <c r="U43" s="2"/>
      <c r="V43" s="2"/>
      <c r="W43" s="2"/>
      <c r="X43" s="2"/>
      <c r="Y43" s="2"/>
      <c r="Z43" s="2"/>
      <c r="AA43" s="2"/>
      <c r="AB43" s="2"/>
      <c r="AC43" s="2"/>
      <c r="AD43" s="2"/>
      <c r="AE43" s="2"/>
      <c r="AF43" s="2"/>
      <c r="AG43" s="2"/>
      <c r="AH43" s="2"/>
      <c r="AI43" s="2"/>
      <c r="AJ43" s="2" t="str">
        <f>IFERROR(__xludf.DUMMYFUNCTION("""COMPUTED_VALUE"""),"Dragon's Breath")</f>
        <v>Dragon's Breath</v>
      </c>
      <c r="AK43" s="2" t="str">
        <f>IFERROR(__xludf.DUMMYFUNCTION("""COMPUTED_VALUE"""),"Bite")</f>
        <v>Bite</v>
      </c>
      <c r="AL43" s="2" t="str">
        <f>IFERROR(__xludf.DUMMYFUNCTION("""COMPUTED_VALUE"""),"Tail Smash")</f>
        <v>Tail Smash</v>
      </c>
      <c r="AM43" s="2" t="str">
        <f>IFERROR(__xludf.DUMMYFUNCTION("""COMPUTED_VALUE"""),"Claws")</f>
        <v>Claws</v>
      </c>
      <c r="AN43" s="2" t="str">
        <f>IFERROR(__xludf.DUMMYFUNCTION("""COMPUTED_VALUE"""),"Berserk")</f>
        <v>Berserk</v>
      </c>
      <c r="AO43" s="2" t="str">
        <f>IFERROR(__xludf.DUMMYFUNCTION("""COMPUTED_VALUE"""),"Multishot")</f>
        <v>Multishot</v>
      </c>
      <c r="AP43" s="2" t="str">
        <f>IFERROR(__xludf.DUMMYFUNCTION("""COMPUTED_VALUE"""),"Draconic Scream")</f>
        <v>Draconic Scream</v>
      </c>
      <c r="AQ43" s="2" t="str">
        <f>IFERROR(__xludf.DUMMYFUNCTION("""COMPUTED_VALUE"""),"Chaos Ward")</f>
        <v>Chaos Ward</v>
      </c>
      <c r="AR43" s="2" t="str">
        <f>IFERROR(__xludf.DUMMYFUNCTION("""COMPUTED_VALUE"""),"Shatter")</f>
        <v>Shatter</v>
      </c>
      <c r="AS43" s="2" t="str">
        <f>IFERROR(__xludf.DUMMYFUNCTION("""COMPUTED_VALUE"""),"Dimensional Quake")</f>
        <v>Dimensional Quake</v>
      </c>
      <c r="AT43" s="2" t="str">
        <f>IFERROR(__xludf.DUMMYFUNCTION("""COMPUTED_VALUE"""),"Dimension Portal")</f>
        <v>Dimension Portal</v>
      </c>
      <c r="AU43" s="2" t="str">
        <f>IFERROR(__xludf.DUMMYFUNCTION("""COMPUTED_VALUE"""),"Damage With A Cost.")</f>
        <v>Damage With A Cost.</v>
      </c>
      <c r="AV43" s="2" t="str">
        <f>IFERROR(__xludf.DUMMYFUNCTION("""COMPUTED_VALUE"""),"Swallow")</f>
        <v>Swallow</v>
      </c>
      <c r="AW43" s="2" t="str">
        <f>IFERROR(__xludf.DUMMYFUNCTION("""COMPUTED_VALUE"""),"Celestial Wrath")</f>
        <v>Celestial Wrath</v>
      </c>
      <c r="AX43" s="2"/>
      <c r="AY43" s="2"/>
      <c r="AZ43" s="2"/>
      <c r="BA43" s="3"/>
      <c r="BB43" s="3"/>
      <c r="BC43" s="1"/>
      <c r="BD43" s="3">
        <f>IFERROR(__xludf.DUMMYFUNCTION("""COMPUTED_VALUE"""),0.0)</f>
        <v>0</v>
      </c>
      <c r="BE43" s="4">
        <f>IFERROR(__xludf.DUMMYFUNCTION("""COMPUTED_VALUE"""),10.0)</f>
        <v>10</v>
      </c>
      <c r="BF43"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43" s="3" t="str">
        <f>IFERROR(__xludf.DUMMYFUNCTION("""COMPUTED_VALUE"""),"All")</f>
        <v>All</v>
      </c>
      <c r="BH43" s="3" t="str">
        <f>IFERROR(__xludf.DUMMYFUNCTION("""COMPUTED_VALUE"""),"Dragonscale Island")</f>
        <v>Dragonscale Island</v>
      </c>
      <c r="BI43" s="3"/>
      <c r="BJ43" s="3"/>
      <c r="BK43" s="3"/>
      <c r="BL43" s="3" t="b">
        <f>IFERROR(__xludf.DUMMYFUNCTION("""COMPUTED_VALUE"""),FALSE)</f>
        <v>0</v>
      </c>
      <c r="BM43" s="3"/>
      <c r="BN43" s="3"/>
      <c r="BO43" s="3"/>
      <c r="BP43" s="3"/>
      <c r="BQ43" s="3"/>
      <c r="BR43" s="3"/>
      <c r="BS43" s="3"/>
      <c r="BT43" s="3"/>
      <c r="BU43" s="3"/>
      <c r="BV43" s="3"/>
      <c r="BW43" s="3"/>
    </row>
    <row r="44" ht="15.75" customHeight="1">
      <c r="A44" s="2" t="str">
        <f>IFERROR(__xludf.DUMMYFUNCTION("""COMPUTED_VALUE"""),"Chaotic Shadow Gnome")</f>
        <v>Chaotic Shadow Gnome</v>
      </c>
      <c r="B44" s="2">
        <f>IFERROR(__xludf.DUMMYFUNCTION("""COMPUTED_VALUE"""),1.0)</f>
        <v>1</v>
      </c>
      <c r="C44" s="1" t="str">
        <f>IFERROR(__xludf.DUMMYFUNCTION("""COMPUTED_VALUE"""),"Not even able to be considered a threat, and they're too dumb to notice that.")</f>
        <v>Not even able to be considered a threat, and they're too dumb to notice that.</v>
      </c>
      <c r="D44" s="5" t="str">
        <f>IFERROR(__xludf.DUMMYFUNCTION("""COMPUTED_VALUE"""),"Fae")</f>
        <v>Fae</v>
      </c>
      <c r="E44" s="5">
        <f>IFERROR(__xludf.DUMMYFUNCTION("""COMPUTED_VALUE"""),1010.0)</f>
        <v>1010</v>
      </c>
      <c r="F44" s="5">
        <f>IFERROR(__xludf.DUMMYFUNCTION("""COMPUTED_VALUE"""),1010.0)</f>
        <v>1010</v>
      </c>
      <c r="G44" s="5">
        <f>IFERROR(__xludf.DUMMYFUNCTION("""COMPUTED_VALUE"""),1010.0)</f>
        <v>1010</v>
      </c>
      <c r="H44" s="2">
        <f>IFERROR(__xludf.DUMMYFUNCTION("""COMPUTED_VALUE"""),10.0)</f>
        <v>10</v>
      </c>
      <c r="I44" s="2">
        <f>IFERROR(__xludf.DUMMYFUNCTION("""COMPUTED_VALUE"""),0.0)</f>
        <v>0</v>
      </c>
      <c r="J44" s="2">
        <f>IFERROR(__xludf.DUMMYFUNCTION("""COMPUTED_VALUE"""),0.0)</f>
        <v>0</v>
      </c>
      <c r="K44" s="2">
        <f>IFERROR(__xludf.DUMMYFUNCTION("""COMPUTED_VALUE"""),100.0)</f>
        <v>100</v>
      </c>
      <c r="L44" s="2">
        <f>IFERROR(__xludf.DUMMYFUNCTION("""COMPUTED_VALUE"""),100.0)</f>
        <v>100</v>
      </c>
      <c r="M44" s="2" t="str">
        <f>IFERROR(__xludf.DUMMYFUNCTION("""COMPUTED_VALUE"""),"Dark:100, Chaos:100, ")</f>
        <v>Dark:100, Chaos:100, </v>
      </c>
      <c r="N44" s="2" t="str">
        <f>IFERROR(__xludf.DUMMYFUNCTION("""COMPUTED_VALUE"""),"")</f>
        <v/>
      </c>
      <c r="O44" s="2"/>
      <c r="P44" s="2"/>
      <c r="Q44" s="2"/>
      <c r="R44" s="2"/>
      <c r="S44" s="2"/>
      <c r="T44" s="2"/>
      <c r="U44" s="2"/>
      <c r="V44" s="2"/>
      <c r="W44" s="2"/>
      <c r="X44" s="2"/>
      <c r="Y44" s="2"/>
      <c r="Z44" s="2"/>
      <c r="AA44" s="2"/>
      <c r="AB44" s="2"/>
      <c r="AC44" s="2"/>
      <c r="AD44" s="2"/>
      <c r="AE44" s="2"/>
      <c r="AF44" s="2"/>
      <c r="AG44" s="2"/>
      <c r="AH44" s="2"/>
      <c r="AI44" s="2"/>
      <c r="AJ44" s="2" t="str">
        <f>IFERROR(__xludf.DUMMYFUNCTION("""COMPUTED_VALUE"""),"Chaos Beam")</f>
        <v>Chaos Beam</v>
      </c>
      <c r="AK44" s="2" t="str">
        <f>IFERROR(__xludf.DUMMYFUNCTION("""COMPUTED_VALUE"""),"Chaotic Shadow Stomp")</f>
        <v>Chaotic Shadow Stomp</v>
      </c>
      <c r="AL44" s="2" t="str">
        <f>IFERROR(__xludf.DUMMYFUNCTION("""COMPUTED_VALUE"""),"Chaos Ward")</f>
        <v>Chaos Ward</v>
      </c>
      <c r="AM44" s="2" t="str">
        <f>IFERROR(__xludf.DUMMYFUNCTION("""COMPUTED_VALUE"""),"Dark Curse")</f>
        <v>Dark Curse</v>
      </c>
      <c r="AN44" s="2"/>
      <c r="AO44" s="2"/>
      <c r="AP44" s="2"/>
      <c r="AQ44" s="2"/>
      <c r="AR44" s="2"/>
      <c r="AS44" s="2"/>
      <c r="AT44" s="2"/>
      <c r="AU44" s="2"/>
      <c r="AV44" s="2"/>
      <c r="AW44" s="2"/>
      <c r="AX44" s="2"/>
      <c r="AY44" s="2"/>
      <c r="AZ44" s="2"/>
      <c r="BA44" s="3"/>
      <c r="BB44" s="3"/>
      <c r="BC44" s="1"/>
      <c r="BD44" s="3">
        <f>IFERROR(__xludf.DUMMYFUNCTION("""COMPUTED_VALUE"""),0.0)</f>
        <v>0</v>
      </c>
      <c r="BE44" s="4">
        <f>IFERROR(__xludf.DUMMYFUNCTION("""COMPUTED_VALUE"""),10.0)</f>
        <v>10</v>
      </c>
      <c r="BF44" s="3" t="str">
        <f>IFERROR(__xludf.DUMMYFUNCTION("""COMPUTED_VALUE"""),"A Dark Calling: +5 can be added to this mobs rolls.")</f>
        <v>A Dark Calling: +5 can be added to this mobs rolls.</v>
      </c>
      <c r="BG44" s="3" t="str">
        <f>IFERROR(__xludf.DUMMYFUNCTION("""COMPUTED_VALUE"""),"Jungle")</f>
        <v>Jungle</v>
      </c>
      <c r="BH44" s="3" t="str">
        <f>IFERROR(__xludf.DUMMYFUNCTION("""COMPUTED_VALUE"""),"Land Of Spira")</f>
        <v>Land Of Spira</v>
      </c>
      <c r="BI44" s="3"/>
      <c r="BJ44" s="3"/>
      <c r="BK44" s="3"/>
      <c r="BL44" s="3" t="b">
        <f>IFERROR(__xludf.DUMMYFUNCTION("""COMPUTED_VALUE"""),FALSE)</f>
        <v>0</v>
      </c>
      <c r="BM44" s="3"/>
      <c r="BN44" s="3"/>
      <c r="BO44" s="3"/>
      <c r="BP44" s="3"/>
      <c r="BQ44" s="3"/>
      <c r="BR44" s="3"/>
      <c r="BS44" s="3"/>
      <c r="BT44" s="3"/>
      <c r="BU44" s="3"/>
      <c r="BV44" s="3"/>
      <c r="BW44" s="3"/>
    </row>
    <row r="45" ht="15.75" customHeight="1">
      <c r="A45" s="2" t="str">
        <f>IFERROR(__xludf.DUMMYFUNCTION("""COMPUTED_VALUE"""),"Chaotic Shadow Golem")</f>
        <v>Chaotic Shadow Golem</v>
      </c>
      <c r="B45" s="2">
        <f>IFERROR(__xludf.DUMMYFUNCTION("""COMPUTED_VALUE"""),1.0)</f>
        <v>1</v>
      </c>
      <c r="C45" s="1" t="str">
        <f>IFERROR(__xludf.DUMMYFUNCTION("""COMPUTED_VALUE"""),"The art of face bashing turned edgy.")</f>
        <v>The art of face bashing turned edgy.</v>
      </c>
      <c r="D45" s="5" t="str">
        <f>IFERROR(__xludf.DUMMYFUNCTION("""COMPUTED_VALUE"""),"Construct")</f>
        <v>Construct</v>
      </c>
      <c r="E45" s="5">
        <f>IFERROR(__xludf.DUMMYFUNCTION("""COMPUTED_VALUE"""),1010.0)</f>
        <v>1010</v>
      </c>
      <c r="F45" s="5">
        <f>IFERROR(__xludf.DUMMYFUNCTION("""COMPUTED_VALUE"""),1010.0)</f>
        <v>1010</v>
      </c>
      <c r="G45" s="5">
        <f>IFERROR(__xludf.DUMMYFUNCTION("""COMPUTED_VALUE"""),1010.0)</f>
        <v>1010</v>
      </c>
      <c r="H45" s="2">
        <f>IFERROR(__xludf.DUMMYFUNCTION("""COMPUTED_VALUE"""),10.0)</f>
        <v>10</v>
      </c>
      <c r="I45" s="2">
        <f>IFERROR(__xludf.DUMMYFUNCTION("""COMPUTED_VALUE"""),0.0)</f>
        <v>0</v>
      </c>
      <c r="J45" s="2">
        <f>IFERROR(__xludf.DUMMYFUNCTION("""COMPUTED_VALUE"""),0.0)</f>
        <v>0</v>
      </c>
      <c r="K45" s="2">
        <f>IFERROR(__xludf.DUMMYFUNCTION("""COMPUTED_VALUE"""),100.0)</f>
        <v>100</v>
      </c>
      <c r="L45" s="8">
        <f>IFERROR(__xludf.DUMMYFUNCTION("""COMPUTED_VALUE"""),100.0)</f>
        <v>100</v>
      </c>
      <c r="M45" s="8" t="str">
        <f>IFERROR(__xludf.DUMMYFUNCTION("""COMPUTED_VALUE"""),"Dark:100, Chaos:100, ")</f>
        <v>Dark:100, Chaos:100, </v>
      </c>
      <c r="N45" s="2" t="str">
        <f>IFERROR(__xludf.DUMMYFUNCTION("""COMPUTED_VALUE"""),"Fire:100, Light:100, Order:100, ")</f>
        <v>Fire:100, Light:100, Order:100, </v>
      </c>
      <c r="O45" s="2"/>
      <c r="P45" s="2"/>
      <c r="Q45" s="2"/>
      <c r="R45" s="2"/>
      <c r="S45" s="2"/>
      <c r="T45" s="2"/>
      <c r="U45" s="2"/>
      <c r="V45" s="2"/>
      <c r="W45" s="2" t="str">
        <f>IFERROR(__xludf.DUMMYFUNCTION("""COMPUTED_VALUE"""),"Hammer of Chaotic Shadows")</f>
        <v>Hammer of Chaotic Shadows</v>
      </c>
      <c r="X45" s="2"/>
      <c r="Y45" s="2"/>
      <c r="Z45" s="2"/>
      <c r="AA45" s="2"/>
      <c r="AB45" s="2"/>
      <c r="AC45" s="2"/>
      <c r="AD45" s="2"/>
      <c r="AE45" s="2"/>
      <c r="AF45" s="2"/>
      <c r="AG45" s="2"/>
      <c r="AH45" s="2"/>
      <c r="AI45" s="2"/>
      <c r="AJ45" s="2" t="str">
        <f>IFERROR(__xludf.DUMMYFUNCTION("""COMPUTED_VALUE"""),"Chaos Beam")</f>
        <v>Chaos Beam</v>
      </c>
      <c r="AK45" s="2" t="str">
        <f>IFERROR(__xludf.DUMMYFUNCTION("""COMPUTED_VALUE"""),"Chaotic Golem Scream")</f>
        <v>Chaotic Golem Scream</v>
      </c>
      <c r="AL45" s="2" t="str">
        <f>IFERROR(__xludf.DUMMYFUNCTION("""COMPUTED_VALUE"""),"Chaotic Shadow Slam")</f>
        <v>Chaotic Shadow Slam</v>
      </c>
      <c r="AM45" s="2" t="str">
        <f>IFERROR(__xludf.DUMMYFUNCTION("""COMPUTED_VALUE"""),"Chaos Ward")</f>
        <v>Chaos Ward</v>
      </c>
      <c r="AN45" s="2" t="str">
        <f>IFERROR(__xludf.DUMMYFUNCTION("""COMPUTED_VALUE"""),"Dark Curse")</f>
        <v>Dark Curse</v>
      </c>
      <c r="AO45" s="2" t="str">
        <f>IFERROR(__xludf.DUMMYFUNCTION("""COMPUTED_VALUE"""),"Darkest Abyss")</f>
        <v>Darkest Abyss</v>
      </c>
      <c r="AP45" s="2"/>
      <c r="AQ45" s="2"/>
      <c r="AR45" s="2"/>
      <c r="AS45" s="2"/>
      <c r="AT45" s="2"/>
      <c r="AU45" s="2"/>
      <c r="AV45" s="2"/>
      <c r="AW45" s="2"/>
      <c r="AX45" s="2"/>
      <c r="AY45" s="2"/>
      <c r="AZ45" s="2"/>
      <c r="BA45" s="3"/>
      <c r="BB45" s="3"/>
      <c r="BC45" s="1"/>
      <c r="BD45" s="3">
        <f>IFERROR(__xludf.DUMMYFUNCTION("""COMPUTED_VALUE"""),0.0)</f>
        <v>0</v>
      </c>
      <c r="BE45" s="4">
        <f>IFERROR(__xludf.DUMMYFUNCTION("""COMPUTED_VALUE"""),10.0)</f>
        <v>10</v>
      </c>
      <c r="BF45" s="3" t="str">
        <f>IFERROR(__xludf.DUMMYFUNCTION("""COMPUTED_VALUE"""),"A Dark Calling: +5 can be added to this mobs rolls.")</f>
        <v>A Dark Calling: +5 can be added to this mobs rolls.</v>
      </c>
      <c r="BG45" s="3" t="str">
        <f>IFERROR(__xludf.DUMMYFUNCTION("""COMPUTED_VALUE"""),"Jungle")</f>
        <v>Jungle</v>
      </c>
      <c r="BH45" s="3" t="str">
        <f>IFERROR(__xludf.DUMMYFUNCTION("""COMPUTED_VALUE"""),"Land Of Spira")</f>
        <v>Land Of Spira</v>
      </c>
      <c r="BI45" s="3"/>
      <c r="BJ45" s="3"/>
      <c r="BK45" s="3"/>
      <c r="BL45" s="3" t="b">
        <f>IFERROR(__xludf.DUMMYFUNCTION("""COMPUTED_VALUE"""),FALSE)</f>
        <v>0</v>
      </c>
      <c r="BM45" s="3"/>
      <c r="BN45" s="3"/>
      <c r="BO45" s="3"/>
      <c r="BP45" s="3"/>
      <c r="BQ45" s="3"/>
      <c r="BR45" s="3"/>
      <c r="BS45" s="3"/>
      <c r="BT45" s="3"/>
      <c r="BU45" s="3"/>
      <c r="BV45" s="3"/>
      <c r="BW45" s="3"/>
    </row>
    <row r="46" ht="15.75" customHeight="1">
      <c r="A46" s="2" t="str">
        <f>IFERROR(__xludf.DUMMYFUNCTION("""COMPUTED_VALUE"""),"Chaotic Shadow Phantom")</f>
        <v>Chaotic Shadow Phantom</v>
      </c>
      <c r="B46" s="2">
        <f>IFERROR(__xludf.DUMMYFUNCTION("""COMPUTED_VALUE"""),1.0)</f>
        <v>1</v>
      </c>
      <c r="C46" s="1" t="str">
        <f>IFERROR(__xludf.DUMMYFUNCTION("""COMPUTED_VALUE"""),"I couldn't for the life of me tell you how this is different from a regular phantom except that they are in a shittier temple.")</f>
        <v>I couldn't for the life of me tell you how this is different from a regular phantom except that they are in a shittier temple.</v>
      </c>
      <c r="D46" s="5" t="str">
        <f>IFERROR(__xludf.DUMMYFUNCTION("""COMPUTED_VALUE"""),"Spirit")</f>
        <v>Spirit</v>
      </c>
      <c r="E46" s="5">
        <f>IFERROR(__xludf.DUMMYFUNCTION("""COMPUTED_VALUE"""),1010.0)</f>
        <v>1010</v>
      </c>
      <c r="F46" s="5">
        <f>IFERROR(__xludf.DUMMYFUNCTION("""COMPUTED_VALUE"""),1010.0)</f>
        <v>1010</v>
      </c>
      <c r="G46" s="5">
        <f>IFERROR(__xludf.DUMMYFUNCTION("""COMPUTED_VALUE"""),1010.0)</f>
        <v>1010</v>
      </c>
      <c r="H46" s="2">
        <f>IFERROR(__xludf.DUMMYFUNCTION("""COMPUTED_VALUE"""),10.0)</f>
        <v>10</v>
      </c>
      <c r="I46" s="2">
        <f>IFERROR(__xludf.DUMMYFUNCTION("""COMPUTED_VALUE"""),0.0)</f>
        <v>0</v>
      </c>
      <c r="J46" s="2">
        <f>IFERROR(__xludf.DUMMYFUNCTION("""COMPUTED_VALUE"""),0.0)</f>
        <v>0</v>
      </c>
      <c r="K46" s="2">
        <f>IFERROR(__xludf.DUMMYFUNCTION("""COMPUTED_VALUE"""),100.0)</f>
        <v>100</v>
      </c>
      <c r="L46" s="2">
        <f>IFERROR(__xludf.DUMMYFUNCTION("""COMPUTED_VALUE"""),100.0)</f>
        <v>100</v>
      </c>
      <c r="M46" s="2" t="str">
        <f>IFERROR(__xludf.DUMMYFUNCTION("""COMPUTED_VALUE"""),"Dark:100, Chaos:100, ")</f>
        <v>Dark:100, Chaos:100, </v>
      </c>
      <c r="N46" s="2" t="str">
        <f>IFERROR(__xludf.DUMMYFUNCTION("""COMPUTED_VALUE"""),"Fire:100, Light:100, Order:100, ")</f>
        <v>Fire:100, Light:100, Order:100, </v>
      </c>
      <c r="O46" s="2"/>
      <c r="P46" s="2"/>
      <c r="Q46" s="2"/>
      <c r="R46" s="2"/>
      <c r="S46" s="2"/>
      <c r="T46" s="2"/>
      <c r="U46" s="2"/>
      <c r="V46" s="2"/>
      <c r="W46" s="2"/>
      <c r="X46" s="2"/>
      <c r="Y46" s="2"/>
      <c r="Z46" s="2"/>
      <c r="AA46" s="2"/>
      <c r="AB46" s="2"/>
      <c r="AC46" s="2"/>
      <c r="AD46" s="2"/>
      <c r="AE46" s="2"/>
      <c r="AF46" s="2"/>
      <c r="AG46" s="2"/>
      <c r="AH46" s="2"/>
      <c r="AI46" s="2"/>
      <c r="AJ46" s="2" t="str">
        <f>IFERROR(__xludf.DUMMYFUNCTION("""COMPUTED_VALUE"""),"Chaotic Phantom Blast")</f>
        <v>Chaotic Phantom Blast</v>
      </c>
      <c r="AK46" s="2" t="str">
        <f>IFERROR(__xludf.DUMMYFUNCTION("""COMPUTED_VALUE"""),"Chaotic Shadow Force")</f>
        <v>Chaotic Shadow Force</v>
      </c>
      <c r="AL46" s="2" t="str">
        <f>IFERROR(__xludf.DUMMYFUNCTION("""COMPUTED_VALUE"""),"Chaotic Shadow Storm")</f>
        <v>Chaotic Shadow Storm</v>
      </c>
      <c r="AM46" s="2" t="str">
        <f>IFERROR(__xludf.DUMMYFUNCTION("""COMPUTED_VALUE"""),"Chaos Ward")</f>
        <v>Chaos Ward</v>
      </c>
      <c r="AN46" s="2" t="str">
        <f>IFERROR(__xludf.DUMMYFUNCTION("""COMPUTED_VALUE"""),"Dark Curse")</f>
        <v>Dark Curse</v>
      </c>
      <c r="AO46" s="2"/>
      <c r="AP46" s="2"/>
      <c r="AQ46" s="2"/>
      <c r="AR46" s="2"/>
      <c r="AS46" s="2"/>
      <c r="AT46" s="2"/>
      <c r="AU46" s="2"/>
      <c r="AV46" s="2"/>
      <c r="AW46" s="2"/>
      <c r="AX46" s="2"/>
      <c r="AY46" s="2"/>
      <c r="AZ46" s="2"/>
      <c r="BA46" s="3"/>
      <c r="BB46" s="3"/>
      <c r="BC46" s="1"/>
      <c r="BD46" s="3">
        <f>IFERROR(__xludf.DUMMYFUNCTION("""COMPUTED_VALUE"""),0.0)</f>
        <v>0</v>
      </c>
      <c r="BE46" s="4">
        <f>IFERROR(__xludf.DUMMYFUNCTION("""COMPUTED_VALUE"""),10.0)</f>
        <v>10</v>
      </c>
      <c r="BF46" s="3" t="str">
        <f>IFERROR(__xludf.DUMMYFUNCTION("""COMPUTED_VALUE"""),"A Dark Calling: +5 can be added to this mobs rolls.")</f>
        <v>A Dark Calling: +5 can be added to this mobs rolls.</v>
      </c>
      <c r="BG46" s="3" t="str">
        <f>IFERROR(__xludf.DUMMYFUNCTION("""COMPUTED_VALUE"""),"Jungle")</f>
        <v>Jungle</v>
      </c>
      <c r="BH46" s="3" t="str">
        <f>IFERROR(__xludf.DUMMYFUNCTION("""COMPUTED_VALUE"""),"Land Of Spira")</f>
        <v>Land Of Spira</v>
      </c>
      <c r="BI46" s="3"/>
      <c r="BJ46" s="3"/>
      <c r="BK46" s="3"/>
      <c r="BL46" s="3" t="b">
        <f>IFERROR(__xludf.DUMMYFUNCTION("""COMPUTED_VALUE"""),FALSE)</f>
        <v>0</v>
      </c>
      <c r="BM46" s="3"/>
      <c r="BN46" s="3"/>
      <c r="BO46" s="3"/>
      <c r="BP46" s="3"/>
      <c r="BQ46" s="3"/>
      <c r="BR46" s="3"/>
      <c r="BS46" s="3"/>
      <c r="BT46" s="3"/>
      <c r="BU46" s="3"/>
      <c r="BV46" s="3"/>
      <c r="BW46" s="3"/>
    </row>
    <row r="47" ht="15.75" customHeight="1">
      <c r="A47" s="2" t="str">
        <f>IFERROR(__xludf.DUMMYFUNCTION("""COMPUTED_VALUE"""),"Chaotic Shadow Royal Knight")</f>
        <v>Chaotic Shadow Royal Knight</v>
      </c>
      <c r="B47" s="2">
        <f>IFERROR(__xludf.DUMMYFUNCTION("""COMPUTED_VALUE"""),1.0)</f>
        <v>1</v>
      </c>
      <c r="C47" s="1" t="str">
        <f>IFERROR(__xludf.DUMMYFUNCTION("""COMPUTED_VALUE"""),"These knights guard no form of royalty and therefore aren't really ""Royal Knights"" at all, don't go telling them that though, you'll hurt their feelings.")</f>
        <v>These knights guard no form of royalty and therefore aren't really "Royal Knights" at all, don't go telling them that though, you'll hurt their feelings.</v>
      </c>
      <c r="D47" s="5" t="str">
        <f>IFERROR(__xludf.DUMMYFUNCTION("""COMPUTED_VALUE"""),"Humanoid")</f>
        <v>Humanoid</v>
      </c>
      <c r="E47" s="5">
        <f>IFERROR(__xludf.DUMMYFUNCTION("""COMPUTED_VALUE"""),1010.0)</f>
        <v>1010</v>
      </c>
      <c r="F47" s="5">
        <f>IFERROR(__xludf.DUMMYFUNCTION("""COMPUTED_VALUE"""),1010.0)</f>
        <v>1010</v>
      </c>
      <c r="G47" s="5">
        <f>IFERROR(__xludf.DUMMYFUNCTION("""COMPUTED_VALUE"""),1010.0)</f>
        <v>1010</v>
      </c>
      <c r="H47" s="2">
        <f>IFERROR(__xludf.DUMMYFUNCTION("""COMPUTED_VALUE"""),10.0)</f>
        <v>10</v>
      </c>
      <c r="I47" s="2">
        <f>IFERROR(__xludf.DUMMYFUNCTION("""COMPUTED_VALUE"""),0.0)</f>
        <v>0</v>
      </c>
      <c r="J47" s="2">
        <f>IFERROR(__xludf.DUMMYFUNCTION("""COMPUTED_VALUE"""),0.0)</f>
        <v>0</v>
      </c>
      <c r="K47" s="2">
        <f>IFERROR(__xludf.DUMMYFUNCTION("""COMPUTED_VALUE"""),100.0)</f>
        <v>100</v>
      </c>
      <c r="L47" s="2">
        <f>IFERROR(__xludf.DUMMYFUNCTION("""COMPUTED_VALUE"""),100.0)</f>
        <v>100</v>
      </c>
      <c r="M47" s="2" t="str">
        <f>IFERROR(__xludf.DUMMYFUNCTION("""COMPUTED_VALUE"""),"Dark:100, Chaos:100, ")</f>
        <v>Dark:100, Chaos:100, </v>
      </c>
      <c r="N47" s="2" t="str">
        <f>IFERROR(__xludf.DUMMYFUNCTION("""COMPUTED_VALUE"""),"Fire:100, Light:100, Order:100, ")</f>
        <v>Fire:100, Light:100, Order:100, </v>
      </c>
      <c r="O47" s="2"/>
      <c r="P47" s="2"/>
      <c r="Q47" s="2"/>
      <c r="R47" s="2"/>
      <c r="S47" s="2"/>
      <c r="T47" s="2"/>
      <c r="U47" s="2"/>
      <c r="V47" s="2"/>
      <c r="W47" s="2" t="str">
        <f>IFERROR(__xludf.DUMMYFUNCTION("""COMPUTED_VALUE"""),"Royal Sword of Chaotic Shadows")</f>
        <v>Royal Sword of Chaotic Shadows</v>
      </c>
      <c r="X47" s="2"/>
      <c r="Y47" s="2"/>
      <c r="Z47" s="2"/>
      <c r="AA47" s="2"/>
      <c r="AB47" s="2"/>
      <c r="AC47" s="2"/>
      <c r="AD47" s="2"/>
      <c r="AE47" s="2"/>
      <c r="AF47" s="2"/>
      <c r="AG47" s="2"/>
      <c r="AH47" s="2"/>
      <c r="AI47" s="2"/>
      <c r="AJ47" s="2" t="str">
        <f>IFERROR(__xludf.DUMMYFUNCTION("""COMPUTED_VALUE"""),"Chaotic Royal Barrier")</f>
        <v>Chaotic Royal Barrier</v>
      </c>
      <c r="AK47" s="2" t="str">
        <f>IFERROR(__xludf.DUMMYFUNCTION("""COMPUTED_VALUE"""),"Chaotic Shadow Storm")</f>
        <v>Chaotic Shadow Storm</v>
      </c>
      <c r="AL47" s="2" t="str">
        <f>IFERROR(__xludf.DUMMYFUNCTION("""COMPUTED_VALUE"""),"Chaotic Shadow Storm")</f>
        <v>Chaotic Shadow Storm</v>
      </c>
      <c r="AM47" s="2" t="str">
        <f>IFERROR(__xludf.DUMMYFUNCTION("""COMPUTED_VALUE"""),"Chaos Ward")</f>
        <v>Chaos Ward</v>
      </c>
      <c r="AN47" s="2" t="str">
        <f>IFERROR(__xludf.DUMMYFUNCTION("""COMPUTED_VALUE"""),"Dark Curse")</f>
        <v>Dark Curse</v>
      </c>
      <c r="AO47" s="2" t="str">
        <f>IFERROR(__xludf.DUMMYFUNCTION("""COMPUTED_VALUE"""),"Darkest Abyss")</f>
        <v>Darkest Abyss</v>
      </c>
      <c r="AP47" s="2" t="str">
        <f>IFERROR(__xludf.DUMMYFUNCTION("""COMPUTED_VALUE"""),"Berserk")</f>
        <v>Berserk</v>
      </c>
      <c r="AQ47" s="2" t="str">
        <f>IFERROR(__xludf.DUMMYFUNCTION("""COMPUTED_VALUE"""),"Arrest")</f>
        <v>Arrest</v>
      </c>
      <c r="AR47" s="2"/>
      <c r="AS47" s="2"/>
      <c r="AT47" s="2"/>
      <c r="AU47" s="2"/>
      <c r="AV47" s="2"/>
      <c r="AW47" s="2"/>
      <c r="AX47" s="2"/>
      <c r="AY47" s="2"/>
      <c r="AZ47" s="2"/>
      <c r="BA47" s="3"/>
      <c r="BB47" s="3"/>
      <c r="BC47" s="1"/>
      <c r="BD47" s="3">
        <f>IFERROR(__xludf.DUMMYFUNCTION("""COMPUTED_VALUE"""),0.0)</f>
        <v>0</v>
      </c>
      <c r="BE47" s="4">
        <f>IFERROR(__xludf.DUMMYFUNCTION("""COMPUTED_VALUE"""),15.0)</f>
        <v>15</v>
      </c>
      <c r="BF47" s="3" t="str">
        <f>IFERROR(__xludf.DUMMYFUNCTION("""COMPUTED_VALUE"""),"A Dark Calling: +5 can be added to this mobs rolls.")</f>
        <v>A Dark Calling: +5 can be added to this mobs rolls.</v>
      </c>
      <c r="BG47" s="3" t="str">
        <f>IFERROR(__xludf.DUMMYFUNCTION("""COMPUTED_VALUE"""),"Jungle")</f>
        <v>Jungle</v>
      </c>
      <c r="BH47" s="3" t="str">
        <f>IFERROR(__xludf.DUMMYFUNCTION("""COMPUTED_VALUE"""),"Land Of Spira")</f>
        <v>Land Of Spira</v>
      </c>
      <c r="BI47" s="3"/>
      <c r="BJ47" s="3"/>
      <c r="BK47" s="3"/>
      <c r="BL47" s="3" t="b">
        <f>IFERROR(__xludf.DUMMYFUNCTION("""COMPUTED_VALUE"""),FALSE)</f>
        <v>0</v>
      </c>
      <c r="BM47" s="3"/>
      <c r="BN47" s="3"/>
      <c r="BO47" s="3"/>
      <c r="BP47" s="3"/>
      <c r="BQ47" s="3"/>
      <c r="BR47" s="3"/>
      <c r="BS47" s="3"/>
      <c r="BT47" s="3"/>
      <c r="BU47" s="3"/>
      <c r="BV47" s="3"/>
      <c r="BW47" s="3"/>
    </row>
    <row r="48" ht="15.75" customHeight="1">
      <c r="A48" s="2" t="str">
        <f>IFERROR(__xludf.DUMMYFUNCTION("""COMPUTED_VALUE"""),"Colossus Suit of Armor")</f>
        <v>Colossus Suit of Armor</v>
      </c>
      <c r="B48" s="2">
        <f>IFERROR(__xludf.DUMMYFUNCTION("""COMPUTED_VALUE"""),1.0)</f>
        <v>1</v>
      </c>
      <c r="C48" s="1" t="str">
        <f>IFERROR(__xludf.DUMMYFUNCTION("""COMPUTED_VALUE"""),"Who in the hell decided that releasing a big fuck off robot was a good idea?")</f>
        <v>Who in the hell decided that releasing a big fuck off robot was a good idea?</v>
      </c>
      <c r="D48" s="5" t="str">
        <f>IFERROR(__xludf.DUMMYFUNCTION("""COMPUTED_VALUE"""),"Construct")</f>
        <v>Construct</v>
      </c>
      <c r="E48" s="5">
        <f>IFERROR(__xludf.DUMMYFUNCTION("""COMPUTED_VALUE"""),1010.0)</f>
        <v>1010</v>
      </c>
      <c r="F48" s="5">
        <f>IFERROR(__xludf.DUMMYFUNCTION("""COMPUTED_VALUE"""),1010.0)</f>
        <v>1010</v>
      </c>
      <c r="G48" s="5">
        <f>IFERROR(__xludf.DUMMYFUNCTION("""COMPUTED_VALUE"""),1010.0)</f>
        <v>1010</v>
      </c>
      <c r="H48" s="2">
        <f>IFERROR(__xludf.DUMMYFUNCTION("""COMPUTED_VALUE"""),10.0)</f>
        <v>10</v>
      </c>
      <c r="I48" s="2">
        <f>IFERROR(__xludf.DUMMYFUNCTION("""COMPUTED_VALUE"""),0.0)</f>
        <v>0</v>
      </c>
      <c r="J48" s="2">
        <f>IFERROR(__xludf.DUMMYFUNCTION("""COMPUTED_VALUE"""),0.0)</f>
        <v>0</v>
      </c>
      <c r="K48" s="2">
        <f>IFERROR(__xludf.DUMMYFUNCTION("""COMPUTED_VALUE"""),100.0)</f>
        <v>100</v>
      </c>
      <c r="L48" s="2">
        <f>IFERROR(__xludf.DUMMYFUNCTION("""COMPUTED_VALUE"""),100.0)</f>
        <v>100</v>
      </c>
      <c r="M48" s="2" t="str">
        <f>IFERROR(__xludf.DUMMYFUNCTION("""COMPUTED_VALUE"""),"Order:Immune, ")</f>
        <v>Order:Immune, </v>
      </c>
      <c r="N48" s="2" t="str">
        <f>IFERROR(__xludf.DUMMYFUNCTION("""COMPUTED_VALUE"""),"Chaos:100, ")</f>
        <v>Chaos:100, </v>
      </c>
      <c r="O48" s="2"/>
      <c r="P48" s="2"/>
      <c r="Q48" s="2"/>
      <c r="R48" s="2"/>
      <c r="S48" s="2"/>
      <c r="T48" s="2"/>
      <c r="U48" s="2"/>
      <c r="V48" s="2"/>
      <c r="W48" s="2"/>
      <c r="X48" s="2"/>
      <c r="Y48" s="2"/>
      <c r="Z48" s="2"/>
      <c r="AA48" s="2"/>
      <c r="AB48" s="2"/>
      <c r="AC48" s="2"/>
      <c r="AD48" s="2"/>
      <c r="AE48" s="2"/>
      <c r="AF48" s="2"/>
      <c r="AG48" s="2"/>
      <c r="AH48" s="2"/>
      <c r="AI48" s="2"/>
      <c r="AJ48" s="2" t="str">
        <f>IFERROR(__xludf.DUMMYFUNCTION("""COMPUTED_VALUE"""),"Dark Curse")</f>
        <v>Dark Curse</v>
      </c>
      <c r="AK48" s="2" t="str">
        <f>IFERROR(__xludf.DUMMYFUNCTION("""COMPUTED_VALUE"""),"Dark Bolt")</f>
        <v>Dark Bolt</v>
      </c>
      <c r="AL48" s="2" t="str">
        <f>IFERROR(__xludf.DUMMYFUNCTION("""COMPUTED_VALUE"""),"Dark Bolt")</f>
        <v>Dark Bolt</v>
      </c>
      <c r="AM48" s="2" t="str">
        <f>IFERROR(__xludf.DUMMYFUNCTION("""COMPUTED_VALUE"""),"Enthrall")</f>
        <v>Enthrall</v>
      </c>
      <c r="AN48" s="2" t="str">
        <f>IFERROR(__xludf.DUMMYFUNCTION("""COMPUTED_VALUE"""),"Soul Shot")</f>
        <v>Soul Shot</v>
      </c>
      <c r="AO48" s="2"/>
      <c r="AP48" s="2"/>
      <c r="AQ48" s="2"/>
      <c r="AR48" s="2"/>
      <c r="AS48" s="2"/>
      <c r="AT48" s="2"/>
      <c r="AU48" s="2"/>
      <c r="AV48" s="2"/>
      <c r="AW48" s="2"/>
      <c r="AX48" s="2"/>
      <c r="AY48" s="2"/>
      <c r="AZ48" s="2"/>
      <c r="BA48" s="3"/>
      <c r="BB48" s="3"/>
      <c r="BC48" s="1"/>
      <c r="BD48" s="3">
        <f>IFERROR(__xludf.DUMMYFUNCTION("""COMPUTED_VALUE"""),0.0)</f>
        <v>0</v>
      </c>
      <c r="BE48" s="4">
        <f>IFERROR(__xludf.DUMMYFUNCTION("""COMPUTED_VALUE"""),10.0)</f>
        <v>10</v>
      </c>
      <c r="BF48" s="3"/>
      <c r="BG48" s="3" t="str">
        <f>IFERROR(__xludf.DUMMYFUNCTION("""COMPUTED_VALUE"""),"All")</f>
        <v>All</v>
      </c>
      <c r="BH48" s="3" t="str">
        <f>IFERROR(__xludf.DUMMYFUNCTION("""COMPUTED_VALUE"""),"Land of Spira")</f>
        <v>Land of Spira</v>
      </c>
      <c r="BI48" s="3"/>
      <c r="BJ48" s="3"/>
      <c r="BK48" s="3"/>
      <c r="BL48" s="3" t="b">
        <f>IFERROR(__xludf.DUMMYFUNCTION("""COMPUTED_VALUE"""),FALSE)</f>
        <v>0</v>
      </c>
      <c r="BM48" s="3"/>
      <c r="BN48" s="3"/>
      <c r="BO48" s="3"/>
      <c r="BP48" s="3"/>
      <c r="BQ48" s="3"/>
      <c r="BR48" s="3"/>
      <c r="BS48" s="3"/>
      <c r="BT48" s="3"/>
      <c r="BU48" s="3"/>
      <c r="BV48" s="3"/>
      <c r="BW48" s="3"/>
    </row>
    <row r="49" ht="15.75" customHeight="1">
      <c r="A49" s="2" t="str">
        <f>IFERROR(__xludf.DUMMYFUNCTION("""COMPUTED_VALUE"""),"Corrupted Twilight Knight")</f>
        <v>Corrupted Twilight Knight</v>
      </c>
      <c r="B49" s="2">
        <f>IFERROR(__xludf.DUMMYFUNCTION("""COMPUTED_VALUE"""),1.0)</f>
        <v>1</v>
      </c>
      <c r="C49" s="1" t="str">
        <f>IFERROR(__xludf.DUMMYFUNCTION("""COMPUTED_VALUE"""),"Spiky.")</f>
        <v>Spiky.</v>
      </c>
      <c r="D49" s="5" t="str">
        <f>IFERROR(__xludf.DUMMYFUNCTION("""COMPUTED_VALUE"""),"Humanoid")</f>
        <v>Humanoid</v>
      </c>
      <c r="E49" s="5">
        <f>IFERROR(__xludf.DUMMYFUNCTION("""COMPUTED_VALUE"""),1010.0)</f>
        <v>1010</v>
      </c>
      <c r="F49" s="5">
        <f>IFERROR(__xludf.DUMMYFUNCTION("""COMPUTED_VALUE"""),1010.0)</f>
        <v>1010</v>
      </c>
      <c r="G49" s="5">
        <f>IFERROR(__xludf.DUMMYFUNCTION("""COMPUTED_VALUE"""),1010.0)</f>
        <v>1010</v>
      </c>
      <c r="H49" s="2">
        <f>IFERROR(__xludf.DUMMYFUNCTION("""COMPUTED_VALUE"""),10.0)</f>
        <v>10</v>
      </c>
      <c r="I49" s="2">
        <f>IFERROR(__xludf.DUMMYFUNCTION("""COMPUTED_VALUE"""),0.0)</f>
        <v>0</v>
      </c>
      <c r="J49" s="5">
        <f>IFERROR(__xludf.DUMMYFUNCTION("""COMPUTED_VALUE"""),0.0)</f>
        <v>0</v>
      </c>
      <c r="K49" s="5">
        <f>IFERROR(__xludf.DUMMYFUNCTION("""COMPUTED_VALUE"""),100.0)</f>
        <v>100</v>
      </c>
      <c r="L49" s="8">
        <f>IFERROR(__xludf.DUMMYFUNCTION("""COMPUTED_VALUE"""),100.0)</f>
        <v>100</v>
      </c>
      <c r="M49" s="8" t="str">
        <f>IFERROR(__xludf.DUMMYFUNCTION("""COMPUTED_VALUE"""),"Twilight:100, ")</f>
        <v>Twilight:100, </v>
      </c>
      <c r="N49" s="2" t="str">
        <f>IFERROR(__xludf.DUMMYFUNCTION("""COMPUTED_VALUE"""),"")</f>
        <v/>
      </c>
      <c r="O49" s="2"/>
      <c r="P49" s="2"/>
      <c r="Q49" s="2"/>
      <c r="R49" s="2"/>
      <c r="S49" s="2"/>
      <c r="T49" s="2"/>
      <c r="U49" s="2"/>
      <c r="V49" s="2"/>
      <c r="W49" s="2" t="str">
        <f>IFERROR(__xludf.DUMMYFUNCTION("""COMPUTED_VALUE"""),"Twilight Sword")</f>
        <v>Twilight Sword</v>
      </c>
      <c r="X49" s="2"/>
      <c r="Y49" s="2"/>
      <c r="Z49" s="2"/>
      <c r="AA49" s="2"/>
      <c r="AB49" s="2"/>
      <c r="AC49" s="2"/>
      <c r="AD49" s="2"/>
      <c r="AE49" s="2"/>
      <c r="AF49" s="2"/>
      <c r="AG49" s="2"/>
      <c r="AH49" s="2"/>
      <c r="AI49" s="2"/>
      <c r="AJ49" s="2" t="str">
        <f>IFERROR(__xludf.DUMMYFUNCTION("""COMPUTED_VALUE"""),"Twilight Transformation")</f>
        <v>Twilight Transformation</v>
      </c>
      <c r="AK49" s="2" t="str">
        <f>IFERROR(__xludf.DUMMYFUNCTION("""COMPUTED_VALUE"""),"The Setting Sun")</f>
        <v>The Setting Sun</v>
      </c>
      <c r="AL49" s="2" t="str">
        <f>IFERROR(__xludf.DUMMYFUNCTION("""COMPUTED_VALUE"""),"Twilight Masquerade")</f>
        <v>Twilight Masquerade</v>
      </c>
      <c r="AM49" s="2" t="str">
        <f>IFERROR(__xludf.DUMMYFUNCTION("""COMPUTED_VALUE"""),"Arrest")</f>
        <v>Arrest</v>
      </c>
      <c r="AN49" s="2"/>
      <c r="AO49" s="2"/>
      <c r="AP49" s="2"/>
      <c r="AQ49" s="2"/>
      <c r="AR49" s="2"/>
      <c r="AS49" s="2"/>
      <c r="AT49" s="2"/>
      <c r="AU49" s="2"/>
      <c r="AV49" s="2"/>
      <c r="AW49" s="2"/>
      <c r="AX49" s="2"/>
      <c r="AY49" s="2"/>
      <c r="AZ49" s="2"/>
      <c r="BA49" s="3"/>
      <c r="BB49" s="3"/>
      <c r="BC49" s="1"/>
      <c r="BD49" s="3">
        <f>IFERROR(__xludf.DUMMYFUNCTION("""COMPUTED_VALUE"""),0.0)</f>
        <v>0</v>
      </c>
      <c r="BE49" s="4">
        <f>IFERROR(__xludf.DUMMYFUNCTION("""COMPUTED_VALUE"""),10.0)</f>
        <v>10</v>
      </c>
      <c r="BF49" s="3" t="str">
        <f>IFERROR(__xludf.DUMMYFUNCTION("""COMPUTED_VALUE"""),"Twilight Blessing: +5 can be added to this mobs rolls.")</f>
        <v>Twilight Blessing: +5 can be added to this mobs rolls.</v>
      </c>
      <c r="BG49" s="3" t="str">
        <f>IFERROR(__xludf.DUMMYFUNCTION("""COMPUTED_VALUE"""),"All")</f>
        <v>All</v>
      </c>
      <c r="BH49" s="3" t="str">
        <f>IFERROR(__xludf.DUMMYFUNCTION("""COMPUTED_VALUE"""),"Land of Spira")</f>
        <v>Land of Spira</v>
      </c>
      <c r="BI49" s="3"/>
      <c r="BJ49" s="3"/>
      <c r="BK49" s="3"/>
      <c r="BL49" s="3" t="b">
        <f>IFERROR(__xludf.DUMMYFUNCTION("""COMPUTED_VALUE"""),FALSE)</f>
        <v>0</v>
      </c>
      <c r="BM49" s="3"/>
      <c r="BN49" s="3"/>
      <c r="BO49" s="3"/>
      <c r="BP49" s="3"/>
      <c r="BQ49" s="3"/>
      <c r="BR49" s="3"/>
      <c r="BS49" s="3"/>
      <c r="BT49" s="3"/>
      <c r="BU49" s="3"/>
      <c r="BV49" s="3"/>
      <c r="BW49" s="3"/>
    </row>
    <row r="50" ht="15.75" customHeight="1">
      <c r="A50" s="2" t="str">
        <f>IFERROR(__xludf.DUMMYFUNCTION("""COMPUTED_VALUE"""),"Cremagetion")</f>
        <v>Cremagetion</v>
      </c>
      <c r="B50" s="2">
        <f>IFERROR(__xludf.DUMMYFUNCTION("""COMPUTED_VALUE"""),1.0)</f>
        <v>1</v>
      </c>
      <c r="C50" s="1" t="str">
        <f>IFERROR(__xludf.DUMMYFUNCTION("""COMPUTED_VALUE"""),"I couldn't fucking tell you what this is for the life of me.")</f>
        <v>I couldn't fucking tell you what this is for the life of me.</v>
      </c>
      <c r="D50" s="2" t="str">
        <f>IFERROR(__xludf.DUMMYFUNCTION("""COMPUTED_VALUE"""),"Monstrosity")</f>
        <v>Monstrosity</v>
      </c>
      <c r="E50" s="2">
        <f>IFERROR(__xludf.DUMMYFUNCTION("""COMPUTED_VALUE"""),1010.0)</f>
        <v>1010</v>
      </c>
      <c r="F50" s="5">
        <f>IFERROR(__xludf.DUMMYFUNCTION("""COMPUTED_VALUE"""),1010.0)</f>
        <v>1010</v>
      </c>
      <c r="G50" s="2">
        <f>IFERROR(__xludf.DUMMYFUNCTION("""COMPUTED_VALUE"""),1010.0)</f>
        <v>1010</v>
      </c>
      <c r="H50" s="2">
        <f>IFERROR(__xludf.DUMMYFUNCTION("""COMPUTED_VALUE"""),10.0)</f>
        <v>10</v>
      </c>
      <c r="I50" s="2">
        <f>IFERROR(__xludf.DUMMYFUNCTION("""COMPUTED_VALUE"""),0.0)</f>
        <v>0</v>
      </c>
      <c r="J50" s="5">
        <f>IFERROR(__xludf.DUMMYFUNCTION("""COMPUTED_VALUE"""),0.0)</f>
        <v>0</v>
      </c>
      <c r="K50" s="5">
        <f>IFERROR(__xludf.DUMMYFUNCTION("""COMPUTED_VALUE"""),100.0)</f>
        <v>100</v>
      </c>
      <c r="L50" s="2">
        <f>IFERROR(__xludf.DUMMYFUNCTION("""COMPUTED_VALUE"""),100.0)</f>
        <v>100</v>
      </c>
      <c r="M50" s="2" t="str">
        <f>IFERROR(__xludf.DUMMYFUNCTION("""COMPUTED_VALUE"""),"Fire: Immune")</f>
        <v>Fire: Immune</v>
      </c>
      <c r="N50" s="2" t="str">
        <f>IFERROR(__xludf.DUMMYFUNCTION("""COMPUTED_VALUE"""),"Water: 100")</f>
        <v>Water: 100</v>
      </c>
      <c r="O50" s="2"/>
      <c r="P50" s="2"/>
      <c r="Q50" s="2"/>
      <c r="R50" s="2"/>
      <c r="S50" s="2"/>
      <c r="T50" s="2"/>
      <c r="U50" s="2"/>
      <c r="V50" s="2"/>
      <c r="W50" s="2" t="str">
        <f>IFERROR(__xludf.DUMMYFUNCTION("""COMPUTED_VALUE"""),"Dreading Wand Of Fire")</f>
        <v>Dreading Wand Of Fire</v>
      </c>
      <c r="X50" s="2" t="str">
        <f>IFERROR(__xludf.DUMMYFUNCTION("""COMPUTED_VALUE"""),"Fire ring")</f>
        <v>Fire ring</v>
      </c>
      <c r="Y50" s="2"/>
      <c r="Z50" s="2"/>
      <c r="AA50" s="2"/>
      <c r="AB50" s="2"/>
      <c r="AC50" s="2"/>
      <c r="AD50" s="2"/>
      <c r="AE50" s="2"/>
      <c r="AF50" s="2"/>
      <c r="AG50" s="2"/>
      <c r="AH50" s="2"/>
      <c r="AI50" s="2" t="str">
        <f>IFERROR(__xludf.DUMMYFUNCTION("""COMPUTED_VALUE"""),"Fire Resistant Boots")</f>
        <v>Fire Resistant Boots</v>
      </c>
      <c r="AJ50" s="2" t="str">
        <f>IFERROR(__xludf.DUMMYFUNCTION("""COMPUTED_VALUE"""),"Fire Bolt")</f>
        <v>Fire Bolt</v>
      </c>
      <c r="AK50" s="2" t="str">
        <f>IFERROR(__xludf.DUMMYFUNCTION("""COMPUTED_VALUE"""),"Flame Thrower")</f>
        <v>Flame Thrower</v>
      </c>
      <c r="AL50" s="2" t="str">
        <f>IFERROR(__xludf.DUMMYFUNCTION("""COMPUTED_VALUE"""),"Volcanic Rain")</f>
        <v>Volcanic Rain</v>
      </c>
      <c r="AM50" s="2"/>
      <c r="AN50" s="2"/>
      <c r="AO50" s="2"/>
      <c r="AP50" s="2"/>
      <c r="AQ50" s="2"/>
      <c r="AR50" s="2"/>
      <c r="AS50" s="2"/>
      <c r="AT50" s="2"/>
      <c r="AU50" s="2"/>
      <c r="AV50" s="2"/>
      <c r="AW50" s="2"/>
      <c r="AX50" s="2"/>
      <c r="AY50" s="2"/>
      <c r="AZ50" s="2"/>
      <c r="BA50" s="3"/>
      <c r="BB50" s="3"/>
      <c r="BC50" s="1"/>
      <c r="BD50" s="3">
        <f>IFERROR(__xludf.DUMMYFUNCTION("""COMPUTED_VALUE"""),0.0)</f>
        <v>0</v>
      </c>
      <c r="BE50" s="4">
        <f>IFERROR(__xludf.DUMMYFUNCTION("""COMPUTED_VALUE"""),10.0)</f>
        <v>10</v>
      </c>
      <c r="BF50" s="3"/>
      <c r="BG50" s="3"/>
      <c r="BH50" s="3" t="str">
        <f>IFERROR(__xludf.DUMMYFUNCTION("""COMPUTED_VALUE"""),"Land of Spira")</f>
        <v>Land of Spira</v>
      </c>
      <c r="BI50" s="3"/>
      <c r="BJ50" s="3"/>
      <c r="BK50" s="3"/>
      <c r="BL50" s="3" t="b">
        <f>IFERROR(__xludf.DUMMYFUNCTION("""COMPUTED_VALUE"""),FALSE)</f>
        <v>0</v>
      </c>
      <c r="BM50" s="3"/>
      <c r="BN50" s="3"/>
      <c r="BO50" s="3"/>
      <c r="BP50" s="3"/>
      <c r="BQ50" s="3"/>
      <c r="BR50" s="3"/>
      <c r="BS50" s="3"/>
      <c r="BT50" s="3"/>
      <c r="BU50" s="3"/>
      <c r="BV50" s="3"/>
      <c r="BW50" s="3"/>
    </row>
    <row r="51" ht="15.75" customHeight="1">
      <c r="A51" s="2" t="str">
        <f>IFERROR(__xludf.DUMMYFUNCTION("""COMPUTED_VALUE"""),"Crow")</f>
        <v>Crow</v>
      </c>
      <c r="B51" s="2">
        <f>IFERROR(__xludf.DUMMYFUNCTION("""COMPUTED_VALUE"""),1.0)</f>
        <v>1</v>
      </c>
      <c r="C51" s="1" t="str">
        <f>IFERROR(__xludf.DUMMYFUNCTION("""COMPUTED_VALUE"""),"A bird with a penchant for eyeball poking and shinies nabbing.")</f>
        <v>A bird with a penchant for eyeball poking and shinies nabbing.</v>
      </c>
      <c r="D51" s="2" t="str">
        <f>IFERROR(__xludf.DUMMYFUNCTION("""COMPUTED_VALUE"""),"Beast")</f>
        <v>Beast</v>
      </c>
      <c r="E51" s="2">
        <f>IFERROR(__xludf.DUMMYFUNCTION("""COMPUTED_VALUE"""),1010.0)</f>
        <v>1010</v>
      </c>
      <c r="F51" s="5">
        <f>IFERROR(__xludf.DUMMYFUNCTION("""COMPUTED_VALUE"""),1010.0)</f>
        <v>1010</v>
      </c>
      <c r="G51" s="2">
        <f>IFERROR(__xludf.DUMMYFUNCTION("""COMPUTED_VALUE"""),1010.0)</f>
        <v>1010</v>
      </c>
      <c r="H51" s="2">
        <f>IFERROR(__xludf.DUMMYFUNCTION("""COMPUTED_VALUE"""),15.0)</f>
        <v>15</v>
      </c>
      <c r="I51" s="2">
        <f>IFERROR(__xludf.DUMMYFUNCTION("""COMPUTED_VALUE"""),0.0)</f>
        <v>0</v>
      </c>
      <c r="J51" s="5">
        <f>IFERROR(__xludf.DUMMYFUNCTION("""COMPUTED_VALUE"""),0.0)</f>
        <v>0</v>
      </c>
      <c r="K51" s="5">
        <f>IFERROR(__xludf.DUMMYFUNCTION("""COMPUTED_VALUE"""),100.0)</f>
        <v>100</v>
      </c>
      <c r="L51" s="2">
        <f>IFERROR(__xludf.DUMMYFUNCTION("""COMPUTED_VALUE"""),100.0)</f>
        <v>100</v>
      </c>
      <c r="M51" s="1" t="str">
        <f>IFERROR(__xludf.DUMMYFUNCTION("""COMPUTED_VALUE"""),"")</f>
        <v/>
      </c>
      <c r="N51" s="2" t="str">
        <f>IFERROR(__xludf.DUMMYFUNCTION("""COMPUTED_VALUE"""),"")</f>
        <v/>
      </c>
      <c r="O51" s="2"/>
      <c r="P51" s="2"/>
      <c r="Q51" s="2"/>
      <c r="R51" s="2"/>
      <c r="S51" s="2"/>
      <c r="T51" s="2"/>
      <c r="U51" s="2"/>
      <c r="V51" s="2"/>
      <c r="W51" s="2"/>
      <c r="X51" s="2"/>
      <c r="Y51" s="2"/>
      <c r="Z51" s="2"/>
      <c r="AA51" s="2"/>
      <c r="AB51" s="2"/>
      <c r="AC51" s="2"/>
      <c r="AD51" s="2"/>
      <c r="AE51" s="2"/>
      <c r="AF51" s="2"/>
      <c r="AG51" s="2"/>
      <c r="AH51" s="2"/>
      <c r="AI51" s="2"/>
      <c r="AJ51" s="2" t="str">
        <f>IFERROR(__xludf.DUMMYFUNCTION("""COMPUTED_VALUE"""),"Claws")</f>
        <v>Claws</v>
      </c>
      <c r="AK51" s="2" t="str">
        <f>IFERROR(__xludf.DUMMYFUNCTION("""COMPUTED_VALUE"""),"Rapid Swoop")</f>
        <v>Rapid Swoop</v>
      </c>
      <c r="AL51" s="2" t="str">
        <f>IFERROR(__xludf.DUMMYFUNCTION("""COMPUTED_VALUE"""),"Bite")</f>
        <v>Bite</v>
      </c>
      <c r="AM51" s="2" t="str">
        <f>IFERROR(__xludf.DUMMYFUNCTION("""COMPUTED_VALUE"""),"Taunt")</f>
        <v>Taunt</v>
      </c>
      <c r="AN51" s="2" t="str">
        <f>IFERROR(__xludf.DUMMYFUNCTION("""COMPUTED_VALUE"""),"Dive Bomb")</f>
        <v>Dive Bomb</v>
      </c>
      <c r="AO51" s="2"/>
      <c r="AP51" s="2"/>
      <c r="AQ51" s="2"/>
      <c r="AR51" s="2"/>
      <c r="AS51" s="2"/>
      <c r="AT51" s="2"/>
      <c r="AU51" s="2"/>
      <c r="AV51" s="2"/>
      <c r="AW51" s="2"/>
      <c r="AX51" s="2"/>
      <c r="AY51" s="2"/>
      <c r="AZ51" s="2"/>
      <c r="BA51" s="3"/>
      <c r="BB51" s="3"/>
      <c r="BC51" s="1"/>
      <c r="BD51" s="3">
        <f>IFERROR(__xludf.DUMMYFUNCTION("""COMPUTED_VALUE"""),0.0)</f>
        <v>0</v>
      </c>
      <c r="BE51" s="4">
        <f>IFERROR(__xludf.DUMMYFUNCTION("""COMPUTED_VALUE"""),10.0)</f>
        <v>10</v>
      </c>
      <c r="BF51" s="3"/>
      <c r="BG51" s="3" t="str">
        <f>IFERROR(__xludf.DUMMYFUNCTION("""COMPUTED_VALUE"""),"All")</f>
        <v>All</v>
      </c>
      <c r="BH51" s="3" t="str">
        <f>IFERROR(__xludf.DUMMYFUNCTION("""COMPUTED_VALUE"""),"Land of Spira")</f>
        <v>Land of Spira</v>
      </c>
      <c r="BI51" s="3"/>
      <c r="BJ51" s="3"/>
      <c r="BK51" s="3"/>
      <c r="BL51" s="3" t="b">
        <f>IFERROR(__xludf.DUMMYFUNCTION("""COMPUTED_VALUE"""),FALSE)</f>
        <v>0</v>
      </c>
      <c r="BM51" s="3"/>
      <c r="BN51" s="3"/>
      <c r="BO51" s="3"/>
      <c r="BP51" s="3"/>
      <c r="BQ51" s="3"/>
      <c r="BR51" s="3"/>
      <c r="BS51" s="3"/>
      <c r="BT51" s="3"/>
      <c r="BU51" s="3"/>
      <c r="BV51" s="3"/>
      <c r="BW51" s="3"/>
    </row>
    <row r="52" ht="15.75" customHeight="1">
      <c r="A52" s="2" t="str">
        <f>IFERROR(__xludf.DUMMYFUNCTION("""COMPUTED_VALUE"""),"Crystal Dragon")</f>
        <v>Crystal Dragon</v>
      </c>
      <c r="B52" s="2">
        <f>IFERROR(__xludf.DUMMYFUNCTION("""COMPUTED_VALUE"""),1.0)</f>
        <v>1</v>
      </c>
      <c r="C52" s="1" t="str">
        <f>IFERROR(__xludf.DUMMYFUNCTION("""COMPUTED_VALUE"""),"Is it a dragon? Is it just a clump of rocks? sometimes it better not to get close enough to find out.")</f>
        <v>Is it a dragon? Is it just a clump of rocks? sometimes it better not to get close enough to find out.</v>
      </c>
      <c r="D52" s="2" t="str">
        <f>IFERROR(__xludf.DUMMYFUNCTION("""COMPUTED_VALUE"""),"Draconic")</f>
        <v>Draconic</v>
      </c>
      <c r="E52" s="2">
        <f>IFERROR(__xludf.DUMMYFUNCTION("""COMPUTED_VALUE"""),1010.0)</f>
        <v>1010</v>
      </c>
      <c r="F52" s="5">
        <f>IFERROR(__xludf.DUMMYFUNCTION("""COMPUTED_VALUE"""),31010.0)</f>
        <v>31010</v>
      </c>
      <c r="G52" s="2">
        <f>IFERROR(__xludf.DUMMYFUNCTION("""COMPUTED_VALUE"""),1010.0)</f>
        <v>1010</v>
      </c>
      <c r="H52" s="2">
        <f>IFERROR(__xludf.DUMMYFUNCTION("""COMPUTED_VALUE"""),10.0)</f>
        <v>10</v>
      </c>
      <c r="I52" s="2">
        <f>IFERROR(__xludf.DUMMYFUNCTION("""COMPUTED_VALUE"""),0.0)</f>
        <v>0</v>
      </c>
      <c r="J52" s="2">
        <f>IFERROR(__xludf.DUMMYFUNCTION("""COMPUTED_VALUE"""),0.0)</f>
        <v>0</v>
      </c>
      <c r="K52" s="2">
        <f>IFERROR(__xludf.DUMMYFUNCTION("""COMPUTED_VALUE"""),100.0)</f>
        <v>100</v>
      </c>
      <c r="L52" s="1">
        <f>IFERROR(__xludf.DUMMYFUNCTION("""COMPUTED_VALUE"""),100.0)</f>
        <v>100</v>
      </c>
      <c r="M52" s="1" t="str">
        <f>IFERROR(__xludf.DUMMYFUNCTION("""COMPUTED_VALUE"""),"Storm:100, Fire:100, Earth:100, ")</f>
        <v>Storm:100, Fire:100, Earth:100, </v>
      </c>
      <c r="N52" s="2" t="str">
        <f>IFERROR(__xludf.DUMMYFUNCTION("""COMPUTED_VALUE"""),"")</f>
        <v/>
      </c>
      <c r="O52" s="2"/>
      <c r="P52" s="2"/>
      <c r="Q52" s="2"/>
      <c r="R52" s="2"/>
      <c r="S52" s="2"/>
      <c r="T52" s="2"/>
      <c r="U52" s="2"/>
      <c r="V52" s="2"/>
      <c r="W52" s="2"/>
      <c r="X52" s="2"/>
      <c r="Y52" s="2"/>
      <c r="Z52" s="2"/>
      <c r="AA52" s="2"/>
      <c r="AB52" s="2"/>
      <c r="AC52" s="2"/>
      <c r="AD52" s="2"/>
      <c r="AE52" s="2"/>
      <c r="AF52" s="2"/>
      <c r="AG52" s="2"/>
      <c r="AH52" s="2"/>
      <c r="AI52" s="2"/>
      <c r="AJ52" s="2" t="str">
        <f>IFERROR(__xludf.DUMMYFUNCTION("""COMPUTED_VALUE"""),"Dragon's Breath")</f>
        <v>Dragon's Breath</v>
      </c>
      <c r="AK52" s="2" t="str">
        <f>IFERROR(__xludf.DUMMYFUNCTION("""COMPUTED_VALUE"""),"Bite")</f>
        <v>Bite</v>
      </c>
      <c r="AL52" s="2" t="str">
        <f>IFERROR(__xludf.DUMMYFUNCTION("""COMPUTED_VALUE"""),"Tail Smash")</f>
        <v>Tail Smash</v>
      </c>
      <c r="AM52" s="2" t="str">
        <f>IFERROR(__xludf.DUMMYFUNCTION("""COMPUTED_VALUE"""),"Claws")</f>
        <v>Claws</v>
      </c>
      <c r="AN52" s="2" t="str">
        <f>IFERROR(__xludf.DUMMYFUNCTION("""COMPUTED_VALUE"""),"Berserk")</f>
        <v>Berserk</v>
      </c>
      <c r="AO52" s="2" t="str">
        <f>IFERROR(__xludf.DUMMYFUNCTION("""COMPUTED_VALUE"""),"Multishot")</f>
        <v>Multishot</v>
      </c>
      <c r="AP52" s="2" t="str">
        <f>IFERROR(__xludf.DUMMYFUNCTION("""COMPUTED_VALUE"""),"Draconic Scream")</f>
        <v>Draconic Scream</v>
      </c>
      <c r="AQ52" s="2" t="str">
        <f>IFERROR(__xludf.DUMMYFUNCTION("""COMPUTED_VALUE"""),"Searing Saphire Strike")</f>
        <v>Searing Saphire Strike</v>
      </c>
      <c r="AR52" s="2" t="str">
        <f>IFERROR(__xludf.DUMMYFUNCTION("""COMPUTED_VALUE"""),"Energizing Emerald Pulse")</f>
        <v>Energizing Emerald Pulse</v>
      </c>
      <c r="AS52" s="2" t="str">
        <f>IFERROR(__xludf.DUMMYFUNCTION("""COMPUTED_VALUE"""),"Molten Ruby Spikes")</f>
        <v>Molten Ruby Spikes</v>
      </c>
      <c r="AT52" s="2" t="str">
        <f>IFERROR(__xludf.DUMMYFUNCTION("""COMPUTED_VALUE"""),"Celestial Wrath")</f>
        <v>Celestial Wrath</v>
      </c>
      <c r="AU52" s="2"/>
      <c r="AV52" s="2"/>
      <c r="AW52" s="2"/>
      <c r="AX52" s="2"/>
      <c r="AY52" s="2"/>
      <c r="AZ52" s="2"/>
      <c r="BA52" s="3"/>
      <c r="BB52" s="3"/>
      <c r="BC52" s="1"/>
      <c r="BD52" s="3">
        <f>IFERROR(__xludf.DUMMYFUNCTION("""COMPUTED_VALUE"""),0.0)</f>
        <v>0</v>
      </c>
      <c r="BE52" s="4">
        <f>IFERROR(__xludf.DUMMYFUNCTION("""COMPUTED_VALUE"""),10.0)</f>
        <v>10</v>
      </c>
      <c r="BF52"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52" s="3" t="str">
        <f>IFERROR(__xludf.DUMMYFUNCTION("""COMPUTED_VALUE"""),"City/Town")</f>
        <v>City/Town</v>
      </c>
      <c r="BH52" s="3" t="str">
        <f>IFERROR(__xludf.DUMMYFUNCTION("""COMPUTED_VALUE"""),"Dragonscale Island")</f>
        <v>Dragonscale Island</v>
      </c>
      <c r="BI52" s="3"/>
      <c r="BJ52" s="3"/>
      <c r="BK52" s="3"/>
      <c r="BL52" s="3" t="b">
        <f>IFERROR(__xludf.DUMMYFUNCTION("""COMPUTED_VALUE"""),FALSE)</f>
        <v>0</v>
      </c>
      <c r="BM52" s="3"/>
      <c r="BN52" s="3"/>
      <c r="BO52" s="3"/>
      <c r="BP52" s="3"/>
      <c r="BQ52" s="3"/>
      <c r="BR52" s="3"/>
      <c r="BS52" s="3"/>
      <c r="BT52" s="3"/>
      <c r="BU52" s="3"/>
      <c r="BV52" s="3"/>
      <c r="BW52" s="3"/>
    </row>
    <row r="53" ht="15.75" customHeight="1">
      <c r="A53" s="2" t="str">
        <f>IFERROR(__xludf.DUMMYFUNCTION("""COMPUTED_VALUE"""),"Crystal Guardian")</f>
        <v>Crystal Guardian</v>
      </c>
      <c r="B53" s="2">
        <f>IFERROR(__xludf.DUMMYFUNCTION("""COMPUTED_VALUE"""),1.0)</f>
        <v>1</v>
      </c>
      <c r="C53" s="1" t="str">
        <f>IFERROR(__xludf.DUMMYFUNCTION("""COMPUTED_VALUE"""),"Made purely out of crystal and yet not smart enough to try to us that to blend in, idiots.")</f>
        <v>Made purely out of crystal and yet not smart enough to try to us that to blend in, idiots.</v>
      </c>
      <c r="D53" s="2" t="str">
        <f>IFERROR(__xludf.DUMMYFUNCTION("""COMPUTED_VALUE"""),"Construct")</f>
        <v>Construct</v>
      </c>
      <c r="E53" s="2">
        <f>IFERROR(__xludf.DUMMYFUNCTION("""COMPUTED_VALUE"""),1010.0)</f>
        <v>1010</v>
      </c>
      <c r="F53" s="5">
        <f>IFERROR(__xludf.DUMMYFUNCTION("""COMPUTED_VALUE"""),1010.0)</f>
        <v>1010</v>
      </c>
      <c r="G53" s="2">
        <f>IFERROR(__xludf.DUMMYFUNCTION("""COMPUTED_VALUE"""),1010.0)</f>
        <v>1010</v>
      </c>
      <c r="H53" s="2">
        <f>IFERROR(__xludf.DUMMYFUNCTION("""COMPUTED_VALUE"""),10.0)</f>
        <v>10</v>
      </c>
      <c r="I53" s="2">
        <f>IFERROR(__xludf.DUMMYFUNCTION("""COMPUTED_VALUE"""),0.0)</f>
        <v>0</v>
      </c>
      <c r="J53" s="5">
        <f>IFERROR(__xludf.DUMMYFUNCTION("""COMPUTED_VALUE"""),0.0)</f>
        <v>0</v>
      </c>
      <c r="K53" s="5">
        <f>IFERROR(__xludf.DUMMYFUNCTION("""COMPUTED_VALUE"""),100.0)</f>
        <v>100</v>
      </c>
      <c r="L53" s="1">
        <f>IFERROR(__xludf.DUMMYFUNCTION("""COMPUTED_VALUE"""),100.0)</f>
        <v>100</v>
      </c>
      <c r="M53" s="1" t="str">
        <f>IFERROR(__xludf.DUMMYFUNCTION("""COMPUTED_VALUE"""),"Fire:Immune, ")</f>
        <v>Fire:Immune, </v>
      </c>
      <c r="N53" s="2" t="str">
        <f>IFERROR(__xludf.DUMMYFUNCTION("""COMPUTED_VALUE"""),"Water:100, Storm:100, ")</f>
        <v>Water:100, Storm:100, </v>
      </c>
      <c r="O53" s="2" t="str">
        <f>IFERROR(__xludf.DUMMYFUNCTION("""COMPUTED_VALUE"""),"Crystal Forged Helmet")</f>
        <v>Crystal Forged Helmet</v>
      </c>
      <c r="P53" s="2" t="str">
        <f>IFERROR(__xludf.DUMMYFUNCTION("""COMPUTED_VALUE"""),"Black Crystal Necklace of Luck")</f>
        <v>Black Crystal Necklace of Luck</v>
      </c>
      <c r="Q53" s="2" t="str">
        <f>IFERROR(__xludf.DUMMYFUNCTION("""COMPUTED_VALUE"""),"Crystal Healing Amulet")</f>
        <v>Crystal Healing Amulet</v>
      </c>
      <c r="R53" s="2"/>
      <c r="S53" s="2" t="str">
        <f>IFERROR(__xludf.DUMMYFUNCTION("""COMPUTED_VALUE"""),"Crystal Forged Pauldrons")</f>
        <v>Crystal Forged Pauldrons</v>
      </c>
      <c r="T53" s="2" t="str">
        <f>IFERROR(__xludf.DUMMYFUNCTION("""COMPUTED_VALUE"""),"Crystal Forged Chestplate")</f>
        <v>Crystal Forged Chestplate</v>
      </c>
      <c r="U53" s="2" t="str">
        <f>IFERROR(__xludf.DUMMYFUNCTION("""COMPUTED_VALUE"""),"Crystal Forged Vambraces")</f>
        <v>Crystal Forged Vambraces</v>
      </c>
      <c r="V53" s="2" t="str">
        <f>IFERROR(__xludf.DUMMYFUNCTION("""COMPUTED_VALUE"""),"Crystal Longsword")</f>
        <v>Crystal Longsword</v>
      </c>
      <c r="W53" s="2"/>
      <c r="X53" s="2" t="str">
        <f>IFERROR(__xludf.DUMMYFUNCTION("""COMPUTED_VALUE"""),"Crystal Ring")</f>
        <v>Crystal Ring</v>
      </c>
      <c r="Y53" s="2"/>
      <c r="Z53" s="2"/>
      <c r="AA53" s="2"/>
      <c r="AB53" s="2"/>
      <c r="AC53" s="2"/>
      <c r="AD53" s="2"/>
      <c r="AE53" s="2"/>
      <c r="AF53" s="2"/>
      <c r="AG53" s="2"/>
      <c r="AH53" s="2"/>
      <c r="AI53" s="2"/>
      <c r="AJ53" s="2" t="str">
        <f>IFERROR(__xludf.DUMMYFUNCTION("""COMPUTED_VALUE"""),"Earthquake")</f>
        <v>Earthquake</v>
      </c>
      <c r="AK53" s="2" t="str">
        <f>IFERROR(__xludf.DUMMYFUNCTION("""COMPUTED_VALUE"""),"Rock Cycle")</f>
        <v>Rock Cycle</v>
      </c>
      <c r="AL53" s="2" t="str">
        <f>IFERROR(__xludf.DUMMYFUNCTION("""COMPUTED_VALUE"""),"Multishot")</f>
        <v>Multishot</v>
      </c>
      <c r="AM53" s="2" t="str">
        <f>IFERROR(__xludf.DUMMYFUNCTION("""COMPUTED_VALUE"""),"Molten Ruby Spikes")</f>
        <v>Molten Ruby Spikes</v>
      </c>
      <c r="AN53" s="2" t="str">
        <f>IFERROR(__xludf.DUMMYFUNCTION("""COMPUTED_VALUE"""),"Searing Saphire Strike")</f>
        <v>Searing Saphire Strike</v>
      </c>
      <c r="AO53" s="2" t="str">
        <f>IFERROR(__xludf.DUMMYFUNCTION("""COMPUTED_VALUE"""),"Energizing Emerald Pulse")</f>
        <v>Energizing Emerald Pulse</v>
      </c>
      <c r="AP53" s="2" t="str">
        <f>IFERROR(__xludf.DUMMYFUNCTION("""COMPUTED_VALUE"""),"Berserk")</f>
        <v>Berserk</v>
      </c>
      <c r="AQ53" s="2"/>
      <c r="AR53" s="2"/>
      <c r="AS53" s="2"/>
      <c r="AT53" s="2"/>
      <c r="AU53" s="2"/>
      <c r="AV53" s="2"/>
      <c r="AW53" s="2"/>
      <c r="AX53" s="2"/>
      <c r="AY53" s="2"/>
      <c r="AZ53" s="2"/>
      <c r="BA53" s="3"/>
      <c r="BB53" s="3"/>
      <c r="BC53" s="1"/>
      <c r="BD53" s="3">
        <f>IFERROR(__xludf.DUMMYFUNCTION("""COMPUTED_VALUE"""),0.0)</f>
        <v>0</v>
      </c>
      <c r="BE53" s="4">
        <f>IFERROR(__xludf.DUMMYFUNCTION("""COMPUTED_VALUE"""),10.0)</f>
        <v>10</v>
      </c>
      <c r="BF53" s="3" t="str">
        <f>IFERROR(__xludf.DUMMYFUNCTION("""COMPUTED_VALUE"""),"Forged in Crystals: +5 can be added to this mobs rolls.")</f>
        <v>Forged in Crystals: +5 can be added to this mobs rolls.</v>
      </c>
      <c r="BG53" s="3" t="str">
        <f>IFERROR(__xludf.DUMMYFUNCTION("""COMPUTED_VALUE"""),"City/Town")</f>
        <v>City/Town</v>
      </c>
      <c r="BH53" s="3" t="str">
        <f>IFERROR(__xludf.DUMMYFUNCTION("""COMPUTED_VALUE"""),"Land of Spira")</f>
        <v>Land of Spira</v>
      </c>
      <c r="BI53" s="3"/>
      <c r="BJ53" s="3"/>
      <c r="BK53" s="3"/>
      <c r="BL53" s="3" t="b">
        <f>IFERROR(__xludf.DUMMYFUNCTION("""COMPUTED_VALUE"""),FALSE)</f>
        <v>0</v>
      </c>
      <c r="BM53" s="3"/>
      <c r="BN53" s="3"/>
      <c r="BO53" s="3"/>
      <c r="BP53" s="3"/>
      <c r="BQ53" s="3"/>
      <c r="BR53" s="3"/>
      <c r="BS53" s="3"/>
      <c r="BT53" s="3"/>
      <c r="BU53" s="3"/>
      <c r="BV53" s="3"/>
      <c r="BW53" s="3"/>
    </row>
    <row r="54" ht="15.75" customHeight="1">
      <c r="A54" s="2" t="str">
        <f>IFERROR(__xludf.DUMMYFUNCTION("""COMPUTED_VALUE"""),"Cthulhu")</f>
        <v>Cthulhu</v>
      </c>
      <c r="B54" s="2">
        <f>IFERROR(__xludf.DUMMYFUNCTION("""COMPUTED_VALUE"""),1.0)</f>
        <v>1</v>
      </c>
      <c r="C54" s="1" t="str">
        <f>IFERROR(__xludf.DUMMYFUNCTION("""COMPUTED_VALUE"""),"Hates Bards with a burning passion.")</f>
        <v>Hates Bards with a burning passion.</v>
      </c>
      <c r="D54" s="5" t="str">
        <f>IFERROR(__xludf.DUMMYFUNCTION("""COMPUTED_VALUE"""),"Monstrosity")</f>
        <v>Monstrosity</v>
      </c>
      <c r="E54" s="5">
        <f>IFERROR(__xludf.DUMMYFUNCTION("""COMPUTED_VALUE"""),1010.0)</f>
        <v>1010</v>
      </c>
      <c r="F54" s="5">
        <f>IFERROR(__xludf.DUMMYFUNCTION("""COMPUTED_VALUE"""),1010.0)</f>
        <v>1010</v>
      </c>
      <c r="G54" s="5">
        <f>IFERROR(__xludf.DUMMYFUNCTION("""COMPUTED_VALUE"""),1010.0)</f>
        <v>1010</v>
      </c>
      <c r="H54" s="2">
        <f>IFERROR(__xludf.DUMMYFUNCTION("""COMPUTED_VALUE"""),20.0)</f>
        <v>20</v>
      </c>
      <c r="I54" s="2">
        <f>IFERROR(__xludf.DUMMYFUNCTION("""COMPUTED_VALUE"""),20.0)</f>
        <v>20</v>
      </c>
      <c r="J54" s="5">
        <f>IFERROR(__xludf.DUMMYFUNCTION("""COMPUTED_VALUE"""),0.0)</f>
        <v>0</v>
      </c>
      <c r="K54" s="5">
        <f>IFERROR(__xludf.DUMMYFUNCTION("""COMPUTED_VALUE"""),100.0)</f>
        <v>100</v>
      </c>
      <c r="L54" s="1">
        <f>IFERROR(__xludf.DUMMYFUNCTION("""COMPUTED_VALUE"""),100.0)</f>
        <v>100</v>
      </c>
      <c r="M54" s="1" t="str">
        <f>IFERROR(__xludf.DUMMYFUNCTION("""COMPUTED_VALUE"""),"Fire:Immune, Water:Immune, Dark:Immune, Chaos:Immune, Voodoo:Immune, Instant Death:Immune, Banishment:Immune, ")</f>
        <v>Fire:Immune, Water:Immune, Dark:Immune, Chaos:Immune, Voodoo:Immune, Instant Death:Immune, Banishment:Immune, </v>
      </c>
      <c r="N54" s="2" t="str">
        <f>IFERROR(__xludf.DUMMYFUNCTION("""COMPUTED_VALUE"""),"Storm:100, Light:100, Nature:100, Celestial:100, ")</f>
        <v>Storm:100, Light:100, Nature:100, Celestial:100, </v>
      </c>
      <c r="O54" s="2"/>
      <c r="P54" s="2"/>
      <c r="Q54" s="2"/>
      <c r="R54" s="2"/>
      <c r="S54" s="2"/>
      <c r="T54" s="2"/>
      <c r="U54" s="2"/>
      <c r="V54" s="2"/>
      <c r="W54" s="2"/>
      <c r="X54" s="2"/>
      <c r="Y54" s="2"/>
      <c r="Z54" s="2"/>
      <c r="AA54" s="2"/>
      <c r="AB54" s="2"/>
      <c r="AC54" s="2"/>
      <c r="AD54" s="2"/>
      <c r="AE54" s="2"/>
      <c r="AF54" s="2"/>
      <c r="AG54" s="2"/>
      <c r="AH54" s="2"/>
      <c r="AI54" s="2"/>
      <c r="AJ54" s="2" t="str">
        <f>IFERROR(__xludf.DUMMYFUNCTION("""COMPUTED_VALUE"""),"Absorbing Blood")</f>
        <v>Absorbing Blood</v>
      </c>
      <c r="AK54" s="2" t="str">
        <f>IFERROR(__xludf.DUMMYFUNCTION("""COMPUTED_VALUE"""),"Swallow")</f>
        <v>Swallow</v>
      </c>
      <c r="AL54" s="2" t="str">
        <f>IFERROR(__xludf.DUMMYFUNCTION("""COMPUTED_VALUE"""),"Blood Geyser")</f>
        <v>Blood Geyser</v>
      </c>
      <c r="AM54" s="2" t="str">
        <f>IFERROR(__xludf.DUMMYFUNCTION("""COMPUTED_VALUE"""),"Purified Blood")</f>
        <v>Purified Blood</v>
      </c>
      <c r="AN54" s="2" t="str">
        <f>IFERROR(__xludf.DUMMYFUNCTION("""COMPUTED_VALUE"""),"Damage With A Cost.")</f>
        <v>Damage With A Cost.</v>
      </c>
      <c r="AO54" s="2" t="str">
        <f>IFERROR(__xludf.DUMMYFUNCTION("""COMPUTED_VALUE"""),"Elemental Storm")</f>
        <v>Elemental Storm</v>
      </c>
      <c r="AP54" s="2" t="str">
        <f>IFERROR(__xludf.DUMMYFUNCTION("""COMPUTED_VALUE"""),"Vaporize")</f>
        <v>Vaporize</v>
      </c>
      <c r="AQ54" s="2" t="str">
        <f>IFERROR(__xludf.DUMMYFUNCTION("""COMPUTED_VALUE"""),"Mass Destruction")</f>
        <v>Mass Destruction</v>
      </c>
      <c r="AR54" s="2" t="str">
        <f>IFERROR(__xludf.DUMMYFUNCTION("""COMPUTED_VALUE"""),"Berserk")</f>
        <v>Berserk</v>
      </c>
      <c r="AS54" s="2" t="str">
        <f>IFERROR(__xludf.DUMMYFUNCTION("""COMPUTED_VALUE"""),"Multishot")</f>
        <v>Multishot</v>
      </c>
      <c r="AT54" s="2"/>
      <c r="AU54" s="2"/>
      <c r="AV54" s="2"/>
      <c r="AW54" s="2"/>
      <c r="AX54" s="2"/>
      <c r="AY54" s="2"/>
      <c r="AZ54" s="2"/>
      <c r="BA54" s="3"/>
      <c r="BB54" s="3"/>
      <c r="BC54" s="1"/>
      <c r="BD54" s="3">
        <f>IFERROR(__xludf.DUMMYFUNCTION("""COMPUTED_VALUE"""),20.0)</f>
        <v>20</v>
      </c>
      <c r="BE54" s="4">
        <f>IFERROR(__xludf.DUMMYFUNCTION("""COMPUTED_VALUE"""),20.0)</f>
        <v>20</v>
      </c>
      <c r="BF54" s="3" t="str">
        <f>IFERROR(__xludf.DUMMYFUNCTION("""COMPUTED_VALUE"""),"75% chance to be unaffected by any spells affecting this mob
Curse of Cthulhu: When the caster takes damage the caster will gain half the damage back as hp.
Cthulhu’s Greed: +10 can be added to each d20 roll for caster but take 1000 damage each roll.
T"&amp;"he Seal of Cthulhu: SP costs are now HP costs and HP costs are now SP costs.")</f>
        <v>75% chance to be unaffected by any spells affecting this mob
Curse of Cthulhu: When the caster takes damage the caster will gain half the damage back as hp.
Cthulhu’s Greed: +10 can be added to each d20 roll for caster but take 1000 damage each roll.
The Seal of Cthulhu: SP costs are now HP costs and HP costs are now SP costs.</v>
      </c>
      <c r="BG54" s="3" t="str">
        <f>IFERROR(__xludf.DUMMYFUNCTION("""COMPUTED_VALUE"""),"Ocean")</f>
        <v>Ocean</v>
      </c>
      <c r="BH54" s="3" t="str">
        <f>IFERROR(__xludf.DUMMYFUNCTION("""COMPUTED_VALUE"""),"Land Of Spira")</f>
        <v>Land Of Spira</v>
      </c>
      <c r="BI54" s="3"/>
      <c r="BJ54" s="3"/>
      <c r="BK54" s="3"/>
      <c r="BL54" s="3" t="b">
        <f>IFERROR(__xludf.DUMMYFUNCTION("""COMPUTED_VALUE"""),FALSE)</f>
        <v>0</v>
      </c>
      <c r="BM54" s="3"/>
      <c r="BN54" s="3"/>
      <c r="BO54" s="3"/>
      <c r="BP54" s="3"/>
      <c r="BQ54" s="3"/>
      <c r="BR54" s="3"/>
      <c r="BS54" s="3"/>
      <c r="BT54" s="3"/>
      <c r="BU54" s="3"/>
      <c r="BV54" s="3"/>
      <c r="BW54" s="3"/>
    </row>
    <row r="55" ht="15.75" customHeight="1">
      <c r="A55" s="2" t="str">
        <f>IFERROR(__xludf.DUMMYFUNCTION("""COMPUTED_VALUE"""),"Cultist of Dreadful")</f>
        <v>Cultist of Dreadful</v>
      </c>
      <c r="B55" s="2">
        <f>IFERROR(__xludf.DUMMYFUNCTION("""COMPUTED_VALUE"""),1.0)</f>
        <v>1</v>
      </c>
      <c r="C55" s="1" t="str">
        <f>IFERROR(__xludf.DUMMYFUNCTION("""COMPUTED_VALUE"""),"A stabby little bastard dead set on ruining your day cus' he's a cunt.")</f>
        <v>A stabby little bastard dead set on ruining your day cus' he's a cunt.</v>
      </c>
      <c r="D55" s="2" t="str">
        <f>IFERROR(__xludf.DUMMYFUNCTION("""COMPUTED_VALUE"""),"Humanoid")</f>
        <v>Humanoid</v>
      </c>
      <c r="E55" s="2">
        <f>IFERROR(__xludf.DUMMYFUNCTION("""COMPUTED_VALUE"""),1010.0)</f>
        <v>1010</v>
      </c>
      <c r="F55" s="5">
        <f>IFERROR(__xludf.DUMMYFUNCTION("""COMPUTED_VALUE"""),1010.0)</f>
        <v>1010</v>
      </c>
      <c r="G55" s="2">
        <f>IFERROR(__xludf.DUMMYFUNCTION("""COMPUTED_VALUE"""),1010.0)</f>
        <v>1010</v>
      </c>
      <c r="H55" s="2">
        <f>IFERROR(__xludf.DUMMYFUNCTION("""COMPUTED_VALUE"""),10.0)</f>
        <v>10</v>
      </c>
      <c r="I55" s="2">
        <f>IFERROR(__xludf.DUMMYFUNCTION("""COMPUTED_VALUE"""),0.0)</f>
        <v>0</v>
      </c>
      <c r="J55" s="2">
        <f>IFERROR(__xludf.DUMMYFUNCTION("""COMPUTED_VALUE"""),0.0)</f>
        <v>0</v>
      </c>
      <c r="K55" s="2">
        <f>IFERROR(__xludf.DUMMYFUNCTION("""COMPUTED_VALUE"""),100.0)</f>
        <v>100</v>
      </c>
      <c r="L55" s="1">
        <f>IFERROR(__xludf.DUMMYFUNCTION("""COMPUTED_VALUE"""),100.0)</f>
        <v>100</v>
      </c>
      <c r="M55" s="1" t="str">
        <f>IFERROR(__xludf.DUMMYFUNCTION("""COMPUTED_VALUE"""),"Dark:Immune, Chaos:Immune, Voodoo:Immune, Instant Death:Immune, ")</f>
        <v>Dark:Immune, Chaos:Immune, Voodoo:Immune, Instant Death:Immune, </v>
      </c>
      <c r="N55" s="2" t="str">
        <f>IFERROR(__xludf.DUMMYFUNCTION("""COMPUTED_VALUE"""),"Light:100, Order:100, ")</f>
        <v>Light:100, Order:100, </v>
      </c>
      <c r="O55" s="2"/>
      <c r="P55" s="2"/>
      <c r="Q55" s="2"/>
      <c r="R55" s="2"/>
      <c r="S55" s="2"/>
      <c r="T55" s="2"/>
      <c r="U55" s="2"/>
      <c r="V55" s="2" t="str">
        <f>IFERROR(__xludf.DUMMYFUNCTION("""COMPUTED_VALUE"""),"Stick of Mystery ")</f>
        <v>Stick of Mystery </v>
      </c>
      <c r="W55" s="2" t="str">
        <f>IFERROR(__xludf.DUMMYFUNCTION("""COMPUTED_VALUE"""),"Stick of Mystery ")</f>
        <v>Stick of Mystery </v>
      </c>
      <c r="X55" s="2"/>
      <c r="Y55" s="2"/>
      <c r="Z55" s="2"/>
      <c r="AA55" s="2"/>
      <c r="AB55" s="2"/>
      <c r="AC55" s="2"/>
      <c r="AD55" s="2"/>
      <c r="AE55" s="2"/>
      <c r="AF55" s="2"/>
      <c r="AG55" s="2"/>
      <c r="AH55" s="2"/>
      <c r="AI55" s="2"/>
      <c r="AJ55" s="2" t="str">
        <f>IFERROR(__xludf.DUMMYFUNCTION("""COMPUTED_VALUE"""),"Dark Sacrifice")</f>
        <v>Dark Sacrifice</v>
      </c>
      <c r="AK55" s="2" t="str">
        <f>IFERROR(__xludf.DUMMYFUNCTION("""COMPUTED_VALUE"""),"Darkest Abyss")</f>
        <v>Darkest Abyss</v>
      </c>
      <c r="AL55" s="2" t="str">
        <f>IFERROR(__xludf.DUMMYFUNCTION("""COMPUTED_VALUE"""),"End the voodoo contract")</f>
        <v>End the voodoo contract</v>
      </c>
      <c r="AM55" s="2" t="str">
        <f>IFERROR(__xludf.DUMMYFUNCTION("""COMPUTED_VALUE"""),"Voodoo Meteor Shower")</f>
        <v>Voodoo Meteor Shower</v>
      </c>
      <c r="AN55" s="2" t="str">
        <f>IFERROR(__xludf.DUMMYFUNCTION("""COMPUTED_VALUE"""),"Last Gamble")</f>
        <v>Last Gamble</v>
      </c>
      <c r="AO55" s="2" t="str">
        <f>IFERROR(__xludf.DUMMYFUNCTION("""COMPUTED_VALUE"""),"Chaos Ward")</f>
        <v>Chaos Ward</v>
      </c>
      <c r="AP55" s="2" t="str">
        <f>IFERROR(__xludf.DUMMYFUNCTION("""COMPUTED_VALUE"""),"Dimension Portal")</f>
        <v>Dimension Portal</v>
      </c>
      <c r="AQ55" s="2" t="str">
        <f>IFERROR(__xludf.DUMMYFUNCTION("""COMPUTED_VALUE"""),"Bloody Alliance")</f>
        <v>Bloody Alliance</v>
      </c>
      <c r="AR55" s="2" t="str">
        <f>IFERROR(__xludf.DUMMYFUNCTION("""COMPUTED_VALUE"""),"Blood Geyser")</f>
        <v>Blood Geyser</v>
      </c>
      <c r="AS55" s="2"/>
      <c r="AT55" s="2"/>
      <c r="AU55" s="2"/>
      <c r="AV55" s="2"/>
      <c r="AW55" s="2"/>
      <c r="AX55" s="2"/>
      <c r="AY55" s="2"/>
      <c r="AZ55" s="2"/>
      <c r="BA55" s="3"/>
      <c r="BB55" s="3"/>
      <c r="BC55" s="1"/>
      <c r="BD55" s="3">
        <f>IFERROR(__xludf.DUMMYFUNCTION("""COMPUTED_VALUE"""),0.0)</f>
        <v>0</v>
      </c>
      <c r="BE55" s="4">
        <f>IFERROR(__xludf.DUMMYFUNCTION("""COMPUTED_VALUE"""),10.0)</f>
        <v>10</v>
      </c>
      <c r="BF55" s="3" t="str">
        <f>IFERROR(__xludf.DUMMYFUNCTION("""COMPUTED_VALUE"""),"25% chance to inflict the target that killed this mob with a random non-permanent curse.")</f>
        <v>25% chance to inflict the target that killed this mob with a random non-permanent curse.</v>
      </c>
      <c r="BG55" s="3" t="str">
        <f>IFERROR(__xludf.DUMMYFUNCTION("""COMPUTED_VALUE"""),"All")</f>
        <v>All</v>
      </c>
      <c r="BH55" s="3" t="str">
        <f>IFERROR(__xludf.DUMMYFUNCTION("""COMPUTED_VALUE"""),"Land of Spira")</f>
        <v>Land of Spira</v>
      </c>
      <c r="BI55" s="3"/>
      <c r="BJ55" s="3"/>
      <c r="BK55" s="3"/>
      <c r="BL55" s="3" t="b">
        <f>IFERROR(__xludf.DUMMYFUNCTION("""COMPUTED_VALUE"""),FALSE)</f>
        <v>0</v>
      </c>
      <c r="BM55" s="3"/>
      <c r="BN55" s="3"/>
      <c r="BO55" s="3"/>
      <c r="BP55" s="3"/>
      <c r="BQ55" s="3"/>
      <c r="BR55" s="3"/>
      <c r="BS55" s="3"/>
      <c r="BT55" s="3"/>
      <c r="BU55" s="3"/>
      <c r="BV55" s="3"/>
      <c r="BW55" s="3"/>
    </row>
    <row r="56" ht="15.75" customHeight="1">
      <c r="A56" s="2" t="str">
        <f>IFERROR(__xludf.DUMMYFUNCTION("""COMPUTED_VALUE"""),"Cultist Leader")</f>
        <v>Cultist Leader</v>
      </c>
      <c r="B56" s="2">
        <f>IFERROR(__xludf.DUMMYFUNCTION("""COMPUTED_VALUE"""),1.0)</f>
        <v>1</v>
      </c>
      <c r="C56" s="1" t="str">
        <f>IFERROR(__xludf.DUMMYFUNCTION("""COMPUTED_VALUE"""),"an even stabbier, slightly less little bastard.")</f>
        <v>an even stabbier, slightly less little bastard.</v>
      </c>
      <c r="D56" s="2" t="str">
        <f>IFERROR(__xludf.DUMMYFUNCTION("""COMPUTED_VALUE"""),"Humanoid")</f>
        <v>Humanoid</v>
      </c>
      <c r="E56" s="2">
        <f>IFERROR(__xludf.DUMMYFUNCTION("""COMPUTED_VALUE"""),1010.0)</f>
        <v>1010</v>
      </c>
      <c r="F56" s="5">
        <f>IFERROR(__xludf.DUMMYFUNCTION("""COMPUTED_VALUE"""),1010.0)</f>
        <v>1010</v>
      </c>
      <c r="G56" s="2">
        <f>IFERROR(__xludf.DUMMYFUNCTION("""COMPUTED_VALUE"""),1010.0)</f>
        <v>1010</v>
      </c>
      <c r="H56" s="2">
        <f>IFERROR(__xludf.DUMMYFUNCTION("""COMPUTED_VALUE"""),10.0)</f>
        <v>10</v>
      </c>
      <c r="I56" s="2">
        <f>IFERROR(__xludf.DUMMYFUNCTION("""COMPUTED_VALUE"""),0.0)</f>
        <v>0</v>
      </c>
      <c r="J56" s="2">
        <f>IFERROR(__xludf.DUMMYFUNCTION("""COMPUTED_VALUE"""),0.0)</f>
        <v>0</v>
      </c>
      <c r="K56" s="2">
        <f>IFERROR(__xludf.DUMMYFUNCTION("""COMPUTED_VALUE"""),100.0)</f>
        <v>100</v>
      </c>
      <c r="L56" s="1">
        <f>IFERROR(__xludf.DUMMYFUNCTION("""COMPUTED_VALUE"""),100.0)</f>
        <v>100</v>
      </c>
      <c r="M56" s="1" t="str">
        <f>IFERROR(__xludf.DUMMYFUNCTION("""COMPUTED_VALUE"""),"Dark:Immune, Chaos:Immune, Voodoo:Immune, Instant Death:Immune, Banishment:Immune, ")</f>
        <v>Dark:Immune, Chaos:Immune, Voodoo:Immune, Instant Death:Immune, Banishment:Immune, </v>
      </c>
      <c r="N56" s="2" t="str">
        <f>IFERROR(__xludf.DUMMYFUNCTION("""COMPUTED_VALUE"""),"Light:100, Order:100, ")</f>
        <v>Light:100, Order:100, </v>
      </c>
      <c r="O56" s="2"/>
      <c r="P56" s="2"/>
      <c r="Q56" s="2"/>
      <c r="R56" s="2"/>
      <c r="S56" s="2"/>
      <c r="T56" s="2"/>
      <c r="U56" s="2"/>
      <c r="V56" s="2" t="str">
        <f>IFERROR(__xludf.DUMMYFUNCTION("""COMPUTED_VALUE"""),"Stick of Mystery ")</f>
        <v>Stick of Mystery </v>
      </c>
      <c r="W56" s="2" t="str">
        <f>IFERROR(__xludf.DUMMYFUNCTION("""COMPUTED_VALUE"""),"Stick of Mystery ")</f>
        <v>Stick of Mystery </v>
      </c>
      <c r="X56" s="2"/>
      <c r="Y56" s="2"/>
      <c r="Z56" s="2"/>
      <c r="AA56" s="2"/>
      <c r="AB56" s="2"/>
      <c r="AC56" s="2"/>
      <c r="AD56" s="2"/>
      <c r="AE56" s="2"/>
      <c r="AF56" s="2"/>
      <c r="AG56" s="2"/>
      <c r="AH56" s="2"/>
      <c r="AI56" s="2"/>
      <c r="AJ56" s="2" t="str">
        <f>IFERROR(__xludf.DUMMYFUNCTION("""COMPUTED_VALUE"""),"Dark Sacrifice")</f>
        <v>Dark Sacrifice</v>
      </c>
      <c r="AK56" s="2" t="str">
        <f>IFERROR(__xludf.DUMMYFUNCTION("""COMPUTED_VALUE"""),"Darkest Abyss")</f>
        <v>Darkest Abyss</v>
      </c>
      <c r="AL56" s="2" t="str">
        <f>IFERROR(__xludf.DUMMYFUNCTION("""COMPUTED_VALUE"""),"End the voodoo contract")</f>
        <v>End the voodoo contract</v>
      </c>
      <c r="AM56" s="2" t="str">
        <f>IFERROR(__xludf.DUMMYFUNCTION("""COMPUTED_VALUE"""),"Voodoo Meteor Shower")</f>
        <v>Voodoo Meteor Shower</v>
      </c>
      <c r="AN56" s="2" t="str">
        <f>IFERROR(__xludf.DUMMYFUNCTION("""COMPUTED_VALUE"""),"Last Gamble")</f>
        <v>Last Gamble</v>
      </c>
      <c r="AO56" s="2" t="str">
        <f>IFERROR(__xludf.DUMMYFUNCTION("""COMPUTED_VALUE"""),"Chaos Ward")</f>
        <v>Chaos Ward</v>
      </c>
      <c r="AP56" s="2" t="str">
        <f>IFERROR(__xludf.DUMMYFUNCTION("""COMPUTED_VALUE"""),"Dimension Portal")</f>
        <v>Dimension Portal</v>
      </c>
      <c r="AQ56" s="2" t="str">
        <f>IFERROR(__xludf.DUMMYFUNCTION("""COMPUTED_VALUE"""),"Bloody Alliance")</f>
        <v>Bloody Alliance</v>
      </c>
      <c r="AR56" s="2" t="str">
        <f>IFERROR(__xludf.DUMMYFUNCTION("""COMPUTED_VALUE"""),"Blood Geyser")</f>
        <v>Blood Geyser</v>
      </c>
      <c r="AS56" s="2" t="str">
        <f>IFERROR(__xludf.DUMMYFUNCTION("""COMPUTED_VALUE"""),"Damage With A Cost.")</f>
        <v>Damage With A Cost.</v>
      </c>
      <c r="AT56" s="2" t="str">
        <f>IFERROR(__xludf.DUMMYFUNCTION("""COMPUTED_VALUE"""),"Mass Destruction")</f>
        <v>Mass Destruction</v>
      </c>
      <c r="AU56" s="2" t="str">
        <f>IFERROR(__xludf.DUMMYFUNCTION("""COMPUTED_VALUE"""),"Chaincast")</f>
        <v>Chaincast</v>
      </c>
      <c r="AV56" s="2" t="str">
        <f>IFERROR(__xludf.DUMMYFUNCTION("""COMPUTED_VALUE"""),"Cancel")</f>
        <v>Cancel</v>
      </c>
      <c r="AW56" s="2"/>
      <c r="AX56" s="2"/>
      <c r="AY56" s="2"/>
      <c r="AZ56" s="2"/>
      <c r="BA56" s="3"/>
      <c r="BB56" s="3"/>
      <c r="BC56" s="1"/>
      <c r="BD56" s="3">
        <f>IFERROR(__xludf.DUMMYFUNCTION("""COMPUTED_VALUE"""),0.0)</f>
        <v>0</v>
      </c>
      <c r="BE56" s="4">
        <f>IFERROR(__xludf.DUMMYFUNCTION("""COMPUTED_VALUE"""),10.0)</f>
        <v>10</v>
      </c>
      <c r="BF56" s="3" t="str">
        <f>IFERROR(__xludf.DUMMYFUNCTION("""COMPUTED_VALUE"""),"75% chance to be unaffected by any spells affecting this mob.
When this enemy dies it will have a 75% chance to summon a d4 of cultists.
A Dark Calling II: +10 can be added to this mobs rolls.
30% chance to inflict the target that killed this mob with "&amp;"a random non-permanent curse.")</f>
        <v>75% chance to be unaffected by any spells affecting this mob.
When this enemy dies it will have a 75% chance to summon a d4 of cultists.
A Dark Calling II: +10 can be added to this mobs rolls.
30% chance to inflict the target that killed this mob with a random non-permanent curse.</v>
      </c>
      <c r="BG56" s="3" t="str">
        <f>IFERROR(__xludf.DUMMYFUNCTION("""COMPUTED_VALUE"""),"All")</f>
        <v>All</v>
      </c>
      <c r="BH56" s="3" t="str">
        <f>IFERROR(__xludf.DUMMYFUNCTION("""COMPUTED_VALUE"""),"Land of Spira")</f>
        <v>Land of Spira</v>
      </c>
      <c r="BI56" s="3"/>
      <c r="BJ56" s="3"/>
      <c r="BK56" s="3"/>
      <c r="BL56" s="3" t="b">
        <f>IFERROR(__xludf.DUMMYFUNCTION("""COMPUTED_VALUE"""),FALSE)</f>
        <v>0</v>
      </c>
      <c r="BM56" s="3"/>
      <c r="BN56" s="3"/>
      <c r="BO56" s="3"/>
      <c r="BP56" s="3"/>
      <c r="BQ56" s="3"/>
      <c r="BR56" s="3"/>
      <c r="BS56" s="3"/>
      <c r="BT56" s="3"/>
      <c r="BU56" s="3"/>
      <c r="BV56" s="3"/>
      <c r="BW56" s="3"/>
    </row>
    <row r="57" ht="15.75" customHeight="1">
      <c r="A57" s="2" t="str">
        <f>IFERROR(__xludf.DUMMYFUNCTION("""COMPUTED_VALUE"""),"Cursed Ronin")</f>
        <v>Cursed Ronin</v>
      </c>
      <c r="B57" s="2">
        <f>IFERROR(__xludf.DUMMYFUNCTION("""COMPUTED_VALUE"""),1.0)</f>
        <v>1</v>
      </c>
      <c r="C57" s="1" t="str">
        <f>IFERROR(__xludf.DUMMYFUNCTION("""COMPUTED_VALUE"""),"How in the hell did he get cursed? Why by fighting a cursed Ronin of course. What do you mean how was the first Ronin cursed, how the hell should I know???")</f>
        <v>How in the hell did he get cursed? Why by fighting a cursed Ronin of course. What do you mean how was the first Ronin cursed, how the hell should I know???</v>
      </c>
      <c r="D57" s="5" t="str">
        <f>IFERROR(__xludf.DUMMYFUNCTION("""COMPUTED_VALUE"""),"Humanoid")</f>
        <v>Humanoid</v>
      </c>
      <c r="E57" s="5">
        <f>IFERROR(__xludf.DUMMYFUNCTION("""COMPUTED_VALUE"""),1010.0)</f>
        <v>1010</v>
      </c>
      <c r="F57" s="5">
        <f>IFERROR(__xludf.DUMMYFUNCTION("""COMPUTED_VALUE"""),1010.0)</f>
        <v>1010</v>
      </c>
      <c r="G57" s="5">
        <f>IFERROR(__xludf.DUMMYFUNCTION("""COMPUTED_VALUE"""),1010.0)</f>
        <v>1010</v>
      </c>
      <c r="H57" s="2">
        <f>IFERROR(__xludf.DUMMYFUNCTION("""COMPUTED_VALUE"""),20.0)</f>
        <v>20</v>
      </c>
      <c r="I57" s="2">
        <f>IFERROR(__xludf.DUMMYFUNCTION("""COMPUTED_VALUE"""),0.0)</f>
        <v>0</v>
      </c>
      <c r="J57" s="2">
        <f>IFERROR(__xludf.DUMMYFUNCTION("""COMPUTED_VALUE"""),0.0)</f>
        <v>0</v>
      </c>
      <c r="K57" s="2">
        <f>IFERROR(__xludf.DUMMYFUNCTION("""COMPUTED_VALUE"""),100.0)</f>
        <v>100</v>
      </c>
      <c r="L57" s="1">
        <f>IFERROR(__xludf.DUMMYFUNCTION("""COMPUTED_VALUE"""),100.0)</f>
        <v>100</v>
      </c>
      <c r="M57" s="1" t="str">
        <f>IFERROR(__xludf.DUMMYFUNCTION("""COMPUTED_VALUE"""),"Dark:Immune, Voodoo:Immune, Zen:Immune, Instant Death:Immune, Banishment:Immune, ")</f>
        <v>Dark:Immune, Voodoo:Immune, Zen:Immune, Instant Death:Immune, Banishment:Immune, </v>
      </c>
      <c r="N57" s="2" t="str">
        <f>IFERROR(__xludf.DUMMYFUNCTION("""COMPUTED_VALUE"""),"Light:100, Order:100, ")</f>
        <v>Light:100, Order:100, </v>
      </c>
      <c r="O57" s="2" t="str">
        <f>IFERROR(__xludf.DUMMYFUNCTION("""COMPUTED_VALUE"""),"Ancient Oni Mask")</f>
        <v>Ancient Oni Mask</v>
      </c>
      <c r="P57" s="2" t="str">
        <f>IFERROR(__xludf.DUMMYFUNCTION("""COMPUTED_VALUE"""),"Black Crystal Necklace of Luck")</f>
        <v>Black Crystal Necklace of Luck</v>
      </c>
      <c r="Q57" s="2"/>
      <c r="R57" s="2"/>
      <c r="S57" s="2" t="str">
        <f>IFERROR(__xludf.DUMMYFUNCTION("""COMPUTED_VALUE"""),"Ancient Oni Pauldrons")</f>
        <v>Ancient Oni Pauldrons</v>
      </c>
      <c r="T57" s="2" t="str">
        <f>IFERROR(__xludf.DUMMYFUNCTION("""COMPUTED_VALUE"""),"Ancient Oni Chestplate")</f>
        <v>Ancient Oni Chestplate</v>
      </c>
      <c r="U57" s="2" t="str">
        <f>IFERROR(__xludf.DUMMYFUNCTION("""COMPUTED_VALUE"""),"Ancient Oni Vambraces")</f>
        <v>Ancient Oni Vambraces</v>
      </c>
      <c r="V57" s="2" t="str">
        <f>IFERROR(__xludf.DUMMYFUNCTION("""COMPUTED_VALUE"""),"Ancient Oni Katana")</f>
        <v>Ancient Oni Katana</v>
      </c>
      <c r="W57" s="2" t="str">
        <f>IFERROR(__xludf.DUMMYFUNCTION("""COMPUTED_VALUE"""),"Ancient Oni Katana")</f>
        <v>Ancient Oni Katana</v>
      </c>
      <c r="X57" s="2" t="str">
        <f>IFERROR(__xludf.DUMMYFUNCTION("""COMPUTED_VALUE"""),"Ring of Pure Defense")</f>
        <v>Ring of Pure Defense</v>
      </c>
      <c r="Y57" s="2"/>
      <c r="Z57" s="2"/>
      <c r="AA57" s="2"/>
      <c r="AB57" s="2"/>
      <c r="AC57" s="2"/>
      <c r="AD57" s="2"/>
      <c r="AE57" s="2"/>
      <c r="AF57" s="2"/>
      <c r="AG57" s="2"/>
      <c r="AH57" s="2" t="str">
        <f>IFERROR(__xludf.DUMMYFUNCTION("""COMPUTED_VALUE"""),"Ancient Oni Greaves")</f>
        <v>Ancient Oni Greaves</v>
      </c>
      <c r="AI57" s="2" t="str">
        <f>IFERROR(__xludf.DUMMYFUNCTION("""COMPUTED_VALUE"""),"Ancient Oni Boots")</f>
        <v>Ancient Oni Boots</v>
      </c>
      <c r="AJ57" s="2" t="str">
        <f>IFERROR(__xludf.DUMMYFUNCTION("""COMPUTED_VALUE"""),"Curse Of The Samurai")</f>
        <v>Curse Of The Samurai</v>
      </c>
      <c r="AK57" s="2" t="str">
        <f>IFERROR(__xludf.DUMMYFUNCTION("""COMPUTED_VALUE"""),"Last Gamble")</f>
        <v>Last Gamble</v>
      </c>
      <c r="AL57" s="2" t="str">
        <f>IFERROR(__xludf.DUMMYFUNCTION("""COMPUTED_VALUE"""),"Voodoo Meteor Shower")</f>
        <v>Voodoo Meteor Shower</v>
      </c>
      <c r="AM57" s="2" t="str">
        <f>IFERROR(__xludf.DUMMYFUNCTION("""COMPUTED_VALUE"""),"Multi-Magic")</f>
        <v>Multi-Magic</v>
      </c>
      <c r="AN57" s="2" t="str">
        <f>IFERROR(__xludf.DUMMYFUNCTION("""COMPUTED_VALUE"""),"Multi Banishment")</f>
        <v>Multi Banishment</v>
      </c>
      <c r="AO57" s="2" t="str">
        <f>IFERROR(__xludf.DUMMYFUNCTION("""COMPUTED_VALUE"""),"Stand in")</f>
        <v>Stand in</v>
      </c>
      <c r="AP57" s="2" t="str">
        <f>IFERROR(__xludf.DUMMYFUNCTION("""COMPUTED_VALUE"""),"Berserk")</f>
        <v>Berserk</v>
      </c>
      <c r="AQ57" s="2" t="str">
        <f>IFERROR(__xludf.DUMMYFUNCTION("""COMPUTED_VALUE"""),"Chaincast")</f>
        <v>Chaincast</v>
      </c>
      <c r="AR57" s="2" t="str">
        <f>IFERROR(__xludf.DUMMYFUNCTION("""COMPUTED_VALUE"""),"Mass Destruction")</f>
        <v>Mass Destruction</v>
      </c>
      <c r="AS57" s="2" t="str">
        <f>IFERROR(__xludf.DUMMYFUNCTION("""COMPUTED_VALUE"""),"Cancel")</f>
        <v>Cancel</v>
      </c>
      <c r="AT57" s="2"/>
      <c r="AU57" s="2"/>
      <c r="AV57" s="2"/>
      <c r="AW57" s="2"/>
      <c r="AX57" s="2"/>
      <c r="AY57" s="2"/>
      <c r="AZ57" s="2"/>
      <c r="BA57" s="3"/>
      <c r="BB57" s="3"/>
      <c r="BC57" s="1"/>
      <c r="BD57" s="3">
        <f>IFERROR(__xludf.DUMMYFUNCTION("""COMPUTED_VALUE"""),0.0)</f>
        <v>0</v>
      </c>
      <c r="BE57" s="4">
        <f>IFERROR(__xludf.DUMMYFUNCTION("""COMPUTED_VALUE"""),20.0)</f>
        <v>20</v>
      </c>
      <c r="BF57" s="3" t="str">
        <f>IFERROR(__xludf.DUMMYFUNCTION("""COMPUTED_VALUE"""),"75% chance to be unaffected by any spells affecting this mob.
50% chance to dodge any attack without fail.
Cursed Speed II: +10 can be added to this mob's rolls
Ronin's Rage: When attacking with a weapon this mob can choose to attack two targets in one"&amp;" turn with a weapon(s) only.
Items can not be stolen from this mob""")</f>
        <v>75% chance to be unaffected by any spells affecting this mob.
50% chance to dodge any attack without fail.
Cursed Speed II: +10 can be added to this mob's rolls
Ronin's Rage: When attacking with a weapon this mob can choose to attack two targets in one turn with a weapon(s) only.
Items can not be stolen from this mob"</v>
      </c>
      <c r="BG57" s="3" t="str">
        <f>IFERROR(__xludf.DUMMYFUNCTION("""COMPUTED_VALUE"""),"City/Town")</f>
        <v>City/Town</v>
      </c>
      <c r="BH57" s="3" t="str">
        <f>IFERROR(__xludf.DUMMYFUNCTION("""COMPUTED_VALUE"""),"Land Of Spira")</f>
        <v>Land Of Spira</v>
      </c>
      <c r="BI57" s="3"/>
      <c r="BJ57" s="3"/>
      <c r="BK57" s="3"/>
      <c r="BL57" s="3" t="b">
        <f>IFERROR(__xludf.DUMMYFUNCTION("""COMPUTED_VALUE"""),FALSE)</f>
        <v>0</v>
      </c>
      <c r="BM57" s="3"/>
      <c r="BN57" s="3"/>
      <c r="BO57" s="3"/>
      <c r="BP57" s="3"/>
      <c r="BQ57" s="3"/>
      <c r="BR57" s="3"/>
      <c r="BS57" s="3"/>
      <c r="BT57" s="3"/>
      <c r="BU57" s="3"/>
      <c r="BV57" s="3"/>
      <c r="BW57" s="3"/>
    </row>
    <row r="58" ht="15.75" customHeight="1">
      <c r="A58" s="2" t="str">
        <f>IFERROR(__xludf.DUMMYFUNCTION("""COMPUTED_VALUE"""),"Cursed Samurai")</f>
        <v>Cursed Samurai</v>
      </c>
      <c r="B58" s="2">
        <f>IFERROR(__xludf.DUMMYFUNCTION("""COMPUTED_VALUE"""),1.0)</f>
        <v>1</v>
      </c>
      <c r="C58" s="1" t="str">
        <f>IFERROR(__xludf.DUMMYFUNCTION("""COMPUTED_VALUE"""),"Essentially the same as the cursed Ronin but slightly more self concious.")</f>
        <v>Essentially the same as the cursed Ronin but slightly more self concious.</v>
      </c>
      <c r="D58" s="5" t="str">
        <f>IFERROR(__xludf.DUMMYFUNCTION("""COMPUTED_VALUE"""),"Humanoid")</f>
        <v>Humanoid</v>
      </c>
      <c r="E58" s="5">
        <f>IFERROR(__xludf.DUMMYFUNCTION("""COMPUTED_VALUE"""),1010.0)</f>
        <v>1010</v>
      </c>
      <c r="F58" s="5">
        <f>IFERROR(__xludf.DUMMYFUNCTION("""COMPUTED_VALUE"""),1010.0)</f>
        <v>1010</v>
      </c>
      <c r="G58" s="5">
        <f>IFERROR(__xludf.DUMMYFUNCTION("""COMPUTED_VALUE"""),1010.0)</f>
        <v>1010</v>
      </c>
      <c r="H58" s="2">
        <f>IFERROR(__xludf.DUMMYFUNCTION("""COMPUTED_VALUE"""),10.0)</f>
        <v>10</v>
      </c>
      <c r="I58" s="2">
        <f>IFERROR(__xludf.DUMMYFUNCTION("""COMPUTED_VALUE"""),0.0)</f>
        <v>0</v>
      </c>
      <c r="J58" s="2">
        <f>IFERROR(__xludf.DUMMYFUNCTION("""COMPUTED_VALUE"""),0.0)</f>
        <v>0</v>
      </c>
      <c r="K58" s="2">
        <f>IFERROR(__xludf.DUMMYFUNCTION("""COMPUTED_VALUE"""),100.0)</f>
        <v>100</v>
      </c>
      <c r="L58" s="1">
        <f>IFERROR(__xludf.DUMMYFUNCTION("""COMPUTED_VALUE"""),100.0)</f>
        <v>100</v>
      </c>
      <c r="M58" s="1" t="str">
        <f>IFERROR(__xludf.DUMMYFUNCTION("""COMPUTED_VALUE"""),"Dark:Immune, Voodoo:Immune, Zen:Immune, ")</f>
        <v>Dark:Immune, Voodoo:Immune, Zen:Immune, </v>
      </c>
      <c r="N58" s="2" t="str">
        <f>IFERROR(__xludf.DUMMYFUNCTION("""COMPUTED_VALUE"""),"Fire:100, Light:100, ")</f>
        <v>Fire:100, Light:100, </v>
      </c>
      <c r="O58" s="2"/>
      <c r="P58" s="2"/>
      <c r="Q58" s="2"/>
      <c r="R58" s="2"/>
      <c r="S58" s="2"/>
      <c r="T58" s="2"/>
      <c r="U58" s="2"/>
      <c r="V58" s="2" t="str">
        <f>IFERROR(__xludf.DUMMYFUNCTION("""COMPUTED_VALUE"""),"Ancient Samurai Sword")</f>
        <v>Ancient Samurai Sword</v>
      </c>
      <c r="W58" s="2" t="str">
        <f>IFERROR(__xludf.DUMMYFUNCTION("""COMPUTED_VALUE"""),"Void sword")</f>
        <v>Void sword</v>
      </c>
      <c r="X58" s="2"/>
      <c r="Y58" s="2"/>
      <c r="Z58" s="2"/>
      <c r="AA58" s="2"/>
      <c r="AB58" s="2"/>
      <c r="AC58" s="2"/>
      <c r="AD58" s="2"/>
      <c r="AE58" s="2"/>
      <c r="AF58" s="2"/>
      <c r="AG58" s="2"/>
      <c r="AH58" s="2"/>
      <c r="AI58" s="2"/>
      <c r="AJ58" s="2" t="str">
        <f>IFERROR(__xludf.DUMMYFUNCTION("""COMPUTED_VALUE"""),"Curse Of The Samurai")</f>
        <v>Curse Of The Samurai</v>
      </c>
      <c r="AK58" s="2" t="str">
        <f>IFERROR(__xludf.DUMMYFUNCTION("""COMPUTED_VALUE"""),"Hex With Bad Luck")</f>
        <v>Hex With Bad Luck</v>
      </c>
      <c r="AL58" s="2" t="str">
        <f>IFERROR(__xludf.DUMMYFUNCTION("""COMPUTED_VALUE"""),"Stand in")</f>
        <v>Stand in</v>
      </c>
      <c r="AM58" s="2" t="str">
        <f>IFERROR(__xludf.DUMMYFUNCTION("""COMPUTED_VALUE"""),"Darkest Abyss")</f>
        <v>Darkest Abyss</v>
      </c>
      <c r="AN58" s="2" t="str">
        <f>IFERROR(__xludf.DUMMYFUNCTION("""COMPUTED_VALUE"""),"Berserk")</f>
        <v>Berserk</v>
      </c>
      <c r="AO58" s="2" t="str">
        <f>IFERROR(__xludf.DUMMYFUNCTION("""COMPUTED_VALUE"""),"Max Focus")</f>
        <v>Max Focus</v>
      </c>
      <c r="AP58" s="2"/>
      <c r="AQ58" s="2"/>
      <c r="AR58" s="2"/>
      <c r="AS58" s="2"/>
      <c r="AT58" s="2"/>
      <c r="AU58" s="2"/>
      <c r="AV58" s="2"/>
      <c r="AW58" s="2"/>
      <c r="AX58" s="2"/>
      <c r="AY58" s="2"/>
      <c r="AZ58" s="2"/>
      <c r="BA58" s="3"/>
      <c r="BB58" s="3"/>
      <c r="BC58" s="1"/>
      <c r="BD58" s="3">
        <f>IFERROR(__xludf.DUMMYFUNCTION("""COMPUTED_VALUE"""),0.0)</f>
        <v>0</v>
      </c>
      <c r="BE58" s="4">
        <f>IFERROR(__xludf.DUMMYFUNCTION("""COMPUTED_VALUE"""),10.0)</f>
        <v>10</v>
      </c>
      <c r="BF58" s="3" t="str">
        <f>IFERROR(__xludf.DUMMYFUNCTION("""COMPUTED_VALUE"""),"Cursed Fortune: +5 or -5 can be added to this mobs rolls, Make a Fail/Succeed roll per roll to determine.")</f>
        <v>Cursed Fortune: +5 or -5 can be added to this mobs rolls, Make a Fail/Succeed roll per roll to determine.</v>
      </c>
      <c r="BG58" s="3" t="str">
        <f>IFERROR(__xludf.DUMMYFUNCTION("""COMPUTED_VALUE"""),"City/Town")</f>
        <v>City/Town</v>
      </c>
      <c r="BH58" s="3" t="str">
        <f>IFERROR(__xludf.DUMMYFUNCTION("""COMPUTED_VALUE"""),"Land Of Spira")</f>
        <v>Land Of Spira</v>
      </c>
      <c r="BI58" s="3"/>
      <c r="BJ58" s="3"/>
      <c r="BK58" s="3"/>
      <c r="BL58" s="3" t="b">
        <f>IFERROR(__xludf.DUMMYFUNCTION("""COMPUTED_VALUE"""),FALSE)</f>
        <v>0</v>
      </c>
      <c r="BM58" s="3"/>
      <c r="BN58" s="3"/>
      <c r="BO58" s="3"/>
      <c r="BP58" s="3"/>
      <c r="BQ58" s="3"/>
      <c r="BR58" s="3"/>
      <c r="BS58" s="3"/>
      <c r="BT58" s="3"/>
      <c r="BU58" s="3"/>
      <c r="BV58" s="3"/>
      <c r="BW58" s="3"/>
    </row>
    <row r="59" ht="15.75" customHeight="1">
      <c r="A59" s="2" t="str">
        <f>IFERROR(__xludf.DUMMYFUNCTION("""COMPUTED_VALUE"""),"Cyclops")</f>
        <v>Cyclops</v>
      </c>
      <c r="B59" s="2">
        <f>IFERROR(__xludf.DUMMYFUNCTION("""COMPUTED_VALUE"""),1.0)</f>
        <v>1</v>
      </c>
      <c r="C59" s="2" t="str">
        <f>IFERROR(__xludf.DUMMYFUNCTION("""COMPUTED_VALUE"""),"A big angry bastard with absolutely no depth perception. Probably why the throw boudlers isn't it? Pretty damn hard to miss with a boulder.")</f>
        <v>A big angry bastard with absolutely no depth perception. Probably why the throw boudlers isn't it? Pretty damn hard to miss with a boulder.</v>
      </c>
      <c r="D59" s="5" t="str">
        <f>IFERROR(__xludf.DUMMYFUNCTION("""COMPUTED_VALUE"""),"Giant")</f>
        <v>Giant</v>
      </c>
      <c r="E59" s="5">
        <f>IFERROR(__xludf.DUMMYFUNCTION("""COMPUTED_VALUE"""),1010.0)</f>
        <v>1010</v>
      </c>
      <c r="F59" s="5">
        <f>IFERROR(__xludf.DUMMYFUNCTION("""COMPUTED_VALUE"""),1010.0)</f>
        <v>1010</v>
      </c>
      <c r="G59" s="5">
        <f>IFERROR(__xludf.DUMMYFUNCTION("""COMPUTED_VALUE"""),1010.0)</f>
        <v>1010</v>
      </c>
      <c r="H59" s="2">
        <f>IFERROR(__xludf.DUMMYFUNCTION("""COMPUTED_VALUE"""),10.0)</f>
        <v>10</v>
      </c>
      <c r="I59" s="2">
        <f>IFERROR(__xludf.DUMMYFUNCTION("""COMPUTED_VALUE"""),0.0)</f>
        <v>0</v>
      </c>
      <c r="J59" s="2">
        <f>IFERROR(__xludf.DUMMYFUNCTION("""COMPUTED_VALUE"""),0.0)</f>
        <v>0</v>
      </c>
      <c r="K59" s="5">
        <f>IFERROR(__xludf.DUMMYFUNCTION("""COMPUTED_VALUE"""),100.0)</f>
        <v>100</v>
      </c>
      <c r="L59" s="1">
        <f>IFERROR(__xludf.DUMMYFUNCTION("""COMPUTED_VALUE"""),100.0)</f>
        <v>100</v>
      </c>
      <c r="M59" s="1" t="str">
        <f>IFERROR(__xludf.DUMMYFUNCTION("""COMPUTED_VALUE"""),"")</f>
        <v/>
      </c>
      <c r="N59" s="2" t="str">
        <f>IFERROR(__xludf.DUMMYFUNCTION("""COMPUTED_VALUE"""),"")</f>
        <v/>
      </c>
      <c r="O59" s="2"/>
      <c r="P59" s="2"/>
      <c r="Q59" s="2"/>
      <c r="R59" s="2"/>
      <c r="S59" s="2"/>
      <c r="T59" s="2"/>
      <c r="U59" s="2"/>
      <c r="V59" s="2"/>
      <c r="W59" s="2"/>
      <c r="X59" s="2"/>
      <c r="Y59" s="2"/>
      <c r="Z59" s="2"/>
      <c r="AA59" s="2"/>
      <c r="AB59" s="2"/>
      <c r="AC59" s="2"/>
      <c r="AD59" s="2"/>
      <c r="AE59" s="2"/>
      <c r="AF59" s="2"/>
      <c r="AG59" s="2"/>
      <c r="AH59" s="2"/>
      <c r="AI59" s="2"/>
      <c r="AJ59" s="2" t="str">
        <f>IFERROR(__xludf.DUMMYFUNCTION("""COMPUTED_VALUE"""),"Earth Punch")</f>
        <v>Earth Punch</v>
      </c>
      <c r="AK59" s="2" t="str">
        <f>IFERROR(__xludf.DUMMYFUNCTION("""COMPUTED_VALUE"""),"Tremor")</f>
        <v>Tremor</v>
      </c>
      <c r="AL59" s="2" t="str">
        <f>IFERROR(__xludf.DUMMYFUNCTION("""COMPUTED_VALUE"""),"Boulder Toss")</f>
        <v>Boulder Toss</v>
      </c>
      <c r="AM59" s="2"/>
      <c r="AN59" s="2"/>
      <c r="AO59" s="2"/>
      <c r="AP59" s="2"/>
      <c r="AQ59" s="2"/>
      <c r="AR59" s="2"/>
      <c r="AS59" s="2"/>
      <c r="AT59" s="2"/>
      <c r="AU59" s="2"/>
      <c r="AV59" s="2"/>
      <c r="AW59" s="2"/>
      <c r="AX59" s="2"/>
      <c r="AY59" s="2"/>
      <c r="AZ59" s="2"/>
      <c r="BA59" s="3"/>
      <c r="BB59" s="3"/>
      <c r="BC59" s="1"/>
      <c r="BD59" s="3">
        <f>IFERROR(__xludf.DUMMYFUNCTION("""COMPUTED_VALUE"""),0.0)</f>
        <v>0</v>
      </c>
      <c r="BE59" s="4">
        <f>IFERROR(__xludf.DUMMYFUNCTION("""COMPUTED_VALUE"""),10.0)</f>
        <v>10</v>
      </c>
      <c r="BF59" s="3"/>
      <c r="BG59" s="3" t="str">
        <f>IFERROR(__xludf.DUMMYFUNCTION("""COMPUTED_VALUE"""),"All")</f>
        <v>All</v>
      </c>
      <c r="BH59" s="3" t="str">
        <f>IFERROR(__xludf.DUMMYFUNCTION("""COMPUTED_VALUE"""),"Land of Spira")</f>
        <v>Land of Spira</v>
      </c>
      <c r="BI59" s="3"/>
      <c r="BJ59" s="3"/>
      <c r="BK59" s="3"/>
      <c r="BL59" s="3" t="b">
        <f>IFERROR(__xludf.DUMMYFUNCTION("""COMPUTED_VALUE"""),FALSE)</f>
        <v>0</v>
      </c>
      <c r="BM59" s="3"/>
      <c r="BN59" s="3"/>
      <c r="BO59" s="3"/>
      <c r="BP59" s="3"/>
      <c r="BQ59" s="3"/>
      <c r="BR59" s="3"/>
      <c r="BS59" s="3"/>
      <c r="BT59" s="3"/>
      <c r="BU59" s="3"/>
      <c r="BV59" s="3"/>
      <c r="BW59" s="3"/>
    </row>
    <row r="60" ht="15.75" customHeight="1">
      <c r="A60" s="2" t="str">
        <f>IFERROR(__xludf.DUMMYFUNCTION("""COMPUTED_VALUE"""),"Dark Dragon")</f>
        <v>Dark Dragon</v>
      </c>
      <c r="B60" s="2">
        <f>IFERROR(__xludf.DUMMYFUNCTION("""COMPUTED_VALUE"""),1.0)</f>
        <v>1</v>
      </c>
      <c r="C60" s="1" t="str">
        <f>IFERROR(__xludf.DUMMYFUNCTION("""COMPUTED_VALUE"""),"Who the hell edgelorded my dragon?")</f>
        <v>Who the hell edgelorded my dragon?</v>
      </c>
      <c r="D60" s="2" t="str">
        <f>IFERROR(__xludf.DUMMYFUNCTION("""COMPUTED_VALUE"""),"Draconic")</f>
        <v>Draconic</v>
      </c>
      <c r="E60" s="2">
        <f>IFERROR(__xludf.DUMMYFUNCTION("""COMPUTED_VALUE"""),31010.0)</f>
        <v>31010</v>
      </c>
      <c r="F60" s="5">
        <f>IFERROR(__xludf.DUMMYFUNCTION("""COMPUTED_VALUE"""),31010.0)</f>
        <v>31010</v>
      </c>
      <c r="G60" s="2">
        <f>IFERROR(__xludf.DUMMYFUNCTION("""COMPUTED_VALUE"""),1010.0)</f>
        <v>1010</v>
      </c>
      <c r="H60" s="2">
        <f>IFERROR(__xludf.DUMMYFUNCTION("""COMPUTED_VALUE"""),10.0)</f>
        <v>10</v>
      </c>
      <c r="I60" s="2">
        <f>IFERROR(__xludf.DUMMYFUNCTION("""COMPUTED_VALUE"""),0.0)</f>
        <v>0</v>
      </c>
      <c r="J60" s="5">
        <f>IFERROR(__xludf.DUMMYFUNCTION("""COMPUTED_VALUE"""),0.0)</f>
        <v>0</v>
      </c>
      <c r="K60" s="5">
        <f>IFERROR(__xludf.DUMMYFUNCTION("""COMPUTED_VALUE"""),100.0)</f>
        <v>100</v>
      </c>
      <c r="L60" s="1">
        <f>IFERROR(__xludf.DUMMYFUNCTION("""COMPUTED_VALUE"""),100.0)</f>
        <v>100</v>
      </c>
      <c r="M60" s="1" t="str">
        <f>IFERROR(__xludf.DUMMYFUNCTION("""COMPUTED_VALUE"""),"Dark:Immune, Instant Death:Immune, Banishment:Immune, ")</f>
        <v>Dark:Immune, Instant Death:Immune, Banishment:Immune, </v>
      </c>
      <c r="N60" s="2" t="str">
        <f>IFERROR(__xludf.DUMMYFUNCTION("""COMPUTED_VALUE"""),"Fire:100, Light:100, ")</f>
        <v>Fire:100, Light:100, </v>
      </c>
      <c r="O60" s="2"/>
      <c r="P60" s="2"/>
      <c r="Q60" s="2"/>
      <c r="R60" s="2"/>
      <c r="S60" s="2"/>
      <c r="T60" s="2"/>
      <c r="U60" s="2"/>
      <c r="V60" s="2"/>
      <c r="W60" s="2"/>
      <c r="X60" s="2"/>
      <c r="Y60" s="2"/>
      <c r="Z60" s="2"/>
      <c r="AA60" s="2"/>
      <c r="AB60" s="2"/>
      <c r="AC60" s="2"/>
      <c r="AD60" s="2"/>
      <c r="AE60" s="2"/>
      <c r="AF60" s="2"/>
      <c r="AG60" s="2"/>
      <c r="AH60" s="2"/>
      <c r="AI60" s="2"/>
      <c r="AJ60" s="2" t="str">
        <f>IFERROR(__xludf.DUMMYFUNCTION("""COMPUTED_VALUE"""),"Dragon's Breath")</f>
        <v>Dragon's Breath</v>
      </c>
      <c r="AK60" s="2" t="str">
        <f>IFERROR(__xludf.DUMMYFUNCTION("""COMPUTED_VALUE"""),"Bite")</f>
        <v>Bite</v>
      </c>
      <c r="AL60" s="2" t="str">
        <f>IFERROR(__xludf.DUMMYFUNCTION("""COMPUTED_VALUE"""),"Tail Smash")</f>
        <v>Tail Smash</v>
      </c>
      <c r="AM60" s="2" t="str">
        <f>IFERROR(__xludf.DUMMYFUNCTION("""COMPUTED_VALUE"""),"Claws")</f>
        <v>Claws</v>
      </c>
      <c r="AN60" s="2" t="str">
        <f>IFERROR(__xludf.DUMMYFUNCTION("""COMPUTED_VALUE"""),"Berserk")</f>
        <v>Berserk</v>
      </c>
      <c r="AO60" s="2" t="str">
        <f>IFERROR(__xludf.DUMMYFUNCTION("""COMPUTED_VALUE"""),"Multishot")</f>
        <v>Multishot</v>
      </c>
      <c r="AP60" s="2" t="str">
        <f>IFERROR(__xludf.DUMMYFUNCTION("""COMPUTED_VALUE"""),"Draconic Scream")</f>
        <v>Draconic Scream</v>
      </c>
      <c r="AQ60" s="2" t="str">
        <f>IFERROR(__xludf.DUMMYFUNCTION("""COMPUTED_VALUE"""),"Darkest Abyss")</f>
        <v>Darkest Abyss</v>
      </c>
      <c r="AR60" s="2" t="str">
        <f>IFERROR(__xludf.DUMMYFUNCTION("""COMPUTED_VALUE"""),"Devolve")</f>
        <v>Devolve</v>
      </c>
      <c r="AS60" s="2" t="str">
        <f>IFERROR(__xludf.DUMMYFUNCTION("""COMPUTED_VALUE"""),"Dark Curse")</f>
        <v>Dark Curse</v>
      </c>
      <c r="AT60" s="2" t="str">
        <f>IFERROR(__xludf.DUMMYFUNCTION("""COMPUTED_VALUE"""),"Celestial Wrath")</f>
        <v>Celestial Wrath</v>
      </c>
      <c r="AU60" s="2"/>
      <c r="AV60" s="2"/>
      <c r="AW60" s="2"/>
      <c r="AX60" s="2"/>
      <c r="AY60" s="2"/>
      <c r="AZ60" s="2"/>
      <c r="BA60" s="3"/>
      <c r="BB60" s="3"/>
      <c r="BC60" s="1"/>
      <c r="BD60" s="3">
        <f>IFERROR(__xludf.DUMMYFUNCTION("""COMPUTED_VALUE"""),0.0)</f>
        <v>0</v>
      </c>
      <c r="BE60" s="4">
        <f>IFERROR(__xludf.DUMMYFUNCTION("""COMPUTED_VALUE"""),10.0)</f>
        <v>10</v>
      </c>
      <c r="BF60"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60" s="3" t="str">
        <f>IFERROR(__xludf.DUMMYFUNCTION("""COMPUTED_VALUE"""),"All")</f>
        <v>All</v>
      </c>
      <c r="BH60" s="3" t="str">
        <f>IFERROR(__xludf.DUMMYFUNCTION("""COMPUTED_VALUE"""),"Dragonscale Island")</f>
        <v>Dragonscale Island</v>
      </c>
      <c r="BI60" s="3"/>
      <c r="BJ60" s="3"/>
      <c r="BK60" s="3"/>
      <c r="BL60" s="3" t="b">
        <f>IFERROR(__xludf.DUMMYFUNCTION("""COMPUTED_VALUE"""),FALSE)</f>
        <v>0</v>
      </c>
      <c r="BM60" s="3"/>
      <c r="BN60" s="3"/>
      <c r="BO60" s="3"/>
      <c r="BP60" s="3"/>
      <c r="BQ60" s="3"/>
      <c r="BR60" s="3"/>
      <c r="BS60" s="3"/>
      <c r="BT60" s="3"/>
      <c r="BU60" s="3"/>
      <c r="BV60" s="3"/>
      <c r="BW60" s="3"/>
    </row>
    <row r="61" ht="15.75" customHeight="1">
      <c r="A61" s="2" t="str">
        <f>IFERROR(__xludf.DUMMYFUNCTION("""COMPUTED_VALUE"""),"Dark Snow Warrior")</f>
        <v>Dark Snow Warrior</v>
      </c>
      <c r="B61" s="2">
        <f>IFERROR(__xludf.DUMMYFUNCTION("""COMPUTED_VALUE"""),1.0)</f>
        <v>1</v>
      </c>
      <c r="C61" s="1" t="str">
        <f>IFERROR(__xludf.DUMMYFUNCTION("""COMPUTED_VALUE"""),"Would somebody let him in already he's positively freezing.")</f>
        <v>Would somebody let him in already he's positively freezing.</v>
      </c>
      <c r="D61" s="5" t="str">
        <f>IFERROR(__xludf.DUMMYFUNCTION("""COMPUTED_VALUE"""),"Humanoid")</f>
        <v>Humanoid</v>
      </c>
      <c r="E61" s="5">
        <f>IFERROR(__xludf.DUMMYFUNCTION("""COMPUTED_VALUE"""),1010.0)</f>
        <v>1010</v>
      </c>
      <c r="F61" s="5">
        <f>IFERROR(__xludf.DUMMYFUNCTION("""COMPUTED_VALUE"""),1010.0)</f>
        <v>1010</v>
      </c>
      <c r="G61" s="5">
        <f>IFERROR(__xludf.DUMMYFUNCTION("""COMPUTED_VALUE"""),1010.0)</f>
        <v>1010</v>
      </c>
      <c r="H61" s="2">
        <f>IFERROR(__xludf.DUMMYFUNCTION("""COMPUTED_VALUE"""),10.0)</f>
        <v>10</v>
      </c>
      <c r="I61" s="2">
        <f>IFERROR(__xludf.DUMMYFUNCTION("""COMPUTED_VALUE"""),0.0)</f>
        <v>0</v>
      </c>
      <c r="J61" s="5">
        <f>IFERROR(__xludf.DUMMYFUNCTION("""COMPUTED_VALUE"""),0.0)</f>
        <v>0</v>
      </c>
      <c r="K61" s="5">
        <f>IFERROR(__xludf.DUMMYFUNCTION("""COMPUTED_VALUE"""),100.0)</f>
        <v>100</v>
      </c>
      <c r="L61" s="1">
        <f>IFERROR(__xludf.DUMMYFUNCTION("""COMPUTED_VALUE"""),100.0)</f>
        <v>100</v>
      </c>
      <c r="M61" s="1" t="str">
        <f>IFERROR(__xludf.DUMMYFUNCTION("""COMPUTED_VALUE"""),"Water:Immune, Dark:Immune, ")</f>
        <v>Water:Immune, Dark:Immune, </v>
      </c>
      <c r="N61" s="2" t="str">
        <f>IFERROR(__xludf.DUMMYFUNCTION("""COMPUTED_VALUE"""),"Fire:100, ")</f>
        <v>Fire:100, </v>
      </c>
      <c r="O61" s="2"/>
      <c r="P61" s="2"/>
      <c r="Q61" s="2"/>
      <c r="R61" s="2"/>
      <c r="S61" s="2"/>
      <c r="T61" s="2"/>
      <c r="U61" s="2"/>
      <c r="V61" s="2" t="str">
        <f>IFERROR(__xludf.DUMMYFUNCTION("""COMPUTED_VALUE"""),"Dark Ice Sword")</f>
        <v>Dark Ice Sword</v>
      </c>
      <c r="W61" s="2"/>
      <c r="X61" s="2"/>
      <c r="Y61" s="2"/>
      <c r="Z61" s="2"/>
      <c r="AA61" s="2"/>
      <c r="AB61" s="2"/>
      <c r="AC61" s="2"/>
      <c r="AD61" s="2"/>
      <c r="AE61" s="2"/>
      <c r="AF61" s="2"/>
      <c r="AG61" s="2"/>
      <c r="AH61" s="2"/>
      <c r="AI61" s="2"/>
      <c r="AJ61" s="2" t="str">
        <f>IFERROR(__xludf.DUMMYFUNCTION("""COMPUTED_VALUE"""),"Dark Curse")</f>
        <v>Dark Curse</v>
      </c>
      <c r="AK61" s="2" t="str">
        <f>IFERROR(__xludf.DUMMYFUNCTION("""COMPUTED_VALUE"""),"Storm Of Snowballs")</f>
        <v>Storm Of Snowballs</v>
      </c>
      <c r="AL61" s="2" t="str">
        <f>IFERROR(__xludf.DUMMYFUNCTION("""COMPUTED_VALUE"""),"Water Ward")</f>
        <v>Water Ward</v>
      </c>
      <c r="AM61" s="2" t="str">
        <f>IFERROR(__xludf.DUMMYFUNCTION("""COMPUTED_VALUE"""),"Freezing Fog")</f>
        <v>Freezing Fog</v>
      </c>
      <c r="AN61" s="2"/>
      <c r="AO61" s="2"/>
      <c r="AP61" s="2"/>
      <c r="AQ61" s="2"/>
      <c r="AR61" s="2"/>
      <c r="AS61" s="2"/>
      <c r="AT61" s="2"/>
      <c r="AU61" s="2"/>
      <c r="AV61" s="2"/>
      <c r="AW61" s="2"/>
      <c r="AX61" s="2"/>
      <c r="AY61" s="2"/>
      <c r="AZ61" s="2"/>
      <c r="BA61" s="3"/>
      <c r="BB61" s="3"/>
      <c r="BC61" s="1"/>
      <c r="BD61" s="3">
        <f>IFERROR(__xludf.DUMMYFUNCTION("""COMPUTED_VALUE"""),0.0)</f>
        <v>0</v>
      </c>
      <c r="BE61" s="4">
        <f>IFERROR(__xludf.DUMMYFUNCTION("""COMPUTED_VALUE"""),10.0)</f>
        <v>10</v>
      </c>
      <c r="BF61" s="3"/>
      <c r="BG61" s="3" t="str">
        <f>IFERROR(__xludf.DUMMYFUNCTION("""COMPUTED_VALUE"""),"Tundra")</f>
        <v>Tundra</v>
      </c>
      <c r="BH61" s="3" t="str">
        <f>IFERROR(__xludf.DUMMYFUNCTION("""COMPUTED_VALUE"""),"Land Of Spira")</f>
        <v>Land Of Spira</v>
      </c>
      <c r="BI61" s="3"/>
      <c r="BJ61" s="3"/>
      <c r="BK61" s="3"/>
      <c r="BL61" s="3" t="b">
        <f>IFERROR(__xludf.DUMMYFUNCTION("""COMPUTED_VALUE"""),FALSE)</f>
        <v>0</v>
      </c>
      <c r="BM61" s="3"/>
      <c r="BN61" s="3"/>
      <c r="BO61" s="3"/>
      <c r="BP61" s="3"/>
      <c r="BQ61" s="3"/>
      <c r="BR61" s="3"/>
      <c r="BS61" s="3"/>
      <c r="BT61" s="3"/>
      <c r="BU61" s="3"/>
      <c r="BV61" s="3"/>
      <c r="BW61" s="3"/>
    </row>
    <row r="62" ht="15.75" customHeight="1">
      <c r="A62" s="2" t="str">
        <f>IFERROR(__xludf.DUMMYFUNCTION("""COMPUTED_VALUE"""),"Dark Wizard")</f>
        <v>Dark Wizard</v>
      </c>
      <c r="B62" s="2">
        <f>IFERROR(__xludf.DUMMYFUNCTION("""COMPUTED_VALUE"""),1.0)</f>
        <v>1</v>
      </c>
      <c r="C62" s="1" t="str">
        <f>IFERROR(__xludf.DUMMYFUNCTION("""COMPUTED_VALUE"""),"A wizard who passed the line of ""Morally dubious"" to ""Straight up bastard""")</f>
        <v>A wizard who passed the line of "Morally dubious" to "Straight up bastard"</v>
      </c>
      <c r="D62" s="5" t="str">
        <f>IFERROR(__xludf.DUMMYFUNCTION("""COMPUTED_VALUE"""),"Humanoid")</f>
        <v>Humanoid</v>
      </c>
      <c r="E62" s="5">
        <f>IFERROR(__xludf.DUMMYFUNCTION("""COMPUTED_VALUE"""),1010.0)</f>
        <v>1010</v>
      </c>
      <c r="F62" s="5">
        <f>IFERROR(__xludf.DUMMYFUNCTION("""COMPUTED_VALUE"""),1010.0)</f>
        <v>1010</v>
      </c>
      <c r="G62" s="5">
        <f>IFERROR(__xludf.DUMMYFUNCTION("""COMPUTED_VALUE"""),1010.0)</f>
        <v>1010</v>
      </c>
      <c r="H62" s="2">
        <f>IFERROR(__xludf.DUMMYFUNCTION("""COMPUTED_VALUE"""),10.0)</f>
        <v>10</v>
      </c>
      <c r="I62" s="2">
        <f>IFERROR(__xludf.DUMMYFUNCTION("""COMPUTED_VALUE"""),0.0)</f>
        <v>0</v>
      </c>
      <c r="J62" s="5">
        <f>IFERROR(__xludf.DUMMYFUNCTION("""COMPUTED_VALUE"""),0.0)</f>
        <v>0</v>
      </c>
      <c r="K62" s="5">
        <f>IFERROR(__xludf.DUMMYFUNCTION("""COMPUTED_VALUE"""),100.0)</f>
        <v>100</v>
      </c>
      <c r="L62" s="1">
        <f>IFERROR(__xludf.DUMMYFUNCTION("""COMPUTED_VALUE"""),100.0)</f>
        <v>100</v>
      </c>
      <c r="M62" s="1" t="str">
        <f>IFERROR(__xludf.DUMMYFUNCTION("""COMPUTED_VALUE"""),"Dark:100, ")</f>
        <v>Dark:100, </v>
      </c>
      <c r="N62" s="2" t="str">
        <f>IFERROR(__xludf.DUMMYFUNCTION("""COMPUTED_VALUE"""),"Light:100, ")</f>
        <v>Light:100, </v>
      </c>
      <c r="O62" s="2" t="str">
        <f>IFERROR(__xludf.DUMMYFUNCTION("""COMPUTED_VALUE"""),"Helmet Of Darkness")</f>
        <v>Helmet Of Darkness</v>
      </c>
      <c r="P62" s="2"/>
      <c r="Q62" s="2"/>
      <c r="R62" s="2"/>
      <c r="S62" s="2"/>
      <c r="T62" s="2"/>
      <c r="U62" s="2"/>
      <c r="V62" s="2" t="str">
        <f>IFERROR(__xludf.DUMMYFUNCTION("""COMPUTED_VALUE"""),"Chaotic Shadow Life Orb")</f>
        <v>Chaotic Shadow Life Orb</v>
      </c>
      <c r="W62" s="2"/>
      <c r="X62" s="2"/>
      <c r="Y62" s="2"/>
      <c r="Z62" s="2"/>
      <c r="AA62" s="2"/>
      <c r="AB62" s="2"/>
      <c r="AC62" s="2"/>
      <c r="AD62" s="2"/>
      <c r="AE62" s="2"/>
      <c r="AF62" s="2"/>
      <c r="AG62" s="2"/>
      <c r="AH62" s="2"/>
      <c r="AI62" s="2"/>
      <c r="AJ62" s="2" t="str">
        <f>IFERROR(__xludf.DUMMYFUNCTION("""COMPUTED_VALUE"""),"Dark Boost")</f>
        <v>Dark Boost</v>
      </c>
      <c r="AK62" s="2" t="str">
        <f>IFERROR(__xludf.DUMMYFUNCTION("""COMPUTED_VALUE"""),"Dark Bolt")</f>
        <v>Dark Bolt</v>
      </c>
      <c r="AL62" s="2" t="str">
        <f>IFERROR(__xludf.DUMMYFUNCTION("""COMPUTED_VALUE"""),"Darkest Abyss")</f>
        <v>Darkest Abyss</v>
      </c>
      <c r="AM62" s="2" t="str">
        <f>IFERROR(__xludf.DUMMYFUNCTION("""COMPUTED_VALUE"""),"Disturbance")</f>
        <v>Disturbance</v>
      </c>
      <c r="AN62" s="2" t="str">
        <f>IFERROR(__xludf.DUMMYFUNCTION("""COMPUTED_VALUE"""),"Shadow Vanish")</f>
        <v>Shadow Vanish</v>
      </c>
      <c r="AO62" s="2" t="str">
        <f>IFERROR(__xludf.DUMMYFUNCTION("""COMPUTED_VALUE"""),"Multishot")</f>
        <v>Multishot</v>
      </c>
      <c r="AP62" s="2"/>
      <c r="AQ62" s="2"/>
      <c r="AR62" s="2"/>
      <c r="AS62" s="2"/>
      <c r="AT62" s="2"/>
      <c r="AU62" s="2"/>
      <c r="AV62" s="2"/>
      <c r="AW62" s="2"/>
      <c r="AX62" s="2"/>
      <c r="AY62" s="2"/>
      <c r="AZ62" s="2"/>
      <c r="BA62" s="3"/>
      <c r="BB62" s="3"/>
      <c r="BC62" s="1"/>
      <c r="BD62" s="3">
        <f>IFERROR(__xludf.DUMMYFUNCTION("""COMPUTED_VALUE"""),0.0)</f>
        <v>0</v>
      </c>
      <c r="BE62" s="4">
        <f>IFERROR(__xludf.DUMMYFUNCTION("""COMPUTED_VALUE"""),10.0)</f>
        <v>10</v>
      </c>
      <c r="BF62" s="3"/>
      <c r="BG62" s="3" t="str">
        <f>IFERROR(__xludf.DUMMYFUNCTION("""COMPUTED_VALUE"""),"All")</f>
        <v>All</v>
      </c>
      <c r="BH62" s="3" t="str">
        <f>IFERROR(__xludf.DUMMYFUNCTION("""COMPUTED_VALUE"""),"Land of Spira")</f>
        <v>Land of Spira</v>
      </c>
      <c r="BI62" s="3"/>
      <c r="BJ62" s="3"/>
      <c r="BK62" s="3"/>
      <c r="BL62" s="3" t="b">
        <f>IFERROR(__xludf.DUMMYFUNCTION("""COMPUTED_VALUE"""),FALSE)</f>
        <v>0</v>
      </c>
      <c r="BM62" s="3"/>
      <c r="BN62" s="3"/>
      <c r="BO62" s="3"/>
      <c r="BP62" s="3"/>
      <c r="BQ62" s="3"/>
      <c r="BR62" s="3"/>
      <c r="BS62" s="3"/>
      <c r="BT62" s="3"/>
      <c r="BU62" s="3"/>
      <c r="BV62" s="3"/>
      <c r="BW62" s="3"/>
    </row>
    <row r="63" ht="15.75" customHeight="1">
      <c r="A63" s="2" t="str">
        <f>IFERROR(__xludf.DUMMYFUNCTION("""COMPUTED_VALUE"""),"Death's Royal Guard")</f>
        <v>Death's Royal Guard</v>
      </c>
      <c r="B63" s="2">
        <f>IFERROR(__xludf.DUMMYFUNCTION("""COMPUTED_VALUE"""),1.0)</f>
        <v>1</v>
      </c>
      <c r="C63" s="1" t="str">
        <f>IFERROR(__xludf.DUMMYFUNCTION("""COMPUTED_VALUE"""),"Death isn't even royalty so I couldn't for the life of me tell you how these guys are ""Royal Guards""")</f>
        <v>Death isn't even royalty so I couldn't for the life of me tell you how these guys are "Royal Guards"</v>
      </c>
      <c r="D63" s="5" t="str">
        <f>IFERROR(__xludf.DUMMYFUNCTION("""COMPUTED_VALUE"""),"Humanoid")</f>
        <v>Humanoid</v>
      </c>
      <c r="E63" s="5">
        <f>IFERROR(__xludf.DUMMYFUNCTION("""COMPUTED_VALUE"""),1010.0)</f>
        <v>1010</v>
      </c>
      <c r="F63" s="5">
        <f>IFERROR(__xludf.DUMMYFUNCTION("""COMPUTED_VALUE"""),1010.0)</f>
        <v>1010</v>
      </c>
      <c r="G63" s="5">
        <f>IFERROR(__xludf.DUMMYFUNCTION("""COMPUTED_VALUE"""),1010.0)</f>
        <v>1010</v>
      </c>
      <c r="H63" s="2">
        <f>IFERROR(__xludf.DUMMYFUNCTION("""COMPUTED_VALUE"""),10.0)</f>
        <v>10</v>
      </c>
      <c r="I63" s="2">
        <f>IFERROR(__xludf.DUMMYFUNCTION("""COMPUTED_VALUE"""),0.0)</f>
        <v>0</v>
      </c>
      <c r="J63" s="5">
        <f>IFERROR(__xludf.DUMMYFUNCTION("""COMPUTED_VALUE"""),0.0)</f>
        <v>0</v>
      </c>
      <c r="K63" s="5">
        <f>IFERROR(__xludf.DUMMYFUNCTION("""COMPUTED_VALUE"""),100.0)</f>
        <v>100</v>
      </c>
      <c r="L63" s="1">
        <f>IFERROR(__xludf.DUMMYFUNCTION("""COMPUTED_VALUE"""),100.0)</f>
        <v>100</v>
      </c>
      <c r="M63" s="1" t="str">
        <f>IFERROR(__xludf.DUMMYFUNCTION("""COMPUTED_VALUE"""),"Dark:100, Chaos:100, Instant Death:Immune, ")</f>
        <v>Dark:100, Chaos:100, Instant Death:Immune, </v>
      </c>
      <c r="N63" s="2" t="str">
        <f>IFERROR(__xludf.DUMMYFUNCTION("""COMPUTED_VALUE"""),"Fire:100, Light:100, Order:100, ")</f>
        <v>Fire:100, Light:100, Order:100, </v>
      </c>
      <c r="O63" s="2"/>
      <c r="P63" s="2"/>
      <c r="Q63" s="2"/>
      <c r="R63" s="2"/>
      <c r="S63" s="2"/>
      <c r="T63" s="2"/>
      <c r="U63" s="2"/>
      <c r="V63" s="2"/>
      <c r="W63" s="2"/>
      <c r="X63" s="2"/>
      <c r="Y63" s="2"/>
      <c r="Z63" s="2"/>
      <c r="AA63" s="2"/>
      <c r="AB63" s="2"/>
      <c r="AC63" s="2"/>
      <c r="AD63" s="2"/>
      <c r="AE63" s="2"/>
      <c r="AF63" s="2"/>
      <c r="AG63" s="2"/>
      <c r="AH63" s="2"/>
      <c r="AI63" s="2"/>
      <c r="AJ63" s="2" t="str">
        <f>IFERROR(__xludf.DUMMYFUNCTION("""COMPUTED_VALUE"""),"Dark Bolt")</f>
        <v>Dark Bolt</v>
      </c>
      <c r="AK63" s="2" t="str">
        <f>IFERROR(__xludf.DUMMYFUNCTION("""COMPUTED_VALUE"""),"Shadow Vanish")</f>
        <v>Shadow Vanish</v>
      </c>
      <c r="AL63" s="2" t="str">
        <f>IFERROR(__xludf.DUMMYFUNCTION("""COMPUTED_VALUE"""),"Raise Dead")</f>
        <v>Raise Dead</v>
      </c>
      <c r="AM63" s="2" t="str">
        <f>IFERROR(__xludf.DUMMYFUNCTION("""COMPUTED_VALUE"""),"Dimension Portal")</f>
        <v>Dimension Portal</v>
      </c>
      <c r="AN63" s="2"/>
      <c r="AO63" s="2"/>
      <c r="AP63" s="2"/>
      <c r="AQ63" s="2"/>
      <c r="AR63" s="2"/>
      <c r="AS63" s="2"/>
      <c r="AT63" s="2"/>
      <c r="AU63" s="2"/>
      <c r="AV63" s="2"/>
      <c r="AW63" s="2"/>
      <c r="AX63" s="2"/>
      <c r="AY63" s="2"/>
      <c r="AZ63" s="2"/>
      <c r="BA63" s="3"/>
      <c r="BB63" s="3"/>
      <c r="BC63" s="1"/>
      <c r="BD63" s="3">
        <f>IFERROR(__xludf.DUMMYFUNCTION("""COMPUTED_VALUE"""),0.0)</f>
        <v>0</v>
      </c>
      <c r="BE63" s="4">
        <f>IFERROR(__xludf.DUMMYFUNCTION("""COMPUTED_VALUE"""),10.0)</f>
        <v>10</v>
      </c>
      <c r="BF63" s="3"/>
      <c r="BG63" s="3" t="str">
        <f>IFERROR(__xludf.DUMMYFUNCTION("""COMPUTED_VALUE"""),"All")</f>
        <v>All</v>
      </c>
      <c r="BH63" s="3" t="str">
        <f>IFERROR(__xludf.DUMMYFUNCTION("""COMPUTED_VALUE"""),"Land of Spira")</f>
        <v>Land of Spira</v>
      </c>
      <c r="BI63" s="3"/>
      <c r="BJ63" s="3"/>
      <c r="BK63" s="3"/>
      <c r="BL63" s="3" t="b">
        <f>IFERROR(__xludf.DUMMYFUNCTION("""COMPUTED_VALUE"""),FALSE)</f>
        <v>0</v>
      </c>
      <c r="BM63" s="3"/>
      <c r="BN63" s="3"/>
      <c r="BO63" s="3"/>
      <c r="BP63" s="3"/>
      <c r="BQ63" s="3"/>
      <c r="BR63" s="3"/>
      <c r="BS63" s="3"/>
      <c r="BT63" s="3"/>
      <c r="BU63" s="3"/>
      <c r="BV63" s="3"/>
      <c r="BW63" s="3"/>
    </row>
    <row r="64" ht="15.75" customHeight="1">
      <c r="A64" s="2" t="str">
        <f>IFERROR(__xludf.DUMMYFUNCTION("""COMPUTED_VALUE"""),"Deathblade The Dragon Hunter")</f>
        <v>Deathblade The Dragon Hunter</v>
      </c>
      <c r="B64" s="2">
        <f>IFERROR(__xludf.DUMMYFUNCTION("""COMPUTED_VALUE"""),1.0)</f>
        <v>1</v>
      </c>
      <c r="C64" s="2" t="str">
        <f>IFERROR(__xludf.DUMMYFUNCTION("""COMPUTED_VALUE"""),"Anyone who kills dragons is a bad guy in my books.")</f>
        <v>Anyone who kills dragons is a bad guy in my books.</v>
      </c>
      <c r="D64" s="5" t="str">
        <f>IFERROR(__xludf.DUMMYFUNCTION("""COMPUTED_VALUE"""),"Humanoid")</f>
        <v>Humanoid</v>
      </c>
      <c r="E64" s="5">
        <f>IFERROR(__xludf.DUMMYFUNCTION("""COMPUTED_VALUE"""),1010.0)</f>
        <v>1010</v>
      </c>
      <c r="F64" s="5">
        <f>IFERROR(__xludf.DUMMYFUNCTION("""COMPUTED_VALUE"""),1010.0)</f>
        <v>1010</v>
      </c>
      <c r="G64" s="5">
        <f>IFERROR(__xludf.DUMMYFUNCTION("""COMPUTED_VALUE"""),1010.0)</f>
        <v>1010</v>
      </c>
      <c r="H64" s="2">
        <f>IFERROR(__xludf.DUMMYFUNCTION("""COMPUTED_VALUE"""),10.0)</f>
        <v>10</v>
      </c>
      <c r="I64" s="2">
        <f>IFERROR(__xludf.DUMMYFUNCTION("""COMPUTED_VALUE"""),0.0)</f>
        <v>0</v>
      </c>
      <c r="J64" s="5">
        <f>IFERROR(__xludf.DUMMYFUNCTION("""COMPUTED_VALUE"""),0.0)</f>
        <v>0</v>
      </c>
      <c r="K64" s="5">
        <f>IFERROR(__xludf.DUMMYFUNCTION("""COMPUTED_VALUE"""),100.0)</f>
        <v>100</v>
      </c>
      <c r="L64" s="1">
        <f>IFERROR(__xludf.DUMMYFUNCTION("""COMPUTED_VALUE"""),100.0)</f>
        <v>100</v>
      </c>
      <c r="M64" s="1" t="str">
        <f>IFERROR(__xludf.DUMMYFUNCTION("""COMPUTED_VALUE"""),"Dark:Immune, Chaos:Immune, Instant Death:Immune, Banishment:Immune, ")</f>
        <v>Dark:Immune, Chaos:Immune, Instant Death:Immune, Banishment:Immune, </v>
      </c>
      <c r="N64" s="2" t="str">
        <f>IFERROR(__xludf.DUMMYFUNCTION("""COMPUTED_VALUE"""),"Fire:100, Light:100, Order:100, ")</f>
        <v>Fire:100, Light:100, Order:100, </v>
      </c>
      <c r="O64" s="2"/>
      <c r="P64" s="2"/>
      <c r="Q64" s="2"/>
      <c r="R64" s="2"/>
      <c r="S64" s="2"/>
      <c r="T64" s="2"/>
      <c r="U64" s="2"/>
      <c r="V64" s="2" t="str">
        <f>IFERROR(__xludf.DUMMYFUNCTION("""COMPUTED_VALUE"""),"Sword Of The Dragons Blood")</f>
        <v>Sword Of The Dragons Blood</v>
      </c>
      <c r="W64" s="2"/>
      <c r="X64" s="2"/>
      <c r="Y64" s="2"/>
      <c r="Z64" s="2"/>
      <c r="AA64" s="2"/>
      <c r="AB64" s="2"/>
      <c r="AC64" s="2"/>
      <c r="AD64" s="2"/>
      <c r="AE64" s="2"/>
      <c r="AF64" s="2"/>
      <c r="AG64" s="2"/>
      <c r="AH64" s="2"/>
      <c r="AI64" s="2"/>
      <c r="AJ64" s="2" t="str">
        <f>IFERROR(__xludf.DUMMYFUNCTION("""COMPUTED_VALUE"""),"Magic Barrier")</f>
        <v>Magic Barrier</v>
      </c>
      <c r="AK64" s="2" t="str">
        <f>IFERROR(__xludf.DUMMYFUNCTION("""COMPUTED_VALUE"""),"Celestial Wrath")</f>
        <v>Celestial Wrath</v>
      </c>
      <c r="AL64" s="2" t="str">
        <f>IFERROR(__xludf.DUMMYFUNCTION("""COMPUTED_VALUE"""),"Bullseye")</f>
        <v>Bullseye</v>
      </c>
      <c r="AM64" s="2" t="str">
        <f>IFERROR(__xludf.DUMMYFUNCTION("""COMPUTED_VALUE"""),"Mass Destruction")</f>
        <v>Mass Destruction</v>
      </c>
      <c r="AN64" s="2" t="str">
        <f>IFERROR(__xludf.DUMMYFUNCTION("""COMPUTED_VALUE"""),"Vaporize")</f>
        <v>Vaporize</v>
      </c>
      <c r="AO64" s="2" t="str">
        <f>IFERROR(__xludf.DUMMYFUNCTION("""COMPUTED_VALUE"""),"Delta Blast")</f>
        <v>Delta Blast</v>
      </c>
      <c r="AP64" s="2" t="str">
        <f>IFERROR(__xludf.DUMMYFUNCTION("""COMPUTED_VALUE"""),"Delta Rock &amp; Roll")</f>
        <v>Delta Rock &amp; Roll</v>
      </c>
      <c r="AQ64" s="2"/>
      <c r="AR64" s="2"/>
      <c r="AS64" s="2"/>
      <c r="AT64" s="2"/>
      <c r="AU64" s="2"/>
      <c r="AV64" s="2"/>
      <c r="AW64" s="2"/>
      <c r="AX64" s="2"/>
      <c r="AY64" s="2"/>
      <c r="AZ64" s="2"/>
      <c r="BA64" s="3"/>
      <c r="BB64" s="3"/>
      <c r="BC64" s="1"/>
      <c r="BD64" s="3">
        <f>IFERROR(__xludf.DUMMYFUNCTION("""COMPUTED_VALUE"""),0.0)</f>
        <v>0</v>
      </c>
      <c r="BE64" s="4">
        <f>IFERROR(__xludf.DUMMYFUNCTION("""COMPUTED_VALUE"""),10.0)</f>
        <v>10</v>
      </c>
      <c r="BF64" s="3" t="str">
        <f>IFERROR(__xludf.DUMMYFUNCTION("""COMPUTED_VALUE"""),"75% chance to be unaffected by any spells affecting this mob.
+10 can be added to this mob's rolls
This mob deals X10 damage toward dragons.")</f>
        <v>75% chance to be unaffected by any spells affecting this mob.
+10 can be added to this mob's rolls
This mob deals X10 damage toward dragons.</v>
      </c>
      <c r="BG64" s="3" t="str">
        <f>IFERROR(__xludf.DUMMYFUNCTION("""COMPUTED_VALUE"""),"All")</f>
        <v>All</v>
      </c>
      <c r="BH64" s="3" t="str">
        <f>IFERROR(__xludf.DUMMYFUNCTION("""COMPUTED_VALUE"""),"Land of Spira")</f>
        <v>Land of Spira</v>
      </c>
      <c r="BI64" s="3"/>
      <c r="BJ64" s="3"/>
      <c r="BK64" s="3"/>
      <c r="BL64" s="3" t="b">
        <f>IFERROR(__xludf.DUMMYFUNCTION("""COMPUTED_VALUE"""),FALSE)</f>
        <v>0</v>
      </c>
      <c r="BM64" s="3"/>
      <c r="BN64" s="3"/>
      <c r="BO64" s="3"/>
      <c r="BP64" s="3"/>
      <c r="BQ64" s="3"/>
      <c r="BR64" s="3"/>
      <c r="BS64" s="3"/>
      <c r="BT64" s="3"/>
      <c r="BU64" s="3"/>
      <c r="BV64" s="3"/>
      <c r="BW64" s="3"/>
    </row>
    <row r="65" ht="15.75" customHeight="1">
      <c r="A65" s="2" t="str">
        <f>IFERROR(__xludf.DUMMYFUNCTION("""COMPUTED_VALUE"""),"Defensive Rock Giant")</f>
        <v>Defensive Rock Giant</v>
      </c>
      <c r="B65" s="5">
        <f>IFERROR(__xludf.DUMMYFUNCTION("""COMPUTED_VALUE"""),1.0)</f>
        <v>1</v>
      </c>
      <c r="C65" s="1" t="str">
        <f>IFERROR(__xludf.DUMMYFUNCTION("""COMPUTED_VALUE"""),"Big man make big punch")</f>
        <v>Big man make big punch</v>
      </c>
      <c r="D65" s="5" t="str">
        <f>IFERROR(__xludf.DUMMYFUNCTION("""COMPUTED_VALUE"""),"Construct")</f>
        <v>Construct</v>
      </c>
      <c r="E65" s="5">
        <f>IFERROR(__xludf.DUMMYFUNCTION("""COMPUTED_VALUE"""),1010.0)</f>
        <v>1010</v>
      </c>
      <c r="F65" s="5">
        <f>IFERROR(__xludf.DUMMYFUNCTION("""COMPUTED_VALUE"""),1010.0)</f>
        <v>1010</v>
      </c>
      <c r="G65" s="5">
        <f>IFERROR(__xludf.DUMMYFUNCTION("""COMPUTED_VALUE"""),1010.0)</f>
        <v>1010</v>
      </c>
      <c r="H65" s="2">
        <f>IFERROR(__xludf.DUMMYFUNCTION("""COMPUTED_VALUE"""),10.0)</f>
        <v>10</v>
      </c>
      <c r="I65" s="2">
        <f>IFERROR(__xludf.DUMMYFUNCTION("""COMPUTED_VALUE"""),0.0)</f>
        <v>0</v>
      </c>
      <c r="J65" s="5">
        <f>IFERROR(__xludf.DUMMYFUNCTION("""COMPUTED_VALUE"""),0.0)</f>
        <v>0</v>
      </c>
      <c r="K65" s="5">
        <f>IFERROR(__xludf.DUMMYFUNCTION("""COMPUTED_VALUE"""),100.0)</f>
        <v>100</v>
      </c>
      <c r="L65" s="1">
        <f>IFERROR(__xludf.DUMMYFUNCTION("""COMPUTED_VALUE"""),100.0)</f>
        <v>100</v>
      </c>
      <c r="M65" s="1" t="str">
        <f>IFERROR(__xludf.DUMMYFUNCTION("""COMPUTED_VALUE"""),"Fire:100, ")</f>
        <v>Fire:100, </v>
      </c>
      <c r="N65" s="2" t="str">
        <f>IFERROR(__xludf.DUMMYFUNCTION("""COMPUTED_VALUE"""),"Water:100, Nature:100, ")</f>
        <v>Water:100, Nature:100, </v>
      </c>
      <c r="O65" s="2"/>
      <c r="P65" s="2"/>
      <c r="Q65" s="2"/>
      <c r="R65" s="2"/>
      <c r="S65" s="2"/>
      <c r="T65" s="2"/>
      <c r="U65" s="2"/>
      <c r="V65" s="2"/>
      <c r="W65" s="2"/>
      <c r="X65" s="2"/>
      <c r="Y65" s="2"/>
      <c r="Z65" s="2"/>
      <c r="AA65" s="2"/>
      <c r="AB65" s="2"/>
      <c r="AC65" s="2"/>
      <c r="AD65" s="2"/>
      <c r="AE65" s="2"/>
      <c r="AF65" s="2"/>
      <c r="AG65" s="2"/>
      <c r="AH65" s="2"/>
      <c r="AI65" s="2"/>
      <c r="AJ65" s="2" t="str">
        <f>IFERROR(__xludf.DUMMYFUNCTION("""COMPUTED_VALUE"""),"Rock Cycle")</f>
        <v>Rock Cycle</v>
      </c>
      <c r="AK65" s="2" t="str">
        <f>IFERROR(__xludf.DUMMYFUNCTION("""COMPUTED_VALUE"""),"Earth Punch")</f>
        <v>Earth Punch</v>
      </c>
      <c r="AL65" s="2" t="str">
        <f>IFERROR(__xludf.DUMMYFUNCTION("""COMPUTED_VALUE"""),"Boulder Toss")</f>
        <v>Boulder Toss</v>
      </c>
      <c r="AM65" s="2" t="str">
        <f>IFERROR(__xludf.DUMMYFUNCTION("""COMPUTED_VALUE"""),"Earthquake")</f>
        <v>Earthquake</v>
      </c>
      <c r="AN65" s="2" t="str">
        <f>IFERROR(__xludf.DUMMYFUNCTION("""COMPUTED_VALUE"""),"Sandstorm")</f>
        <v>Sandstorm</v>
      </c>
      <c r="AO65" s="2" t="str">
        <f>IFERROR(__xludf.DUMMYFUNCTION("""COMPUTED_VALUE"""),"Mass Destruction")</f>
        <v>Mass Destruction</v>
      </c>
      <c r="AP65" s="2" t="str">
        <f>IFERROR(__xludf.DUMMYFUNCTION("""COMPUTED_VALUE"""),"Berserk")</f>
        <v>Berserk</v>
      </c>
      <c r="AQ65" s="2"/>
      <c r="AR65" s="2"/>
      <c r="AS65" s="2"/>
      <c r="AT65" s="2"/>
      <c r="AU65" s="2"/>
      <c r="AV65" s="2"/>
      <c r="AW65" s="2"/>
      <c r="AX65" s="2"/>
      <c r="AY65" s="2"/>
      <c r="AZ65" s="2"/>
      <c r="BA65" s="3"/>
      <c r="BB65" s="3"/>
      <c r="BC65" s="1"/>
      <c r="BD65" s="3">
        <f>IFERROR(__xludf.DUMMYFUNCTION("""COMPUTED_VALUE"""),0.0)</f>
        <v>0</v>
      </c>
      <c r="BE65" s="4">
        <f>IFERROR(__xludf.DUMMYFUNCTION("""COMPUTED_VALUE"""),10.0)</f>
        <v>10</v>
      </c>
      <c r="BF65" s="3" t="str">
        <f>IFERROR(__xludf.DUMMYFUNCTION("""COMPUTED_VALUE"""),"25% chance to be unaffected by any spells affecting this mob.
X4 defense at all times for this mob.")</f>
        <v>25% chance to be unaffected by any spells affecting this mob.
X4 defense at all times for this mob.</v>
      </c>
      <c r="BG65" s="3" t="str">
        <f>IFERROR(__xludf.DUMMYFUNCTION("""COMPUTED_VALUE"""),"All")</f>
        <v>All</v>
      </c>
      <c r="BH65" s="3" t="str">
        <f>IFERROR(__xludf.DUMMYFUNCTION("""COMPUTED_VALUE"""),"Land of Spira")</f>
        <v>Land of Spira</v>
      </c>
      <c r="BI65" s="3"/>
      <c r="BJ65" s="3"/>
      <c r="BK65" s="3"/>
      <c r="BL65" s="3" t="b">
        <f>IFERROR(__xludf.DUMMYFUNCTION("""COMPUTED_VALUE"""),FALSE)</f>
        <v>0</v>
      </c>
      <c r="BM65" s="3"/>
      <c r="BN65" s="3"/>
      <c r="BO65" s="3"/>
      <c r="BP65" s="3"/>
      <c r="BQ65" s="3"/>
      <c r="BR65" s="3"/>
      <c r="BS65" s="3"/>
      <c r="BT65" s="3"/>
      <c r="BU65" s="3"/>
      <c r="BV65" s="3"/>
      <c r="BW65" s="3"/>
    </row>
    <row r="66" ht="15.75" customHeight="1">
      <c r="A66" s="2" t="str">
        <f>IFERROR(__xludf.DUMMYFUNCTION("""COMPUTED_VALUE"""),"Deimos")</f>
        <v>Deimos</v>
      </c>
      <c r="B66" s="5">
        <f>IFERROR(__xludf.DUMMYFUNCTION("""COMPUTED_VALUE"""),1.0)</f>
        <v>1</v>
      </c>
      <c r="C66" s="1" t="str">
        <f>IFERROR(__xludf.DUMMYFUNCTION("""COMPUTED_VALUE"""),"I'mma be honest,he looks just like every other demon out there.")</f>
        <v>I'mma be honest,he looks just like every other demon out there.</v>
      </c>
      <c r="D66" s="5" t="str">
        <f>IFERROR(__xludf.DUMMYFUNCTION("""COMPUTED_VALUE"""),"Demonic")</f>
        <v>Demonic</v>
      </c>
      <c r="E66" s="5">
        <f>IFERROR(__xludf.DUMMYFUNCTION("""COMPUTED_VALUE"""),1010.0)</f>
        <v>1010</v>
      </c>
      <c r="F66" s="5">
        <f>IFERROR(__xludf.DUMMYFUNCTION("""COMPUTED_VALUE"""),1010.0)</f>
        <v>1010</v>
      </c>
      <c r="G66" s="5">
        <f>IFERROR(__xludf.DUMMYFUNCTION("""COMPUTED_VALUE"""),1010.0)</f>
        <v>1010</v>
      </c>
      <c r="H66" s="2">
        <f>IFERROR(__xludf.DUMMYFUNCTION("""COMPUTED_VALUE"""),20.0)</f>
        <v>20</v>
      </c>
      <c r="I66" s="2">
        <f>IFERROR(__xludf.DUMMYFUNCTION("""COMPUTED_VALUE"""),0.0)</f>
        <v>0</v>
      </c>
      <c r="J66" s="5">
        <f>IFERROR(__xludf.DUMMYFUNCTION("""COMPUTED_VALUE"""),0.0)</f>
        <v>0</v>
      </c>
      <c r="K66" s="5">
        <f>IFERROR(__xludf.DUMMYFUNCTION("""COMPUTED_VALUE"""),100.0)</f>
        <v>100</v>
      </c>
      <c r="L66" s="1">
        <f>IFERROR(__xludf.DUMMYFUNCTION("""COMPUTED_VALUE"""),100.0)</f>
        <v>100</v>
      </c>
      <c r="M66" s="1" t="str">
        <f>IFERROR(__xludf.DUMMYFUNCTION("""COMPUTED_VALUE"""),"Dark:Immune, Spirit:Immune, Chaos:Immune, Voodoo:Immune, Blood:Immune, Instant Death:Immune, Banishment:Immune, ")</f>
        <v>Dark:Immune, Spirit:Immune, Chaos:Immune, Voodoo:Immune, Blood:Immune, Instant Death:Immune, Banishment:Immune, </v>
      </c>
      <c r="N66" s="2" t="str">
        <f>IFERROR(__xludf.DUMMYFUNCTION("""COMPUTED_VALUE"""),"Water:100, Light:100, Order:100, Celestial:100, ")</f>
        <v>Water:100, Light:100, Order:100, Celestial:100, </v>
      </c>
      <c r="O66" s="2"/>
      <c r="P66" s="2"/>
      <c r="Q66" s="2"/>
      <c r="R66" s="2"/>
      <c r="S66" s="2"/>
      <c r="T66" s="2"/>
      <c r="U66" s="2"/>
      <c r="V66" s="2"/>
      <c r="W66" s="2" t="str">
        <f>IFERROR(__xludf.DUMMYFUNCTION("""COMPUTED_VALUE"""),"Grand Hellfire Sword")</f>
        <v>Grand Hellfire Sword</v>
      </c>
      <c r="X66" s="2"/>
      <c r="Y66" s="2"/>
      <c r="Z66" s="2"/>
      <c r="AA66" s="2"/>
      <c r="AB66" s="2"/>
      <c r="AC66" s="2"/>
      <c r="AD66" s="2"/>
      <c r="AE66" s="2"/>
      <c r="AF66" s="2"/>
      <c r="AG66" s="2"/>
      <c r="AH66" s="2"/>
      <c r="AI66" s="2"/>
      <c r="AJ66" s="2" t="str">
        <f>IFERROR(__xludf.DUMMYFUNCTION("""COMPUTED_VALUE"""),"Chaincast")</f>
        <v>Chaincast</v>
      </c>
      <c r="AK66" s="2" t="str">
        <f>IFERROR(__xludf.DUMMYFUNCTION("""COMPUTED_VALUE"""),"Mass Ignition")</f>
        <v>Mass Ignition</v>
      </c>
      <c r="AL66" s="2" t="str">
        <f>IFERROR(__xludf.DUMMYFUNCTION("""COMPUTED_VALUE"""),"Flame Sanctuary")</f>
        <v>Flame Sanctuary</v>
      </c>
      <c r="AM66" s="2" t="str">
        <f>IFERROR(__xludf.DUMMYFUNCTION("""COMPUTED_VALUE"""),"Lucifer's Ward Of The Damned")</f>
        <v>Lucifer's Ward Of The Damned</v>
      </c>
      <c r="AN66" s="2" t="str">
        <f>IFERROR(__xludf.DUMMYFUNCTION("""COMPUTED_VALUE"""),"Dimensional Quake")</f>
        <v>Dimensional Quake</v>
      </c>
      <c r="AO66" s="2" t="str">
        <f>IFERROR(__xludf.DUMMYFUNCTION("""COMPUTED_VALUE"""),"Disruption")</f>
        <v>Disruption</v>
      </c>
      <c r="AP66" s="2" t="str">
        <f>IFERROR(__xludf.DUMMYFUNCTION("""COMPUTED_VALUE"""),"Darkness Ablaze")</f>
        <v>Darkness Ablaze</v>
      </c>
      <c r="AQ66" s="2" t="str">
        <f>IFERROR(__xludf.DUMMYFUNCTION("""COMPUTED_VALUE"""),"Darkest Abyss")</f>
        <v>Darkest Abyss</v>
      </c>
      <c r="AR66" s="2" t="str">
        <f>IFERROR(__xludf.DUMMYFUNCTION("""COMPUTED_VALUE"""),"Berserk")</f>
        <v>Berserk</v>
      </c>
      <c r="AS66" s="2" t="str">
        <f>IFERROR(__xludf.DUMMYFUNCTION("""COMPUTED_VALUE"""),"Blood Geyser")</f>
        <v>Blood Geyser</v>
      </c>
      <c r="AT66" s="2" t="str">
        <f>IFERROR(__xludf.DUMMYFUNCTION("""COMPUTED_VALUE"""),"Callous Sacrifice")</f>
        <v>Callous Sacrifice</v>
      </c>
      <c r="AU66" s="2" t="str">
        <f>IFERROR(__xludf.DUMMYFUNCTION("""COMPUTED_VALUE"""),"Celestial Wrath")</f>
        <v>Celestial Wrath</v>
      </c>
      <c r="AV66" s="2"/>
      <c r="AW66" s="2"/>
      <c r="AX66" s="2"/>
      <c r="AY66" s="2"/>
      <c r="AZ66" s="2"/>
      <c r="BA66" s="3"/>
      <c r="BB66" s="3"/>
      <c r="BC66" s="1"/>
      <c r="BD66" s="3">
        <f>IFERROR(__xludf.DUMMYFUNCTION("""COMPUTED_VALUE"""),0.0)</f>
        <v>0</v>
      </c>
      <c r="BE66" s="4">
        <f>IFERROR(__xludf.DUMMYFUNCTION("""COMPUTED_VALUE"""),10.0)</f>
        <v>10</v>
      </c>
      <c r="BF66" s="3" t="str">
        <f>IFERROR(__xludf.DUMMYFUNCTION("""COMPUTED_VALUE"""),"75% chance to be unaffected by any spells affecting this mob
Damage dealt by this mob and its allies give hp back to this mob equal to the damage  dealt.
Equipped Items Cannot be taken from this mob.
A Dark Calling II: +10 can be added to this mobs rol"&amp;"ls.
Demons Contract -  Automatically goes first in the turn order but starts at 1hp.")</f>
        <v>75% chance to be unaffected by any spells affecting this mob
Damage dealt by this mob and its allies give hp back to this mob equal to the damage  dealt.
Equipped Items Cannot be taken from this mob.
A Dark Calling II: +10 can be added to this mobs rolls.
Demons Contract -  Automatically goes first in the turn order but starts at 1hp.</v>
      </c>
      <c r="BG66" s="3"/>
      <c r="BH66" s="3" t="str">
        <f>IFERROR(__xludf.DUMMYFUNCTION("""COMPUTED_VALUE"""),"Abstara")</f>
        <v>Abstara</v>
      </c>
      <c r="BI66" s="3"/>
      <c r="BJ66" s="3"/>
      <c r="BK66" s="3"/>
      <c r="BL66" s="3" t="b">
        <f>IFERROR(__xludf.DUMMYFUNCTION("""COMPUTED_VALUE"""),FALSE)</f>
        <v>0</v>
      </c>
      <c r="BM66" s="3"/>
      <c r="BN66" s="3"/>
      <c r="BO66" s="3"/>
      <c r="BP66" s="3"/>
      <c r="BQ66" s="3"/>
      <c r="BR66" s="3"/>
      <c r="BS66" s="3"/>
      <c r="BT66" s="3"/>
      <c r="BU66" s="3"/>
      <c r="BV66" s="3"/>
      <c r="BW66" s="3"/>
    </row>
    <row r="67" ht="15.75" customHeight="1">
      <c r="A67" s="2" t="str">
        <f>IFERROR(__xludf.DUMMYFUNCTION("""COMPUTED_VALUE"""),"Delta Dragon")</f>
        <v>Delta Dragon</v>
      </c>
      <c r="B67" s="2">
        <f>IFERROR(__xludf.DUMMYFUNCTION("""COMPUTED_VALUE"""),1.0)</f>
        <v>1</v>
      </c>
      <c r="C67" s="1" t="str">
        <f>IFERROR(__xludf.DUMMYFUNCTION("""COMPUTED_VALUE"""),"How the hell did this dragon come to be made out of pure magic? Probably Bahamut I'd reckon.")</f>
        <v>How the hell did this dragon come to be made out of pure magic? Probably Bahamut I'd reckon.</v>
      </c>
      <c r="D67" s="5" t="str">
        <f>IFERROR(__xludf.DUMMYFUNCTION("""COMPUTED_VALUE"""),"Draconic")</f>
        <v>Draconic</v>
      </c>
      <c r="E67" s="5">
        <f>IFERROR(__xludf.DUMMYFUNCTION("""COMPUTED_VALUE"""),31010.0)</f>
        <v>31010</v>
      </c>
      <c r="F67" s="5">
        <f>IFERROR(__xludf.DUMMYFUNCTION("""COMPUTED_VALUE"""),31010.0)</f>
        <v>31010</v>
      </c>
      <c r="G67" s="5">
        <f>IFERROR(__xludf.DUMMYFUNCTION("""COMPUTED_VALUE"""),1010.0)</f>
        <v>1010</v>
      </c>
      <c r="H67" s="2">
        <f>IFERROR(__xludf.DUMMYFUNCTION("""COMPUTED_VALUE"""),10.0)</f>
        <v>10</v>
      </c>
      <c r="I67" s="2">
        <f>IFERROR(__xludf.DUMMYFUNCTION("""COMPUTED_VALUE"""),0.0)</f>
        <v>0</v>
      </c>
      <c r="J67" s="5">
        <f>IFERROR(__xludf.DUMMYFUNCTION("""COMPUTED_VALUE"""),0.0)</f>
        <v>0</v>
      </c>
      <c r="K67" s="5">
        <f>IFERROR(__xludf.DUMMYFUNCTION("""COMPUTED_VALUE"""),100.0)</f>
        <v>100</v>
      </c>
      <c r="L67" s="1">
        <f>IFERROR(__xludf.DUMMYFUNCTION("""COMPUTED_VALUE"""),100.0)</f>
        <v>100</v>
      </c>
      <c r="M67" s="1" t="str">
        <f>IFERROR(__xludf.DUMMYFUNCTION("""COMPUTED_VALUE"""),"Instant Death:Immune, Banishment:Immune, ")</f>
        <v>Instant Death:Immune, Banishment:Immune, </v>
      </c>
      <c r="N67" s="2" t="str">
        <f>IFERROR(__xludf.DUMMYFUNCTION("""COMPUTED_VALUE"""),"")</f>
        <v/>
      </c>
      <c r="O67" s="2"/>
      <c r="P67" s="2"/>
      <c r="Q67" s="2"/>
      <c r="R67" s="2"/>
      <c r="S67" s="2"/>
      <c r="T67" s="2"/>
      <c r="U67" s="2"/>
      <c r="V67" s="2"/>
      <c r="W67" s="2"/>
      <c r="X67" s="2"/>
      <c r="Y67" s="2"/>
      <c r="Z67" s="2"/>
      <c r="AA67" s="2"/>
      <c r="AB67" s="2"/>
      <c r="AC67" s="2"/>
      <c r="AD67" s="2"/>
      <c r="AE67" s="2"/>
      <c r="AF67" s="2"/>
      <c r="AG67" s="2"/>
      <c r="AH67" s="2"/>
      <c r="AI67" s="2"/>
      <c r="AJ67" s="2" t="str">
        <f>IFERROR(__xludf.DUMMYFUNCTION("""COMPUTED_VALUE"""),"Dragon's Breath")</f>
        <v>Dragon's Breath</v>
      </c>
      <c r="AK67" s="2" t="str">
        <f>IFERROR(__xludf.DUMMYFUNCTION("""COMPUTED_VALUE"""),"Bite")</f>
        <v>Bite</v>
      </c>
      <c r="AL67" s="2" t="str">
        <f>IFERROR(__xludf.DUMMYFUNCTION("""COMPUTED_VALUE"""),"Tail Smash")</f>
        <v>Tail Smash</v>
      </c>
      <c r="AM67" s="2" t="str">
        <f>IFERROR(__xludf.DUMMYFUNCTION("""COMPUTED_VALUE"""),"Claws")</f>
        <v>Claws</v>
      </c>
      <c r="AN67" s="2" t="str">
        <f>IFERROR(__xludf.DUMMYFUNCTION("""COMPUTED_VALUE"""),"Berserk")</f>
        <v>Berserk</v>
      </c>
      <c r="AO67" s="2" t="str">
        <f>IFERROR(__xludf.DUMMYFUNCTION("""COMPUTED_VALUE"""),"Multishot")</f>
        <v>Multishot</v>
      </c>
      <c r="AP67" s="2" t="str">
        <f>IFERROR(__xludf.DUMMYFUNCTION("""COMPUTED_VALUE"""),"Draconic Scream")</f>
        <v>Draconic Scream</v>
      </c>
      <c r="AQ67" s="2" t="str">
        <f>IFERROR(__xludf.DUMMYFUNCTION("""COMPUTED_VALUE"""),"Delta World")</f>
        <v>Delta World</v>
      </c>
      <c r="AR67" s="2" t="str">
        <f>IFERROR(__xludf.DUMMYFUNCTION("""COMPUTED_VALUE"""),"Chaincast")</f>
        <v>Chaincast</v>
      </c>
      <c r="AS67" s="2" t="str">
        <f>IFERROR(__xludf.DUMMYFUNCTION("""COMPUTED_VALUE"""),"Delta Rock &amp; Roll")</f>
        <v>Delta Rock &amp; Roll</v>
      </c>
      <c r="AT67" s="2" t="str">
        <f>IFERROR(__xludf.DUMMYFUNCTION("""COMPUTED_VALUE"""),"Elemental Storm")</f>
        <v>Elemental Storm</v>
      </c>
      <c r="AU67" s="2" t="str">
        <f>IFERROR(__xludf.DUMMYFUNCTION("""COMPUTED_VALUE"""),"Dreading Storm")</f>
        <v>Dreading Storm</v>
      </c>
      <c r="AV67" s="2" t="str">
        <f>IFERROR(__xludf.DUMMYFUNCTION("""COMPUTED_VALUE"""),"Stun Negation")</f>
        <v>Stun Negation</v>
      </c>
      <c r="AW67" s="2" t="str">
        <f>IFERROR(__xludf.DUMMYFUNCTION("""COMPUTED_VALUE"""),"Celestial Wrath")</f>
        <v>Celestial Wrath</v>
      </c>
      <c r="AX67" s="2"/>
      <c r="AY67" s="2"/>
      <c r="AZ67" s="2"/>
      <c r="BA67" s="3"/>
      <c r="BB67" s="3"/>
      <c r="BC67" s="1"/>
      <c r="BD67" s="3">
        <f>IFERROR(__xludf.DUMMYFUNCTION("""COMPUTED_VALUE"""),0.0)</f>
        <v>0</v>
      </c>
      <c r="BE67" s="4">
        <f>IFERROR(__xludf.DUMMYFUNCTION("""COMPUTED_VALUE"""),10.0)</f>
        <v>10</v>
      </c>
      <c r="BF67" s="3" t="str">
        <f>IFERROR(__xludf.DUMMYFUNCTION("""COMPUTED_VALUE"""),"25% chance to be unaffected by any spells affecting this mob
Dragons Luck: +5 is added to the casters d20 rolls.")</f>
        <v>25% chance to be unaffected by any spells affecting this mob
Dragons Luck: +5 is added to the casters d20 rolls.</v>
      </c>
      <c r="BG67" s="3" t="str">
        <f>IFERROR(__xludf.DUMMYFUNCTION("""COMPUTED_VALUE"""),"All")</f>
        <v>All</v>
      </c>
      <c r="BH67" s="3" t="str">
        <f>IFERROR(__xludf.DUMMYFUNCTION("""COMPUTED_VALUE"""),"Dragonscale Island")</f>
        <v>Dragonscale Island</v>
      </c>
      <c r="BI67" s="3"/>
      <c r="BJ67" s="3"/>
      <c r="BK67" s="3"/>
      <c r="BL67" s="3" t="b">
        <f>IFERROR(__xludf.DUMMYFUNCTION("""COMPUTED_VALUE"""),FALSE)</f>
        <v>0</v>
      </c>
      <c r="BM67" s="3"/>
      <c r="BN67" s="3"/>
      <c r="BO67" s="3"/>
      <c r="BP67" s="3"/>
      <c r="BQ67" s="3"/>
      <c r="BR67" s="3"/>
      <c r="BS67" s="3"/>
      <c r="BT67" s="3"/>
      <c r="BU67" s="3"/>
      <c r="BV67" s="3"/>
      <c r="BW67" s="3"/>
    </row>
    <row r="68" ht="15.75" customHeight="1">
      <c r="A68" s="2" t="str">
        <f>IFERROR(__xludf.DUMMYFUNCTION("""COMPUTED_VALUE"""),"Demon ")</f>
        <v>Demon </v>
      </c>
      <c r="B68" s="5">
        <f>IFERROR(__xludf.DUMMYFUNCTION("""COMPUTED_VALUE"""),1.0)</f>
        <v>1</v>
      </c>
      <c r="C68" s="1" t="str">
        <f>IFERROR(__xludf.DUMMYFUNCTION("""COMPUTED_VALUE"""),"An unintelligent bestial resident of hell.")</f>
        <v>An unintelligent bestial resident of hell.</v>
      </c>
      <c r="D68" s="5" t="str">
        <f>IFERROR(__xludf.DUMMYFUNCTION("""COMPUTED_VALUE"""),"Demonic")</f>
        <v>Demonic</v>
      </c>
      <c r="E68" s="5">
        <f>IFERROR(__xludf.DUMMYFUNCTION("""COMPUTED_VALUE"""),1010.0)</f>
        <v>1010</v>
      </c>
      <c r="F68" s="5">
        <f>IFERROR(__xludf.DUMMYFUNCTION("""COMPUTED_VALUE"""),1010.0)</f>
        <v>1010</v>
      </c>
      <c r="G68" s="5">
        <f>IFERROR(__xludf.DUMMYFUNCTION("""COMPUTED_VALUE"""),1010.0)</f>
        <v>1010</v>
      </c>
      <c r="H68" s="2">
        <f>IFERROR(__xludf.DUMMYFUNCTION("""COMPUTED_VALUE"""),10.0)</f>
        <v>10</v>
      </c>
      <c r="I68" s="2">
        <f>IFERROR(__xludf.DUMMYFUNCTION("""COMPUTED_VALUE"""),0.0)</f>
        <v>0</v>
      </c>
      <c r="J68" s="5">
        <f>IFERROR(__xludf.DUMMYFUNCTION("""COMPUTED_VALUE"""),0.0)</f>
        <v>0</v>
      </c>
      <c r="K68" s="5">
        <f>IFERROR(__xludf.DUMMYFUNCTION("""COMPUTED_VALUE"""),100.0)</f>
        <v>100</v>
      </c>
      <c r="L68" s="1">
        <f>IFERROR(__xludf.DUMMYFUNCTION("""COMPUTED_VALUE"""),100.0)</f>
        <v>100</v>
      </c>
      <c r="M68" s="1" t="str">
        <f>IFERROR(__xludf.DUMMYFUNCTION("""COMPUTED_VALUE"""),"Dark:Immune, Spirit:Immune, Chaos:Immune, ")</f>
        <v>Dark:Immune, Spirit:Immune, Chaos:Immune, </v>
      </c>
      <c r="N68" s="2" t="str">
        <f>IFERROR(__xludf.DUMMYFUNCTION("""COMPUTED_VALUE"""),"Water:100, Light:100, ")</f>
        <v>Water:100, Light:100, </v>
      </c>
      <c r="O68" s="2"/>
      <c r="P68" s="2"/>
      <c r="Q68" s="2"/>
      <c r="R68" s="2"/>
      <c r="S68" s="2"/>
      <c r="T68" s="2"/>
      <c r="U68" s="2"/>
      <c r="V68" s="2"/>
      <c r="W68" s="2"/>
      <c r="X68" s="2"/>
      <c r="Y68" s="2"/>
      <c r="Z68" s="2"/>
      <c r="AA68" s="2"/>
      <c r="AB68" s="2"/>
      <c r="AC68" s="2"/>
      <c r="AD68" s="2"/>
      <c r="AE68" s="2"/>
      <c r="AF68" s="2"/>
      <c r="AG68" s="2"/>
      <c r="AH68" s="2"/>
      <c r="AI68" s="2"/>
      <c r="AJ68" s="2" t="str">
        <f>IFERROR(__xludf.DUMMYFUNCTION("""COMPUTED_VALUE"""),"Flame Thrower")</f>
        <v>Flame Thrower</v>
      </c>
      <c r="AK68" s="2" t="str">
        <f>IFERROR(__xludf.DUMMYFUNCTION("""COMPUTED_VALUE"""),"Flame Sanctuary")</f>
        <v>Flame Sanctuary</v>
      </c>
      <c r="AL68" s="2" t="str">
        <f>IFERROR(__xludf.DUMMYFUNCTION("""COMPUTED_VALUE"""),"Dark Force")</f>
        <v>Dark Force</v>
      </c>
      <c r="AM68" s="2" t="str">
        <f>IFERROR(__xludf.DUMMYFUNCTION("""COMPUTED_VALUE"""),"Darkest Abyss")</f>
        <v>Darkest Abyss</v>
      </c>
      <c r="AN68" s="2" t="str">
        <f>IFERROR(__xludf.DUMMYFUNCTION("""COMPUTED_VALUE"""),"Possession")</f>
        <v>Possession</v>
      </c>
      <c r="AO68" s="2" t="str">
        <f>IFERROR(__xludf.DUMMYFUNCTION("""COMPUTED_VALUE"""),"Celestial Wrath")</f>
        <v>Celestial Wrath</v>
      </c>
      <c r="AP68" s="2"/>
      <c r="AQ68" s="2"/>
      <c r="AR68" s="2"/>
      <c r="AS68" s="2"/>
      <c r="AT68" s="2"/>
      <c r="AU68" s="2"/>
      <c r="AV68" s="2"/>
      <c r="AW68" s="2"/>
      <c r="AX68" s="2"/>
      <c r="AY68" s="2"/>
      <c r="AZ68" s="2"/>
      <c r="BA68" s="3"/>
      <c r="BB68" s="3"/>
      <c r="BC68" s="1"/>
      <c r="BD68" s="3">
        <f>IFERROR(__xludf.DUMMYFUNCTION("""COMPUTED_VALUE"""),0.0)</f>
        <v>0</v>
      </c>
      <c r="BE68" s="4">
        <f>IFERROR(__xludf.DUMMYFUNCTION("""COMPUTED_VALUE"""),10.0)</f>
        <v>10</v>
      </c>
      <c r="BF68" s="3" t="str">
        <f>IFERROR(__xludf.DUMMYFUNCTION("""COMPUTED_VALUE"""),"A Dark Calling: +5 can be added to this mobs rolls.")</f>
        <v>A Dark Calling: +5 can be added to this mobs rolls.</v>
      </c>
      <c r="BG68" s="3" t="str">
        <f>IFERROR(__xludf.DUMMYFUNCTION("""COMPUTED_VALUE"""),"All")</f>
        <v>All</v>
      </c>
      <c r="BH68" s="3" t="str">
        <f>IFERROR(__xludf.DUMMYFUNCTION("""COMPUTED_VALUE"""),"Abstara")</f>
        <v>Abstara</v>
      </c>
      <c r="BI68" s="3"/>
      <c r="BJ68" s="3"/>
      <c r="BK68" s="3"/>
      <c r="BL68" s="3" t="b">
        <f>IFERROR(__xludf.DUMMYFUNCTION("""COMPUTED_VALUE"""),FALSE)</f>
        <v>0</v>
      </c>
      <c r="BM68" s="3"/>
      <c r="BN68" s="3"/>
      <c r="BO68" s="3"/>
      <c r="BP68" s="3"/>
      <c r="BQ68" s="3"/>
      <c r="BR68" s="3"/>
      <c r="BS68" s="3"/>
      <c r="BT68" s="3"/>
      <c r="BU68" s="3"/>
      <c r="BV68" s="3"/>
      <c r="BW68" s="3"/>
    </row>
    <row r="69" ht="15.75" customHeight="1">
      <c r="A69" s="2" t="str">
        <f>IFERROR(__xludf.DUMMYFUNCTION("""COMPUTED_VALUE"""),"Demon Of Heatmore")</f>
        <v>Demon Of Heatmore</v>
      </c>
      <c r="B69" s="2">
        <f>IFERROR(__xludf.DUMMYFUNCTION("""COMPUTED_VALUE"""),1.0)</f>
        <v>1</v>
      </c>
      <c r="C69" s="1"/>
      <c r="D69" s="5" t="str">
        <f>IFERROR(__xludf.DUMMYFUNCTION("""COMPUTED_VALUE"""),"Demonic")</f>
        <v>Demonic</v>
      </c>
      <c r="E69" s="5">
        <f>IFERROR(__xludf.DUMMYFUNCTION("""COMPUTED_VALUE"""),1010.0)</f>
        <v>1010</v>
      </c>
      <c r="F69" s="5">
        <f>IFERROR(__xludf.DUMMYFUNCTION("""COMPUTED_VALUE"""),1010.0)</f>
        <v>1010</v>
      </c>
      <c r="G69" s="5">
        <f>IFERROR(__xludf.DUMMYFUNCTION("""COMPUTED_VALUE"""),1010.0)</f>
        <v>1010</v>
      </c>
      <c r="H69" s="2">
        <f>IFERROR(__xludf.DUMMYFUNCTION("""COMPUTED_VALUE"""),10.0)</f>
        <v>10</v>
      </c>
      <c r="I69" s="2">
        <f>IFERROR(__xludf.DUMMYFUNCTION("""COMPUTED_VALUE"""),0.0)</f>
        <v>0</v>
      </c>
      <c r="J69" s="5">
        <f>IFERROR(__xludf.DUMMYFUNCTION("""COMPUTED_VALUE"""),0.0)</f>
        <v>0</v>
      </c>
      <c r="K69" s="5">
        <f>IFERROR(__xludf.DUMMYFUNCTION("""COMPUTED_VALUE"""),100.0)</f>
        <v>100</v>
      </c>
      <c r="L69" s="1">
        <f>IFERROR(__xludf.DUMMYFUNCTION("""COMPUTED_VALUE"""),100.0)</f>
        <v>100</v>
      </c>
      <c r="M69" s="1" t="str">
        <f>IFERROR(__xludf.DUMMYFUNCTION("""COMPUTED_VALUE"""),"Fire:100, Dark:Immune, Spirit:Immune, Nature:Immune, Voodoo:Immune, ")</f>
        <v>Fire:100, Dark:Immune, Spirit:Immune, Nature:Immune, Voodoo:Immune, </v>
      </c>
      <c r="N69" s="2" t="str">
        <f>IFERROR(__xludf.DUMMYFUNCTION("""COMPUTED_VALUE"""),"Water:100, ")</f>
        <v>Water:100, </v>
      </c>
      <c r="O69" s="2"/>
      <c r="P69" s="2"/>
      <c r="Q69" s="2"/>
      <c r="R69" s="2"/>
      <c r="S69" s="2"/>
      <c r="T69" s="2"/>
      <c r="U69" s="2"/>
      <c r="V69" s="2"/>
      <c r="W69" s="2"/>
      <c r="X69" s="2"/>
      <c r="Y69" s="2"/>
      <c r="Z69" s="2"/>
      <c r="AA69" s="2"/>
      <c r="AB69" s="2"/>
      <c r="AC69" s="2"/>
      <c r="AD69" s="2"/>
      <c r="AE69" s="2"/>
      <c r="AF69" s="2"/>
      <c r="AG69" s="2"/>
      <c r="AH69" s="2"/>
      <c r="AI69" s="2"/>
      <c r="AJ69" s="2" t="str">
        <f>IFERROR(__xludf.DUMMYFUNCTION("""COMPUTED_VALUE"""),"Curse Of Heatmore")</f>
        <v>Curse Of Heatmore</v>
      </c>
      <c r="AK69" s="2" t="str">
        <f>IFERROR(__xludf.DUMMYFUNCTION("""COMPUTED_VALUE"""),"Flame Thrower")</f>
        <v>Flame Thrower</v>
      </c>
      <c r="AL69" s="2" t="str">
        <f>IFERROR(__xludf.DUMMYFUNCTION("""COMPUTED_VALUE"""),"Forgotten Fire")</f>
        <v>Forgotten Fire</v>
      </c>
      <c r="AM69" s="2" t="str">
        <f>IFERROR(__xludf.DUMMYFUNCTION("""COMPUTED_VALUE"""),"Conceal")</f>
        <v>Conceal</v>
      </c>
      <c r="AN69" s="2" t="str">
        <f>IFERROR(__xludf.DUMMYFUNCTION("""COMPUTED_VALUE"""),"Shadow Strike")</f>
        <v>Shadow Strike</v>
      </c>
      <c r="AO69" s="2" t="str">
        <f>IFERROR(__xludf.DUMMYFUNCTION("""COMPUTED_VALUE"""),"Enthrall")</f>
        <v>Enthrall</v>
      </c>
      <c r="AP69" s="2" t="str">
        <f>IFERROR(__xludf.DUMMYFUNCTION("""COMPUTED_VALUE"""),"Soul Trap")</f>
        <v>Soul Trap</v>
      </c>
      <c r="AQ69" s="2" t="str">
        <f>IFERROR(__xludf.DUMMYFUNCTION("""COMPUTED_VALUE"""),"Last Gamble")</f>
        <v>Last Gamble</v>
      </c>
      <c r="AR69" s="2" t="str">
        <f>IFERROR(__xludf.DUMMYFUNCTION("""COMPUTED_VALUE"""),"Second Chance")</f>
        <v>Second Chance</v>
      </c>
      <c r="AS69" s="2" t="str">
        <f>IFERROR(__xludf.DUMMYFUNCTION("""COMPUTED_VALUE"""),"Damage With A Cost.")</f>
        <v>Damage With A Cost.</v>
      </c>
      <c r="AT69" s="2" t="str">
        <f>IFERROR(__xludf.DUMMYFUNCTION("""COMPUTED_VALUE"""),"Swallow")</f>
        <v>Swallow</v>
      </c>
      <c r="AU69" s="2" t="str">
        <f>IFERROR(__xludf.DUMMYFUNCTION("""COMPUTED_VALUE"""),"Celestial strike")</f>
        <v>Celestial strike</v>
      </c>
      <c r="AV69" s="2"/>
      <c r="AW69" s="2"/>
      <c r="AX69" s="2"/>
      <c r="AY69" s="2"/>
      <c r="AZ69" s="2"/>
      <c r="BA69" s="3"/>
      <c r="BB69" s="3"/>
      <c r="BC69" s="1"/>
      <c r="BD69" s="3">
        <f>IFERROR(__xludf.DUMMYFUNCTION("""COMPUTED_VALUE"""),0.0)</f>
        <v>0</v>
      </c>
      <c r="BE69" s="4">
        <f>IFERROR(__xludf.DUMMYFUNCTION("""COMPUTED_VALUE"""),10.0)</f>
        <v>10</v>
      </c>
      <c r="BF69" s="3"/>
      <c r="BG69" s="3" t="str">
        <f>IFERROR(__xludf.DUMMYFUNCTION("""COMPUTED_VALUE"""),"Jungle")</f>
        <v>Jungle</v>
      </c>
      <c r="BH69" s="3" t="str">
        <f>IFERROR(__xludf.DUMMYFUNCTION("""COMPUTED_VALUE"""),"Land Of Spira")</f>
        <v>Land Of Spira</v>
      </c>
      <c r="BI69" s="3"/>
      <c r="BJ69" s="3"/>
      <c r="BK69" s="3"/>
      <c r="BL69" s="3" t="b">
        <f>IFERROR(__xludf.DUMMYFUNCTION("""COMPUTED_VALUE"""),FALSE)</f>
        <v>0</v>
      </c>
      <c r="BM69" s="3"/>
      <c r="BN69" s="3"/>
      <c r="BO69" s="3"/>
      <c r="BP69" s="3"/>
      <c r="BQ69" s="3"/>
      <c r="BR69" s="3"/>
      <c r="BS69" s="3"/>
      <c r="BT69" s="3"/>
      <c r="BU69" s="3"/>
      <c r="BV69" s="3"/>
      <c r="BW69" s="3"/>
    </row>
    <row r="70" ht="15.75" customHeight="1">
      <c r="A70" s="2" t="str">
        <f>IFERROR(__xludf.DUMMYFUNCTION("""COMPUTED_VALUE"""),"Desert Demon")</f>
        <v>Desert Demon</v>
      </c>
      <c r="B70" s="2">
        <f>IFERROR(__xludf.DUMMYFUNCTION("""COMPUTED_VALUE"""),1.0)</f>
        <v>1</v>
      </c>
      <c r="C70" s="1"/>
      <c r="D70" s="5" t="str">
        <f>IFERROR(__xludf.DUMMYFUNCTION("""COMPUTED_VALUE"""),"Demonic")</f>
        <v>Demonic</v>
      </c>
      <c r="E70" s="5">
        <f>IFERROR(__xludf.DUMMYFUNCTION("""COMPUTED_VALUE"""),1010.0)</f>
        <v>1010</v>
      </c>
      <c r="F70" s="5">
        <f>IFERROR(__xludf.DUMMYFUNCTION("""COMPUTED_VALUE"""),1010.0)</f>
        <v>1010</v>
      </c>
      <c r="G70" s="5">
        <f>IFERROR(__xludf.DUMMYFUNCTION("""COMPUTED_VALUE"""),1010.0)</f>
        <v>1010</v>
      </c>
      <c r="H70" s="2">
        <f>IFERROR(__xludf.DUMMYFUNCTION("""COMPUTED_VALUE"""),10.0)</f>
        <v>10</v>
      </c>
      <c r="I70" s="2">
        <f>IFERROR(__xludf.DUMMYFUNCTION("""COMPUTED_VALUE"""),0.0)</f>
        <v>0</v>
      </c>
      <c r="J70" s="5">
        <f>IFERROR(__xludf.DUMMYFUNCTION("""COMPUTED_VALUE"""),0.0)</f>
        <v>0</v>
      </c>
      <c r="K70" s="5">
        <f>IFERROR(__xludf.DUMMYFUNCTION("""COMPUTED_VALUE"""),100.0)</f>
        <v>100</v>
      </c>
      <c r="L70" s="1">
        <f>IFERROR(__xludf.DUMMYFUNCTION("""COMPUTED_VALUE"""),100.0)</f>
        <v>100</v>
      </c>
      <c r="M70" s="1" t="str">
        <f>IFERROR(__xludf.DUMMYFUNCTION("""COMPUTED_VALUE"""),"Fire:Immune, Dark:Immune, Voodoo:100, ")</f>
        <v>Fire:Immune, Dark:Immune, Voodoo:100, </v>
      </c>
      <c r="N70" s="2" t="str">
        <f>IFERROR(__xludf.DUMMYFUNCTION("""COMPUTED_VALUE"""),"Water:100, Storm:100, Light:100, ")</f>
        <v>Water:100, Storm:100, Light:100, </v>
      </c>
      <c r="O70" s="2"/>
      <c r="P70" s="2"/>
      <c r="Q70" s="2"/>
      <c r="R70" s="2"/>
      <c r="S70" s="2"/>
      <c r="T70" s="2"/>
      <c r="U70" s="2"/>
      <c r="V70" s="2"/>
      <c r="W70" s="2"/>
      <c r="X70" s="2"/>
      <c r="Y70" s="2"/>
      <c r="Z70" s="2"/>
      <c r="AA70" s="2"/>
      <c r="AB70" s="2"/>
      <c r="AC70" s="2"/>
      <c r="AD70" s="2"/>
      <c r="AE70" s="2"/>
      <c r="AF70" s="2"/>
      <c r="AG70" s="2"/>
      <c r="AH70" s="2"/>
      <c r="AI70" s="2"/>
      <c r="AJ70" s="2" t="str">
        <f>IFERROR(__xludf.DUMMYFUNCTION("""COMPUTED_VALUE"""),"Possession")</f>
        <v>Possession</v>
      </c>
      <c r="AK70" s="2" t="str">
        <f>IFERROR(__xludf.DUMMYFUNCTION("""COMPUTED_VALUE"""),"Soul Shot")</f>
        <v>Soul Shot</v>
      </c>
      <c r="AL70" s="2" t="str">
        <f>IFERROR(__xludf.DUMMYFUNCTION("""COMPUTED_VALUE"""),"Tremor")</f>
        <v>Tremor</v>
      </c>
      <c r="AM70" s="2"/>
      <c r="AN70" s="2"/>
      <c r="AO70" s="2"/>
      <c r="AP70" s="2"/>
      <c r="AQ70" s="2"/>
      <c r="AR70" s="2"/>
      <c r="AS70" s="2"/>
      <c r="AT70" s="2"/>
      <c r="AU70" s="2"/>
      <c r="AV70" s="2"/>
      <c r="AW70" s="2"/>
      <c r="AX70" s="2"/>
      <c r="AY70" s="2"/>
      <c r="AZ70" s="2"/>
      <c r="BA70" s="3"/>
      <c r="BB70" s="3"/>
      <c r="BC70" s="1"/>
      <c r="BD70" s="3">
        <f>IFERROR(__xludf.DUMMYFUNCTION("""COMPUTED_VALUE"""),0.0)</f>
        <v>0</v>
      </c>
      <c r="BE70" s="4">
        <f>IFERROR(__xludf.DUMMYFUNCTION("""COMPUTED_VALUE"""),10.0)</f>
        <v>10</v>
      </c>
      <c r="BF70" s="3"/>
      <c r="BG70" s="3" t="str">
        <f>IFERROR(__xludf.DUMMYFUNCTION("""COMPUTED_VALUE"""),"Desert")</f>
        <v>Desert</v>
      </c>
      <c r="BH70" s="3" t="str">
        <f>IFERROR(__xludf.DUMMYFUNCTION("""COMPUTED_VALUE"""),"Land Of Spira")</f>
        <v>Land Of Spira</v>
      </c>
      <c r="BI70" s="3"/>
      <c r="BJ70" s="3"/>
      <c r="BK70" s="3"/>
      <c r="BL70" s="3" t="b">
        <f>IFERROR(__xludf.DUMMYFUNCTION("""COMPUTED_VALUE"""),FALSE)</f>
        <v>0</v>
      </c>
      <c r="BM70" s="3"/>
      <c r="BN70" s="3"/>
      <c r="BO70" s="3"/>
      <c r="BP70" s="3"/>
      <c r="BQ70" s="3"/>
      <c r="BR70" s="3"/>
      <c r="BS70" s="3"/>
      <c r="BT70" s="3"/>
      <c r="BU70" s="3"/>
      <c r="BV70" s="3"/>
      <c r="BW70" s="3"/>
    </row>
    <row r="71" ht="15.75" customHeight="1">
      <c r="A71" s="2" t="str">
        <f>IFERROR(__xludf.DUMMYFUNCTION("""COMPUTED_VALUE"""),"Desert Hunter")</f>
        <v>Desert Hunter</v>
      </c>
      <c r="B71" s="2">
        <f>IFERROR(__xludf.DUMMYFUNCTION("""COMPUTED_VALUE"""),1.0)</f>
        <v>1</v>
      </c>
      <c r="C71" s="1"/>
      <c r="D71" s="5" t="str">
        <f>IFERROR(__xludf.DUMMYFUNCTION("""COMPUTED_VALUE"""),"Humanoid")</f>
        <v>Humanoid</v>
      </c>
      <c r="E71" s="5">
        <f>IFERROR(__xludf.DUMMYFUNCTION("""COMPUTED_VALUE"""),1010.0)</f>
        <v>1010</v>
      </c>
      <c r="F71" s="5">
        <f>IFERROR(__xludf.DUMMYFUNCTION("""COMPUTED_VALUE"""),1010.0)</f>
        <v>1010</v>
      </c>
      <c r="G71" s="5">
        <f>IFERROR(__xludf.DUMMYFUNCTION("""COMPUTED_VALUE"""),1010.0)</f>
        <v>1010</v>
      </c>
      <c r="H71" s="2">
        <f>IFERROR(__xludf.DUMMYFUNCTION("""COMPUTED_VALUE"""),10.0)</f>
        <v>10</v>
      </c>
      <c r="I71" s="2">
        <f>IFERROR(__xludf.DUMMYFUNCTION("""COMPUTED_VALUE"""),0.0)</f>
        <v>0</v>
      </c>
      <c r="J71" s="5">
        <f>IFERROR(__xludf.DUMMYFUNCTION("""COMPUTED_VALUE"""),0.0)</f>
        <v>0</v>
      </c>
      <c r="K71" s="5">
        <f>IFERROR(__xludf.DUMMYFUNCTION("""COMPUTED_VALUE"""),100.0)</f>
        <v>100</v>
      </c>
      <c r="L71" s="1">
        <f>IFERROR(__xludf.DUMMYFUNCTION("""COMPUTED_VALUE"""),100.0)</f>
        <v>100</v>
      </c>
      <c r="M71" s="1" t="str">
        <f>IFERROR(__xludf.DUMMYFUNCTION("""COMPUTED_VALUE"""),"Fire:Immune, Earth:Immune, ")</f>
        <v>Fire:Immune, Earth:Immune, </v>
      </c>
      <c r="N71" s="2" t="str">
        <f>IFERROR(__xludf.DUMMYFUNCTION("""COMPUTED_VALUE"""),"Water:100, Storm:100, ")</f>
        <v>Water:100, Storm:100, </v>
      </c>
      <c r="O71" s="2"/>
      <c r="P71" s="2"/>
      <c r="Q71" s="2"/>
      <c r="R71" s="2"/>
      <c r="S71" s="2"/>
      <c r="T71" s="2"/>
      <c r="U71" s="2"/>
      <c r="V71" s="2"/>
      <c r="W71" s="2" t="str">
        <f>IFERROR(__xludf.DUMMYFUNCTION("""COMPUTED_VALUE"""),"Scimitar")</f>
        <v>Scimitar</v>
      </c>
      <c r="X71" s="2"/>
      <c r="Y71" s="2"/>
      <c r="Z71" s="2"/>
      <c r="AA71" s="2"/>
      <c r="AB71" s="2"/>
      <c r="AC71" s="2"/>
      <c r="AD71" s="2"/>
      <c r="AE71" s="2"/>
      <c r="AF71" s="2"/>
      <c r="AG71" s="2"/>
      <c r="AH71" s="2"/>
      <c r="AI71" s="2"/>
      <c r="AJ71" s="2" t="str">
        <f>IFERROR(__xludf.DUMMYFUNCTION("""COMPUTED_VALUE"""),"Earth Punch")</f>
        <v>Earth Punch</v>
      </c>
      <c r="AK71" s="2" t="str">
        <f>IFERROR(__xludf.DUMMYFUNCTION("""COMPUTED_VALUE"""),"[Element] Swing")</f>
        <v>[Element] Swing</v>
      </c>
      <c r="AL71" s="2" t="str">
        <f>IFERROR(__xludf.DUMMYFUNCTION("""COMPUTED_VALUE"""),"Energy Charge")</f>
        <v>Energy Charge</v>
      </c>
      <c r="AM71" s="2" t="str">
        <f>IFERROR(__xludf.DUMMYFUNCTION("""COMPUTED_VALUE"""),"Conceal")</f>
        <v>Conceal</v>
      </c>
      <c r="AN71" s="2"/>
      <c r="AO71" s="2"/>
      <c r="AP71" s="2"/>
      <c r="AQ71" s="2"/>
      <c r="AR71" s="2"/>
      <c r="AS71" s="2"/>
      <c r="AT71" s="2"/>
      <c r="AU71" s="2"/>
      <c r="AV71" s="2"/>
      <c r="AW71" s="2"/>
      <c r="AX71" s="2"/>
      <c r="AY71" s="2"/>
      <c r="AZ71" s="2"/>
      <c r="BA71" s="3"/>
      <c r="BB71" s="3"/>
      <c r="BC71" s="1"/>
      <c r="BD71" s="3">
        <f>IFERROR(__xludf.DUMMYFUNCTION("""COMPUTED_VALUE"""),0.0)</f>
        <v>0</v>
      </c>
      <c r="BE71" s="4">
        <f>IFERROR(__xludf.DUMMYFUNCTION("""COMPUTED_VALUE"""),10.0)</f>
        <v>10</v>
      </c>
      <c r="BF71" s="3"/>
      <c r="BG71" s="3" t="str">
        <f>IFERROR(__xludf.DUMMYFUNCTION("""COMPUTED_VALUE"""),"Desert")</f>
        <v>Desert</v>
      </c>
      <c r="BH71" s="3" t="str">
        <f>IFERROR(__xludf.DUMMYFUNCTION("""COMPUTED_VALUE"""),"Land Of Spira")</f>
        <v>Land Of Spira</v>
      </c>
      <c r="BI71" s="3"/>
      <c r="BJ71" s="3"/>
      <c r="BK71" s="3"/>
      <c r="BL71" s="3" t="b">
        <f>IFERROR(__xludf.DUMMYFUNCTION("""COMPUTED_VALUE"""),FALSE)</f>
        <v>0</v>
      </c>
      <c r="BM71" s="3"/>
      <c r="BN71" s="3"/>
      <c r="BO71" s="3"/>
      <c r="BP71" s="3"/>
      <c r="BQ71" s="3"/>
      <c r="BR71" s="3"/>
      <c r="BS71" s="3"/>
      <c r="BT71" s="3"/>
      <c r="BU71" s="3"/>
      <c r="BV71" s="3"/>
      <c r="BW71" s="3"/>
    </row>
    <row r="72" ht="15.75" customHeight="1">
      <c r="A72" s="2" t="str">
        <f>IFERROR(__xludf.DUMMYFUNCTION("""COMPUTED_VALUE"""),"Desert Titan")</f>
        <v>Desert Titan</v>
      </c>
      <c r="B72" s="2">
        <f>IFERROR(__xludf.DUMMYFUNCTION("""COMPUTED_VALUE"""),1.0)</f>
        <v>1</v>
      </c>
      <c r="C72" s="1"/>
      <c r="D72" s="5" t="str">
        <f>IFERROR(__xludf.DUMMYFUNCTION("""COMPUTED_VALUE"""),"Construct")</f>
        <v>Construct</v>
      </c>
      <c r="E72" s="5">
        <f>IFERROR(__xludf.DUMMYFUNCTION("""COMPUTED_VALUE"""),1010.0)</f>
        <v>1010</v>
      </c>
      <c r="F72" s="5">
        <f>IFERROR(__xludf.DUMMYFUNCTION("""COMPUTED_VALUE"""),1010.0)</f>
        <v>1010</v>
      </c>
      <c r="G72" s="5">
        <f>IFERROR(__xludf.DUMMYFUNCTION("""COMPUTED_VALUE"""),1010.0)</f>
        <v>1010</v>
      </c>
      <c r="H72" s="2">
        <f>IFERROR(__xludf.DUMMYFUNCTION("""COMPUTED_VALUE"""),10.0)</f>
        <v>10</v>
      </c>
      <c r="I72" s="2">
        <f>IFERROR(__xludf.DUMMYFUNCTION("""COMPUTED_VALUE"""),0.0)</f>
        <v>0</v>
      </c>
      <c r="J72" s="5">
        <f>IFERROR(__xludf.DUMMYFUNCTION("""COMPUTED_VALUE"""),0.0)</f>
        <v>0</v>
      </c>
      <c r="K72" s="5">
        <f>IFERROR(__xludf.DUMMYFUNCTION("""COMPUTED_VALUE"""),100.0)</f>
        <v>100</v>
      </c>
      <c r="L72" s="1">
        <f>IFERROR(__xludf.DUMMYFUNCTION("""COMPUTED_VALUE"""),100.0)</f>
        <v>100</v>
      </c>
      <c r="M72" s="1" t="str">
        <f>IFERROR(__xludf.DUMMYFUNCTION("""COMPUTED_VALUE"""),"Fire:Immune, Earth:Immune, ")</f>
        <v>Fire:Immune, Earth:Immune, </v>
      </c>
      <c r="N72" s="2" t="str">
        <f>IFERROR(__xludf.DUMMYFUNCTION("""COMPUTED_VALUE"""),"Water:100, Storm:100, ")</f>
        <v>Water:100, Storm:100, </v>
      </c>
      <c r="O72" s="2"/>
      <c r="P72" s="2"/>
      <c r="Q72" s="2"/>
      <c r="R72" s="2"/>
      <c r="S72" s="2"/>
      <c r="T72" s="2"/>
      <c r="U72" s="2"/>
      <c r="V72" s="2"/>
      <c r="W72" s="2"/>
      <c r="X72" s="2"/>
      <c r="Y72" s="2"/>
      <c r="Z72" s="2"/>
      <c r="AA72" s="2"/>
      <c r="AB72" s="2"/>
      <c r="AC72" s="2"/>
      <c r="AD72" s="2"/>
      <c r="AE72" s="2"/>
      <c r="AF72" s="2"/>
      <c r="AG72" s="2"/>
      <c r="AH72" s="2"/>
      <c r="AI72" s="2"/>
      <c r="AJ72" s="2" t="str">
        <f>IFERROR(__xludf.DUMMYFUNCTION("""COMPUTED_VALUE"""),"Rock Missiles")</f>
        <v>Rock Missiles</v>
      </c>
      <c r="AK72" s="2" t="str">
        <f>IFERROR(__xludf.DUMMYFUNCTION("""COMPUTED_VALUE"""),"Earth Punch")</f>
        <v>Earth Punch</v>
      </c>
      <c r="AL72" s="2" t="str">
        <f>IFERROR(__xludf.DUMMYFUNCTION("""COMPUTED_VALUE"""),"Earthquake")</f>
        <v>Earthquake</v>
      </c>
      <c r="AM72" s="2" t="str">
        <f>IFERROR(__xludf.DUMMYFUNCTION("""COMPUTED_VALUE"""),"Rock Cycle")</f>
        <v>Rock Cycle</v>
      </c>
      <c r="AN72" s="2"/>
      <c r="AO72" s="2"/>
      <c r="AP72" s="2"/>
      <c r="AQ72" s="2"/>
      <c r="AR72" s="2"/>
      <c r="AS72" s="2"/>
      <c r="AT72" s="2"/>
      <c r="AU72" s="2"/>
      <c r="AV72" s="2"/>
      <c r="AW72" s="2"/>
      <c r="AX72" s="2"/>
      <c r="AY72" s="2"/>
      <c r="AZ72" s="2"/>
      <c r="BA72" s="3"/>
      <c r="BB72" s="3"/>
      <c r="BC72" s="1"/>
      <c r="BD72" s="3">
        <f>IFERROR(__xludf.DUMMYFUNCTION("""COMPUTED_VALUE"""),0.0)</f>
        <v>0</v>
      </c>
      <c r="BE72" s="4">
        <f>IFERROR(__xludf.DUMMYFUNCTION("""COMPUTED_VALUE"""),10.0)</f>
        <v>10</v>
      </c>
      <c r="BF72" s="3"/>
      <c r="BG72" s="3" t="str">
        <f>IFERROR(__xludf.DUMMYFUNCTION("""COMPUTED_VALUE"""),"Desert")</f>
        <v>Desert</v>
      </c>
      <c r="BH72" s="3" t="str">
        <f>IFERROR(__xludf.DUMMYFUNCTION("""COMPUTED_VALUE"""),"Land Of Spira")</f>
        <v>Land Of Spira</v>
      </c>
      <c r="BI72" s="3"/>
      <c r="BJ72" s="3"/>
      <c r="BK72" s="3"/>
      <c r="BL72" s="3" t="b">
        <f>IFERROR(__xludf.DUMMYFUNCTION("""COMPUTED_VALUE"""),FALSE)</f>
        <v>0</v>
      </c>
      <c r="BM72" s="3"/>
      <c r="BN72" s="3"/>
      <c r="BO72" s="3"/>
      <c r="BP72" s="3"/>
      <c r="BQ72" s="3"/>
      <c r="BR72" s="3"/>
      <c r="BS72" s="3"/>
      <c r="BT72" s="3"/>
      <c r="BU72" s="3"/>
      <c r="BV72" s="3"/>
      <c r="BW72" s="3"/>
    </row>
    <row r="73" ht="15.75" customHeight="1">
      <c r="A73" s="2" t="str">
        <f>IFERROR(__xludf.DUMMYFUNCTION("""COMPUTED_VALUE"""),"Diamond Dragon")</f>
        <v>Diamond Dragon</v>
      </c>
      <c r="B73" s="2">
        <f>IFERROR(__xludf.DUMMYFUNCTION("""COMPUTED_VALUE"""),1.0)</f>
        <v>1</v>
      </c>
      <c r="C73" s="1"/>
      <c r="D73" s="2" t="str">
        <f>IFERROR(__xludf.DUMMYFUNCTION("""COMPUTED_VALUE"""),"Draconic")</f>
        <v>Draconic</v>
      </c>
      <c r="E73" s="2">
        <f>IFERROR(__xludf.DUMMYFUNCTION("""COMPUTED_VALUE"""),31010.0)</f>
        <v>31010</v>
      </c>
      <c r="F73" s="5">
        <f>IFERROR(__xludf.DUMMYFUNCTION("""COMPUTED_VALUE"""),31010.0)</f>
        <v>31010</v>
      </c>
      <c r="G73" s="2">
        <f>IFERROR(__xludf.DUMMYFUNCTION("""COMPUTED_VALUE"""),1010.0)</f>
        <v>1010</v>
      </c>
      <c r="H73" s="2">
        <f>IFERROR(__xludf.DUMMYFUNCTION("""COMPUTED_VALUE"""),10.0)</f>
        <v>10</v>
      </c>
      <c r="I73" s="2">
        <f>IFERROR(__xludf.DUMMYFUNCTION("""COMPUTED_VALUE"""),0.0)</f>
        <v>0</v>
      </c>
      <c r="J73" s="5">
        <f>IFERROR(__xludf.DUMMYFUNCTION("""COMPUTED_VALUE"""),0.0)</f>
        <v>0</v>
      </c>
      <c r="K73" s="5">
        <f>IFERROR(__xludf.DUMMYFUNCTION("""COMPUTED_VALUE"""),100.0)</f>
        <v>100</v>
      </c>
      <c r="L73" s="1">
        <f>IFERROR(__xludf.DUMMYFUNCTION("""COMPUTED_VALUE"""),100.0)</f>
        <v>100</v>
      </c>
      <c r="M73" s="1" t="str">
        <f>IFERROR(__xludf.DUMMYFUNCTION("""COMPUTED_VALUE"""),"Fire:100, Earth:100, Twilight:100, Instant Death:Immune, Banishment:Immune, ")</f>
        <v>Fire:100, Earth:100, Twilight:100, Instant Death:Immune, Banishment:Immune, </v>
      </c>
      <c r="N73" s="2" t="str">
        <f>IFERROR(__xludf.DUMMYFUNCTION("""COMPUTED_VALUE"""),"Water:100, Storm:100, ")</f>
        <v>Water:100, Storm:100, </v>
      </c>
      <c r="O73" s="2"/>
      <c r="P73" s="2"/>
      <c r="Q73" s="2"/>
      <c r="R73" s="2"/>
      <c r="S73" s="2"/>
      <c r="T73" s="2"/>
      <c r="U73" s="2"/>
      <c r="V73" s="2"/>
      <c r="W73" s="2"/>
      <c r="X73" s="2"/>
      <c r="Y73" s="2"/>
      <c r="Z73" s="2"/>
      <c r="AA73" s="2"/>
      <c r="AB73" s="2"/>
      <c r="AC73" s="2"/>
      <c r="AD73" s="2"/>
      <c r="AE73" s="2"/>
      <c r="AF73" s="2"/>
      <c r="AG73" s="2"/>
      <c r="AH73" s="2"/>
      <c r="AI73" s="2"/>
      <c r="AJ73" s="2" t="str">
        <f>IFERROR(__xludf.DUMMYFUNCTION("""COMPUTED_VALUE"""),"Dragon's Breath")</f>
        <v>Dragon's Breath</v>
      </c>
      <c r="AK73" s="2" t="str">
        <f>IFERROR(__xludf.DUMMYFUNCTION("""COMPUTED_VALUE"""),"Bite")</f>
        <v>Bite</v>
      </c>
      <c r="AL73" s="2" t="str">
        <f>IFERROR(__xludf.DUMMYFUNCTION("""COMPUTED_VALUE"""),"Tail Smash")</f>
        <v>Tail Smash</v>
      </c>
      <c r="AM73" s="2" t="str">
        <f>IFERROR(__xludf.DUMMYFUNCTION("""COMPUTED_VALUE"""),"Claws")</f>
        <v>Claws</v>
      </c>
      <c r="AN73" s="2" t="str">
        <f>IFERROR(__xludf.DUMMYFUNCTION("""COMPUTED_VALUE"""),"Berserk")</f>
        <v>Berserk</v>
      </c>
      <c r="AO73" s="2" t="str">
        <f>IFERROR(__xludf.DUMMYFUNCTION("""COMPUTED_VALUE"""),"Multishot")</f>
        <v>Multishot</v>
      </c>
      <c r="AP73" s="2" t="str">
        <f>IFERROR(__xludf.DUMMYFUNCTION("""COMPUTED_VALUE"""),"Draconic Scream")</f>
        <v>Draconic Scream</v>
      </c>
      <c r="AQ73" s="2" t="str">
        <f>IFERROR(__xludf.DUMMYFUNCTION("""COMPUTED_VALUE"""),"Dusk of Diamonds")</f>
        <v>Dusk of Diamonds</v>
      </c>
      <c r="AR73" s="2" t="str">
        <f>IFERROR(__xludf.DUMMYFUNCTION("""COMPUTED_VALUE"""),"Dawn of Diamonds")</f>
        <v>Dawn of Diamonds</v>
      </c>
      <c r="AS73" s="2" t="str">
        <f>IFERROR(__xludf.DUMMYFUNCTION("""COMPUTED_VALUE"""),"Rock Cycle")</f>
        <v>Rock Cycle</v>
      </c>
      <c r="AT73" s="2" t="str">
        <f>IFERROR(__xludf.DUMMYFUNCTION("""COMPUTED_VALUE"""),"Celestial Wrath")</f>
        <v>Celestial Wrath</v>
      </c>
      <c r="AU73" s="2"/>
      <c r="AV73" s="2"/>
      <c r="AW73" s="2"/>
      <c r="AX73" s="2"/>
      <c r="AY73" s="2"/>
      <c r="AZ73" s="2"/>
      <c r="BA73" s="3"/>
      <c r="BB73" s="3"/>
      <c r="BC73" s="1"/>
      <c r="BD73" s="3">
        <f>IFERROR(__xludf.DUMMYFUNCTION("""COMPUTED_VALUE"""),0.0)</f>
        <v>0</v>
      </c>
      <c r="BE73" s="4">
        <f>IFERROR(__xludf.DUMMYFUNCTION("""COMPUTED_VALUE"""),10.0)</f>
        <v>10</v>
      </c>
      <c r="BF73" s="3" t="str">
        <f>IFERROR(__xludf.DUMMYFUNCTION("""COMPUTED_VALUE"""),"25% chance to be unaffected by any spells affecting this mob
Dragons Luck: +5 is added to the casters d20 rolls.")</f>
        <v>25% chance to be unaffected by any spells affecting this mob
Dragons Luck: +5 is added to the casters d20 rolls.</v>
      </c>
      <c r="BG73" s="3" t="str">
        <f>IFERROR(__xludf.DUMMYFUNCTION("""COMPUTED_VALUE"""),"All")</f>
        <v>All</v>
      </c>
      <c r="BH73" s="3" t="str">
        <f>IFERROR(__xludf.DUMMYFUNCTION("""COMPUTED_VALUE"""),"Dragonscale Island")</f>
        <v>Dragonscale Island</v>
      </c>
      <c r="BI73" s="3"/>
      <c r="BJ73" s="3"/>
      <c r="BK73" s="3"/>
      <c r="BL73" s="3" t="b">
        <f>IFERROR(__xludf.DUMMYFUNCTION("""COMPUTED_VALUE"""),FALSE)</f>
        <v>0</v>
      </c>
      <c r="BM73" s="3"/>
      <c r="BN73" s="3"/>
      <c r="BO73" s="3"/>
      <c r="BP73" s="3"/>
      <c r="BQ73" s="3"/>
      <c r="BR73" s="3"/>
      <c r="BS73" s="3"/>
      <c r="BT73" s="3"/>
      <c r="BU73" s="3"/>
      <c r="BV73" s="3"/>
      <c r="BW73" s="3"/>
    </row>
    <row r="74" ht="15.75" customHeight="1">
      <c r="A74" s="2" t="str">
        <f>IFERROR(__xludf.DUMMYFUNCTION("""COMPUTED_VALUE"""),"Dio The Time Dragon")</f>
        <v>Dio The Time Dragon</v>
      </c>
      <c r="B74" s="2">
        <f>IFERROR(__xludf.DUMMYFUNCTION("""COMPUTED_VALUE"""),1.0)</f>
        <v>1</v>
      </c>
      <c r="C74" s="1"/>
      <c r="D74" s="5" t="str">
        <f>IFERROR(__xludf.DUMMYFUNCTION("""COMPUTED_VALUE"""),"Draconic")</f>
        <v>Draconic</v>
      </c>
      <c r="E74" s="5">
        <f>IFERROR(__xludf.DUMMYFUNCTION("""COMPUTED_VALUE"""),31010.0)</f>
        <v>31010</v>
      </c>
      <c r="F74" s="5">
        <f>IFERROR(__xludf.DUMMYFUNCTION("""COMPUTED_VALUE"""),31010.0)</f>
        <v>31010</v>
      </c>
      <c r="G74" s="5">
        <f>IFERROR(__xludf.DUMMYFUNCTION("""COMPUTED_VALUE"""),1010.0)</f>
        <v>1010</v>
      </c>
      <c r="H74" s="2">
        <f>IFERROR(__xludf.DUMMYFUNCTION("""COMPUTED_VALUE"""),10.0)</f>
        <v>10</v>
      </c>
      <c r="I74" s="2">
        <f>IFERROR(__xludf.DUMMYFUNCTION("""COMPUTED_VALUE"""),0.0)</f>
        <v>0</v>
      </c>
      <c r="J74" s="5">
        <f>IFERROR(__xludf.DUMMYFUNCTION("""COMPUTED_VALUE"""),0.0)</f>
        <v>0</v>
      </c>
      <c r="K74" s="5">
        <f>IFERROR(__xludf.DUMMYFUNCTION("""COMPUTED_VALUE"""),100.0)</f>
        <v>100</v>
      </c>
      <c r="L74" s="1">
        <f>IFERROR(__xludf.DUMMYFUNCTION("""COMPUTED_VALUE"""),100.0)</f>
        <v>100</v>
      </c>
      <c r="M74" s="1" t="str">
        <f>IFERROR(__xludf.DUMMYFUNCTION("""COMPUTED_VALUE"""),"")</f>
        <v/>
      </c>
      <c r="N74" s="2" t="str">
        <f>IFERROR(__xludf.DUMMYFUNCTION("""COMPUTED_VALUE"""),"")</f>
        <v/>
      </c>
      <c r="O74" s="2"/>
      <c r="P74" s="2"/>
      <c r="Q74" s="2"/>
      <c r="R74" s="2"/>
      <c r="S74" s="2"/>
      <c r="T74" s="2"/>
      <c r="U74" s="2"/>
      <c r="V74" s="2"/>
      <c r="W74" s="2"/>
      <c r="X74" s="2"/>
      <c r="Y74" s="2"/>
      <c r="Z74" s="2"/>
      <c r="AA74" s="2"/>
      <c r="AB74" s="2"/>
      <c r="AC74" s="2"/>
      <c r="AD74" s="2"/>
      <c r="AE74" s="2"/>
      <c r="AF74" s="2"/>
      <c r="AG74" s="2"/>
      <c r="AH74" s="2"/>
      <c r="AI74" s="2"/>
      <c r="AJ74" s="2" t="str">
        <f>IFERROR(__xludf.DUMMYFUNCTION("""COMPUTED_VALUE"""),"Dragon's Breath")</f>
        <v>Dragon's Breath</v>
      </c>
      <c r="AK74" s="2"/>
      <c r="AL74" s="2"/>
      <c r="AM74" s="2"/>
      <c r="AN74" s="2"/>
      <c r="AO74" s="2"/>
      <c r="AP74" s="2"/>
      <c r="AQ74" s="2"/>
      <c r="AR74" s="2"/>
      <c r="AS74" s="2"/>
      <c r="AT74" s="2"/>
      <c r="AU74" s="2"/>
      <c r="AV74" s="2"/>
      <c r="AW74" s="2"/>
      <c r="AX74" s="2"/>
      <c r="AY74" s="2"/>
      <c r="AZ74" s="2"/>
      <c r="BA74" s="3"/>
      <c r="BB74" s="3"/>
      <c r="BC74" s="1"/>
      <c r="BD74" s="3">
        <f>IFERROR(__xludf.DUMMYFUNCTION("""COMPUTED_VALUE"""),0.0)</f>
        <v>0</v>
      </c>
      <c r="BE74" s="4">
        <f>IFERROR(__xludf.DUMMYFUNCTION("""COMPUTED_VALUE"""),10.0)</f>
        <v>10</v>
      </c>
      <c r="BF74" s="3"/>
      <c r="BG74" s="3"/>
      <c r="BH74" s="3" t="str">
        <f>IFERROR(__xludf.DUMMYFUNCTION("""COMPUTED_VALUE"""),"Solreach")</f>
        <v>Solreach</v>
      </c>
      <c r="BI74" s="3"/>
      <c r="BJ74" s="3"/>
      <c r="BK74" s="3"/>
      <c r="BL74" s="3" t="b">
        <f>IFERROR(__xludf.DUMMYFUNCTION("""COMPUTED_VALUE"""),FALSE)</f>
        <v>0</v>
      </c>
      <c r="BM74" s="3"/>
      <c r="BN74" s="3"/>
      <c r="BO74" s="3"/>
      <c r="BP74" s="3"/>
      <c r="BQ74" s="3"/>
      <c r="BR74" s="3"/>
      <c r="BS74" s="3"/>
      <c r="BT74" s="3"/>
      <c r="BU74" s="3"/>
      <c r="BV74" s="3"/>
      <c r="BW74" s="3"/>
    </row>
    <row r="75" ht="15.75" customHeight="1">
      <c r="A75" s="2" t="str">
        <f>IFERROR(__xludf.DUMMYFUNCTION("""COMPUTED_VALUE"""),"Divine Dragon Of The Flames")</f>
        <v>Divine Dragon Of The Flames</v>
      </c>
      <c r="B75" s="2">
        <f>IFERROR(__xludf.DUMMYFUNCTION("""COMPUTED_VALUE"""),1.0)</f>
        <v>1</v>
      </c>
      <c r="C75" s="1"/>
      <c r="D75" s="5" t="str">
        <f>IFERROR(__xludf.DUMMYFUNCTION("""COMPUTED_VALUE"""),"Draconic")</f>
        <v>Draconic</v>
      </c>
      <c r="E75" s="5">
        <f>IFERROR(__xludf.DUMMYFUNCTION("""COMPUTED_VALUE"""),31010.0)</f>
        <v>31010</v>
      </c>
      <c r="F75" s="5">
        <f>IFERROR(__xludf.DUMMYFUNCTION("""COMPUTED_VALUE"""),31010.0)</f>
        <v>31010</v>
      </c>
      <c r="G75" s="5">
        <f>IFERROR(__xludf.DUMMYFUNCTION("""COMPUTED_VALUE"""),1010.0)</f>
        <v>1010</v>
      </c>
      <c r="H75" s="2">
        <f>IFERROR(__xludf.DUMMYFUNCTION("""COMPUTED_VALUE"""),10.0)</f>
        <v>10</v>
      </c>
      <c r="I75" s="2">
        <f>IFERROR(__xludf.DUMMYFUNCTION("""COMPUTED_VALUE"""),0.0)</f>
        <v>0</v>
      </c>
      <c r="J75" s="5">
        <f>IFERROR(__xludf.DUMMYFUNCTION("""COMPUTED_VALUE"""),0.0)</f>
        <v>0</v>
      </c>
      <c r="K75" s="5">
        <f>IFERROR(__xludf.DUMMYFUNCTION("""COMPUTED_VALUE"""),100.0)</f>
        <v>100</v>
      </c>
      <c r="L75" s="1">
        <f>IFERROR(__xludf.DUMMYFUNCTION("""COMPUTED_VALUE"""),100.0)</f>
        <v>100</v>
      </c>
      <c r="M75" s="1" t="str">
        <f>IFERROR(__xludf.DUMMYFUNCTION("""COMPUTED_VALUE"""),"Fire:100, Nature:Immune, Instant Death:Immune, Banishment:Immune, ")</f>
        <v>Fire:100, Nature:Immune, Instant Death:Immune, Banishment:Immune, </v>
      </c>
      <c r="N75" s="2" t="str">
        <f>IFERROR(__xludf.DUMMYFUNCTION("""COMPUTED_VALUE"""),"Water:100, ")</f>
        <v>Water:100, </v>
      </c>
      <c r="O75" s="2"/>
      <c r="P75" s="2"/>
      <c r="Q75" s="2"/>
      <c r="R75" s="2"/>
      <c r="S75" s="2"/>
      <c r="T75" s="2"/>
      <c r="U75" s="2"/>
      <c r="V75" s="2"/>
      <c r="W75" s="2"/>
      <c r="X75" s="2"/>
      <c r="Y75" s="2"/>
      <c r="Z75" s="2"/>
      <c r="AA75" s="2"/>
      <c r="AB75" s="2"/>
      <c r="AC75" s="2"/>
      <c r="AD75" s="2"/>
      <c r="AE75" s="2"/>
      <c r="AF75" s="2"/>
      <c r="AG75" s="2"/>
      <c r="AH75" s="2"/>
      <c r="AI75" s="2"/>
      <c r="AJ75" s="2" t="str">
        <f>IFERROR(__xludf.DUMMYFUNCTION("""COMPUTED_VALUE"""),"Dragon's Breath")</f>
        <v>Dragon's Breath</v>
      </c>
      <c r="AK75" s="2" t="str">
        <f>IFERROR(__xludf.DUMMYFUNCTION("""COMPUTED_VALUE"""),"Bite")</f>
        <v>Bite</v>
      </c>
      <c r="AL75" s="2" t="str">
        <f>IFERROR(__xludf.DUMMYFUNCTION("""COMPUTED_VALUE"""),"Tail Smash")</f>
        <v>Tail Smash</v>
      </c>
      <c r="AM75" s="2" t="str">
        <f>IFERROR(__xludf.DUMMYFUNCTION("""COMPUTED_VALUE"""),"Claws")</f>
        <v>Claws</v>
      </c>
      <c r="AN75" s="2" t="str">
        <f>IFERROR(__xludf.DUMMYFUNCTION("""COMPUTED_VALUE"""),"Berserk")</f>
        <v>Berserk</v>
      </c>
      <c r="AO75" s="2" t="str">
        <f>IFERROR(__xludf.DUMMYFUNCTION("""COMPUTED_VALUE"""),"Multishot")</f>
        <v>Multishot</v>
      </c>
      <c r="AP75" s="2" t="str">
        <f>IFERROR(__xludf.DUMMYFUNCTION("""COMPUTED_VALUE"""),"Draconic Scream")</f>
        <v>Draconic Scream</v>
      </c>
      <c r="AQ75" s="2" t="str">
        <f>IFERROR(__xludf.DUMMYFUNCTION("""COMPUTED_VALUE"""),"Wrath Of The Fire Dragon")</f>
        <v>Wrath Of The Fire Dragon</v>
      </c>
      <c r="AR75" s="2" t="str">
        <f>IFERROR(__xludf.DUMMYFUNCTION("""COMPUTED_VALUE"""),"Wrath Of Heatmore")</f>
        <v>Wrath Of Heatmore</v>
      </c>
      <c r="AS75" s="2" t="str">
        <f>IFERROR(__xludf.DUMMYFUNCTION("""COMPUTED_VALUE"""),"Volcanic Rain")</f>
        <v>Volcanic Rain</v>
      </c>
      <c r="AT75" s="2" t="str">
        <f>IFERROR(__xludf.DUMMYFUNCTION("""COMPUTED_VALUE"""),"Celestial Wrath")</f>
        <v>Celestial Wrath</v>
      </c>
      <c r="AU75" s="2"/>
      <c r="AV75" s="2"/>
      <c r="AW75" s="2"/>
      <c r="AX75" s="2"/>
      <c r="AY75" s="2"/>
      <c r="AZ75" s="2"/>
      <c r="BA75" s="3"/>
      <c r="BB75" s="3"/>
      <c r="BC75" s="1"/>
      <c r="BD75" s="3">
        <f>IFERROR(__xludf.DUMMYFUNCTION("""COMPUTED_VALUE"""),0.0)</f>
        <v>0</v>
      </c>
      <c r="BE75" s="4">
        <f>IFERROR(__xludf.DUMMYFUNCTION("""COMPUTED_VALUE"""),10.0)</f>
        <v>10</v>
      </c>
      <c r="BF75" s="3" t="str">
        <f>IFERROR(__xludf.DUMMYFUNCTION("""COMPUTED_VALUE"""),"25% chance to be unaffected by any spells affecting this mob
Dragons Luck: +5 is added to the casters d20 rolls.")</f>
        <v>25% chance to be unaffected by any spells affecting this mob
Dragons Luck: +5 is added to the casters d20 rolls.</v>
      </c>
      <c r="BG75" s="3" t="str">
        <f>IFERROR(__xludf.DUMMYFUNCTION("""COMPUTED_VALUE"""),"All")</f>
        <v>All</v>
      </c>
      <c r="BH75" s="3" t="str">
        <f>IFERROR(__xludf.DUMMYFUNCTION("""COMPUTED_VALUE"""),"Land Of Spira")</f>
        <v>Land Of Spira</v>
      </c>
      <c r="BI75" s="3"/>
      <c r="BJ75" s="3"/>
      <c r="BK75" s="3"/>
      <c r="BL75" s="3" t="b">
        <f>IFERROR(__xludf.DUMMYFUNCTION("""COMPUTED_VALUE"""),FALSE)</f>
        <v>0</v>
      </c>
      <c r="BM75" s="3"/>
      <c r="BN75" s="3"/>
      <c r="BO75" s="3"/>
      <c r="BP75" s="3"/>
      <c r="BQ75" s="3"/>
      <c r="BR75" s="3"/>
      <c r="BS75" s="3"/>
      <c r="BT75" s="3"/>
      <c r="BU75" s="3"/>
      <c r="BV75" s="3"/>
      <c r="BW75" s="3"/>
    </row>
    <row r="76" ht="15.75" customHeight="1">
      <c r="A76" s="2" t="str">
        <f>IFERROR(__xludf.DUMMYFUNCTION("""COMPUTED_VALUE"""),"Donkey")</f>
        <v>Donkey</v>
      </c>
      <c r="B76" s="2">
        <f>IFERROR(__xludf.DUMMYFUNCTION("""COMPUTED_VALUE"""),1.0)</f>
        <v>1</v>
      </c>
      <c r="C76" s="2" t="str">
        <f>IFERROR(__xludf.DUMMYFUNCTION("""COMPUTED_VALUE"""),"A jackass")</f>
        <v>A jackass</v>
      </c>
      <c r="D76" s="2" t="str">
        <f>IFERROR(__xludf.DUMMYFUNCTION("""COMPUTED_VALUE"""),"Beast")</f>
        <v>Beast</v>
      </c>
      <c r="E76" s="2">
        <f>IFERROR(__xludf.DUMMYFUNCTION("""COMPUTED_VALUE"""),1010.0)</f>
        <v>1010</v>
      </c>
      <c r="F76" s="5">
        <f>IFERROR(__xludf.DUMMYFUNCTION("""COMPUTED_VALUE"""),1010.0)</f>
        <v>1010</v>
      </c>
      <c r="G76" s="2">
        <f>IFERROR(__xludf.DUMMYFUNCTION("""COMPUTED_VALUE"""),1010.0)</f>
        <v>1010</v>
      </c>
      <c r="H76" s="2">
        <f>IFERROR(__xludf.DUMMYFUNCTION("""COMPUTED_VALUE"""),10.0)</f>
        <v>10</v>
      </c>
      <c r="I76" s="2">
        <f>IFERROR(__xludf.DUMMYFUNCTION("""COMPUTED_VALUE"""),0.0)</f>
        <v>0</v>
      </c>
      <c r="J76" s="5">
        <f>IFERROR(__xludf.DUMMYFUNCTION("""COMPUTED_VALUE"""),0.0)</f>
        <v>0</v>
      </c>
      <c r="K76" s="5">
        <f>IFERROR(__xludf.DUMMYFUNCTION("""COMPUTED_VALUE"""),100.0)</f>
        <v>100</v>
      </c>
      <c r="L76" s="1">
        <f>IFERROR(__xludf.DUMMYFUNCTION("""COMPUTED_VALUE"""),100.0)</f>
        <v>100</v>
      </c>
      <c r="M76" s="1" t="str">
        <f>IFERROR(__xludf.DUMMYFUNCTION("""COMPUTED_VALUE"""),"")</f>
        <v/>
      </c>
      <c r="N76" s="2" t="str">
        <f>IFERROR(__xludf.DUMMYFUNCTION("""COMPUTED_VALUE"""),"")</f>
        <v/>
      </c>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3"/>
      <c r="BB76" s="3"/>
      <c r="BC76" s="1"/>
      <c r="BD76" s="3">
        <f>IFERROR(__xludf.DUMMYFUNCTION("""COMPUTED_VALUE"""),0.0)</f>
        <v>0</v>
      </c>
      <c r="BE76" s="4">
        <f>IFERROR(__xludf.DUMMYFUNCTION("""COMPUTED_VALUE"""),10.0)</f>
        <v>10</v>
      </c>
      <c r="BF76" s="3" t="str">
        <f>IFERROR(__xludf.DUMMYFUNCTION("""COMPUTED_VALUE"""),"Restful Steed: Halves Hunger, thirst, and energy loss during travel")</f>
        <v>Restful Steed: Halves Hunger, thirst, and energy loss during travel</v>
      </c>
      <c r="BG76" s="3" t="str">
        <f>IFERROR(__xludf.DUMMYFUNCTION("""COMPUTED_VALUE"""),"All")</f>
        <v>All</v>
      </c>
      <c r="BH76" s="3" t="str">
        <f>IFERROR(__xludf.DUMMYFUNCTION("""COMPUTED_VALUE"""),"Land of Spira")</f>
        <v>Land of Spira</v>
      </c>
      <c r="BI76" s="3"/>
      <c r="BJ76" s="3"/>
      <c r="BK76" s="3"/>
      <c r="BL76" s="3" t="b">
        <f>IFERROR(__xludf.DUMMYFUNCTION("""COMPUTED_VALUE"""),FALSE)</f>
        <v>0</v>
      </c>
      <c r="BM76" s="3"/>
      <c r="BN76" s="3"/>
      <c r="BO76" s="3"/>
      <c r="BP76" s="3"/>
      <c r="BQ76" s="3"/>
      <c r="BR76" s="3"/>
      <c r="BS76" s="3"/>
      <c r="BT76" s="3"/>
      <c r="BU76" s="3"/>
      <c r="BV76" s="3"/>
      <c r="BW76" s="3"/>
    </row>
    <row r="77" ht="15.75" customHeight="1">
      <c r="A77" s="2" t="str">
        <f>IFERROR(__xludf.DUMMYFUNCTION("""COMPUTED_VALUE"""),"The First Dragon Keeper")</f>
        <v>The First Dragon Keeper</v>
      </c>
      <c r="B77" s="2">
        <f>IFERROR(__xludf.DUMMYFUNCTION("""COMPUTED_VALUE"""),1.0)</f>
        <v>1</v>
      </c>
      <c r="C77" s="2"/>
      <c r="D77" s="5" t="str">
        <f>IFERROR(__xludf.DUMMYFUNCTION("""COMPUTED_VALUE"""),"Draconic")</f>
        <v>Draconic</v>
      </c>
      <c r="E77" s="5">
        <f>IFERROR(__xludf.DUMMYFUNCTION("""COMPUTED_VALUE"""),1010.0)</f>
        <v>1010</v>
      </c>
      <c r="F77" s="5">
        <f>IFERROR(__xludf.DUMMYFUNCTION("""COMPUTED_VALUE"""),1010.0)</f>
        <v>1010</v>
      </c>
      <c r="G77" s="5">
        <f>IFERROR(__xludf.DUMMYFUNCTION("""COMPUTED_VALUE"""),1010.0)</f>
        <v>1010</v>
      </c>
      <c r="H77" s="2">
        <f>IFERROR(__xludf.DUMMYFUNCTION("""COMPUTED_VALUE"""),10.0)</f>
        <v>10</v>
      </c>
      <c r="I77" s="2">
        <f>IFERROR(__xludf.DUMMYFUNCTION("""COMPUTED_VALUE"""),0.0)</f>
        <v>0</v>
      </c>
      <c r="J77" s="5">
        <f>IFERROR(__xludf.DUMMYFUNCTION("""COMPUTED_VALUE"""),0.0)</f>
        <v>0</v>
      </c>
      <c r="K77" s="5">
        <f>IFERROR(__xludf.DUMMYFUNCTION("""COMPUTED_VALUE"""),100.0)</f>
        <v>100</v>
      </c>
      <c r="L77" s="1">
        <f>IFERROR(__xludf.DUMMYFUNCTION("""COMPUTED_VALUE"""),100.0)</f>
        <v>100</v>
      </c>
      <c r="M77" s="1" t="str">
        <f>IFERROR(__xludf.DUMMYFUNCTION("""COMPUTED_VALUE"""),"Instant Death:Immune, Banishment:Immune, ")</f>
        <v>Instant Death:Immune, Banishment:Immune, </v>
      </c>
      <c r="N77" s="2" t="str">
        <f>IFERROR(__xludf.DUMMYFUNCTION("""COMPUTED_VALUE"""),"")</f>
        <v/>
      </c>
      <c r="O77" s="2"/>
      <c r="P77" s="2"/>
      <c r="Q77" s="2"/>
      <c r="R77" s="2"/>
      <c r="S77" s="2"/>
      <c r="T77" s="2"/>
      <c r="U77" s="2"/>
      <c r="V77" s="2"/>
      <c r="W77" s="2" t="str">
        <f>IFERROR(__xludf.DUMMYFUNCTION("""COMPUTED_VALUE"""),"Dragon Flute")</f>
        <v>Dragon Flute</v>
      </c>
      <c r="X77" s="2"/>
      <c r="Y77" s="2"/>
      <c r="Z77" s="2"/>
      <c r="AA77" s="2"/>
      <c r="AB77" s="2"/>
      <c r="AC77" s="2"/>
      <c r="AD77" s="2"/>
      <c r="AE77" s="2"/>
      <c r="AF77" s="2"/>
      <c r="AG77" s="2"/>
      <c r="AH77" s="2"/>
      <c r="AI77" s="2"/>
      <c r="AJ77" s="2" t="str">
        <f>IFERROR(__xludf.DUMMYFUNCTION("""COMPUTED_VALUE"""),"Chaincast")</f>
        <v>Chaincast</v>
      </c>
      <c r="AK77" s="2" t="str">
        <f>IFERROR(__xludf.DUMMYFUNCTION("""COMPUTED_VALUE"""),"Chaos Ward")</f>
        <v>Chaos Ward</v>
      </c>
      <c r="AL77" s="2" t="str">
        <f>IFERROR(__xludf.DUMMYFUNCTION("""COMPUTED_VALUE"""),"Conceal")</f>
        <v>Conceal</v>
      </c>
      <c r="AM77" s="2" t="str">
        <f>IFERROR(__xludf.DUMMYFUNCTION("""COMPUTED_VALUE"""),"Last Gamble")</f>
        <v>Last Gamble</v>
      </c>
      <c r="AN77" s="2" t="str">
        <f>IFERROR(__xludf.DUMMYFUNCTION("""COMPUTED_VALUE"""),"Cancel")</f>
        <v>Cancel</v>
      </c>
      <c r="AO77" s="2" t="str">
        <f>IFERROR(__xludf.DUMMYFUNCTION("""COMPUTED_VALUE"""),"Dimension Portal")</f>
        <v>Dimension Portal</v>
      </c>
      <c r="AP77" s="2" t="str">
        <f>IFERROR(__xludf.DUMMYFUNCTION("""COMPUTED_VALUE"""),"Multi Banishment")</f>
        <v>Multi Banishment</v>
      </c>
      <c r="AQ77" s="2" t="str">
        <f>IFERROR(__xludf.DUMMYFUNCTION("""COMPUTED_VALUE"""),"Celestial Summon")</f>
        <v>Celestial Summon</v>
      </c>
      <c r="AR77" s="2" t="str">
        <f>IFERROR(__xludf.DUMMYFUNCTION("""COMPUTED_VALUE"""),"Devolve")</f>
        <v>Devolve</v>
      </c>
      <c r="AS77" s="2"/>
      <c r="AT77" s="2"/>
      <c r="AU77" s="2"/>
      <c r="AV77" s="2"/>
      <c r="AW77" s="2"/>
      <c r="AX77" s="2"/>
      <c r="AY77" s="2"/>
      <c r="AZ77" s="2"/>
      <c r="BA77" s="3"/>
      <c r="BB77" s="3"/>
      <c r="BC77" s="1"/>
      <c r="BD77" s="3">
        <f>IFERROR(__xludf.DUMMYFUNCTION("""COMPUTED_VALUE"""),0.0)</f>
        <v>0</v>
      </c>
      <c r="BE77" s="4">
        <f>IFERROR(__xludf.DUMMYFUNCTION("""COMPUTED_VALUE"""),10.0)</f>
        <v>10</v>
      </c>
      <c r="BF77" s="3" t="str">
        <f>IFERROR(__xludf.DUMMYFUNCTION("""COMPUTED_VALUE"""),"Draconic Bond - As long as any Draconic Allies are alive, Has a 75% chance to resist all damage taken
Draconic Summoner - Can summon a number of times up to the amount of members in the party, if the previously summoned creatures are killed, can summon a"&amp;"gain up to the number of party members.
Draconic Luck MAX - +20 Can be added to all d20 rolls
Draconic Life - Upon Dying revives with 4 Divine Celestial Dragons (twice per battle)
Fickle Immunity - This mob has immunity to all damage except for 1, this"&amp;" damage is determined by a roll of a d17 with the following numbers corresponding to these elements, the chosen element changes at the start of this creature's turn.
1- Natural
2- Storm
3- Fire
4- Water
5- Nature
6- Earth
7- Light
8- Dark
9- Order
10- Cha"&amp;"os
11- Voodoo
12- Blood
13- Spirit
14- Delta
15- Astral
16- Celestial
17- Acoustic")</f>
        <v>Draconic Bond - As long as any Draconic Allies are alive, Has a 75% chance to resist all damage taken
Draconic Summoner - Can summon a number of times up to the amount of members in the party, if the previously summoned creatures are killed, can summon again up to the number of party members.
Draconic Luck MAX - +20 Can be added to all d20 rolls
Draconic Life - Upon Dying revives with 4 Divine Celestial Dragons (twice per battle)
Fickle Immunity - This mob has immunity to all damage except for 1, this damage is determined by a roll of a d17 with the following numbers corresponding to these elements, the chosen element changes at the start of this creature's turn.
1- Natural
2- Storm
3- Fire
4- Water
5- Nature
6- Earth
7- Light
8- Dark
9- Order
10- Chaos
11- Voodoo
12- Blood
13- Spirit
14- Delta
15- Astral
16- Celestial
17- Acoustic</v>
      </c>
      <c r="BG77" s="3" t="str">
        <f>IFERROR(__xludf.DUMMYFUNCTION("""COMPUTED_VALUE"""),"Dungeon")</f>
        <v>Dungeon</v>
      </c>
      <c r="BH77" s="3" t="str">
        <f>IFERROR(__xludf.DUMMYFUNCTION("""COMPUTED_VALUE"""),"Dragonscale Island")</f>
        <v>Dragonscale Island</v>
      </c>
      <c r="BI77" s="3"/>
      <c r="BJ77" s="3"/>
      <c r="BK77" s="3"/>
      <c r="BL77" s="3" t="b">
        <f>IFERROR(__xludf.DUMMYFUNCTION("""COMPUTED_VALUE"""),FALSE)</f>
        <v>0</v>
      </c>
      <c r="BM77" s="3"/>
      <c r="BN77" s="3"/>
      <c r="BO77" s="3"/>
      <c r="BP77" s="3"/>
      <c r="BQ77" s="3"/>
      <c r="BR77" s="3"/>
      <c r="BS77" s="3"/>
      <c r="BT77" s="3"/>
      <c r="BU77" s="3"/>
      <c r="BV77" s="3"/>
      <c r="BW77" s="3"/>
    </row>
    <row r="78" ht="15.75" customHeight="1">
      <c r="A78" s="2" t="str">
        <f>IFERROR(__xludf.DUMMYFUNCTION("""COMPUTED_VALUE"""),"Dreading Fire Lich")</f>
        <v>Dreading Fire Lich</v>
      </c>
      <c r="B78" s="2">
        <f>IFERROR(__xludf.DUMMYFUNCTION("""COMPUTED_VALUE"""),1.0)</f>
        <v>1</v>
      </c>
      <c r="C78" s="2"/>
      <c r="D78" s="5" t="str">
        <f>IFERROR(__xludf.DUMMYFUNCTION("""COMPUTED_VALUE"""),"Undead")</f>
        <v>Undead</v>
      </c>
      <c r="E78" s="5">
        <f>IFERROR(__xludf.DUMMYFUNCTION("""COMPUTED_VALUE"""),1010.0)</f>
        <v>1010</v>
      </c>
      <c r="F78" s="5">
        <f>IFERROR(__xludf.DUMMYFUNCTION("""COMPUTED_VALUE"""),1010.0)</f>
        <v>1010</v>
      </c>
      <c r="G78" s="5">
        <f>IFERROR(__xludf.DUMMYFUNCTION("""COMPUTED_VALUE"""),1010.0)</f>
        <v>1010</v>
      </c>
      <c r="H78" s="2">
        <f>IFERROR(__xludf.DUMMYFUNCTION("""COMPUTED_VALUE"""),10.0)</f>
        <v>10</v>
      </c>
      <c r="I78" s="2">
        <f>IFERROR(__xludf.DUMMYFUNCTION("""COMPUTED_VALUE"""),0.0)</f>
        <v>0</v>
      </c>
      <c r="J78" s="5">
        <f>IFERROR(__xludf.DUMMYFUNCTION("""COMPUTED_VALUE"""),0.0)</f>
        <v>0</v>
      </c>
      <c r="K78" s="5">
        <f>IFERROR(__xludf.DUMMYFUNCTION("""COMPUTED_VALUE"""),100.0)</f>
        <v>100</v>
      </c>
      <c r="L78" s="1">
        <f>IFERROR(__xludf.DUMMYFUNCTION("""COMPUTED_VALUE"""),100.0)</f>
        <v>100</v>
      </c>
      <c r="M78" s="1" t="str">
        <f>IFERROR(__xludf.DUMMYFUNCTION("""COMPUTED_VALUE"""),"Fire:100, Dark:Immune, Chaos:Immune, Nature:Immune, ")</f>
        <v>Fire:100, Dark:Immune, Chaos:Immune, Nature:Immune, </v>
      </c>
      <c r="N78" s="2" t="str">
        <f>IFERROR(__xludf.DUMMYFUNCTION("""COMPUTED_VALUE"""),"Water:100, ")</f>
        <v>Water:100, </v>
      </c>
      <c r="O78" s="2"/>
      <c r="P78" s="2"/>
      <c r="Q78" s="2"/>
      <c r="R78" s="2"/>
      <c r="S78" s="2"/>
      <c r="T78" s="2"/>
      <c r="U78" s="2"/>
      <c r="V78" s="2"/>
      <c r="W78" s="2" t="str">
        <f>IFERROR(__xludf.DUMMYFUNCTION("""COMPUTED_VALUE"""),"Dreading Wand Of Fire")</f>
        <v>Dreading Wand Of Fire</v>
      </c>
      <c r="X78" s="2"/>
      <c r="Y78" s="2"/>
      <c r="Z78" s="2"/>
      <c r="AA78" s="2"/>
      <c r="AB78" s="2"/>
      <c r="AC78" s="2"/>
      <c r="AD78" s="2"/>
      <c r="AE78" s="2"/>
      <c r="AF78" s="2"/>
      <c r="AG78" s="2"/>
      <c r="AH78" s="2"/>
      <c r="AI78" s="2"/>
      <c r="AJ78" s="2" t="str">
        <f>IFERROR(__xludf.DUMMYFUNCTION("""COMPUTED_VALUE"""),"Meteor Shower")</f>
        <v>Meteor Shower</v>
      </c>
      <c r="AK78" s="2" t="str">
        <f>IFERROR(__xludf.DUMMYFUNCTION("""COMPUTED_VALUE"""),"Forgotten Fire")</f>
        <v>Forgotten Fire</v>
      </c>
      <c r="AL78" s="2" t="str">
        <f>IFERROR(__xludf.DUMMYFUNCTION("""COMPUTED_VALUE"""),"Disruption")</f>
        <v>Disruption</v>
      </c>
      <c r="AM78" s="2" t="str">
        <f>IFERROR(__xludf.DUMMYFUNCTION("""COMPUTED_VALUE"""),"Chaos Ward")</f>
        <v>Chaos Ward</v>
      </c>
      <c r="AN78" s="2" t="str">
        <f>IFERROR(__xludf.DUMMYFUNCTION("""COMPUTED_VALUE"""),"Multishot")</f>
        <v>Multishot</v>
      </c>
      <c r="AO78" s="2" t="str">
        <f>IFERROR(__xludf.DUMMYFUNCTION("""COMPUTED_VALUE"""),"Lock On")</f>
        <v>Lock On</v>
      </c>
      <c r="AP78" s="2" t="str">
        <f>IFERROR(__xludf.DUMMYFUNCTION("""COMPUTED_VALUE"""),"Enthrall")</f>
        <v>Enthrall</v>
      </c>
      <c r="AQ78" s="2" t="str">
        <f>IFERROR(__xludf.DUMMYFUNCTION("""COMPUTED_VALUE"""),"A Deal With The Spirit World")</f>
        <v>A Deal With The Spirit World</v>
      </c>
      <c r="AR78" s="2" t="str">
        <f>IFERROR(__xludf.DUMMYFUNCTION("""COMPUTED_VALUE"""),"Celestial Wrath")</f>
        <v>Celestial Wrath</v>
      </c>
      <c r="AS78" s="2" t="str">
        <f>IFERROR(__xludf.DUMMYFUNCTION("""COMPUTED_VALUE"""),"Celestial shield")</f>
        <v>Celestial shield</v>
      </c>
      <c r="AT78" s="2"/>
      <c r="AU78" s="2"/>
      <c r="AV78" s="2"/>
      <c r="AW78" s="2"/>
      <c r="AX78" s="2"/>
      <c r="AY78" s="2"/>
      <c r="AZ78" s="2"/>
      <c r="BA78" s="3"/>
      <c r="BB78" s="3"/>
      <c r="BC78" s="1"/>
      <c r="BD78" s="3">
        <f>IFERROR(__xludf.DUMMYFUNCTION("""COMPUTED_VALUE"""),0.0)</f>
        <v>0</v>
      </c>
      <c r="BE78" s="4">
        <f>IFERROR(__xludf.DUMMYFUNCTION("""COMPUTED_VALUE"""),10.0)</f>
        <v>10</v>
      </c>
      <c r="BF78" s="3"/>
      <c r="BG78" s="3" t="str">
        <f>IFERROR(__xludf.DUMMYFUNCTION("""COMPUTED_VALUE"""),"All")</f>
        <v>All</v>
      </c>
      <c r="BH78" s="3" t="str">
        <f>IFERROR(__xludf.DUMMYFUNCTION("""COMPUTED_VALUE"""),"Land Of Spira")</f>
        <v>Land Of Spira</v>
      </c>
      <c r="BI78" s="3"/>
      <c r="BJ78" s="3"/>
      <c r="BK78" s="3"/>
      <c r="BL78" s="3" t="b">
        <f>IFERROR(__xludf.DUMMYFUNCTION("""COMPUTED_VALUE"""),FALSE)</f>
        <v>0</v>
      </c>
      <c r="BM78" s="3"/>
      <c r="BN78" s="3"/>
      <c r="BO78" s="3"/>
      <c r="BP78" s="3"/>
      <c r="BQ78" s="3"/>
      <c r="BR78" s="3"/>
      <c r="BS78" s="3"/>
      <c r="BT78" s="3"/>
      <c r="BU78" s="3"/>
      <c r="BV78" s="3"/>
      <c r="BW78" s="3"/>
    </row>
    <row r="79" ht="15.75" customHeight="1">
      <c r="A79" s="2" t="str">
        <f>IFERROR(__xludf.DUMMYFUNCTION("""COMPUTED_VALUE"""),"Dweller Of The Abyss ")</f>
        <v>Dweller Of The Abyss </v>
      </c>
      <c r="B79" s="2">
        <f>IFERROR(__xludf.DUMMYFUNCTION("""COMPUTED_VALUE"""),1.0)</f>
        <v>1</v>
      </c>
      <c r="C79" s="2"/>
      <c r="D79" s="5" t="str">
        <f>IFERROR(__xludf.DUMMYFUNCTION("""COMPUTED_VALUE"""),"Monstrosity")</f>
        <v>Monstrosity</v>
      </c>
      <c r="E79" s="5">
        <f>IFERROR(__xludf.DUMMYFUNCTION("""COMPUTED_VALUE"""),1010.0)</f>
        <v>1010</v>
      </c>
      <c r="F79" s="5">
        <f>IFERROR(__xludf.DUMMYFUNCTION("""COMPUTED_VALUE"""),1010.0)</f>
        <v>1010</v>
      </c>
      <c r="G79" s="5">
        <f>IFERROR(__xludf.DUMMYFUNCTION("""COMPUTED_VALUE"""),1010.0)</f>
        <v>1010</v>
      </c>
      <c r="H79" s="2">
        <f>IFERROR(__xludf.DUMMYFUNCTION("""COMPUTED_VALUE"""),20.0)</f>
        <v>20</v>
      </c>
      <c r="I79" s="2">
        <f>IFERROR(__xludf.DUMMYFUNCTION("""COMPUTED_VALUE"""),0.0)</f>
        <v>0</v>
      </c>
      <c r="J79" s="5">
        <f>IFERROR(__xludf.DUMMYFUNCTION("""COMPUTED_VALUE"""),0.0)</f>
        <v>0</v>
      </c>
      <c r="K79" s="5">
        <f>IFERROR(__xludf.DUMMYFUNCTION("""COMPUTED_VALUE"""),100.0)</f>
        <v>100</v>
      </c>
      <c r="L79" s="1">
        <f>IFERROR(__xludf.DUMMYFUNCTION("""COMPUTED_VALUE"""),100.0)</f>
        <v>100</v>
      </c>
      <c r="M79" s="1" t="str">
        <f>IFERROR(__xludf.DUMMYFUNCTION("""COMPUTED_VALUE"""),"Fire:Immune, Water:Immune, Dark:Immune, Chaos:Immune, Voodoo:Immune, Instant Death:Immune, Banishment:Immune, ")</f>
        <v>Fire:Immune, Water:Immune, Dark:Immune, Chaos:Immune, Voodoo:Immune, Instant Death:Immune, Banishment:Immune, </v>
      </c>
      <c r="N79" s="2" t="str">
        <f>IFERROR(__xludf.DUMMYFUNCTION("""COMPUTED_VALUE"""),"Light:100, Nature:100, Celestial:100, ")</f>
        <v>Light:100, Nature:100, Celestial:100, </v>
      </c>
      <c r="O79" s="2"/>
      <c r="P79" s="2"/>
      <c r="Q79" s="2"/>
      <c r="R79" s="2"/>
      <c r="S79" s="2"/>
      <c r="T79" s="2"/>
      <c r="U79" s="2"/>
      <c r="V79" s="2"/>
      <c r="W79" s="2"/>
      <c r="X79" s="2"/>
      <c r="Y79" s="2"/>
      <c r="Z79" s="2"/>
      <c r="AA79" s="2"/>
      <c r="AB79" s="2"/>
      <c r="AC79" s="2"/>
      <c r="AD79" s="2"/>
      <c r="AE79" s="2"/>
      <c r="AF79" s="2"/>
      <c r="AG79" s="2"/>
      <c r="AH79" s="2"/>
      <c r="AI79" s="2"/>
      <c r="AJ79" s="2" t="str">
        <f>IFERROR(__xludf.DUMMYFUNCTION("""COMPUTED_VALUE"""),"Elemental Storm")</f>
        <v>Elemental Storm</v>
      </c>
      <c r="AK79" s="2" t="str">
        <f>IFERROR(__xludf.DUMMYFUNCTION("""COMPUTED_VALUE"""),"Tsunami")</f>
        <v>Tsunami</v>
      </c>
      <c r="AL79" s="2" t="str">
        <f>IFERROR(__xludf.DUMMYFUNCTION("""COMPUTED_VALUE"""),"Freezing Fog")</f>
        <v>Freezing Fog</v>
      </c>
      <c r="AM79" s="2" t="str">
        <f>IFERROR(__xludf.DUMMYFUNCTION("""COMPUTED_VALUE"""),"Multishot")</f>
        <v>Multishot</v>
      </c>
      <c r="AN79" s="2" t="str">
        <f>IFERROR(__xludf.DUMMYFUNCTION("""COMPUTED_VALUE"""),"Darkest Abyss")</f>
        <v>Darkest Abyss</v>
      </c>
      <c r="AO79" s="2" t="str">
        <f>IFERROR(__xludf.DUMMYFUNCTION("""COMPUTED_VALUE"""),"Vaporize")</f>
        <v>Vaporize</v>
      </c>
      <c r="AP79" s="2" t="str">
        <f>IFERROR(__xludf.DUMMYFUNCTION("""COMPUTED_VALUE"""),"Mass Destruction")</f>
        <v>Mass Destruction</v>
      </c>
      <c r="AQ79" s="2" t="str">
        <f>IFERROR(__xludf.DUMMYFUNCTION("""COMPUTED_VALUE"""),"Last Gamble")</f>
        <v>Last Gamble</v>
      </c>
      <c r="AR79" s="2" t="str">
        <f>IFERROR(__xludf.DUMMYFUNCTION("""COMPUTED_VALUE"""),"Damage With A Cost.")</f>
        <v>Damage With A Cost.</v>
      </c>
      <c r="AS79" s="2" t="str">
        <f>IFERROR(__xludf.DUMMYFUNCTION("""COMPUTED_VALUE"""),"The All Knowing Eye")</f>
        <v>The All Knowing Eye</v>
      </c>
      <c r="AT79" s="2" t="str">
        <f>IFERROR(__xludf.DUMMYFUNCTION("""COMPUTED_VALUE"""),"Voodoo Meteor Shower")</f>
        <v>Voodoo Meteor Shower</v>
      </c>
      <c r="AU79" s="2" t="str">
        <f>IFERROR(__xludf.DUMMYFUNCTION("""COMPUTED_VALUE"""),"Berserk")</f>
        <v>Berserk</v>
      </c>
      <c r="AV79" s="2" t="str">
        <f>IFERROR(__xludf.DUMMYFUNCTION("""COMPUTED_VALUE"""),"Call Of The Abyss")</f>
        <v>Call Of The Abyss</v>
      </c>
      <c r="AW79" s="2"/>
      <c r="AX79" s="2"/>
      <c r="AY79" s="2"/>
      <c r="AZ79" s="2"/>
      <c r="BA79" s="3"/>
      <c r="BB79" s="3"/>
      <c r="BC79" s="1"/>
      <c r="BD79" s="3">
        <f>IFERROR(__xludf.DUMMYFUNCTION("""COMPUTED_VALUE"""),0.0)</f>
        <v>0</v>
      </c>
      <c r="BE79" s="4">
        <f>IFERROR(__xludf.DUMMYFUNCTION("""COMPUTED_VALUE"""),20.0)</f>
        <v>20</v>
      </c>
      <c r="BF79" s="3" t="str">
        <f>IFERROR(__xludf.DUMMYFUNCTION("""COMPUTED_VALUE"""),"Revival of The Abyss: When this creature dies it will come back to life once with a 80% chance to summon 2 sea worms (enhanced).
Eye of The Abyss: If this mob fails on a fail/succeed roll the mob can roll again, if an enemy succeeds on a fail/succeed rol"&amp;"l they must roll again.
75% chance to be unaffected by any spells affecting this mob
Luck of the Sea II: +10 can be added to the creatures d20 roll.")</f>
        <v>Revival of The Abyss: When this creature dies it will come back to life once with a 80% chance to summon 2 sea worms (enhanced).
Eye of The Abyss: If this mob fails on a fail/succeed roll the mob can roll again, if an enemy succeeds on a fail/succeed roll they must roll again.
75% chance to be unaffected by any spells affecting this mob
Luck of the Sea II: +10 can be added to the creatures d20 roll.</v>
      </c>
      <c r="BG79" s="3" t="str">
        <f>IFERROR(__xludf.DUMMYFUNCTION("""COMPUTED_VALUE"""),"Ocean")</f>
        <v>Ocean</v>
      </c>
      <c r="BH79" s="3" t="str">
        <f>IFERROR(__xludf.DUMMYFUNCTION("""COMPUTED_VALUE"""),"Land Of Spira")</f>
        <v>Land Of Spira</v>
      </c>
      <c r="BI79" s="3"/>
      <c r="BJ79" s="3"/>
      <c r="BK79" s="3"/>
      <c r="BL79" s="3" t="b">
        <f>IFERROR(__xludf.DUMMYFUNCTION("""COMPUTED_VALUE"""),FALSE)</f>
        <v>0</v>
      </c>
      <c r="BM79" s="3"/>
      <c r="BN79" s="3"/>
      <c r="BO79" s="3"/>
      <c r="BP79" s="3"/>
      <c r="BQ79" s="3"/>
      <c r="BR79" s="3"/>
      <c r="BS79" s="3"/>
      <c r="BT79" s="3"/>
      <c r="BU79" s="3"/>
      <c r="BV79" s="3"/>
      <c r="BW79" s="3"/>
    </row>
    <row r="80" ht="15.75" customHeight="1">
      <c r="A80" s="2" t="str">
        <f>IFERROR(__xludf.DUMMYFUNCTION("""COMPUTED_VALUE"""),"Eagle")</f>
        <v>Eagle</v>
      </c>
      <c r="B80" s="2">
        <f>IFERROR(__xludf.DUMMYFUNCTION("""COMPUTED_VALUE"""),1.0)</f>
        <v>1</v>
      </c>
      <c r="C80" s="1"/>
      <c r="D80" s="5" t="str">
        <f>IFERROR(__xludf.DUMMYFUNCTION("""COMPUTED_VALUE"""),"Beast")</f>
        <v>Beast</v>
      </c>
      <c r="E80" s="5">
        <f>IFERROR(__xludf.DUMMYFUNCTION("""COMPUTED_VALUE"""),6010.0)</f>
        <v>6010</v>
      </c>
      <c r="F80" s="5">
        <f>IFERROR(__xludf.DUMMYFUNCTION("""COMPUTED_VALUE"""),1010.0)</f>
        <v>1010</v>
      </c>
      <c r="G80" s="5">
        <f>IFERROR(__xludf.DUMMYFUNCTION("""COMPUTED_VALUE"""),1010.0)</f>
        <v>1010</v>
      </c>
      <c r="H80" s="2">
        <f>IFERROR(__xludf.DUMMYFUNCTION("""COMPUTED_VALUE"""),10.0)</f>
        <v>10</v>
      </c>
      <c r="I80" s="2">
        <f>IFERROR(__xludf.DUMMYFUNCTION("""COMPUTED_VALUE"""),0.0)</f>
        <v>0</v>
      </c>
      <c r="J80" s="5">
        <f>IFERROR(__xludf.DUMMYFUNCTION("""COMPUTED_VALUE"""),0.0)</f>
        <v>0</v>
      </c>
      <c r="K80" s="5">
        <f>IFERROR(__xludf.DUMMYFUNCTION("""COMPUTED_VALUE"""),100.0)</f>
        <v>100</v>
      </c>
      <c r="L80" s="1">
        <f>IFERROR(__xludf.DUMMYFUNCTION("""COMPUTED_VALUE"""),100.0)</f>
        <v>100</v>
      </c>
      <c r="M80" s="1" t="str">
        <f>IFERROR(__xludf.DUMMYFUNCTION("""COMPUTED_VALUE"""),"")</f>
        <v/>
      </c>
      <c r="N80" s="2" t="str">
        <f>IFERROR(__xludf.DUMMYFUNCTION("""COMPUTED_VALUE"""),"")</f>
        <v/>
      </c>
      <c r="O80" s="2"/>
      <c r="P80" s="2"/>
      <c r="Q80" s="2"/>
      <c r="R80" s="2"/>
      <c r="S80" s="2"/>
      <c r="T80" s="2"/>
      <c r="U80" s="2"/>
      <c r="V80" s="2"/>
      <c r="W80" s="2"/>
      <c r="X80" s="2"/>
      <c r="Y80" s="2"/>
      <c r="Z80" s="2"/>
      <c r="AA80" s="2"/>
      <c r="AB80" s="2"/>
      <c r="AC80" s="2"/>
      <c r="AD80" s="2"/>
      <c r="AE80" s="2"/>
      <c r="AF80" s="2"/>
      <c r="AG80" s="2"/>
      <c r="AH80" s="2"/>
      <c r="AI80" s="2"/>
      <c r="AJ80" s="2" t="str">
        <f>IFERROR(__xludf.DUMMYFUNCTION("""COMPUTED_VALUE"""),"Skydive")</f>
        <v>Skydive</v>
      </c>
      <c r="AK80" s="2" t="str">
        <f>IFERROR(__xludf.DUMMYFUNCTION("""COMPUTED_VALUE"""),"Claws")</f>
        <v>Claws</v>
      </c>
      <c r="AL80" s="2" t="str">
        <f>IFERROR(__xludf.DUMMYFUNCTION("""COMPUTED_VALUE"""),"Gust of Wind")</f>
        <v>Gust of Wind</v>
      </c>
      <c r="AM80" s="2" t="str">
        <f>IFERROR(__xludf.DUMMYFUNCTION("""COMPUTED_VALUE"""),"Dive Bomb")</f>
        <v>Dive Bomb</v>
      </c>
      <c r="AN80" s="2" t="str">
        <f>IFERROR(__xludf.DUMMYFUNCTION("""COMPUTED_VALUE"""),"Reckless Chomp ")</f>
        <v>Reckless Chomp </v>
      </c>
      <c r="AO80" s="2"/>
      <c r="AP80" s="2"/>
      <c r="AQ80" s="2"/>
      <c r="AR80" s="2"/>
      <c r="AS80" s="2"/>
      <c r="AT80" s="2"/>
      <c r="AU80" s="2"/>
      <c r="AV80" s="2"/>
      <c r="AW80" s="2"/>
      <c r="AX80" s="2"/>
      <c r="AY80" s="2"/>
      <c r="AZ80" s="2"/>
      <c r="BA80" s="3"/>
      <c r="BB80" s="3"/>
      <c r="BC80" s="1"/>
      <c r="BD80" s="3">
        <f>IFERROR(__xludf.DUMMYFUNCTION("""COMPUTED_VALUE"""),0.0)</f>
        <v>0</v>
      </c>
      <c r="BE80" s="4">
        <f>IFERROR(__xludf.DUMMYFUNCTION("""COMPUTED_VALUE"""),10.0)</f>
        <v>10</v>
      </c>
      <c r="BF80" s="3"/>
      <c r="BG80" s="3" t="str">
        <f>IFERROR(__xludf.DUMMYFUNCTION("""COMPUTED_VALUE"""),"All")</f>
        <v>All</v>
      </c>
      <c r="BH80" s="3" t="str">
        <f>IFERROR(__xludf.DUMMYFUNCTION("""COMPUTED_VALUE"""),"Land of Spira")</f>
        <v>Land of Spira</v>
      </c>
      <c r="BI80" s="3"/>
      <c r="BJ80" s="3"/>
      <c r="BK80" s="3"/>
      <c r="BL80" s="3" t="b">
        <f>IFERROR(__xludf.DUMMYFUNCTION("""COMPUTED_VALUE"""),FALSE)</f>
        <v>0</v>
      </c>
      <c r="BM80" s="3"/>
      <c r="BN80" s="3"/>
      <c r="BO80" s="3"/>
      <c r="BP80" s="3"/>
      <c r="BQ80" s="3"/>
      <c r="BR80" s="3"/>
      <c r="BS80" s="3"/>
      <c r="BT80" s="3"/>
      <c r="BU80" s="3"/>
      <c r="BV80" s="3"/>
      <c r="BW80" s="3"/>
    </row>
    <row r="81" ht="15.75" customHeight="1">
      <c r="A81" s="2" t="str">
        <f>IFERROR(__xludf.DUMMYFUNCTION("""COMPUTED_VALUE"""),"Eagle (Enhanced)")</f>
        <v>Eagle (Enhanced)</v>
      </c>
      <c r="B81" s="2">
        <f>IFERROR(__xludf.DUMMYFUNCTION("""COMPUTED_VALUE"""),1.0)</f>
        <v>1</v>
      </c>
      <c r="C81" s="1"/>
      <c r="D81" s="5" t="str">
        <f>IFERROR(__xludf.DUMMYFUNCTION("""COMPUTED_VALUE"""),"Beast")</f>
        <v>Beast</v>
      </c>
      <c r="E81" s="5">
        <f>IFERROR(__xludf.DUMMYFUNCTION("""COMPUTED_VALUE"""),11010.0)</f>
        <v>11010</v>
      </c>
      <c r="F81" s="5">
        <f>IFERROR(__xludf.DUMMYFUNCTION("""COMPUTED_VALUE"""),1010.0)</f>
        <v>1010</v>
      </c>
      <c r="G81" s="5">
        <f>IFERROR(__xludf.DUMMYFUNCTION("""COMPUTED_VALUE"""),1010.0)</f>
        <v>1010</v>
      </c>
      <c r="H81" s="2">
        <f>IFERROR(__xludf.DUMMYFUNCTION("""COMPUTED_VALUE"""),10.0)</f>
        <v>10</v>
      </c>
      <c r="I81" s="2">
        <f>IFERROR(__xludf.DUMMYFUNCTION("""COMPUTED_VALUE"""),0.0)</f>
        <v>0</v>
      </c>
      <c r="J81" s="5">
        <f>IFERROR(__xludf.DUMMYFUNCTION("""COMPUTED_VALUE"""),0.0)</f>
        <v>0</v>
      </c>
      <c r="K81" s="5">
        <f>IFERROR(__xludf.DUMMYFUNCTION("""COMPUTED_VALUE"""),100.0)</f>
        <v>100</v>
      </c>
      <c r="L81" s="1">
        <f>IFERROR(__xludf.DUMMYFUNCTION("""COMPUTED_VALUE"""),100.0)</f>
        <v>100</v>
      </c>
      <c r="M81" s="1" t="str">
        <f>IFERROR(__xludf.DUMMYFUNCTION("""COMPUTED_VALUE"""),"")</f>
        <v/>
      </c>
      <c r="N81" s="2" t="str">
        <f>IFERROR(__xludf.DUMMYFUNCTION("""COMPUTED_VALUE"""),"")</f>
        <v/>
      </c>
      <c r="O81" s="2"/>
      <c r="P81" s="2"/>
      <c r="Q81" s="2"/>
      <c r="R81" s="2"/>
      <c r="S81" s="2"/>
      <c r="T81" s="2"/>
      <c r="U81" s="2"/>
      <c r="V81" s="2"/>
      <c r="W81" s="2"/>
      <c r="X81" s="2"/>
      <c r="Y81" s="2"/>
      <c r="Z81" s="2"/>
      <c r="AA81" s="2"/>
      <c r="AB81" s="2"/>
      <c r="AC81" s="2"/>
      <c r="AD81" s="2"/>
      <c r="AE81" s="2"/>
      <c r="AF81" s="2"/>
      <c r="AG81" s="2"/>
      <c r="AH81" s="2"/>
      <c r="AI81" s="2"/>
      <c r="AJ81" s="2" t="str">
        <f>IFERROR(__xludf.DUMMYFUNCTION("""COMPUTED_VALUE"""),"Claws")</f>
        <v>Claws</v>
      </c>
      <c r="AK81" s="2" t="str">
        <f>IFERROR(__xludf.DUMMYFUNCTION("""COMPUTED_VALUE"""),"Rapid Swoop")</f>
        <v>Rapid Swoop</v>
      </c>
      <c r="AL81" s="2" t="str">
        <f>IFERROR(__xludf.DUMMYFUNCTION("""COMPUTED_VALUE"""),"Multishot")</f>
        <v>Multishot</v>
      </c>
      <c r="AM81" s="2" t="str">
        <f>IFERROR(__xludf.DUMMYFUNCTION("""COMPUTED_VALUE"""),"Lock On")</f>
        <v>Lock On</v>
      </c>
      <c r="AN81" s="2" t="str">
        <f>IFERROR(__xludf.DUMMYFUNCTION("""COMPUTED_VALUE"""),"Dive Bomb")</f>
        <v>Dive Bomb</v>
      </c>
      <c r="AO81" s="2" t="str">
        <f>IFERROR(__xludf.DUMMYFUNCTION("""COMPUTED_VALUE"""),"Bite")</f>
        <v>Bite</v>
      </c>
      <c r="AP81" s="2"/>
      <c r="AQ81" s="2"/>
      <c r="AR81" s="2"/>
      <c r="AS81" s="2"/>
      <c r="AT81" s="2"/>
      <c r="AU81" s="2"/>
      <c r="AV81" s="2"/>
      <c r="AW81" s="2"/>
      <c r="AX81" s="2"/>
      <c r="AY81" s="2"/>
      <c r="AZ81" s="2"/>
      <c r="BA81" s="3"/>
      <c r="BB81" s="3"/>
      <c r="BC81" s="1"/>
      <c r="BD81" s="3">
        <f>IFERROR(__xludf.DUMMYFUNCTION("""COMPUTED_VALUE"""),0.0)</f>
        <v>0</v>
      </c>
      <c r="BE81" s="4">
        <f>IFERROR(__xludf.DUMMYFUNCTION("""COMPUTED_VALUE"""),10.0)</f>
        <v>10</v>
      </c>
      <c r="BF81" s="3"/>
      <c r="BG81" s="3" t="str">
        <f>IFERROR(__xludf.DUMMYFUNCTION("""COMPUTED_VALUE"""),"All")</f>
        <v>All</v>
      </c>
      <c r="BH81" s="3" t="str">
        <f>IFERROR(__xludf.DUMMYFUNCTION("""COMPUTED_VALUE"""),"Land Of Spira")</f>
        <v>Land Of Spira</v>
      </c>
      <c r="BI81" s="3"/>
      <c r="BJ81" s="3"/>
      <c r="BK81" s="3"/>
      <c r="BL81" s="3" t="b">
        <f>IFERROR(__xludf.DUMMYFUNCTION("""COMPUTED_VALUE"""),FALSE)</f>
        <v>0</v>
      </c>
      <c r="BM81" s="3"/>
      <c r="BN81" s="3"/>
      <c r="BO81" s="3"/>
      <c r="BP81" s="3"/>
      <c r="BQ81" s="3"/>
      <c r="BR81" s="3"/>
      <c r="BS81" s="3"/>
      <c r="BT81" s="3"/>
      <c r="BU81" s="3"/>
      <c r="BV81" s="3"/>
      <c r="BW81" s="3"/>
    </row>
    <row r="82" ht="15.75" customHeight="1">
      <c r="A82" s="2" t="str">
        <f>IFERROR(__xludf.DUMMYFUNCTION("""COMPUTED_VALUE"""),"Elder Monk Kenyu")</f>
        <v>Elder Monk Kenyu</v>
      </c>
      <c r="B82" s="2">
        <f>IFERROR(__xludf.DUMMYFUNCTION("""COMPUTED_VALUE"""),1.0)</f>
        <v>1</v>
      </c>
      <c r="C82" s="1"/>
      <c r="D82" s="5" t="str">
        <f>IFERROR(__xludf.DUMMYFUNCTION("""COMPUTED_VALUE"""),"God")</f>
        <v>God</v>
      </c>
      <c r="E82" s="5">
        <f>IFERROR(__xludf.DUMMYFUNCTION("""COMPUTED_VALUE"""),1010.0)</f>
        <v>1010</v>
      </c>
      <c r="F82" s="5">
        <f>IFERROR(__xludf.DUMMYFUNCTION("""COMPUTED_VALUE"""),1010.0)</f>
        <v>1010</v>
      </c>
      <c r="G82" s="5">
        <f>IFERROR(__xludf.DUMMYFUNCTION("""COMPUTED_VALUE"""),1010.0)</f>
        <v>1010</v>
      </c>
      <c r="H82" s="2">
        <f>IFERROR(__xludf.DUMMYFUNCTION("""COMPUTED_VALUE"""),10.0)</f>
        <v>10</v>
      </c>
      <c r="I82" s="2">
        <f>IFERROR(__xludf.DUMMYFUNCTION("""COMPUTED_VALUE"""),0.0)</f>
        <v>0</v>
      </c>
      <c r="J82" s="5">
        <f>IFERROR(__xludf.DUMMYFUNCTION("""COMPUTED_VALUE"""),0.0)</f>
        <v>0</v>
      </c>
      <c r="K82" s="5">
        <f>IFERROR(__xludf.DUMMYFUNCTION("""COMPUTED_VALUE"""),100.0)</f>
        <v>100</v>
      </c>
      <c r="L82" s="1">
        <f>IFERROR(__xludf.DUMMYFUNCTION("""COMPUTED_VALUE"""),100.0)</f>
        <v>100</v>
      </c>
      <c r="M82" s="1" t="str">
        <f>IFERROR(__xludf.DUMMYFUNCTION("""COMPUTED_VALUE"""),"Light:Immune, Order:Immune, Zen:Immune, Celestial:Immune, Instant Death:Immune, Banishment:Immune, ")</f>
        <v>Light:Immune, Order:Immune, Zen:Immune, Celestial:Immune, Instant Death:Immune, Banishment:Immune, </v>
      </c>
      <c r="N82" s="2" t="str">
        <f>IFERROR(__xludf.DUMMYFUNCTION("""COMPUTED_VALUE"""),"Dark:100, Chaos:100, Voodoo:100, Astral:100, ")</f>
        <v>Dark:100, Chaos:100, Voodoo:100, Astral:100, </v>
      </c>
      <c r="O82" s="2"/>
      <c r="P82" s="2"/>
      <c r="Q82" s="2"/>
      <c r="R82" s="2"/>
      <c r="S82" s="2"/>
      <c r="T82" s="2"/>
      <c r="U82" s="2"/>
      <c r="V82" s="2"/>
      <c r="W82" s="2" t="str">
        <f>IFERROR(__xludf.DUMMYFUNCTION("""COMPUTED_VALUE"""),"Bow Staff Of Zhenmay")</f>
        <v>Bow Staff Of Zhenmay</v>
      </c>
      <c r="X82" s="2"/>
      <c r="Y82" s="2"/>
      <c r="Z82" s="2"/>
      <c r="AA82" s="2"/>
      <c r="AB82" s="2"/>
      <c r="AC82" s="2"/>
      <c r="AD82" s="2"/>
      <c r="AE82" s="2"/>
      <c r="AF82" s="2"/>
      <c r="AG82" s="2"/>
      <c r="AH82" s="2"/>
      <c r="AI82" s="2"/>
      <c r="AJ82" s="2" t="str">
        <f>IFERROR(__xludf.DUMMYFUNCTION("""COMPUTED_VALUE"""),"Mass Destruction")</f>
        <v>Mass Destruction</v>
      </c>
      <c r="AK82" s="2" t="str">
        <f>IFERROR(__xludf.DUMMYFUNCTION("""COMPUTED_VALUE"""),"Volcanic Rain")</f>
        <v>Volcanic Rain</v>
      </c>
      <c r="AL82" s="2" t="str">
        <f>IFERROR(__xludf.DUMMYFUNCTION("""COMPUTED_VALUE"""),"Crashing Waves")</f>
        <v>Crashing Waves</v>
      </c>
      <c r="AM82" s="2" t="str">
        <f>IFERROR(__xludf.DUMMYFUNCTION("""COMPUTED_VALUE"""),"Elemental Storm")</f>
        <v>Elemental Storm</v>
      </c>
      <c r="AN82" s="2" t="str">
        <f>IFERROR(__xludf.DUMMYFUNCTION("""COMPUTED_VALUE"""),"Rock Cycle")</f>
        <v>Rock Cycle</v>
      </c>
      <c r="AO82" s="2" t="str">
        <f>IFERROR(__xludf.DUMMYFUNCTION("""COMPUTED_VALUE"""),"The World Tree")</f>
        <v>The World Tree</v>
      </c>
      <c r="AP82" s="2" t="str">
        <f>IFERROR(__xludf.DUMMYFUNCTION("""COMPUTED_VALUE"""),"The All Knowing Eye")</f>
        <v>The All Knowing Eye</v>
      </c>
      <c r="AQ82" s="2" t="str">
        <f>IFERROR(__xludf.DUMMYFUNCTION("""COMPUTED_VALUE"""),"Mind Press")</f>
        <v>Mind Press</v>
      </c>
      <c r="AR82" s="2" t="str">
        <f>IFERROR(__xludf.DUMMYFUNCTION("""COMPUTED_VALUE"""),"Elemental Fists")</f>
        <v>Elemental Fists</v>
      </c>
      <c r="AS82" s="2" t="str">
        <f>IFERROR(__xludf.DUMMYFUNCTION("""COMPUTED_VALUE"""),"Berserk")</f>
        <v>Berserk</v>
      </c>
      <c r="AT82" s="2" t="str">
        <f>IFERROR(__xludf.DUMMYFUNCTION("""COMPUTED_VALUE"""),"Black Hole")</f>
        <v>Black Hole</v>
      </c>
      <c r="AU82" s="2" t="str">
        <f>IFERROR(__xludf.DUMMYFUNCTION("""COMPUTED_VALUE"""),"Chaincast")</f>
        <v>Chaincast</v>
      </c>
      <c r="AV82" s="2" t="str">
        <f>IFERROR(__xludf.DUMMYFUNCTION("""COMPUTED_VALUE"""),"Cease-Fire")</f>
        <v>Cease-Fire</v>
      </c>
      <c r="AW82" s="2" t="str">
        <f>IFERROR(__xludf.DUMMYFUNCTION("""COMPUTED_VALUE"""),"Monks Blessing")</f>
        <v>Monks Blessing</v>
      </c>
      <c r="AX82" s="2" t="str">
        <f>IFERROR(__xludf.DUMMYFUNCTION("""COMPUTED_VALUE"""),"FlashStep")</f>
        <v>FlashStep</v>
      </c>
      <c r="AY82" s="2" t="str">
        <f>IFERROR(__xludf.DUMMYFUNCTION("""COMPUTED_VALUE"""),"Last Gamble")</f>
        <v>Last Gamble</v>
      </c>
      <c r="AZ82" s="2"/>
      <c r="BA82" s="3"/>
      <c r="BB82" s="3"/>
      <c r="BC82" s="1"/>
      <c r="BD82" s="3">
        <f>IFERROR(__xludf.DUMMYFUNCTION("""COMPUTED_VALUE"""),0.0)</f>
        <v>0</v>
      </c>
      <c r="BE82" s="4">
        <f>IFERROR(__xludf.DUMMYFUNCTION("""COMPUTED_VALUE"""),10.0)</f>
        <v>10</v>
      </c>
      <c r="BF82" s="3" t="str">
        <f>IFERROR(__xludf.DUMMYFUNCTION("""COMPUTED_VALUE"""),"75% chance to be unaffected by any spells affecting this mob
Monks Insight: +10 can be added to this mobs d20 rolls.")</f>
        <v>75% chance to be unaffected by any spells affecting this mob
Monks Insight: +10 can be added to this mobs d20 rolls.</v>
      </c>
      <c r="BG82" s="3" t="str">
        <f>IFERROR(__xludf.DUMMYFUNCTION("""COMPUTED_VALUE"""),"All")</f>
        <v>All</v>
      </c>
      <c r="BH82" s="3" t="str">
        <f>IFERROR(__xludf.DUMMYFUNCTION("""COMPUTED_VALUE"""),"Land Of Spira")</f>
        <v>Land Of Spira</v>
      </c>
      <c r="BI82" s="3"/>
      <c r="BJ82" s="3"/>
      <c r="BK82" s="3"/>
      <c r="BL82" s="3" t="b">
        <f>IFERROR(__xludf.DUMMYFUNCTION("""COMPUTED_VALUE"""),FALSE)</f>
        <v>0</v>
      </c>
      <c r="BM82" s="3"/>
      <c r="BN82" s="3"/>
      <c r="BO82" s="3"/>
      <c r="BP82" s="3"/>
      <c r="BQ82" s="3"/>
      <c r="BR82" s="3"/>
      <c r="BS82" s="3"/>
      <c r="BT82" s="3"/>
      <c r="BU82" s="3"/>
      <c r="BV82" s="3"/>
      <c r="BW82" s="3"/>
    </row>
    <row r="83" ht="15.75" customHeight="1">
      <c r="A83" s="2"/>
      <c r="B83" s="2">
        <f>IFERROR(__xludf.DUMMYFUNCTION("""COMPUTED_VALUE"""),1.0)</f>
        <v>1</v>
      </c>
      <c r="C83" s="1"/>
      <c r="D83" s="2"/>
      <c r="E83" s="5">
        <f>IFERROR(__xludf.DUMMYFUNCTION("""COMPUTED_VALUE"""),1010.0)</f>
        <v>1010</v>
      </c>
      <c r="F83" s="5">
        <f>IFERROR(__xludf.DUMMYFUNCTION("""COMPUTED_VALUE"""),1010.0)</f>
        <v>1010</v>
      </c>
      <c r="G83" s="5">
        <f>IFERROR(__xludf.DUMMYFUNCTION("""COMPUTED_VALUE"""),1010.0)</f>
        <v>1010</v>
      </c>
      <c r="H83" s="2">
        <f>IFERROR(__xludf.DUMMYFUNCTION("""COMPUTED_VALUE"""),10.0)</f>
        <v>10</v>
      </c>
      <c r="I83" s="2">
        <f>IFERROR(__xludf.DUMMYFUNCTION("""COMPUTED_VALUE"""),0.0)</f>
        <v>0</v>
      </c>
      <c r="J83" s="5">
        <f>IFERROR(__xludf.DUMMYFUNCTION("""COMPUTED_VALUE"""),0.0)</f>
        <v>0</v>
      </c>
      <c r="K83" s="5">
        <f>IFERROR(__xludf.DUMMYFUNCTION("""COMPUTED_VALUE"""),100.0)</f>
        <v>100</v>
      </c>
      <c r="L83" s="1">
        <f>IFERROR(__xludf.DUMMYFUNCTION("""COMPUTED_VALUE"""),100.0)</f>
        <v>100</v>
      </c>
      <c r="M83" s="1" t="str">
        <f>IFERROR(__xludf.DUMMYFUNCTION("""COMPUTED_VALUE"""),"#N/A")</f>
        <v>#N/A</v>
      </c>
      <c r="N83" s="2" t="str">
        <f>IFERROR(__xludf.DUMMYFUNCTION("""COMPUTED_VALUE"""),"#N/A")</f>
        <v>#N/A</v>
      </c>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1"/>
      <c r="BB83" s="1"/>
      <c r="BC83" s="1"/>
      <c r="BD83" s="1">
        <f>IFERROR(__xludf.DUMMYFUNCTION("""COMPUTED_VALUE"""),0.0)</f>
        <v>0</v>
      </c>
      <c r="BE83" s="9">
        <f>IFERROR(__xludf.DUMMYFUNCTION("""COMPUTED_VALUE"""),10.0)</f>
        <v>10</v>
      </c>
      <c r="BF83" s="1"/>
      <c r="BG83" s="1"/>
      <c r="BH83" s="1"/>
      <c r="BI83" s="1"/>
      <c r="BJ83" s="1"/>
      <c r="BK83" s="1"/>
      <c r="BL83" s="1" t="b">
        <f>IFERROR(__xludf.DUMMYFUNCTION("""COMPUTED_VALUE"""),FALSE)</f>
        <v>0</v>
      </c>
      <c r="BM83" s="1"/>
      <c r="BN83" s="1"/>
      <c r="BO83" s="1"/>
      <c r="BP83" s="1"/>
      <c r="BQ83" s="1"/>
    </row>
    <row r="84" ht="15.75" customHeight="1">
      <c r="A84" s="2" t="str">
        <f>IFERROR(__xludf.DUMMYFUNCTION("""COMPUTED_VALUE"""),"Endless Dark Dragon")</f>
        <v>Endless Dark Dragon</v>
      </c>
      <c r="B84" s="2">
        <f>IFERROR(__xludf.DUMMYFUNCTION("""COMPUTED_VALUE"""),1.0)</f>
        <v>1</v>
      </c>
      <c r="C84" s="3"/>
      <c r="D84" s="10" t="str">
        <f>IFERROR(__xludf.DUMMYFUNCTION("""COMPUTED_VALUE"""),"Draconic")</f>
        <v>Draconic</v>
      </c>
      <c r="E84" s="10">
        <f>IFERROR(__xludf.DUMMYFUNCTION("""COMPUTED_VALUE"""),1010.0)</f>
        <v>1010</v>
      </c>
      <c r="F84" s="10">
        <f>IFERROR(__xludf.DUMMYFUNCTION("""COMPUTED_VALUE"""),1010.0)</f>
        <v>1010</v>
      </c>
      <c r="G84" s="10">
        <f>IFERROR(__xludf.DUMMYFUNCTION("""COMPUTED_VALUE"""),1010.0)</f>
        <v>1010</v>
      </c>
      <c r="H84" s="11">
        <f>IFERROR(__xludf.DUMMYFUNCTION("""COMPUTED_VALUE"""),40.0)</f>
        <v>40</v>
      </c>
      <c r="I84" s="11">
        <f>IFERROR(__xludf.DUMMYFUNCTION("""COMPUTED_VALUE"""),0.0)</f>
        <v>0</v>
      </c>
      <c r="J84" s="12">
        <f>IFERROR(__xludf.DUMMYFUNCTION("""COMPUTED_VALUE"""),0.0)</f>
        <v>0</v>
      </c>
      <c r="K84" s="12">
        <f>IFERROR(__xludf.DUMMYFUNCTION("""COMPUTED_VALUE"""),100.0)</f>
        <v>100</v>
      </c>
      <c r="L84" s="1">
        <f>IFERROR(__xludf.DUMMYFUNCTION("""COMPUTED_VALUE"""),100.0)</f>
        <v>100</v>
      </c>
      <c r="M84" s="1" t="str">
        <f>IFERROR(__xludf.DUMMYFUNCTION("""COMPUTED_VALUE"""),"Dark:Immune, Spirit:Immune, Chaos:Immune, Instant Death:Immune, Banishment:Immune, ")</f>
        <v>Dark:Immune, Spirit:Immune, Chaos:Immune, Instant Death:Immune, Banishment:Immune, </v>
      </c>
      <c r="N84" s="2" t="str">
        <f>IFERROR(__xludf.DUMMYFUNCTION("""COMPUTED_VALUE"""),"Light:100, Order:100, ")</f>
        <v>Light:100, Order:100, </v>
      </c>
      <c r="O84" s="2"/>
      <c r="P84" s="2"/>
      <c r="Q84" s="2"/>
      <c r="R84" s="2"/>
      <c r="S84" s="2"/>
      <c r="T84" s="2"/>
      <c r="U84" s="2"/>
      <c r="V84" s="2"/>
      <c r="W84" s="2"/>
      <c r="X84" s="2"/>
      <c r="Y84" s="2"/>
      <c r="Z84" s="2"/>
      <c r="AA84" s="2"/>
      <c r="AB84" s="2"/>
      <c r="AC84" s="2"/>
      <c r="AD84" s="2"/>
      <c r="AE84" s="2"/>
      <c r="AF84" s="2"/>
      <c r="AG84" s="2"/>
      <c r="AH84" s="2"/>
      <c r="AI84" s="2"/>
      <c r="AJ84" s="2" t="str">
        <f>IFERROR(__xludf.DUMMYFUNCTION("""COMPUTED_VALUE"""),"Big Chomping Souls")</f>
        <v>Big Chomping Souls</v>
      </c>
      <c r="AK84" s="2" t="str">
        <f>IFERROR(__xludf.DUMMYFUNCTION("""COMPUTED_VALUE"""),"Darkness Ablaze")</f>
        <v>Darkness Ablaze</v>
      </c>
      <c r="AL84" s="2" t="str">
        <f>IFERROR(__xludf.DUMMYFUNCTION("""COMPUTED_VALUE"""),"Darkest Abyss")</f>
        <v>Darkest Abyss</v>
      </c>
      <c r="AM84" s="2" t="str">
        <f>IFERROR(__xludf.DUMMYFUNCTION("""COMPUTED_VALUE"""),"Dimensional Quake")</f>
        <v>Dimensional Quake</v>
      </c>
      <c r="AN84" s="2" t="str">
        <f>IFERROR(__xludf.DUMMYFUNCTION("""COMPUTED_VALUE"""),"Chaos Ward")</f>
        <v>Chaos Ward</v>
      </c>
      <c r="AO84" s="2" t="str">
        <f>IFERROR(__xludf.DUMMYFUNCTION("""COMPUTED_VALUE"""),"Last Gamble")</f>
        <v>Last Gamble</v>
      </c>
      <c r="AP84" s="2" t="str">
        <f>IFERROR(__xludf.DUMMYFUNCTION("""COMPUTED_VALUE"""),"Multi Banishment")</f>
        <v>Multi Banishment</v>
      </c>
      <c r="AQ84" s="2" t="str">
        <f>IFERROR(__xludf.DUMMYFUNCTION("""COMPUTED_VALUE"""),"Mass Destruction")</f>
        <v>Mass Destruction</v>
      </c>
      <c r="AR84" s="2" t="str">
        <f>IFERROR(__xludf.DUMMYFUNCTION("""COMPUTED_VALUE"""),"Celestial Summon")</f>
        <v>Celestial Summon</v>
      </c>
      <c r="AS84" s="2" t="str">
        <f>IFERROR(__xludf.DUMMYFUNCTION("""COMPUTED_VALUE"""),"Chaincast")</f>
        <v>Chaincast</v>
      </c>
      <c r="AT84" s="2" t="str">
        <f>IFERROR(__xludf.DUMMYFUNCTION("""COMPUTED_VALUE"""),"Dark Curse")</f>
        <v>Dark Curse</v>
      </c>
      <c r="AU84" s="2" t="str">
        <f>IFERROR(__xludf.DUMMYFUNCTION("""COMPUTED_VALUE"""),"Max Focus")</f>
        <v>Max Focus</v>
      </c>
      <c r="AV84" s="2" t="str">
        <f>IFERROR(__xludf.DUMMYFUNCTION("""COMPUTED_VALUE"""),"Dive Bomb")</f>
        <v>Dive Bomb</v>
      </c>
      <c r="AW84" s="2"/>
      <c r="AX84" s="2"/>
      <c r="AY84" s="2"/>
      <c r="AZ84" s="2"/>
      <c r="BA84" s="11"/>
      <c r="BB84" s="3"/>
      <c r="BC84" s="1"/>
      <c r="BD84" s="11">
        <f>IFERROR(__xludf.DUMMYFUNCTION("""COMPUTED_VALUE"""),0.0)</f>
        <v>0</v>
      </c>
      <c r="BE84" s="4">
        <f>IFERROR(__xludf.DUMMYFUNCTION("""COMPUTED_VALUE"""),40.0)</f>
        <v>40</v>
      </c>
      <c r="BF84" s="11" t="str">
        <f>IFERROR(__xludf.DUMMYFUNCTION("""COMPUTED_VALUE"""),"Dragons Luck II: +10 can be added to the creatures d20 roll.
Dragon’s Guard: Unaffected by Damage and Spells for the first round of battle.
Life Steal: All damage dealt by this creature will give HP and SP back to this creature equal to the damage dealt"&amp;".
Immunity Bypass: Cannot resist or be immune to this mobs attacks.
Turn Bypass: This creature will move up by 2 in the turn order if this creature does not go first.")</f>
        <v>Dragons Luck II: +10 can be added to the creatures d20 roll.
Dragon’s Guard: Unaffected by Damage and Spells for the first round of battle.
Life Steal: All damage dealt by this creature will give HP and SP back to this creature equal to the damage dealt.
Immunity Bypass: Cannot resist or be immune to this mobs attacks.
Turn Bypass: This creature will move up by 2 in the turn order if this creature does not go first.</v>
      </c>
      <c r="BG84" s="3" t="str">
        <f>IFERROR(__xludf.DUMMYFUNCTION("""COMPUTED_VALUE"""),"All")</f>
        <v>All</v>
      </c>
      <c r="BH84" s="3" t="str">
        <f>IFERROR(__xludf.DUMMYFUNCTION("""COMPUTED_VALUE"""),"Abstara")</f>
        <v>Abstara</v>
      </c>
      <c r="BI84" s="3"/>
      <c r="BJ84" s="3"/>
      <c r="BK84" s="1"/>
      <c r="BL84" s="1" t="b">
        <f>IFERROR(__xludf.DUMMYFUNCTION("""COMPUTED_VALUE"""),FALSE)</f>
        <v>0</v>
      </c>
      <c r="BM84" s="1"/>
      <c r="BN84" s="1"/>
      <c r="BO84" s="1"/>
      <c r="BP84" s="1"/>
      <c r="BQ84" s="1"/>
    </row>
    <row r="85" ht="15.75" customHeight="1">
      <c r="A85" s="3" t="str">
        <f>IFERROR(__xludf.DUMMYFUNCTION("""COMPUTED_VALUE"""),"Evil Clown")</f>
        <v>Evil Clown</v>
      </c>
      <c r="B85" s="11">
        <f>IFERROR(__xludf.DUMMYFUNCTION("""COMPUTED_VALUE"""),1.0)</f>
        <v>1</v>
      </c>
      <c r="C85" s="3"/>
      <c r="D85" s="11" t="str">
        <f>IFERROR(__xludf.DUMMYFUNCTION("""COMPUTED_VALUE"""),"Humanoid")</f>
        <v>Humanoid</v>
      </c>
      <c r="E85" s="11">
        <f>IFERROR(__xludf.DUMMYFUNCTION("""COMPUTED_VALUE"""),1010.0)</f>
        <v>1010</v>
      </c>
      <c r="F85" s="10">
        <f>IFERROR(__xludf.DUMMYFUNCTION("""COMPUTED_VALUE"""),1010.0)</f>
        <v>1010</v>
      </c>
      <c r="G85" s="11">
        <f>IFERROR(__xludf.DUMMYFUNCTION("""COMPUTED_VALUE"""),1010.0)</f>
        <v>1010</v>
      </c>
      <c r="H85" s="11">
        <f>IFERROR(__xludf.DUMMYFUNCTION("""COMPUTED_VALUE"""),10.0)</f>
        <v>10</v>
      </c>
      <c r="I85" s="11">
        <f>IFERROR(__xludf.DUMMYFUNCTION("""COMPUTED_VALUE"""),0.0)</f>
        <v>0</v>
      </c>
      <c r="J85" s="3">
        <f>IFERROR(__xludf.DUMMYFUNCTION("""COMPUTED_VALUE"""),0.0)</f>
        <v>0</v>
      </c>
      <c r="K85" s="3">
        <f>IFERROR(__xludf.DUMMYFUNCTION("""COMPUTED_VALUE"""),100.0)</f>
        <v>100</v>
      </c>
      <c r="L85" s="1">
        <f>IFERROR(__xludf.DUMMYFUNCTION("""COMPUTED_VALUE"""),100.0)</f>
        <v>100</v>
      </c>
      <c r="M85" s="1" t="str">
        <f>IFERROR(__xludf.DUMMYFUNCTION("""COMPUTED_VALUE"""),"Dark:Immune, Spirit:Immune, ")</f>
        <v>Dark:Immune, Spirit:Immune, </v>
      </c>
      <c r="N85" s="2" t="str">
        <f>IFERROR(__xludf.DUMMYFUNCTION("""COMPUTED_VALUE"""),"Light:100, ")</f>
        <v>Light:100, </v>
      </c>
      <c r="O85" s="2"/>
      <c r="P85" s="2"/>
      <c r="Q85" s="2"/>
      <c r="R85" s="2"/>
      <c r="S85" s="2"/>
      <c r="T85" s="2"/>
      <c r="U85" s="2"/>
      <c r="V85" s="2"/>
      <c r="W85" s="2" t="str">
        <f>IFERROR(__xludf.DUMMYFUNCTION("""COMPUTED_VALUE"""),"Dark Wand")</f>
        <v>Dark Wand</v>
      </c>
      <c r="X85" s="2"/>
      <c r="Y85" s="2"/>
      <c r="Z85" s="2"/>
      <c r="AA85" s="2"/>
      <c r="AB85" s="2"/>
      <c r="AC85" s="2"/>
      <c r="AD85" s="2"/>
      <c r="AE85" s="2"/>
      <c r="AF85" s="2"/>
      <c r="AG85" s="2"/>
      <c r="AH85" s="2"/>
      <c r="AI85" s="2"/>
      <c r="AJ85" s="2" t="str">
        <f>IFERROR(__xludf.DUMMYFUNCTION("""COMPUTED_VALUE"""),"Chaos Ward")</f>
        <v>Chaos Ward</v>
      </c>
      <c r="AK85" s="2" t="str">
        <f>IFERROR(__xludf.DUMMYFUNCTION("""COMPUTED_VALUE"""),"Dimension Portal")</f>
        <v>Dimension Portal</v>
      </c>
      <c r="AL85" s="2" t="str">
        <f>IFERROR(__xludf.DUMMYFUNCTION("""COMPUTED_VALUE"""),"Conceal")</f>
        <v>Conceal</v>
      </c>
      <c r="AM85" s="2" t="str">
        <f>IFERROR(__xludf.DUMMYFUNCTION("""COMPUTED_VALUE"""),"Darkest Abyss")</f>
        <v>Darkest Abyss</v>
      </c>
      <c r="AN85" s="2" t="str">
        <f>IFERROR(__xludf.DUMMYFUNCTION("""COMPUTED_VALUE"""),"Dark Bolt")</f>
        <v>Dark Bolt</v>
      </c>
      <c r="AO85" s="2"/>
      <c r="AP85" s="2"/>
      <c r="AQ85" s="2"/>
      <c r="AR85" s="2"/>
      <c r="AS85" s="2"/>
      <c r="AT85" s="2"/>
      <c r="AU85" s="2"/>
      <c r="AV85" s="2"/>
      <c r="AW85" s="2"/>
      <c r="AX85" s="2"/>
      <c r="AY85" s="2"/>
      <c r="AZ85" s="2"/>
      <c r="BA85" s="11"/>
      <c r="BB85" s="3"/>
      <c r="BC85" s="1"/>
      <c r="BD85" s="11">
        <f>IFERROR(__xludf.DUMMYFUNCTION("""COMPUTED_VALUE"""),0.0)</f>
        <v>0</v>
      </c>
      <c r="BE85" s="4">
        <f>IFERROR(__xludf.DUMMYFUNCTION("""COMPUTED_VALUE"""),10.0)</f>
        <v>10</v>
      </c>
      <c r="BF85" s="3" t="str">
        <f>IFERROR(__xludf.DUMMYFUNCTION("""COMPUTED_VALUE"""),"A Dark Calling: +5 can be added to this mobs rolls.")</f>
        <v>A Dark Calling: +5 can be added to this mobs rolls.</v>
      </c>
      <c r="BG85" s="3" t="str">
        <f>IFERROR(__xludf.DUMMYFUNCTION("""COMPUTED_VALUE"""),"All")</f>
        <v>All</v>
      </c>
      <c r="BH85" s="3" t="str">
        <f>IFERROR(__xludf.DUMMYFUNCTION("""COMPUTED_VALUE"""),"Halloween Kingdom")</f>
        <v>Halloween Kingdom</v>
      </c>
      <c r="BI85" s="1"/>
      <c r="BJ85" s="1"/>
      <c r="BK85" s="1"/>
      <c r="BL85" s="1" t="b">
        <f>IFERROR(__xludf.DUMMYFUNCTION("""COMPUTED_VALUE"""),FALSE)</f>
        <v>0</v>
      </c>
      <c r="BM85" s="1"/>
      <c r="BN85" s="1"/>
      <c r="BO85" s="1"/>
      <c r="BP85" s="1"/>
      <c r="BQ85" s="1"/>
    </row>
    <row r="86" ht="15.75" customHeight="1">
      <c r="A86" s="2" t="str">
        <f>IFERROR(__xludf.DUMMYFUNCTION("""COMPUTED_VALUE"""),"Evil Moth")</f>
        <v>Evil Moth</v>
      </c>
      <c r="B86" s="2">
        <f>IFERROR(__xludf.DUMMYFUNCTION("""COMPUTED_VALUE"""),1.0)</f>
        <v>1</v>
      </c>
      <c r="C86" s="1"/>
      <c r="D86" s="5" t="str">
        <f>IFERROR(__xludf.DUMMYFUNCTION("""COMPUTED_VALUE"""),"Beast")</f>
        <v>Beast</v>
      </c>
      <c r="E86" s="5">
        <f>IFERROR(__xludf.DUMMYFUNCTION("""COMPUTED_VALUE"""),1010.0)</f>
        <v>1010</v>
      </c>
      <c r="F86" s="5">
        <f>IFERROR(__xludf.DUMMYFUNCTION("""COMPUTED_VALUE"""),1010.0)</f>
        <v>1010</v>
      </c>
      <c r="G86" s="5">
        <f>IFERROR(__xludf.DUMMYFUNCTION("""COMPUTED_VALUE"""),1010.0)</f>
        <v>1010</v>
      </c>
      <c r="H86" s="2">
        <f>IFERROR(__xludf.DUMMYFUNCTION("""COMPUTED_VALUE"""),10.0)</f>
        <v>10</v>
      </c>
      <c r="I86" s="2">
        <f>IFERROR(__xludf.DUMMYFUNCTION("""COMPUTED_VALUE"""),0.0)</f>
        <v>0</v>
      </c>
      <c r="J86" s="5">
        <f>IFERROR(__xludf.DUMMYFUNCTION("""COMPUTED_VALUE"""),0.0)</f>
        <v>0</v>
      </c>
      <c r="K86" s="5">
        <f>IFERROR(__xludf.DUMMYFUNCTION("""COMPUTED_VALUE"""),100.0)</f>
        <v>100</v>
      </c>
      <c r="L86" s="1">
        <f>IFERROR(__xludf.DUMMYFUNCTION("""COMPUTED_VALUE"""),100.0)</f>
        <v>100</v>
      </c>
      <c r="M86" s="1" t="str">
        <f>IFERROR(__xludf.DUMMYFUNCTION("""COMPUTED_VALUE"""),"Dark:100, ")</f>
        <v>Dark:100, </v>
      </c>
      <c r="N86" s="2" t="str">
        <f>IFERROR(__xludf.DUMMYFUNCTION("""COMPUTED_VALUE"""),"")</f>
        <v/>
      </c>
      <c r="O86" s="2"/>
      <c r="P86" s="2"/>
      <c r="Q86" s="2"/>
      <c r="R86" s="2"/>
      <c r="S86" s="2"/>
      <c r="T86" s="2"/>
      <c r="U86" s="2"/>
      <c r="V86" s="2"/>
      <c r="W86" s="2"/>
      <c r="X86" s="2"/>
      <c r="Y86" s="2"/>
      <c r="Z86" s="2"/>
      <c r="AA86" s="2"/>
      <c r="AB86" s="2"/>
      <c r="AC86" s="2"/>
      <c r="AD86" s="2"/>
      <c r="AE86" s="2"/>
      <c r="AF86" s="2"/>
      <c r="AG86" s="2"/>
      <c r="AH86" s="2"/>
      <c r="AI86" s="2"/>
      <c r="AJ86" s="2" t="str">
        <f>IFERROR(__xludf.DUMMYFUNCTION("""COMPUTED_VALUE"""),"Bite")</f>
        <v>Bite</v>
      </c>
      <c r="AK86" s="2" t="str">
        <f>IFERROR(__xludf.DUMMYFUNCTION("""COMPUTED_VALUE"""),"Poison Needle")</f>
        <v>Poison Needle</v>
      </c>
      <c r="AL86" s="2" t="str">
        <f>IFERROR(__xludf.DUMMYFUNCTION("""COMPUTED_VALUE"""),"Chain Lighting")</f>
        <v>Chain Lighting</v>
      </c>
      <c r="AM86" s="2" t="str">
        <f>IFERROR(__xludf.DUMMYFUNCTION("""COMPUTED_VALUE"""),"Claws")</f>
        <v>Claws</v>
      </c>
      <c r="AN86" s="2"/>
      <c r="AO86" s="2"/>
      <c r="AP86" s="2"/>
      <c r="AQ86" s="2"/>
      <c r="AR86" s="2"/>
      <c r="AS86" s="2"/>
      <c r="AT86" s="2"/>
      <c r="AU86" s="2"/>
      <c r="AV86" s="2"/>
      <c r="AW86" s="2"/>
      <c r="AX86" s="2"/>
      <c r="AY86" s="2"/>
      <c r="AZ86" s="2"/>
      <c r="BA86" s="3"/>
      <c r="BB86" s="3"/>
      <c r="BC86" s="1"/>
      <c r="BD86" s="3">
        <f>IFERROR(__xludf.DUMMYFUNCTION("""COMPUTED_VALUE"""),0.0)</f>
        <v>0</v>
      </c>
      <c r="BE86" s="4">
        <f>IFERROR(__xludf.DUMMYFUNCTION("""COMPUTED_VALUE"""),10.0)</f>
        <v>10</v>
      </c>
      <c r="BF86" s="3"/>
      <c r="BG86" s="3" t="str">
        <f>IFERROR(__xludf.DUMMYFUNCTION("""COMPUTED_VALUE"""),"All")</f>
        <v>All</v>
      </c>
      <c r="BH86" s="3" t="str">
        <f>IFERROR(__xludf.DUMMYFUNCTION("""COMPUTED_VALUE"""),"Land of Spira")</f>
        <v>Land of Spira</v>
      </c>
      <c r="BI86" s="3"/>
      <c r="BJ86" s="3"/>
      <c r="BK86" s="3"/>
      <c r="BL86" s="3" t="b">
        <f>IFERROR(__xludf.DUMMYFUNCTION("""COMPUTED_VALUE"""),FALSE)</f>
        <v>0</v>
      </c>
      <c r="BM86" s="3"/>
      <c r="BN86" s="3"/>
      <c r="BO86" s="3"/>
      <c r="BP86" s="3"/>
      <c r="BQ86" s="3"/>
      <c r="BR86" s="3"/>
      <c r="BS86" s="3"/>
      <c r="BT86" s="3"/>
      <c r="BU86" s="3"/>
      <c r="BV86" s="3"/>
      <c r="BW86" s="3"/>
    </row>
    <row r="87" ht="15.75" customHeight="1">
      <c r="A87" s="2" t="str">
        <f>IFERROR(__xludf.DUMMYFUNCTION("""COMPUTED_VALUE"""),"Failinis")</f>
        <v>Failinis</v>
      </c>
      <c r="B87" s="2">
        <f>IFERROR(__xludf.DUMMYFUNCTION("""COMPUTED_VALUE"""),1.0)</f>
        <v>1</v>
      </c>
      <c r="C87" s="1" t="str">
        <f>IFERROR(__xludf.DUMMYFUNCTION("""COMPUTED_VALUE"""),"Lugh's hound")</f>
        <v>Lugh's hound</v>
      </c>
      <c r="D87" s="2" t="str">
        <f>IFERROR(__xludf.DUMMYFUNCTION("""COMPUTED_VALUE"""),"Beast")</f>
        <v>Beast</v>
      </c>
      <c r="E87" s="2">
        <f>IFERROR(__xludf.DUMMYFUNCTION("""COMPUTED_VALUE"""),1010.0)</f>
        <v>1010</v>
      </c>
      <c r="F87" s="5">
        <f>IFERROR(__xludf.DUMMYFUNCTION("""COMPUTED_VALUE"""),1010.0)</f>
        <v>1010</v>
      </c>
      <c r="G87" s="2">
        <f>IFERROR(__xludf.DUMMYFUNCTION("""COMPUTED_VALUE"""),1010.0)</f>
        <v>1010</v>
      </c>
      <c r="H87" s="2">
        <f>IFERROR(__xludf.DUMMYFUNCTION("""COMPUTED_VALUE"""),10.0)</f>
        <v>10</v>
      </c>
      <c r="I87" s="2">
        <f>IFERROR(__xludf.DUMMYFUNCTION("""COMPUTED_VALUE"""),0.0)</f>
        <v>0</v>
      </c>
      <c r="J87" s="5">
        <f>IFERROR(__xludf.DUMMYFUNCTION("""COMPUTED_VALUE"""),0.0)</f>
        <v>0</v>
      </c>
      <c r="K87" s="5">
        <f>IFERROR(__xludf.DUMMYFUNCTION("""COMPUTED_VALUE"""),100.0)</f>
        <v>100</v>
      </c>
      <c r="L87" s="1">
        <f>IFERROR(__xludf.DUMMYFUNCTION("""COMPUTED_VALUE"""),100.0)</f>
        <v>100</v>
      </c>
      <c r="M87" s="1" t="str">
        <f>IFERROR(__xludf.DUMMYFUNCTION("""COMPUTED_VALUE"""),"")</f>
        <v/>
      </c>
      <c r="N87" s="2" t="str">
        <f>IFERROR(__xludf.DUMMYFUNCTION("""COMPUTED_VALUE"""),"")</f>
        <v/>
      </c>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3"/>
      <c r="BB87" s="3"/>
      <c r="BC87" s="1"/>
      <c r="BD87" s="3">
        <f>IFERROR(__xludf.DUMMYFUNCTION("""COMPUTED_VALUE"""),0.0)</f>
        <v>0</v>
      </c>
      <c r="BE87" s="4">
        <f>IFERROR(__xludf.DUMMYFUNCTION("""COMPUTED_VALUE"""),10.0)</f>
        <v>10</v>
      </c>
      <c r="BF87" s="3" t="str">
        <f>IFERROR(__xludf.DUMMYFUNCTION("""COMPUTED_VALUE"""),"Pukes heavenly Mead and Wine")</f>
        <v>Pukes heavenly Mead and Wine</v>
      </c>
      <c r="BG87" s="3"/>
      <c r="BH87" s="3" t="str">
        <f>IFERROR(__xludf.DUMMYFUNCTION("""COMPUTED_VALUE"""),"Land of Spira")</f>
        <v>Land of Spira</v>
      </c>
      <c r="BI87" s="3"/>
      <c r="BJ87" s="3" t="str">
        <f>IFERROR(__xludf.DUMMYFUNCTION("""COMPUTED_VALUE"""),"Lughnasadh")</f>
        <v>Lughnasadh</v>
      </c>
      <c r="BK87" s="3"/>
      <c r="BL87" s="3" t="b">
        <f>IFERROR(__xludf.DUMMYFUNCTION("""COMPUTED_VALUE"""),FALSE)</f>
        <v>0</v>
      </c>
      <c r="BM87" s="3"/>
      <c r="BN87" s="3"/>
      <c r="BO87" s="3"/>
      <c r="BP87" s="3"/>
      <c r="BQ87" s="3"/>
      <c r="BR87" s="3"/>
      <c r="BS87" s="3"/>
      <c r="BT87" s="3"/>
      <c r="BU87" s="3"/>
      <c r="BV87" s="3"/>
      <c r="BW87" s="3"/>
    </row>
    <row r="88" ht="15.75" customHeight="1">
      <c r="A88" s="2" t="str">
        <f>IFERROR(__xludf.DUMMYFUNCTION("""COMPUTED_VALUE"""),"Fire Dragon")</f>
        <v>Fire Dragon</v>
      </c>
      <c r="B88" s="2">
        <f>IFERROR(__xludf.DUMMYFUNCTION("""COMPUTED_VALUE"""),1.0)</f>
        <v>1</v>
      </c>
      <c r="C88" s="1"/>
      <c r="D88" s="2" t="str">
        <f>IFERROR(__xludf.DUMMYFUNCTION("""COMPUTED_VALUE"""),"Draconic")</f>
        <v>Draconic</v>
      </c>
      <c r="E88" s="2">
        <f>IFERROR(__xludf.DUMMYFUNCTION("""COMPUTED_VALUE"""),31010.0)</f>
        <v>31010</v>
      </c>
      <c r="F88" s="5">
        <f>IFERROR(__xludf.DUMMYFUNCTION("""COMPUTED_VALUE"""),1010.0)</f>
        <v>1010</v>
      </c>
      <c r="G88" s="2">
        <f>IFERROR(__xludf.DUMMYFUNCTION("""COMPUTED_VALUE"""),1010.0)</f>
        <v>1010</v>
      </c>
      <c r="H88" s="2">
        <f>IFERROR(__xludf.DUMMYFUNCTION("""COMPUTED_VALUE"""),10.0)</f>
        <v>10</v>
      </c>
      <c r="I88" s="2">
        <f>IFERROR(__xludf.DUMMYFUNCTION("""COMPUTED_VALUE"""),0.0)</f>
        <v>0</v>
      </c>
      <c r="J88" s="5">
        <f>IFERROR(__xludf.DUMMYFUNCTION("""COMPUTED_VALUE"""),0.0)</f>
        <v>0</v>
      </c>
      <c r="K88" s="5">
        <f>IFERROR(__xludf.DUMMYFUNCTION("""COMPUTED_VALUE"""),100.0)</f>
        <v>100</v>
      </c>
      <c r="L88" s="1">
        <f>IFERROR(__xludf.DUMMYFUNCTION("""COMPUTED_VALUE"""),100.0)</f>
        <v>100</v>
      </c>
      <c r="M88" s="1" t="str">
        <f>IFERROR(__xludf.DUMMYFUNCTION("""COMPUTED_VALUE"""),"Fire:Immune, Nature:Immune, Instant Death:Immune, Banishment:Immune, ")</f>
        <v>Fire:Immune, Nature:Immune, Instant Death:Immune, Banishment:Immune, </v>
      </c>
      <c r="N88" s="2" t="str">
        <f>IFERROR(__xludf.DUMMYFUNCTION("""COMPUTED_VALUE"""),"Water:100, ")</f>
        <v>Water:100, </v>
      </c>
      <c r="O88" s="2"/>
      <c r="P88" s="2"/>
      <c r="Q88" s="2"/>
      <c r="R88" s="2"/>
      <c r="S88" s="2"/>
      <c r="T88" s="2"/>
      <c r="U88" s="2"/>
      <c r="V88" s="2"/>
      <c r="W88" s="2"/>
      <c r="X88" s="2"/>
      <c r="Y88" s="2"/>
      <c r="Z88" s="2"/>
      <c r="AA88" s="2"/>
      <c r="AB88" s="2"/>
      <c r="AC88" s="2"/>
      <c r="AD88" s="2"/>
      <c r="AE88" s="2"/>
      <c r="AF88" s="2"/>
      <c r="AG88" s="2"/>
      <c r="AH88" s="2"/>
      <c r="AI88" s="2"/>
      <c r="AJ88" s="2" t="str">
        <f>IFERROR(__xludf.DUMMYFUNCTION("""COMPUTED_VALUE"""),"Dragon's Breath")</f>
        <v>Dragon's Breath</v>
      </c>
      <c r="AK88" s="2" t="str">
        <f>IFERROR(__xludf.DUMMYFUNCTION("""COMPUTED_VALUE"""),"Bite")</f>
        <v>Bite</v>
      </c>
      <c r="AL88" s="2" t="str">
        <f>IFERROR(__xludf.DUMMYFUNCTION("""COMPUTED_VALUE"""),"Tail Smash")</f>
        <v>Tail Smash</v>
      </c>
      <c r="AM88" s="2" t="str">
        <f>IFERROR(__xludf.DUMMYFUNCTION("""COMPUTED_VALUE"""),"Claws")</f>
        <v>Claws</v>
      </c>
      <c r="AN88" s="2" t="str">
        <f>IFERROR(__xludf.DUMMYFUNCTION("""COMPUTED_VALUE"""),"Berserk")</f>
        <v>Berserk</v>
      </c>
      <c r="AO88" s="2" t="str">
        <f>IFERROR(__xludf.DUMMYFUNCTION("""COMPUTED_VALUE"""),"Multishot")</f>
        <v>Multishot</v>
      </c>
      <c r="AP88" s="2" t="str">
        <f>IFERROR(__xludf.DUMMYFUNCTION("""COMPUTED_VALUE"""),"Draconic Scream")</f>
        <v>Draconic Scream</v>
      </c>
      <c r="AQ88" s="2" t="str">
        <f>IFERROR(__xludf.DUMMYFUNCTION("""COMPUTED_VALUE"""),"Flame Sanctuary")</f>
        <v>Flame Sanctuary</v>
      </c>
      <c r="AR88" s="2" t="str">
        <f>IFERROR(__xludf.DUMMYFUNCTION("""COMPUTED_VALUE"""),"Meteor Shower")</f>
        <v>Meteor Shower</v>
      </c>
      <c r="AS88" s="2" t="str">
        <f>IFERROR(__xludf.DUMMYFUNCTION("""COMPUTED_VALUE"""),"Burn")</f>
        <v>Burn</v>
      </c>
      <c r="AT88" s="2" t="str">
        <f>IFERROR(__xludf.DUMMYFUNCTION("""COMPUTED_VALUE"""),"Celestial Wrath")</f>
        <v>Celestial Wrath</v>
      </c>
      <c r="AU88" s="2"/>
      <c r="AV88" s="2"/>
      <c r="AW88" s="2"/>
      <c r="AX88" s="2"/>
      <c r="AY88" s="2"/>
      <c r="AZ88" s="2"/>
      <c r="BA88" s="3"/>
      <c r="BB88" s="3"/>
      <c r="BC88" s="1"/>
      <c r="BD88" s="3">
        <f>IFERROR(__xludf.DUMMYFUNCTION("""COMPUTED_VALUE"""),0.0)</f>
        <v>0</v>
      </c>
      <c r="BE88" s="4">
        <f>IFERROR(__xludf.DUMMYFUNCTION("""COMPUTED_VALUE"""),10.0)</f>
        <v>10</v>
      </c>
      <c r="BF88"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88" s="3" t="str">
        <f>IFERROR(__xludf.DUMMYFUNCTION("""COMPUTED_VALUE"""),"All")</f>
        <v>All</v>
      </c>
      <c r="BH88" s="3" t="str">
        <f>IFERROR(__xludf.DUMMYFUNCTION("""COMPUTED_VALUE"""),"Dragonscale Island")</f>
        <v>Dragonscale Island</v>
      </c>
      <c r="BI88" s="3"/>
      <c r="BJ88" s="3"/>
      <c r="BK88" s="3"/>
      <c r="BL88" s="3" t="b">
        <f>IFERROR(__xludf.DUMMYFUNCTION("""COMPUTED_VALUE"""),FALSE)</f>
        <v>0</v>
      </c>
      <c r="BM88" s="3"/>
      <c r="BN88" s="3"/>
      <c r="BO88" s="3"/>
      <c r="BP88" s="3"/>
      <c r="BQ88" s="3"/>
      <c r="BR88" s="3"/>
      <c r="BS88" s="3"/>
      <c r="BT88" s="3"/>
      <c r="BU88" s="3"/>
      <c r="BV88" s="3"/>
      <c r="BW88" s="3"/>
    </row>
    <row r="89" ht="15.75" customHeight="1">
      <c r="A89" s="2" t="str">
        <f>IFERROR(__xludf.DUMMYFUNCTION("""COMPUTED_VALUE"""),"Fire Mage")</f>
        <v>Fire Mage</v>
      </c>
      <c r="B89" s="2">
        <f>IFERROR(__xludf.DUMMYFUNCTION("""COMPUTED_VALUE"""),1.0)</f>
        <v>1</v>
      </c>
      <c r="C89" s="1"/>
      <c r="D89" s="2" t="str">
        <f>IFERROR(__xludf.DUMMYFUNCTION("""COMPUTED_VALUE"""),"Humanoid")</f>
        <v>Humanoid</v>
      </c>
      <c r="E89" s="2">
        <f>IFERROR(__xludf.DUMMYFUNCTION("""COMPUTED_VALUE"""),1010.0)</f>
        <v>1010</v>
      </c>
      <c r="F89" s="5">
        <f>IFERROR(__xludf.DUMMYFUNCTION("""COMPUTED_VALUE"""),1010.0)</f>
        <v>1010</v>
      </c>
      <c r="G89" s="2">
        <f>IFERROR(__xludf.DUMMYFUNCTION("""COMPUTED_VALUE"""),1010.0)</f>
        <v>1010</v>
      </c>
      <c r="H89" s="2">
        <f>IFERROR(__xludf.DUMMYFUNCTION("""COMPUTED_VALUE"""),10.0)</f>
        <v>10</v>
      </c>
      <c r="I89" s="2">
        <f>IFERROR(__xludf.DUMMYFUNCTION("""COMPUTED_VALUE"""),0.0)</f>
        <v>0</v>
      </c>
      <c r="J89" s="5">
        <f>IFERROR(__xludf.DUMMYFUNCTION("""COMPUTED_VALUE"""),0.0)</f>
        <v>0</v>
      </c>
      <c r="K89" s="5">
        <f>IFERROR(__xludf.DUMMYFUNCTION("""COMPUTED_VALUE"""),100.0)</f>
        <v>100</v>
      </c>
      <c r="L89" s="1">
        <f>IFERROR(__xludf.DUMMYFUNCTION("""COMPUTED_VALUE"""),100.0)</f>
        <v>100</v>
      </c>
      <c r="M89" s="1" t="str">
        <f>IFERROR(__xludf.DUMMYFUNCTION("""COMPUTED_VALUE"""),"Fire:Immune, ")</f>
        <v>Fire:Immune, </v>
      </c>
      <c r="N89" s="2" t="str">
        <f>IFERROR(__xludf.DUMMYFUNCTION("""COMPUTED_VALUE"""),"Water:100, ")</f>
        <v>Water:100, </v>
      </c>
      <c r="O89" s="2"/>
      <c r="P89" s="2"/>
      <c r="Q89" s="2"/>
      <c r="R89" s="2"/>
      <c r="S89" s="2"/>
      <c r="T89" s="2"/>
      <c r="U89" s="2"/>
      <c r="V89" s="2"/>
      <c r="W89" s="2"/>
      <c r="X89" s="2"/>
      <c r="Y89" s="2"/>
      <c r="Z89" s="2"/>
      <c r="AA89" s="2"/>
      <c r="AB89" s="2"/>
      <c r="AC89" s="2"/>
      <c r="AD89" s="2"/>
      <c r="AE89" s="2"/>
      <c r="AF89" s="2"/>
      <c r="AG89" s="2"/>
      <c r="AH89" s="2"/>
      <c r="AI89" s="2"/>
      <c r="AJ89" s="2" t="str">
        <f>IFERROR(__xludf.DUMMYFUNCTION("""COMPUTED_VALUE"""),"Divine Flame Cloak")</f>
        <v>Divine Flame Cloak</v>
      </c>
      <c r="AK89" s="2" t="str">
        <f>IFERROR(__xludf.DUMMYFUNCTION("""COMPUTED_VALUE"""),"Flame Sanctuary")</f>
        <v>Flame Sanctuary</v>
      </c>
      <c r="AL89" s="2" t="str">
        <f>IFERROR(__xludf.DUMMYFUNCTION("""COMPUTED_VALUE"""),"Volcanic wall")</f>
        <v>Volcanic wall</v>
      </c>
      <c r="AM89" s="2" t="str">
        <f>IFERROR(__xludf.DUMMYFUNCTION("""COMPUTED_VALUE"""),"Volcanic Rain")</f>
        <v>Volcanic Rain</v>
      </c>
      <c r="AN89" s="2" t="str">
        <f>IFERROR(__xludf.DUMMYFUNCTION("""COMPUTED_VALUE"""),"Solar Storm")</f>
        <v>Solar Storm</v>
      </c>
      <c r="AO89" s="2" t="str">
        <f>IFERROR(__xludf.DUMMYFUNCTION("""COMPUTED_VALUE"""),"Flame Thrower")</f>
        <v>Flame Thrower</v>
      </c>
      <c r="AP89" s="2" t="str">
        <f>IFERROR(__xludf.DUMMYFUNCTION("""COMPUTED_VALUE"""),"Celestial strike")</f>
        <v>Celestial strike</v>
      </c>
      <c r="AQ89" s="2"/>
      <c r="AR89" s="2"/>
      <c r="AS89" s="2"/>
      <c r="AT89" s="2"/>
      <c r="AU89" s="2"/>
      <c r="AV89" s="2"/>
      <c r="AW89" s="2"/>
      <c r="AX89" s="2"/>
      <c r="AY89" s="2"/>
      <c r="AZ89" s="2"/>
      <c r="BA89" s="3"/>
      <c r="BB89" s="3"/>
      <c r="BC89" s="1"/>
      <c r="BD89" s="3">
        <f>IFERROR(__xludf.DUMMYFUNCTION("""COMPUTED_VALUE"""),0.0)</f>
        <v>0</v>
      </c>
      <c r="BE89" s="4">
        <f>IFERROR(__xludf.DUMMYFUNCTION("""COMPUTED_VALUE"""),10.0)</f>
        <v>10</v>
      </c>
      <c r="BF89" s="3"/>
      <c r="BG89" s="3" t="str">
        <f>IFERROR(__xludf.DUMMYFUNCTION("""COMPUTED_VALUE"""),"All")</f>
        <v>All</v>
      </c>
      <c r="BH89" s="3"/>
      <c r="BI89" s="3"/>
      <c r="BJ89" s="3"/>
      <c r="BK89" s="3"/>
      <c r="BL89" s="3" t="b">
        <f>IFERROR(__xludf.DUMMYFUNCTION("""COMPUTED_VALUE"""),FALSE)</f>
        <v>0</v>
      </c>
      <c r="BM89" s="3"/>
      <c r="BN89" s="3"/>
      <c r="BO89" s="3"/>
      <c r="BP89" s="3"/>
      <c r="BQ89" s="3"/>
      <c r="BR89" s="3"/>
      <c r="BS89" s="3"/>
      <c r="BT89" s="3"/>
      <c r="BU89" s="3"/>
      <c r="BV89" s="3"/>
      <c r="BW89" s="3"/>
    </row>
    <row r="90" ht="15.75" customHeight="1">
      <c r="A90" s="2" t="str">
        <f>IFERROR(__xludf.DUMMYFUNCTION("""COMPUTED_VALUE"""),"Fire Soldier")</f>
        <v>Fire Soldier</v>
      </c>
      <c r="B90" s="2">
        <f>IFERROR(__xludf.DUMMYFUNCTION("""COMPUTED_VALUE"""),1.0)</f>
        <v>1</v>
      </c>
      <c r="C90" s="1"/>
      <c r="D90" s="5" t="str">
        <f>IFERROR(__xludf.DUMMYFUNCTION("""COMPUTED_VALUE"""),"Humanoid")</f>
        <v>Humanoid</v>
      </c>
      <c r="E90" s="5">
        <f>IFERROR(__xludf.DUMMYFUNCTION("""COMPUTED_VALUE"""),1010.0)</f>
        <v>1010</v>
      </c>
      <c r="F90" s="5">
        <f>IFERROR(__xludf.DUMMYFUNCTION("""COMPUTED_VALUE"""),1010.0)</f>
        <v>1010</v>
      </c>
      <c r="G90" s="5">
        <f>IFERROR(__xludf.DUMMYFUNCTION("""COMPUTED_VALUE"""),1010.0)</f>
        <v>1010</v>
      </c>
      <c r="H90" s="2">
        <f>IFERROR(__xludf.DUMMYFUNCTION("""COMPUTED_VALUE"""),10.0)</f>
        <v>10</v>
      </c>
      <c r="I90" s="2">
        <f>IFERROR(__xludf.DUMMYFUNCTION("""COMPUTED_VALUE"""),0.0)</f>
        <v>0</v>
      </c>
      <c r="J90" s="5">
        <f>IFERROR(__xludf.DUMMYFUNCTION("""COMPUTED_VALUE"""),0.0)</f>
        <v>0</v>
      </c>
      <c r="K90" s="5">
        <f>IFERROR(__xludf.DUMMYFUNCTION("""COMPUTED_VALUE"""),100.0)</f>
        <v>100</v>
      </c>
      <c r="L90" s="1">
        <f>IFERROR(__xludf.DUMMYFUNCTION("""COMPUTED_VALUE"""),100.0)</f>
        <v>100</v>
      </c>
      <c r="M90" s="1" t="str">
        <f>IFERROR(__xludf.DUMMYFUNCTION("""COMPUTED_VALUE"""),"Fire:Immune, Nature:Immune, ")</f>
        <v>Fire:Immune, Nature:Immune, </v>
      </c>
      <c r="N90" s="2" t="str">
        <f>IFERROR(__xludf.DUMMYFUNCTION("""COMPUTED_VALUE"""),"Water:100, ")</f>
        <v>Water:100, </v>
      </c>
      <c r="O90" s="2"/>
      <c r="P90" s="2"/>
      <c r="Q90" s="2"/>
      <c r="R90" s="2"/>
      <c r="S90" s="2"/>
      <c r="T90" s="2"/>
      <c r="U90" s="2"/>
      <c r="V90" s="2" t="str">
        <f>IFERROR(__xludf.DUMMYFUNCTION("""COMPUTED_VALUE"""),"Fire Sword")</f>
        <v>Fire Sword</v>
      </c>
      <c r="W90" s="2" t="str">
        <f>IFERROR(__xludf.DUMMYFUNCTION("""COMPUTED_VALUE"""),"Fire Shield")</f>
        <v>Fire Shield</v>
      </c>
      <c r="X90" s="2"/>
      <c r="Y90" s="2"/>
      <c r="Z90" s="2"/>
      <c r="AA90" s="2"/>
      <c r="AB90" s="2"/>
      <c r="AC90" s="2"/>
      <c r="AD90" s="2"/>
      <c r="AE90" s="2"/>
      <c r="AF90" s="2"/>
      <c r="AG90" s="2"/>
      <c r="AH90" s="2"/>
      <c r="AI90" s="2"/>
      <c r="AJ90" s="2" t="str">
        <f>IFERROR(__xludf.DUMMYFUNCTION("""COMPUTED_VALUE"""),"Forgotten Fire")</f>
        <v>Forgotten Fire</v>
      </c>
      <c r="AK90" s="2" t="str">
        <f>IFERROR(__xludf.DUMMYFUNCTION("""COMPUTED_VALUE"""),"Meteor Shower")</f>
        <v>Meteor Shower</v>
      </c>
      <c r="AL90" s="2"/>
      <c r="AM90" s="2"/>
      <c r="AN90" s="2"/>
      <c r="AO90" s="2"/>
      <c r="AP90" s="2"/>
      <c r="AQ90" s="2"/>
      <c r="AR90" s="2"/>
      <c r="AS90" s="2"/>
      <c r="AT90" s="2"/>
      <c r="AU90" s="2"/>
      <c r="AV90" s="2"/>
      <c r="AW90" s="2"/>
      <c r="AX90" s="2"/>
      <c r="AY90" s="2"/>
      <c r="AZ90" s="2"/>
      <c r="BA90" s="3"/>
      <c r="BB90" s="3"/>
      <c r="BC90" s="1"/>
      <c r="BD90" s="3">
        <f>IFERROR(__xludf.DUMMYFUNCTION("""COMPUTED_VALUE"""),0.0)</f>
        <v>0</v>
      </c>
      <c r="BE90" s="4">
        <f>IFERROR(__xludf.DUMMYFUNCTION("""COMPUTED_VALUE"""),10.0)</f>
        <v>10</v>
      </c>
      <c r="BF90" s="3"/>
      <c r="BG90" s="3" t="str">
        <f>IFERROR(__xludf.DUMMYFUNCTION("""COMPUTED_VALUE"""),"All")</f>
        <v>All</v>
      </c>
      <c r="BH90" s="3" t="str">
        <f>IFERROR(__xludf.DUMMYFUNCTION("""COMPUTED_VALUE"""),"Land Of Spira")</f>
        <v>Land Of Spira</v>
      </c>
      <c r="BI90" s="3"/>
      <c r="BJ90" s="3"/>
      <c r="BK90" s="3"/>
      <c r="BL90" s="3" t="b">
        <f>IFERROR(__xludf.DUMMYFUNCTION("""COMPUTED_VALUE"""),FALSE)</f>
        <v>0</v>
      </c>
      <c r="BM90" s="3"/>
      <c r="BN90" s="3"/>
      <c r="BO90" s="3"/>
      <c r="BP90" s="3"/>
      <c r="BQ90" s="3"/>
      <c r="BR90" s="3"/>
      <c r="BS90" s="3"/>
      <c r="BT90" s="3"/>
      <c r="BU90" s="3"/>
      <c r="BV90" s="3"/>
      <c r="BW90" s="3"/>
    </row>
    <row r="91" ht="15.75" customHeight="1">
      <c r="A91" s="2" t="str">
        <f>IFERROR(__xludf.DUMMYFUNCTION("""COMPUTED_VALUE"""),"Fire Warrior")</f>
        <v>Fire Warrior</v>
      </c>
      <c r="B91" s="2">
        <f>IFERROR(__xludf.DUMMYFUNCTION("""COMPUTED_VALUE"""),1.0)</f>
        <v>1</v>
      </c>
      <c r="C91" s="1"/>
      <c r="D91" s="5" t="str">
        <f>IFERROR(__xludf.DUMMYFUNCTION("""COMPUTED_VALUE"""),"Humanoid")</f>
        <v>Humanoid</v>
      </c>
      <c r="E91" s="5">
        <f>IFERROR(__xludf.DUMMYFUNCTION("""COMPUTED_VALUE"""),1010.0)</f>
        <v>1010</v>
      </c>
      <c r="F91" s="5">
        <f>IFERROR(__xludf.DUMMYFUNCTION("""COMPUTED_VALUE"""),1010.0)</f>
        <v>1010</v>
      </c>
      <c r="G91" s="5">
        <f>IFERROR(__xludf.DUMMYFUNCTION("""COMPUTED_VALUE"""),1010.0)</f>
        <v>1010</v>
      </c>
      <c r="H91" s="2">
        <f>IFERROR(__xludf.DUMMYFUNCTION("""COMPUTED_VALUE"""),10.0)</f>
        <v>10</v>
      </c>
      <c r="I91" s="2">
        <f>IFERROR(__xludf.DUMMYFUNCTION("""COMPUTED_VALUE"""),0.0)</f>
        <v>0</v>
      </c>
      <c r="J91" s="5">
        <f>IFERROR(__xludf.DUMMYFUNCTION("""COMPUTED_VALUE"""),0.0)</f>
        <v>0</v>
      </c>
      <c r="K91" s="5">
        <f>IFERROR(__xludf.DUMMYFUNCTION("""COMPUTED_VALUE"""),100.0)</f>
        <v>100</v>
      </c>
      <c r="L91" s="1">
        <f>IFERROR(__xludf.DUMMYFUNCTION("""COMPUTED_VALUE"""),100.0)</f>
        <v>100</v>
      </c>
      <c r="M91" s="1" t="str">
        <f>IFERROR(__xludf.DUMMYFUNCTION("""COMPUTED_VALUE"""),"Fire:Immune, Nature:Immune, ")</f>
        <v>Fire:Immune, Nature:Immune, </v>
      </c>
      <c r="N91" s="2" t="str">
        <f>IFERROR(__xludf.DUMMYFUNCTION("""COMPUTED_VALUE"""),"Water:100, ")</f>
        <v>Water:100, </v>
      </c>
      <c r="O91" s="2"/>
      <c r="P91" s="2"/>
      <c r="Q91" s="2"/>
      <c r="R91" s="2"/>
      <c r="S91" s="2"/>
      <c r="T91" s="2"/>
      <c r="U91" s="2"/>
      <c r="V91" s="2" t="str">
        <f>IFERROR(__xludf.DUMMYFUNCTION("""COMPUTED_VALUE"""),"Fire Sword")</f>
        <v>Fire Sword</v>
      </c>
      <c r="W91" s="2"/>
      <c r="X91" s="2"/>
      <c r="Y91" s="2"/>
      <c r="Z91" s="2"/>
      <c r="AA91" s="2"/>
      <c r="AB91" s="2"/>
      <c r="AC91" s="2"/>
      <c r="AD91" s="2"/>
      <c r="AE91" s="2"/>
      <c r="AF91" s="2"/>
      <c r="AG91" s="2"/>
      <c r="AH91" s="2"/>
      <c r="AI91" s="2"/>
      <c r="AJ91" s="2" t="str">
        <f>IFERROR(__xludf.DUMMYFUNCTION("""COMPUTED_VALUE"""),"Fire Bolt")</f>
        <v>Fire Bolt</v>
      </c>
      <c r="AK91" s="2" t="str">
        <f>IFERROR(__xludf.DUMMYFUNCTION("""COMPUTED_VALUE"""),"Meteor Shower")</f>
        <v>Meteor Shower</v>
      </c>
      <c r="AL91" s="2" t="str">
        <f>IFERROR(__xludf.DUMMYFUNCTION("""COMPUTED_VALUE"""),"Meteor Shower")</f>
        <v>Meteor Shower</v>
      </c>
      <c r="AM91" s="2"/>
      <c r="AN91" s="2"/>
      <c r="AO91" s="2"/>
      <c r="AP91" s="2"/>
      <c r="AQ91" s="2"/>
      <c r="AR91" s="2"/>
      <c r="AS91" s="2"/>
      <c r="AT91" s="2"/>
      <c r="AU91" s="2"/>
      <c r="AV91" s="2"/>
      <c r="AW91" s="2"/>
      <c r="AX91" s="2"/>
      <c r="AY91" s="2"/>
      <c r="AZ91" s="2"/>
      <c r="BA91" s="3"/>
      <c r="BB91" s="3"/>
      <c r="BC91" s="1"/>
      <c r="BD91" s="3">
        <f>IFERROR(__xludf.DUMMYFUNCTION("""COMPUTED_VALUE"""),0.0)</f>
        <v>0</v>
      </c>
      <c r="BE91" s="4">
        <f>IFERROR(__xludf.DUMMYFUNCTION("""COMPUTED_VALUE"""),10.0)</f>
        <v>10</v>
      </c>
      <c r="BF91" s="3"/>
      <c r="BG91" s="3" t="str">
        <f>IFERROR(__xludf.DUMMYFUNCTION("""COMPUTED_VALUE"""),"All")</f>
        <v>All</v>
      </c>
      <c r="BH91" s="3" t="str">
        <f>IFERROR(__xludf.DUMMYFUNCTION("""COMPUTED_VALUE"""),"Land Of Spira")</f>
        <v>Land Of Spira</v>
      </c>
      <c r="BI91" s="3"/>
      <c r="BJ91" s="3"/>
      <c r="BK91" s="3"/>
      <c r="BL91" s="3" t="b">
        <f>IFERROR(__xludf.DUMMYFUNCTION("""COMPUTED_VALUE"""),FALSE)</f>
        <v>0</v>
      </c>
      <c r="BM91" s="3"/>
      <c r="BN91" s="3"/>
      <c r="BO91" s="3"/>
      <c r="BP91" s="3"/>
      <c r="BQ91" s="3"/>
      <c r="BR91" s="3"/>
      <c r="BS91" s="3"/>
      <c r="BT91" s="3"/>
      <c r="BU91" s="3"/>
      <c r="BV91" s="3"/>
      <c r="BW91" s="3"/>
    </row>
    <row r="92" ht="15.75" customHeight="1">
      <c r="A92" s="2" t="str">
        <f>IFERROR(__xludf.DUMMYFUNCTION("""COMPUTED_VALUE"""),"Fireflies")</f>
        <v>Fireflies</v>
      </c>
      <c r="B92" s="2">
        <f>IFERROR(__xludf.DUMMYFUNCTION("""COMPUTED_VALUE"""),1.0)</f>
        <v>1</v>
      </c>
      <c r="C92" s="1" t="str">
        <f>IFERROR(__xludf.DUMMYFUNCTION("""COMPUTED_VALUE"""),"A carnivorous species of fly that harnesses the element of fire ")</f>
        <v>A carnivorous species of fly that harnesses the element of fire </v>
      </c>
      <c r="D92" s="2" t="str">
        <f>IFERROR(__xludf.DUMMYFUNCTION("""COMPUTED_VALUE"""),"Beast")</f>
        <v>Beast</v>
      </c>
      <c r="E92" s="2">
        <f>IFERROR(__xludf.DUMMYFUNCTION("""COMPUTED_VALUE"""),1010.0)</f>
        <v>1010</v>
      </c>
      <c r="F92" s="5">
        <f>IFERROR(__xludf.DUMMYFUNCTION("""COMPUTED_VALUE"""),1010.0)</f>
        <v>1010</v>
      </c>
      <c r="G92" s="2">
        <f>IFERROR(__xludf.DUMMYFUNCTION("""COMPUTED_VALUE"""),1010.0)</f>
        <v>1010</v>
      </c>
      <c r="H92" s="2">
        <f>IFERROR(__xludf.DUMMYFUNCTION("""COMPUTED_VALUE"""),10.0)</f>
        <v>10</v>
      </c>
      <c r="I92" s="2">
        <f>IFERROR(__xludf.DUMMYFUNCTION("""COMPUTED_VALUE"""),0.0)</f>
        <v>0</v>
      </c>
      <c r="J92" s="2">
        <f>IFERROR(__xludf.DUMMYFUNCTION("""COMPUTED_VALUE"""),0.0)</f>
        <v>0</v>
      </c>
      <c r="K92" s="2">
        <f>IFERROR(__xludf.DUMMYFUNCTION("""COMPUTED_VALUE"""),100.0)</f>
        <v>100</v>
      </c>
      <c r="L92" s="1">
        <f>IFERROR(__xludf.DUMMYFUNCTION("""COMPUTED_VALUE"""),100.0)</f>
        <v>100</v>
      </c>
      <c r="M92" s="1" t="str">
        <f>IFERROR(__xludf.DUMMYFUNCTION("""COMPUTED_VALUE"""),"")</f>
        <v/>
      </c>
      <c r="N92" s="2" t="str">
        <f>IFERROR(__xludf.DUMMYFUNCTION("""COMPUTED_VALUE"""),"")</f>
        <v/>
      </c>
      <c r="O92" s="2"/>
      <c r="P92" s="2"/>
      <c r="Q92" s="2"/>
      <c r="R92" s="2"/>
      <c r="S92" s="2"/>
      <c r="T92" s="2"/>
      <c r="U92" s="2"/>
      <c r="V92" s="2"/>
      <c r="W92" s="2"/>
      <c r="X92" s="2"/>
      <c r="Y92" s="2"/>
      <c r="Z92" s="2"/>
      <c r="AA92" s="2"/>
      <c r="AB92" s="2"/>
      <c r="AC92" s="2"/>
      <c r="AD92" s="2"/>
      <c r="AE92" s="2"/>
      <c r="AF92" s="2"/>
      <c r="AG92" s="2"/>
      <c r="AH92" s="2"/>
      <c r="AI92" s="2"/>
      <c r="AJ92" s="2" t="str">
        <f>IFERROR(__xludf.DUMMYFUNCTION("""COMPUTED_VALUE"""),"Flame Thrower")</f>
        <v>Flame Thrower</v>
      </c>
      <c r="AK92" s="2" t="str">
        <f>IFERROR(__xludf.DUMMYFUNCTION("""COMPUTED_VALUE"""),"Dive Bomb")</f>
        <v>Dive Bomb</v>
      </c>
      <c r="AL92" s="2"/>
      <c r="AM92" s="2"/>
      <c r="AN92" s="2"/>
      <c r="AO92" s="2"/>
      <c r="AP92" s="2"/>
      <c r="AQ92" s="2"/>
      <c r="AR92" s="2"/>
      <c r="AS92" s="2"/>
      <c r="AT92" s="2"/>
      <c r="AU92" s="2"/>
      <c r="AV92" s="2"/>
      <c r="AW92" s="2"/>
      <c r="AX92" s="2"/>
      <c r="AY92" s="2"/>
      <c r="AZ92" s="2"/>
      <c r="BA92" s="3"/>
      <c r="BB92" s="3"/>
      <c r="BC92" s="1"/>
      <c r="BD92" s="3">
        <f>IFERROR(__xludf.DUMMYFUNCTION("""COMPUTED_VALUE"""),0.0)</f>
        <v>0</v>
      </c>
      <c r="BE92" s="4">
        <f>IFERROR(__xludf.DUMMYFUNCTION("""COMPUTED_VALUE"""),10.0)</f>
        <v>10</v>
      </c>
      <c r="BF92" s="3" t="str">
        <f>IFERROR(__xludf.DUMMYFUNCTION("""COMPUTED_VALUE"""),"When used as a companion negates the need for darkvision in the dark.")</f>
        <v>When used as a companion negates the need for darkvision in the dark.</v>
      </c>
      <c r="BG92" s="3" t="str">
        <f>IFERROR(__xludf.DUMMYFUNCTION("""COMPUTED_VALUE"""),"All")</f>
        <v>All</v>
      </c>
      <c r="BH92" s="3" t="str">
        <f>IFERROR(__xludf.DUMMYFUNCTION("""COMPUTED_VALUE"""),"Land of Spira")</f>
        <v>Land of Spira</v>
      </c>
      <c r="BI92" s="3"/>
      <c r="BJ92" s="3"/>
      <c r="BK92" s="3"/>
      <c r="BL92" s="3" t="b">
        <f>IFERROR(__xludf.DUMMYFUNCTION("""COMPUTED_VALUE"""),FALSE)</f>
        <v>0</v>
      </c>
      <c r="BM92" s="3"/>
      <c r="BN92" s="3"/>
      <c r="BO92" s="3"/>
      <c r="BP92" s="3"/>
      <c r="BQ92" s="3"/>
      <c r="BR92" s="3"/>
      <c r="BS92" s="3"/>
      <c r="BT92" s="3"/>
      <c r="BU92" s="3"/>
      <c r="BV92" s="3"/>
      <c r="BW92" s="3"/>
    </row>
    <row r="93" ht="15.75" customHeight="1">
      <c r="A93" s="2" t="str">
        <f>IFERROR(__xludf.DUMMYFUNCTION("""COMPUTED_VALUE"""),"Flamethrower Corpse")</f>
        <v>Flamethrower Corpse</v>
      </c>
      <c r="B93" s="2">
        <f>IFERROR(__xludf.DUMMYFUNCTION("""COMPUTED_VALUE"""),1.0)</f>
        <v>1</v>
      </c>
      <c r="C93" s="1"/>
      <c r="D93" s="5" t="str">
        <f>IFERROR(__xludf.DUMMYFUNCTION("""COMPUTED_VALUE"""),"Undead")</f>
        <v>Undead</v>
      </c>
      <c r="E93" s="5">
        <f>IFERROR(__xludf.DUMMYFUNCTION("""COMPUTED_VALUE"""),1010.0)</f>
        <v>1010</v>
      </c>
      <c r="F93" s="5">
        <f>IFERROR(__xludf.DUMMYFUNCTION("""COMPUTED_VALUE"""),1010.0)</f>
        <v>1010</v>
      </c>
      <c r="G93" s="5">
        <f>IFERROR(__xludf.DUMMYFUNCTION("""COMPUTED_VALUE"""),1010.0)</f>
        <v>1010</v>
      </c>
      <c r="H93" s="2">
        <f>IFERROR(__xludf.DUMMYFUNCTION("""COMPUTED_VALUE"""),10.0)</f>
        <v>10</v>
      </c>
      <c r="I93" s="2">
        <f>IFERROR(__xludf.DUMMYFUNCTION("""COMPUTED_VALUE"""),0.0)</f>
        <v>0</v>
      </c>
      <c r="J93" s="5">
        <f>IFERROR(__xludf.DUMMYFUNCTION("""COMPUTED_VALUE"""),0.0)</f>
        <v>0</v>
      </c>
      <c r="K93" s="5">
        <f>IFERROR(__xludf.DUMMYFUNCTION("""COMPUTED_VALUE"""),100.0)</f>
        <v>100</v>
      </c>
      <c r="L93" s="1">
        <f>IFERROR(__xludf.DUMMYFUNCTION("""COMPUTED_VALUE"""),100.0)</f>
        <v>100</v>
      </c>
      <c r="M93" s="1" t="str">
        <f>IFERROR(__xludf.DUMMYFUNCTION("""COMPUTED_VALUE"""),"Nature:Immune, ")</f>
        <v>Nature:Immune, </v>
      </c>
      <c r="N93" s="2" t="str">
        <f>IFERROR(__xludf.DUMMYFUNCTION("""COMPUTED_VALUE"""),"Water:100, ")</f>
        <v>Water:100, </v>
      </c>
      <c r="O93" s="2" t="str">
        <f>IFERROR(__xludf.DUMMYFUNCTION("""COMPUTED_VALUE"""),"Flame Mask")</f>
        <v>Flame Mask</v>
      </c>
      <c r="P93" s="2"/>
      <c r="Q93" s="2"/>
      <c r="R93" s="2"/>
      <c r="S93" s="2"/>
      <c r="T93" s="2" t="str">
        <f>IFERROR(__xludf.DUMMYFUNCTION("""COMPUTED_VALUE"""),"Fireproof Suit")</f>
        <v>Fireproof Suit</v>
      </c>
      <c r="U93" s="2"/>
      <c r="V93" s="2"/>
      <c r="W93" s="2" t="str">
        <f>IFERROR(__xludf.DUMMYFUNCTION("""COMPUTED_VALUE"""),"Flamethrower")</f>
        <v>Flamethrower</v>
      </c>
      <c r="X93" s="2"/>
      <c r="Y93" s="2"/>
      <c r="Z93" s="2"/>
      <c r="AA93" s="2"/>
      <c r="AB93" s="2"/>
      <c r="AC93" s="2"/>
      <c r="AD93" s="2"/>
      <c r="AE93" s="2"/>
      <c r="AF93" s="2"/>
      <c r="AG93" s="2"/>
      <c r="AH93" s="2"/>
      <c r="AI93" s="2" t="str">
        <f>IFERROR(__xludf.DUMMYFUNCTION("""COMPUTED_VALUE"""),"Fire Resistant Boots")</f>
        <v>Fire Resistant Boots</v>
      </c>
      <c r="AJ93" s="2"/>
      <c r="AK93" s="2" t="str">
        <f>IFERROR(__xludf.DUMMYFUNCTION("""COMPUTED_VALUE"""),"Flame Thrower")</f>
        <v>Flame Thrower</v>
      </c>
      <c r="AL93" s="2" t="str">
        <f>IFERROR(__xludf.DUMMYFUNCTION("""COMPUTED_VALUE"""),"Undead Bite")</f>
        <v>Undead Bite</v>
      </c>
      <c r="AM93" s="2"/>
      <c r="AN93" s="2"/>
      <c r="AO93" s="2"/>
      <c r="AP93" s="2"/>
      <c r="AQ93" s="2"/>
      <c r="AR93" s="2"/>
      <c r="AS93" s="2"/>
      <c r="AT93" s="2"/>
      <c r="AU93" s="2"/>
      <c r="AV93" s="2"/>
      <c r="AW93" s="2"/>
      <c r="AX93" s="2"/>
      <c r="AY93" s="2"/>
      <c r="AZ93" s="2"/>
      <c r="BA93" s="3"/>
      <c r="BB93" s="3"/>
      <c r="BC93" s="1"/>
      <c r="BD93" s="3">
        <f>IFERROR(__xludf.DUMMYFUNCTION("""COMPUTED_VALUE"""),0.0)</f>
        <v>0</v>
      </c>
      <c r="BE93" s="4">
        <f>IFERROR(__xludf.DUMMYFUNCTION("""COMPUTED_VALUE"""),10.0)</f>
        <v>10</v>
      </c>
      <c r="BF93" s="3"/>
      <c r="BG93" s="3" t="str">
        <f>IFERROR(__xludf.DUMMYFUNCTION("""COMPUTED_VALUE"""),"All")</f>
        <v>All</v>
      </c>
      <c r="BH93" s="3" t="str">
        <f>IFERROR(__xludf.DUMMYFUNCTION("""COMPUTED_VALUE"""),"Land of Spira")</f>
        <v>Land of Spira</v>
      </c>
      <c r="BI93" s="3"/>
      <c r="BJ93" s="3"/>
      <c r="BK93" s="3"/>
      <c r="BL93" s="3" t="b">
        <f>IFERROR(__xludf.DUMMYFUNCTION("""COMPUTED_VALUE"""),FALSE)</f>
        <v>0</v>
      </c>
      <c r="BM93" s="3"/>
      <c r="BN93" s="3"/>
      <c r="BO93" s="3"/>
      <c r="BP93" s="3"/>
      <c r="BQ93" s="3"/>
      <c r="BR93" s="3"/>
      <c r="BS93" s="3"/>
      <c r="BT93" s="3"/>
      <c r="BU93" s="3"/>
      <c r="BV93" s="3"/>
      <c r="BW93" s="3"/>
    </row>
    <row r="94" ht="15.75" customHeight="1">
      <c r="A94" s="2" t="str">
        <f>IFERROR(__xludf.DUMMYFUNCTION("""COMPUTED_VALUE"""),"Flaming Behemoth")</f>
        <v>Flaming Behemoth</v>
      </c>
      <c r="B94" s="2">
        <f>IFERROR(__xludf.DUMMYFUNCTION("""COMPUTED_VALUE"""),1.0)</f>
        <v>1</v>
      </c>
      <c r="C94" s="1"/>
      <c r="D94" s="5" t="str">
        <f>IFERROR(__xludf.DUMMYFUNCTION("""COMPUTED_VALUE"""),"Beast")</f>
        <v>Beast</v>
      </c>
      <c r="E94" s="5">
        <f>IFERROR(__xludf.DUMMYFUNCTION("""COMPUTED_VALUE"""),1010.0)</f>
        <v>1010</v>
      </c>
      <c r="F94" s="5">
        <f>IFERROR(__xludf.DUMMYFUNCTION("""COMPUTED_VALUE"""),1010.0)</f>
        <v>1010</v>
      </c>
      <c r="G94" s="5">
        <f>IFERROR(__xludf.DUMMYFUNCTION("""COMPUTED_VALUE"""),1010.0)</f>
        <v>1010</v>
      </c>
      <c r="H94" s="2">
        <f>IFERROR(__xludf.DUMMYFUNCTION("""COMPUTED_VALUE"""),10.0)</f>
        <v>10</v>
      </c>
      <c r="I94" s="2">
        <f>IFERROR(__xludf.DUMMYFUNCTION("""COMPUTED_VALUE"""),0.0)</f>
        <v>0</v>
      </c>
      <c r="J94" s="5">
        <f>IFERROR(__xludf.DUMMYFUNCTION("""COMPUTED_VALUE"""),0.0)</f>
        <v>0</v>
      </c>
      <c r="K94" s="5">
        <f>IFERROR(__xludf.DUMMYFUNCTION("""COMPUTED_VALUE"""),100.0)</f>
        <v>100</v>
      </c>
      <c r="L94" s="1">
        <f>IFERROR(__xludf.DUMMYFUNCTION("""COMPUTED_VALUE"""),100.0)</f>
        <v>100</v>
      </c>
      <c r="M94" s="1" t="str">
        <f>IFERROR(__xludf.DUMMYFUNCTION("""COMPUTED_VALUE"""),"Fire:Immune, Nature:Immune, ")</f>
        <v>Fire:Immune, Nature:Immune, </v>
      </c>
      <c r="N94" s="2" t="str">
        <f>IFERROR(__xludf.DUMMYFUNCTION("""COMPUTED_VALUE"""),"Water:100, ")</f>
        <v>Water:100, </v>
      </c>
      <c r="O94" s="2"/>
      <c r="P94" s="2"/>
      <c r="Q94" s="2"/>
      <c r="R94" s="2"/>
      <c r="S94" s="2"/>
      <c r="T94" s="2"/>
      <c r="U94" s="2"/>
      <c r="V94" s="2"/>
      <c r="W94" s="2"/>
      <c r="X94" s="2"/>
      <c r="Y94" s="2"/>
      <c r="Z94" s="2"/>
      <c r="AA94" s="2"/>
      <c r="AB94" s="2"/>
      <c r="AC94" s="2"/>
      <c r="AD94" s="2"/>
      <c r="AE94" s="2"/>
      <c r="AF94" s="2"/>
      <c r="AG94" s="2"/>
      <c r="AH94" s="2"/>
      <c r="AI94" s="2"/>
      <c r="AJ94" s="2" t="str">
        <f>IFERROR(__xludf.DUMMYFUNCTION("""COMPUTED_VALUE"""),"Volcanic Claws")</f>
        <v>Volcanic Claws</v>
      </c>
      <c r="AK94" s="2" t="str">
        <f>IFERROR(__xludf.DUMMYFUNCTION("""COMPUTED_VALUE"""),"Volcanic Rain")</f>
        <v>Volcanic Rain</v>
      </c>
      <c r="AL94" s="2" t="str">
        <f>IFERROR(__xludf.DUMMYFUNCTION("""COMPUTED_VALUE"""),"Mass Ignition")</f>
        <v>Mass Ignition</v>
      </c>
      <c r="AM94" s="2" t="str">
        <f>IFERROR(__xludf.DUMMYFUNCTION("""COMPUTED_VALUE"""),"Darkest Abyss")</f>
        <v>Darkest Abyss</v>
      </c>
      <c r="AN94" s="2" t="str">
        <f>IFERROR(__xludf.DUMMYFUNCTION("""COMPUTED_VALUE"""),"Dark Curse")</f>
        <v>Dark Curse</v>
      </c>
      <c r="AO94" s="2" t="str">
        <f>IFERROR(__xludf.DUMMYFUNCTION("""COMPUTED_VALUE"""),"Berserk")</f>
        <v>Berserk</v>
      </c>
      <c r="AP94" s="2" t="str">
        <f>IFERROR(__xludf.DUMMYFUNCTION("""COMPUTED_VALUE"""),"Celestial Wrath")</f>
        <v>Celestial Wrath</v>
      </c>
      <c r="AQ94" s="2"/>
      <c r="AR94" s="2"/>
      <c r="AS94" s="2"/>
      <c r="AT94" s="2"/>
      <c r="AU94" s="2"/>
      <c r="AV94" s="2"/>
      <c r="AW94" s="2"/>
      <c r="AX94" s="2"/>
      <c r="AY94" s="2"/>
      <c r="AZ94" s="2"/>
      <c r="BA94" s="3"/>
      <c r="BB94" s="3"/>
      <c r="BC94" s="1"/>
      <c r="BD94" s="3">
        <f>IFERROR(__xludf.DUMMYFUNCTION("""COMPUTED_VALUE"""),0.0)</f>
        <v>0</v>
      </c>
      <c r="BE94" s="4">
        <f>IFERROR(__xludf.DUMMYFUNCTION("""COMPUTED_VALUE"""),10.0)</f>
        <v>10</v>
      </c>
      <c r="BF94" s="3" t="str">
        <f>IFERROR(__xludf.DUMMYFUNCTION("""COMPUTED_VALUE"""),"A Dark Calling: +5 can be added to this mobs rolls.")</f>
        <v>A Dark Calling: +5 can be added to this mobs rolls.</v>
      </c>
      <c r="BG94" s="3" t="str">
        <f>IFERROR(__xludf.DUMMYFUNCTION("""COMPUTED_VALUE"""),"All")</f>
        <v>All</v>
      </c>
      <c r="BH94" s="3" t="str">
        <f>IFERROR(__xludf.DUMMYFUNCTION("""COMPUTED_VALUE"""),"Abstara")</f>
        <v>Abstara</v>
      </c>
      <c r="BI94" s="3"/>
      <c r="BJ94" s="3"/>
      <c r="BK94" s="3"/>
      <c r="BL94" s="3" t="b">
        <f>IFERROR(__xludf.DUMMYFUNCTION("""COMPUTED_VALUE"""),FALSE)</f>
        <v>0</v>
      </c>
      <c r="BM94" s="3"/>
      <c r="BN94" s="3"/>
      <c r="BO94" s="3"/>
      <c r="BP94" s="3"/>
      <c r="BQ94" s="3"/>
      <c r="BR94" s="3"/>
      <c r="BS94" s="3"/>
      <c r="BT94" s="3"/>
      <c r="BU94" s="3"/>
      <c r="BV94" s="3"/>
      <c r="BW94" s="3"/>
    </row>
    <row r="95" ht="15.75" customHeight="1">
      <c r="A95" s="2" t="str">
        <f>IFERROR(__xludf.DUMMYFUNCTION("""COMPUTED_VALUE"""),"Flaming Buffalo")</f>
        <v>Flaming Buffalo</v>
      </c>
      <c r="B95" s="2">
        <f>IFERROR(__xludf.DUMMYFUNCTION("""COMPUTED_VALUE"""),1.0)</f>
        <v>1</v>
      </c>
      <c r="C95" s="1"/>
      <c r="D95" s="7" t="str">
        <f>IFERROR(__xludf.DUMMYFUNCTION("""COMPUTED_VALUE"""),"Beast")</f>
        <v>Beast</v>
      </c>
      <c r="E95" s="7">
        <f>IFERROR(__xludf.DUMMYFUNCTION("""COMPUTED_VALUE"""),1010.0)</f>
        <v>1010</v>
      </c>
      <c r="F95" s="7">
        <f>IFERROR(__xludf.DUMMYFUNCTION("""COMPUTED_VALUE"""),1010.0)</f>
        <v>1010</v>
      </c>
      <c r="G95" s="7">
        <f>IFERROR(__xludf.DUMMYFUNCTION("""COMPUTED_VALUE"""),1010.0)</f>
        <v>1010</v>
      </c>
      <c r="H95" s="2">
        <f>IFERROR(__xludf.DUMMYFUNCTION("""COMPUTED_VALUE"""),10.0)</f>
        <v>10</v>
      </c>
      <c r="I95" s="2">
        <f>IFERROR(__xludf.DUMMYFUNCTION("""COMPUTED_VALUE"""),0.0)</f>
        <v>0</v>
      </c>
      <c r="J95" s="2">
        <f>IFERROR(__xludf.DUMMYFUNCTION("""COMPUTED_VALUE"""),0.0)</f>
        <v>0</v>
      </c>
      <c r="K95" s="5">
        <f>IFERROR(__xludf.DUMMYFUNCTION("""COMPUTED_VALUE"""),100.0)</f>
        <v>100</v>
      </c>
      <c r="L95" s="1">
        <f>IFERROR(__xludf.DUMMYFUNCTION("""COMPUTED_VALUE"""),100.0)</f>
        <v>100</v>
      </c>
      <c r="M95" s="1" t="str">
        <f>IFERROR(__xludf.DUMMYFUNCTION("""COMPUTED_VALUE"""),"Fire:Immune, Nature:Immune, ")</f>
        <v>Fire:Immune, Nature:Immune, </v>
      </c>
      <c r="N95" s="2" t="str">
        <f>IFERROR(__xludf.DUMMYFUNCTION("""COMPUTED_VALUE"""),"Water:100, ")</f>
        <v>Water:100, </v>
      </c>
      <c r="O95" s="2"/>
      <c r="P95" s="2"/>
      <c r="Q95" s="2"/>
      <c r="R95" s="2"/>
      <c r="S95" s="2"/>
      <c r="T95" s="2"/>
      <c r="U95" s="2"/>
      <c r="V95" s="2"/>
      <c r="W95" s="2"/>
      <c r="X95" s="2"/>
      <c r="Y95" s="2"/>
      <c r="Z95" s="2"/>
      <c r="AA95" s="2"/>
      <c r="AB95" s="2"/>
      <c r="AC95" s="2"/>
      <c r="AD95" s="2"/>
      <c r="AE95" s="2"/>
      <c r="AF95" s="2"/>
      <c r="AG95" s="2"/>
      <c r="AH95" s="2"/>
      <c r="AI95" s="2"/>
      <c r="AJ95" s="2" t="str">
        <f>IFERROR(__xludf.DUMMYFUNCTION("""COMPUTED_VALUE"""),"Flaming Horns")</f>
        <v>Flaming Horns</v>
      </c>
      <c r="AK95" s="2" t="str">
        <f>IFERROR(__xludf.DUMMYFUNCTION("""COMPUTED_VALUE"""),"Horns")</f>
        <v>Horns</v>
      </c>
      <c r="AL95" s="2" t="str">
        <f>IFERROR(__xludf.DUMMYFUNCTION("""COMPUTED_VALUE"""),"Flame Thrower")</f>
        <v>Flame Thrower</v>
      </c>
      <c r="AM95" s="2" t="str">
        <f>IFERROR(__xludf.DUMMYFUNCTION("""COMPUTED_VALUE"""),"Berserk")</f>
        <v>Berserk</v>
      </c>
      <c r="AN95" s="2" t="str">
        <f>IFERROR(__xludf.DUMMYFUNCTION("""COMPUTED_VALUE"""),"Guard")</f>
        <v>Guard</v>
      </c>
      <c r="AO95" s="2" t="str">
        <f>IFERROR(__xludf.DUMMYFUNCTION("""COMPUTED_VALUE"""),"Tackle")</f>
        <v>Tackle</v>
      </c>
      <c r="AP95" s="2" t="str">
        <f>IFERROR(__xludf.DUMMYFUNCTION("""COMPUTED_VALUE"""),"Bite")</f>
        <v>Bite</v>
      </c>
      <c r="AQ95" s="2"/>
      <c r="AR95" s="2"/>
      <c r="AS95" s="2"/>
      <c r="AT95" s="2"/>
      <c r="AU95" s="2"/>
      <c r="AV95" s="2"/>
      <c r="AW95" s="2"/>
      <c r="AX95" s="2"/>
      <c r="AY95" s="2"/>
      <c r="AZ95" s="2"/>
      <c r="BA95" s="3"/>
      <c r="BB95" s="3"/>
      <c r="BC95" s="1"/>
      <c r="BD95" s="3">
        <f>IFERROR(__xludf.DUMMYFUNCTION("""COMPUTED_VALUE"""),0.0)</f>
        <v>0</v>
      </c>
      <c r="BE95" s="4">
        <f>IFERROR(__xludf.DUMMYFUNCTION("""COMPUTED_VALUE"""),10.0)</f>
        <v>10</v>
      </c>
      <c r="BF95" s="3" t="str">
        <f>IFERROR(__xludf.DUMMYFUNCTION("""COMPUTED_VALUE"""),"Charging Stance: +5 can be added to this mobs rolls.
Quick Charge:  Allows this mob to use 2 natural attacks in one turn.")</f>
        <v>Charging Stance: +5 can be added to this mobs rolls.
Quick Charge:  Allows this mob to use 2 natural attacks in one turn.</v>
      </c>
      <c r="BG95" s="3" t="str">
        <f>IFERROR(__xludf.DUMMYFUNCTION("""COMPUTED_VALUE"""),"All")</f>
        <v>All</v>
      </c>
      <c r="BH95" s="3" t="str">
        <f>IFERROR(__xludf.DUMMYFUNCTION("""COMPUTED_VALUE"""),"Abstara")</f>
        <v>Abstara</v>
      </c>
      <c r="BI95" s="3"/>
      <c r="BJ95" s="3"/>
      <c r="BK95" s="3"/>
      <c r="BL95" s="3" t="b">
        <f>IFERROR(__xludf.DUMMYFUNCTION("""COMPUTED_VALUE"""),FALSE)</f>
        <v>0</v>
      </c>
      <c r="BM95" s="3"/>
      <c r="BN95" s="3"/>
      <c r="BO95" s="3"/>
      <c r="BP95" s="3"/>
      <c r="BQ95" s="3"/>
      <c r="BR95" s="3"/>
      <c r="BS95" s="3"/>
      <c r="BT95" s="3"/>
      <c r="BU95" s="3"/>
      <c r="BV95" s="3"/>
      <c r="BW95" s="3"/>
    </row>
    <row r="96" ht="15.75" customHeight="1">
      <c r="A96" s="2" t="str">
        <f>IFERROR(__xludf.DUMMYFUNCTION("""COMPUTED_VALUE"""),"Flaming Cactus")</f>
        <v>Flaming Cactus</v>
      </c>
      <c r="B96" s="2">
        <f>IFERROR(__xludf.DUMMYFUNCTION("""COMPUTED_VALUE"""),1.0)</f>
        <v>1</v>
      </c>
      <c r="C96" s="1"/>
      <c r="D96" s="5" t="str">
        <f>IFERROR(__xludf.DUMMYFUNCTION("""COMPUTED_VALUE"""),"Monstrosity")</f>
        <v>Monstrosity</v>
      </c>
      <c r="E96" s="5">
        <f>IFERROR(__xludf.DUMMYFUNCTION("""COMPUTED_VALUE"""),1010.0)</f>
        <v>1010</v>
      </c>
      <c r="F96" s="5">
        <f>IFERROR(__xludf.DUMMYFUNCTION("""COMPUTED_VALUE"""),1010.0)</f>
        <v>1010</v>
      </c>
      <c r="G96" s="5">
        <f>IFERROR(__xludf.DUMMYFUNCTION("""COMPUTED_VALUE"""),1010.0)</f>
        <v>1010</v>
      </c>
      <c r="H96" s="2">
        <f>IFERROR(__xludf.DUMMYFUNCTION("""COMPUTED_VALUE"""),10.0)</f>
        <v>10</v>
      </c>
      <c r="I96" s="2">
        <f>IFERROR(__xludf.DUMMYFUNCTION("""COMPUTED_VALUE"""),0.0)</f>
        <v>0</v>
      </c>
      <c r="J96" s="5">
        <f>IFERROR(__xludf.DUMMYFUNCTION("""COMPUTED_VALUE"""),0.0)</f>
        <v>0</v>
      </c>
      <c r="K96" s="5">
        <f>IFERROR(__xludf.DUMMYFUNCTION("""COMPUTED_VALUE"""),100.0)</f>
        <v>100</v>
      </c>
      <c r="L96" s="1">
        <f>IFERROR(__xludf.DUMMYFUNCTION("""COMPUTED_VALUE"""),100.0)</f>
        <v>100</v>
      </c>
      <c r="M96" s="1" t="str">
        <f>IFERROR(__xludf.DUMMYFUNCTION("""COMPUTED_VALUE"""),"Fire:Immune, Nature:Immune, ")</f>
        <v>Fire:Immune, Nature:Immune, </v>
      </c>
      <c r="N96" s="2" t="str">
        <f>IFERROR(__xludf.DUMMYFUNCTION("""COMPUTED_VALUE"""),"Water:100, ")</f>
        <v>Water:100, </v>
      </c>
      <c r="O96" s="2"/>
      <c r="P96" s="2"/>
      <c r="Q96" s="2"/>
      <c r="R96" s="2"/>
      <c r="S96" s="2"/>
      <c r="T96" s="2"/>
      <c r="U96" s="2"/>
      <c r="V96" s="2"/>
      <c r="W96" s="2"/>
      <c r="X96" s="2"/>
      <c r="Y96" s="2"/>
      <c r="Z96" s="2"/>
      <c r="AA96" s="2"/>
      <c r="AB96" s="2"/>
      <c r="AC96" s="2"/>
      <c r="AD96" s="2"/>
      <c r="AE96" s="2"/>
      <c r="AF96" s="2"/>
      <c r="AG96" s="2"/>
      <c r="AH96" s="2"/>
      <c r="AI96" s="2"/>
      <c r="AJ96" s="2" t="str">
        <f>IFERROR(__xludf.DUMMYFUNCTION("""COMPUTED_VALUE"""),"Sunny Day")</f>
        <v>Sunny Day</v>
      </c>
      <c r="AK96" s="2" t="str">
        <f>IFERROR(__xludf.DUMMYFUNCTION("""COMPUTED_VALUE"""),"Inferno Sun")</f>
        <v>Inferno Sun</v>
      </c>
      <c r="AL96" s="2"/>
      <c r="AM96" s="2"/>
      <c r="AN96" s="2"/>
      <c r="AO96" s="2"/>
      <c r="AP96" s="2"/>
      <c r="AQ96" s="2"/>
      <c r="AR96" s="2"/>
      <c r="AS96" s="2"/>
      <c r="AT96" s="2"/>
      <c r="AU96" s="2"/>
      <c r="AV96" s="2"/>
      <c r="AW96" s="2"/>
      <c r="AX96" s="2"/>
      <c r="AY96" s="2"/>
      <c r="AZ96" s="2"/>
      <c r="BA96" s="3"/>
      <c r="BB96" s="3"/>
      <c r="BC96" s="1"/>
      <c r="BD96" s="3">
        <f>IFERROR(__xludf.DUMMYFUNCTION("""COMPUTED_VALUE"""),0.0)</f>
        <v>0</v>
      </c>
      <c r="BE96" s="4">
        <f>IFERROR(__xludf.DUMMYFUNCTION("""COMPUTED_VALUE"""),10.0)</f>
        <v>10</v>
      </c>
      <c r="BF96" s="3" t="str">
        <f>IFERROR(__xludf.DUMMYFUNCTION("""COMPUTED_VALUE"""),"Spiteful Hit - When this mob is attacked with a non ranged weapon, reflect the damage back at the target.
Water Absorb - When hit with a water attack gain hp and sp equal to the damage that would have been dealt instead of taking the damage.")</f>
        <v>Spiteful Hit - When this mob is attacked with a non ranged weapon, reflect the damage back at the target.
Water Absorb - When hit with a water attack gain hp and sp equal to the damage that would have been dealt instead of taking the damage.</v>
      </c>
      <c r="BG96" s="3" t="str">
        <f>IFERROR(__xludf.DUMMYFUNCTION("""COMPUTED_VALUE"""),"All")</f>
        <v>All</v>
      </c>
      <c r="BH96" s="3" t="str">
        <f>IFERROR(__xludf.DUMMYFUNCTION("""COMPUTED_VALUE"""),"Abstara")</f>
        <v>Abstara</v>
      </c>
      <c r="BI96" s="3"/>
      <c r="BJ96" s="3"/>
      <c r="BK96" s="3"/>
      <c r="BL96" s="3" t="b">
        <f>IFERROR(__xludf.DUMMYFUNCTION("""COMPUTED_VALUE"""),FALSE)</f>
        <v>0</v>
      </c>
      <c r="BM96" s="3"/>
      <c r="BN96" s="3"/>
      <c r="BO96" s="3"/>
      <c r="BP96" s="3"/>
      <c r="BQ96" s="3"/>
      <c r="BR96" s="3"/>
      <c r="BS96" s="3"/>
      <c r="BT96" s="3"/>
      <c r="BU96" s="3"/>
      <c r="BV96" s="3"/>
      <c r="BW96" s="3"/>
    </row>
    <row r="97" ht="15.75" customHeight="1">
      <c r="A97" s="2" t="str">
        <f>IFERROR(__xludf.DUMMYFUNCTION("""COMPUTED_VALUE"""),"Flaming Dragon Knight")</f>
        <v>Flaming Dragon Knight</v>
      </c>
      <c r="B97" s="2">
        <f>IFERROR(__xludf.DUMMYFUNCTION("""COMPUTED_VALUE"""),1.0)</f>
        <v>1</v>
      </c>
      <c r="C97" s="1"/>
      <c r="D97" s="5" t="str">
        <f>IFERROR(__xludf.DUMMYFUNCTION("""COMPUTED_VALUE"""),"Humanoid")</f>
        <v>Humanoid</v>
      </c>
      <c r="E97" s="5">
        <f>IFERROR(__xludf.DUMMYFUNCTION("""COMPUTED_VALUE"""),1010.0)</f>
        <v>1010</v>
      </c>
      <c r="F97" s="5">
        <f>IFERROR(__xludf.DUMMYFUNCTION("""COMPUTED_VALUE"""),1010.0)</f>
        <v>1010</v>
      </c>
      <c r="G97" s="5">
        <f>IFERROR(__xludf.DUMMYFUNCTION("""COMPUTED_VALUE"""),1010.0)</f>
        <v>1010</v>
      </c>
      <c r="H97" s="2">
        <f>IFERROR(__xludf.DUMMYFUNCTION("""COMPUTED_VALUE"""),10.0)</f>
        <v>10</v>
      </c>
      <c r="I97" s="2">
        <f>IFERROR(__xludf.DUMMYFUNCTION("""COMPUTED_VALUE"""),0.0)</f>
        <v>0</v>
      </c>
      <c r="J97" s="5">
        <f>IFERROR(__xludf.DUMMYFUNCTION("""COMPUTED_VALUE"""),0.0)</f>
        <v>0</v>
      </c>
      <c r="K97" s="5">
        <f>IFERROR(__xludf.DUMMYFUNCTION("""COMPUTED_VALUE"""),100.0)</f>
        <v>100</v>
      </c>
      <c r="L97" s="1">
        <f>IFERROR(__xludf.DUMMYFUNCTION("""COMPUTED_VALUE"""),100.0)</f>
        <v>100</v>
      </c>
      <c r="M97" s="1" t="str">
        <f>IFERROR(__xludf.DUMMYFUNCTION("""COMPUTED_VALUE"""),"Fire:Immune, ")</f>
        <v>Fire:Immune, </v>
      </c>
      <c r="N97" s="2" t="str">
        <f>IFERROR(__xludf.DUMMYFUNCTION("""COMPUTED_VALUE"""),"Water:100, ")</f>
        <v>Water:100, </v>
      </c>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3"/>
      <c r="BB97" s="3"/>
      <c r="BC97" s="1"/>
      <c r="BD97" s="3">
        <f>IFERROR(__xludf.DUMMYFUNCTION("""COMPUTED_VALUE"""),0.0)</f>
        <v>0</v>
      </c>
      <c r="BE97" s="4">
        <f>IFERROR(__xludf.DUMMYFUNCTION("""COMPUTED_VALUE"""),10.0)</f>
        <v>10</v>
      </c>
      <c r="BF97" s="3"/>
      <c r="BG97" s="3" t="str">
        <f>IFERROR(__xludf.DUMMYFUNCTION("""COMPUTED_VALUE"""),"All")</f>
        <v>All</v>
      </c>
      <c r="BH97" s="3" t="str">
        <f>IFERROR(__xludf.DUMMYFUNCTION("""COMPUTED_VALUE"""),"Land of Spira")</f>
        <v>Land of Spira</v>
      </c>
      <c r="BI97" s="3"/>
      <c r="BJ97" s="3"/>
      <c r="BK97" s="3"/>
      <c r="BL97" s="3" t="b">
        <f>IFERROR(__xludf.DUMMYFUNCTION("""COMPUTED_VALUE"""),FALSE)</f>
        <v>0</v>
      </c>
      <c r="BM97" s="3"/>
      <c r="BN97" s="3"/>
      <c r="BO97" s="3"/>
      <c r="BP97" s="3"/>
      <c r="BQ97" s="3"/>
      <c r="BR97" s="3"/>
      <c r="BS97" s="3"/>
      <c r="BT97" s="3"/>
      <c r="BU97" s="3"/>
      <c r="BV97" s="3"/>
      <c r="BW97" s="3"/>
    </row>
    <row r="98" ht="15.75" customHeight="1">
      <c r="A98" s="2" t="str">
        <f>IFERROR(__xludf.DUMMYFUNCTION("""COMPUTED_VALUE"""),"Flaming Duck")</f>
        <v>Flaming Duck</v>
      </c>
      <c r="B98" s="2">
        <f>IFERROR(__xludf.DUMMYFUNCTION("""COMPUTED_VALUE"""),1.0)</f>
        <v>1</v>
      </c>
      <c r="C98" s="1"/>
      <c r="D98" s="5" t="str">
        <f>IFERROR(__xludf.DUMMYFUNCTION("""COMPUTED_VALUE"""),"Beast")</f>
        <v>Beast</v>
      </c>
      <c r="E98" s="5">
        <f>IFERROR(__xludf.DUMMYFUNCTION("""COMPUTED_VALUE"""),1010.0)</f>
        <v>1010</v>
      </c>
      <c r="F98" s="5">
        <f>IFERROR(__xludf.DUMMYFUNCTION("""COMPUTED_VALUE"""),1010.0)</f>
        <v>1010</v>
      </c>
      <c r="G98" s="5">
        <f>IFERROR(__xludf.DUMMYFUNCTION("""COMPUTED_VALUE"""),1010.0)</f>
        <v>1010</v>
      </c>
      <c r="H98" s="2">
        <f>IFERROR(__xludf.DUMMYFUNCTION("""COMPUTED_VALUE"""),15.0)</f>
        <v>15</v>
      </c>
      <c r="I98" s="2">
        <f>IFERROR(__xludf.DUMMYFUNCTION("""COMPUTED_VALUE"""),0.0)</f>
        <v>0</v>
      </c>
      <c r="J98" s="5">
        <f>IFERROR(__xludf.DUMMYFUNCTION("""COMPUTED_VALUE"""),0.0)</f>
        <v>0</v>
      </c>
      <c r="K98" s="5">
        <f>IFERROR(__xludf.DUMMYFUNCTION("""COMPUTED_VALUE"""),100.0)</f>
        <v>100</v>
      </c>
      <c r="L98" s="1">
        <f>IFERROR(__xludf.DUMMYFUNCTION("""COMPUTED_VALUE"""),100.0)</f>
        <v>100</v>
      </c>
      <c r="M98" s="1" t="str">
        <f>IFERROR(__xludf.DUMMYFUNCTION("""COMPUTED_VALUE"""),"Fire:Immune, Nature:Immune, ")</f>
        <v>Fire:Immune, Nature:Immune, </v>
      </c>
      <c r="N98" s="2" t="str">
        <f>IFERROR(__xludf.DUMMYFUNCTION("""COMPUTED_VALUE"""),"Water:100, ")</f>
        <v>Water:100, </v>
      </c>
      <c r="O98" s="2"/>
      <c r="P98" s="2"/>
      <c r="Q98" s="2"/>
      <c r="R98" s="2"/>
      <c r="S98" s="2"/>
      <c r="T98" s="2"/>
      <c r="U98" s="2"/>
      <c r="V98" s="2"/>
      <c r="W98" s="2"/>
      <c r="X98" s="2"/>
      <c r="Y98" s="2"/>
      <c r="Z98" s="2"/>
      <c r="AA98" s="2"/>
      <c r="AB98" s="2"/>
      <c r="AC98" s="2"/>
      <c r="AD98" s="2"/>
      <c r="AE98" s="2"/>
      <c r="AF98" s="2"/>
      <c r="AG98" s="2"/>
      <c r="AH98" s="2"/>
      <c r="AI98" s="2"/>
      <c r="AJ98" s="2" t="str">
        <f>IFERROR(__xludf.DUMMYFUNCTION("""COMPUTED_VALUE"""),"Honk")</f>
        <v>Honk</v>
      </c>
      <c r="AK98" s="2" t="str">
        <f>IFERROR(__xludf.DUMMYFUNCTION("""COMPUTED_VALUE"""),"Meteor Shower")</f>
        <v>Meteor Shower</v>
      </c>
      <c r="AL98" s="2" t="str">
        <f>IFERROR(__xludf.DUMMYFUNCTION("""COMPUTED_VALUE"""),"Take")</f>
        <v>Take</v>
      </c>
      <c r="AM98" s="2" t="str">
        <f>IFERROR(__xludf.DUMMYFUNCTION("""COMPUTED_VALUE"""),"Sacred Flame Peck")</f>
        <v>Sacred Flame Peck</v>
      </c>
      <c r="AN98" s="2" t="str">
        <f>IFERROR(__xludf.DUMMYFUNCTION("""COMPUTED_VALUE"""),"Mass Destruction")</f>
        <v>Mass Destruction</v>
      </c>
      <c r="AO98" s="2" t="str">
        <f>IFERROR(__xludf.DUMMYFUNCTION("""COMPUTED_VALUE"""),"Dive Bomb")</f>
        <v>Dive Bomb</v>
      </c>
      <c r="AP98" s="2" t="str">
        <f>IFERROR(__xludf.DUMMYFUNCTION("""COMPUTED_VALUE"""),"Claws")</f>
        <v>Claws</v>
      </c>
      <c r="AQ98" s="2" t="str">
        <f>IFERROR(__xludf.DUMMYFUNCTION("""COMPUTED_VALUE"""),"Aggressive Chomp")</f>
        <v>Aggressive Chomp</v>
      </c>
      <c r="AR98" s="2" t="str">
        <f>IFERROR(__xludf.DUMMYFUNCTION("""COMPUTED_VALUE"""),"Distracting Blow")</f>
        <v>Distracting Blow</v>
      </c>
      <c r="AS98" s="2"/>
      <c r="AT98" s="2"/>
      <c r="AU98" s="2"/>
      <c r="AV98" s="2"/>
      <c r="AW98" s="2"/>
      <c r="AX98" s="2"/>
      <c r="AY98" s="2"/>
      <c r="AZ98" s="2"/>
      <c r="BA98" s="3"/>
      <c r="BB98" s="3"/>
      <c r="BC98" s="1"/>
      <c r="BD98" s="3">
        <f>IFERROR(__xludf.DUMMYFUNCTION("""COMPUTED_VALUE"""),0.0)</f>
        <v>0</v>
      </c>
      <c r="BE98" s="4">
        <f>IFERROR(__xludf.DUMMYFUNCTION("""COMPUTED_VALUE"""),10.0)</f>
        <v>10</v>
      </c>
      <c r="BF98" s="3" t="str">
        <f>IFERROR(__xludf.DUMMYFUNCTION("""COMPUTED_VALUE"""),"Lucky Duck: +5 can be added to this mobs turn order roll.")</f>
        <v>Lucky Duck: +5 can be added to this mobs turn order roll.</v>
      </c>
      <c r="BG98" s="3" t="str">
        <f>IFERROR(__xludf.DUMMYFUNCTION("""COMPUTED_VALUE"""),"All")</f>
        <v>All</v>
      </c>
      <c r="BH98" s="3" t="str">
        <f>IFERROR(__xludf.DUMMYFUNCTION("""COMPUTED_VALUE"""),"Abstara")</f>
        <v>Abstara</v>
      </c>
      <c r="BI98" s="3"/>
      <c r="BJ98" s="3"/>
      <c r="BK98" s="3"/>
      <c r="BL98" s="3" t="b">
        <f>IFERROR(__xludf.DUMMYFUNCTION("""COMPUTED_VALUE"""),FALSE)</f>
        <v>0</v>
      </c>
      <c r="BM98" s="3"/>
      <c r="BN98" s="3"/>
      <c r="BO98" s="3"/>
      <c r="BP98" s="3"/>
      <c r="BQ98" s="3"/>
      <c r="BR98" s="3"/>
      <c r="BS98" s="3"/>
      <c r="BT98" s="3"/>
      <c r="BU98" s="3"/>
      <c r="BV98" s="3"/>
      <c r="BW98" s="3"/>
    </row>
    <row r="99" ht="15.75" customHeight="1">
      <c r="A99" s="2" t="str">
        <f>IFERROR(__xludf.DUMMYFUNCTION("""COMPUTED_VALUE"""),"Flaming King Duck")</f>
        <v>Flaming King Duck</v>
      </c>
      <c r="B99" s="2">
        <f>IFERROR(__xludf.DUMMYFUNCTION("""COMPUTED_VALUE"""),1.0)</f>
        <v>1</v>
      </c>
      <c r="C99" s="1"/>
      <c r="D99" s="5" t="str">
        <f>IFERROR(__xludf.DUMMYFUNCTION("""COMPUTED_VALUE"""),"Beast")</f>
        <v>Beast</v>
      </c>
      <c r="E99" s="5">
        <f>IFERROR(__xludf.DUMMYFUNCTION("""COMPUTED_VALUE"""),1010.0)</f>
        <v>1010</v>
      </c>
      <c r="F99" s="5">
        <f>IFERROR(__xludf.DUMMYFUNCTION("""COMPUTED_VALUE"""),1010.0)</f>
        <v>1010</v>
      </c>
      <c r="G99" s="5">
        <f>IFERROR(__xludf.DUMMYFUNCTION("""COMPUTED_VALUE"""),1010.0)</f>
        <v>1010</v>
      </c>
      <c r="H99" s="2">
        <f>IFERROR(__xludf.DUMMYFUNCTION("""COMPUTED_VALUE"""),15.0)</f>
        <v>15</v>
      </c>
      <c r="I99" s="1">
        <f>IFERROR(__xludf.DUMMYFUNCTION("""COMPUTED_VALUE"""),0.0)</f>
        <v>0</v>
      </c>
      <c r="J99" s="5">
        <f>IFERROR(__xludf.DUMMYFUNCTION("""COMPUTED_VALUE"""),0.0)</f>
        <v>0</v>
      </c>
      <c r="K99" s="5">
        <f>IFERROR(__xludf.DUMMYFUNCTION("""COMPUTED_VALUE"""),100.0)</f>
        <v>100</v>
      </c>
      <c r="L99" s="1">
        <f>IFERROR(__xludf.DUMMYFUNCTION("""COMPUTED_VALUE"""),100.0)</f>
        <v>100</v>
      </c>
      <c r="M99" s="1" t="str">
        <f>IFERROR(__xludf.DUMMYFUNCTION("""COMPUTED_VALUE"""),"Fire:Immune, Nature:Immune, ")</f>
        <v>Fire:Immune, Nature:Immune, </v>
      </c>
      <c r="N99" s="2" t="str">
        <f>IFERROR(__xludf.DUMMYFUNCTION("""COMPUTED_VALUE"""),"Water:100, ")</f>
        <v>Water:100, </v>
      </c>
      <c r="O99" s="2"/>
      <c r="P99" s="2"/>
      <c r="Q99" s="2"/>
      <c r="R99" s="2"/>
      <c r="S99" s="2"/>
      <c r="T99" s="2"/>
      <c r="U99" s="2"/>
      <c r="V99" s="2"/>
      <c r="W99" s="2"/>
      <c r="X99" s="2"/>
      <c r="Y99" s="2"/>
      <c r="Z99" s="2"/>
      <c r="AA99" s="2"/>
      <c r="AB99" s="2"/>
      <c r="AC99" s="2"/>
      <c r="AD99" s="2"/>
      <c r="AE99" s="2"/>
      <c r="AF99" s="2"/>
      <c r="AG99" s="2"/>
      <c r="AH99" s="2"/>
      <c r="AI99" s="2"/>
      <c r="AJ99" s="2" t="str">
        <f>IFERROR(__xludf.DUMMYFUNCTION("""COMPUTED_VALUE"""),"Honk")</f>
        <v>Honk</v>
      </c>
      <c r="AK99" s="2" t="str">
        <f>IFERROR(__xludf.DUMMYFUNCTION("""COMPUTED_VALUE"""),"Chaincast")</f>
        <v>Chaincast</v>
      </c>
      <c r="AL99" s="2" t="str">
        <f>IFERROR(__xludf.DUMMYFUNCTION("""COMPUTED_VALUE"""),"Meteor Shower")</f>
        <v>Meteor Shower</v>
      </c>
      <c r="AM99" s="2" t="str">
        <f>IFERROR(__xludf.DUMMYFUNCTION("""COMPUTED_VALUE"""),"Take")</f>
        <v>Take</v>
      </c>
      <c r="AN99" s="2" t="str">
        <f>IFERROR(__xludf.DUMMYFUNCTION("""COMPUTED_VALUE"""),"Sacred Flame Peck")</f>
        <v>Sacred Flame Peck</v>
      </c>
      <c r="AO99" s="2" t="str">
        <f>IFERROR(__xludf.DUMMYFUNCTION("""COMPUTED_VALUE"""),"Mass Destruction")</f>
        <v>Mass Destruction</v>
      </c>
      <c r="AP99" s="2" t="str">
        <f>IFERROR(__xludf.DUMMYFUNCTION("""COMPUTED_VALUE"""),"Dive Bomb")</f>
        <v>Dive Bomb</v>
      </c>
      <c r="AQ99" s="2"/>
      <c r="AR99" s="2"/>
      <c r="AS99" s="2"/>
      <c r="AT99" s="2"/>
      <c r="AU99" s="2"/>
      <c r="AV99" s="2"/>
      <c r="AW99" s="2"/>
      <c r="AX99" s="2"/>
      <c r="AY99" s="2"/>
      <c r="AZ99" s="2"/>
      <c r="BA99" s="3"/>
      <c r="BB99" s="3"/>
      <c r="BC99" s="1"/>
      <c r="BD99" s="3">
        <f>IFERROR(__xludf.DUMMYFUNCTION("""COMPUTED_VALUE"""),0.0)</f>
        <v>0</v>
      </c>
      <c r="BE99" s="4">
        <f>IFERROR(__xludf.DUMMYFUNCTION("""COMPUTED_VALUE"""),10.0)</f>
        <v>10</v>
      </c>
      <c r="BF99" s="3" t="str">
        <f>IFERROR(__xludf.DUMMYFUNCTION("""COMPUTED_VALUE"""),"Lucky Duck II: +10 can be added to this mobs turn order roll.")</f>
        <v>Lucky Duck II: +10 can be added to this mobs turn order roll.</v>
      </c>
      <c r="BG99" s="3" t="str">
        <f>IFERROR(__xludf.DUMMYFUNCTION("""COMPUTED_VALUE"""),"All")</f>
        <v>All</v>
      </c>
      <c r="BH99" s="3" t="str">
        <f>IFERROR(__xludf.DUMMYFUNCTION("""COMPUTED_VALUE"""),"Abstara")</f>
        <v>Abstara</v>
      </c>
      <c r="BI99" s="3"/>
      <c r="BJ99" s="3"/>
      <c r="BK99" s="3"/>
      <c r="BL99" s="3" t="b">
        <f>IFERROR(__xludf.DUMMYFUNCTION("""COMPUTED_VALUE"""),FALSE)</f>
        <v>0</v>
      </c>
      <c r="BM99" s="3"/>
      <c r="BN99" s="3"/>
      <c r="BO99" s="3"/>
      <c r="BP99" s="3"/>
      <c r="BQ99" s="3"/>
      <c r="BR99" s="3"/>
      <c r="BS99" s="3"/>
      <c r="BT99" s="3"/>
      <c r="BU99" s="3"/>
      <c r="BV99" s="3"/>
      <c r="BW99" s="3"/>
    </row>
    <row r="100" ht="15.75" customHeight="1">
      <c r="A100" s="2" t="str">
        <f>IFERROR(__xludf.DUMMYFUNCTION("""COMPUTED_VALUE"""),"Flaming Monkey")</f>
        <v>Flaming Monkey</v>
      </c>
      <c r="B100" s="2">
        <f>IFERROR(__xludf.DUMMYFUNCTION("""COMPUTED_VALUE"""),1.0)</f>
        <v>1</v>
      </c>
      <c r="C100" s="1"/>
      <c r="D100" s="5" t="str">
        <f>IFERROR(__xludf.DUMMYFUNCTION("""COMPUTED_VALUE"""),"Beast")</f>
        <v>Beast</v>
      </c>
      <c r="E100" s="5">
        <f>IFERROR(__xludf.DUMMYFUNCTION("""COMPUTED_VALUE"""),16010.0)</f>
        <v>16010</v>
      </c>
      <c r="F100" s="5">
        <f>IFERROR(__xludf.DUMMYFUNCTION("""COMPUTED_VALUE"""),1010.0)</f>
        <v>1010</v>
      </c>
      <c r="G100" s="5">
        <f>IFERROR(__xludf.DUMMYFUNCTION("""COMPUTED_VALUE"""),1010.0)</f>
        <v>1010</v>
      </c>
      <c r="H100" s="2">
        <f>IFERROR(__xludf.DUMMYFUNCTION("""COMPUTED_VALUE"""),10.0)</f>
        <v>10</v>
      </c>
      <c r="I100" s="1">
        <f>IFERROR(__xludf.DUMMYFUNCTION("""COMPUTED_VALUE"""),0.0)</f>
        <v>0</v>
      </c>
      <c r="J100" s="5">
        <f>IFERROR(__xludf.DUMMYFUNCTION("""COMPUTED_VALUE"""),0.0)</f>
        <v>0</v>
      </c>
      <c r="K100" s="5">
        <f>IFERROR(__xludf.DUMMYFUNCTION("""COMPUTED_VALUE"""),100.0)</f>
        <v>100</v>
      </c>
      <c r="L100" s="1">
        <f>IFERROR(__xludf.DUMMYFUNCTION("""COMPUTED_VALUE"""),100.0)</f>
        <v>100</v>
      </c>
      <c r="M100" s="1" t="str">
        <f>IFERROR(__xludf.DUMMYFUNCTION("""COMPUTED_VALUE"""),"Nature:Immune, ")</f>
        <v>Nature:Immune, </v>
      </c>
      <c r="N100" s="2" t="str">
        <f>IFERROR(__xludf.DUMMYFUNCTION("""COMPUTED_VALUE"""),"Water:100, ")</f>
        <v>Water:100, </v>
      </c>
      <c r="O100" s="2"/>
      <c r="P100" s="2"/>
      <c r="Q100" s="2"/>
      <c r="R100" s="2"/>
      <c r="S100" s="2"/>
      <c r="T100" s="2"/>
      <c r="U100" s="2"/>
      <c r="V100" s="2"/>
      <c r="W100" s="2"/>
      <c r="X100" s="2"/>
      <c r="Y100" s="2"/>
      <c r="Z100" s="2"/>
      <c r="AA100" s="2"/>
      <c r="AB100" s="2"/>
      <c r="AC100" s="2"/>
      <c r="AD100" s="2"/>
      <c r="AE100" s="2"/>
      <c r="AF100" s="2"/>
      <c r="AG100" s="2"/>
      <c r="AH100" s="2"/>
      <c r="AI100" s="2"/>
      <c r="AJ100" s="2" t="str">
        <f>IFERROR(__xludf.DUMMYFUNCTION("""COMPUTED_VALUE"""),"Confiscate")</f>
        <v>Confiscate</v>
      </c>
      <c r="AK100" s="2" t="str">
        <f>IFERROR(__xludf.DUMMYFUNCTION("""COMPUTED_VALUE"""),"Take")</f>
        <v>Take</v>
      </c>
      <c r="AL100" s="2" t="str">
        <f>IFERROR(__xludf.DUMMYFUNCTION("""COMPUTED_VALUE"""),"Pick Pocket")</f>
        <v>Pick Pocket</v>
      </c>
      <c r="AM100" s="2" t="str">
        <f>IFERROR(__xludf.DUMMYFUNCTION("""COMPUTED_VALUE"""),"Flame Thrower")</f>
        <v>Flame Thrower</v>
      </c>
      <c r="AN100" s="2" t="str">
        <f>IFERROR(__xludf.DUMMYFUNCTION("""COMPUTED_VALUE"""),"Tackle")</f>
        <v>Tackle</v>
      </c>
      <c r="AO100" s="2" t="str">
        <f>IFERROR(__xludf.DUMMYFUNCTION("""COMPUTED_VALUE"""),"Taunt")</f>
        <v>Taunt</v>
      </c>
      <c r="AP100" s="2"/>
      <c r="AQ100" s="2"/>
      <c r="AR100" s="2"/>
      <c r="AS100" s="2"/>
      <c r="AT100" s="2"/>
      <c r="AU100" s="2"/>
      <c r="AV100" s="2"/>
      <c r="AW100" s="2"/>
      <c r="AX100" s="2"/>
      <c r="AY100" s="2"/>
      <c r="AZ100" s="2"/>
      <c r="BA100" s="3"/>
      <c r="BB100" s="3"/>
      <c r="BC100" s="1"/>
      <c r="BD100" s="3">
        <f>IFERROR(__xludf.DUMMYFUNCTION("""COMPUTED_VALUE"""),0.0)</f>
        <v>0</v>
      </c>
      <c r="BE100" s="4">
        <f>IFERROR(__xludf.DUMMYFUNCTION("""COMPUTED_VALUE"""),10.0)</f>
        <v>10</v>
      </c>
      <c r="BF100" s="3"/>
      <c r="BG100" s="3" t="str">
        <f>IFERROR(__xludf.DUMMYFUNCTION("""COMPUTED_VALUE"""),"All")</f>
        <v>All</v>
      </c>
      <c r="BH100" s="3" t="str">
        <f>IFERROR(__xludf.DUMMYFUNCTION("""COMPUTED_VALUE"""),"Abstara")</f>
        <v>Abstara</v>
      </c>
      <c r="BI100" s="3"/>
      <c r="BJ100" s="3"/>
      <c r="BK100" s="3"/>
      <c r="BL100" s="3" t="b">
        <f>IFERROR(__xludf.DUMMYFUNCTION("""COMPUTED_VALUE"""),FALSE)</f>
        <v>0</v>
      </c>
      <c r="BM100" s="3"/>
      <c r="BN100" s="3"/>
      <c r="BO100" s="3"/>
      <c r="BP100" s="3"/>
      <c r="BQ100" s="3"/>
      <c r="BR100" s="3"/>
      <c r="BS100" s="3"/>
      <c r="BT100" s="3"/>
      <c r="BU100" s="3"/>
      <c r="BV100" s="3"/>
      <c r="BW100" s="3"/>
    </row>
    <row r="101" ht="15.75" customHeight="1">
      <c r="A101" s="2" t="str">
        <f>IFERROR(__xludf.DUMMYFUNCTION("""COMPUTED_VALUE"""),"Flaming Yak")</f>
        <v>Flaming Yak</v>
      </c>
      <c r="B101" s="2">
        <f>IFERROR(__xludf.DUMMYFUNCTION("""COMPUTED_VALUE"""),1.0)</f>
        <v>1</v>
      </c>
      <c r="C101" s="1"/>
      <c r="D101" s="5" t="str">
        <f>IFERROR(__xludf.DUMMYFUNCTION("""COMPUTED_VALUE"""),"Beast")</f>
        <v>Beast</v>
      </c>
      <c r="E101" s="5">
        <f>IFERROR(__xludf.DUMMYFUNCTION("""COMPUTED_VALUE"""),1010.0)</f>
        <v>1010</v>
      </c>
      <c r="F101" s="5">
        <f>IFERROR(__xludf.DUMMYFUNCTION("""COMPUTED_VALUE"""),1010.0)</f>
        <v>1010</v>
      </c>
      <c r="G101" s="5">
        <f>IFERROR(__xludf.DUMMYFUNCTION("""COMPUTED_VALUE"""),16010.0)</f>
        <v>16010</v>
      </c>
      <c r="H101" s="2">
        <f>IFERROR(__xludf.DUMMYFUNCTION("""COMPUTED_VALUE"""),10.0)</f>
        <v>10</v>
      </c>
      <c r="I101" s="1">
        <f>IFERROR(__xludf.DUMMYFUNCTION("""COMPUTED_VALUE"""),0.0)</f>
        <v>0</v>
      </c>
      <c r="J101" s="5">
        <f>IFERROR(__xludf.DUMMYFUNCTION("""COMPUTED_VALUE"""),0.0)</f>
        <v>0</v>
      </c>
      <c r="K101" s="5">
        <f>IFERROR(__xludf.DUMMYFUNCTION("""COMPUTED_VALUE"""),100.0)</f>
        <v>100</v>
      </c>
      <c r="L101" s="1">
        <f>IFERROR(__xludf.DUMMYFUNCTION("""COMPUTED_VALUE"""),100.0)</f>
        <v>100</v>
      </c>
      <c r="M101" s="1" t="str">
        <f>IFERROR(__xludf.DUMMYFUNCTION("""COMPUTED_VALUE"""),"Fire:100, Nature:Immune, ")</f>
        <v>Fire:100, Nature:Immune, </v>
      </c>
      <c r="N101" s="2" t="str">
        <f>IFERROR(__xludf.DUMMYFUNCTION("""COMPUTED_VALUE"""),"Water:100, ")</f>
        <v>Water:100, </v>
      </c>
      <c r="O101" s="2"/>
      <c r="P101" s="2"/>
      <c r="Q101" s="2"/>
      <c r="R101" s="2"/>
      <c r="S101" s="2"/>
      <c r="T101" s="2"/>
      <c r="U101" s="2"/>
      <c r="V101" s="2"/>
      <c r="W101" s="2"/>
      <c r="X101" s="2"/>
      <c r="Y101" s="2"/>
      <c r="Z101" s="2"/>
      <c r="AA101" s="2"/>
      <c r="AB101" s="2"/>
      <c r="AC101" s="2"/>
      <c r="AD101" s="2"/>
      <c r="AE101" s="2"/>
      <c r="AF101" s="2"/>
      <c r="AG101" s="2"/>
      <c r="AH101" s="2"/>
      <c r="AI101" s="2"/>
      <c r="AJ101" s="2" t="str">
        <f>IFERROR(__xludf.DUMMYFUNCTION("""COMPUTED_VALUE"""),"Flaming Horns")</f>
        <v>Flaming Horns</v>
      </c>
      <c r="AK101" s="2" t="str">
        <f>IFERROR(__xludf.DUMMYFUNCTION("""COMPUTED_VALUE"""),"Horns")</f>
        <v>Horns</v>
      </c>
      <c r="AL101" s="2" t="str">
        <f>IFERROR(__xludf.DUMMYFUNCTION("""COMPUTED_VALUE"""),"Flame Thrower")</f>
        <v>Flame Thrower</v>
      </c>
      <c r="AM101" s="2" t="str">
        <f>IFERROR(__xludf.DUMMYFUNCTION("""COMPUTED_VALUE"""),"Meteor Shower")</f>
        <v>Meteor Shower</v>
      </c>
      <c r="AN101" s="2" t="str">
        <f>IFERROR(__xludf.DUMMYFUNCTION("""COMPUTED_VALUE"""),"Gore")</f>
        <v>Gore</v>
      </c>
      <c r="AO101" s="2" t="str">
        <f>IFERROR(__xludf.DUMMYFUNCTION("""COMPUTED_VALUE"""),"Tackle")</f>
        <v>Tackle</v>
      </c>
      <c r="AP101" s="2"/>
      <c r="AQ101" s="2"/>
      <c r="AR101" s="2"/>
      <c r="AS101" s="2"/>
      <c r="AT101" s="2"/>
      <c r="AU101" s="2"/>
      <c r="AV101" s="2"/>
      <c r="AW101" s="2"/>
      <c r="AX101" s="2"/>
      <c r="AY101" s="2"/>
      <c r="AZ101" s="2"/>
      <c r="BA101" s="3"/>
      <c r="BB101" s="3"/>
      <c r="BC101" s="1"/>
      <c r="BD101" s="3">
        <f>IFERROR(__xludf.DUMMYFUNCTION("""COMPUTED_VALUE"""),0.0)</f>
        <v>0</v>
      </c>
      <c r="BE101" s="4">
        <f>IFERROR(__xludf.DUMMYFUNCTION("""COMPUTED_VALUE"""),10.0)</f>
        <v>10</v>
      </c>
      <c r="BF101" s="3" t="str">
        <f>IFERROR(__xludf.DUMMYFUNCTION("""COMPUTED_VALUE"""),"Quick Charge: Allows this mob to use 2 natural attacks in one turn.")</f>
        <v>Quick Charge: Allows this mob to use 2 natural attacks in one turn.</v>
      </c>
      <c r="BG101" s="3" t="str">
        <f>IFERROR(__xludf.DUMMYFUNCTION("""COMPUTED_VALUE"""),"Heatmore Jungle")</f>
        <v>Heatmore Jungle</v>
      </c>
      <c r="BH101" s="3" t="str">
        <f>IFERROR(__xludf.DUMMYFUNCTION("""COMPUTED_VALUE"""),"Land Of Spira")</f>
        <v>Land Of Spira</v>
      </c>
      <c r="BI101" s="3"/>
      <c r="BJ101" s="3"/>
      <c r="BK101" s="3"/>
      <c r="BL101" s="3" t="b">
        <f>IFERROR(__xludf.DUMMYFUNCTION("""COMPUTED_VALUE"""),FALSE)</f>
        <v>0</v>
      </c>
      <c r="BM101" s="3"/>
      <c r="BN101" s="3"/>
      <c r="BO101" s="3"/>
      <c r="BP101" s="3"/>
      <c r="BQ101" s="3"/>
      <c r="BR101" s="3"/>
      <c r="BS101" s="3"/>
      <c r="BT101" s="3"/>
      <c r="BU101" s="3"/>
      <c r="BV101" s="3"/>
      <c r="BW101" s="3"/>
    </row>
    <row r="102" ht="15.75" customHeight="1">
      <c r="A102" s="2" t="str">
        <f>IFERROR(__xludf.DUMMYFUNCTION("""COMPUTED_VALUE"""),"Floating Skull")</f>
        <v>Floating Skull</v>
      </c>
      <c r="B102" s="2">
        <f>IFERROR(__xludf.DUMMYFUNCTION("""COMPUTED_VALUE"""),1.0)</f>
        <v>1</v>
      </c>
      <c r="C102" s="1"/>
      <c r="D102" s="5" t="str">
        <f>IFERROR(__xludf.DUMMYFUNCTION("""COMPUTED_VALUE"""),"Undead")</f>
        <v>Undead</v>
      </c>
      <c r="E102" s="5">
        <f>IFERROR(__xludf.DUMMYFUNCTION("""COMPUTED_VALUE"""),1010.0)</f>
        <v>1010</v>
      </c>
      <c r="F102" s="5">
        <f>IFERROR(__xludf.DUMMYFUNCTION("""COMPUTED_VALUE"""),1010.0)</f>
        <v>1010</v>
      </c>
      <c r="G102" s="5">
        <f>IFERROR(__xludf.DUMMYFUNCTION("""COMPUTED_VALUE"""),1010.0)</f>
        <v>1010</v>
      </c>
      <c r="H102" s="2">
        <f>IFERROR(__xludf.DUMMYFUNCTION("""COMPUTED_VALUE"""),10.0)</f>
        <v>10</v>
      </c>
      <c r="I102" s="2">
        <f>IFERROR(__xludf.DUMMYFUNCTION("""COMPUTED_VALUE"""),0.0)</f>
        <v>0</v>
      </c>
      <c r="J102" s="5">
        <f>IFERROR(__xludf.DUMMYFUNCTION("""COMPUTED_VALUE"""),0.0)</f>
        <v>0</v>
      </c>
      <c r="K102" s="5">
        <f>IFERROR(__xludf.DUMMYFUNCTION("""COMPUTED_VALUE"""),100.0)</f>
        <v>100</v>
      </c>
      <c r="L102" s="1">
        <f>IFERROR(__xludf.DUMMYFUNCTION("""COMPUTED_VALUE"""),100.0)</f>
        <v>100</v>
      </c>
      <c r="M102" s="1" t="str">
        <f>IFERROR(__xludf.DUMMYFUNCTION("""COMPUTED_VALUE"""),"Dark:100, ")</f>
        <v>Dark:100, </v>
      </c>
      <c r="N102" s="2" t="str">
        <f>IFERROR(__xludf.DUMMYFUNCTION("""COMPUTED_VALUE"""),"")</f>
        <v/>
      </c>
      <c r="O102" s="2"/>
      <c r="P102" s="2"/>
      <c r="Q102" s="2"/>
      <c r="R102" s="2"/>
      <c r="S102" s="2"/>
      <c r="T102" s="2"/>
      <c r="U102" s="2"/>
      <c r="V102" s="2"/>
      <c r="W102" s="2"/>
      <c r="X102" s="2"/>
      <c r="Y102" s="2"/>
      <c r="Z102" s="2"/>
      <c r="AA102" s="2"/>
      <c r="AB102" s="2"/>
      <c r="AC102" s="2"/>
      <c r="AD102" s="2"/>
      <c r="AE102" s="2"/>
      <c r="AF102" s="2"/>
      <c r="AG102" s="2"/>
      <c r="AH102" s="2"/>
      <c r="AI102" s="2"/>
      <c r="AJ102" s="2" t="str">
        <f>IFERROR(__xludf.DUMMYFUNCTION("""COMPUTED_VALUE"""),"Dark Force")</f>
        <v>Dark Force</v>
      </c>
      <c r="AK102" s="2" t="str">
        <f>IFERROR(__xludf.DUMMYFUNCTION("""COMPUTED_VALUE"""),"Dark Bolt")</f>
        <v>Dark Bolt</v>
      </c>
      <c r="AL102" s="2"/>
      <c r="AM102" s="2"/>
      <c r="AN102" s="2"/>
      <c r="AO102" s="2"/>
      <c r="AP102" s="2"/>
      <c r="AQ102" s="2"/>
      <c r="AR102" s="2"/>
      <c r="AS102" s="2"/>
      <c r="AT102" s="2"/>
      <c r="AU102" s="2"/>
      <c r="AV102" s="2"/>
      <c r="AW102" s="2"/>
      <c r="AX102" s="2"/>
      <c r="AY102" s="2"/>
      <c r="AZ102" s="2"/>
      <c r="BA102" s="3"/>
      <c r="BB102" s="3"/>
      <c r="BC102" s="1"/>
      <c r="BD102" s="3">
        <f>IFERROR(__xludf.DUMMYFUNCTION("""COMPUTED_VALUE"""),0.0)</f>
        <v>0</v>
      </c>
      <c r="BE102" s="4">
        <f>IFERROR(__xludf.DUMMYFUNCTION("""COMPUTED_VALUE"""),10.0)</f>
        <v>10</v>
      </c>
      <c r="BF102" s="3"/>
      <c r="BG102" s="3" t="str">
        <f>IFERROR(__xludf.DUMMYFUNCTION("""COMPUTED_VALUE"""),"All")</f>
        <v>All</v>
      </c>
      <c r="BH102" s="3" t="str">
        <f>IFERROR(__xludf.DUMMYFUNCTION("""COMPUTED_VALUE"""),"Land of Spira")</f>
        <v>Land of Spira</v>
      </c>
      <c r="BI102" s="3"/>
      <c r="BJ102" s="3"/>
      <c r="BK102" s="3"/>
      <c r="BL102" s="3" t="b">
        <f>IFERROR(__xludf.DUMMYFUNCTION("""COMPUTED_VALUE"""),FALSE)</f>
        <v>0</v>
      </c>
      <c r="BM102" s="3"/>
      <c r="BN102" s="3"/>
      <c r="BO102" s="3"/>
      <c r="BP102" s="3"/>
      <c r="BQ102" s="3"/>
      <c r="BR102" s="3"/>
      <c r="BS102" s="3"/>
      <c r="BT102" s="3"/>
      <c r="BU102" s="3"/>
      <c r="BV102" s="3"/>
      <c r="BW102" s="3"/>
    </row>
    <row r="103" ht="15.75" customHeight="1">
      <c r="A103" s="2" t="str">
        <f>IFERROR(__xludf.DUMMYFUNCTION("""COMPUTED_VALUE"""),"Forest Dragon")</f>
        <v>Forest Dragon</v>
      </c>
      <c r="B103" s="2">
        <f>IFERROR(__xludf.DUMMYFUNCTION("""COMPUTED_VALUE"""),1.0)</f>
        <v>1</v>
      </c>
      <c r="C103" s="1"/>
      <c r="D103" s="5" t="str">
        <f>IFERROR(__xludf.DUMMYFUNCTION("""COMPUTED_VALUE"""),"Draconic")</f>
        <v>Draconic</v>
      </c>
      <c r="E103" s="5">
        <f>IFERROR(__xludf.DUMMYFUNCTION("""COMPUTED_VALUE"""),31010.0)</f>
        <v>31010</v>
      </c>
      <c r="F103" s="5">
        <f>IFERROR(__xludf.DUMMYFUNCTION("""COMPUTED_VALUE"""),31010.0)</f>
        <v>31010</v>
      </c>
      <c r="G103" s="5">
        <f>IFERROR(__xludf.DUMMYFUNCTION("""COMPUTED_VALUE"""),1010.0)</f>
        <v>1010</v>
      </c>
      <c r="H103" s="2">
        <f>IFERROR(__xludf.DUMMYFUNCTION("""COMPUTED_VALUE"""),10.0)</f>
        <v>10</v>
      </c>
      <c r="I103" s="2">
        <f>IFERROR(__xludf.DUMMYFUNCTION("""COMPUTED_VALUE"""),0.0)</f>
        <v>0</v>
      </c>
      <c r="J103" s="5">
        <f>IFERROR(__xludf.DUMMYFUNCTION("""COMPUTED_VALUE"""),0.0)</f>
        <v>0</v>
      </c>
      <c r="K103" s="5">
        <f>IFERROR(__xludf.DUMMYFUNCTION("""COMPUTED_VALUE"""),100.0)</f>
        <v>100</v>
      </c>
      <c r="L103" s="1">
        <f>IFERROR(__xludf.DUMMYFUNCTION("""COMPUTED_VALUE"""),100.0)</f>
        <v>100</v>
      </c>
      <c r="M103" s="1" t="str">
        <f>IFERROR(__xludf.DUMMYFUNCTION("""COMPUTED_VALUE"""),"Nature:Immune, ")</f>
        <v>Nature:Immune, </v>
      </c>
      <c r="N103" s="2" t="str">
        <f>IFERROR(__xludf.DUMMYFUNCTION("""COMPUTED_VALUE"""),"Fire:100, ")</f>
        <v>Fire:100, </v>
      </c>
      <c r="O103" s="2"/>
      <c r="P103" s="2"/>
      <c r="Q103" s="2"/>
      <c r="R103" s="2"/>
      <c r="S103" s="2"/>
      <c r="T103" s="2"/>
      <c r="U103" s="2"/>
      <c r="V103" s="2"/>
      <c r="W103" s="2"/>
      <c r="X103" s="2"/>
      <c r="Y103" s="2"/>
      <c r="Z103" s="2"/>
      <c r="AA103" s="2"/>
      <c r="AB103" s="2"/>
      <c r="AC103" s="2"/>
      <c r="AD103" s="2"/>
      <c r="AE103" s="2"/>
      <c r="AF103" s="2"/>
      <c r="AG103" s="2"/>
      <c r="AH103" s="2"/>
      <c r="AI103" s="2"/>
      <c r="AJ103" s="2" t="str">
        <f>IFERROR(__xludf.DUMMYFUNCTION("""COMPUTED_VALUE"""),"Dragon's Breath")</f>
        <v>Dragon's Breath</v>
      </c>
      <c r="AK103" s="2" t="str">
        <f>IFERROR(__xludf.DUMMYFUNCTION("""COMPUTED_VALUE"""),"Bite")</f>
        <v>Bite</v>
      </c>
      <c r="AL103" s="2" t="str">
        <f>IFERROR(__xludf.DUMMYFUNCTION("""COMPUTED_VALUE"""),"Tail Smash")</f>
        <v>Tail Smash</v>
      </c>
      <c r="AM103" s="2" t="str">
        <f>IFERROR(__xludf.DUMMYFUNCTION("""COMPUTED_VALUE"""),"Claws")</f>
        <v>Claws</v>
      </c>
      <c r="AN103" s="2" t="str">
        <f>IFERROR(__xludf.DUMMYFUNCTION("""COMPUTED_VALUE"""),"Berserk")</f>
        <v>Berserk</v>
      </c>
      <c r="AO103" s="2" t="str">
        <f>IFERROR(__xludf.DUMMYFUNCTION("""COMPUTED_VALUE"""),"Multishot")</f>
        <v>Multishot</v>
      </c>
      <c r="AP103" s="2" t="str">
        <f>IFERROR(__xludf.DUMMYFUNCTION("""COMPUTED_VALUE"""),"Draconic Scream")</f>
        <v>Draconic Scream</v>
      </c>
      <c r="AQ103" s="2" t="str">
        <f>IFERROR(__xludf.DUMMYFUNCTION("""COMPUTED_VALUE"""),"The Orb of Life")</f>
        <v>The Orb of Life</v>
      </c>
      <c r="AR103" s="2" t="str">
        <f>IFERROR(__xludf.DUMMYFUNCTION("""COMPUTED_VALUE"""),"Regrowth")</f>
        <v>Regrowth</v>
      </c>
      <c r="AS103" s="2" t="str">
        <f>IFERROR(__xludf.DUMMYFUNCTION("""COMPUTED_VALUE"""),"Entangle")</f>
        <v>Entangle</v>
      </c>
      <c r="AT103" s="2" t="str">
        <f>IFERROR(__xludf.DUMMYFUNCTION("""COMPUTED_VALUE"""),"Nature's Embrace")</f>
        <v>Nature's Embrace</v>
      </c>
      <c r="AU103" s="2" t="str">
        <f>IFERROR(__xludf.DUMMYFUNCTION("""COMPUTED_VALUE"""),"Celestial Wrath")</f>
        <v>Celestial Wrath</v>
      </c>
      <c r="AV103" s="2"/>
      <c r="AW103" s="2"/>
      <c r="AX103" s="2"/>
      <c r="AY103" s="2"/>
      <c r="AZ103" s="2"/>
      <c r="BA103" s="3"/>
      <c r="BB103" s="3"/>
      <c r="BC103" s="1"/>
      <c r="BD103" s="3">
        <f>IFERROR(__xludf.DUMMYFUNCTION("""COMPUTED_VALUE"""),0.0)</f>
        <v>0</v>
      </c>
      <c r="BE103" s="4">
        <f>IFERROR(__xludf.DUMMYFUNCTION("""COMPUTED_VALUE"""),10.0)</f>
        <v>10</v>
      </c>
      <c r="BF103"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103" s="3" t="str">
        <f>IFERROR(__xludf.DUMMYFUNCTION("""COMPUTED_VALUE"""),"Forest")</f>
        <v>Forest</v>
      </c>
      <c r="BH103" s="3" t="str">
        <f>IFERROR(__xludf.DUMMYFUNCTION("""COMPUTED_VALUE"""),"Dragonscale Island")</f>
        <v>Dragonscale Island</v>
      </c>
      <c r="BI103" s="3"/>
      <c r="BJ103" s="3"/>
      <c r="BK103" s="3"/>
      <c r="BL103" s="3" t="b">
        <f>IFERROR(__xludf.DUMMYFUNCTION("""COMPUTED_VALUE"""),FALSE)</f>
        <v>0</v>
      </c>
      <c r="BM103" s="3"/>
      <c r="BN103" s="3"/>
      <c r="BO103" s="3"/>
      <c r="BP103" s="3"/>
      <c r="BQ103" s="3"/>
      <c r="BR103" s="3"/>
      <c r="BS103" s="3"/>
      <c r="BT103" s="3"/>
      <c r="BU103" s="3"/>
      <c r="BV103" s="3"/>
      <c r="BW103" s="3"/>
    </row>
    <row r="104" ht="15.75" customHeight="1">
      <c r="A104" s="2" t="str">
        <f>IFERROR(__xludf.DUMMYFUNCTION("""COMPUTED_VALUE"""),"Forest Elf")</f>
        <v>Forest Elf</v>
      </c>
      <c r="B104" s="5">
        <f>IFERROR(__xludf.DUMMYFUNCTION("""COMPUTED_VALUE"""),1.0)</f>
        <v>1</v>
      </c>
      <c r="C104" s="1"/>
      <c r="D104" s="5" t="str">
        <f>IFERROR(__xludf.DUMMYFUNCTION("""COMPUTED_VALUE"""),"Fae")</f>
        <v>Fae</v>
      </c>
      <c r="E104" s="5">
        <f>IFERROR(__xludf.DUMMYFUNCTION("""COMPUTED_VALUE"""),1010.0)</f>
        <v>1010</v>
      </c>
      <c r="F104" s="5">
        <f>IFERROR(__xludf.DUMMYFUNCTION("""COMPUTED_VALUE"""),1010.0)</f>
        <v>1010</v>
      </c>
      <c r="G104" s="5">
        <f>IFERROR(__xludf.DUMMYFUNCTION("""COMPUTED_VALUE"""),1010.0)</f>
        <v>1010</v>
      </c>
      <c r="H104" s="2">
        <f>IFERROR(__xludf.DUMMYFUNCTION("""COMPUTED_VALUE"""),10.0)</f>
        <v>10</v>
      </c>
      <c r="I104" s="2">
        <f>IFERROR(__xludf.DUMMYFUNCTION("""COMPUTED_VALUE"""),0.0)</f>
        <v>0</v>
      </c>
      <c r="J104" s="5">
        <f>IFERROR(__xludf.DUMMYFUNCTION("""COMPUTED_VALUE"""),0.0)</f>
        <v>0</v>
      </c>
      <c r="K104" s="5">
        <f>IFERROR(__xludf.DUMMYFUNCTION("""COMPUTED_VALUE"""),100.0)</f>
        <v>100</v>
      </c>
      <c r="L104" s="1">
        <f>IFERROR(__xludf.DUMMYFUNCTION("""COMPUTED_VALUE"""),100.0)</f>
        <v>100</v>
      </c>
      <c r="M104" s="1" t="str">
        <f>IFERROR(__xludf.DUMMYFUNCTION("""COMPUTED_VALUE"""),"Water:100, Nature:100, ")</f>
        <v>Water:100, Nature:100, </v>
      </c>
      <c r="N104" s="2" t="str">
        <f>IFERROR(__xludf.DUMMYFUNCTION("""COMPUTED_VALUE"""),"Fire:100, ")</f>
        <v>Fire:100, </v>
      </c>
      <c r="O104" s="2"/>
      <c r="P104" s="2"/>
      <c r="Q104" s="2"/>
      <c r="R104" s="2"/>
      <c r="S104" s="2"/>
      <c r="T104" s="2"/>
      <c r="U104" s="2"/>
      <c r="V104" s="2" t="str">
        <f>IFERROR(__xludf.DUMMYFUNCTION("""COMPUTED_VALUE"""),"Bow of The Sacred Druids")</f>
        <v>Bow of The Sacred Druids</v>
      </c>
      <c r="W104" s="2"/>
      <c r="X104" s="2"/>
      <c r="Y104" s="2"/>
      <c r="Z104" s="2"/>
      <c r="AA104" s="2"/>
      <c r="AB104" s="2"/>
      <c r="AC104" s="2"/>
      <c r="AD104" s="2"/>
      <c r="AE104" s="2"/>
      <c r="AF104" s="2"/>
      <c r="AG104" s="2"/>
      <c r="AH104" s="2"/>
      <c r="AI104" s="2"/>
      <c r="AJ104" s="2" t="str">
        <f>IFERROR(__xludf.DUMMYFUNCTION("""COMPUTED_VALUE"""),"Poison Ivy")</f>
        <v>Poison Ivy</v>
      </c>
      <c r="AK104" s="2" t="str">
        <f>IFERROR(__xludf.DUMMYFUNCTION("""COMPUTED_VALUE"""),"Vine Hold")</f>
        <v>Vine Hold</v>
      </c>
      <c r="AL104" s="2" t="str">
        <f>IFERROR(__xludf.DUMMYFUNCTION("""COMPUTED_VALUE"""),"Nature ward")</f>
        <v>Nature ward</v>
      </c>
      <c r="AM104" s="2"/>
      <c r="AN104" s="2"/>
      <c r="AO104" s="2"/>
      <c r="AP104" s="2"/>
      <c r="AQ104" s="2"/>
      <c r="AR104" s="2"/>
      <c r="AS104" s="2"/>
      <c r="AT104" s="2"/>
      <c r="AU104" s="2"/>
      <c r="AV104" s="2"/>
      <c r="AW104" s="2"/>
      <c r="AX104" s="2"/>
      <c r="AY104" s="2"/>
      <c r="AZ104" s="2"/>
      <c r="BA104" s="3"/>
      <c r="BB104" s="3"/>
      <c r="BC104" s="1"/>
      <c r="BD104" s="3">
        <f>IFERROR(__xludf.DUMMYFUNCTION("""COMPUTED_VALUE"""),0.0)</f>
        <v>0</v>
      </c>
      <c r="BE104" s="4">
        <f>IFERROR(__xludf.DUMMYFUNCTION("""COMPUTED_VALUE"""),10.0)</f>
        <v>10</v>
      </c>
      <c r="BF104" s="3"/>
      <c r="BG104" s="3" t="str">
        <f>IFERROR(__xludf.DUMMYFUNCTION("""COMPUTED_VALUE"""),"Forest")</f>
        <v>Forest</v>
      </c>
      <c r="BH104" s="3" t="str">
        <f>IFERROR(__xludf.DUMMYFUNCTION("""COMPUTED_VALUE"""),"Land of Spira")</f>
        <v>Land of Spira</v>
      </c>
      <c r="BI104" s="3"/>
      <c r="BJ104" s="3"/>
      <c r="BK104" s="3"/>
      <c r="BL104" s="3" t="b">
        <f>IFERROR(__xludf.DUMMYFUNCTION("""COMPUTED_VALUE"""),FALSE)</f>
        <v>0</v>
      </c>
      <c r="BM104" s="3"/>
      <c r="BN104" s="3"/>
      <c r="BO104" s="3"/>
      <c r="BP104" s="3"/>
      <c r="BQ104" s="3"/>
      <c r="BR104" s="3"/>
      <c r="BS104" s="3"/>
      <c r="BT104" s="3"/>
      <c r="BU104" s="3"/>
      <c r="BV104" s="3"/>
      <c r="BW104" s="3"/>
    </row>
    <row r="105" ht="15.75" customHeight="1">
      <c r="A105" s="2" t="str">
        <f>IFERROR(__xludf.DUMMYFUNCTION("""COMPUTED_VALUE"""),"Forest Guardian")</f>
        <v>Forest Guardian</v>
      </c>
      <c r="B105" s="2">
        <f>IFERROR(__xludf.DUMMYFUNCTION("""COMPUTED_VALUE"""),1.0)</f>
        <v>1</v>
      </c>
      <c r="C105" s="1"/>
      <c r="D105" s="5" t="str">
        <f>IFERROR(__xludf.DUMMYFUNCTION("""COMPUTED_VALUE"""),"Fae")</f>
        <v>Fae</v>
      </c>
      <c r="E105" s="5">
        <f>IFERROR(__xludf.DUMMYFUNCTION("""COMPUTED_VALUE"""),1010.0)</f>
        <v>1010</v>
      </c>
      <c r="F105" s="5">
        <f>IFERROR(__xludf.DUMMYFUNCTION("""COMPUTED_VALUE"""),1010.0)</f>
        <v>1010</v>
      </c>
      <c r="G105" s="5">
        <f>IFERROR(__xludf.DUMMYFUNCTION("""COMPUTED_VALUE"""),1010.0)</f>
        <v>1010</v>
      </c>
      <c r="H105" s="2">
        <f>IFERROR(__xludf.DUMMYFUNCTION("""COMPUTED_VALUE"""),10.0)</f>
        <v>10</v>
      </c>
      <c r="I105" s="2">
        <f>IFERROR(__xludf.DUMMYFUNCTION("""COMPUTED_VALUE"""),0.0)</f>
        <v>0</v>
      </c>
      <c r="J105" s="5">
        <f>IFERROR(__xludf.DUMMYFUNCTION("""COMPUTED_VALUE"""),0.0)</f>
        <v>0</v>
      </c>
      <c r="K105" s="5">
        <f>IFERROR(__xludf.DUMMYFUNCTION("""COMPUTED_VALUE"""),100.0)</f>
        <v>100</v>
      </c>
      <c r="L105" s="1">
        <f>IFERROR(__xludf.DUMMYFUNCTION("""COMPUTED_VALUE"""),100.0)</f>
        <v>100</v>
      </c>
      <c r="M105" s="1" t="str">
        <f>IFERROR(__xludf.DUMMYFUNCTION("""COMPUTED_VALUE"""),"Nature:Immune, ")</f>
        <v>Nature:Immune, </v>
      </c>
      <c r="N105" s="2" t="str">
        <f>IFERROR(__xludf.DUMMYFUNCTION("""COMPUTED_VALUE"""),"Fire:100, Storm:100, ")</f>
        <v>Fire:100, Storm:100, </v>
      </c>
      <c r="O105" s="2"/>
      <c r="P105" s="2"/>
      <c r="Q105" s="2"/>
      <c r="R105" s="2"/>
      <c r="S105" s="2"/>
      <c r="T105" s="2"/>
      <c r="U105" s="2"/>
      <c r="V105" s="2"/>
      <c r="W105" s="2"/>
      <c r="X105" s="2"/>
      <c r="Y105" s="2"/>
      <c r="Z105" s="2"/>
      <c r="AA105" s="2"/>
      <c r="AB105" s="2"/>
      <c r="AC105" s="2"/>
      <c r="AD105" s="2"/>
      <c r="AE105" s="2"/>
      <c r="AF105" s="2"/>
      <c r="AG105" s="2"/>
      <c r="AH105" s="2"/>
      <c r="AI105" s="2"/>
      <c r="AJ105" s="2" t="str">
        <f>IFERROR(__xludf.DUMMYFUNCTION("""COMPUTED_VALUE"""),"Nature ward")</f>
        <v>Nature ward</v>
      </c>
      <c r="AK105" s="2" t="str">
        <f>IFERROR(__xludf.DUMMYFUNCTION("""COMPUTED_VALUE"""),"Vine Whip")</f>
        <v>Vine Whip</v>
      </c>
      <c r="AL105" s="2" t="str">
        <f>IFERROR(__xludf.DUMMYFUNCTION("""COMPUTED_VALUE"""),"Vine Hold")</f>
        <v>Vine Hold</v>
      </c>
      <c r="AM105" s="2"/>
      <c r="AN105" s="2"/>
      <c r="AO105" s="2"/>
      <c r="AP105" s="2" t="str">
        <f>IFERROR(__xludf.DUMMYFUNCTION("""COMPUTED_VALUE"""),"Second Chance")</f>
        <v>Second Chance</v>
      </c>
      <c r="AQ105" s="2"/>
      <c r="AR105" s="2"/>
      <c r="AS105" s="2"/>
      <c r="AT105" s="2"/>
      <c r="AU105" s="2"/>
      <c r="AV105" s="2"/>
      <c r="AW105" s="2"/>
      <c r="AX105" s="2"/>
      <c r="AY105" s="2"/>
      <c r="AZ105" s="2"/>
      <c r="BA105" s="3"/>
      <c r="BB105" s="3"/>
      <c r="BC105" s="1"/>
      <c r="BD105" s="3">
        <f>IFERROR(__xludf.DUMMYFUNCTION("""COMPUTED_VALUE"""),0.0)</f>
        <v>0</v>
      </c>
      <c r="BE105" s="4">
        <f>IFERROR(__xludf.DUMMYFUNCTION("""COMPUTED_VALUE"""),10.0)</f>
        <v>10</v>
      </c>
      <c r="BF105" s="3"/>
      <c r="BG105" s="3" t="str">
        <f>IFERROR(__xludf.DUMMYFUNCTION("""COMPUTED_VALUE"""),"Forest")</f>
        <v>Forest</v>
      </c>
      <c r="BH105" s="3" t="str">
        <f>IFERROR(__xludf.DUMMYFUNCTION("""COMPUTED_VALUE"""),"Land Of Spira")</f>
        <v>Land Of Spira</v>
      </c>
      <c r="BI105" s="3"/>
      <c r="BJ105" s="3"/>
      <c r="BK105" s="3"/>
      <c r="BL105" s="3" t="b">
        <f>IFERROR(__xludf.DUMMYFUNCTION("""COMPUTED_VALUE"""),FALSE)</f>
        <v>0</v>
      </c>
      <c r="BM105" s="3"/>
      <c r="BN105" s="3"/>
      <c r="BO105" s="3"/>
      <c r="BP105" s="3"/>
      <c r="BQ105" s="3"/>
      <c r="BR105" s="3"/>
      <c r="BS105" s="3"/>
      <c r="BT105" s="3"/>
      <c r="BU105" s="3"/>
      <c r="BV105" s="3"/>
      <c r="BW105" s="3"/>
    </row>
    <row r="106" ht="15.75" customHeight="1">
      <c r="A106" s="2" t="str">
        <f>IFERROR(__xludf.DUMMYFUNCTION("""COMPUTED_VALUE"""),"Frost Dragon")</f>
        <v>Frost Dragon</v>
      </c>
      <c r="B106" s="2">
        <f>IFERROR(__xludf.DUMMYFUNCTION("""COMPUTED_VALUE"""),1.0)</f>
        <v>1</v>
      </c>
      <c r="C106" s="1"/>
      <c r="D106" s="1" t="str">
        <f>IFERROR(__xludf.DUMMYFUNCTION("""COMPUTED_VALUE"""),"Draconic")</f>
        <v>Draconic</v>
      </c>
      <c r="E106" s="1">
        <f>IFERROR(__xludf.DUMMYFUNCTION("""COMPUTED_VALUE"""),31010.0)</f>
        <v>31010</v>
      </c>
      <c r="F106" s="7">
        <f>IFERROR(__xludf.DUMMYFUNCTION("""COMPUTED_VALUE"""),31010.0)</f>
        <v>31010</v>
      </c>
      <c r="G106" s="1">
        <f>IFERROR(__xludf.DUMMYFUNCTION("""COMPUTED_VALUE"""),1010.0)</f>
        <v>1010</v>
      </c>
      <c r="H106" s="1">
        <f>IFERROR(__xludf.DUMMYFUNCTION("""COMPUTED_VALUE"""),10.0)</f>
        <v>10</v>
      </c>
      <c r="I106" s="1">
        <f>IFERROR(__xludf.DUMMYFUNCTION("""COMPUTED_VALUE"""),0.0)</f>
        <v>0</v>
      </c>
      <c r="J106" s="2">
        <f>IFERROR(__xludf.DUMMYFUNCTION("""COMPUTED_VALUE"""),0.0)</f>
        <v>0</v>
      </c>
      <c r="K106" s="2">
        <f>IFERROR(__xludf.DUMMYFUNCTION("""COMPUTED_VALUE"""),100.0)</f>
        <v>100</v>
      </c>
      <c r="L106" s="1">
        <f>IFERROR(__xludf.DUMMYFUNCTION("""COMPUTED_VALUE"""),100.0)</f>
        <v>100</v>
      </c>
      <c r="M106" s="1" t="str">
        <f>IFERROR(__xludf.DUMMYFUNCTION("""COMPUTED_VALUE"""),"Water:Immune, Instant Death:Immune, Banishment:Immune, ")</f>
        <v>Water:Immune, Instant Death:Immune, Banishment:Immune, </v>
      </c>
      <c r="N106" s="2" t="str">
        <f>IFERROR(__xludf.DUMMYFUNCTION("""COMPUTED_VALUE"""),"Fire:100, Nature:100, ")</f>
        <v>Fire:100, Nature:100, </v>
      </c>
      <c r="O106" s="2"/>
      <c r="P106" s="2"/>
      <c r="Q106" s="2"/>
      <c r="R106" s="2"/>
      <c r="S106" s="2"/>
      <c r="T106" s="2"/>
      <c r="U106" s="2"/>
      <c r="V106" s="2"/>
      <c r="W106" s="2"/>
      <c r="X106" s="2"/>
      <c r="Y106" s="2"/>
      <c r="Z106" s="2"/>
      <c r="AA106" s="2"/>
      <c r="AB106" s="2"/>
      <c r="AC106" s="2"/>
      <c r="AD106" s="2"/>
      <c r="AE106" s="2"/>
      <c r="AF106" s="2"/>
      <c r="AG106" s="2"/>
      <c r="AH106" s="2"/>
      <c r="AI106" s="2"/>
      <c r="AJ106" s="2" t="str">
        <f>IFERROR(__xludf.DUMMYFUNCTION("""COMPUTED_VALUE"""),"Dragon's Breath")</f>
        <v>Dragon's Breath</v>
      </c>
      <c r="AK106" s="2" t="str">
        <f>IFERROR(__xludf.DUMMYFUNCTION("""COMPUTED_VALUE"""),"Bite")</f>
        <v>Bite</v>
      </c>
      <c r="AL106" s="2" t="str">
        <f>IFERROR(__xludf.DUMMYFUNCTION("""COMPUTED_VALUE"""),"Tail Smash")</f>
        <v>Tail Smash</v>
      </c>
      <c r="AM106" s="2" t="str">
        <f>IFERROR(__xludf.DUMMYFUNCTION("""COMPUTED_VALUE"""),"Claws")</f>
        <v>Claws</v>
      </c>
      <c r="AN106" s="2" t="str">
        <f>IFERROR(__xludf.DUMMYFUNCTION("""COMPUTED_VALUE"""),"Berserk")</f>
        <v>Berserk</v>
      </c>
      <c r="AO106" s="2" t="str">
        <f>IFERROR(__xludf.DUMMYFUNCTION("""COMPUTED_VALUE"""),"Multishot")</f>
        <v>Multishot</v>
      </c>
      <c r="AP106" s="2" t="str">
        <f>IFERROR(__xludf.DUMMYFUNCTION("""COMPUTED_VALUE"""),"Draconic Scream")</f>
        <v>Draconic Scream</v>
      </c>
      <c r="AQ106" s="2" t="str">
        <f>IFERROR(__xludf.DUMMYFUNCTION("""COMPUTED_VALUE"""),"Freezing Fog")</f>
        <v>Freezing Fog</v>
      </c>
      <c r="AR106" s="2" t="str">
        <f>IFERROR(__xludf.DUMMYFUNCTION("""COMPUTED_VALUE"""),"HailStorm")</f>
        <v>HailStorm</v>
      </c>
      <c r="AS106" s="2" t="str">
        <f>IFERROR(__xludf.DUMMYFUNCTION("""COMPUTED_VALUE"""),"Blizzard")</f>
        <v>Blizzard</v>
      </c>
      <c r="AT106" s="2" t="str">
        <f>IFERROR(__xludf.DUMMYFUNCTION("""COMPUTED_VALUE"""),"Celestial Wrath")</f>
        <v>Celestial Wrath</v>
      </c>
      <c r="AU106" s="2"/>
      <c r="AV106" s="2"/>
      <c r="AW106" s="2"/>
      <c r="AX106" s="2"/>
      <c r="AY106" s="2"/>
      <c r="AZ106" s="2"/>
      <c r="BA106" s="3"/>
      <c r="BB106" s="3"/>
      <c r="BC106" s="1"/>
      <c r="BD106" s="3">
        <f>IFERROR(__xludf.DUMMYFUNCTION("""COMPUTED_VALUE"""),0.0)</f>
        <v>0</v>
      </c>
      <c r="BE106" s="4">
        <f>IFERROR(__xludf.DUMMYFUNCTION("""COMPUTED_VALUE"""),10.0)</f>
        <v>10</v>
      </c>
      <c r="BF106" s="3" t="str">
        <f>IFERROR(__xludf.DUMMYFUNCTION("""COMPUTED_VALUE"""),"25% chance to be unaffected by any spells affecting this mob
Dragons Luck: +5 can be added to this mobs d20 rolls.
Immune to Freezing")</f>
        <v>25% chance to be unaffected by any spells affecting this mob
Dragons Luck: +5 can be added to this mobs d20 rolls.
Immune to Freezing</v>
      </c>
      <c r="BG106" s="3" t="str">
        <f>IFERROR(__xludf.DUMMYFUNCTION("""COMPUTED_VALUE"""),"Tundra")</f>
        <v>Tundra</v>
      </c>
      <c r="BH106" s="3" t="str">
        <f>IFERROR(__xludf.DUMMYFUNCTION("""COMPUTED_VALUE"""),"Dragonscale Island")</f>
        <v>Dragonscale Island</v>
      </c>
      <c r="BI106" s="3"/>
      <c r="BJ106" s="3"/>
      <c r="BK106" s="3"/>
      <c r="BL106" s="3" t="b">
        <f>IFERROR(__xludf.DUMMYFUNCTION("""COMPUTED_VALUE"""),FALSE)</f>
        <v>0</v>
      </c>
      <c r="BM106" s="3"/>
      <c r="BN106" s="3"/>
      <c r="BO106" s="3"/>
      <c r="BP106" s="3"/>
      <c r="BQ106" s="3"/>
      <c r="BR106" s="3"/>
      <c r="BS106" s="3"/>
      <c r="BT106" s="3"/>
      <c r="BU106" s="3"/>
      <c r="BV106" s="3"/>
      <c r="BW106" s="3"/>
    </row>
    <row r="107" ht="15.75" customHeight="1">
      <c r="A107" s="2" t="str">
        <f>IFERROR(__xludf.DUMMYFUNCTION("""COMPUTED_VALUE"""),"Frost Knight")</f>
        <v>Frost Knight</v>
      </c>
      <c r="B107" s="2">
        <f>IFERROR(__xludf.DUMMYFUNCTION("""COMPUTED_VALUE"""),1.0)</f>
        <v>1</v>
      </c>
      <c r="C107" s="1"/>
      <c r="D107" s="7" t="str">
        <f>IFERROR(__xludf.DUMMYFUNCTION("""COMPUTED_VALUE"""),"Humanoid")</f>
        <v>Humanoid</v>
      </c>
      <c r="E107" s="7">
        <f>IFERROR(__xludf.DUMMYFUNCTION("""COMPUTED_VALUE"""),1010.0)</f>
        <v>1010</v>
      </c>
      <c r="F107" s="7">
        <f>IFERROR(__xludf.DUMMYFUNCTION("""COMPUTED_VALUE"""),1010.0)</f>
        <v>1010</v>
      </c>
      <c r="G107" s="7">
        <f>IFERROR(__xludf.DUMMYFUNCTION("""COMPUTED_VALUE"""),1010.0)</f>
        <v>1010</v>
      </c>
      <c r="H107" s="1">
        <f>IFERROR(__xludf.DUMMYFUNCTION("""COMPUTED_VALUE"""),10.0)</f>
        <v>10</v>
      </c>
      <c r="I107" s="1">
        <f>IFERROR(__xludf.DUMMYFUNCTION("""COMPUTED_VALUE"""),0.0)</f>
        <v>0</v>
      </c>
      <c r="J107" s="2">
        <f>IFERROR(__xludf.DUMMYFUNCTION("""COMPUTED_VALUE"""),0.0)</f>
        <v>0</v>
      </c>
      <c r="K107" s="2">
        <f>IFERROR(__xludf.DUMMYFUNCTION("""COMPUTED_VALUE"""),100.0)</f>
        <v>100</v>
      </c>
      <c r="L107" s="1">
        <f>IFERROR(__xludf.DUMMYFUNCTION("""COMPUTED_VALUE"""),100.0)</f>
        <v>100</v>
      </c>
      <c r="M107" s="1" t="str">
        <f>IFERROR(__xludf.DUMMYFUNCTION("""COMPUTED_VALUE"""),"Water:Immune, Instant Death:Immune, Banishment:Immune, ")</f>
        <v>Water:Immune, Instant Death:Immune, Banishment:Immune, </v>
      </c>
      <c r="N107" s="2" t="str">
        <f>IFERROR(__xludf.DUMMYFUNCTION("""COMPUTED_VALUE"""),"Fire:100, Nature:100, ")</f>
        <v>Fire:100, Nature:100, </v>
      </c>
      <c r="O107" s="2"/>
      <c r="P107" s="2"/>
      <c r="Q107" s="2"/>
      <c r="R107" s="2"/>
      <c r="S107" s="2"/>
      <c r="T107" s="2"/>
      <c r="U107" s="2"/>
      <c r="V107" s="2" t="str">
        <f>IFERROR(__xludf.DUMMYFUNCTION("""COMPUTED_VALUE"""),"Frozen Soul Lantern")</f>
        <v>Frozen Soul Lantern</v>
      </c>
      <c r="W107" s="2" t="str">
        <f>IFERROR(__xludf.DUMMYFUNCTION("""COMPUTED_VALUE"""),"Frozen Falchion")</f>
        <v>Frozen Falchion</v>
      </c>
      <c r="X107" s="2"/>
      <c r="Y107" s="2"/>
      <c r="Z107" s="2"/>
      <c r="AA107" s="2"/>
      <c r="AB107" s="2"/>
      <c r="AC107" s="2"/>
      <c r="AD107" s="2"/>
      <c r="AE107" s="2"/>
      <c r="AF107" s="2"/>
      <c r="AG107" s="2"/>
      <c r="AH107" s="2"/>
      <c r="AI107" s="2"/>
      <c r="AJ107" s="2" t="str">
        <f>IFERROR(__xludf.DUMMYFUNCTION("""COMPUTED_VALUE"""),"Frost Cloak")</f>
        <v>Frost Cloak</v>
      </c>
      <c r="AK107" s="2" t="str">
        <f>IFERROR(__xludf.DUMMYFUNCTION("""COMPUTED_VALUE"""),"Blizzard")</f>
        <v>Blizzard</v>
      </c>
      <c r="AL107" s="2" t="str">
        <f>IFERROR(__xludf.DUMMYFUNCTION("""COMPUTED_VALUE"""),"Freezing Fog")</f>
        <v>Freezing Fog</v>
      </c>
      <c r="AM107" s="2" t="str">
        <f>IFERROR(__xludf.DUMMYFUNCTION("""COMPUTED_VALUE"""),"Chaincast")</f>
        <v>Chaincast</v>
      </c>
      <c r="AN107" s="2" t="str">
        <f>IFERROR(__xludf.DUMMYFUNCTION("""COMPUTED_VALUE"""),"Berserk")</f>
        <v>Berserk</v>
      </c>
      <c r="AO107" s="2" t="str">
        <f>IFERROR(__xludf.DUMMYFUNCTION("""COMPUTED_VALUE"""),"Roaring Frost Winds")</f>
        <v>Roaring Frost Winds</v>
      </c>
      <c r="AP107" s="2" t="str">
        <f>IFERROR(__xludf.DUMMYFUNCTION("""COMPUTED_VALUE"""),"Arrest")</f>
        <v>Arrest</v>
      </c>
      <c r="AQ107" s="2" t="str">
        <f>IFERROR(__xludf.DUMMYFUNCTION("""COMPUTED_VALUE"""),"Celestial Wrath")</f>
        <v>Celestial Wrath</v>
      </c>
      <c r="AR107" s="2" t="str">
        <f>IFERROR(__xludf.DUMMYFUNCTION("""COMPUTED_VALUE"""),"Avalanche")</f>
        <v>Avalanche</v>
      </c>
      <c r="AS107" s="2"/>
      <c r="AT107" s="2"/>
      <c r="AU107" s="2"/>
      <c r="AV107" s="2"/>
      <c r="AW107" s="2"/>
      <c r="AX107" s="2"/>
      <c r="AY107" s="2"/>
      <c r="AZ107" s="2"/>
      <c r="BA107" s="3"/>
      <c r="BB107" s="3"/>
      <c r="BC107" s="1"/>
      <c r="BD107" s="3">
        <f>IFERROR(__xludf.DUMMYFUNCTION("""COMPUTED_VALUE"""),0.0)</f>
        <v>0</v>
      </c>
      <c r="BE107" s="4">
        <f>IFERROR(__xludf.DUMMYFUNCTION("""COMPUTED_VALUE"""),10.0)</f>
        <v>10</v>
      </c>
      <c r="BF107" s="3" t="str">
        <f>IFERROR(__xludf.DUMMYFUNCTION("""COMPUTED_VALUE"""),"50% chance to be unaffected by any spells affecting this mob
50% chance to dodge an attack from a weapon.
25% chance to fully resist an item effect from the enemy that used it.
Royal Guards Beckoning: 10 can be added to the casters d20 roll.
Immune to"&amp;" Freezing.")</f>
        <v>50% chance to be unaffected by any spells affecting this mob
50% chance to dodge an attack from a weapon.
25% chance to fully resist an item effect from the enemy that used it.
Royal Guards Beckoning: 10 can be added to the casters d20 roll.
Immune to Freezing.</v>
      </c>
      <c r="BG107" s="3" t="str">
        <f>IFERROR(__xludf.DUMMYFUNCTION("""COMPUTED_VALUE"""),"Tundra")</f>
        <v>Tundra</v>
      </c>
      <c r="BH107" s="3" t="str">
        <f>IFERROR(__xludf.DUMMYFUNCTION("""COMPUTED_VALUE"""),"Land of Spira")</f>
        <v>Land of Spira</v>
      </c>
      <c r="BI107" s="3"/>
      <c r="BJ107" s="3"/>
      <c r="BK107" s="3"/>
      <c r="BL107" s="3" t="b">
        <f>IFERROR(__xludf.DUMMYFUNCTION("""COMPUTED_VALUE"""),FALSE)</f>
        <v>0</v>
      </c>
      <c r="BM107" s="3"/>
      <c r="BN107" s="3"/>
      <c r="BO107" s="3"/>
      <c r="BP107" s="3"/>
      <c r="BQ107" s="3"/>
      <c r="BR107" s="3"/>
      <c r="BS107" s="3"/>
      <c r="BT107" s="3"/>
      <c r="BU107" s="3"/>
      <c r="BV107" s="3"/>
      <c r="BW107" s="3"/>
    </row>
    <row r="108" ht="15.75" customHeight="1">
      <c r="A108" s="2" t="str">
        <f>IFERROR(__xludf.DUMMYFUNCTION("""COMPUTED_VALUE"""),"Giant")</f>
        <v>Giant</v>
      </c>
      <c r="B108" s="2">
        <f>IFERROR(__xludf.DUMMYFUNCTION("""COMPUTED_VALUE"""),1.0)</f>
        <v>1</v>
      </c>
      <c r="C108" s="2"/>
      <c r="D108" s="5" t="str">
        <f>IFERROR(__xludf.DUMMYFUNCTION("""COMPUTED_VALUE"""),"Giant")</f>
        <v>Giant</v>
      </c>
      <c r="E108" s="5">
        <f>IFERROR(__xludf.DUMMYFUNCTION("""COMPUTED_VALUE"""),1010.0)</f>
        <v>1010</v>
      </c>
      <c r="F108" s="5">
        <f>IFERROR(__xludf.DUMMYFUNCTION("""COMPUTED_VALUE"""),1010.0)</f>
        <v>1010</v>
      </c>
      <c r="G108" s="5">
        <f>IFERROR(__xludf.DUMMYFUNCTION("""COMPUTED_VALUE"""),1010.0)</f>
        <v>1010</v>
      </c>
      <c r="H108" s="2">
        <f>IFERROR(__xludf.DUMMYFUNCTION("""COMPUTED_VALUE"""),10.0)</f>
        <v>10</v>
      </c>
      <c r="I108" s="1">
        <f>IFERROR(__xludf.DUMMYFUNCTION("""COMPUTED_VALUE"""),0.0)</f>
        <v>0</v>
      </c>
      <c r="J108" s="5">
        <f>IFERROR(__xludf.DUMMYFUNCTION("""COMPUTED_VALUE"""),0.0)</f>
        <v>0</v>
      </c>
      <c r="K108" s="5">
        <f>IFERROR(__xludf.DUMMYFUNCTION("""COMPUTED_VALUE"""),100.0)</f>
        <v>100</v>
      </c>
      <c r="L108" s="1">
        <f>IFERROR(__xludf.DUMMYFUNCTION("""COMPUTED_VALUE"""),100.0)</f>
        <v>100</v>
      </c>
      <c r="M108" s="1" t="str">
        <f>IFERROR(__xludf.DUMMYFUNCTION("""COMPUTED_VALUE"""),"Earth:100, ")</f>
        <v>Earth:100, </v>
      </c>
      <c r="N108" s="2" t="str">
        <f>IFERROR(__xludf.DUMMYFUNCTION("""COMPUTED_VALUE"""),"")</f>
        <v/>
      </c>
      <c r="O108" s="2"/>
      <c r="P108" s="2"/>
      <c r="Q108" s="2"/>
      <c r="R108" s="2"/>
      <c r="S108" s="2"/>
      <c r="T108" s="2"/>
      <c r="U108" s="2"/>
      <c r="V108" s="2" t="str">
        <f>IFERROR(__xludf.DUMMYFUNCTION("""COMPUTED_VALUE"""),"Bone Sword ")</f>
        <v>Bone Sword </v>
      </c>
      <c r="W108" s="2"/>
      <c r="X108" s="2"/>
      <c r="Y108" s="2"/>
      <c r="Z108" s="2"/>
      <c r="AA108" s="2"/>
      <c r="AB108" s="2"/>
      <c r="AC108" s="2"/>
      <c r="AD108" s="2"/>
      <c r="AE108" s="2"/>
      <c r="AF108" s="2"/>
      <c r="AG108" s="2"/>
      <c r="AH108" s="2"/>
      <c r="AI108" s="2"/>
      <c r="AJ108" s="2" t="str">
        <f>IFERROR(__xludf.DUMMYFUNCTION("""COMPUTED_VALUE"""),"Punch")</f>
        <v>Punch</v>
      </c>
      <c r="AK108" s="2" t="str">
        <f>IFERROR(__xludf.DUMMYFUNCTION("""COMPUTED_VALUE"""),"Rock Shot")</f>
        <v>Rock Shot</v>
      </c>
      <c r="AL108" s="2" t="str">
        <f>IFERROR(__xludf.DUMMYFUNCTION("""COMPUTED_VALUE"""),"Berserk")</f>
        <v>Berserk</v>
      </c>
      <c r="AM108" s="2"/>
      <c r="AN108" s="2"/>
      <c r="AO108" s="2"/>
      <c r="AP108" s="2"/>
      <c r="AQ108" s="2"/>
      <c r="AR108" s="2"/>
      <c r="AS108" s="2"/>
      <c r="AT108" s="2"/>
      <c r="AU108" s="2"/>
      <c r="AV108" s="2"/>
      <c r="AW108" s="2"/>
      <c r="AX108" s="2"/>
      <c r="AY108" s="2"/>
      <c r="AZ108" s="2"/>
      <c r="BA108" s="3"/>
      <c r="BB108" s="3"/>
      <c r="BC108" s="1"/>
      <c r="BD108" s="3">
        <f>IFERROR(__xludf.DUMMYFUNCTION("""COMPUTED_VALUE"""),0.0)</f>
        <v>0</v>
      </c>
      <c r="BE108" s="4">
        <f>IFERROR(__xludf.DUMMYFUNCTION("""COMPUTED_VALUE"""),10.0)</f>
        <v>10</v>
      </c>
      <c r="BF108" s="3"/>
      <c r="BG108" s="3" t="str">
        <f>IFERROR(__xludf.DUMMYFUNCTION("""COMPUTED_VALUE"""),"All")</f>
        <v>All</v>
      </c>
      <c r="BH108" s="3" t="str">
        <f>IFERROR(__xludf.DUMMYFUNCTION("""COMPUTED_VALUE"""),"Land of Spira")</f>
        <v>Land of Spira</v>
      </c>
      <c r="BI108" s="3"/>
      <c r="BJ108" s="3"/>
      <c r="BK108" s="3"/>
      <c r="BL108" s="3" t="b">
        <f>IFERROR(__xludf.DUMMYFUNCTION("""COMPUTED_VALUE"""),FALSE)</f>
        <v>0</v>
      </c>
      <c r="BM108" s="3"/>
      <c r="BN108" s="3"/>
      <c r="BO108" s="3"/>
      <c r="BP108" s="3"/>
      <c r="BQ108" s="3"/>
      <c r="BR108" s="3"/>
      <c r="BS108" s="3"/>
      <c r="BT108" s="3"/>
      <c r="BU108" s="3"/>
      <c r="BV108" s="3"/>
      <c r="BW108" s="3"/>
    </row>
    <row r="109" ht="15.75" customHeight="1">
      <c r="A109" s="2" t="str">
        <f>IFERROR(__xludf.DUMMYFUNCTION("""COMPUTED_VALUE"""),"Giant Alligator (WD)")</f>
        <v>Giant Alligator (WD)</v>
      </c>
      <c r="B109" s="2">
        <f>IFERROR(__xludf.DUMMYFUNCTION("""COMPUTED_VALUE"""),1.0)</f>
        <v>1</v>
      </c>
      <c r="C109" s="2"/>
      <c r="D109" s="5" t="str">
        <f>IFERROR(__xludf.DUMMYFUNCTION("""COMPUTED_VALUE"""),"Beast")</f>
        <v>Beast</v>
      </c>
      <c r="E109" s="5">
        <f>IFERROR(__xludf.DUMMYFUNCTION("""COMPUTED_VALUE"""),16010.0)</f>
        <v>16010</v>
      </c>
      <c r="F109" s="5">
        <f>IFERROR(__xludf.DUMMYFUNCTION("""COMPUTED_VALUE"""),1010.0)</f>
        <v>1010</v>
      </c>
      <c r="G109" s="5">
        <f>IFERROR(__xludf.DUMMYFUNCTION("""COMPUTED_VALUE"""),16010.0)</f>
        <v>16010</v>
      </c>
      <c r="H109" s="2">
        <f>IFERROR(__xludf.DUMMYFUNCTION("""COMPUTED_VALUE"""),10.0)</f>
        <v>10</v>
      </c>
      <c r="I109" s="2">
        <f>IFERROR(__xludf.DUMMYFUNCTION("""COMPUTED_VALUE"""),0.0)</f>
        <v>0</v>
      </c>
      <c r="J109" s="5">
        <f>IFERROR(__xludf.DUMMYFUNCTION("""COMPUTED_VALUE"""),0.0)</f>
        <v>0</v>
      </c>
      <c r="K109" s="5">
        <f>IFERROR(__xludf.DUMMYFUNCTION("""COMPUTED_VALUE"""),100.0)</f>
        <v>100</v>
      </c>
      <c r="L109" s="1">
        <f>IFERROR(__xludf.DUMMYFUNCTION("""COMPUTED_VALUE"""),100.0)</f>
        <v>100</v>
      </c>
      <c r="M109" s="1" t="str">
        <f>IFERROR(__xludf.DUMMYFUNCTION("""COMPUTED_VALUE"""),"Fire:Immune, Water:Immune, ")</f>
        <v>Fire:Immune, Water:Immune, </v>
      </c>
      <c r="N109" s="2" t="str">
        <f>IFERROR(__xludf.DUMMYFUNCTION("""COMPUTED_VALUE"""),"Nature:100, ")</f>
        <v>Nature:100, </v>
      </c>
      <c r="O109" s="2"/>
      <c r="P109" s="2"/>
      <c r="Q109" s="2"/>
      <c r="R109" s="2"/>
      <c r="S109" s="2"/>
      <c r="T109" s="2"/>
      <c r="U109" s="2"/>
      <c r="V109" s="2"/>
      <c r="W109" s="2"/>
      <c r="X109" s="2"/>
      <c r="Y109" s="2"/>
      <c r="Z109" s="2"/>
      <c r="AA109" s="2"/>
      <c r="AB109" s="2"/>
      <c r="AC109" s="2"/>
      <c r="AD109" s="2"/>
      <c r="AE109" s="2"/>
      <c r="AF109" s="2"/>
      <c r="AG109" s="2"/>
      <c r="AH109" s="2"/>
      <c r="AI109" s="2"/>
      <c r="AJ109" s="2" t="str">
        <f>IFERROR(__xludf.DUMMYFUNCTION("""COMPUTED_VALUE"""),"Reckless Chomp ")</f>
        <v>Reckless Chomp </v>
      </c>
      <c r="AK109" s="2" t="str">
        <f>IFERROR(__xludf.DUMMYFUNCTION("""COMPUTED_VALUE"""),"Aggresive Tear")</f>
        <v>Aggresive Tear</v>
      </c>
      <c r="AL109" s="2" t="str">
        <f>IFERROR(__xludf.DUMMYFUNCTION("""COMPUTED_VALUE"""),"Frostbite")</f>
        <v>Frostbite</v>
      </c>
      <c r="AM109" s="2" t="str">
        <f>IFERROR(__xludf.DUMMYFUNCTION("""COMPUTED_VALUE"""),"Torrential Downpour")</f>
        <v>Torrential Downpour</v>
      </c>
      <c r="AN109" s="2" t="str">
        <f>IFERROR(__xludf.DUMMYFUNCTION("""COMPUTED_VALUE"""),"Berserk")</f>
        <v>Berserk</v>
      </c>
      <c r="AO109" s="2" t="str">
        <f>IFERROR(__xludf.DUMMYFUNCTION("""COMPUTED_VALUE"""),"Tackle")</f>
        <v>Tackle</v>
      </c>
      <c r="AP109" s="2" t="str">
        <f>IFERROR(__xludf.DUMMYFUNCTION("""COMPUTED_VALUE"""),"Guard")</f>
        <v>Guard</v>
      </c>
      <c r="AQ109" s="2"/>
      <c r="AR109" s="2"/>
      <c r="AS109" s="2"/>
      <c r="AT109" s="2"/>
      <c r="AU109" s="2"/>
      <c r="AV109" s="2"/>
      <c r="AW109" s="2"/>
      <c r="AX109" s="2"/>
      <c r="AY109" s="2"/>
      <c r="AZ109" s="2"/>
      <c r="BA109" s="3"/>
      <c r="BB109" s="3"/>
      <c r="BC109" s="1"/>
      <c r="BD109" s="3">
        <f>IFERROR(__xludf.DUMMYFUNCTION("""COMPUTED_VALUE"""),0.0)</f>
        <v>0</v>
      </c>
      <c r="BE109" s="4">
        <f>IFERROR(__xludf.DUMMYFUNCTION("""COMPUTED_VALUE"""),10.0)</f>
        <v>10</v>
      </c>
      <c r="BF109" s="3"/>
      <c r="BG109" s="3" t="str">
        <f>IFERROR(__xludf.DUMMYFUNCTION("""COMPUTED_VALUE"""),"Ocean")</f>
        <v>Ocean</v>
      </c>
      <c r="BH109" s="3" t="str">
        <f>IFERROR(__xludf.DUMMYFUNCTION("""COMPUTED_VALUE"""),"Land Of Spira")</f>
        <v>Land Of Spira</v>
      </c>
      <c r="BI109" s="3"/>
      <c r="BJ109" s="3"/>
      <c r="BK109" s="3"/>
      <c r="BL109" s="3" t="b">
        <f>IFERROR(__xludf.DUMMYFUNCTION("""COMPUTED_VALUE"""),FALSE)</f>
        <v>0</v>
      </c>
      <c r="BM109" s="3"/>
      <c r="BN109" s="3"/>
      <c r="BO109" s="3"/>
      <c r="BP109" s="3"/>
      <c r="BQ109" s="3"/>
      <c r="BR109" s="3"/>
      <c r="BS109" s="3"/>
      <c r="BT109" s="3"/>
      <c r="BU109" s="3"/>
      <c r="BV109" s="3"/>
      <c r="BW109" s="3"/>
    </row>
    <row r="110" ht="15.75" customHeight="1">
      <c r="A110" s="2" t="str">
        <f>IFERROR(__xludf.DUMMYFUNCTION("""COMPUTED_VALUE"""),"Giant Alligator (WD) (Enhanced)")</f>
        <v>Giant Alligator (WD) (Enhanced)</v>
      </c>
      <c r="B110" s="2">
        <f>IFERROR(__xludf.DUMMYFUNCTION("""COMPUTED_VALUE"""),1.0)</f>
        <v>1</v>
      </c>
      <c r="C110" s="2"/>
      <c r="D110" s="5" t="str">
        <f>IFERROR(__xludf.DUMMYFUNCTION("""COMPUTED_VALUE"""),"Beast")</f>
        <v>Beast</v>
      </c>
      <c r="E110" s="5">
        <f>IFERROR(__xludf.DUMMYFUNCTION("""COMPUTED_VALUE"""),16010.0)</f>
        <v>16010</v>
      </c>
      <c r="F110" s="5">
        <f>IFERROR(__xludf.DUMMYFUNCTION("""COMPUTED_VALUE"""),1010.0)</f>
        <v>1010</v>
      </c>
      <c r="G110" s="5">
        <f>IFERROR(__xludf.DUMMYFUNCTION("""COMPUTED_VALUE"""),16010.0)</f>
        <v>16010</v>
      </c>
      <c r="H110" s="2">
        <f>IFERROR(__xludf.DUMMYFUNCTION("""COMPUTED_VALUE"""),10.0)</f>
        <v>10</v>
      </c>
      <c r="I110" s="2">
        <f>IFERROR(__xludf.DUMMYFUNCTION("""COMPUTED_VALUE"""),0.0)</f>
        <v>0</v>
      </c>
      <c r="J110" s="5">
        <f>IFERROR(__xludf.DUMMYFUNCTION("""COMPUTED_VALUE"""),0.0)</f>
        <v>0</v>
      </c>
      <c r="K110" s="5">
        <f>IFERROR(__xludf.DUMMYFUNCTION("""COMPUTED_VALUE"""),100.0)</f>
        <v>100</v>
      </c>
      <c r="L110" s="1">
        <f>IFERROR(__xludf.DUMMYFUNCTION("""COMPUTED_VALUE"""),100.0)</f>
        <v>100</v>
      </c>
      <c r="M110" s="1" t="str">
        <f>IFERROR(__xludf.DUMMYFUNCTION("""COMPUTED_VALUE"""),"Fire:Immune, Water:Immune, ")</f>
        <v>Fire:Immune, Water:Immune, </v>
      </c>
      <c r="N110" s="2" t="str">
        <f>IFERROR(__xludf.DUMMYFUNCTION("""COMPUTED_VALUE"""),"Nature:100, ")</f>
        <v>Nature:100, </v>
      </c>
      <c r="O110" s="2"/>
      <c r="P110" s="2"/>
      <c r="Q110" s="2"/>
      <c r="R110" s="2"/>
      <c r="S110" s="2"/>
      <c r="T110" s="2"/>
      <c r="U110" s="2"/>
      <c r="V110" s="2"/>
      <c r="W110" s="2"/>
      <c r="X110" s="2"/>
      <c r="Y110" s="2"/>
      <c r="Z110" s="2"/>
      <c r="AA110" s="2"/>
      <c r="AB110" s="2"/>
      <c r="AC110" s="2"/>
      <c r="AD110" s="2"/>
      <c r="AE110" s="2"/>
      <c r="AF110" s="2"/>
      <c r="AG110" s="2"/>
      <c r="AH110" s="2"/>
      <c r="AI110" s="2"/>
      <c r="AJ110" s="2" t="str">
        <f>IFERROR(__xludf.DUMMYFUNCTION("""COMPUTED_VALUE"""),"Aggressive Chomp")</f>
        <v>Aggressive Chomp</v>
      </c>
      <c r="AK110" s="2" t="str">
        <f>IFERROR(__xludf.DUMMYFUNCTION("""COMPUTED_VALUE"""),"Aggresive Tear")</f>
        <v>Aggresive Tear</v>
      </c>
      <c r="AL110" s="2" t="str">
        <f>IFERROR(__xludf.DUMMYFUNCTION("""COMPUTED_VALUE"""),"Frostbite")</f>
        <v>Frostbite</v>
      </c>
      <c r="AM110" s="2" t="str">
        <f>IFERROR(__xludf.DUMMYFUNCTION("""COMPUTED_VALUE"""),"Torrential Downpour")</f>
        <v>Torrential Downpour</v>
      </c>
      <c r="AN110" s="2" t="str">
        <f>IFERROR(__xludf.DUMMYFUNCTION("""COMPUTED_VALUE"""),"Berserk")</f>
        <v>Berserk</v>
      </c>
      <c r="AO110" s="2" t="str">
        <f>IFERROR(__xludf.DUMMYFUNCTION("""COMPUTED_VALUE"""),"Tackle")</f>
        <v>Tackle</v>
      </c>
      <c r="AP110" s="2" t="str">
        <f>IFERROR(__xludf.DUMMYFUNCTION("""COMPUTED_VALUE"""),"Guard")</f>
        <v>Guard</v>
      </c>
      <c r="AQ110" s="2"/>
      <c r="AR110" s="2"/>
      <c r="AS110" s="2"/>
      <c r="AT110" s="2"/>
      <c r="AU110" s="2"/>
      <c r="AV110" s="2"/>
      <c r="AW110" s="2"/>
      <c r="AX110" s="2"/>
      <c r="AY110" s="2"/>
      <c r="AZ110" s="2"/>
      <c r="BA110" s="3"/>
      <c r="BB110" s="3"/>
      <c r="BC110" s="1"/>
      <c r="BD110" s="3">
        <f>IFERROR(__xludf.DUMMYFUNCTION("""COMPUTED_VALUE"""),0.0)</f>
        <v>0</v>
      </c>
      <c r="BE110" s="4">
        <f>IFERROR(__xludf.DUMMYFUNCTION("""COMPUTED_VALUE"""),10.0)</f>
        <v>10</v>
      </c>
      <c r="BF110" s="3"/>
      <c r="BG110" s="3" t="str">
        <f>IFERROR(__xludf.DUMMYFUNCTION("""COMPUTED_VALUE"""),"Ocean")</f>
        <v>Ocean</v>
      </c>
      <c r="BH110" s="3" t="str">
        <f>IFERROR(__xludf.DUMMYFUNCTION("""COMPUTED_VALUE"""),"Land Of Spira")</f>
        <v>Land Of Spira</v>
      </c>
      <c r="BI110" s="3"/>
      <c r="BJ110" s="3"/>
      <c r="BK110" s="3"/>
      <c r="BL110" s="3" t="b">
        <f>IFERROR(__xludf.DUMMYFUNCTION("""COMPUTED_VALUE"""),FALSE)</f>
        <v>0</v>
      </c>
      <c r="BM110" s="3"/>
      <c r="BN110" s="3"/>
      <c r="BO110" s="3"/>
      <c r="BP110" s="3"/>
      <c r="BQ110" s="3"/>
      <c r="BR110" s="3"/>
      <c r="BS110" s="3"/>
      <c r="BT110" s="3"/>
      <c r="BU110" s="3"/>
      <c r="BV110" s="3"/>
      <c r="BW110" s="3"/>
    </row>
    <row r="111" ht="15.75" customHeight="1">
      <c r="A111" s="2" t="str">
        <f>IFERROR(__xludf.DUMMYFUNCTION("""COMPUTED_VALUE"""),"Giant Ancient Frost Troll")</f>
        <v>Giant Ancient Frost Troll</v>
      </c>
      <c r="B111" s="2">
        <f>IFERROR(__xludf.DUMMYFUNCTION("""COMPUTED_VALUE"""),1.0)</f>
        <v>1</v>
      </c>
      <c r="C111" s="2"/>
      <c r="D111" s="5" t="str">
        <f>IFERROR(__xludf.DUMMYFUNCTION("""COMPUTED_VALUE"""),"Giant")</f>
        <v>Giant</v>
      </c>
      <c r="E111" s="5">
        <f>IFERROR(__xludf.DUMMYFUNCTION("""COMPUTED_VALUE"""),1010.0)</f>
        <v>1010</v>
      </c>
      <c r="F111" s="5">
        <f>IFERROR(__xludf.DUMMYFUNCTION("""COMPUTED_VALUE"""),1010.0)</f>
        <v>1010</v>
      </c>
      <c r="G111" s="5">
        <f>IFERROR(__xludf.DUMMYFUNCTION("""COMPUTED_VALUE"""),1010.0)</f>
        <v>1010</v>
      </c>
      <c r="H111" s="2">
        <f>IFERROR(__xludf.DUMMYFUNCTION("""COMPUTED_VALUE"""),10.0)</f>
        <v>10</v>
      </c>
      <c r="I111" s="2">
        <f>IFERROR(__xludf.DUMMYFUNCTION("""COMPUTED_VALUE"""),0.0)</f>
        <v>0</v>
      </c>
      <c r="J111" s="5">
        <f>IFERROR(__xludf.DUMMYFUNCTION("""COMPUTED_VALUE"""),0.0)</f>
        <v>0</v>
      </c>
      <c r="K111" s="5">
        <f>IFERROR(__xludf.DUMMYFUNCTION("""COMPUTED_VALUE"""),100.0)</f>
        <v>100</v>
      </c>
      <c r="L111" s="1">
        <f>IFERROR(__xludf.DUMMYFUNCTION("""COMPUTED_VALUE"""),100.0)</f>
        <v>100</v>
      </c>
      <c r="M111" s="1" t="str">
        <f>IFERROR(__xludf.DUMMYFUNCTION("""COMPUTED_VALUE"""),"Water:Immune, ")</f>
        <v>Water:Immune, </v>
      </c>
      <c r="N111" s="2" t="str">
        <f>IFERROR(__xludf.DUMMYFUNCTION("""COMPUTED_VALUE"""),"Fire:100, Nature:100, ")</f>
        <v>Fire:100, Nature:100, </v>
      </c>
      <c r="O111" s="2"/>
      <c r="P111" s="2"/>
      <c r="Q111" s="2"/>
      <c r="R111" s="2"/>
      <c r="S111" s="2"/>
      <c r="T111" s="2"/>
      <c r="U111" s="2"/>
      <c r="V111" s="2" t="str">
        <f>IFERROR(__xludf.DUMMYFUNCTION("""COMPUTED_VALUE"""),"Frost Spear")</f>
        <v>Frost Spear</v>
      </c>
      <c r="W111" s="2"/>
      <c r="X111" s="2"/>
      <c r="Y111" s="2"/>
      <c r="Z111" s="2"/>
      <c r="AA111" s="2"/>
      <c r="AB111" s="2"/>
      <c r="AC111" s="2"/>
      <c r="AD111" s="2"/>
      <c r="AE111" s="2"/>
      <c r="AF111" s="2"/>
      <c r="AG111" s="2"/>
      <c r="AH111" s="2"/>
      <c r="AI111" s="2"/>
      <c r="AJ111" s="2" t="str">
        <f>IFERROR(__xludf.DUMMYFUNCTION("""COMPUTED_VALUE"""),"Frost Barrier")</f>
        <v>Frost Barrier</v>
      </c>
      <c r="AK111" s="2" t="str">
        <f>IFERROR(__xludf.DUMMYFUNCTION("""COMPUTED_VALUE"""),"Blizzard")</f>
        <v>Blizzard</v>
      </c>
      <c r="AL111" s="2" t="str">
        <f>IFERROR(__xludf.DUMMYFUNCTION("""COMPUTED_VALUE"""),"Freezing Fog")</f>
        <v>Freezing Fog</v>
      </c>
      <c r="AM111" s="2" t="str">
        <f>IFERROR(__xludf.DUMMYFUNCTION("""COMPUTED_VALUE"""),"Ancient Frost Troll Call")</f>
        <v>Ancient Frost Troll Call</v>
      </c>
      <c r="AN111" s="2" t="str">
        <f>IFERROR(__xludf.DUMMYFUNCTION("""COMPUTED_VALUE"""),"Frost Boost")</f>
        <v>Frost Boost</v>
      </c>
      <c r="AO111" s="2" t="str">
        <f>IFERROR(__xludf.DUMMYFUNCTION("""COMPUTED_VALUE"""),"Icicle spear")</f>
        <v>Icicle spear</v>
      </c>
      <c r="AP111" s="2" t="str">
        <f>IFERROR(__xludf.DUMMYFUNCTION("""COMPUTED_VALUE"""),"Avalanche")</f>
        <v>Avalanche</v>
      </c>
      <c r="AQ111" s="2" t="str">
        <f>IFERROR(__xludf.DUMMYFUNCTION("""COMPUTED_VALUE"""),"Celestial Wrath")</f>
        <v>Celestial Wrath</v>
      </c>
      <c r="AR111" s="2"/>
      <c r="AS111" s="2"/>
      <c r="AT111" s="2"/>
      <c r="AU111" s="2"/>
      <c r="AV111" s="2"/>
      <c r="AW111" s="2"/>
      <c r="AX111" s="2"/>
      <c r="AY111" s="2"/>
      <c r="AZ111" s="2"/>
      <c r="BA111" s="3"/>
      <c r="BB111" s="3"/>
      <c r="BC111" s="1"/>
      <c r="BD111" s="3">
        <f>IFERROR(__xludf.DUMMYFUNCTION("""COMPUTED_VALUE"""),0.0)</f>
        <v>0</v>
      </c>
      <c r="BE111" s="4">
        <f>IFERROR(__xludf.DUMMYFUNCTION("""COMPUTED_VALUE"""),10.0)</f>
        <v>10</v>
      </c>
      <c r="BF111" s="3" t="str">
        <f>IFERROR(__xludf.DUMMYFUNCTION("""COMPUTED_VALUE"""),"+5 can be added to this mobs d20 rolls.
Immune to freezing.")</f>
        <v>+5 can be added to this mobs d20 rolls.
Immune to freezing.</v>
      </c>
      <c r="BG111" s="3" t="str">
        <f>IFERROR(__xludf.DUMMYFUNCTION("""COMPUTED_VALUE"""),"Tundra")</f>
        <v>Tundra</v>
      </c>
      <c r="BH111" s="3" t="str">
        <f>IFERROR(__xludf.DUMMYFUNCTION("""COMPUTED_VALUE"""),"Land of Spira")</f>
        <v>Land of Spira</v>
      </c>
      <c r="BI111" s="3"/>
      <c r="BJ111" s="3"/>
      <c r="BK111" s="3"/>
      <c r="BL111" s="3" t="b">
        <f>IFERROR(__xludf.DUMMYFUNCTION("""COMPUTED_VALUE"""),FALSE)</f>
        <v>0</v>
      </c>
      <c r="BM111" s="3"/>
      <c r="BN111" s="3"/>
      <c r="BO111" s="3"/>
      <c r="BP111" s="3"/>
      <c r="BQ111" s="3"/>
      <c r="BR111" s="3"/>
      <c r="BS111" s="3"/>
      <c r="BT111" s="3"/>
      <c r="BU111" s="3"/>
      <c r="BV111" s="3"/>
      <c r="BW111" s="3"/>
    </row>
    <row r="112" ht="15.75" customHeight="1">
      <c r="A112" s="2" t="str">
        <f>IFERROR(__xludf.DUMMYFUNCTION("""COMPUTED_VALUE"""),"Giant Chaotic Shadow Spider")</f>
        <v>Giant Chaotic Shadow Spider</v>
      </c>
      <c r="B112" s="2">
        <f>IFERROR(__xludf.DUMMYFUNCTION("""COMPUTED_VALUE"""),1.0)</f>
        <v>1</v>
      </c>
      <c r="C112" s="2"/>
      <c r="D112" s="5" t="str">
        <f>IFERROR(__xludf.DUMMYFUNCTION("""COMPUTED_VALUE"""),"Beast")</f>
        <v>Beast</v>
      </c>
      <c r="E112" s="5">
        <f>IFERROR(__xludf.DUMMYFUNCTION("""COMPUTED_VALUE"""),1010.0)</f>
        <v>1010</v>
      </c>
      <c r="F112" s="5">
        <f>IFERROR(__xludf.DUMMYFUNCTION("""COMPUTED_VALUE"""),1010.0)</f>
        <v>1010</v>
      </c>
      <c r="G112" s="5">
        <f>IFERROR(__xludf.DUMMYFUNCTION("""COMPUTED_VALUE"""),1010.0)</f>
        <v>1010</v>
      </c>
      <c r="H112" s="2">
        <f>IFERROR(__xludf.DUMMYFUNCTION("""COMPUTED_VALUE"""),10.0)</f>
        <v>10</v>
      </c>
      <c r="I112" s="1">
        <f>IFERROR(__xludf.DUMMYFUNCTION("""COMPUTED_VALUE"""),0.0)</f>
        <v>0</v>
      </c>
      <c r="J112" s="5">
        <f>IFERROR(__xludf.DUMMYFUNCTION("""COMPUTED_VALUE"""),0.0)</f>
        <v>0</v>
      </c>
      <c r="K112" s="5">
        <f>IFERROR(__xludf.DUMMYFUNCTION("""COMPUTED_VALUE"""),100.0)</f>
        <v>100</v>
      </c>
      <c r="L112" s="1">
        <f>IFERROR(__xludf.DUMMYFUNCTION("""COMPUTED_VALUE"""),100.0)</f>
        <v>100</v>
      </c>
      <c r="M112" s="1" t="str">
        <f>IFERROR(__xludf.DUMMYFUNCTION("""COMPUTED_VALUE"""),"Dark:100, Chaos:100, Instant Death:Immune, Banishment:Immune, ")</f>
        <v>Dark:100, Chaos:100, Instant Death:Immune, Banishment:Immune, </v>
      </c>
      <c r="N112" s="2" t="str">
        <f>IFERROR(__xludf.DUMMYFUNCTION("""COMPUTED_VALUE"""),"Fire:100, Light:100, Order:100, ")</f>
        <v>Fire:100, Light:100, Order:100, </v>
      </c>
      <c r="O112" s="2"/>
      <c r="P112" s="2"/>
      <c r="Q112" s="2"/>
      <c r="R112" s="2"/>
      <c r="S112" s="2"/>
      <c r="T112" s="2"/>
      <c r="U112" s="2"/>
      <c r="V112" s="2"/>
      <c r="W112" s="2"/>
      <c r="X112" s="2"/>
      <c r="Y112" s="2"/>
      <c r="Z112" s="2"/>
      <c r="AA112" s="2"/>
      <c r="AB112" s="2"/>
      <c r="AC112" s="2"/>
      <c r="AD112" s="2"/>
      <c r="AE112" s="2"/>
      <c r="AF112" s="2"/>
      <c r="AG112" s="2"/>
      <c r="AH112" s="2"/>
      <c r="AI112" s="2"/>
      <c r="AJ112" s="2" t="str">
        <f>IFERROR(__xludf.DUMMYFUNCTION("""COMPUTED_VALUE"""),"Chaotic Shadow Spider Slam")</f>
        <v>Chaotic Shadow Spider Slam</v>
      </c>
      <c r="AK112" s="2" t="str">
        <f>IFERROR(__xludf.DUMMYFUNCTION("""COMPUTED_VALUE"""),"Chaotic Spider Smarts")</f>
        <v>Chaotic Spider Smarts</v>
      </c>
      <c r="AL112" s="2" t="str">
        <f>IFERROR(__xludf.DUMMYFUNCTION("""COMPUTED_VALUE"""),"Spider War Call")</f>
        <v>Spider War Call</v>
      </c>
      <c r="AM112" s="2" t="str">
        <f>IFERROR(__xludf.DUMMYFUNCTION("""COMPUTED_VALUE"""),"Chaotic Shadow Barrier")</f>
        <v>Chaotic Shadow Barrier</v>
      </c>
      <c r="AN112" s="2" t="str">
        <f>IFERROR(__xludf.DUMMYFUNCTION("""COMPUTED_VALUE"""),"Berserk")</f>
        <v>Berserk</v>
      </c>
      <c r="AO112" s="2" t="str">
        <f>IFERROR(__xludf.DUMMYFUNCTION("""COMPUTED_VALUE"""),"Multishot")</f>
        <v>Multishot</v>
      </c>
      <c r="AP112" s="2"/>
      <c r="AQ112" s="2"/>
      <c r="AR112" s="2"/>
      <c r="AS112" s="2"/>
      <c r="AT112" s="2"/>
      <c r="AU112" s="2"/>
      <c r="AV112" s="2"/>
      <c r="AW112" s="2"/>
      <c r="AX112" s="2"/>
      <c r="AY112" s="2"/>
      <c r="AZ112" s="2"/>
      <c r="BA112" s="3"/>
      <c r="BB112" s="3"/>
      <c r="BC112" s="1"/>
      <c r="BD112" s="3">
        <f>IFERROR(__xludf.DUMMYFUNCTION("""COMPUTED_VALUE"""),0.0)</f>
        <v>0</v>
      </c>
      <c r="BE112" s="4">
        <f>IFERROR(__xludf.DUMMYFUNCTION("""COMPUTED_VALUE"""),10.0)</f>
        <v>10</v>
      </c>
      <c r="BF112" s="3" t="str">
        <f>IFERROR(__xludf.DUMMYFUNCTION("""COMPUTED_VALUE"""),"A Dark Calling: +5 can be added to this mobs rolls.
25% chance to be unaffected by any spells and attacks affecting this mob.")</f>
        <v>A Dark Calling: +5 can be added to this mobs rolls.
25% chance to be unaffected by any spells and attacks affecting this mob.</v>
      </c>
      <c r="BG112" s="3" t="str">
        <f>IFERROR(__xludf.DUMMYFUNCTION("""COMPUTED_VALUE"""),"Jungle")</f>
        <v>Jungle</v>
      </c>
      <c r="BH112" s="3" t="str">
        <f>IFERROR(__xludf.DUMMYFUNCTION("""COMPUTED_VALUE"""),"Land Of Spira")</f>
        <v>Land Of Spira</v>
      </c>
      <c r="BI112" s="3"/>
      <c r="BJ112" s="3"/>
      <c r="BK112" s="3"/>
      <c r="BL112" s="3" t="b">
        <f>IFERROR(__xludf.DUMMYFUNCTION("""COMPUTED_VALUE"""),FALSE)</f>
        <v>0</v>
      </c>
      <c r="BM112" s="3"/>
      <c r="BN112" s="3"/>
      <c r="BO112" s="3"/>
      <c r="BP112" s="3"/>
      <c r="BQ112" s="3"/>
      <c r="BR112" s="3"/>
      <c r="BS112" s="3"/>
      <c r="BT112" s="3"/>
      <c r="BU112" s="3"/>
      <c r="BV112" s="3"/>
      <c r="BW112" s="3"/>
    </row>
    <row r="113" ht="15.75" customHeight="1">
      <c r="A113" s="2" t="str">
        <f>IFERROR(__xludf.DUMMYFUNCTION("""COMPUTED_VALUE"""),"Giant Eagle")</f>
        <v>Giant Eagle</v>
      </c>
      <c r="B113" s="2">
        <f>IFERROR(__xludf.DUMMYFUNCTION("""COMPUTED_VALUE"""),1.0)</f>
        <v>1</v>
      </c>
      <c r="C113" s="2"/>
      <c r="D113" s="5" t="str">
        <f>IFERROR(__xludf.DUMMYFUNCTION("""COMPUTED_VALUE"""),"Beast")</f>
        <v>Beast</v>
      </c>
      <c r="E113" s="5">
        <f>IFERROR(__xludf.DUMMYFUNCTION("""COMPUTED_VALUE"""),1010.0)</f>
        <v>1010</v>
      </c>
      <c r="F113" s="5">
        <f>IFERROR(__xludf.DUMMYFUNCTION("""COMPUTED_VALUE"""),16010.0)</f>
        <v>16010</v>
      </c>
      <c r="G113" s="5">
        <f>IFERROR(__xludf.DUMMYFUNCTION("""COMPUTED_VALUE"""),1010.0)</f>
        <v>1010</v>
      </c>
      <c r="H113" s="2">
        <f>IFERROR(__xludf.DUMMYFUNCTION("""COMPUTED_VALUE"""),20.0)</f>
        <v>20</v>
      </c>
      <c r="I113" s="1">
        <f>IFERROR(__xludf.DUMMYFUNCTION("""COMPUTED_VALUE"""),0.0)</f>
        <v>0</v>
      </c>
      <c r="J113" s="5">
        <f>IFERROR(__xludf.DUMMYFUNCTION("""COMPUTED_VALUE"""),0.0)</f>
        <v>0</v>
      </c>
      <c r="K113" s="5">
        <f>IFERROR(__xludf.DUMMYFUNCTION("""COMPUTED_VALUE"""),100.0)</f>
        <v>100</v>
      </c>
      <c r="L113" s="1">
        <f>IFERROR(__xludf.DUMMYFUNCTION("""COMPUTED_VALUE"""),100.0)</f>
        <v>100</v>
      </c>
      <c r="M113" s="1" t="str">
        <f>IFERROR(__xludf.DUMMYFUNCTION("""COMPUTED_VALUE"""),"")</f>
        <v/>
      </c>
      <c r="N113" s="2" t="str">
        <f>IFERROR(__xludf.DUMMYFUNCTION("""COMPUTED_VALUE"""),"")</f>
        <v/>
      </c>
      <c r="O113" s="2"/>
      <c r="P113" s="2"/>
      <c r="Q113" s="2"/>
      <c r="R113" s="2"/>
      <c r="S113" s="2"/>
      <c r="T113" s="2"/>
      <c r="U113" s="2"/>
      <c r="V113" s="2"/>
      <c r="W113" s="2"/>
      <c r="X113" s="2"/>
      <c r="Y113" s="2"/>
      <c r="Z113" s="2"/>
      <c r="AA113" s="2"/>
      <c r="AB113" s="2"/>
      <c r="AC113" s="2"/>
      <c r="AD113" s="2"/>
      <c r="AE113" s="2"/>
      <c r="AF113" s="2"/>
      <c r="AG113" s="2"/>
      <c r="AH113" s="2"/>
      <c r="AI113" s="2"/>
      <c r="AJ113" s="2" t="str">
        <f>IFERROR(__xludf.DUMMYFUNCTION("""COMPUTED_VALUE"""),"Claws")</f>
        <v>Claws</v>
      </c>
      <c r="AK113" s="2" t="str">
        <f>IFERROR(__xludf.DUMMYFUNCTION("""COMPUTED_VALUE"""),"Multishot")</f>
        <v>Multishot</v>
      </c>
      <c r="AL113" s="2" t="str">
        <f>IFERROR(__xludf.DUMMYFUNCTION("""COMPUTED_VALUE"""),"Rapid Swoop")</f>
        <v>Rapid Swoop</v>
      </c>
      <c r="AM113" s="2" t="str">
        <f>IFERROR(__xludf.DUMMYFUNCTION("""COMPUTED_VALUE"""),"Lock On")</f>
        <v>Lock On</v>
      </c>
      <c r="AN113" s="2" t="str">
        <f>IFERROR(__xludf.DUMMYFUNCTION("""COMPUTED_VALUE"""),"Dive Bomb")</f>
        <v>Dive Bomb</v>
      </c>
      <c r="AO113" s="2"/>
      <c r="AP113" s="2"/>
      <c r="AQ113" s="2"/>
      <c r="AR113" s="2"/>
      <c r="AS113" s="2"/>
      <c r="AT113" s="2"/>
      <c r="AU113" s="2"/>
      <c r="AV113" s="2"/>
      <c r="AW113" s="2"/>
      <c r="AX113" s="2"/>
      <c r="AY113" s="2"/>
      <c r="AZ113" s="2"/>
      <c r="BA113" s="3"/>
      <c r="BB113" s="3"/>
      <c r="BC113" s="1"/>
      <c r="BD113" s="3">
        <f>IFERROR(__xludf.DUMMYFUNCTION("""COMPUTED_VALUE"""),0.0)</f>
        <v>0</v>
      </c>
      <c r="BE113" s="4">
        <f>IFERROR(__xludf.DUMMYFUNCTION("""COMPUTED_VALUE"""),10.0)</f>
        <v>10</v>
      </c>
      <c r="BF113" s="3"/>
      <c r="BG113" s="3" t="str">
        <f>IFERROR(__xludf.DUMMYFUNCTION("""COMPUTED_VALUE"""),"All")</f>
        <v>All</v>
      </c>
      <c r="BH113" s="3"/>
      <c r="BI113" s="3"/>
      <c r="BJ113" s="3"/>
      <c r="BK113" s="3"/>
      <c r="BL113" s="3" t="b">
        <f>IFERROR(__xludf.DUMMYFUNCTION("""COMPUTED_VALUE"""),FALSE)</f>
        <v>0</v>
      </c>
      <c r="BM113" s="3"/>
      <c r="BN113" s="3"/>
      <c r="BO113" s="3"/>
      <c r="BP113" s="3"/>
      <c r="BQ113" s="3"/>
      <c r="BR113" s="3"/>
      <c r="BS113" s="3"/>
      <c r="BT113" s="3"/>
      <c r="BU113" s="3"/>
      <c r="BV113" s="3"/>
      <c r="BW113" s="3"/>
    </row>
    <row r="114" ht="15.75" customHeight="1">
      <c r="A114" s="3" t="str">
        <f>IFERROR(__xludf.DUMMYFUNCTION("""COMPUTED_VALUE"""),"Giant Lava Frog ")</f>
        <v>Giant Lava Frog </v>
      </c>
      <c r="B114" s="3">
        <f>IFERROR(__xludf.DUMMYFUNCTION("""COMPUTED_VALUE"""),1.0)</f>
        <v>1</v>
      </c>
      <c r="C114" s="3"/>
      <c r="D114" s="12" t="str">
        <f>IFERROR(__xludf.DUMMYFUNCTION("""COMPUTED_VALUE"""),"Beast")</f>
        <v>Beast</v>
      </c>
      <c r="E114" s="12">
        <f>IFERROR(__xludf.DUMMYFUNCTION("""COMPUTED_VALUE"""),1010.0)</f>
        <v>1010</v>
      </c>
      <c r="F114" s="12">
        <f>IFERROR(__xludf.DUMMYFUNCTION("""COMPUTED_VALUE"""),1010.0)</f>
        <v>1010</v>
      </c>
      <c r="G114" s="12">
        <f>IFERROR(__xludf.DUMMYFUNCTION("""COMPUTED_VALUE"""),31010.0)</f>
        <v>31010</v>
      </c>
      <c r="H114" s="3">
        <f>IFERROR(__xludf.DUMMYFUNCTION("""COMPUTED_VALUE"""),10.0)</f>
        <v>10</v>
      </c>
      <c r="I114" s="3">
        <f>IFERROR(__xludf.DUMMYFUNCTION("""COMPUTED_VALUE"""),0.0)</f>
        <v>0</v>
      </c>
      <c r="J114" s="3">
        <f>IFERROR(__xludf.DUMMYFUNCTION("""COMPUTED_VALUE"""),0.0)</f>
        <v>0</v>
      </c>
      <c r="K114" s="3">
        <f>IFERROR(__xludf.DUMMYFUNCTION("""COMPUTED_VALUE"""),100.0)</f>
        <v>100</v>
      </c>
      <c r="L114" s="3">
        <f>IFERROR(__xludf.DUMMYFUNCTION("""COMPUTED_VALUE"""),100.0)</f>
        <v>100</v>
      </c>
      <c r="M114" s="3" t="str">
        <f>IFERROR(__xludf.DUMMYFUNCTION("""COMPUTED_VALUE"""),"Fire:Immune, ")</f>
        <v>Fire:Immune, </v>
      </c>
      <c r="N114" s="2" t="str">
        <f>IFERROR(__xludf.DUMMYFUNCTION("""COMPUTED_VALUE"""),"Water:100, ")</f>
        <v>Water:100, </v>
      </c>
      <c r="O114" s="2"/>
      <c r="P114" s="2"/>
      <c r="Q114" s="2"/>
      <c r="R114" s="2"/>
      <c r="S114" s="2"/>
      <c r="T114" s="2"/>
      <c r="U114" s="2"/>
      <c r="V114" s="2"/>
      <c r="W114" s="2"/>
      <c r="X114" s="2"/>
      <c r="Y114" s="2"/>
      <c r="Z114" s="2"/>
      <c r="AA114" s="2"/>
      <c r="AB114" s="2"/>
      <c r="AC114" s="2"/>
      <c r="AD114" s="2"/>
      <c r="AE114" s="2"/>
      <c r="AF114" s="2"/>
      <c r="AG114" s="2"/>
      <c r="AH114" s="2"/>
      <c r="AI114" s="2"/>
      <c r="AJ114" s="2" t="str">
        <f>IFERROR(__xludf.DUMMYFUNCTION("""COMPUTED_VALUE"""),"Vaporize")</f>
        <v>Vaporize</v>
      </c>
      <c r="AK114" s="2" t="str">
        <f>IFERROR(__xludf.DUMMYFUNCTION("""COMPUTED_VALUE"""),"Absorb Enemy ")</f>
        <v>Absorb Enemy </v>
      </c>
      <c r="AL114" s="2" t="str">
        <f>IFERROR(__xludf.DUMMYFUNCTION("""COMPUTED_VALUE"""),"Absorb")</f>
        <v>Absorb</v>
      </c>
      <c r="AM114" s="2" t="str">
        <f>IFERROR(__xludf.DUMMYFUNCTION("""COMPUTED_VALUE"""),"Meteor Shower")</f>
        <v>Meteor Shower</v>
      </c>
      <c r="AN114" s="2" t="str">
        <f>IFERROR(__xludf.DUMMYFUNCTION("""COMPUTED_VALUE"""),"Tackle")</f>
        <v>Tackle</v>
      </c>
      <c r="AO114" s="2" t="str">
        <f>IFERROR(__xludf.DUMMYFUNCTION("""COMPUTED_VALUE"""),"Dive Bomb")</f>
        <v>Dive Bomb</v>
      </c>
      <c r="AP114" s="2"/>
      <c r="AQ114" s="2"/>
      <c r="AR114" s="2"/>
      <c r="AS114" s="2"/>
      <c r="AT114" s="2"/>
      <c r="AU114" s="2"/>
      <c r="AV114" s="2"/>
      <c r="AW114" s="2"/>
      <c r="AX114" s="2"/>
      <c r="AY114" s="2"/>
      <c r="AZ114" s="2"/>
      <c r="BA114" s="3"/>
      <c r="BB114" s="3"/>
      <c r="BC114" s="2"/>
      <c r="BD114" s="3">
        <f>IFERROR(__xludf.DUMMYFUNCTION("""COMPUTED_VALUE"""),0.0)</f>
        <v>0</v>
      </c>
      <c r="BE114" s="4">
        <f>IFERROR(__xludf.DUMMYFUNCTION("""COMPUTED_VALUE"""),10.0)</f>
        <v>10</v>
      </c>
      <c r="BF114" s="3" t="str">
        <f>IFERROR(__xludf.DUMMYFUNCTION("""COMPUTED_VALUE"""),"50% chance to be unaffected by any spells affecting this mob.")</f>
        <v>50% chance to be unaffected by any spells affecting this mob.</v>
      </c>
      <c r="BG114" s="3" t="str">
        <f>IFERROR(__xludf.DUMMYFUNCTION("""COMPUTED_VALUE"""),"All")</f>
        <v>All</v>
      </c>
      <c r="BH114" s="3" t="str">
        <f>IFERROR(__xludf.DUMMYFUNCTION("""COMPUTED_VALUE"""),"Abstara")</f>
        <v>Abstara</v>
      </c>
      <c r="BI114" s="3"/>
      <c r="BJ114" s="3"/>
      <c r="BK114" s="3"/>
      <c r="BL114" s="3" t="b">
        <f>IFERROR(__xludf.DUMMYFUNCTION("""COMPUTED_VALUE"""),FALSE)</f>
        <v>0</v>
      </c>
      <c r="BM114" s="3"/>
      <c r="BN114" s="3"/>
      <c r="BO114" s="3"/>
      <c r="BP114" s="3"/>
      <c r="BQ114" s="3"/>
      <c r="BR114" s="3"/>
      <c r="BS114" s="3"/>
      <c r="BT114" s="3"/>
      <c r="BU114" s="3"/>
      <c r="BV114" s="3"/>
      <c r="BW114" s="3"/>
    </row>
    <row r="115" ht="15.75" customHeight="1">
      <c r="A115" s="13" t="str">
        <f>IFERROR(__xludf.DUMMYFUNCTION("""COMPUTED_VALUE"""),"Giant Mutated Eel Shark")</f>
        <v>Giant Mutated Eel Shark</v>
      </c>
      <c r="B115" s="3">
        <f>IFERROR(__xludf.DUMMYFUNCTION("""COMPUTED_VALUE"""),1.0)</f>
        <v>1</v>
      </c>
      <c r="C115" s="13"/>
      <c r="D115" s="12" t="str">
        <f>IFERROR(__xludf.DUMMYFUNCTION("""COMPUTED_VALUE"""),"Beast")</f>
        <v>Beast</v>
      </c>
      <c r="E115" s="12">
        <f>IFERROR(__xludf.DUMMYFUNCTION("""COMPUTED_VALUE"""),31010.0)</f>
        <v>31010</v>
      </c>
      <c r="F115" s="12">
        <f>IFERROR(__xludf.DUMMYFUNCTION("""COMPUTED_VALUE"""),1010.0)</f>
        <v>1010</v>
      </c>
      <c r="G115" s="12">
        <f>IFERROR(__xludf.DUMMYFUNCTION("""COMPUTED_VALUE"""),1010.0)</f>
        <v>1010</v>
      </c>
      <c r="H115" s="3">
        <f>IFERROR(__xludf.DUMMYFUNCTION("""COMPUTED_VALUE"""),10.0)</f>
        <v>10</v>
      </c>
      <c r="I115" s="3">
        <f>IFERROR(__xludf.DUMMYFUNCTION("""COMPUTED_VALUE"""),0.0)</f>
        <v>0</v>
      </c>
      <c r="J115" s="3">
        <f>IFERROR(__xludf.DUMMYFUNCTION("""COMPUTED_VALUE"""),0.0)</f>
        <v>0</v>
      </c>
      <c r="K115" s="3">
        <f>IFERROR(__xludf.DUMMYFUNCTION("""COMPUTED_VALUE"""),100.0)</f>
        <v>100</v>
      </c>
      <c r="L115" s="3">
        <f>IFERROR(__xludf.DUMMYFUNCTION("""COMPUTED_VALUE"""),100.0)</f>
        <v>100</v>
      </c>
      <c r="M115" s="3" t="str">
        <f>IFERROR(__xludf.DUMMYFUNCTION("""COMPUTED_VALUE"""),"Fire:Immune, Water:100, Nature:Immune, ")</f>
        <v>Fire:Immune, Water:100, Nature:Immune, </v>
      </c>
      <c r="N115" s="2" t="str">
        <f>IFERROR(__xludf.DUMMYFUNCTION("""COMPUTED_VALUE"""),"Nature:100, ")</f>
        <v>Nature:100, </v>
      </c>
      <c r="O115" s="2"/>
      <c r="P115" s="2"/>
      <c r="Q115" s="2"/>
      <c r="R115" s="2"/>
      <c r="S115" s="2"/>
      <c r="T115" s="2"/>
      <c r="U115" s="2"/>
      <c r="V115" s="2"/>
      <c r="W115" s="2"/>
      <c r="X115" s="2"/>
      <c r="Y115" s="2"/>
      <c r="Z115" s="2"/>
      <c r="AA115" s="2"/>
      <c r="AB115" s="2"/>
      <c r="AC115" s="2"/>
      <c r="AD115" s="2"/>
      <c r="AE115" s="2"/>
      <c r="AF115" s="2"/>
      <c r="AG115" s="2"/>
      <c r="AH115" s="2"/>
      <c r="AI115" s="2"/>
      <c r="AJ115" s="2" t="str">
        <f>IFERROR(__xludf.DUMMYFUNCTION("""COMPUTED_VALUE"""),"Crashing Waves")</f>
        <v>Crashing Waves</v>
      </c>
      <c r="AK115" s="2" t="str">
        <f>IFERROR(__xludf.DUMMYFUNCTION("""COMPUTED_VALUE"""),"Bite")</f>
        <v>Bite</v>
      </c>
      <c r="AL115" s="2" t="str">
        <f>IFERROR(__xludf.DUMMYFUNCTION("""COMPUTED_VALUE"""),"Quench")</f>
        <v>Quench</v>
      </c>
      <c r="AM115" s="2" t="str">
        <f>IFERROR(__xludf.DUMMYFUNCTION("""COMPUTED_VALUE"""),"Torrential Downpour")</f>
        <v>Torrential Downpour</v>
      </c>
      <c r="AN115" s="2" t="str">
        <f>IFERROR(__xludf.DUMMYFUNCTION("""COMPUTED_VALUE"""),"Reckless Chomp ")</f>
        <v>Reckless Chomp </v>
      </c>
      <c r="AO115" s="2" t="str">
        <f>IFERROR(__xludf.DUMMYFUNCTION("""COMPUTED_VALUE"""),"HP Recover")</f>
        <v>HP Recover</v>
      </c>
      <c r="AP115" s="2"/>
      <c r="AQ115" s="2"/>
      <c r="AR115" s="2"/>
      <c r="AS115" s="2"/>
      <c r="AT115" s="2"/>
      <c r="AU115" s="2"/>
      <c r="AV115" s="2"/>
      <c r="AW115" s="2"/>
      <c r="AX115" s="2"/>
      <c r="AY115" s="2"/>
      <c r="AZ115" s="2"/>
      <c r="BA115" s="3"/>
      <c r="BB115" s="3"/>
      <c r="BC115" s="1"/>
      <c r="BD115" s="3">
        <f>IFERROR(__xludf.DUMMYFUNCTION("""COMPUTED_VALUE"""),0.0)</f>
        <v>0</v>
      </c>
      <c r="BE115" s="4">
        <f>IFERROR(__xludf.DUMMYFUNCTION("""COMPUTED_VALUE"""),10.0)</f>
        <v>10</v>
      </c>
      <c r="BF115" s="3"/>
      <c r="BG115" s="3" t="str">
        <f>IFERROR(__xludf.DUMMYFUNCTION("""COMPUTED_VALUE"""),"Ocean")</f>
        <v>Ocean</v>
      </c>
      <c r="BH115" s="3" t="str">
        <f>IFERROR(__xludf.DUMMYFUNCTION("""COMPUTED_VALUE"""),"Land of Spira")</f>
        <v>Land of Spira</v>
      </c>
      <c r="BI115" s="3"/>
      <c r="BJ115" s="3"/>
      <c r="BK115" s="3"/>
      <c r="BL115" s="3" t="b">
        <f>IFERROR(__xludf.DUMMYFUNCTION("""COMPUTED_VALUE"""),FALSE)</f>
        <v>0</v>
      </c>
      <c r="BM115" s="3"/>
      <c r="BN115" s="3"/>
      <c r="BO115" s="3"/>
      <c r="BP115" s="3"/>
      <c r="BQ115" s="3"/>
      <c r="BR115" s="3"/>
      <c r="BS115" s="3"/>
      <c r="BT115" s="3"/>
      <c r="BU115" s="3"/>
      <c r="BV115" s="3"/>
      <c r="BW115" s="3"/>
    </row>
    <row r="116" ht="15.75" customHeight="1">
      <c r="A116" s="3" t="str">
        <f>IFERROR(__xludf.DUMMYFUNCTION("""COMPUTED_VALUE"""),"Giant Scorpion")</f>
        <v>Giant Scorpion</v>
      </c>
      <c r="B116" s="3">
        <f>IFERROR(__xludf.DUMMYFUNCTION("""COMPUTED_VALUE"""),1.0)</f>
        <v>1</v>
      </c>
      <c r="C116" s="3"/>
      <c r="D116" s="12" t="str">
        <f>IFERROR(__xludf.DUMMYFUNCTION("""COMPUTED_VALUE"""),"Beast")</f>
        <v>Beast</v>
      </c>
      <c r="E116" s="12">
        <f>IFERROR(__xludf.DUMMYFUNCTION("""COMPUTED_VALUE"""),31010.0)</f>
        <v>31010</v>
      </c>
      <c r="F116" s="12">
        <f>IFERROR(__xludf.DUMMYFUNCTION("""COMPUTED_VALUE"""),1010.0)</f>
        <v>1010</v>
      </c>
      <c r="G116" s="12">
        <f>IFERROR(__xludf.DUMMYFUNCTION("""COMPUTED_VALUE"""),1010.0)</f>
        <v>1010</v>
      </c>
      <c r="H116" s="3">
        <f>IFERROR(__xludf.DUMMYFUNCTION("""COMPUTED_VALUE"""),10.0)</f>
        <v>10</v>
      </c>
      <c r="I116" s="3">
        <f>IFERROR(__xludf.DUMMYFUNCTION("""COMPUTED_VALUE"""),0.0)</f>
        <v>0</v>
      </c>
      <c r="J116" s="3">
        <f>IFERROR(__xludf.DUMMYFUNCTION("""COMPUTED_VALUE"""),0.0)</f>
        <v>0</v>
      </c>
      <c r="K116" s="3">
        <f>IFERROR(__xludf.DUMMYFUNCTION("""COMPUTED_VALUE"""),100.0)</f>
        <v>100</v>
      </c>
      <c r="L116" s="3">
        <f>IFERROR(__xludf.DUMMYFUNCTION("""COMPUTED_VALUE"""),100.0)</f>
        <v>100</v>
      </c>
      <c r="M116" s="3" t="str">
        <f>IFERROR(__xludf.DUMMYFUNCTION("""COMPUTED_VALUE"""),"Water:100, ")</f>
        <v>Water:100, </v>
      </c>
      <c r="N116" s="2" t="str">
        <f>IFERROR(__xludf.DUMMYFUNCTION("""COMPUTED_VALUE"""),"Fire:100, Storm:100, ")</f>
        <v>Fire:100, Storm:100, </v>
      </c>
      <c r="O116" s="2"/>
      <c r="P116" s="2"/>
      <c r="Q116" s="2"/>
      <c r="R116" s="2"/>
      <c r="S116" s="2"/>
      <c r="T116" s="2"/>
      <c r="U116" s="2"/>
      <c r="V116" s="2"/>
      <c r="W116" s="2"/>
      <c r="X116" s="2"/>
      <c r="Y116" s="2"/>
      <c r="Z116" s="2"/>
      <c r="AA116" s="2"/>
      <c r="AB116" s="2"/>
      <c r="AC116" s="2"/>
      <c r="AD116" s="2"/>
      <c r="AE116" s="2"/>
      <c r="AF116" s="2"/>
      <c r="AG116" s="2"/>
      <c r="AH116" s="2"/>
      <c r="AI116" s="2"/>
      <c r="AJ116" s="2" t="str">
        <f>IFERROR(__xludf.DUMMYFUNCTION("""COMPUTED_VALUE"""),"Poison Needle")</f>
        <v>Poison Needle</v>
      </c>
      <c r="AK116" s="2" t="str">
        <f>IFERROR(__xludf.DUMMYFUNCTION("""COMPUTED_VALUE"""),"Poison Stomp")</f>
        <v>Poison Stomp</v>
      </c>
      <c r="AL116" s="2"/>
      <c r="AM116" s="2" t="str">
        <f>IFERROR(__xludf.DUMMYFUNCTION("""COMPUTED_VALUE"""),"Poisonous Fumes")</f>
        <v>Poisonous Fumes</v>
      </c>
      <c r="AN116" s="2" t="str">
        <f>IFERROR(__xludf.DUMMYFUNCTION("""COMPUTED_VALUE"""),"Berserk")</f>
        <v>Berserk</v>
      </c>
      <c r="AO116" s="2" t="str">
        <f>IFERROR(__xludf.DUMMYFUNCTION("""COMPUTED_VALUE"""),"Stinger ")</f>
        <v>Stinger </v>
      </c>
      <c r="AP116" s="2" t="str">
        <f>IFERROR(__xludf.DUMMYFUNCTION("""COMPUTED_VALUE"""),"Reckless Chomp ")</f>
        <v>Reckless Chomp </v>
      </c>
      <c r="AQ116" s="2" t="str">
        <f>IFERROR(__xludf.DUMMYFUNCTION("""COMPUTED_VALUE"""),"[Element] Strike")</f>
        <v>[Element] Strike</v>
      </c>
      <c r="AR116" s="2"/>
      <c r="AS116" s="2"/>
      <c r="AT116" s="2"/>
      <c r="AU116" s="2"/>
      <c r="AV116" s="2"/>
      <c r="AW116" s="2"/>
      <c r="AX116" s="2"/>
      <c r="AY116" s="2"/>
      <c r="AZ116" s="2"/>
      <c r="BA116" s="3"/>
      <c r="BB116" s="3"/>
      <c r="BC116" s="1"/>
      <c r="BD116" s="3">
        <f>IFERROR(__xludf.DUMMYFUNCTION("""COMPUTED_VALUE"""),0.0)</f>
        <v>0</v>
      </c>
      <c r="BE116" s="4">
        <f>IFERROR(__xludf.DUMMYFUNCTION("""COMPUTED_VALUE"""),10.0)</f>
        <v>10</v>
      </c>
      <c r="BF116" s="3"/>
      <c r="BG116" s="3" t="str">
        <f>IFERROR(__xludf.DUMMYFUNCTION("""COMPUTED_VALUE"""),"Desert")</f>
        <v>Desert</v>
      </c>
      <c r="BH116" s="3" t="str">
        <f>IFERROR(__xludf.DUMMYFUNCTION("""COMPUTED_VALUE"""),"Land of Spira")</f>
        <v>Land of Spira</v>
      </c>
      <c r="BI116" s="3"/>
      <c r="BJ116" s="3"/>
      <c r="BK116" s="3"/>
      <c r="BL116" s="3" t="b">
        <f>IFERROR(__xludf.DUMMYFUNCTION("""COMPUTED_VALUE"""),FALSE)</f>
        <v>0</v>
      </c>
      <c r="BM116" s="3"/>
      <c r="BN116" s="3"/>
      <c r="BO116" s="3"/>
      <c r="BP116" s="3"/>
      <c r="BQ116" s="3"/>
      <c r="BR116" s="3"/>
      <c r="BS116" s="3"/>
      <c r="BT116" s="3"/>
      <c r="BU116" s="3"/>
      <c r="BV116" s="3"/>
      <c r="BW116" s="3"/>
    </row>
    <row r="117" ht="15.75" customHeight="1">
      <c r="A117" s="3" t="str">
        <f>IFERROR(__xludf.DUMMYFUNCTION("""COMPUTED_VALUE"""),"Giant Snow Spider")</f>
        <v>Giant Snow Spider</v>
      </c>
      <c r="B117" s="3">
        <f>IFERROR(__xludf.DUMMYFUNCTION("""COMPUTED_VALUE"""),1.0)</f>
        <v>1</v>
      </c>
      <c r="C117" s="3"/>
      <c r="D117" s="12" t="str">
        <f>IFERROR(__xludf.DUMMYFUNCTION("""COMPUTED_VALUE"""),"Beast")</f>
        <v>Beast</v>
      </c>
      <c r="E117" s="12">
        <f>IFERROR(__xludf.DUMMYFUNCTION("""COMPUTED_VALUE"""),1010.0)</f>
        <v>1010</v>
      </c>
      <c r="F117" s="12">
        <f>IFERROR(__xludf.DUMMYFUNCTION("""COMPUTED_VALUE"""),1010.0)</f>
        <v>1010</v>
      </c>
      <c r="G117" s="12">
        <f>IFERROR(__xludf.DUMMYFUNCTION("""COMPUTED_VALUE"""),1010.0)</f>
        <v>1010</v>
      </c>
      <c r="H117" s="3">
        <f>IFERROR(__xludf.DUMMYFUNCTION("""COMPUTED_VALUE"""),10.0)</f>
        <v>10</v>
      </c>
      <c r="I117" s="3">
        <f>IFERROR(__xludf.DUMMYFUNCTION("""COMPUTED_VALUE"""),0.0)</f>
        <v>0</v>
      </c>
      <c r="J117" s="3">
        <f>IFERROR(__xludf.DUMMYFUNCTION("""COMPUTED_VALUE"""),0.0)</f>
        <v>0</v>
      </c>
      <c r="K117" s="3">
        <f>IFERROR(__xludf.DUMMYFUNCTION("""COMPUTED_VALUE"""),100.0)</f>
        <v>100</v>
      </c>
      <c r="L117" s="3">
        <f>IFERROR(__xludf.DUMMYFUNCTION("""COMPUTED_VALUE"""),100.0)</f>
        <v>100</v>
      </c>
      <c r="M117" s="3" t="str">
        <f>IFERROR(__xludf.DUMMYFUNCTION("""COMPUTED_VALUE"""),"Water:Immune, ")</f>
        <v>Water:Immune, </v>
      </c>
      <c r="N117" s="2" t="str">
        <f>IFERROR(__xludf.DUMMYFUNCTION("""COMPUTED_VALUE"""),"Fire:100, Chaos:100, ")</f>
        <v>Fire:100, Chaos:100, </v>
      </c>
      <c r="O117" s="2"/>
      <c r="P117" s="2"/>
      <c r="Q117" s="2"/>
      <c r="R117" s="2"/>
      <c r="S117" s="2"/>
      <c r="T117" s="2"/>
      <c r="U117" s="2"/>
      <c r="V117" s="2"/>
      <c r="W117" s="2"/>
      <c r="X117" s="2"/>
      <c r="Y117" s="2"/>
      <c r="Z117" s="2"/>
      <c r="AA117" s="2"/>
      <c r="AB117" s="2"/>
      <c r="AC117" s="2"/>
      <c r="AD117" s="2"/>
      <c r="AE117" s="2"/>
      <c r="AF117" s="2"/>
      <c r="AG117" s="2"/>
      <c r="AH117" s="2"/>
      <c r="AI117" s="2"/>
      <c r="AJ117" s="2" t="str">
        <f>IFERROR(__xludf.DUMMYFUNCTION("""COMPUTED_VALUE"""),"Web Shot")</f>
        <v>Web Shot</v>
      </c>
      <c r="AK117" s="2" t="str">
        <f>IFERROR(__xludf.DUMMYFUNCTION("""COMPUTED_VALUE"""),"Bite")</f>
        <v>Bite</v>
      </c>
      <c r="AL117" s="2" t="str">
        <f>IFERROR(__xludf.DUMMYFUNCTION("""COMPUTED_VALUE"""),"Frost Cloak")</f>
        <v>Frost Cloak</v>
      </c>
      <c r="AM117" s="2" t="str">
        <f>IFERROR(__xludf.DUMMYFUNCTION("""COMPUTED_VALUE"""),"Roaring Frost Winds")</f>
        <v>Roaring Frost Winds</v>
      </c>
      <c r="AN117" s="2"/>
      <c r="AO117" s="2"/>
      <c r="AP117" s="2"/>
      <c r="AQ117" s="2"/>
      <c r="AR117" s="2"/>
      <c r="AS117" s="2"/>
      <c r="AT117" s="2"/>
      <c r="AU117" s="2"/>
      <c r="AV117" s="2"/>
      <c r="AW117" s="2"/>
      <c r="AX117" s="2"/>
      <c r="AY117" s="2"/>
      <c r="AZ117" s="2"/>
      <c r="BA117" s="3"/>
      <c r="BB117" s="3"/>
      <c r="BC117" s="1"/>
      <c r="BD117" s="3">
        <f>IFERROR(__xludf.DUMMYFUNCTION("""COMPUTED_VALUE"""),0.0)</f>
        <v>0</v>
      </c>
      <c r="BE117" s="4">
        <f>IFERROR(__xludf.DUMMYFUNCTION("""COMPUTED_VALUE"""),20.0)</f>
        <v>20</v>
      </c>
      <c r="BF117" s="3"/>
      <c r="BG117" s="3" t="str">
        <f>IFERROR(__xludf.DUMMYFUNCTION("""COMPUTED_VALUE"""),"Tundra")</f>
        <v>Tundra</v>
      </c>
      <c r="BH117" s="3" t="str">
        <f>IFERROR(__xludf.DUMMYFUNCTION("""COMPUTED_VALUE"""),"Land Of Spira")</f>
        <v>Land Of Spira</v>
      </c>
      <c r="BI117" s="3"/>
      <c r="BJ117" s="3"/>
      <c r="BK117" s="3"/>
      <c r="BL117" s="3" t="b">
        <f>IFERROR(__xludf.DUMMYFUNCTION("""COMPUTED_VALUE"""),FALSE)</f>
        <v>0</v>
      </c>
      <c r="BM117" s="3"/>
      <c r="BN117" s="3"/>
      <c r="BO117" s="3"/>
      <c r="BP117" s="3"/>
      <c r="BQ117" s="3"/>
      <c r="BR117" s="3"/>
      <c r="BS117" s="3"/>
      <c r="BT117" s="3"/>
      <c r="BU117" s="3"/>
      <c r="BV117" s="3"/>
      <c r="BW117" s="3"/>
    </row>
    <row r="118" ht="15.75" customHeight="1">
      <c r="A118" s="3" t="str">
        <f>IFERROR(__xludf.DUMMYFUNCTION("""COMPUTED_VALUE"""),"Giant Spider")</f>
        <v>Giant Spider</v>
      </c>
      <c r="B118" s="3">
        <f>IFERROR(__xludf.DUMMYFUNCTION("""COMPUTED_VALUE"""),1.0)</f>
        <v>1</v>
      </c>
      <c r="C118" s="3"/>
      <c r="D118" s="12" t="str">
        <f>IFERROR(__xludf.DUMMYFUNCTION("""COMPUTED_VALUE"""),"Beast")</f>
        <v>Beast</v>
      </c>
      <c r="E118" s="12">
        <f>IFERROR(__xludf.DUMMYFUNCTION("""COMPUTED_VALUE"""),1010.0)</f>
        <v>1010</v>
      </c>
      <c r="F118" s="12">
        <f>IFERROR(__xludf.DUMMYFUNCTION("""COMPUTED_VALUE"""),1010.0)</f>
        <v>1010</v>
      </c>
      <c r="G118" s="12">
        <f>IFERROR(__xludf.DUMMYFUNCTION("""COMPUTED_VALUE"""),1010.0)</f>
        <v>1010</v>
      </c>
      <c r="H118" s="3">
        <f>IFERROR(__xludf.DUMMYFUNCTION("""COMPUTED_VALUE"""),10.0)</f>
        <v>10</v>
      </c>
      <c r="I118" s="3">
        <f>IFERROR(__xludf.DUMMYFUNCTION("""COMPUTED_VALUE"""),0.0)</f>
        <v>0</v>
      </c>
      <c r="J118" s="3">
        <f>IFERROR(__xludf.DUMMYFUNCTION("""COMPUTED_VALUE"""),0.0)</f>
        <v>0</v>
      </c>
      <c r="K118" s="3">
        <f>IFERROR(__xludf.DUMMYFUNCTION("""COMPUTED_VALUE"""),100.0)</f>
        <v>100</v>
      </c>
      <c r="L118" s="3">
        <f>IFERROR(__xludf.DUMMYFUNCTION("""COMPUTED_VALUE"""),100.0)</f>
        <v>100</v>
      </c>
      <c r="M118" s="3" t="str">
        <f>IFERROR(__xludf.DUMMYFUNCTION("""COMPUTED_VALUE"""),"Water:100, Nature:100, ")</f>
        <v>Water:100, Nature:100, </v>
      </c>
      <c r="N118" s="2" t="str">
        <f>IFERROR(__xludf.DUMMYFUNCTION("""COMPUTED_VALUE"""),"Fire:100, Storm:100, ")</f>
        <v>Fire:100, Storm:100, </v>
      </c>
      <c r="O118" s="2"/>
      <c r="P118" s="2"/>
      <c r="Q118" s="2"/>
      <c r="R118" s="2"/>
      <c r="S118" s="2"/>
      <c r="T118" s="2"/>
      <c r="U118" s="2"/>
      <c r="V118" s="2"/>
      <c r="W118" s="2"/>
      <c r="X118" s="2"/>
      <c r="Y118" s="2"/>
      <c r="Z118" s="2"/>
      <c r="AA118" s="2"/>
      <c r="AB118" s="2"/>
      <c r="AC118" s="2"/>
      <c r="AD118" s="2"/>
      <c r="AE118" s="2"/>
      <c r="AF118" s="2"/>
      <c r="AG118" s="2"/>
      <c r="AH118" s="2"/>
      <c r="AI118" s="2"/>
      <c r="AJ118" s="2" t="str">
        <f>IFERROR(__xludf.DUMMYFUNCTION("""COMPUTED_VALUE"""),"Poison Fang")</f>
        <v>Poison Fang</v>
      </c>
      <c r="AK118" s="2" t="str">
        <f>IFERROR(__xludf.DUMMYFUNCTION("""COMPUTED_VALUE"""),"Web Shot")</f>
        <v>Web Shot</v>
      </c>
      <c r="AL118" s="2" t="str">
        <f>IFERROR(__xludf.DUMMYFUNCTION("""COMPUTED_VALUE"""),"Berserk")</f>
        <v>Berserk</v>
      </c>
      <c r="AM118" s="2" t="str">
        <f>IFERROR(__xludf.DUMMYFUNCTION("""COMPUTED_VALUE"""),"Multishot")</f>
        <v>Multishot</v>
      </c>
      <c r="AN118" s="2"/>
      <c r="AO118" s="2"/>
      <c r="AP118" s="2"/>
      <c r="AQ118" s="2"/>
      <c r="AR118" s="2"/>
      <c r="AS118" s="2"/>
      <c r="AT118" s="2"/>
      <c r="AU118" s="2"/>
      <c r="AV118" s="2"/>
      <c r="AW118" s="2"/>
      <c r="AX118" s="2"/>
      <c r="AY118" s="2"/>
      <c r="AZ118" s="2"/>
      <c r="BA118" s="3"/>
      <c r="BB118" s="3"/>
      <c r="BC118" s="1"/>
      <c r="BD118" s="3">
        <f>IFERROR(__xludf.DUMMYFUNCTION("""COMPUTED_VALUE"""),0.0)</f>
        <v>0</v>
      </c>
      <c r="BE118" s="4">
        <f>IFERROR(__xludf.DUMMYFUNCTION("""COMPUTED_VALUE"""),10.0)</f>
        <v>10</v>
      </c>
      <c r="BF118" s="3"/>
      <c r="BG118" s="3" t="str">
        <f>IFERROR(__xludf.DUMMYFUNCTION("""COMPUTED_VALUE"""),"All")</f>
        <v>All</v>
      </c>
      <c r="BH118" s="3" t="str">
        <f>IFERROR(__xludf.DUMMYFUNCTION("""COMPUTED_VALUE"""),"Land of Spira")</f>
        <v>Land of Spira</v>
      </c>
      <c r="BI118" s="3"/>
      <c r="BJ118" s="3"/>
      <c r="BK118" s="3"/>
      <c r="BL118" s="3" t="b">
        <f>IFERROR(__xludf.DUMMYFUNCTION("""COMPUTED_VALUE"""),FALSE)</f>
        <v>0</v>
      </c>
      <c r="BM118" s="3"/>
      <c r="BN118" s="3"/>
      <c r="BO118" s="3"/>
      <c r="BP118" s="3"/>
      <c r="BQ118" s="3"/>
      <c r="BR118" s="3"/>
      <c r="BS118" s="3"/>
      <c r="BT118" s="3"/>
      <c r="BU118" s="3"/>
      <c r="BV118" s="3"/>
      <c r="BW118" s="3"/>
    </row>
    <row r="119" ht="15.75" customHeight="1">
      <c r="A119" s="3" t="str">
        <f>IFERROR(__xludf.DUMMYFUNCTION("""COMPUTED_VALUE"""),"Giant Volcanic Spider")</f>
        <v>Giant Volcanic Spider</v>
      </c>
      <c r="B119" s="3">
        <f>IFERROR(__xludf.DUMMYFUNCTION("""COMPUTED_VALUE"""),1.0)</f>
        <v>1</v>
      </c>
      <c r="C119" s="3"/>
      <c r="D119" s="12" t="str">
        <f>IFERROR(__xludf.DUMMYFUNCTION("""COMPUTED_VALUE"""),"Beast")</f>
        <v>Beast</v>
      </c>
      <c r="E119" s="12">
        <f>IFERROR(__xludf.DUMMYFUNCTION("""COMPUTED_VALUE"""),1010.0)</f>
        <v>1010</v>
      </c>
      <c r="F119" s="12">
        <f>IFERROR(__xludf.DUMMYFUNCTION("""COMPUTED_VALUE"""),1010.0)</f>
        <v>1010</v>
      </c>
      <c r="G119" s="12">
        <f>IFERROR(__xludf.DUMMYFUNCTION("""COMPUTED_VALUE"""),1010.0)</f>
        <v>1010</v>
      </c>
      <c r="H119" s="3">
        <f>IFERROR(__xludf.DUMMYFUNCTION("""COMPUTED_VALUE"""),10.0)</f>
        <v>10</v>
      </c>
      <c r="I119" s="3">
        <f>IFERROR(__xludf.DUMMYFUNCTION("""COMPUTED_VALUE"""),0.0)</f>
        <v>0</v>
      </c>
      <c r="J119" s="3">
        <f>IFERROR(__xludf.DUMMYFUNCTION("""COMPUTED_VALUE"""),0.0)</f>
        <v>0</v>
      </c>
      <c r="K119" s="3">
        <f>IFERROR(__xludf.DUMMYFUNCTION("""COMPUTED_VALUE"""),100.0)</f>
        <v>100</v>
      </c>
      <c r="L119" s="3">
        <f>IFERROR(__xludf.DUMMYFUNCTION("""COMPUTED_VALUE"""),100.0)</f>
        <v>100</v>
      </c>
      <c r="M119" s="3" t="str">
        <f>IFERROR(__xludf.DUMMYFUNCTION("""COMPUTED_VALUE"""),"Fire:100, Nature:Immune, ")</f>
        <v>Fire:100, Nature:Immune, </v>
      </c>
      <c r="N119" s="2" t="str">
        <f>IFERROR(__xludf.DUMMYFUNCTION("""COMPUTED_VALUE"""),"Water:100, ")</f>
        <v>Water:100, </v>
      </c>
      <c r="O119" s="2"/>
      <c r="P119" s="2"/>
      <c r="Q119" s="2"/>
      <c r="R119" s="2"/>
      <c r="S119" s="2"/>
      <c r="T119" s="2"/>
      <c r="U119" s="2"/>
      <c r="V119" s="2"/>
      <c r="W119" s="2"/>
      <c r="X119" s="2"/>
      <c r="Y119" s="2"/>
      <c r="Z119" s="2"/>
      <c r="AA119" s="2"/>
      <c r="AB119" s="2"/>
      <c r="AC119" s="2"/>
      <c r="AD119" s="2"/>
      <c r="AE119" s="2"/>
      <c r="AF119" s="2"/>
      <c r="AG119" s="2"/>
      <c r="AH119" s="2"/>
      <c r="AI119" s="2"/>
      <c r="AJ119" s="2" t="str">
        <f>IFERROR(__xludf.DUMMYFUNCTION("""COMPUTED_VALUE"""),"Flaming Spider Senses")</f>
        <v>Flaming Spider Senses</v>
      </c>
      <c r="AK119" s="2" t="str">
        <f>IFERROR(__xludf.DUMMYFUNCTION("""COMPUTED_VALUE"""),"Bite")</f>
        <v>Bite</v>
      </c>
      <c r="AL119" s="2" t="str">
        <f>IFERROR(__xludf.DUMMYFUNCTION("""COMPUTED_VALUE"""),"Webs Of Inferno")</f>
        <v>Webs Of Inferno</v>
      </c>
      <c r="AM119" s="2"/>
      <c r="AN119" s="2"/>
      <c r="AO119" s="2"/>
      <c r="AP119" s="2"/>
      <c r="AQ119" s="2"/>
      <c r="AR119" s="2"/>
      <c r="AS119" s="2"/>
      <c r="AT119" s="2"/>
      <c r="AU119" s="2"/>
      <c r="AV119" s="2"/>
      <c r="AW119" s="2"/>
      <c r="AX119" s="2"/>
      <c r="AY119" s="2"/>
      <c r="AZ119" s="2"/>
      <c r="BA119" s="3"/>
      <c r="BB119" s="3"/>
      <c r="BC119" s="1"/>
      <c r="BD119" s="3">
        <f>IFERROR(__xludf.DUMMYFUNCTION("""COMPUTED_VALUE"""),0.0)</f>
        <v>0</v>
      </c>
      <c r="BE119" s="4">
        <f>IFERROR(__xludf.DUMMYFUNCTION("""COMPUTED_VALUE"""),10.0)</f>
        <v>10</v>
      </c>
      <c r="BF119" s="3" t="str">
        <f>IFERROR(__xludf.DUMMYFUNCTION("""COMPUTED_VALUE"""),"Flaming Spider Senses II: +5 is added to the casters attack and evasion roll.")</f>
        <v>Flaming Spider Senses II: +5 is added to the casters attack and evasion roll.</v>
      </c>
      <c r="BG119" s="3" t="str">
        <f>IFERROR(__xludf.DUMMYFUNCTION("""COMPUTED_VALUE"""),"Jungle")</f>
        <v>Jungle</v>
      </c>
      <c r="BH119" s="3" t="str">
        <f>IFERROR(__xludf.DUMMYFUNCTION("""COMPUTED_VALUE"""),"Land Of Spira")</f>
        <v>Land Of Spira</v>
      </c>
      <c r="BI119" s="3"/>
      <c r="BJ119" s="3"/>
      <c r="BK119" s="3"/>
      <c r="BL119" s="3" t="b">
        <f>IFERROR(__xludf.DUMMYFUNCTION("""COMPUTED_VALUE"""),FALSE)</f>
        <v>0</v>
      </c>
      <c r="BM119" s="3"/>
      <c r="BN119" s="3"/>
      <c r="BO119" s="3"/>
      <c r="BP119" s="3"/>
      <c r="BQ119" s="3"/>
      <c r="BR119" s="3"/>
      <c r="BS119" s="3"/>
      <c r="BT119" s="3"/>
      <c r="BU119" s="3"/>
      <c r="BV119" s="3"/>
      <c r="BW119" s="3"/>
    </row>
    <row r="120" ht="15.75" customHeight="1">
      <c r="A120" s="3" t="str">
        <f>IFERROR(__xludf.DUMMYFUNCTION("""COMPUTED_VALUE"""),"Girl of The Crow")</f>
        <v>Girl of The Crow</v>
      </c>
      <c r="B120" s="3">
        <f>IFERROR(__xludf.DUMMYFUNCTION("""COMPUTED_VALUE"""),1.0)</f>
        <v>1</v>
      </c>
      <c r="C120" s="3"/>
      <c r="D120" s="12" t="str">
        <f>IFERROR(__xludf.DUMMYFUNCTION("""COMPUTED_VALUE"""),"Humanoid")</f>
        <v>Humanoid</v>
      </c>
      <c r="E120" s="12">
        <f>IFERROR(__xludf.DUMMYFUNCTION("""COMPUTED_VALUE"""),1010.0)</f>
        <v>1010</v>
      </c>
      <c r="F120" s="12">
        <f>IFERROR(__xludf.DUMMYFUNCTION("""COMPUTED_VALUE"""),1010.0)</f>
        <v>1010</v>
      </c>
      <c r="G120" s="12">
        <f>IFERROR(__xludf.DUMMYFUNCTION("""COMPUTED_VALUE"""),1010.0)</f>
        <v>1010</v>
      </c>
      <c r="H120" s="3">
        <f>IFERROR(__xludf.DUMMYFUNCTION("""COMPUTED_VALUE"""),10.0)</f>
        <v>10</v>
      </c>
      <c r="I120" s="3">
        <f>IFERROR(__xludf.DUMMYFUNCTION("""COMPUTED_VALUE"""),0.0)</f>
        <v>0</v>
      </c>
      <c r="J120" s="3">
        <f>IFERROR(__xludf.DUMMYFUNCTION("""COMPUTED_VALUE"""),0.0)</f>
        <v>0</v>
      </c>
      <c r="K120" s="3">
        <f>IFERROR(__xludf.DUMMYFUNCTION("""COMPUTED_VALUE"""),100.0)</f>
        <v>100</v>
      </c>
      <c r="L120" s="3">
        <f>IFERROR(__xludf.DUMMYFUNCTION("""COMPUTED_VALUE"""),100.0)</f>
        <v>100</v>
      </c>
      <c r="M120" s="3" t="str">
        <f>IFERROR(__xludf.DUMMYFUNCTION("""COMPUTED_VALUE"""),"Dark:Immune, ")</f>
        <v>Dark:Immune, </v>
      </c>
      <c r="N120" s="2" t="str">
        <f>IFERROR(__xludf.DUMMYFUNCTION("""COMPUTED_VALUE"""),"Fire:100, Light:100, ")</f>
        <v>Fire:100, Light:100, </v>
      </c>
      <c r="O120" s="2"/>
      <c r="P120" s="2"/>
      <c r="Q120" s="2"/>
      <c r="R120" s="2"/>
      <c r="S120" s="2"/>
      <c r="T120" s="2"/>
      <c r="U120" s="2"/>
      <c r="V120" s="2"/>
      <c r="W120" s="2"/>
      <c r="X120" s="2"/>
      <c r="Y120" s="2"/>
      <c r="Z120" s="2"/>
      <c r="AA120" s="2"/>
      <c r="AB120" s="2"/>
      <c r="AC120" s="2"/>
      <c r="AD120" s="2"/>
      <c r="AE120" s="2"/>
      <c r="AF120" s="2"/>
      <c r="AG120" s="2"/>
      <c r="AH120" s="2"/>
      <c r="AI120" s="2"/>
      <c r="AJ120" s="2" t="str">
        <f>IFERROR(__xludf.DUMMYFUNCTION("""COMPUTED_VALUE"""),"Bite")</f>
        <v>Bite</v>
      </c>
      <c r="AK120" s="2" t="str">
        <f>IFERROR(__xludf.DUMMYFUNCTION("""COMPUTED_VALUE"""),"Dark Boost")</f>
        <v>Dark Boost</v>
      </c>
      <c r="AL120" s="2" t="str">
        <f>IFERROR(__xludf.DUMMYFUNCTION("""COMPUTED_VALUE"""),"Dark Force")</f>
        <v>Dark Force</v>
      </c>
      <c r="AM120" s="2" t="str">
        <f>IFERROR(__xludf.DUMMYFUNCTION("""COMPUTED_VALUE"""),"Dark Bolt")</f>
        <v>Dark Bolt</v>
      </c>
      <c r="AN120" s="2" t="str">
        <f>IFERROR(__xludf.DUMMYFUNCTION("""COMPUTED_VALUE"""),"Dive Bomb")</f>
        <v>Dive Bomb</v>
      </c>
      <c r="AO120" s="2"/>
      <c r="AP120" s="2"/>
      <c r="AQ120" s="2"/>
      <c r="AR120" s="2"/>
      <c r="AS120" s="2"/>
      <c r="AT120" s="2"/>
      <c r="AU120" s="2"/>
      <c r="AV120" s="2"/>
      <c r="AW120" s="2"/>
      <c r="AX120" s="2"/>
      <c r="AY120" s="2"/>
      <c r="AZ120" s="2"/>
      <c r="BA120" s="3"/>
      <c r="BB120" s="3"/>
      <c r="BC120" s="1"/>
      <c r="BD120" s="3">
        <f>IFERROR(__xludf.DUMMYFUNCTION("""COMPUTED_VALUE"""),0.0)</f>
        <v>0</v>
      </c>
      <c r="BE120" s="4">
        <f>IFERROR(__xludf.DUMMYFUNCTION("""COMPUTED_VALUE"""),10.0)</f>
        <v>10</v>
      </c>
      <c r="BF120" s="3"/>
      <c r="BG120" s="3" t="str">
        <f>IFERROR(__xludf.DUMMYFUNCTION("""COMPUTED_VALUE"""),"All")</f>
        <v>All</v>
      </c>
      <c r="BH120" s="3" t="str">
        <f>IFERROR(__xludf.DUMMYFUNCTION("""COMPUTED_VALUE"""),"Land Of Spira")</f>
        <v>Land Of Spira</v>
      </c>
      <c r="BI120" s="3"/>
      <c r="BJ120" s="3"/>
      <c r="BK120" s="3"/>
      <c r="BL120" s="3" t="b">
        <f>IFERROR(__xludf.DUMMYFUNCTION("""COMPUTED_VALUE"""),FALSE)</f>
        <v>0</v>
      </c>
      <c r="BM120" s="3"/>
      <c r="BN120" s="3"/>
      <c r="BO120" s="3"/>
      <c r="BP120" s="3"/>
      <c r="BQ120" s="3"/>
      <c r="BR120" s="3"/>
      <c r="BS120" s="3"/>
      <c r="BT120" s="3"/>
      <c r="BU120" s="3"/>
      <c r="BV120" s="3"/>
      <c r="BW120" s="3"/>
    </row>
    <row r="121" ht="15.75" customHeight="1">
      <c r="A121" s="3" t="str">
        <f>IFERROR(__xludf.DUMMYFUNCTION("""COMPUTED_VALUE"""),"Goblin")</f>
        <v>Goblin</v>
      </c>
      <c r="B121" s="3">
        <f>IFERROR(__xludf.DUMMYFUNCTION("""COMPUTED_VALUE"""),1.0)</f>
        <v>1</v>
      </c>
      <c r="C121" s="3"/>
      <c r="D121" s="12" t="str">
        <f>IFERROR(__xludf.DUMMYFUNCTION("""COMPUTED_VALUE"""),"Humanoid")</f>
        <v>Humanoid</v>
      </c>
      <c r="E121" s="12">
        <f>IFERROR(__xludf.DUMMYFUNCTION("""COMPUTED_VALUE"""),1010.0)</f>
        <v>1010</v>
      </c>
      <c r="F121" s="12">
        <f>IFERROR(__xludf.DUMMYFUNCTION("""COMPUTED_VALUE"""),1010.0)</f>
        <v>1010</v>
      </c>
      <c r="G121" s="12">
        <f>IFERROR(__xludf.DUMMYFUNCTION("""COMPUTED_VALUE"""),1010.0)</f>
        <v>1010</v>
      </c>
      <c r="H121" s="3">
        <f>IFERROR(__xludf.DUMMYFUNCTION("""COMPUTED_VALUE"""),10.0)</f>
        <v>10</v>
      </c>
      <c r="I121" s="3">
        <f>IFERROR(__xludf.DUMMYFUNCTION("""COMPUTED_VALUE"""),0.0)</f>
        <v>0</v>
      </c>
      <c r="J121" s="3">
        <f>IFERROR(__xludf.DUMMYFUNCTION("""COMPUTED_VALUE"""),0.0)</f>
        <v>0</v>
      </c>
      <c r="K121" s="3">
        <f>IFERROR(__xludf.DUMMYFUNCTION("""COMPUTED_VALUE"""),100.0)</f>
        <v>100</v>
      </c>
      <c r="L121" s="3">
        <f>IFERROR(__xludf.DUMMYFUNCTION("""COMPUTED_VALUE"""),100.0)</f>
        <v>100</v>
      </c>
      <c r="M121" s="3" t="str">
        <f>IFERROR(__xludf.DUMMYFUNCTION("""COMPUTED_VALUE"""),"")</f>
        <v/>
      </c>
      <c r="N121" s="2" t="str">
        <f>IFERROR(__xludf.DUMMYFUNCTION("""COMPUTED_VALUE"""),"")</f>
        <v/>
      </c>
      <c r="O121" s="2"/>
      <c r="P121" s="2"/>
      <c r="Q121" s="2"/>
      <c r="R121" s="2"/>
      <c r="S121" s="2"/>
      <c r="T121" s="2"/>
      <c r="U121" s="2"/>
      <c r="V121" s="2" t="str">
        <f>IFERROR(__xludf.DUMMYFUNCTION("""COMPUTED_VALUE"""),"Spear")</f>
        <v>Spear</v>
      </c>
      <c r="W121" s="2"/>
      <c r="X121" s="2"/>
      <c r="Y121" s="2"/>
      <c r="Z121" s="2"/>
      <c r="AA121" s="2"/>
      <c r="AB121" s="2"/>
      <c r="AC121" s="2"/>
      <c r="AD121" s="2"/>
      <c r="AE121" s="2"/>
      <c r="AF121" s="2"/>
      <c r="AG121" s="2"/>
      <c r="AH121" s="2"/>
      <c r="AI121" s="2"/>
      <c r="AJ121" s="2" t="str">
        <f>IFERROR(__xludf.DUMMYFUNCTION("""COMPUTED_VALUE"""),"Pick Pocket")</f>
        <v>Pick Pocket</v>
      </c>
      <c r="AK121" s="2" t="str">
        <f>IFERROR(__xludf.DUMMYFUNCTION("""COMPUTED_VALUE"""),"Hex with bad luck")</f>
        <v>Hex with bad luck</v>
      </c>
      <c r="AL121" s="2" t="str">
        <f>IFERROR(__xludf.DUMMYFUNCTION("""COMPUTED_VALUE"""),"End the voodoo contract")</f>
        <v>End the voodoo contract</v>
      </c>
      <c r="AM121" s="2"/>
      <c r="AN121" s="2"/>
      <c r="AO121" s="2"/>
      <c r="AP121" s="2"/>
      <c r="AQ121" s="2"/>
      <c r="AR121" s="2"/>
      <c r="AS121" s="2"/>
      <c r="AT121" s="2"/>
      <c r="AU121" s="2"/>
      <c r="AV121" s="2"/>
      <c r="AW121" s="2"/>
      <c r="AX121" s="2"/>
      <c r="AY121" s="2"/>
      <c r="AZ121" s="2"/>
      <c r="BA121" s="3"/>
      <c r="BB121" s="3"/>
      <c r="BC121" s="1"/>
      <c r="BD121" s="3">
        <f>IFERROR(__xludf.DUMMYFUNCTION("""COMPUTED_VALUE"""),0.0)</f>
        <v>0</v>
      </c>
      <c r="BE121" s="4">
        <f>IFERROR(__xludf.DUMMYFUNCTION("""COMPUTED_VALUE"""),10.0)</f>
        <v>10</v>
      </c>
      <c r="BF121" s="3"/>
      <c r="BG121" s="3" t="str">
        <f>IFERROR(__xludf.DUMMYFUNCTION("""COMPUTED_VALUE"""),"All")</f>
        <v>All</v>
      </c>
      <c r="BH121" s="3" t="str">
        <f>IFERROR(__xludf.DUMMYFUNCTION("""COMPUTED_VALUE"""),"Land of Spira")</f>
        <v>Land of Spira</v>
      </c>
      <c r="BI121" s="3"/>
      <c r="BJ121" s="3"/>
      <c r="BK121" s="3"/>
      <c r="BL121" s="3" t="b">
        <f>IFERROR(__xludf.DUMMYFUNCTION("""COMPUTED_VALUE"""),FALSE)</f>
        <v>0</v>
      </c>
      <c r="BM121" s="3"/>
      <c r="BN121" s="3"/>
      <c r="BO121" s="3"/>
      <c r="BP121" s="3"/>
      <c r="BQ121" s="3"/>
      <c r="BR121" s="3"/>
      <c r="BS121" s="3"/>
      <c r="BT121" s="3"/>
      <c r="BU121" s="3"/>
      <c r="BV121" s="3"/>
      <c r="BW121" s="3"/>
    </row>
    <row r="122" ht="15.75" customHeight="1">
      <c r="A122" s="3" t="str">
        <f>IFERROR(__xludf.DUMMYFUNCTION("""COMPUTED_VALUE"""),"Grand Dark &amp; Fire Mage")</f>
        <v>Grand Dark &amp; Fire Mage</v>
      </c>
      <c r="B122" s="3">
        <f>IFERROR(__xludf.DUMMYFUNCTION("""COMPUTED_VALUE"""),1.0)</f>
        <v>1</v>
      </c>
      <c r="C122" s="3"/>
      <c r="D122" s="12" t="str">
        <f>IFERROR(__xludf.DUMMYFUNCTION("""COMPUTED_VALUE"""),"Humanoid")</f>
        <v>Humanoid</v>
      </c>
      <c r="E122" s="12">
        <f>IFERROR(__xludf.DUMMYFUNCTION("""COMPUTED_VALUE"""),1010.0)</f>
        <v>1010</v>
      </c>
      <c r="F122" s="12">
        <f>IFERROR(__xludf.DUMMYFUNCTION("""COMPUTED_VALUE"""),1010.0)</f>
        <v>1010</v>
      </c>
      <c r="G122" s="12">
        <f>IFERROR(__xludf.DUMMYFUNCTION("""COMPUTED_VALUE"""),1010.0)</f>
        <v>1010</v>
      </c>
      <c r="H122" s="3">
        <f>IFERROR(__xludf.DUMMYFUNCTION("""COMPUTED_VALUE"""),10.0)</f>
        <v>10</v>
      </c>
      <c r="I122" s="3">
        <f>IFERROR(__xludf.DUMMYFUNCTION("""COMPUTED_VALUE"""),0.0)</f>
        <v>0</v>
      </c>
      <c r="J122" s="3">
        <f>IFERROR(__xludf.DUMMYFUNCTION("""COMPUTED_VALUE"""),0.0)</f>
        <v>0</v>
      </c>
      <c r="K122" s="3">
        <f>IFERROR(__xludf.DUMMYFUNCTION("""COMPUTED_VALUE"""),100.0)</f>
        <v>100</v>
      </c>
      <c r="L122" s="3">
        <f>IFERROR(__xludf.DUMMYFUNCTION("""COMPUTED_VALUE"""),100.0)</f>
        <v>100</v>
      </c>
      <c r="M122" s="3" t="str">
        <f>IFERROR(__xludf.DUMMYFUNCTION("""COMPUTED_VALUE"""),"Dark:Immune, Instant Death:Immune, Banishment:Immune, ")</f>
        <v>Dark:Immune, Instant Death:Immune, Banishment:Immune, </v>
      </c>
      <c r="N122" s="2" t="str">
        <f>IFERROR(__xludf.DUMMYFUNCTION("""COMPUTED_VALUE"""),"Water:100, Light:100, ")</f>
        <v>Water:100, Light:100, </v>
      </c>
      <c r="O122" s="2"/>
      <c r="P122" s="2"/>
      <c r="Q122" s="2"/>
      <c r="R122" s="2"/>
      <c r="S122" s="2"/>
      <c r="T122" s="2"/>
      <c r="U122" s="2"/>
      <c r="V122" s="2" t="str">
        <f>IFERROR(__xludf.DUMMYFUNCTION("""COMPUTED_VALUE"""),"The Grand Staff of Evil Flames")</f>
        <v>The Grand Staff of Evil Flames</v>
      </c>
      <c r="W122" s="2"/>
      <c r="X122" s="2" t="str">
        <f>IFERROR(__xludf.DUMMYFUNCTION("""COMPUTED_VALUE"""),"Fire Ring")</f>
        <v>Fire Ring</v>
      </c>
      <c r="Y122" s="2"/>
      <c r="Z122" s="2"/>
      <c r="AA122" s="2"/>
      <c r="AB122" s="2"/>
      <c r="AC122" s="2"/>
      <c r="AD122" s="2"/>
      <c r="AE122" s="2"/>
      <c r="AF122" s="2"/>
      <c r="AG122" s="2"/>
      <c r="AH122" s="2"/>
      <c r="AI122" s="2"/>
      <c r="AJ122" s="2" t="str">
        <f>IFERROR(__xludf.DUMMYFUNCTION("""COMPUTED_VALUE"""),"Souls of Darkness and Chaos")</f>
        <v>Souls of Darkness and Chaos</v>
      </c>
      <c r="AK122" s="2" t="str">
        <f>IFERROR(__xludf.DUMMYFUNCTION("""COMPUTED_VALUE"""),"Chaotic Shadow Storm")</f>
        <v>Chaotic Shadow Storm</v>
      </c>
      <c r="AL122" s="2" t="str">
        <f>IFERROR(__xludf.DUMMYFUNCTION("""COMPUTED_VALUE"""),"Chaotic Shadow Force")</f>
        <v>Chaotic Shadow Force</v>
      </c>
      <c r="AM122" s="2" t="str">
        <f>IFERROR(__xludf.DUMMYFUNCTION("""COMPUTED_VALUE"""),"Chaotic Shadow Barrier")</f>
        <v>Chaotic Shadow Barrier</v>
      </c>
      <c r="AN122" s="2" t="str">
        <f>IFERROR(__xludf.DUMMYFUNCTION("""COMPUTED_VALUE"""),"Darkest Abyss")</f>
        <v>Darkest Abyss</v>
      </c>
      <c r="AO122" s="2" t="str">
        <f>IFERROR(__xludf.DUMMYFUNCTION("""COMPUTED_VALUE"""),"Conceal")</f>
        <v>Conceal</v>
      </c>
      <c r="AP122" s="2" t="str">
        <f>IFERROR(__xludf.DUMMYFUNCTION("""COMPUTED_VALUE"""),"Dimensional Quake")</f>
        <v>Dimensional Quake</v>
      </c>
      <c r="AQ122" s="2" t="str">
        <f>IFERROR(__xludf.DUMMYFUNCTION("""COMPUTED_VALUE"""),"Dimension Portal")</f>
        <v>Dimension Portal</v>
      </c>
      <c r="AR122" s="2" t="str">
        <f>IFERROR(__xludf.DUMMYFUNCTION("""COMPUTED_VALUE"""),"Celestial Summon")</f>
        <v>Celestial Summon</v>
      </c>
      <c r="AS122" s="2" t="str">
        <f>IFERROR(__xludf.DUMMYFUNCTION("""COMPUTED_VALUE"""),"Mass Destruction")</f>
        <v>Mass Destruction</v>
      </c>
      <c r="AT122" s="2" t="str">
        <f>IFERROR(__xludf.DUMMYFUNCTION("""COMPUTED_VALUE"""),"Chaincast")</f>
        <v>Chaincast</v>
      </c>
      <c r="AU122" s="2"/>
      <c r="AV122" s="2"/>
      <c r="AW122" s="2"/>
      <c r="AX122" s="2"/>
      <c r="AY122" s="2"/>
      <c r="AZ122" s="2"/>
      <c r="BA122" s="3"/>
      <c r="BB122" s="3"/>
      <c r="BC122" s="1"/>
      <c r="BD122" s="3">
        <f>IFERROR(__xludf.DUMMYFUNCTION("""COMPUTED_VALUE"""),0.0)</f>
        <v>0</v>
      </c>
      <c r="BE122" s="4">
        <f>IFERROR(__xludf.DUMMYFUNCTION("""COMPUTED_VALUE"""),20.0)</f>
        <v>20</v>
      </c>
      <c r="BF122" s="3" t="str">
        <f>IFERROR(__xludf.DUMMYFUNCTION("""COMPUTED_VALUE"""),"75% chance to be unaffected by any spells affecting this mob
A Dark Calling II: +10 can be added to this mobs rolls.
Sacred Spells: Spells deal X2 additional damage for this mob.
Sunlight That Burns The Land: At the end of each round all enemies will t"&amp;"ake  5000 fire damage that they cannot resist or be immune to.
Undead- Can only be killed by light, fire, or celestial")</f>
        <v>75% chance to be unaffected by any spells affecting this mob
A Dark Calling II: +10 can be added to this mobs rolls.
Sacred Spells: Spells deal X2 additional damage for this mob.
Sunlight That Burns The Land: At the end of each round all enemies will take  5000 fire damage that they cannot resist or be immune to.
Undead- Can only be killed by light, fire, or celestial</v>
      </c>
      <c r="BG122" s="3" t="str">
        <f>IFERROR(__xludf.DUMMYFUNCTION("""COMPUTED_VALUE"""),"All")</f>
        <v>All</v>
      </c>
      <c r="BH122" s="3" t="str">
        <f>IFERROR(__xludf.DUMMYFUNCTION("""COMPUTED_VALUE"""),"Abstara")</f>
        <v>Abstara</v>
      </c>
      <c r="BI122" s="3"/>
      <c r="BJ122" s="3"/>
      <c r="BK122" s="3"/>
      <c r="BL122" s="3" t="b">
        <f>IFERROR(__xludf.DUMMYFUNCTION("""COMPUTED_VALUE"""),FALSE)</f>
        <v>0</v>
      </c>
      <c r="BM122" s="3"/>
      <c r="BN122" s="3"/>
      <c r="BO122" s="3"/>
      <c r="BP122" s="3"/>
      <c r="BQ122" s="3"/>
      <c r="BR122" s="3"/>
      <c r="BS122" s="3"/>
      <c r="BT122" s="3"/>
      <c r="BU122" s="3"/>
      <c r="BV122" s="3"/>
      <c r="BW122" s="3"/>
    </row>
    <row r="123" ht="15.75" customHeight="1">
      <c r="A123" s="3" t="str">
        <f>IFERROR(__xludf.DUMMYFUNCTION("""COMPUTED_VALUE"""),"Grand Fire Elemental")</f>
        <v>Grand Fire Elemental</v>
      </c>
      <c r="B123" s="3">
        <f>IFERROR(__xludf.DUMMYFUNCTION("""COMPUTED_VALUE"""),1.0)</f>
        <v>1</v>
      </c>
      <c r="C123" s="3"/>
      <c r="D123" s="12" t="str">
        <f>IFERROR(__xludf.DUMMYFUNCTION("""COMPUTED_VALUE"""),"Spirit")</f>
        <v>Spirit</v>
      </c>
      <c r="E123" s="12">
        <f>IFERROR(__xludf.DUMMYFUNCTION("""COMPUTED_VALUE"""),1010.0)</f>
        <v>1010</v>
      </c>
      <c r="F123" s="12">
        <f>IFERROR(__xludf.DUMMYFUNCTION("""COMPUTED_VALUE"""),1010.0)</f>
        <v>1010</v>
      </c>
      <c r="G123" s="12">
        <f>IFERROR(__xludf.DUMMYFUNCTION("""COMPUTED_VALUE"""),1010.0)</f>
        <v>1010</v>
      </c>
      <c r="H123" s="3">
        <f>IFERROR(__xludf.DUMMYFUNCTION("""COMPUTED_VALUE"""),10.0)</f>
        <v>10</v>
      </c>
      <c r="I123" s="3">
        <f>IFERROR(__xludf.DUMMYFUNCTION("""COMPUTED_VALUE"""),0.0)</f>
        <v>0</v>
      </c>
      <c r="J123" s="3">
        <f>IFERROR(__xludf.DUMMYFUNCTION("""COMPUTED_VALUE"""),0.0)</f>
        <v>0</v>
      </c>
      <c r="K123" s="3">
        <f>IFERROR(__xludf.DUMMYFUNCTION("""COMPUTED_VALUE"""),100.0)</f>
        <v>100</v>
      </c>
      <c r="L123" s="3">
        <f>IFERROR(__xludf.DUMMYFUNCTION("""COMPUTED_VALUE"""),100.0)</f>
        <v>100</v>
      </c>
      <c r="M123" s="3" t="str">
        <f>IFERROR(__xludf.DUMMYFUNCTION("""COMPUTED_VALUE"""),"Fire:Immune, Blood:Immune, Instant Death:Immune, Banishment:Immune, ")</f>
        <v>Fire:Immune, Blood:Immune, Instant Death:Immune, Banishment:Immune, </v>
      </c>
      <c r="N123" s="2" t="str">
        <f>IFERROR(__xludf.DUMMYFUNCTION("""COMPUTED_VALUE"""),"Water:100, ")</f>
        <v>Water:100, </v>
      </c>
      <c r="O123" s="2"/>
      <c r="P123" s="2"/>
      <c r="Q123" s="2"/>
      <c r="R123" s="2"/>
      <c r="S123" s="2"/>
      <c r="T123" s="2"/>
      <c r="U123" s="2"/>
      <c r="V123" s="2"/>
      <c r="W123" s="2"/>
      <c r="X123" s="2"/>
      <c r="Y123" s="2"/>
      <c r="Z123" s="2"/>
      <c r="AA123" s="2"/>
      <c r="AB123" s="2"/>
      <c r="AC123" s="2"/>
      <c r="AD123" s="2"/>
      <c r="AE123" s="2"/>
      <c r="AF123" s="2"/>
      <c r="AG123" s="2"/>
      <c r="AH123" s="2"/>
      <c r="AI123" s="2"/>
      <c r="AJ123" s="2" t="str">
        <f>IFERROR(__xludf.DUMMYFUNCTION("""COMPUTED_VALUE"""),"Volcanic Rain")</f>
        <v>Volcanic Rain</v>
      </c>
      <c r="AK123" s="2" t="str">
        <f>IFERROR(__xludf.DUMMYFUNCTION("""COMPUTED_VALUE"""),"Mass Ignition")</f>
        <v>Mass Ignition</v>
      </c>
      <c r="AL123" s="2" t="str">
        <f>IFERROR(__xludf.DUMMYFUNCTION("""COMPUTED_VALUE"""),"Solar Storm")</f>
        <v>Solar Storm</v>
      </c>
      <c r="AM123" s="2" t="str">
        <f>IFERROR(__xludf.DUMMYFUNCTION("""COMPUTED_VALUE"""),"Mass Destruction")</f>
        <v>Mass Destruction</v>
      </c>
      <c r="AN123" s="2" t="str">
        <f>IFERROR(__xludf.DUMMYFUNCTION("""COMPUTED_VALUE"""),"Solar Ward")</f>
        <v>Solar Ward</v>
      </c>
      <c r="AO123" s="2"/>
      <c r="AP123" s="2"/>
      <c r="AQ123" s="2"/>
      <c r="AR123" s="2"/>
      <c r="AS123" s="2"/>
      <c r="AT123" s="2"/>
      <c r="AU123" s="2"/>
      <c r="AV123" s="2"/>
      <c r="AW123" s="2"/>
      <c r="AX123" s="2"/>
      <c r="AY123" s="2"/>
      <c r="AZ123" s="2"/>
      <c r="BA123" s="3"/>
      <c r="BB123" s="3"/>
      <c r="BC123" s="1"/>
      <c r="BD123" s="3">
        <f>IFERROR(__xludf.DUMMYFUNCTION("""COMPUTED_VALUE"""),0.0)</f>
        <v>0</v>
      </c>
      <c r="BE123" s="4">
        <f>IFERROR(__xludf.DUMMYFUNCTION("""COMPUTED_VALUE"""),10.0)</f>
        <v>10</v>
      </c>
      <c r="BF123" s="3" t="str">
        <f>IFERROR(__xludf.DUMMYFUNCTION("""COMPUTED_VALUE"""),"A Dark Calling: +5 can be added to this mobs rolls.")</f>
        <v>A Dark Calling: +5 can be added to this mobs rolls.</v>
      </c>
      <c r="BG123" s="3" t="str">
        <f>IFERROR(__xludf.DUMMYFUNCTION("""COMPUTED_VALUE"""),"All")</f>
        <v>All</v>
      </c>
      <c r="BH123" s="3" t="str">
        <f>IFERROR(__xludf.DUMMYFUNCTION("""COMPUTED_VALUE"""),"Abstara")</f>
        <v>Abstara</v>
      </c>
      <c r="BI123" s="3"/>
      <c r="BJ123" s="3"/>
      <c r="BK123" s="3"/>
      <c r="BL123" s="3" t="b">
        <f>IFERROR(__xludf.DUMMYFUNCTION("""COMPUTED_VALUE"""),FALSE)</f>
        <v>0</v>
      </c>
      <c r="BM123" s="3"/>
      <c r="BN123" s="3"/>
      <c r="BO123" s="3"/>
      <c r="BP123" s="3"/>
      <c r="BQ123" s="3"/>
      <c r="BR123" s="3"/>
      <c r="BS123" s="3"/>
      <c r="BT123" s="3"/>
      <c r="BU123" s="3"/>
      <c r="BV123" s="3"/>
      <c r="BW123" s="3"/>
    </row>
    <row r="124" ht="15.75" customHeight="1">
      <c r="A124" s="3" t="str">
        <f>IFERROR(__xludf.DUMMYFUNCTION("""COMPUTED_VALUE"""),"Gray Soul")</f>
        <v>Gray Soul</v>
      </c>
      <c r="B124" s="3">
        <f>IFERROR(__xludf.DUMMYFUNCTION("""COMPUTED_VALUE"""),1.0)</f>
        <v>1</v>
      </c>
      <c r="C124" s="3"/>
      <c r="D124" s="12" t="str">
        <f>IFERROR(__xludf.DUMMYFUNCTION("""COMPUTED_VALUE"""),"Spirit")</f>
        <v>Spirit</v>
      </c>
      <c r="E124" s="12">
        <f>IFERROR(__xludf.DUMMYFUNCTION("""COMPUTED_VALUE"""),1010.0)</f>
        <v>1010</v>
      </c>
      <c r="F124" s="12">
        <f>IFERROR(__xludf.DUMMYFUNCTION("""COMPUTED_VALUE"""),1010.0)</f>
        <v>1010</v>
      </c>
      <c r="G124" s="12">
        <f>IFERROR(__xludf.DUMMYFUNCTION("""COMPUTED_VALUE"""),1010.0)</f>
        <v>1010</v>
      </c>
      <c r="H124" s="3">
        <f>IFERROR(__xludf.DUMMYFUNCTION("""COMPUTED_VALUE"""),10.0)</f>
        <v>10</v>
      </c>
      <c r="I124" s="3">
        <f>IFERROR(__xludf.DUMMYFUNCTION("""COMPUTED_VALUE"""),0.0)</f>
        <v>0</v>
      </c>
      <c r="J124" s="3">
        <f>IFERROR(__xludf.DUMMYFUNCTION("""COMPUTED_VALUE"""),0.0)</f>
        <v>0</v>
      </c>
      <c r="K124" s="3">
        <f>IFERROR(__xludf.DUMMYFUNCTION("""COMPUTED_VALUE"""),100.0)</f>
        <v>100</v>
      </c>
      <c r="L124" s="3">
        <f>IFERROR(__xludf.DUMMYFUNCTION("""COMPUTED_VALUE"""),100.0)</f>
        <v>100</v>
      </c>
      <c r="M124" s="3" t="str">
        <f>IFERROR(__xludf.DUMMYFUNCTION("""COMPUTED_VALUE"""),"Spirit:Immune, ")</f>
        <v>Spirit:Immune, </v>
      </c>
      <c r="N124" s="2" t="str">
        <f>IFERROR(__xludf.DUMMYFUNCTION("""COMPUTED_VALUE"""),"Fire:100, Light:100, ")</f>
        <v>Fire:100, Light:100, </v>
      </c>
      <c r="O124" s="2"/>
      <c r="P124" s="2"/>
      <c r="Q124" s="2"/>
      <c r="R124" s="2"/>
      <c r="S124" s="2"/>
      <c r="T124" s="2"/>
      <c r="U124" s="2"/>
      <c r="V124" s="2"/>
      <c r="W124" s="2"/>
      <c r="X124" s="2"/>
      <c r="Y124" s="2"/>
      <c r="Z124" s="2"/>
      <c r="AA124" s="2"/>
      <c r="AB124" s="2"/>
      <c r="AC124" s="2"/>
      <c r="AD124" s="2"/>
      <c r="AE124" s="2"/>
      <c r="AF124" s="2"/>
      <c r="AG124" s="2"/>
      <c r="AH124" s="2"/>
      <c r="AI124" s="2"/>
      <c r="AJ124" s="2" t="str">
        <f>IFERROR(__xludf.DUMMYFUNCTION("""COMPUTED_VALUE"""),"A Deal With The Spirit World")</f>
        <v>A Deal With The Spirit World</v>
      </c>
      <c r="AK124" s="2" t="str">
        <f>IFERROR(__xludf.DUMMYFUNCTION("""COMPUTED_VALUE"""),"Final Blast")</f>
        <v>Final Blast</v>
      </c>
      <c r="AL124" s="2" t="str">
        <f>IFERROR(__xludf.DUMMYFUNCTION("""COMPUTED_VALUE"""),"Soul Shot")</f>
        <v>Soul Shot</v>
      </c>
      <c r="AM124" s="2" t="str">
        <f>IFERROR(__xludf.DUMMYFUNCTION("""COMPUTED_VALUE"""),"Final Rest")</f>
        <v>Final Rest</v>
      </c>
      <c r="AN124" s="2" t="str">
        <f>IFERROR(__xludf.DUMMYFUNCTION("""COMPUTED_VALUE"""),"Soul Trap")</f>
        <v>Soul Trap</v>
      </c>
      <c r="AO124" s="2" t="str">
        <f>IFERROR(__xludf.DUMMYFUNCTION("""COMPUTED_VALUE"""),"Possession")</f>
        <v>Possession</v>
      </c>
      <c r="AP124" s="2" t="str">
        <f>IFERROR(__xludf.DUMMYFUNCTION("""COMPUTED_VALUE"""),"Confuse")</f>
        <v>Confuse</v>
      </c>
      <c r="AQ124" s="2"/>
      <c r="AR124" s="2"/>
      <c r="AS124" s="2"/>
      <c r="AT124" s="2"/>
      <c r="AU124" s="2"/>
      <c r="AV124" s="2"/>
      <c r="AW124" s="2"/>
      <c r="AX124" s="2"/>
      <c r="AY124" s="2"/>
      <c r="AZ124" s="2"/>
      <c r="BA124" s="3"/>
      <c r="BB124" s="3"/>
      <c r="BC124" s="1"/>
      <c r="BD124" s="3">
        <f>IFERROR(__xludf.DUMMYFUNCTION("""COMPUTED_VALUE"""),0.0)</f>
        <v>0</v>
      </c>
      <c r="BE124" s="4">
        <f>IFERROR(__xludf.DUMMYFUNCTION("""COMPUTED_VALUE"""),10.0)</f>
        <v>10</v>
      </c>
      <c r="BF124" s="3" t="str">
        <f>IFERROR(__xludf.DUMMYFUNCTION("""COMPUTED_VALUE"""),"The Gray Spirit: After 1 round a gray token will appear in battle, after another round if the token is still there, a giant a swarm of spirits will appear possessing all enemies ending the battle.
Undead- Can only be killed by light,fire, or celestial")</f>
        <v>The Gray Spirit: After 1 round a gray token will appear in battle, after another round if the token is still there, a giant a swarm of spirits will appear possessing all enemies ending the battle.
Undead- Can only be killed by light,fire, or celestial</v>
      </c>
      <c r="BG124" s="3" t="str">
        <f>IFERROR(__xludf.DUMMYFUNCTION("""COMPUTED_VALUE"""),"All")</f>
        <v>All</v>
      </c>
      <c r="BH124" s="3" t="str">
        <f>IFERROR(__xludf.DUMMYFUNCTION("""COMPUTED_VALUE"""),"Abstara")</f>
        <v>Abstara</v>
      </c>
      <c r="BI124" s="3"/>
      <c r="BJ124" s="3"/>
      <c r="BK124" s="3"/>
      <c r="BL124" s="3" t="b">
        <f>IFERROR(__xludf.DUMMYFUNCTION("""COMPUTED_VALUE"""),FALSE)</f>
        <v>0</v>
      </c>
      <c r="BM124" s="3"/>
      <c r="BN124" s="3"/>
      <c r="BO124" s="3"/>
      <c r="BP124" s="3"/>
      <c r="BQ124" s="3"/>
      <c r="BR124" s="3"/>
      <c r="BS124" s="3"/>
      <c r="BT124" s="3"/>
      <c r="BU124" s="3"/>
      <c r="BV124" s="3"/>
      <c r="BW124" s="3"/>
    </row>
    <row r="125" ht="15.75" customHeight="1">
      <c r="A125" s="3" t="str">
        <f>IFERROR(__xludf.DUMMYFUNCTION("""COMPUTED_VALUE"""),"Green Soul")</f>
        <v>Green Soul</v>
      </c>
      <c r="B125" s="3">
        <f>IFERROR(__xludf.DUMMYFUNCTION("""COMPUTED_VALUE"""),1.0)</f>
        <v>1</v>
      </c>
      <c r="C125" s="3"/>
      <c r="D125" s="12" t="str">
        <f>IFERROR(__xludf.DUMMYFUNCTION("""COMPUTED_VALUE"""),"Spirit")</f>
        <v>Spirit</v>
      </c>
      <c r="E125" s="12">
        <f>IFERROR(__xludf.DUMMYFUNCTION("""COMPUTED_VALUE"""),1010.0)</f>
        <v>1010</v>
      </c>
      <c r="F125" s="12">
        <f>IFERROR(__xludf.DUMMYFUNCTION("""COMPUTED_VALUE"""),1010.0)</f>
        <v>1010</v>
      </c>
      <c r="G125" s="12">
        <f>IFERROR(__xludf.DUMMYFUNCTION("""COMPUTED_VALUE"""),1010.0)</f>
        <v>1010</v>
      </c>
      <c r="H125" s="3">
        <f>IFERROR(__xludf.DUMMYFUNCTION("""COMPUTED_VALUE"""),10.0)</f>
        <v>10</v>
      </c>
      <c r="I125" s="3">
        <f>IFERROR(__xludf.DUMMYFUNCTION("""COMPUTED_VALUE"""),0.0)</f>
        <v>0</v>
      </c>
      <c r="J125" s="3">
        <f>IFERROR(__xludf.DUMMYFUNCTION("""COMPUTED_VALUE"""),0.0)</f>
        <v>0</v>
      </c>
      <c r="K125" s="3">
        <f>IFERROR(__xludf.DUMMYFUNCTION("""COMPUTED_VALUE"""),100.0)</f>
        <v>100</v>
      </c>
      <c r="L125" s="3">
        <f>IFERROR(__xludf.DUMMYFUNCTION("""COMPUTED_VALUE"""),100.0)</f>
        <v>100</v>
      </c>
      <c r="M125" s="3" t="str">
        <f>IFERROR(__xludf.DUMMYFUNCTION("""COMPUTED_VALUE"""),"Spirit:Immune, Nature:Immune, ")</f>
        <v>Spirit:Immune, Nature:Immune, </v>
      </c>
      <c r="N125" s="2" t="str">
        <f>IFERROR(__xludf.DUMMYFUNCTION("""COMPUTED_VALUE"""),"Fire:100, Light:100, ")</f>
        <v>Fire:100, Light:100, </v>
      </c>
      <c r="O125" s="2"/>
      <c r="P125" s="2"/>
      <c r="Q125" s="2"/>
      <c r="R125" s="2"/>
      <c r="S125" s="2"/>
      <c r="T125" s="2"/>
      <c r="U125" s="2"/>
      <c r="V125" s="2"/>
      <c r="W125" s="2"/>
      <c r="X125" s="2"/>
      <c r="Y125" s="2"/>
      <c r="Z125" s="2"/>
      <c r="AA125" s="2"/>
      <c r="AB125" s="2"/>
      <c r="AC125" s="2"/>
      <c r="AD125" s="2"/>
      <c r="AE125" s="2"/>
      <c r="AF125" s="2"/>
      <c r="AG125" s="2"/>
      <c r="AH125" s="2"/>
      <c r="AI125" s="2"/>
      <c r="AJ125" s="2" t="str">
        <f>IFERROR(__xludf.DUMMYFUNCTION("""COMPUTED_VALUE"""),"A Deal With The Spirit World")</f>
        <v>A Deal With The Spirit World</v>
      </c>
      <c r="AK125" s="2" t="str">
        <f>IFERROR(__xludf.DUMMYFUNCTION("""COMPUTED_VALUE"""),"Final Blast")</f>
        <v>Final Blast</v>
      </c>
      <c r="AL125" s="2" t="str">
        <f>IFERROR(__xludf.DUMMYFUNCTION("""COMPUTED_VALUE"""),"Soul Shot")</f>
        <v>Soul Shot</v>
      </c>
      <c r="AM125" s="2" t="str">
        <f>IFERROR(__xludf.DUMMYFUNCTION("""COMPUTED_VALUE"""),"Final Rest")</f>
        <v>Final Rest</v>
      </c>
      <c r="AN125" s="2" t="str">
        <f>IFERROR(__xludf.DUMMYFUNCTION("""COMPUTED_VALUE"""),"Soul Trap")</f>
        <v>Soul Trap</v>
      </c>
      <c r="AO125" s="2" t="str">
        <f>IFERROR(__xludf.DUMMYFUNCTION("""COMPUTED_VALUE"""),"Possession")</f>
        <v>Possession</v>
      </c>
      <c r="AP125" s="2" t="str">
        <f>IFERROR(__xludf.DUMMYFUNCTION("""COMPUTED_VALUE"""),"Confuse")</f>
        <v>Confuse</v>
      </c>
      <c r="AQ125" s="2"/>
      <c r="AR125" s="2"/>
      <c r="AS125" s="2"/>
      <c r="AT125" s="2"/>
      <c r="AU125" s="2"/>
      <c r="AV125" s="2"/>
      <c r="AW125" s="2"/>
      <c r="AX125" s="2"/>
      <c r="AY125" s="2"/>
      <c r="AZ125" s="2"/>
      <c r="BA125" s="3"/>
      <c r="BB125" s="3"/>
      <c r="BC125" s="1"/>
      <c r="BD125" s="3">
        <f>IFERROR(__xludf.DUMMYFUNCTION("""COMPUTED_VALUE"""),0.0)</f>
        <v>0</v>
      </c>
      <c r="BE125" s="4">
        <f>IFERROR(__xludf.DUMMYFUNCTION("""COMPUTED_VALUE"""),10.0)</f>
        <v>10</v>
      </c>
      <c r="BF125" s="3" t="str">
        <f>IFERROR(__xludf.DUMMYFUNCTION("""COMPUTED_VALUE"""),"The Gray Spirit: After 1 round a gray token will appear in battle, after another round if the token is still there, a giant a swarm of spirits will appear possessing all enemies ending the battle.
Undead- Can only be killed by light,fire, or celestial")</f>
        <v>The Gray Spirit: After 1 round a gray token will appear in battle, after another round if the token is still there, a giant a swarm of spirits will appear possessing all enemies ending the battle.
Undead- Can only be killed by light,fire, or celestial</v>
      </c>
      <c r="BG125" s="3" t="str">
        <f>IFERROR(__xludf.DUMMYFUNCTION("""COMPUTED_VALUE"""),"All")</f>
        <v>All</v>
      </c>
      <c r="BH125" s="3" t="str">
        <f>IFERROR(__xludf.DUMMYFUNCTION("""COMPUTED_VALUE"""),"Abstara")</f>
        <v>Abstara</v>
      </c>
      <c r="BI125" s="3"/>
      <c r="BJ125" s="3"/>
      <c r="BK125" s="3"/>
      <c r="BL125" s="3" t="b">
        <f>IFERROR(__xludf.DUMMYFUNCTION("""COMPUTED_VALUE"""),FALSE)</f>
        <v>0</v>
      </c>
      <c r="BM125" s="3"/>
      <c r="BN125" s="3"/>
      <c r="BO125" s="3"/>
      <c r="BP125" s="3"/>
      <c r="BQ125" s="3"/>
      <c r="BR125" s="3"/>
      <c r="BS125" s="3"/>
      <c r="BT125" s="3"/>
      <c r="BU125" s="3"/>
      <c r="BV125" s="3"/>
      <c r="BW125" s="3"/>
    </row>
    <row r="126" ht="15.75" customHeight="1">
      <c r="A126" s="3" t="str">
        <f>IFERROR(__xludf.DUMMYFUNCTION("""COMPUTED_VALUE"""),"Griffin")</f>
        <v>Griffin</v>
      </c>
      <c r="B126" s="3">
        <f>IFERROR(__xludf.DUMMYFUNCTION("""COMPUTED_VALUE"""),1.0)</f>
        <v>1</v>
      </c>
      <c r="C126" s="3"/>
      <c r="D126" s="12" t="str">
        <f>IFERROR(__xludf.DUMMYFUNCTION("""COMPUTED_VALUE"""),"Beast")</f>
        <v>Beast</v>
      </c>
      <c r="E126" s="12">
        <f>IFERROR(__xludf.DUMMYFUNCTION("""COMPUTED_VALUE"""),31010.0)</f>
        <v>31010</v>
      </c>
      <c r="F126" s="12">
        <f>IFERROR(__xludf.DUMMYFUNCTION("""COMPUTED_VALUE"""),31010.0)</f>
        <v>31010</v>
      </c>
      <c r="G126" s="12">
        <f>IFERROR(__xludf.DUMMYFUNCTION("""COMPUTED_VALUE"""),1010.0)</f>
        <v>1010</v>
      </c>
      <c r="H126" s="3">
        <f>IFERROR(__xludf.DUMMYFUNCTION("""COMPUTED_VALUE"""),20.0)</f>
        <v>20</v>
      </c>
      <c r="I126" s="3">
        <f>IFERROR(__xludf.DUMMYFUNCTION("""COMPUTED_VALUE"""),0.0)</f>
        <v>0</v>
      </c>
      <c r="J126" s="3">
        <f>IFERROR(__xludf.DUMMYFUNCTION("""COMPUTED_VALUE"""),0.0)</f>
        <v>0</v>
      </c>
      <c r="K126" s="3">
        <f>IFERROR(__xludf.DUMMYFUNCTION("""COMPUTED_VALUE"""),100.0)</f>
        <v>100</v>
      </c>
      <c r="L126" s="3">
        <f>IFERROR(__xludf.DUMMYFUNCTION("""COMPUTED_VALUE"""),100.0)</f>
        <v>100</v>
      </c>
      <c r="M126" s="3" t="str">
        <f>IFERROR(__xludf.DUMMYFUNCTION("""COMPUTED_VALUE"""),"")</f>
        <v/>
      </c>
      <c r="N126" s="2" t="str">
        <f>IFERROR(__xludf.DUMMYFUNCTION("""COMPUTED_VALUE"""),"")</f>
        <v/>
      </c>
      <c r="O126" s="2"/>
      <c r="P126" s="2"/>
      <c r="Q126" s="2"/>
      <c r="R126" s="2"/>
      <c r="S126" s="2"/>
      <c r="T126" s="2"/>
      <c r="U126" s="2"/>
      <c r="V126" s="2"/>
      <c r="W126" s="2"/>
      <c r="X126" s="2"/>
      <c r="Y126" s="2"/>
      <c r="Z126" s="2"/>
      <c r="AA126" s="2"/>
      <c r="AB126" s="2"/>
      <c r="AC126" s="2"/>
      <c r="AD126" s="2"/>
      <c r="AE126" s="2"/>
      <c r="AF126" s="2"/>
      <c r="AG126" s="2"/>
      <c r="AH126" s="2"/>
      <c r="AI126" s="2"/>
      <c r="AJ126" s="2" t="str">
        <f>IFERROR(__xludf.DUMMYFUNCTION("""COMPUTED_VALUE"""),"Claws")</f>
        <v>Claws</v>
      </c>
      <c r="AK126" s="2" t="str">
        <f>IFERROR(__xludf.DUMMYFUNCTION("""COMPUTED_VALUE"""),"Skydive")</f>
        <v>Skydive</v>
      </c>
      <c r="AL126" s="2" t="str">
        <f>IFERROR(__xludf.DUMMYFUNCTION("""COMPUTED_VALUE"""),"Rapid Swoop")</f>
        <v>Rapid Swoop</v>
      </c>
      <c r="AM126" s="2" t="str">
        <f>IFERROR(__xludf.DUMMYFUNCTION("""COMPUTED_VALUE"""),"Dive Bomb")</f>
        <v>Dive Bomb</v>
      </c>
      <c r="AN126" s="2" t="str">
        <f>IFERROR(__xludf.DUMMYFUNCTION("""COMPUTED_VALUE"""),"Reckless Chomp ")</f>
        <v>Reckless Chomp </v>
      </c>
      <c r="AO126" s="2" t="str">
        <f>IFERROR(__xludf.DUMMYFUNCTION("""COMPUTED_VALUE"""),"Tackle")</f>
        <v>Tackle</v>
      </c>
      <c r="AP126" s="2" t="str">
        <f>IFERROR(__xludf.DUMMYFUNCTION("""COMPUTED_VALUE"""),"Roaring Gust Of Wind")</f>
        <v>Roaring Gust Of Wind</v>
      </c>
      <c r="AQ126" s="2" t="str">
        <f>IFERROR(__xludf.DUMMYFUNCTION("""COMPUTED_VALUE"""),"Multishot")</f>
        <v>Multishot</v>
      </c>
      <c r="AR126" s="2"/>
      <c r="AS126" s="2"/>
      <c r="AT126" s="2"/>
      <c r="AU126" s="2"/>
      <c r="AV126" s="2"/>
      <c r="AW126" s="2"/>
      <c r="AX126" s="2"/>
      <c r="AY126" s="2"/>
      <c r="AZ126" s="2"/>
      <c r="BA126" s="3"/>
      <c r="BB126" s="3"/>
      <c r="BC126" s="1"/>
      <c r="BD126" s="3">
        <f>IFERROR(__xludf.DUMMYFUNCTION("""COMPUTED_VALUE"""),0.0)</f>
        <v>0</v>
      </c>
      <c r="BE126" s="4">
        <f>IFERROR(__xludf.DUMMYFUNCTION("""COMPUTED_VALUE"""),10.0)</f>
        <v>10</v>
      </c>
      <c r="BF126" s="3"/>
      <c r="BG126" s="3" t="str">
        <f>IFERROR(__xludf.DUMMYFUNCTION("""COMPUTED_VALUE"""),"All")</f>
        <v>All</v>
      </c>
      <c r="BH126" s="3" t="str">
        <f>IFERROR(__xludf.DUMMYFUNCTION("""COMPUTED_VALUE"""),"Land of Spira")</f>
        <v>Land of Spira</v>
      </c>
      <c r="BI126" s="3"/>
      <c r="BJ126" s="3"/>
      <c r="BK126" s="3"/>
      <c r="BL126" s="3" t="b">
        <f>IFERROR(__xludf.DUMMYFUNCTION("""COMPUTED_VALUE"""),FALSE)</f>
        <v>0</v>
      </c>
      <c r="BM126" s="3"/>
      <c r="BN126" s="3"/>
      <c r="BO126" s="3"/>
      <c r="BP126" s="3"/>
      <c r="BQ126" s="3"/>
      <c r="BR126" s="3"/>
      <c r="BS126" s="3"/>
      <c r="BT126" s="3"/>
      <c r="BU126" s="3"/>
      <c r="BV126" s="3"/>
      <c r="BW126" s="3"/>
    </row>
    <row r="127" ht="15.75" customHeight="1">
      <c r="A127" s="3" t="str">
        <f>IFERROR(__xludf.DUMMYFUNCTION("""COMPUTED_VALUE"""),"Ground Tiger")</f>
        <v>Ground Tiger</v>
      </c>
      <c r="B127" s="3">
        <f>IFERROR(__xludf.DUMMYFUNCTION("""COMPUTED_VALUE"""),1.0)</f>
        <v>1</v>
      </c>
      <c r="C127" s="3"/>
      <c r="D127" s="12" t="str">
        <f>IFERROR(__xludf.DUMMYFUNCTION("""COMPUTED_VALUE"""),"Beast")</f>
        <v>Beast</v>
      </c>
      <c r="E127" s="12">
        <f>IFERROR(__xludf.DUMMYFUNCTION("""COMPUTED_VALUE"""),1010.0)</f>
        <v>1010</v>
      </c>
      <c r="F127" s="12">
        <f>IFERROR(__xludf.DUMMYFUNCTION("""COMPUTED_VALUE"""),1010.0)</f>
        <v>1010</v>
      </c>
      <c r="G127" s="12">
        <f>IFERROR(__xludf.DUMMYFUNCTION("""COMPUTED_VALUE"""),1010.0)</f>
        <v>1010</v>
      </c>
      <c r="H127" s="3">
        <f>IFERROR(__xludf.DUMMYFUNCTION("""COMPUTED_VALUE"""),10.0)</f>
        <v>10</v>
      </c>
      <c r="I127" s="3">
        <f>IFERROR(__xludf.DUMMYFUNCTION("""COMPUTED_VALUE"""),0.0)</f>
        <v>0</v>
      </c>
      <c r="J127" s="3">
        <f>IFERROR(__xludf.DUMMYFUNCTION("""COMPUTED_VALUE"""),0.0)</f>
        <v>0</v>
      </c>
      <c r="K127" s="3">
        <f>IFERROR(__xludf.DUMMYFUNCTION("""COMPUTED_VALUE"""),100.0)</f>
        <v>100</v>
      </c>
      <c r="L127" s="3">
        <f>IFERROR(__xludf.DUMMYFUNCTION("""COMPUTED_VALUE"""),100.0)</f>
        <v>100</v>
      </c>
      <c r="M127" s="3" t="str">
        <f>IFERROR(__xludf.DUMMYFUNCTION("""COMPUTED_VALUE"""),"Fire:100, ")</f>
        <v>Fire:100, </v>
      </c>
      <c r="N127" s="2" t="str">
        <f>IFERROR(__xludf.DUMMYFUNCTION("""COMPUTED_VALUE"""),"Water:100, ")</f>
        <v>Water:100, </v>
      </c>
      <c r="O127" s="2"/>
      <c r="P127" s="2"/>
      <c r="Q127" s="2"/>
      <c r="R127" s="2"/>
      <c r="S127" s="2"/>
      <c r="T127" s="2"/>
      <c r="U127" s="2"/>
      <c r="V127" s="2"/>
      <c r="W127" s="2"/>
      <c r="X127" s="2"/>
      <c r="Y127" s="2"/>
      <c r="Z127" s="2"/>
      <c r="AA127" s="2"/>
      <c r="AB127" s="2"/>
      <c r="AC127" s="2"/>
      <c r="AD127" s="2"/>
      <c r="AE127" s="2"/>
      <c r="AF127" s="2"/>
      <c r="AG127" s="2"/>
      <c r="AH127" s="2"/>
      <c r="AI127" s="2"/>
      <c r="AJ127" s="2" t="str">
        <f>IFERROR(__xludf.DUMMYFUNCTION("""COMPUTED_VALUE"""),"Tremor")</f>
        <v>Tremor</v>
      </c>
      <c r="AK127" s="2" t="str">
        <f>IFERROR(__xludf.DUMMYFUNCTION("""COMPUTED_VALUE"""),"Claws")</f>
        <v>Claws</v>
      </c>
      <c r="AL127" s="2" t="str">
        <f>IFERROR(__xludf.DUMMYFUNCTION("""COMPUTED_VALUE"""),"Bite")</f>
        <v>Bite</v>
      </c>
      <c r="AM127" s="2"/>
      <c r="AN127" s="2"/>
      <c r="AO127" s="2"/>
      <c r="AP127" s="2"/>
      <c r="AQ127" s="2"/>
      <c r="AR127" s="2"/>
      <c r="AS127" s="2"/>
      <c r="AT127" s="2"/>
      <c r="AU127" s="2"/>
      <c r="AV127" s="2"/>
      <c r="AW127" s="2"/>
      <c r="AX127" s="2"/>
      <c r="AY127" s="2"/>
      <c r="AZ127" s="2"/>
      <c r="BA127" s="3"/>
      <c r="BB127" s="3"/>
      <c r="BC127" s="1"/>
      <c r="BD127" s="3">
        <f>IFERROR(__xludf.DUMMYFUNCTION("""COMPUTED_VALUE"""),0.0)</f>
        <v>0</v>
      </c>
      <c r="BE127" s="4">
        <f>IFERROR(__xludf.DUMMYFUNCTION("""COMPUTED_VALUE"""),10.0)</f>
        <v>10</v>
      </c>
      <c r="BF127" s="3"/>
      <c r="BG127" s="3" t="str">
        <f>IFERROR(__xludf.DUMMYFUNCTION("""COMPUTED_VALUE"""),"All")</f>
        <v>All</v>
      </c>
      <c r="BH127" s="3" t="str">
        <f>IFERROR(__xludf.DUMMYFUNCTION("""COMPUTED_VALUE"""),"Land of Spira")</f>
        <v>Land of Spira</v>
      </c>
      <c r="BI127" s="3"/>
      <c r="BJ127" s="3"/>
      <c r="BK127" s="3"/>
      <c r="BL127" s="3" t="b">
        <f>IFERROR(__xludf.DUMMYFUNCTION("""COMPUTED_VALUE"""),FALSE)</f>
        <v>0</v>
      </c>
      <c r="BM127" s="3"/>
      <c r="BN127" s="3"/>
      <c r="BO127" s="3"/>
      <c r="BP127" s="3"/>
      <c r="BQ127" s="3"/>
      <c r="BR127" s="3"/>
      <c r="BS127" s="3"/>
      <c r="BT127" s="3"/>
      <c r="BU127" s="3"/>
      <c r="BV127" s="3"/>
      <c r="BW127" s="3"/>
    </row>
    <row r="128" ht="15.75" customHeight="1">
      <c r="A128" s="3" t="str">
        <f>IFERROR(__xludf.DUMMYFUNCTION("""COMPUTED_VALUE"""),"Guard Tier III")</f>
        <v>Guard Tier III</v>
      </c>
      <c r="B128" s="3">
        <f>IFERROR(__xludf.DUMMYFUNCTION("""COMPUTED_VALUE"""),1.0)</f>
        <v>1</v>
      </c>
      <c r="C128" s="3" t="str">
        <f>IFERROR(__xludf.DUMMYFUNCTION("""COMPUTED_VALUE"""),"Self-appointed pesky little shi*s of Spira that will stop at nothing to arrest you and make sure you serve your trial.")</f>
        <v>Self-appointed pesky little shi*s of Spira that will stop at nothing to arrest you and make sure you serve your trial.</v>
      </c>
      <c r="D128" s="12" t="str">
        <f>IFERROR(__xludf.DUMMYFUNCTION("""COMPUTED_VALUE"""),"Humanoid")</f>
        <v>Humanoid</v>
      </c>
      <c r="E128" s="12">
        <f>IFERROR(__xludf.DUMMYFUNCTION("""COMPUTED_VALUE"""),1010.0)</f>
        <v>1010</v>
      </c>
      <c r="F128" s="12">
        <f>IFERROR(__xludf.DUMMYFUNCTION("""COMPUTED_VALUE"""),1010.0)</f>
        <v>1010</v>
      </c>
      <c r="G128" s="12">
        <f>IFERROR(__xludf.DUMMYFUNCTION("""COMPUTED_VALUE"""),500010.0)</f>
        <v>500010</v>
      </c>
      <c r="H128" s="3">
        <f>IFERROR(__xludf.DUMMYFUNCTION("""COMPUTED_VALUE"""),20.0)</f>
        <v>20</v>
      </c>
      <c r="I128" s="3">
        <f>IFERROR(__xludf.DUMMYFUNCTION("""COMPUTED_VALUE"""),20.0)</f>
        <v>20</v>
      </c>
      <c r="J128" s="3">
        <f>IFERROR(__xludf.DUMMYFUNCTION("""COMPUTED_VALUE"""),0.0)</f>
        <v>0</v>
      </c>
      <c r="K128" s="3">
        <f>IFERROR(__xludf.DUMMYFUNCTION("""COMPUTED_VALUE"""),100.0)</f>
        <v>100</v>
      </c>
      <c r="L128" s="3">
        <f>IFERROR(__xludf.DUMMYFUNCTION("""COMPUTED_VALUE"""),100.0)</f>
        <v>100</v>
      </c>
      <c r="M128" s="3" t="str">
        <f>IFERROR(__xludf.DUMMYFUNCTION("""COMPUTED_VALUE"""),"Light:Immune, Dark:100, Order:Immune, Celestial:Immune, Instant Death:Immune, Banishment:Immune, ")</f>
        <v>Light:Immune, Dark:100, Order:Immune, Celestial:Immune, Instant Death:Immune, Banishment:Immune, </v>
      </c>
      <c r="N128" s="2" t="str">
        <f>IFERROR(__xludf.DUMMYFUNCTION("""COMPUTED_VALUE"""),"")</f>
        <v/>
      </c>
      <c r="O128" s="2" t="str">
        <f>IFERROR(__xludf.DUMMYFUNCTION("""COMPUTED_VALUE"""),"Celestian Royal Helment")</f>
        <v>Celestian Royal Helment</v>
      </c>
      <c r="P128" s="2"/>
      <c r="Q128" s="2"/>
      <c r="R128" s="2"/>
      <c r="S128" s="2"/>
      <c r="T128" s="2" t="str">
        <f>IFERROR(__xludf.DUMMYFUNCTION("""COMPUTED_VALUE"""),"Celestian Royal Chestplate")</f>
        <v>Celestian Royal Chestplate</v>
      </c>
      <c r="U128" s="2"/>
      <c r="V128" s="2" t="str">
        <f>IFERROR(__xludf.DUMMYFUNCTION("""COMPUTED_VALUE"""),"Celestian Royal Shield")</f>
        <v>Celestian Royal Shield</v>
      </c>
      <c r="W128" s="2" t="str">
        <f>IFERROR(__xludf.DUMMYFUNCTION("""COMPUTED_VALUE"""),"Celestian Royal Sword")</f>
        <v>Celestian Royal Sword</v>
      </c>
      <c r="X128" s="2"/>
      <c r="Y128" s="2"/>
      <c r="Z128" s="2"/>
      <c r="AA128" s="2"/>
      <c r="AB128" s="2"/>
      <c r="AC128" s="2"/>
      <c r="AD128" s="2"/>
      <c r="AE128" s="2"/>
      <c r="AF128" s="2"/>
      <c r="AG128" s="2"/>
      <c r="AH128" s="2" t="str">
        <f>IFERROR(__xludf.DUMMYFUNCTION("""COMPUTED_VALUE"""),"Celestian Royal Leggings")</f>
        <v>Celestian Royal Leggings</v>
      </c>
      <c r="AI128" s="2" t="str">
        <f>IFERROR(__xludf.DUMMYFUNCTION("""COMPUTED_VALUE"""),"Celestian Royal Boots")</f>
        <v>Celestian Royal Boots</v>
      </c>
      <c r="AJ128" s="2" t="str">
        <f>IFERROR(__xludf.DUMMYFUNCTION("""COMPUTED_VALUE"""),"Guard Call (Mob)")</f>
        <v>Guard Call (Mob)</v>
      </c>
      <c r="AK128" s="2" t="str">
        <f>IFERROR(__xludf.DUMMYFUNCTION("""COMPUTED_VALUE"""),"Arrest")</f>
        <v>Arrest</v>
      </c>
      <c r="AL128" s="2" t="str">
        <f>IFERROR(__xludf.DUMMYFUNCTION("""COMPUTED_VALUE"""),"Obliterating Light of Blindness")</f>
        <v>Obliterating Light of Blindness</v>
      </c>
      <c r="AM128" s="2" t="str">
        <f>IFERROR(__xludf.DUMMYFUNCTION("""COMPUTED_VALUE"""),"Alliance Guard")</f>
        <v>Alliance Guard</v>
      </c>
      <c r="AN128" s="2" t="str">
        <f>IFERROR(__xludf.DUMMYFUNCTION("""COMPUTED_VALUE"""),"Lock On")</f>
        <v>Lock On</v>
      </c>
      <c r="AO128" s="2" t="str">
        <f>IFERROR(__xludf.DUMMYFUNCTION("""COMPUTED_VALUE"""),"Neutralize")</f>
        <v>Neutralize</v>
      </c>
      <c r="AP128" s="2" t="str">
        <f>IFERROR(__xludf.DUMMYFUNCTION("""COMPUTED_VALUE"""),"Reflect")</f>
        <v>Reflect</v>
      </c>
      <c r="AQ128" s="2" t="str">
        <f>IFERROR(__xludf.DUMMYFUNCTION("""COMPUTED_VALUE"""),"Cancel")</f>
        <v>Cancel</v>
      </c>
      <c r="AR128" s="2" t="str">
        <f>IFERROR(__xludf.DUMMYFUNCTION("""COMPUTED_VALUE"""),"Confiscate")</f>
        <v>Confiscate</v>
      </c>
      <c r="AS128" s="2" t="str">
        <f>IFERROR(__xludf.DUMMYFUNCTION("""COMPUTED_VALUE"""),"Instant Regeneration")</f>
        <v>Instant Regeneration</v>
      </c>
      <c r="AT128" s="2" t="str">
        <f>IFERROR(__xludf.DUMMYFUNCTION("""COMPUTED_VALUE"""),"Berserk")</f>
        <v>Berserk</v>
      </c>
      <c r="AU128" s="2" t="str">
        <f>IFERROR(__xludf.DUMMYFUNCTION("""COMPUTED_VALUE"""),"Multi Ward")</f>
        <v>Multi Ward</v>
      </c>
      <c r="AV128" s="2" t="str">
        <f>IFERROR(__xludf.DUMMYFUNCTION("""COMPUTED_VALUE"""),"Teleport")</f>
        <v>Teleport</v>
      </c>
      <c r="AW128" s="2" t="str">
        <f>IFERROR(__xludf.DUMMYFUNCTION("""COMPUTED_VALUE"""),"Mass Destruction")</f>
        <v>Mass Destruction</v>
      </c>
      <c r="AX128" s="2" t="str">
        <f>IFERROR(__xludf.DUMMYFUNCTION("""COMPUTED_VALUE"""),"Chaincast")</f>
        <v>Chaincast</v>
      </c>
      <c r="AY128" s="2"/>
      <c r="AZ128" s="2"/>
      <c r="BA128" s="3"/>
      <c r="BB128" s="3"/>
      <c r="BC128" s="1"/>
      <c r="BD128" s="3">
        <f>IFERROR(__xludf.DUMMYFUNCTION("""COMPUTED_VALUE"""),20.0)</f>
        <v>20</v>
      </c>
      <c r="BE128" s="4">
        <f>IFERROR(__xludf.DUMMYFUNCTION("""COMPUTED_VALUE"""),20.0)</f>
        <v>20</v>
      </c>
      <c r="BF128" s="3" t="str">
        <f>IFERROR(__xludf.DUMMYFUNCTION("""COMPUTED_VALUE"""),"75% chance to be unaffected by any spells affecting this mob
75% chance to dodge any attack without fail.
75% chance to be unaffected by an item affecting this mob
Royal Guards Luck: Plus 10 can be added to the caster's d20 roll, if the enemy gets a hi"&amp;"gher roll then the caster the enemy must roll again once more.
Royal Awakening: When the caster dies 2 Guards Tier II will be summoned.
Items cannot be taken from this mob.")</f>
        <v>75% chance to be unaffected by any spells affecting this mob
75% chance to dodge any attack without fail.
75% chance to be unaffected by an item affecting this mob
Royal Guards Luck: Plus 10 can be added to the caster's d20 roll, if the enemy gets a higher roll then the caster the enemy must roll again once more.
Royal Awakening: When the caster dies 2 Guards Tier II will be summoned.
Items cannot be taken from this mob.</v>
      </c>
      <c r="BG128" s="3" t="str">
        <f>IFERROR(__xludf.DUMMYFUNCTION("""COMPUTED_VALUE"""),"All")</f>
        <v>All</v>
      </c>
      <c r="BH128" s="3" t="str">
        <f>IFERROR(__xludf.DUMMYFUNCTION("""COMPUTED_VALUE"""),"Land of Spira")</f>
        <v>Land of Spira</v>
      </c>
      <c r="BI128" s="3"/>
      <c r="BJ128" s="3"/>
      <c r="BK128" s="3"/>
      <c r="BL128" s="3" t="b">
        <f>IFERROR(__xludf.DUMMYFUNCTION("""COMPUTED_VALUE"""),FALSE)</f>
        <v>0</v>
      </c>
      <c r="BM128" s="3"/>
      <c r="BN128" s="3"/>
      <c r="BO128" s="3"/>
      <c r="BP128" s="3"/>
      <c r="BQ128" s="3"/>
      <c r="BR128" s="3"/>
      <c r="BS128" s="3"/>
      <c r="BT128" s="3"/>
      <c r="BU128" s="3"/>
      <c r="BV128" s="3"/>
      <c r="BW128" s="3"/>
    </row>
    <row r="129" ht="15.75" customHeight="1">
      <c r="A129" s="3" t="str">
        <f>IFERROR(__xludf.DUMMYFUNCTION("""COMPUTED_VALUE"""),"Guard Tier II")</f>
        <v>Guard Tier II</v>
      </c>
      <c r="B129" s="3">
        <f>IFERROR(__xludf.DUMMYFUNCTION("""COMPUTED_VALUE"""),1.0)</f>
        <v>1</v>
      </c>
      <c r="C129" s="3" t="str">
        <f>IFERROR(__xludf.DUMMYFUNCTION("""COMPUTED_VALUE"""),"Self-appointed pesky little shi*s of Spira that will stop at nothing to arrest you and make sure you serve your trial.")</f>
        <v>Self-appointed pesky little shi*s of Spira that will stop at nothing to arrest you and make sure you serve your trial.</v>
      </c>
      <c r="D129" s="12" t="str">
        <f>IFERROR(__xludf.DUMMYFUNCTION("""COMPUTED_VALUE"""),"Humanoid")</f>
        <v>Humanoid</v>
      </c>
      <c r="E129" s="12">
        <f>IFERROR(__xludf.DUMMYFUNCTION("""COMPUTED_VALUE"""),1010.0)</f>
        <v>1010</v>
      </c>
      <c r="F129" s="12">
        <f>IFERROR(__xludf.DUMMYFUNCTION("""COMPUTED_VALUE"""),1010.0)</f>
        <v>1010</v>
      </c>
      <c r="G129" s="12">
        <f>IFERROR(__xludf.DUMMYFUNCTION("""COMPUTED_VALUE"""),311010.0)</f>
        <v>311010</v>
      </c>
      <c r="H129" s="3">
        <f>IFERROR(__xludf.DUMMYFUNCTION("""COMPUTED_VALUE"""),15.0)</f>
        <v>15</v>
      </c>
      <c r="I129" s="3">
        <f>IFERROR(__xludf.DUMMYFUNCTION("""COMPUTED_VALUE"""),15.0)</f>
        <v>15</v>
      </c>
      <c r="J129" s="3">
        <f>IFERROR(__xludf.DUMMYFUNCTION("""COMPUTED_VALUE"""),0.0)</f>
        <v>0</v>
      </c>
      <c r="K129" s="3">
        <f>IFERROR(__xludf.DUMMYFUNCTION("""COMPUTED_VALUE"""),100.0)</f>
        <v>100</v>
      </c>
      <c r="L129" s="3">
        <f>IFERROR(__xludf.DUMMYFUNCTION("""COMPUTED_VALUE"""),100.0)</f>
        <v>100</v>
      </c>
      <c r="M129" s="3" t="str">
        <f>IFERROR(__xludf.DUMMYFUNCTION("""COMPUTED_VALUE"""),"Light:Immune, Dark:100, Order:Immune, Instant Death:Immune, Banishment:Immune, ")</f>
        <v>Light:Immune, Dark:100, Order:Immune, Instant Death:Immune, Banishment:Immune, </v>
      </c>
      <c r="N129" s="2" t="str">
        <f>IFERROR(__xludf.DUMMYFUNCTION("""COMPUTED_VALUE"""),"")</f>
        <v/>
      </c>
      <c r="O129" s="2" t="str">
        <f>IFERROR(__xludf.DUMMYFUNCTION("""COMPUTED_VALUE"""),"Royal Guard Helmet")</f>
        <v>Royal Guard Helmet</v>
      </c>
      <c r="P129" s="2"/>
      <c r="Q129" s="2"/>
      <c r="R129" s="2"/>
      <c r="S129" s="2" t="str">
        <f>IFERROR(__xludf.DUMMYFUNCTION("""COMPUTED_VALUE"""),"Royal Guard Pauldrons")</f>
        <v>Royal Guard Pauldrons</v>
      </c>
      <c r="T129" s="2" t="str">
        <f>IFERROR(__xludf.DUMMYFUNCTION("""COMPUTED_VALUE"""),"Royal Guard Chestplate")</f>
        <v>Royal Guard Chestplate</v>
      </c>
      <c r="U129" s="2" t="str">
        <f>IFERROR(__xludf.DUMMYFUNCTION("""COMPUTED_VALUE"""),"Royal Guard Vambraces")</f>
        <v>Royal Guard Vambraces</v>
      </c>
      <c r="V129" s="2" t="str">
        <f>IFERROR(__xludf.DUMMYFUNCTION("""COMPUTED_VALUE"""),"Royal Guard Shield")</f>
        <v>Royal Guard Shield</v>
      </c>
      <c r="W129" s="2" t="str">
        <f>IFERROR(__xludf.DUMMYFUNCTION("""COMPUTED_VALUE"""),"Royal Guard Axe")</f>
        <v>Royal Guard Axe</v>
      </c>
      <c r="X129" s="2"/>
      <c r="Y129" s="2"/>
      <c r="Z129" s="2"/>
      <c r="AA129" s="2"/>
      <c r="AB129" s="2"/>
      <c r="AC129" s="2"/>
      <c r="AD129" s="2"/>
      <c r="AE129" s="2"/>
      <c r="AF129" s="2"/>
      <c r="AG129" s="2"/>
      <c r="AH129" s="2" t="str">
        <f>IFERROR(__xludf.DUMMYFUNCTION("""COMPUTED_VALUE"""),"Royal Guard Greaves")</f>
        <v>Royal Guard Greaves</v>
      </c>
      <c r="AI129" s="2" t="str">
        <f>IFERROR(__xludf.DUMMYFUNCTION("""COMPUTED_VALUE"""),"Royal Guard Boots")</f>
        <v>Royal Guard Boots</v>
      </c>
      <c r="AJ129" s="2" t="str">
        <f>IFERROR(__xludf.DUMMYFUNCTION("""COMPUTED_VALUE"""),"Guard Call (Mob)")</f>
        <v>Guard Call (Mob)</v>
      </c>
      <c r="AK129" s="2" t="str">
        <f>IFERROR(__xludf.DUMMYFUNCTION("""COMPUTED_VALUE"""),"Arrest")</f>
        <v>Arrest</v>
      </c>
      <c r="AL129" s="2" t="str">
        <f>IFERROR(__xludf.DUMMYFUNCTION("""COMPUTED_VALUE"""),"Obliterating Light of Blindness")</f>
        <v>Obliterating Light of Blindness</v>
      </c>
      <c r="AM129" s="2" t="str">
        <f>IFERROR(__xludf.DUMMYFUNCTION("""COMPUTED_VALUE"""),"Alliance Guard")</f>
        <v>Alliance Guard</v>
      </c>
      <c r="AN129" s="2" t="str">
        <f>IFERROR(__xludf.DUMMYFUNCTION("""COMPUTED_VALUE"""),"Lock On")</f>
        <v>Lock On</v>
      </c>
      <c r="AO129" s="2" t="str">
        <f>IFERROR(__xludf.DUMMYFUNCTION("""COMPUTED_VALUE"""),"Neutralize")</f>
        <v>Neutralize</v>
      </c>
      <c r="AP129" s="2" t="str">
        <f>IFERROR(__xludf.DUMMYFUNCTION("""COMPUTED_VALUE"""),"Reflect")</f>
        <v>Reflect</v>
      </c>
      <c r="AQ129" s="2" t="str">
        <f>IFERROR(__xludf.DUMMYFUNCTION("""COMPUTED_VALUE"""),"Cancel")</f>
        <v>Cancel</v>
      </c>
      <c r="AR129" s="2" t="str">
        <f>IFERROR(__xludf.DUMMYFUNCTION("""COMPUTED_VALUE"""),"Confiscate")</f>
        <v>Confiscate</v>
      </c>
      <c r="AS129" s="2" t="str">
        <f>IFERROR(__xludf.DUMMYFUNCTION("""COMPUTED_VALUE"""),"Instant Regeneration")</f>
        <v>Instant Regeneration</v>
      </c>
      <c r="AT129" s="2" t="str">
        <f>IFERROR(__xludf.DUMMYFUNCTION("""COMPUTED_VALUE"""),"Berserk")</f>
        <v>Berserk</v>
      </c>
      <c r="AU129" s="2" t="str">
        <f>IFERROR(__xludf.DUMMYFUNCTION("""COMPUTED_VALUE"""),"Multi Ward")</f>
        <v>Multi Ward</v>
      </c>
      <c r="AV129" s="2" t="str">
        <f>IFERROR(__xludf.DUMMYFUNCTION("""COMPUTED_VALUE"""),"Teleport")</f>
        <v>Teleport</v>
      </c>
      <c r="AW129" s="2" t="str">
        <f>IFERROR(__xludf.DUMMYFUNCTION("""COMPUTED_VALUE"""),"Mass Destruction")</f>
        <v>Mass Destruction</v>
      </c>
      <c r="AX129" s="2" t="str">
        <f>IFERROR(__xludf.DUMMYFUNCTION("""COMPUTED_VALUE"""),"Chaincast")</f>
        <v>Chaincast</v>
      </c>
      <c r="AY129" s="2"/>
      <c r="AZ129" s="2"/>
      <c r="BA129" s="3"/>
      <c r="BB129" s="3"/>
      <c r="BC129" s="1"/>
      <c r="BD129" s="3">
        <f>IFERROR(__xludf.DUMMYFUNCTION("""COMPUTED_VALUE"""),15.0)</f>
        <v>15</v>
      </c>
      <c r="BE129" s="4">
        <f>IFERROR(__xludf.DUMMYFUNCTION("""COMPUTED_VALUE"""),15.0)</f>
        <v>15</v>
      </c>
      <c r="BF129" s="3" t="str">
        <f>IFERROR(__xludf.DUMMYFUNCTION("""COMPUTED_VALUE"""),"50% chance to dodge any attack without fail.
50% chance to be unaffected by any spells affecting this mob.
50% chance to be unaffected by an item affecting this mob.
Royal Guards Beckoning: Plus 10 can be added to the casters d20 roll.
Items cannot be"&amp;" taken from this mob.")</f>
        <v>50% chance to dodge any attack without fail.
50% chance to be unaffected by any spells affecting this mob.
50% chance to be unaffected by an item affecting this mob.
Royal Guards Beckoning: Plus 10 can be added to the casters d20 roll.
Items cannot be taken from this mob.</v>
      </c>
      <c r="BG129" s="3" t="str">
        <f>IFERROR(__xludf.DUMMYFUNCTION("""COMPUTED_VALUE"""),"All")</f>
        <v>All</v>
      </c>
      <c r="BH129" s="3" t="str">
        <f>IFERROR(__xludf.DUMMYFUNCTION("""COMPUTED_VALUE"""),"Land of Spira")</f>
        <v>Land of Spira</v>
      </c>
      <c r="BI129" s="3"/>
      <c r="BJ129" s="3"/>
      <c r="BK129" s="3"/>
      <c r="BL129" s="3" t="b">
        <f>IFERROR(__xludf.DUMMYFUNCTION("""COMPUTED_VALUE"""),FALSE)</f>
        <v>0</v>
      </c>
      <c r="BM129" s="3"/>
      <c r="BN129" s="3"/>
      <c r="BO129" s="3"/>
      <c r="BP129" s="3"/>
      <c r="BQ129" s="3"/>
      <c r="BR129" s="3"/>
      <c r="BS129" s="3"/>
      <c r="BT129" s="3"/>
      <c r="BU129" s="3"/>
      <c r="BV129" s="3"/>
      <c r="BW129" s="3"/>
    </row>
    <row r="130" ht="15.75" customHeight="1">
      <c r="A130" s="3" t="str">
        <f>IFERROR(__xludf.DUMMYFUNCTION("""COMPUTED_VALUE"""),"Guard Tier I")</f>
        <v>Guard Tier I</v>
      </c>
      <c r="B130" s="3">
        <f>IFERROR(__xludf.DUMMYFUNCTION("""COMPUTED_VALUE"""),1.0)</f>
        <v>1</v>
      </c>
      <c r="C130" s="3" t="str">
        <f>IFERROR(__xludf.DUMMYFUNCTION("""COMPUTED_VALUE"""),"Self-appointed pesky little shi*s of Spira that will stop at nothing to arrest you and make sure you serve your trial.")</f>
        <v>Self-appointed pesky little shi*s of Spira that will stop at nothing to arrest you and make sure you serve your trial.</v>
      </c>
      <c r="D130" s="12" t="str">
        <f>IFERROR(__xludf.DUMMYFUNCTION("""COMPUTED_VALUE"""),"Humanoid")</f>
        <v>Humanoid</v>
      </c>
      <c r="E130" s="12">
        <f>IFERROR(__xludf.DUMMYFUNCTION("""COMPUTED_VALUE"""),1010.0)</f>
        <v>1010</v>
      </c>
      <c r="F130" s="12">
        <f>IFERROR(__xludf.DUMMYFUNCTION("""COMPUTED_VALUE"""),1010.0)</f>
        <v>1010</v>
      </c>
      <c r="G130" s="12">
        <f>IFERROR(__xludf.DUMMYFUNCTION("""COMPUTED_VALUE"""),176010.0)</f>
        <v>176010</v>
      </c>
      <c r="H130" s="3">
        <f>IFERROR(__xludf.DUMMYFUNCTION("""COMPUTED_VALUE"""),10.0)</f>
        <v>10</v>
      </c>
      <c r="I130" s="3">
        <f>IFERROR(__xludf.DUMMYFUNCTION("""COMPUTED_VALUE"""),10.0)</f>
        <v>10</v>
      </c>
      <c r="J130" s="3">
        <f>IFERROR(__xludf.DUMMYFUNCTION("""COMPUTED_VALUE"""),0.0)</f>
        <v>0</v>
      </c>
      <c r="K130" s="3">
        <f>IFERROR(__xludf.DUMMYFUNCTION("""COMPUTED_VALUE"""),100.0)</f>
        <v>100</v>
      </c>
      <c r="L130" s="3">
        <f>IFERROR(__xludf.DUMMYFUNCTION("""COMPUTED_VALUE"""),100.0)</f>
        <v>100</v>
      </c>
      <c r="M130" s="3" t="str">
        <f>IFERROR(__xludf.DUMMYFUNCTION("""COMPUTED_VALUE"""),"Instant Death:Immune, Banishment:Immune, ")</f>
        <v>Instant Death:Immune, Banishment:Immune, </v>
      </c>
      <c r="N130" s="2" t="str">
        <f>IFERROR(__xludf.DUMMYFUNCTION("""COMPUTED_VALUE"""),"")</f>
        <v/>
      </c>
      <c r="O130" s="2" t="str">
        <f>IFERROR(__xludf.DUMMYFUNCTION("""COMPUTED_VALUE"""),"Guard Helmet")</f>
        <v>Guard Helmet</v>
      </c>
      <c r="P130" s="2"/>
      <c r="Q130" s="2"/>
      <c r="R130" s="2"/>
      <c r="S130" s="2" t="str">
        <f>IFERROR(__xludf.DUMMYFUNCTION("""COMPUTED_VALUE"""),"Guard Pauldrons")</f>
        <v>Guard Pauldrons</v>
      </c>
      <c r="T130" s="2" t="str">
        <f>IFERROR(__xludf.DUMMYFUNCTION("""COMPUTED_VALUE"""),"Guard Chestplate")</f>
        <v>Guard Chestplate</v>
      </c>
      <c r="U130" s="2" t="str">
        <f>IFERROR(__xludf.DUMMYFUNCTION("""COMPUTED_VALUE"""),"Guard Vambraces")</f>
        <v>Guard Vambraces</v>
      </c>
      <c r="V130" s="2" t="str">
        <f>IFERROR(__xludf.DUMMYFUNCTION("""COMPUTED_VALUE"""),"Guard Shield")</f>
        <v>Guard Shield</v>
      </c>
      <c r="W130" s="2" t="str">
        <f>IFERROR(__xludf.DUMMYFUNCTION("""COMPUTED_VALUE"""),"Guard Sword")</f>
        <v>Guard Sword</v>
      </c>
      <c r="X130" s="2"/>
      <c r="Y130" s="2"/>
      <c r="Z130" s="2"/>
      <c r="AA130" s="2"/>
      <c r="AB130" s="2"/>
      <c r="AC130" s="2"/>
      <c r="AD130" s="2"/>
      <c r="AE130" s="2"/>
      <c r="AF130" s="2"/>
      <c r="AG130" s="2"/>
      <c r="AH130" s="2" t="str">
        <f>IFERROR(__xludf.DUMMYFUNCTION("""COMPUTED_VALUE"""),"Guard Leggings")</f>
        <v>Guard Leggings</v>
      </c>
      <c r="AI130" s="2" t="str">
        <f>IFERROR(__xludf.DUMMYFUNCTION("""COMPUTED_VALUE"""),"Guard Boots")</f>
        <v>Guard Boots</v>
      </c>
      <c r="AJ130" s="2" t="str">
        <f>IFERROR(__xludf.DUMMYFUNCTION("""COMPUTED_VALUE"""),"Guard Call (Mob)")</f>
        <v>Guard Call (Mob)</v>
      </c>
      <c r="AK130" s="2" t="str">
        <f>IFERROR(__xludf.DUMMYFUNCTION("""COMPUTED_VALUE"""),"Arrest")</f>
        <v>Arrest</v>
      </c>
      <c r="AL130" s="2" t="str">
        <f>IFERROR(__xludf.DUMMYFUNCTION("""COMPUTED_VALUE"""),"Obliterating Light of Blindness")</f>
        <v>Obliterating Light of Blindness</v>
      </c>
      <c r="AM130" s="2" t="str">
        <f>IFERROR(__xludf.DUMMYFUNCTION("""COMPUTED_VALUE"""),"Alliance Guard")</f>
        <v>Alliance Guard</v>
      </c>
      <c r="AN130" s="2" t="str">
        <f>IFERROR(__xludf.DUMMYFUNCTION("""COMPUTED_VALUE"""),"Lock On")</f>
        <v>Lock On</v>
      </c>
      <c r="AO130" s="2" t="str">
        <f>IFERROR(__xludf.DUMMYFUNCTION("""COMPUTED_VALUE"""),"Neutralize")</f>
        <v>Neutralize</v>
      </c>
      <c r="AP130" s="2" t="str">
        <f>IFERROR(__xludf.DUMMYFUNCTION("""COMPUTED_VALUE"""),"Reflect")</f>
        <v>Reflect</v>
      </c>
      <c r="AQ130" s="2" t="str">
        <f>IFERROR(__xludf.DUMMYFUNCTION("""COMPUTED_VALUE"""),"Cancel")</f>
        <v>Cancel</v>
      </c>
      <c r="AR130" s="2" t="str">
        <f>IFERROR(__xludf.DUMMYFUNCTION("""COMPUTED_VALUE"""),"Confiscate")</f>
        <v>Confiscate</v>
      </c>
      <c r="AS130" s="2" t="str">
        <f>IFERROR(__xludf.DUMMYFUNCTION("""COMPUTED_VALUE"""),"Instant Regeneration")</f>
        <v>Instant Regeneration</v>
      </c>
      <c r="AT130" s="2" t="str">
        <f>IFERROR(__xludf.DUMMYFUNCTION("""COMPUTED_VALUE"""),"Berserk")</f>
        <v>Berserk</v>
      </c>
      <c r="AU130" s="2" t="str">
        <f>IFERROR(__xludf.DUMMYFUNCTION("""COMPUTED_VALUE"""),"Multi Ward")</f>
        <v>Multi Ward</v>
      </c>
      <c r="AV130" s="2" t="str">
        <f>IFERROR(__xludf.DUMMYFUNCTION("""COMPUTED_VALUE"""),"Teleport")</f>
        <v>Teleport</v>
      </c>
      <c r="AW130" s="2" t="str">
        <f>IFERROR(__xludf.DUMMYFUNCTION("""COMPUTED_VALUE"""),"Mass Destruction")</f>
        <v>Mass Destruction</v>
      </c>
      <c r="AX130" s="2" t="str">
        <f>IFERROR(__xludf.DUMMYFUNCTION("""COMPUTED_VALUE"""),"Chaincast")</f>
        <v>Chaincast</v>
      </c>
      <c r="AY130" s="2"/>
      <c r="AZ130" s="2"/>
      <c r="BA130" s="3"/>
      <c r="BB130" s="3"/>
      <c r="BC130" s="1"/>
      <c r="BD130" s="3">
        <f>IFERROR(__xludf.DUMMYFUNCTION("""COMPUTED_VALUE"""),10.0)</f>
        <v>10</v>
      </c>
      <c r="BE130" s="4">
        <f>IFERROR(__xludf.DUMMYFUNCTION("""COMPUTED_VALUE"""),10.0)</f>
        <v>10</v>
      </c>
      <c r="BF130" s="3" t="str">
        <f>IFERROR(__xludf.DUMMYFUNCTION("""COMPUTED_VALUE"""),"25% chance to dodge any attack without fail.
25% chance to be unaffected by any spells affecting this mob
25% chance to be unaffected by an item affecting this mob
Guards Reinforcement: Plus 5 can be added to the casters d20 roll.
Items cannot be taken"&amp;" from this mob.")</f>
        <v>25% chance to dodge any attack without fail.
25% chance to be unaffected by any spells affecting this mob
25% chance to be unaffected by an item affecting this mob
Guards Reinforcement: Plus 5 can be added to the casters d20 roll.
Items cannot be taken from this mob.</v>
      </c>
      <c r="BG130" s="3" t="str">
        <f>IFERROR(__xludf.DUMMYFUNCTION("""COMPUTED_VALUE"""),"All")</f>
        <v>All</v>
      </c>
      <c r="BH130" s="3" t="str">
        <f>IFERROR(__xludf.DUMMYFUNCTION("""COMPUTED_VALUE"""),"Land of Spira")</f>
        <v>Land of Spira</v>
      </c>
      <c r="BI130" s="3"/>
      <c r="BJ130" s="3"/>
      <c r="BK130" s="3"/>
      <c r="BL130" s="3" t="b">
        <f>IFERROR(__xludf.DUMMYFUNCTION("""COMPUTED_VALUE"""),FALSE)</f>
        <v>0</v>
      </c>
      <c r="BM130" s="3"/>
      <c r="BN130" s="3"/>
      <c r="BO130" s="3"/>
      <c r="BP130" s="3"/>
      <c r="BQ130" s="3"/>
      <c r="BR130" s="3"/>
      <c r="BS130" s="3"/>
      <c r="BT130" s="3"/>
      <c r="BU130" s="3"/>
      <c r="BV130" s="3"/>
      <c r="BW130" s="3"/>
    </row>
    <row r="131" ht="15.75" customHeight="1">
      <c r="A131" s="3" t="str">
        <f>IFERROR(__xludf.DUMMYFUNCTION("""COMPUTED_VALUE"""),"Guardian Of Nature")</f>
        <v>Guardian Of Nature</v>
      </c>
      <c r="B131" s="3">
        <f>IFERROR(__xludf.DUMMYFUNCTION("""COMPUTED_VALUE"""),1.0)</f>
        <v>1</v>
      </c>
      <c r="C131" s="3"/>
      <c r="D131" s="12" t="str">
        <f>IFERROR(__xludf.DUMMYFUNCTION("""COMPUTED_VALUE"""),"Fae")</f>
        <v>Fae</v>
      </c>
      <c r="E131" s="12">
        <f>IFERROR(__xludf.DUMMYFUNCTION("""COMPUTED_VALUE"""),1010.0)</f>
        <v>1010</v>
      </c>
      <c r="F131" s="12">
        <f>IFERROR(__xludf.DUMMYFUNCTION("""COMPUTED_VALUE"""),1010.0)</f>
        <v>1010</v>
      </c>
      <c r="G131" s="12">
        <f>IFERROR(__xludf.DUMMYFUNCTION("""COMPUTED_VALUE"""),1010.0)</f>
        <v>1010</v>
      </c>
      <c r="H131" s="3">
        <f>IFERROR(__xludf.DUMMYFUNCTION("""COMPUTED_VALUE"""),10.0)</f>
        <v>10</v>
      </c>
      <c r="I131" s="3">
        <f>IFERROR(__xludf.DUMMYFUNCTION("""COMPUTED_VALUE"""),0.0)</f>
        <v>0</v>
      </c>
      <c r="J131" s="3">
        <f>IFERROR(__xludf.DUMMYFUNCTION("""COMPUTED_VALUE"""),0.0)</f>
        <v>0</v>
      </c>
      <c r="K131" s="3">
        <f>IFERROR(__xludf.DUMMYFUNCTION("""COMPUTED_VALUE"""),100.0)</f>
        <v>100</v>
      </c>
      <c r="L131" s="3">
        <f>IFERROR(__xludf.DUMMYFUNCTION("""COMPUTED_VALUE"""),100.0)</f>
        <v>100</v>
      </c>
      <c r="M131" s="3" t="str">
        <f>IFERROR(__xludf.DUMMYFUNCTION("""COMPUTED_VALUE"""),"Nature:Immune, ")</f>
        <v>Nature:Immune, </v>
      </c>
      <c r="N131" s="2" t="str">
        <f>IFERROR(__xludf.DUMMYFUNCTION("""COMPUTED_VALUE"""),"")</f>
        <v/>
      </c>
      <c r="O131" s="2"/>
      <c r="P131" s="2"/>
      <c r="Q131" s="2"/>
      <c r="R131" s="2"/>
      <c r="S131" s="2"/>
      <c r="T131" s="2"/>
      <c r="U131" s="2"/>
      <c r="V131" s="2"/>
      <c r="W131" s="2"/>
      <c r="X131" s="2"/>
      <c r="Y131" s="2"/>
      <c r="Z131" s="2"/>
      <c r="AA131" s="2"/>
      <c r="AB131" s="2"/>
      <c r="AC131" s="2"/>
      <c r="AD131" s="2"/>
      <c r="AE131" s="2"/>
      <c r="AF131" s="2"/>
      <c r="AG131" s="2"/>
      <c r="AH131" s="2"/>
      <c r="AI131" s="2"/>
      <c r="AJ131" s="2" t="str">
        <f>IFERROR(__xludf.DUMMYFUNCTION("""COMPUTED_VALUE"""),"Nature ward")</f>
        <v>Nature ward</v>
      </c>
      <c r="AK131" s="2" t="str">
        <f>IFERROR(__xludf.DUMMYFUNCTION("""COMPUTED_VALUE"""),"Vine Whip")</f>
        <v>Vine Whip</v>
      </c>
      <c r="AL131" s="2" t="str">
        <f>IFERROR(__xludf.DUMMYFUNCTION("""COMPUTED_VALUE"""),"Vine Hold")</f>
        <v>Vine Hold</v>
      </c>
      <c r="AM131" s="2"/>
      <c r="AN131" s="2"/>
      <c r="AO131" s="2"/>
      <c r="AP131" s="2" t="str">
        <f>IFERROR(__xludf.DUMMYFUNCTION("""COMPUTED_VALUE"""),"Second Chance")</f>
        <v>Second Chance</v>
      </c>
      <c r="AQ131" s="2"/>
      <c r="AR131" s="2"/>
      <c r="AS131" s="2"/>
      <c r="AT131" s="2"/>
      <c r="AU131" s="2"/>
      <c r="AV131" s="2"/>
      <c r="AW131" s="2"/>
      <c r="AX131" s="2"/>
      <c r="AY131" s="2"/>
      <c r="AZ131" s="2"/>
      <c r="BA131" s="3"/>
      <c r="BB131" s="3"/>
      <c r="BC131" s="1"/>
      <c r="BD131" s="3">
        <f>IFERROR(__xludf.DUMMYFUNCTION("""COMPUTED_VALUE"""),0.0)</f>
        <v>0</v>
      </c>
      <c r="BE131" s="4">
        <f>IFERROR(__xludf.DUMMYFUNCTION("""COMPUTED_VALUE"""),10.0)</f>
        <v>10</v>
      </c>
      <c r="BF131" s="3"/>
      <c r="BG131" s="3" t="str">
        <f>IFERROR(__xludf.DUMMYFUNCTION("""COMPUTED_VALUE"""),"Forest")</f>
        <v>Forest</v>
      </c>
      <c r="BH131" s="3" t="str">
        <f>IFERROR(__xludf.DUMMYFUNCTION("""COMPUTED_VALUE"""),"Land of Spira")</f>
        <v>Land of Spira</v>
      </c>
      <c r="BI131" s="3"/>
      <c r="BJ131" s="3"/>
      <c r="BK131" s="3"/>
      <c r="BL131" s="3" t="b">
        <f>IFERROR(__xludf.DUMMYFUNCTION("""COMPUTED_VALUE"""),FALSE)</f>
        <v>0</v>
      </c>
      <c r="BM131" s="3"/>
      <c r="BN131" s="3"/>
      <c r="BO131" s="3"/>
      <c r="BP131" s="3"/>
      <c r="BQ131" s="3"/>
      <c r="BR131" s="3"/>
      <c r="BS131" s="3"/>
      <c r="BT131" s="3"/>
      <c r="BU131" s="3"/>
      <c r="BV131" s="3"/>
      <c r="BW131" s="3"/>
    </row>
    <row r="132" ht="15.75" customHeight="1">
      <c r="A132" s="3" t="str">
        <f>IFERROR(__xludf.DUMMYFUNCTION("""COMPUTED_VALUE"""),"Gytras: The Lord Of Jellyfish")</f>
        <v>Gytras: The Lord Of Jellyfish</v>
      </c>
      <c r="B132" s="3">
        <f>IFERROR(__xludf.DUMMYFUNCTION("""COMPUTED_VALUE"""),1.0)</f>
        <v>1</v>
      </c>
      <c r="C132" s="3"/>
      <c r="D132" s="12" t="str">
        <f>IFERROR(__xludf.DUMMYFUNCTION("""COMPUTED_VALUE"""),"Beast")</f>
        <v>Beast</v>
      </c>
      <c r="E132" s="12">
        <f>IFERROR(__xludf.DUMMYFUNCTION("""COMPUTED_VALUE"""),1010.0)</f>
        <v>1010</v>
      </c>
      <c r="F132" s="12">
        <f>IFERROR(__xludf.DUMMYFUNCTION("""COMPUTED_VALUE"""),1010.0)</f>
        <v>1010</v>
      </c>
      <c r="G132" s="12">
        <f>IFERROR(__xludf.DUMMYFUNCTION("""COMPUTED_VALUE"""),1010.0)</f>
        <v>1010</v>
      </c>
      <c r="H132" s="3">
        <f>IFERROR(__xludf.DUMMYFUNCTION("""COMPUTED_VALUE"""),10.0)</f>
        <v>10</v>
      </c>
      <c r="I132" s="3">
        <f>IFERROR(__xludf.DUMMYFUNCTION("""COMPUTED_VALUE"""),0.0)</f>
        <v>0</v>
      </c>
      <c r="J132" s="3">
        <f>IFERROR(__xludf.DUMMYFUNCTION("""COMPUTED_VALUE"""),0.0)</f>
        <v>0</v>
      </c>
      <c r="K132" s="3">
        <f>IFERROR(__xludf.DUMMYFUNCTION("""COMPUTED_VALUE"""),100.0)</f>
        <v>100</v>
      </c>
      <c r="L132" s="3">
        <f>IFERROR(__xludf.DUMMYFUNCTION("""COMPUTED_VALUE"""),100.0)</f>
        <v>100</v>
      </c>
      <c r="M132" s="3" t="str">
        <f>IFERROR(__xludf.DUMMYFUNCTION("""COMPUTED_VALUE"""),"Fire:Immune, Water:100, Storm:100, ")</f>
        <v>Fire:Immune, Water:100, Storm:100, </v>
      </c>
      <c r="N132" s="2" t="str">
        <f>IFERROR(__xludf.DUMMYFUNCTION("""COMPUTED_VALUE"""),"Nature:100, ")</f>
        <v>Nature:100, </v>
      </c>
      <c r="O132" s="2"/>
      <c r="P132" s="2"/>
      <c r="Q132" s="2"/>
      <c r="R132" s="2"/>
      <c r="S132" s="2"/>
      <c r="T132" s="2"/>
      <c r="U132" s="2"/>
      <c r="V132" s="2"/>
      <c r="W132" s="2"/>
      <c r="X132" s="2"/>
      <c r="Y132" s="2"/>
      <c r="Z132" s="2"/>
      <c r="AA132" s="2"/>
      <c r="AB132" s="2"/>
      <c r="AC132" s="2"/>
      <c r="AD132" s="2"/>
      <c r="AE132" s="2"/>
      <c r="AF132" s="2"/>
      <c r="AG132" s="2"/>
      <c r="AH132" s="2"/>
      <c r="AI132" s="2"/>
      <c r="AJ132" s="2" t="str">
        <f>IFERROR(__xludf.DUMMYFUNCTION("""COMPUTED_VALUE"""),"Chaincast")</f>
        <v>Chaincast</v>
      </c>
      <c r="AK132" s="2" t="str">
        <f>IFERROR(__xludf.DUMMYFUNCTION("""COMPUTED_VALUE"""),"Crashing Waves")</f>
        <v>Crashing Waves</v>
      </c>
      <c r="AL132" s="2" t="str">
        <f>IFERROR(__xludf.DUMMYFUNCTION("""COMPUTED_VALUE"""),"Tsunami")</f>
        <v>Tsunami</v>
      </c>
      <c r="AM132" s="2" t="str">
        <f>IFERROR(__xludf.DUMMYFUNCTION("""COMPUTED_VALUE"""),"Stun Negation")</f>
        <v>Stun Negation</v>
      </c>
      <c r="AN132" s="2" t="str">
        <f>IFERROR(__xludf.DUMMYFUNCTION("""COMPUTED_VALUE"""),"Shocking strike")</f>
        <v>Shocking strike</v>
      </c>
      <c r="AO132" s="2" t="str">
        <f>IFERROR(__xludf.DUMMYFUNCTION("""COMPUTED_VALUE"""),"Eel Nado")</f>
        <v>Eel Nado</v>
      </c>
      <c r="AP132" s="2" t="str">
        <f>IFERROR(__xludf.DUMMYFUNCTION("""COMPUTED_VALUE"""),"Stun Negation")</f>
        <v>Stun Negation</v>
      </c>
      <c r="AQ132" s="2" t="str">
        <f>IFERROR(__xludf.DUMMYFUNCTION("""COMPUTED_VALUE"""),"Mass Destruction")</f>
        <v>Mass Destruction</v>
      </c>
      <c r="AR132" s="2" t="str">
        <f>IFERROR(__xludf.DUMMYFUNCTION("""COMPUTED_VALUE"""),"Multishot")</f>
        <v>Multishot</v>
      </c>
      <c r="AS132" s="2" t="str">
        <f>IFERROR(__xludf.DUMMYFUNCTION("""COMPUTED_VALUE"""),"Berserk")</f>
        <v>Berserk</v>
      </c>
      <c r="AT132" s="2" t="str">
        <f>IFERROR(__xludf.DUMMYFUNCTION("""COMPUTED_VALUE"""),"Stinger ")</f>
        <v>Stinger </v>
      </c>
      <c r="AU132" s="2"/>
      <c r="AV132" s="2"/>
      <c r="AW132" s="2"/>
      <c r="AX132" s="2"/>
      <c r="AY132" s="2"/>
      <c r="AZ132" s="2"/>
      <c r="BA132" s="3"/>
      <c r="BB132" s="3"/>
      <c r="BC132" s="1"/>
      <c r="BD132" s="3">
        <f>IFERROR(__xludf.DUMMYFUNCTION("""COMPUTED_VALUE"""),0.0)</f>
        <v>0</v>
      </c>
      <c r="BE132" s="4">
        <f>IFERROR(__xludf.DUMMYFUNCTION("""COMPUTED_VALUE"""),10.0)</f>
        <v>10</v>
      </c>
      <c r="BF132" s="3" t="str">
        <f>IFERROR(__xludf.DUMMYFUNCTION("""COMPUTED_VALUE"""),"75% chance to be unaffected by any spells affecting this mob
Luck of the Sea II: +10 can be added to this mobs rolls.")</f>
        <v>75% chance to be unaffected by any spells affecting this mob
Luck of the Sea II: +10 can be added to this mobs rolls.</v>
      </c>
      <c r="BG132" s="3" t="str">
        <f>IFERROR(__xludf.DUMMYFUNCTION("""COMPUTED_VALUE"""),"Ocean")</f>
        <v>Ocean</v>
      </c>
      <c r="BH132" s="3" t="str">
        <f>IFERROR(__xludf.DUMMYFUNCTION("""COMPUTED_VALUE"""),"Land of Spira")</f>
        <v>Land of Spira</v>
      </c>
      <c r="BI132" s="3"/>
      <c r="BJ132" s="3"/>
      <c r="BK132" s="3"/>
      <c r="BL132" s="3" t="b">
        <f>IFERROR(__xludf.DUMMYFUNCTION("""COMPUTED_VALUE"""),FALSE)</f>
        <v>0</v>
      </c>
      <c r="BM132" s="3"/>
      <c r="BN132" s="3"/>
      <c r="BO132" s="3"/>
      <c r="BP132" s="3"/>
      <c r="BQ132" s="3"/>
      <c r="BR132" s="3"/>
      <c r="BS132" s="3"/>
      <c r="BT132" s="3"/>
      <c r="BU132" s="3"/>
      <c r="BV132" s="3"/>
      <c r="BW132" s="3"/>
    </row>
    <row r="133" ht="15.75" customHeight="1">
      <c r="A133" s="3" t="str">
        <f>IFERROR(__xludf.DUMMYFUNCTION("""COMPUTED_VALUE"""),"Haunted Scarecrow")</f>
        <v>Haunted Scarecrow</v>
      </c>
      <c r="B133" s="3">
        <f>IFERROR(__xludf.DUMMYFUNCTION("""COMPUTED_VALUE"""),1.0)</f>
        <v>1</v>
      </c>
      <c r="C133" s="3"/>
      <c r="D133" s="3" t="str">
        <f>IFERROR(__xludf.DUMMYFUNCTION("""COMPUTED_VALUE"""),"Undead")</f>
        <v>Undead</v>
      </c>
      <c r="E133" s="3">
        <f>IFERROR(__xludf.DUMMYFUNCTION("""COMPUTED_VALUE"""),1010.0)</f>
        <v>1010</v>
      </c>
      <c r="F133" s="12">
        <f>IFERROR(__xludf.DUMMYFUNCTION("""COMPUTED_VALUE"""),1010.0)</f>
        <v>1010</v>
      </c>
      <c r="G133" s="3">
        <f>IFERROR(__xludf.DUMMYFUNCTION("""COMPUTED_VALUE"""),1010.0)</f>
        <v>1010</v>
      </c>
      <c r="H133" s="3">
        <f>IFERROR(__xludf.DUMMYFUNCTION("""COMPUTED_VALUE"""),10.0)</f>
        <v>10</v>
      </c>
      <c r="I133" s="3">
        <f>IFERROR(__xludf.DUMMYFUNCTION("""COMPUTED_VALUE"""),0.0)</f>
        <v>0</v>
      </c>
      <c r="J133" s="3">
        <f>IFERROR(__xludf.DUMMYFUNCTION("""COMPUTED_VALUE"""),0.0)</f>
        <v>0</v>
      </c>
      <c r="K133" s="3">
        <f>IFERROR(__xludf.DUMMYFUNCTION("""COMPUTED_VALUE"""),100.0)</f>
        <v>100</v>
      </c>
      <c r="L133" s="3">
        <f>IFERROR(__xludf.DUMMYFUNCTION("""COMPUTED_VALUE"""),100.0)</f>
        <v>100</v>
      </c>
      <c r="M133" s="3" t="str">
        <f>IFERROR(__xludf.DUMMYFUNCTION("""COMPUTED_VALUE"""),"Dark:Immune, ")</f>
        <v>Dark:Immune, </v>
      </c>
      <c r="N133" s="2" t="str">
        <f>IFERROR(__xludf.DUMMYFUNCTION("""COMPUTED_VALUE"""),"Fire:100, Light:100, ")</f>
        <v>Fire:100, Light:100, </v>
      </c>
      <c r="O133" s="2"/>
      <c r="P133" s="2"/>
      <c r="Q133" s="2"/>
      <c r="R133" s="2"/>
      <c r="S133" s="2"/>
      <c r="T133" s="2"/>
      <c r="U133" s="2"/>
      <c r="V133" s="2"/>
      <c r="W133" s="2"/>
      <c r="X133" s="2"/>
      <c r="Y133" s="2"/>
      <c r="Z133" s="2"/>
      <c r="AA133" s="2"/>
      <c r="AB133" s="2"/>
      <c r="AC133" s="2"/>
      <c r="AD133" s="2"/>
      <c r="AE133" s="2"/>
      <c r="AF133" s="2"/>
      <c r="AG133" s="2"/>
      <c r="AH133" s="2"/>
      <c r="AI133" s="2"/>
      <c r="AJ133" s="2" t="str">
        <f>IFERROR(__xludf.DUMMYFUNCTION("""COMPUTED_VALUE"""),"Flame Thrower")</f>
        <v>Flame Thrower</v>
      </c>
      <c r="AK133" s="2" t="str">
        <f>IFERROR(__xludf.DUMMYFUNCTION("""COMPUTED_VALUE"""),"Dark Curse")</f>
        <v>Dark Curse</v>
      </c>
      <c r="AL133" s="2" t="str">
        <f>IFERROR(__xludf.DUMMYFUNCTION("""COMPUTED_VALUE"""),"Conceal")</f>
        <v>Conceal</v>
      </c>
      <c r="AM133" s="2" t="str">
        <f>IFERROR(__xludf.DUMMYFUNCTION("""COMPUTED_VALUE"""),"Taunt")</f>
        <v>Taunt</v>
      </c>
      <c r="AN133" s="2"/>
      <c r="AO133" s="2"/>
      <c r="AP133" s="2"/>
      <c r="AQ133" s="2"/>
      <c r="AR133" s="2"/>
      <c r="AS133" s="2"/>
      <c r="AT133" s="2"/>
      <c r="AU133" s="2"/>
      <c r="AV133" s="2"/>
      <c r="AW133" s="2"/>
      <c r="AX133" s="2"/>
      <c r="AY133" s="2"/>
      <c r="AZ133" s="2"/>
      <c r="BA133" s="3"/>
      <c r="BB133" s="3"/>
      <c r="BC133" s="1"/>
      <c r="BD133" s="3">
        <f>IFERROR(__xludf.DUMMYFUNCTION("""COMPUTED_VALUE"""),0.0)</f>
        <v>0</v>
      </c>
      <c r="BE133" s="4">
        <f>IFERROR(__xludf.DUMMYFUNCTION("""COMPUTED_VALUE"""),10.0)</f>
        <v>10</v>
      </c>
      <c r="BF133" s="3" t="str">
        <f>IFERROR(__xludf.DUMMYFUNCTION("""COMPUTED_VALUE"""),"Revenge of The Haunted: 50% chance to revive after death. ")</f>
        <v>Revenge of The Haunted: 50% chance to revive after death. </v>
      </c>
      <c r="BG133" s="3" t="str">
        <f>IFERROR(__xludf.DUMMYFUNCTION("""COMPUTED_VALUE"""),"All")</f>
        <v>All</v>
      </c>
      <c r="BH133" s="3" t="str">
        <f>IFERROR(__xludf.DUMMYFUNCTION("""COMPUTED_VALUE"""),"Land of Spira")</f>
        <v>Land of Spira</v>
      </c>
      <c r="BI133" s="3"/>
      <c r="BJ133" s="3"/>
      <c r="BK133" s="3"/>
      <c r="BL133" s="3" t="b">
        <f>IFERROR(__xludf.DUMMYFUNCTION("""COMPUTED_VALUE"""),FALSE)</f>
        <v>0</v>
      </c>
      <c r="BM133" s="3"/>
      <c r="BN133" s="3"/>
      <c r="BO133" s="3"/>
      <c r="BP133" s="3"/>
      <c r="BQ133" s="3"/>
      <c r="BR133" s="3"/>
      <c r="BS133" s="3"/>
      <c r="BT133" s="3"/>
      <c r="BU133" s="3"/>
      <c r="BV133" s="3"/>
      <c r="BW133" s="3"/>
    </row>
    <row r="134" ht="15.75" customHeight="1">
      <c r="A134" s="3" t="str">
        <f>IFERROR(__xludf.DUMMYFUNCTION("""COMPUTED_VALUE"""),"Headless Horseman ")</f>
        <v>Headless Horseman </v>
      </c>
      <c r="B134" s="3">
        <f>IFERROR(__xludf.DUMMYFUNCTION("""COMPUTED_VALUE"""),1.0)</f>
        <v>1</v>
      </c>
      <c r="C134" s="3"/>
      <c r="D134" s="12" t="str">
        <f>IFERROR(__xludf.DUMMYFUNCTION("""COMPUTED_VALUE"""),"Undead")</f>
        <v>Undead</v>
      </c>
      <c r="E134" s="12">
        <f>IFERROR(__xludf.DUMMYFUNCTION("""COMPUTED_VALUE"""),1010.0)</f>
        <v>1010</v>
      </c>
      <c r="F134" s="12">
        <f>IFERROR(__xludf.DUMMYFUNCTION("""COMPUTED_VALUE"""),1010.0)</f>
        <v>1010</v>
      </c>
      <c r="G134" s="12">
        <f>IFERROR(__xludf.DUMMYFUNCTION("""COMPUTED_VALUE"""),1010.0)</f>
        <v>1010</v>
      </c>
      <c r="H134" s="3">
        <f>IFERROR(__xludf.DUMMYFUNCTION("""COMPUTED_VALUE"""),10.0)</f>
        <v>10</v>
      </c>
      <c r="I134" s="3">
        <f>IFERROR(__xludf.DUMMYFUNCTION("""COMPUTED_VALUE"""),0.0)</f>
        <v>0</v>
      </c>
      <c r="J134" s="3">
        <f>IFERROR(__xludf.DUMMYFUNCTION("""COMPUTED_VALUE"""),0.0)</f>
        <v>0</v>
      </c>
      <c r="K134" s="3">
        <f>IFERROR(__xludf.DUMMYFUNCTION("""COMPUTED_VALUE"""),100.0)</f>
        <v>100</v>
      </c>
      <c r="L134" s="3">
        <f>IFERROR(__xludf.DUMMYFUNCTION("""COMPUTED_VALUE"""),100.0)</f>
        <v>100</v>
      </c>
      <c r="M134" s="3" t="str">
        <f>IFERROR(__xludf.DUMMYFUNCTION("""COMPUTED_VALUE"""),"Dark:Immune, Chaos:Immune, Voodoo:Immune, Instant Death:Immune, Banishment:Immune, ")</f>
        <v>Dark:Immune, Chaos:Immune, Voodoo:Immune, Instant Death:Immune, Banishment:Immune, </v>
      </c>
      <c r="N134" s="2" t="str">
        <f>IFERROR(__xludf.DUMMYFUNCTION("""COMPUTED_VALUE"""),"Fire:100, Light:100, Order:100, ")</f>
        <v>Fire:100, Light:100, Order:100, </v>
      </c>
      <c r="O134" s="2" t="str">
        <f>IFERROR(__xludf.DUMMYFUNCTION("""COMPUTED_VALUE"""),"Jack’o lantern helmet of Swampy Hallow")</f>
        <v>Jack’o lantern helmet of Swampy Hallow</v>
      </c>
      <c r="P134" s="2"/>
      <c r="Q134" s="2"/>
      <c r="R134" s="2"/>
      <c r="S134" s="2"/>
      <c r="T134" s="2"/>
      <c r="U134" s="2"/>
      <c r="V134" s="2"/>
      <c r="W134" s="2"/>
      <c r="X134" s="2"/>
      <c r="Y134" s="2"/>
      <c r="Z134" s="2"/>
      <c r="AA134" s="2"/>
      <c r="AB134" s="2"/>
      <c r="AC134" s="2"/>
      <c r="AD134" s="2"/>
      <c r="AE134" s="2"/>
      <c r="AF134" s="2"/>
      <c r="AG134" s="2"/>
      <c r="AH134" s="2"/>
      <c r="AI134" s="2"/>
      <c r="AJ134" s="2" t="str">
        <f>IFERROR(__xludf.DUMMYFUNCTION("""COMPUTED_VALUE"""),"Darkest Abyss")</f>
        <v>Darkest Abyss</v>
      </c>
      <c r="AK134" s="2" t="str">
        <f>IFERROR(__xludf.DUMMYFUNCTION("""COMPUTED_VALUE"""),"Dark Curse")</f>
        <v>Dark Curse</v>
      </c>
      <c r="AL134" s="2" t="str">
        <f>IFERROR(__xludf.DUMMYFUNCTION("""COMPUTED_VALUE"""),"A Deal With The Spirit World")</f>
        <v>A Deal With The Spirit World</v>
      </c>
      <c r="AM134" s="2" t="str">
        <f>IFERROR(__xludf.DUMMYFUNCTION("""COMPUTED_VALUE"""),"Soul Trap")</f>
        <v>Soul Trap</v>
      </c>
      <c r="AN134" s="2" t="str">
        <f>IFERROR(__xludf.DUMMYFUNCTION("""COMPUTED_VALUE"""),"Chaotic Shadow Storm")</f>
        <v>Chaotic Shadow Storm</v>
      </c>
      <c r="AO134" s="2" t="str">
        <f>IFERROR(__xludf.DUMMYFUNCTION("""COMPUTED_VALUE"""),"Dimension Portal")</f>
        <v>Dimension Portal</v>
      </c>
      <c r="AP134" s="2" t="str">
        <f>IFERROR(__xludf.DUMMYFUNCTION("""COMPUTED_VALUE"""),"Meteor Shower")</f>
        <v>Meteor Shower</v>
      </c>
      <c r="AQ134" s="2" t="str">
        <f>IFERROR(__xludf.DUMMYFUNCTION("""COMPUTED_VALUE"""),"Flame Sanctuary")</f>
        <v>Flame Sanctuary</v>
      </c>
      <c r="AR134" s="2" t="str">
        <f>IFERROR(__xludf.DUMMYFUNCTION("""COMPUTED_VALUE"""),"Chaincast")</f>
        <v>Chaincast</v>
      </c>
      <c r="AS134" s="2" t="str">
        <f>IFERROR(__xludf.DUMMYFUNCTION("""COMPUTED_VALUE"""),"Celestial Wrath")</f>
        <v>Celestial Wrath</v>
      </c>
      <c r="AT134" s="2" t="str">
        <f>IFERROR(__xludf.DUMMYFUNCTION("""COMPUTED_VALUE"""),"Celestial Increase II")</f>
        <v>Celestial Increase II</v>
      </c>
      <c r="AU134" s="2"/>
      <c r="AV134" s="2"/>
      <c r="AW134" s="2"/>
      <c r="AX134" s="2"/>
      <c r="AY134" s="2"/>
      <c r="AZ134" s="2"/>
      <c r="BA134" s="3"/>
      <c r="BB134" s="3"/>
      <c r="BC134" s="1"/>
      <c r="BD134" s="3">
        <f>IFERROR(__xludf.DUMMYFUNCTION("""COMPUTED_VALUE"""),0.0)</f>
        <v>0</v>
      </c>
      <c r="BE134" s="4">
        <f>IFERROR(__xludf.DUMMYFUNCTION("""COMPUTED_VALUE"""),10.0)</f>
        <v>10</v>
      </c>
      <c r="BF134"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Undead: will live on 1 hp unless hit with light, fire, or celestial.")</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Undead: will live on 1 hp unless hit with light, fire, or celestial.</v>
      </c>
      <c r="BG134" s="3" t="str">
        <f>IFERROR(__xludf.DUMMYFUNCTION("""COMPUTED_VALUE"""),"Dungeon")</f>
        <v>Dungeon</v>
      </c>
      <c r="BH134" s="3" t="str">
        <f>IFERROR(__xludf.DUMMYFUNCTION("""COMPUTED_VALUE"""),"Land of Spira")</f>
        <v>Land of Spira</v>
      </c>
      <c r="BI134" s="3"/>
      <c r="BJ134" s="3"/>
      <c r="BK134" s="3"/>
      <c r="BL134" s="3" t="b">
        <f>IFERROR(__xludf.DUMMYFUNCTION("""COMPUTED_VALUE"""),FALSE)</f>
        <v>0</v>
      </c>
      <c r="BM134" s="3"/>
      <c r="BN134" s="3"/>
      <c r="BO134" s="3"/>
      <c r="BP134" s="3"/>
      <c r="BQ134" s="3"/>
      <c r="BR134" s="3"/>
      <c r="BS134" s="3"/>
      <c r="BT134" s="3"/>
      <c r="BU134" s="3"/>
      <c r="BV134" s="3"/>
      <c r="BW134" s="3"/>
    </row>
    <row r="135" ht="15.75" customHeight="1">
      <c r="A135" s="3" t="str">
        <f>IFERROR(__xludf.DUMMYFUNCTION("""COMPUTED_VALUE"""),"Heatmore Flame Golem")</f>
        <v>Heatmore Flame Golem</v>
      </c>
      <c r="B135" s="3">
        <f>IFERROR(__xludf.DUMMYFUNCTION("""COMPUTED_VALUE"""),1.0)</f>
        <v>1</v>
      </c>
      <c r="C135" s="3"/>
      <c r="D135" s="12" t="str">
        <f>IFERROR(__xludf.DUMMYFUNCTION("""COMPUTED_VALUE"""),"Construct")</f>
        <v>Construct</v>
      </c>
      <c r="E135" s="12">
        <f>IFERROR(__xludf.DUMMYFUNCTION("""COMPUTED_VALUE"""),1010.0)</f>
        <v>1010</v>
      </c>
      <c r="F135" s="12">
        <f>IFERROR(__xludf.DUMMYFUNCTION("""COMPUTED_VALUE"""),1010.0)</f>
        <v>1010</v>
      </c>
      <c r="G135" s="12">
        <f>IFERROR(__xludf.DUMMYFUNCTION("""COMPUTED_VALUE"""),1010.0)</f>
        <v>1010</v>
      </c>
      <c r="H135" s="3">
        <f>IFERROR(__xludf.DUMMYFUNCTION("""COMPUTED_VALUE"""),10.0)</f>
        <v>10</v>
      </c>
      <c r="I135" s="3">
        <f>IFERROR(__xludf.DUMMYFUNCTION("""COMPUTED_VALUE"""),0.0)</f>
        <v>0</v>
      </c>
      <c r="J135" s="3">
        <f>IFERROR(__xludf.DUMMYFUNCTION("""COMPUTED_VALUE"""),0.0)</f>
        <v>0</v>
      </c>
      <c r="K135" s="3">
        <f>IFERROR(__xludf.DUMMYFUNCTION("""COMPUTED_VALUE"""),100.0)</f>
        <v>100</v>
      </c>
      <c r="L135" s="3">
        <f>IFERROR(__xludf.DUMMYFUNCTION("""COMPUTED_VALUE"""),100.0)</f>
        <v>100</v>
      </c>
      <c r="M135" s="3" t="str">
        <f>IFERROR(__xludf.DUMMYFUNCTION("""COMPUTED_VALUE"""),"Fire:100, Nature:Immune, Instant Death:Immune, ")</f>
        <v>Fire:100, Nature:Immune, Instant Death:Immune, </v>
      </c>
      <c r="N135" s="2" t="str">
        <f>IFERROR(__xludf.DUMMYFUNCTION("""COMPUTED_VALUE"""),"Water:100, ")</f>
        <v>Water:100, </v>
      </c>
      <c r="O135" s="2" t="str">
        <f>IFERROR(__xludf.DUMMYFUNCTION("""COMPUTED_VALUE"""),"Heatmore Flame Golem Head")</f>
        <v>Heatmore Flame Golem Head</v>
      </c>
      <c r="P135" s="2"/>
      <c r="Q135" s="2"/>
      <c r="R135" s="2"/>
      <c r="S135" s="2"/>
      <c r="T135" s="2"/>
      <c r="U135" s="2"/>
      <c r="V135" s="2"/>
      <c r="W135" s="2" t="str">
        <f>IFERROR(__xludf.DUMMYFUNCTION("""COMPUTED_VALUE"""),"Lava Longsword")</f>
        <v>Lava Longsword</v>
      </c>
      <c r="X135" s="2"/>
      <c r="Y135" s="2"/>
      <c r="Z135" s="2"/>
      <c r="AA135" s="2"/>
      <c r="AB135" s="2"/>
      <c r="AC135" s="2"/>
      <c r="AD135" s="2"/>
      <c r="AE135" s="2"/>
      <c r="AF135" s="2"/>
      <c r="AG135" s="2"/>
      <c r="AH135" s="2"/>
      <c r="AI135" s="2"/>
      <c r="AJ135" s="2" t="str">
        <f>IFERROR(__xludf.DUMMYFUNCTION("""COMPUTED_VALUE"""),"Flaming Golem Smash")</f>
        <v>Flaming Golem Smash</v>
      </c>
      <c r="AK135" s="2" t="str">
        <f>IFERROR(__xludf.DUMMYFUNCTION("""COMPUTED_VALUE"""),"Royal Golem Flamequake")</f>
        <v>Royal Golem Flamequake</v>
      </c>
      <c r="AL135" s="2" t="str">
        <f>IFERROR(__xludf.DUMMYFUNCTION("""COMPUTED_VALUE"""),"Earth Punch")</f>
        <v>Earth Punch</v>
      </c>
      <c r="AM135" s="2" t="str">
        <f>IFERROR(__xludf.DUMMYFUNCTION("""COMPUTED_VALUE"""),"Last resort")</f>
        <v>Last resort</v>
      </c>
      <c r="AN135" s="2" t="str">
        <f>IFERROR(__xludf.DUMMYFUNCTION("""COMPUTED_VALUE"""),"Volcanic wall")</f>
        <v>Volcanic wall</v>
      </c>
      <c r="AO135" s="2" t="str">
        <f>IFERROR(__xludf.DUMMYFUNCTION("""COMPUTED_VALUE"""),"Earthquake")</f>
        <v>Earthquake</v>
      </c>
      <c r="AP135" s="2"/>
      <c r="AQ135" s="2"/>
      <c r="AR135" s="2"/>
      <c r="AS135" s="2"/>
      <c r="AT135" s="2"/>
      <c r="AU135" s="2"/>
      <c r="AV135" s="2"/>
      <c r="AW135" s="2"/>
      <c r="AX135" s="2"/>
      <c r="AY135" s="2"/>
      <c r="AZ135" s="2"/>
      <c r="BA135" s="3"/>
      <c r="BB135" s="3"/>
      <c r="BC135" s="1"/>
      <c r="BD135" s="3">
        <f>IFERROR(__xludf.DUMMYFUNCTION("""COMPUTED_VALUE"""),0.0)</f>
        <v>0</v>
      </c>
      <c r="BE135" s="4">
        <f>IFERROR(__xludf.DUMMYFUNCTION("""COMPUTED_VALUE"""),10.0)</f>
        <v>10</v>
      </c>
      <c r="BF135" s="3" t="str">
        <f>IFERROR(__xludf.DUMMYFUNCTION("""COMPUTED_VALUE"""),"Radiant Golem Defense: target is protected by all dmg for the first 3 rounds of battle + increases fire damage by double for this mob only.")</f>
        <v>Radiant Golem Defense: target is protected by all dmg for the first 3 rounds of battle + increases fire damage by double for this mob only.</v>
      </c>
      <c r="BG135" s="3" t="str">
        <f>IFERROR(__xludf.DUMMYFUNCTION("""COMPUTED_VALUE"""),"Jungle")</f>
        <v>Jungle</v>
      </c>
      <c r="BH135" s="3" t="str">
        <f>IFERROR(__xludf.DUMMYFUNCTION("""COMPUTED_VALUE"""),"Land of Spira")</f>
        <v>Land of Spira</v>
      </c>
      <c r="BI135" s="3"/>
      <c r="BJ135" s="3"/>
      <c r="BK135" s="3"/>
      <c r="BL135" s="3" t="b">
        <f>IFERROR(__xludf.DUMMYFUNCTION("""COMPUTED_VALUE"""),FALSE)</f>
        <v>0</v>
      </c>
      <c r="BM135" s="3"/>
      <c r="BN135" s="3"/>
      <c r="BO135" s="3"/>
      <c r="BP135" s="3"/>
      <c r="BQ135" s="3"/>
      <c r="BR135" s="3"/>
      <c r="BS135" s="3"/>
      <c r="BT135" s="3"/>
      <c r="BU135" s="3"/>
      <c r="BV135" s="3"/>
      <c r="BW135" s="3"/>
    </row>
    <row r="136" ht="15.75" customHeight="1">
      <c r="A136" s="3" t="str">
        <f>IFERROR(__xludf.DUMMYFUNCTION("""COMPUTED_VALUE"""),"Heatmore Royal Keeper")</f>
        <v>Heatmore Royal Keeper</v>
      </c>
      <c r="B136" s="3">
        <f>IFERROR(__xludf.DUMMYFUNCTION("""COMPUTED_VALUE"""),1.0)</f>
        <v>1</v>
      </c>
      <c r="C136" s="3"/>
      <c r="D136" s="12" t="str">
        <f>IFERROR(__xludf.DUMMYFUNCTION("""COMPUTED_VALUE"""),"Humanoid")</f>
        <v>Humanoid</v>
      </c>
      <c r="E136" s="12">
        <f>IFERROR(__xludf.DUMMYFUNCTION("""COMPUTED_VALUE"""),1010.0)</f>
        <v>1010</v>
      </c>
      <c r="F136" s="12">
        <f>IFERROR(__xludf.DUMMYFUNCTION("""COMPUTED_VALUE"""),1010.0)</f>
        <v>1010</v>
      </c>
      <c r="G136" s="12">
        <f>IFERROR(__xludf.DUMMYFUNCTION("""COMPUTED_VALUE"""),1010.0)</f>
        <v>1010</v>
      </c>
      <c r="H136" s="3">
        <f>IFERROR(__xludf.DUMMYFUNCTION("""COMPUTED_VALUE"""),10.0)</f>
        <v>10</v>
      </c>
      <c r="I136" s="3">
        <f>IFERROR(__xludf.DUMMYFUNCTION("""COMPUTED_VALUE"""),0.0)</f>
        <v>0</v>
      </c>
      <c r="J136" s="3">
        <f>IFERROR(__xludf.DUMMYFUNCTION("""COMPUTED_VALUE"""),0.0)</f>
        <v>0</v>
      </c>
      <c r="K136" s="3">
        <f>IFERROR(__xludf.DUMMYFUNCTION("""COMPUTED_VALUE"""),100.0)</f>
        <v>100</v>
      </c>
      <c r="L136" s="3">
        <f>IFERROR(__xludf.DUMMYFUNCTION("""COMPUTED_VALUE"""),100.0)</f>
        <v>100</v>
      </c>
      <c r="M136" s="3" t="str">
        <f>IFERROR(__xludf.DUMMYFUNCTION("""COMPUTED_VALUE"""),"Fire:100, Nature:Immune, ")</f>
        <v>Fire:100, Nature:Immune, </v>
      </c>
      <c r="N136" s="2" t="str">
        <f>IFERROR(__xludf.DUMMYFUNCTION("""COMPUTED_VALUE"""),"Water:100, ")</f>
        <v>Water:100, </v>
      </c>
      <c r="O136" s="2"/>
      <c r="P136" s="2"/>
      <c r="Q136" s="2"/>
      <c r="R136" s="2"/>
      <c r="S136" s="2"/>
      <c r="T136" s="2"/>
      <c r="U136" s="2"/>
      <c r="V136" s="2" t="str">
        <f>IFERROR(__xludf.DUMMYFUNCTION("""COMPUTED_VALUE"""),"Royal Keeper Spear")</f>
        <v>Royal Keeper Spear</v>
      </c>
      <c r="W136" s="2" t="str">
        <f>IFERROR(__xludf.DUMMYFUNCTION("""COMPUTED_VALUE"""),"Royal Keeper Shield")</f>
        <v>Royal Keeper Shield</v>
      </c>
      <c r="X136" s="2"/>
      <c r="Y136" s="2"/>
      <c r="Z136" s="2"/>
      <c r="AA136" s="2"/>
      <c r="AB136" s="2"/>
      <c r="AC136" s="2"/>
      <c r="AD136" s="2"/>
      <c r="AE136" s="2"/>
      <c r="AF136" s="2"/>
      <c r="AG136" s="2"/>
      <c r="AH136" s="2"/>
      <c r="AI136" s="2"/>
      <c r="AJ136" s="2" t="str">
        <f>IFERROR(__xludf.DUMMYFUNCTION("""COMPUTED_VALUE"""),"Flame Sanctuary")</f>
        <v>Flame Sanctuary</v>
      </c>
      <c r="AK136" s="2" t="str">
        <f>IFERROR(__xludf.DUMMYFUNCTION("""COMPUTED_VALUE"""),"Flame Thrower")</f>
        <v>Flame Thrower</v>
      </c>
      <c r="AL136" s="2" t="str">
        <f>IFERROR(__xludf.DUMMYFUNCTION("""COMPUTED_VALUE"""),"Mass Ignition")</f>
        <v>Mass Ignition</v>
      </c>
      <c r="AM136" s="2" t="str">
        <f>IFERROR(__xludf.DUMMYFUNCTION("""COMPUTED_VALUE"""),"Lesser Nova")</f>
        <v>Lesser Nova</v>
      </c>
      <c r="AN136" s="2"/>
      <c r="AO136" s="2"/>
      <c r="AP136" s="2"/>
      <c r="AQ136" s="2"/>
      <c r="AR136" s="2"/>
      <c r="AS136" s="2"/>
      <c r="AT136" s="2"/>
      <c r="AU136" s="2"/>
      <c r="AV136" s="2"/>
      <c r="AW136" s="2"/>
      <c r="AX136" s="2"/>
      <c r="AY136" s="2"/>
      <c r="AZ136" s="2"/>
      <c r="BA136" s="3"/>
      <c r="BB136" s="3"/>
      <c r="BC136" s="1"/>
      <c r="BD136" s="3">
        <f>IFERROR(__xludf.DUMMYFUNCTION("""COMPUTED_VALUE"""),0.0)</f>
        <v>0</v>
      </c>
      <c r="BE136" s="4">
        <f>IFERROR(__xludf.DUMMYFUNCTION("""COMPUTED_VALUE"""),10.0)</f>
        <v>10</v>
      </c>
      <c r="BF136" s="3" t="str">
        <f>IFERROR(__xludf.DUMMYFUNCTION("""COMPUTED_VALUE"""),"
Royal Keepers Inflamed Deity: When the caster takes any damage other than fire damage the caster can choose to take double the amount of damage instead and then inflict the total amount of damage taken to the enemy that dealt it as fire damage.")</f>
        <v>
Royal Keepers Inflamed Deity: When the caster takes any damage other than fire damage the caster can choose to take double the amount of damage instead and then inflict the total amount of damage taken to the enemy that dealt it as fire damage.</v>
      </c>
      <c r="BG136" s="3" t="str">
        <f>IFERROR(__xludf.DUMMYFUNCTION("""COMPUTED_VALUE"""),"Jungle")</f>
        <v>Jungle</v>
      </c>
      <c r="BH136" s="3" t="str">
        <f>IFERROR(__xludf.DUMMYFUNCTION("""COMPUTED_VALUE"""),"Land of Spira")</f>
        <v>Land of Spira</v>
      </c>
      <c r="BI136" s="3"/>
      <c r="BJ136" s="3"/>
      <c r="BK136" s="3"/>
      <c r="BL136" s="3" t="b">
        <f>IFERROR(__xludf.DUMMYFUNCTION("""COMPUTED_VALUE"""),FALSE)</f>
        <v>0</v>
      </c>
      <c r="BM136" s="3"/>
      <c r="BN136" s="3"/>
      <c r="BO136" s="3"/>
      <c r="BP136" s="3"/>
      <c r="BQ136" s="3"/>
      <c r="BR136" s="3"/>
      <c r="BS136" s="3"/>
      <c r="BT136" s="3"/>
      <c r="BU136" s="3"/>
      <c r="BV136" s="3"/>
      <c r="BW136" s="3"/>
    </row>
    <row r="137" ht="15.75" customHeight="1">
      <c r="A137" s="3" t="str">
        <f>IFERROR(__xludf.DUMMYFUNCTION("""COMPUTED_VALUE"""),"Heatmore Underling")</f>
        <v>Heatmore Underling</v>
      </c>
      <c r="B137" s="3">
        <f>IFERROR(__xludf.DUMMYFUNCTION("""COMPUTED_VALUE"""),1.0)</f>
        <v>1</v>
      </c>
      <c r="C137" s="3"/>
      <c r="D137" s="12" t="str">
        <f>IFERROR(__xludf.DUMMYFUNCTION("""COMPUTED_VALUE"""),"Beast")</f>
        <v>Beast</v>
      </c>
      <c r="E137" s="12">
        <f>IFERROR(__xludf.DUMMYFUNCTION("""COMPUTED_VALUE"""),16010.0)</f>
        <v>16010</v>
      </c>
      <c r="F137" s="12">
        <f>IFERROR(__xludf.DUMMYFUNCTION("""COMPUTED_VALUE"""),1010.0)</f>
        <v>1010</v>
      </c>
      <c r="G137" s="12">
        <f>IFERROR(__xludf.DUMMYFUNCTION("""COMPUTED_VALUE"""),1010.0)</f>
        <v>1010</v>
      </c>
      <c r="H137" s="3">
        <f>IFERROR(__xludf.DUMMYFUNCTION("""COMPUTED_VALUE"""),10.0)</f>
        <v>10</v>
      </c>
      <c r="I137" s="3">
        <f>IFERROR(__xludf.DUMMYFUNCTION("""COMPUTED_VALUE"""),0.0)</f>
        <v>0</v>
      </c>
      <c r="J137" s="3">
        <f>IFERROR(__xludf.DUMMYFUNCTION("""COMPUTED_VALUE"""),0.0)</f>
        <v>0</v>
      </c>
      <c r="K137" s="3">
        <f>IFERROR(__xludf.DUMMYFUNCTION("""COMPUTED_VALUE"""),100.0)</f>
        <v>100</v>
      </c>
      <c r="L137" s="3">
        <f>IFERROR(__xludf.DUMMYFUNCTION("""COMPUTED_VALUE"""),100.0)</f>
        <v>100</v>
      </c>
      <c r="M137" s="3" t="str">
        <f>IFERROR(__xludf.DUMMYFUNCTION("""COMPUTED_VALUE"""),"Fire:100, Nature:Immune, ")</f>
        <v>Fire:100, Nature:Immune, </v>
      </c>
      <c r="N137" s="3" t="str">
        <f>IFERROR(__xludf.DUMMYFUNCTION("""COMPUTED_VALUE"""),"Water:100, ")</f>
        <v>Water:100, </v>
      </c>
      <c r="O137" s="3"/>
      <c r="P137" s="3"/>
      <c r="Q137" s="3"/>
      <c r="R137" s="3"/>
      <c r="S137" s="3"/>
      <c r="T137" s="3"/>
      <c r="U137" s="3"/>
      <c r="V137" s="3"/>
      <c r="W137" s="3"/>
      <c r="X137" s="3"/>
      <c r="Y137" s="3"/>
      <c r="Z137" s="3"/>
      <c r="AA137" s="3"/>
      <c r="AB137" s="3"/>
      <c r="AC137" s="3"/>
      <c r="AD137" s="3"/>
      <c r="AE137" s="3"/>
      <c r="AF137" s="3"/>
      <c r="AG137" s="3"/>
      <c r="AH137" s="3"/>
      <c r="AI137" s="3"/>
      <c r="AJ137" s="3" t="str">
        <f>IFERROR(__xludf.DUMMYFUNCTION("""COMPUTED_VALUE"""),"Lunge")</f>
        <v>Lunge</v>
      </c>
      <c r="AK137" s="3" t="str">
        <f>IFERROR(__xludf.DUMMYFUNCTION("""COMPUTED_VALUE"""),"Flaming Bite")</f>
        <v>Flaming Bite</v>
      </c>
      <c r="AL137" s="3" t="str">
        <f>IFERROR(__xludf.DUMMYFUNCTION("""COMPUTED_VALUE"""),"Berserk")</f>
        <v>Berserk</v>
      </c>
      <c r="AM137" s="3" t="str">
        <f>IFERROR(__xludf.DUMMYFUNCTION("""COMPUTED_VALUE"""),"Reckless Chomp ")</f>
        <v>Reckless Chomp </v>
      </c>
      <c r="AN137" s="3" t="str">
        <f>IFERROR(__xludf.DUMMYFUNCTION("""COMPUTED_VALUE"""),"Tackle")</f>
        <v>Tackle</v>
      </c>
      <c r="AO137" s="3" t="str">
        <f>IFERROR(__xludf.DUMMYFUNCTION("""COMPUTED_VALUE"""),"Aggresive Tear")</f>
        <v>Aggresive Tear</v>
      </c>
      <c r="AP137" s="3" t="str">
        <f>IFERROR(__xludf.DUMMYFUNCTION("""COMPUTED_VALUE"""),"Guard")</f>
        <v>Guard</v>
      </c>
      <c r="AQ137" s="3"/>
      <c r="AR137" s="3"/>
      <c r="AS137" s="3"/>
      <c r="AT137" s="3"/>
      <c r="AU137" s="3"/>
      <c r="AV137" s="3"/>
      <c r="AW137" s="3"/>
      <c r="AX137" s="3"/>
      <c r="AY137" s="3"/>
      <c r="AZ137" s="3"/>
      <c r="BA137" s="3"/>
      <c r="BB137" s="3"/>
      <c r="BC137" s="1"/>
      <c r="BD137" s="3">
        <f>IFERROR(__xludf.DUMMYFUNCTION("""COMPUTED_VALUE"""),0.0)</f>
        <v>0</v>
      </c>
      <c r="BE137" s="4">
        <f>IFERROR(__xludf.DUMMYFUNCTION("""COMPUTED_VALUE"""),10.0)</f>
        <v>10</v>
      </c>
      <c r="BF137" s="3" t="str">
        <f>IFERROR(__xludf.DUMMYFUNCTION("""COMPUTED_VALUE"""),"Blazing Underling Cloak: If the caster is attacked the attacking enemy will take 500 fire damage p/r for 3 rounds.
Increased Senses: Additional +5 to evasion and mobility. ")</f>
        <v>Blazing Underling Cloak: If the caster is attacked the attacking enemy will take 500 fire damage p/r for 3 rounds.
Increased Senses: Additional +5 to evasion and mobility. </v>
      </c>
      <c r="BG137" s="3" t="str">
        <f>IFERROR(__xludf.DUMMYFUNCTION("""COMPUTED_VALUE"""),"Jungle")</f>
        <v>Jungle</v>
      </c>
      <c r="BH137" s="3" t="str">
        <f>IFERROR(__xludf.DUMMYFUNCTION("""COMPUTED_VALUE"""),"Land of Spira")</f>
        <v>Land of Spira</v>
      </c>
      <c r="BI137" s="3"/>
      <c r="BJ137" s="3"/>
      <c r="BK137" s="3"/>
      <c r="BL137" s="3" t="b">
        <f>IFERROR(__xludf.DUMMYFUNCTION("""COMPUTED_VALUE"""),FALSE)</f>
        <v>0</v>
      </c>
      <c r="BM137" s="3"/>
      <c r="BN137" s="3"/>
      <c r="BO137" s="3"/>
      <c r="BP137" s="3"/>
      <c r="BQ137" s="3"/>
      <c r="BR137" s="3"/>
      <c r="BS137" s="3"/>
      <c r="BT137" s="3"/>
      <c r="BU137" s="3"/>
      <c r="BV137" s="3"/>
      <c r="BW137" s="3"/>
    </row>
    <row r="138" ht="15.75" customHeight="1">
      <c r="A138" s="3" t="str">
        <f>IFERROR(__xludf.DUMMYFUNCTION("""COMPUTED_VALUE"""),"Hellmore The Soul Keeper")</f>
        <v>Hellmore The Soul Keeper</v>
      </c>
      <c r="B138" s="3">
        <f>IFERROR(__xludf.DUMMYFUNCTION("""COMPUTED_VALUE"""),1.0)</f>
        <v>1</v>
      </c>
      <c r="C138" s="3"/>
      <c r="D138" s="12" t="str">
        <f>IFERROR(__xludf.DUMMYFUNCTION("""COMPUTED_VALUE"""),"Demonic")</f>
        <v>Demonic</v>
      </c>
      <c r="E138" s="12">
        <f>IFERROR(__xludf.DUMMYFUNCTION("""COMPUTED_VALUE"""),1010.0)</f>
        <v>1010</v>
      </c>
      <c r="F138" s="12">
        <f>IFERROR(__xludf.DUMMYFUNCTION("""COMPUTED_VALUE"""),1010.0)</f>
        <v>1010</v>
      </c>
      <c r="G138" s="12">
        <f>IFERROR(__xludf.DUMMYFUNCTION("""COMPUTED_VALUE"""),1010.0)</f>
        <v>1010</v>
      </c>
      <c r="H138" s="3">
        <f>IFERROR(__xludf.DUMMYFUNCTION("""COMPUTED_VALUE"""),10.0)</f>
        <v>10</v>
      </c>
      <c r="I138" s="3">
        <f>IFERROR(__xludf.DUMMYFUNCTION("""COMPUTED_VALUE"""),0.0)</f>
        <v>0</v>
      </c>
      <c r="J138" s="3">
        <f>IFERROR(__xludf.DUMMYFUNCTION("""COMPUTED_VALUE"""),0.0)</f>
        <v>0</v>
      </c>
      <c r="K138" s="3">
        <f>IFERROR(__xludf.DUMMYFUNCTION("""COMPUTED_VALUE"""),100.0)</f>
        <v>100</v>
      </c>
      <c r="L138" s="3">
        <f>IFERROR(__xludf.DUMMYFUNCTION("""COMPUTED_VALUE"""),100.0)</f>
        <v>100</v>
      </c>
      <c r="M138" s="3" t="str">
        <f>IFERROR(__xludf.DUMMYFUNCTION("""COMPUTED_VALUE"""),"Dark:Immune, Spirit:Immune, Chaos:Immune, Voodoo:Immune, Blood:Immune, Instant Death:Immune, Banishment:Immune, ")</f>
        <v>Dark:Immune, Spirit:Immune, Chaos:Immune, Voodoo:Immune, Blood:Immune, Instant Death:Immune, Banishment:Immune, </v>
      </c>
      <c r="N138" s="3" t="str">
        <f>IFERROR(__xludf.DUMMYFUNCTION("""COMPUTED_VALUE"""),"Fire:100, Light:100, Order:100, Celestial:100, ")</f>
        <v>Fire:100, Light:100, Order:100, Celestial:100, </v>
      </c>
      <c r="O138" s="3"/>
      <c r="P138" s="3"/>
      <c r="Q138" s="3"/>
      <c r="R138" s="3"/>
      <c r="S138" s="3"/>
      <c r="T138" s="3"/>
      <c r="U138" s="3"/>
      <c r="V138" s="3" t="str">
        <f>IFERROR(__xludf.DUMMYFUNCTION("""COMPUTED_VALUE"""),"Grand Hell Fire Sword")</f>
        <v>Grand Hell Fire Sword</v>
      </c>
      <c r="W138" s="3"/>
      <c r="X138" s="3"/>
      <c r="Y138" s="3"/>
      <c r="Z138" s="3"/>
      <c r="AA138" s="3"/>
      <c r="AB138" s="3"/>
      <c r="AC138" s="3"/>
      <c r="AD138" s="3"/>
      <c r="AE138" s="3"/>
      <c r="AF138" s="3"/>
      <c r="AG138" s="3"/>
      <c r="AH138" s="3"/>
      <c r="AI138" s="3"/>
      <c r="AJ138" s="3" t="str">
        <f>IFERROR(__xludf.DUMMYFUNCTION("""COMPUTED_VALUE"""),"Spirit Fog")</f>
        <v>Spirit Fog</v>
      </c>
      <c r="AK138" s="3" t="str">
        <f>IFERROR(__xludf.DUMMYFUNCTION("""COMPUTED_VALUE"""),"Lost Soul")</f>
        <v>Lost Soul</v>
      </c>
      <c r="AL138" s="3" t="str">
        <f>IFERROR(__xludf.DUMMYFUNCTION("""COMPUTED_VALUE"""),"Gain Soul")</f>
        <v>Gain Soul</v>
      </c>
      <c r="AM138" s="3" t="str">
        <f>IFERROR(__xludf.DUMMYFUNCTION("""COMPUTED_VALUE"""),"Soul Absorption")</f>
        <v>Soul Absorption</v>
      </c>
      <c r="AN138" s="3" t="str">
        <f>IFERROR(__xludf.DUMMYFUNCTION("""COMPUTED_VALUE"""),"Soul Trap")</f>
        <v>Soul Trap</v>
      </c>
      <c r="AO138" s="3" t="str">
        <f>IFERROR(__xludf.DUMMYFUNCTION("""COMPUTED_VALUE"""),"Souls of Darkness and Chaos")</f>
        <v>Souls of Darkness and Chaos</v>
      </c>
      <c r="AP138" s="3" t="str">
        <f>IFERROR(__xludf.DUMMYFUNCTION("""COMPUTED_VALUE"""),"Dimensional Quake")</f>
        <v>Dimensional Quake</v>
      </c>
      <c r="AQ138" s="3" t="str">
        <f>IFERROR(__xludf.DUMMYFUNCTION("""COMPUTED_VALUE"""),"Flame Sanctuary")</f>
        <v>Flame Sanctuary</v>
      </c>
      <c r="AR138" s="3" t="str">
        <f>IFERROR(__xludf.DUMMYFUNCTION("""COMPUTED_VALUE"""),"Volcanic Rain")</f>
        <v>Volcanic Rain</v>
      </c>
      <c r="AS138" s="3" t="str">
        <f>IFERROR(__xludf.DUMMYFUNCTION("""COMPUTED_VALUE"""),"Berserk")</f>
        <v>Berserk</v>
      </c>
      <c r="AT138" s="3" t="str">
        <f>IFERROR(__xludf.DUMMYFUNCTION("""COMPUTED_VALUE"""),"Chaincast")</f>
        <v>Chaincast</v>
      </c>
      <c r="AU138" s="3" t="str">
        <f>IFERROR(__xludf.DUMMYFUNCTION("""COMPUTED_VALUE"""),"Mass Destruction")</f>
        <v>Mass Destruction</v>
      </c>
      <c r="AV138" s="3"/>
      <c r="AW138" s="3"/>
      <c r="AX138" s="3"/>
      <c r="AY138" s="3"/>
      <c r="AZ138" s="3"/>
      <c r="BA138" s="3"/>
      <c r="BB138" s="3"/>
      <c r="BC138" s="1"/>
      <c r="BD138" s="3">
        <f>IFERROR(__xludf.DUMMYFUNCTION("""COMPUTED_VALUE"""),0.0)</f>
        <v>0</v>
      </c>
      <c r="BE138" s="4">
        <f>IFERROR(__xludf.DUMMYFUNCTION("""COMPUTED_VALUE"""),10.0)</f>
        <v>10</v>
      </c>
      <c r="BF138" s="3" t="str">
        <f>IFERROR(__xludf.DUMMYFUNCTION("""COMPUTED_VALUE"""),"A Dark Calling II: +10 can be added to this mobs rolls.
75% chance to be unaffected by any spells affecting this mob
This mob has 10,000 souls.
Items cannot be taken from this mob.
You must kill this mob twice to officially kill it.
When this mob die"&amp;"s it will summon 2 demons.")</f>
        <v>A Dark Calling II: +10 can be added to this mobs rolls.
75% chance to be unaffected by any spells affecting this mob
This mob has 10,000 souls.
Items cannot be taken from this mob.
You must kill this mob twice to officially kill it.
When this mob dies it will summon 2 demons.</v>
      </c>
      <c r="BG138" s="3" t="str">
        <f>IFERROR(__xludf.DUMMYFUNCTION("""COMPUTED_VALUE"""),"All")</f>
        <v>All</v>
      </c>
      <c r="BH138" s="3" t="str">
        <f>IFERROR(__xludf.DUMMYFUNCTION("""COMPUTED_VALUE"""),"Abstara")</f>
        <v>Abstara</v>
      </c>
      <c r="BI138" s="3"/>
      <c r="BJ138" s="3"/>
      <c r="BK138" s="3"/>
      <c r="BL138" s="3" t="b">
        <f>IFERROR(__xludf.DUMMYFUNCTION("""COMPUTED_VALUE"""),FALSE)</f>
        <v>0</v>
      </c>
      <c r="BM138" s="3"/>
      <c r="BN138" s="3"/>
      <c r="BO138" s="3"/>
      <c r="BP138" s="3"/>
      <c r="BQ138" s="3"/>
      <c r="BR138" s="3"/>
      <c r="BS138" s="3"/>
      <c r="BT138" s="3"/>
      <c r="BU138" s="3"/>
      <c r="BV138" s="3"/>
      <c r="BW138" s="3"/>
    </row>
    <row r="139" ht="15.75" customHeight="1">
      <c r="A139" s="3" t="str">
        <f>IFERROR(__xludf.DUMMYFUNCTION("""COMPUTED_VALUE"""),"Hydra Cobra")</f>
        <v>Hydra Cobra</v>
      </c>
      <c r="B139" s="3">
        <f>IFERROR(__xludf.DUMMYFUNCTION("""COMPUTED_VALUE"""),1.0)</f>
        <v>1</v>
      </c>
      <c r="C139" s="3"/>
      <c r="D139" s="12" t="str">
        <f>IFERROR(__xludf.DUMMYFUNCTION("""COMPUTED_VALUE"""),"Beast")</f>
        <v>Beast</v>
      </c>
      <c r="E139" s="12">
        <f>IFERROR(__xludf.DUMMYFUNCTION("""COMPUTED_VALUE"""),1010.0)</f>
        <v>1010</v>
      </c>
      <c r="F139" s="12">
        <f>IFERROR(__xludf.DUMMYFUNCTION("""COMPUTED_VALUE"""),1010.0)</f>
        <v>1010</v>
      </c>
      <c r="G139" s="12">
        <f>IFERROR(__xludf.DUMMYFUNCTION("""COMPUTED_VALUE"""),1010.0)</f>
        <v>1010</v>
      </c>
      <c r="H139" s="3">
        <f>IFERROR(__xludf.DUMMYFUNCTION("""COMPUTED_VALUE"""),20.0)</f>
        <v>20</v>
      </c>
      <c r="I139" s="3">
        <f>IFERROR(__xludf.DUMMYFUNCTION("""COMPUTED_VALUE"""),0.0)</f>
        <v>0</v>
      </c>
      <c r="J139" s="3">
        <f>IFERROR(__xludf.DUMMYFUNCTION("""COMPUTED_VALUE"""),0.0)</f>
        <v>0</v>
      </c>
      <c r="K139" s="3">
        <f>IFERROR(__xludf.DUMMYFUNCTION("""COMPUTED_VALUE"""),100.0)</f>
        <v>100</v>
      </c>
      <c r="L139" s="3">
        <f>IFERROR(__xludf.DUMMYFUNCTION("""COMPUTED_VALUE"""),100.0)</f>
        <v>100</v>
      </c>
      <c r="M139" s="3" t="str">
        <f>IFERROR(__xludf.DUMMYFUNCTION("""COMPUTED_VALUE"""),"Dark:100, Chaos:100, Voodoo:Immune, Instant Death:Immune, Banishment:Immune, ")</f>
        <v>Dark:100, Chaos:100, Voodoo:Immune, Instant Death:Immune, Banishment:Immune, </v>
      </c>
      <c r="N139" s="3" t="str">
        <f>IFERROR(__xludf.DUMMYFUNCTION("""COMPUTED_VALUE"""),"Fire:100, Light:100, Order:100, ")</f>
        <v>Fire:100, Light:100, Order:100, </v>
      </c>
      <c r="O139" s="3"/>
      <c r="P139" s="3"/>
      <c r="Q139" s="3"/>
      <c r="R139" s="3"/>
      <c r="S139" s="3"/>
      <c r="T139" s="3"/>
      <c r="U139" s="3"/>
      <c r="V139" s="3"/>
      <c r="W139" s="3"/>
      <c r="X139" s="3"/>
      <c r="Y139" s="3"/>
      <c r="Z139" s="3"/>
      <c r="AA139" s="3"/>
      <c r="AB139" s="3"/>
      <c r="AC139" s="3"/>
      <c r="AD139" s="3"/>
      <c r="AE139" s="3"/>
      <c r="AF139" s="3"/>
      <c r="AG139" s="3"/>
      <c r="AH139" s="3"/>
      <c r="AI139" s="3"/>
      <c r="AJ139" s="3" t="str">
        <f>IFERROR(__xludf.DUMMYFUNCTION("""COMPUTED_VALUE"""),"Multi Banishment")</f>
        <v>Multi Banishment</v>
      </c>
      <c r="AK139" s="3" t="str">
        <f>IFERROR(__xludf.DUMMYFUNCTION("""COMPUTED_VALUE"""),"Conceal")</f>
        <v>Conceal</v>
      </c>
      <c r="AL139" s="3" t="str">
        <f>IFERROR(__xludf.DUMMYFUNCTION("""COMPUTED_VALUE"""),"Mass Destruction")</f>
        <v>Mass Destruction</v>
      </c>
      <c r="AM139" s="3" t="str">
        <f>IFERROR(__xludf.DUMMYFUNCTION("""COMPUTED_VALUE"""),"Confiscate")</f>
        <v>Confiscate</v>
      </c>
      <c r="AN139" s="3" t="str">
        <f>IFERROR(__xludf.DUMMYFUNCTION("""COMPUTED_VALUE"""),"Dimensional Quake")</f>
        <v>Dimensional Quake</v>
      </c>
      <c r="AO139" s="3" t="str">
        <f>IFERROR(__xludf.DUMMYFUNCTION("""COMPUTED_VALUE"""),"Damage With A Cost.")</f>
        <v>Damage With A Cost.</v>
      </c>
      <c r="AP139" s="3" t="str">
        <f>IFERROR(__xludf.DUMMYFUNCTION("""COMPUTED_VALUE"""),"Hex with bad luck")</f>
        <v>Hex with bad luck</v>
      </c>
      <c r="AQ139" s="3" t="str">
        <f>IFERROR(__xludf.DUMMYFUNCTION("""COMPUTED_VALUE"""),"Last Gamble")</f>
        <v>Last Gamble</v>
      </c>
      <c r="AR139" s="3" t="str">
        <f>IFERROR(__xludf.DUMMYFUNCTION("""COMPUTED_VALUE"""),"Chaincast")</f>
        <v>Chaincast</v>
      </c>
      <c r="AS139" s="3"/>
      <c r="AT139" s="3"/>
      <c r="AU139" s="3"/>
      <c r="AV139" s="3"/>
      <c r="AW139" s="3"/>
      <c r="AX139" s="3"/>
      <c r="AY139" s="3"/>
      <c r="AZ139" s="3"/>
      <c r="BA139" s="3"/>
      <c r="BB139" s="3"/>
      <c r="BC139" s="1"/>
      <c r="BD139" s="3">
        <f>IFERROR(__xludf.DUMMYFUNCTION("""COMPUTED_VALUE"""),0.0)</f>
        <v>0</v>
      </c>
      <c r="BE139" s="4">
        <f>IFERROR(__xludf.DUMMYFUNCTION("""COMPUTED_VALUE"""),10.0)</f>
        <v>10</v>
      </c>
      <c r="BF139" s="3" t="str">
        <f>IFERROR(__xludf.DUMMYFUNCTION("""COMPUTED_VALUE"""),"Has a 75% chance to be unaffected by any spells affecting this mob.
A Dark Calling II: +10 can be added to this mobs rolls.
X4 additional spell damage for this mob.
Chaotic Cobra's Curse: has a 30% chance during the end of each player's turn to send th"&amp;"em back to the beginning of the dungeon and deduct 50 levels from their character.")</f>
        <v>Has a 75% chance to be unaffected by any spells affecting this mob.
A Dark Calling II: +10 can be added to this mobs rolls.
X4 additional spell damage for this mob.
Chaotic Cobra's Curse: has a 30% chance during the end of each player's turn to send them back to the beginning of the dungeon and deduct 50 levels from their character.</v>
      </c>
      <c r="BG139" s="3" t="str">
        <f>IFERROR(__xludf.DUMMYFUNCTION("""COMPUTED_VALUE"""),"Dungeon")</f>
        <v>Dungeon</v>
      </c>
      <c r="BH139" s="3" t="str">
        <f>IFERROR(__xludf.DUMMYFUNCTION("""COMPUTED_VALUE"""),"Land of Spira")</f>
        <v>Land of Spira</v>
      </c>
      <c r="BI139" s="3"/>
      <c r="BJ139" s="3"/>
      <c r="BK139" s="3"/>
      <c r="BL139" s="3" t="b">
        <f>IFERROR(__xludf.DUMMYFUNCTION("""COMPUTED_VALUE"""),FALSE)</f>
        <v>0</v>
      </c>
      <c r="BM139" s="3"/>
      <c r="BN139" s="3"/>
      <c r="BO139" s="3"/>
      <c r="BP139" s="3"/>
      <c r="BQ139" s="3"/>
      <c r="BR139" s="3"/>
      <c r="BS139" s="3"/>
      <c r="BT139" s="3"/>
      <c r="BU139" s="3"/>
      <c r="BV139" s="3"/>
      <c r="BW139" s="3"/>
    </row>
    <row r="140" ht="15.75" customHeight="1">
      <c r="A140" s="3" t="str">
        <f>IFERROR(__xludf.DUMMYFUNCTION("""COMPUTED_VALUE"""),"Hyena")</f>
        <v>Hyena</v>
      </c>
      <c r="B140" s="3">
        <f>IFERROR(__xludf.DUMMYFUNCTION("""COMPUTED_VALUE"""),1.0)</f>
        <v>1</v>
      </c>
      <c r="C140" s="3"/>
      <c r="D140" s="12" t="str">
        <f>IFERROR(__xludf.DUMMYFUNCTION("""COMPUTED_VALUE"""),"Beast")</f>
        <v>Beast</v>
      </c>
      <c r="E140" s="12">
        <f>IFERROR(__xludf.DUMMYFUNCTION("""COMPUTED_VALUE"""),1010.0)</f>
        <v>1010</v>
      </c>
      <c r="F140" s="12">
        <f>IFERROR(__xludf.DUMMYFUNCTION("""COMPUTED_VALUE"""),1010.0)</f>
        <v>1010</v>
      </c>
      <c r="G140" s="12">
        <f>IFERROR(__xludf.DUMMYFUNCTION("""COMPUTED_VALUE"""),1010.0)</f>
        <v>1010</v>
      </c>
      <c r="H140" s="3">
        <f>IFERROR(__xludf.DUMMYFUNCTION("""COMPUTED_VALUE"""),10.0)</f>
        <v>10</v>
      </c>
      <c r="I140" s="3">
        <f>IFERROR(__xludf.DUMMYFUNCTION("""COMPUTED_VALUE"""),0.0)</f>
        <v>0</v>
      </c>
      <c r="J140" s="3">
        <f>IFERROR(__xludf.DUMMYFUNCTION("""COMPUTED_VALUE"""),0.0)</f>
        <v>0</v>
      </c>
      <c r="K140" s="3">
        <f>IFERROR(__xludf.DUMMYFUNCTION("""COMPUTED_VALUE"""),100.0)</f>
        <v>100</v>
      </c>
      <c r="L140" s="3">
        <f>IFERROR(__xludf.DUMMYFUNCTION("""COMPUTED_VALUE"""),100.0)</f>
        <v>100</v>
      </c>
      <c r="M140" s="3" t="str">
        <f>IFERROR(__xludf.DUMMYFUNCTION("""COMPUTED_VALUE"""),"")</f>
        <v/>
      </c>
      <c r="N140" s="3" t="str">
        <f>IFERROR(__xludf.DUMMYFUNCTION("""COMPUTED_VALUE"""),"")</f>
        <v/>
      </c>
      <c r="O140" s="3"/>
      <c r="P140" s="3"/>
      <c r="Q140" s="3"/>
      <c r="R140" s="3"/>
      <c r="S140" s="3"/>
      <c r="T140" s="3"/>
      <c r="U140" s="3"/>
      <c r="V140" s="3"/>
      <c r="W140" s="3"/>
      <c r="X140" s="3"/>
      <c r="Y140" s="3"/>
      <c r="Z140" s="3"/>
      <c r="AA140" s="3"/>
      <c r="AB140" s="3"/>
      <c r="AC140" s="3"/>
      <c r="AD140" s="3"/>
      <c r="AE140" s="3"/>
      <c r="AF140" s="3"/>
      <c r="AG140" s="3"/>
      <c r="AH140" s="3"/>
      <c r="AI140" s="3"/>
      <c r="AJ140" s="3" t="str">
        <f>IFERROR(__xludf.DUMMYFUNCTION("""COMPUTED_VALUE"""),"Bite")</f>
        <v>Bite</v>
      </c>
      <c r="AK140" s="3" t="str">
        <f>IFERROR(__xludf.DUMMYFUNCTION("""COMPUTED_VALUE"""),"Rock Shot")</f>
        <v>Rock Shot</v>
      </c>
      <c r="AL140" s="3" t="str">
        <f>IFERROR(__xludf.DUMMYFUNCTION("""COMPUTED_VALUE"""),"Lunge")</f>
        <v>Lunge</v>
      </c>
      <c r="AM140" s="3" t="str">
        <f>IFERROR(__xludf.DUMMYFUNCTION("""COMPUTED_VALUE"""),"Quicksand")</f>
        <v>Quicksand</v>
      </c>
      <c r="AN140" s="3" t="str">
        <f>IFERROR(__xludf.DUMMYFUNCTION("""COMPUTED_VALUE"""),"Reckless Chomp ")</f>
        <v>Reckless Chomp </v>
      </c>
      <c r="AO140" s="3"/>
      <c r="AP140" s="3"/>
      <c r="AQ140" s="3"/>
      <c r="AR140" s="3"/>
      <c r="AS140" s="3"/>
      <c r="AT140" s="3"/>
      <c r="AU140" s="3"/>
      <c r="AV140" s="3"/>
      <c r="AW140" s="3"/>
      <c r="AX140" s="3"/>
      <c r="AY140" s="3"/>
      <c r="AZ140" s="3"/>
      <c r="BA140" s="3"/>
      <c r="BB140" s="3"/>
      <c r="BC140" s="1"/>
      <c r="BD140" s="3">
        <f>IFERROR(__xludf.DUMMYFUNCTION("""COMPUTED_VALUE"""),0.0)</f>
        <v>0</v>
      </c>
      <c r="BE140" s="4">
        <f>IFERROR(__xludf.DUMMYFUNCTION("""COMPUTED_VALUE"""),10.0)</f>
        <v>10</v>
      </c>
      <c r="BF140" s="3"/>
      <c r="BG140" s="3" t="str">
        <f>IFERROR(__xludf.DUMMYFUNCTION("""COMPUTED_VALUE"""),"All")</f>
        <v>All</v>
      </c>
      <c r="BH140" s="3" t="str">
        <f>IFERROR(__xludf.DUMMYFUNCTION("""COMPUTED_VALUE"""),"Land of Spira")</f>
        <v>Land of Spira</v>
      </c>
      <c r="BI140" s="3"/>
      <c r="BJ140" s="3"/>
      <c r="BK140" s="3"/>
      <c r="BL140" s="3" t="b">
        <f>IFERROR(__xludf.DUMMYFUNCTION("""COMPUTED_VALUE"""),FALSE)</f>
        <v>0</v>
      </c>
      <c r="BM140" s="3"/>
      <c r="BN140" s="3"/>
      <c r="BO140" s="3"/>
      <c r="BP140" s="3"/>
      <c r="BQ140" s="3"/>
      <c r="BR140" s="3"/>
      <c r="BS140" s="3"/>
      <c r="BT140" s="3"/>
      <c r="BU140" s="3"/>
      <c r="BV140" s="3"/>
      <c r="BW140" s="3"/>
    </row>
    <row r="141" ht="15.75" customHeight="1">
      <c r="A141" s="3" t="str">
        <f>IFERROR(__xludf.DUMMYFUNCTION("""COMPUTED_VALUE"""),"Ice Golem")</f>
        <v>Ice Golem</v>
      </c>
      <c r="B141" s="3">
        <f>IFERROR(__xludf.DUMMYFUNCTION("""COMPUTED_VALUE"""),1.0)</f>
        <v>1</v>
      </c>
      <c r="C141" s="3"/>
      <c r="D141" s="12" t="str">
        <f>IFERROR(__xludf.DUMMYFUNCTION("""COMPUTED_VALUE"""),"Construct")</f>
        <v>Construct</v>
      </c>
      <c r="E141" s="12">
        <f>IFERROR(__xludf.DUMMYFUNCTION("""COMPUTED_VALUE"""),1010.0)</f>
        <v>1010</v>
      </c>
      <c r="F141" s="12">
        <f>IFERROR(__xludf.DUMMYFUNCTION("""COMPUTED_VALUE"""),1010.0)</f>
        <v>1010</v>
      </c>
      <c r="G141" s="12">
        <f>IFERROR(__xludf.DUMMYFUNCTION("""COMPUTED_VALUE"""),1010.0)</f>
        <v>1010</v>
      </c>
      <c r="H141" s="3">
        <f>IFERROR(__xludf.DUMMYFUNCTION("""COMPUTED_VALUE"""),10.0)</f>
        <v>10</v>
      </c>
      <c r="I141" s="3">
        <f>IFERROR(__xludf.DUMMYFUNCTION("""COMPUTED_VALUE"""),0.0)</f>
        <v>0</v>
      </c>
      <c r="J141" s="3">
        <f>IFERROR(__xludf.DUMMYFUNCTION("""COMPUTED_VALUE"""),0.0)</f>
        <v>0</v>
      </c>
      <c r="K141" s="3">
        <f>IFERROR(__xludf.DUMMYFUNCTION("""COMPUTED_VALUE"""),100.0)</f>
        <v>100</v>
      </c>
      <c r="L141" s="3">
        <f>IFERROR(__xludf.DUMMYFUNCTION("""COMPUTED_VALUE"""),100.0)</f>
        <v>100</v>
      </c>
      <c r="M141" s="3" t="str">
        <f>IFERROR(__xludf.DUMMYFUNCTION("""COMPUTED_VALUE"""),"Water:Immune, Earth:Immune, ")</f>
        <v>Water:Immune, Earth:Immune, </v>
      </c>
      <c r="N141" s="3" t="str">
        <f>IFERROR(__xludf.DUMMYFUNCTION("""COMPUTED_VALUE"""),"Fire:100, ")</f>
        <v>Fire:100, </v>
      </c>
      <c r="O141" s="3"/>
      <c r="P141" s="3"/>
      <c r="Q141" s="3"/>
      <c r="R141" s="3"/>
      <c r="S141" s="3"/>
      <c r="T141" s="3"/>
      <c r="U141" s="3"/>
      <c r="V141" s="3"/>
      <c r="W141" s="3" t="str">
        <f>IFERROR(__xludf.DUMMYFUNCTION("""COMPUTED_VALUE"""),"Hardened Ice Sickle")</f>
        <v>Hardened Ice Sickle</v>
      </c>
      <c r="X141" s="3"/>
      <c r="Y141" s="3"/>
      <c r="Z141" s="3"/>
      <c r="AA141" s="3"/>
      <c r="AB141" s="3"/>
      <c r="AC141" s="3"/>
      <c r="AD141" s="3"/>
      <c r="AE141" s="3"/>
      <c r="AF141" s="3"/>
      <c r="AG141" s="3"/>
      <c r="AH141" s="3"/>
      <c r="AI141" s="3"/>
      <c r="AJ141" s="3" t="str">
        <f>IFERROR(__xludf.DUMMYFUNCTION("""COMPUTED_VALUE"""),"Frost Cloak")</f>
        <v>Frost Cloak</v>
      </c>
      <c r="AK141" s="3" t="str">
        <f>IFERROR(__xludf.DUMMYFUNCTION("""COMPUTED_VALUE"""),"Frost Barrier")</f>
        <v>Frost Barrier</v>
      </c>
      <c r="AL141" s="3" t="str">
        <f>IFERROR(__xludf.DUMMYFUNCTION("""COMPUTED_VALUE"""),"Roaring Frost Winds")</f>
        <v>Roaring Frost Winds</v>
      </c>
      <c r="AM141" s="3" t="str">
        <f>IFERROR(__xludf.DUMMYFUNCTION("""COMPUTED_VALUE"""),"Blizzard")</f>
        <v>Blizzard</v>
      </c>
      <c r="AN141" s="3" t="str">
        <f>IFERROR(__xludf.DUMMYFUNCTION("""COMPUTED_VALUE"""),"Icicle spear")</f>
        <v>Icicle spear</v>
      </c>
      <c r="AO141" s="3"/>
      <c r="AP141" s="3"/>
      <c r="AQ141" s="3"/>
      <c r="AR141" s="3"/>
      <c r="AS141" s="3"/>
      <c r="AT141" s="3"/>
      <c r="AU141" s="3"/>
      <c r="AV141" s="3"/>
      <c r="AW141" s="3"/>
      <c r="AX141" s="3"/>
      <c r="AY141" s="3"/>
      <c r="AZ141" s="3"/>
      <c r="BA141" s="3"/>
      <c r="BB141" s="3"/>
      <c r="BC141" s="1"/>
      <c r="BD141" s="3">
        <f>IFERROR(__xludf.DUMMYFUNCTION("""COMPUTED_VALUE"""),0.0)</f>
        <v>0</v>
      </c>
      <c r="BE141" s="4">
        <f>IFERROR(__xludf.DUMMYFUNCTION("""COMPUTED_VALUE"""),10.0)</f>
        <v>10</v>
      </c>
      <c r="BF141" s="3"/>
      <c r="BG141" s="3" t="str">
        <f>IFERROR(__xludf.DUMMYFUNCTION("""COMPUTED_VALUE"""),"Tundra")</f>
        <v>Tundra</v>
      </c>
      <c r="BH141" s="3" t="str">
        <f>IFERROR(__xludf.DUMMYFUNCTION("""COMPUTED_VALUE"""),"Land of Spira")</f>
        <v>Land of Spira</v>
      </c>
      <c r="BI141" s="3"/>
      <c r="BJ141" s="3"/>
      <c r="BK141" s="3"/>
      <c r="BL141" s="3" t="b">
        <f>IFERROR(__xludf.DUMMYFUNCTION("""COMPUTED_VALUE"""),FALSE)</f>
        <v>0</v>
      </c>
      <c r="BM141" s="3"/>
      <c r="BN141" s="3"/>
      <c r="BO141" s="3"/>
      <c r="BP141" s="3"/>
      <c r="BQ141" s="3"/>
      <c r="BR141" s="3"/>
      <c r="BS141" s="3"/>
      <c r="BT141" s="3"/>
      <c r="BU141" s="3"/>
      <c r="BV141" s="3"/>
      <c r="BW141" s="3"/>
    </row>
    <row r="142" ht="15.75" customHeight="1">
      <c r="A142" s="3" t="str">
        <f>IFERROR(__xludf.DUMMYFUNCTION("""COMPUTED_VALUE"""),"Ice Slime")</f>
        <v>Ice Slime</v>
      </c>
      <c r="B142" s="3">
        <f>IFERROR(__xludf.DUMMYFUNCTION("""COMPUTED_VALUE"""),1.0)</f>
        <v>1</v>
      </c>
      <c r="C142" s="3"/>
      <c r="D142" s="12" t="str">
        <f>IFERROR(__xludf.DUMMYFUNCTION("""COMPUTED_VALUE"""),"Monstrosity")</f>
        <v>Monstrosity</v>
      </c>
      <c r="E142" s="12">
        <f>IFERROR(__xludf.DUMMYFUNCTION("""COMPUTED_VALUE"""),1010.0)</f>
        <v>1010</v>
      </c>
      <c r="F142" s="12">
        <f>IFERROR(__xludf.DUMMYFUNCTION("""COMPUTED_VALUE"""),1010.0)</f>
        <v>1010</v>
      </c>
      <c r="G142" s="12">
        <f>IFERROR(__xludf.DUMMYFUNCTION("""COMPUTED_VALUE"""),1010.0)</f>
        <v>1010</v>
      </c>
      <c r="H142" s="3">
        <f>IFERROR(__xludf.DUMMYFUNCTION("""COMPUTED_VALUE"""),10.0)</f>
        <v>10</v>
      </c>
      <c r="I142" s="3">
        <f>IFERROR(__xludf.DUMMYFUNCTION("""COMPUTED_VALUE"""),0.0)</f>
        <v>0</v>
      </c>
      <c r="J142" s="3">
        <f>IFERROR(__xludf.DUMMYFUNCTION("""COMPUTED_VALUE"""),0.0)</f>
        <v>0</v>
      </c>
      <c r="K142" s="3">
        <f>IFERROR(__xludf.DUMMYFUNCTION("""COMPUTED_VALUE"""),100.0)</f>
        <v>100</v>
      </c>
      <c r="L142" s="3">
        <f>IFERROR(__xludf.DUMMYFUNCTION("""COMPUTED_VALUE"""),100.0)</f>
        <v>100</v>
      </c>
      <c r="M142" s="3" t="str">
        <f>IFERROR(__xludf.DUMMYFUNCTION("""COMPUTED_VALUE"""),"Water:100, Nature:100, ")</f>
        <v>Water:100, Nature:100, </v>
      </c>
      <c r="N142" s="3" t="str">
        <f>IFERROR(__xludf.DUMMYFUNCTION("""COMPUTED_VALUE"""),"")</f>
        <v/>
      </c>
      <c r="O142" s="3"/>
      <c r="P142" s="3"/>
      <c r="Q142" s="3"/>
      <c r="R142" s="3"/>
      <c r="S142" s="3"/>
      <c r="T142" s="3"/>
      <c r="U142" s="3"/>
      <c r="V142" s="3"/>
      <c r="W142" s="3"/>
      <c r="X142" s="3"/>
      <c r="Y142" s="3"/>
      <c r="Z142" s="3"/>
      <c r="AA142" s="3"/>
      <c r="AB142" s="3"/>
      <c r="AC142" s="3"/>
      <c r="AD142" s="3"/>
      <c r="AE142" s="3"/>
      <c r="AF142" s="3"/>
      <c r="AG142" s="3"/>
      <c r="AH142" s="3"/>
      <c r="AI142" s="3"/>
      <c r="AJ142" s="3" t="str">
        <f>IFERROR(__xludf.DUMMYFUNCTION("""COMPUTED_VALUE"""),"Absorb Enemy ")</f>
        <v>Absorb Enemy </v>
      </c>
      <c r="AK142" s="3" t="str">
        <f>IFERROR(__xludf.DUMMYFUNCTION("""COMPUTED_VALUE"""),"Latch on")</f>
        <v>Latch on</v>
      </c>
      <c r="AL142" s="3"/>
      <c r="AM142" s="3"/>
      <c r="AN142" s="3"/>
      <c r="AO142" s="3"/>
      <c r="AP142" s="3"/>
      <c r="AQ142" s="3"/>
      <c r="AR142" s="3"/>
      <c r="AS142" s="3"/>
      <c r="AT142" s="3"/>
      <c r="AU142" s="3"/>
      <c r="AV142" s="3"/>
      <c r="AW142" s="3"/>
      <c r="AX142" s="3"/>
      <c r="AY142" s="3"/>
      <c r="AZ142" s="3"/>
      <c r="BA142" s="3"/>
      <c r="BB142" s="3"/>
      <c r="BC142" s="1"/>
      <c r="BD142" s="3">
        <f>IFERROR(__xludf.DUMMYFUNCTION("""COMPUTED_VALUE"""),0.0)</f>
        <v>0</v>
      </c>
      <c r="BE142" s="4">
        <f>IFERROR(__xludf.DUMMYFUNCTION("""COMPUTED_VALUE"""),15.0)</f>
        <v>15</v>
      </c>
      <c r="BF142" s="3" t="str">
        <f>IFERROR(__xludf.DUMMYFUNCTION("""COMPUTED_VALUE"""),"Ice Ward: 50% chance to freeze a target that attempts to attack or cast a spell")</f>
        <v>Ice Ward: 50% chance to freeze a target that attempts to attack or cast a spell</v>
      </c>
      <c r="BG142" s="3" t="str">
        <f>IFERROR(__xludf.DUMMYFUNCTION("""COMPUTED_VALUE"""),"All")</f>
        <v>All</v>
      </c>
      <c r="BH142" s="3" t="str">
        <f>IFERROR(__xludf.DUMMYFUNCTION("""COMPUTED_VALUE"""),"Land of Spira")</f>
        <v>Land of Spira</v>
      </c>
      <c r="BI142" s="3"/>
      <c r="BJ142" s="3"/>
      <c r="BK142" s="3"/>
      <c r="BL142" s="3" t="b">
        <f>IFERROR(__xludf.DUMMYFUNCTION("""COMPUTED_VALUE"""),FALSE)</f>
        <v>0</v>
      </c>
      <c r="BM142" s="3"/>
      <c r="BN142" s="3"/>
      <c r="BO142" s="3"/>
      <c r="BP142" s="3"/>
      <c r="BQ142" s="3"/>
      <c r="BR142" s="3"/>
      <c r="BS142" s="3"/>
      <c r="BT142" s="3"/>
      <c r="BU142" s="3"/>
      <c r="BV142" s="3"/>
      <c r="BW142" s="3"/>
    </row>
    <row r="143" ht="15.75" customHeight="1">
      <c r="A143" s="3" t="str">
        <f>IFERROR(__xludf.DUMMYFUNCTION("""COMPUTED_VALUE"""),"Ice Yak")</f>
        <v>Ice Yak</v>
      </c>
      <c r="B143" s="3">
        <f>IFERROR(__xludf.DUMMYFUNCTION("""COMPUTED_VALUE"""),1.0)</f>
        <v>1</v>
      </c>
      <c r="C143" s="3"/>
      <c r="D143" s="12" t="str">
        <f>IFERROR(__xludf.DUMMYFUNCTION("""COMPUTED_VALUE"""),"Beast")</f>
        <v>Beast</v>
      </c>
      <c r="E143" s="12">
        <f>IFERROR(__xludf.DUMMYFUNCTION("""COMPUTED_VALUE"""),1010.0)</f>
        <v>1010</v>
      </c>
      <c r="F143" s="12">
        <f>IFERROR(__xludf.DUMMYFUNCTION("""COMPUTED_VALUE"""),1010.0)</f>
        <v>1010</v>
      </c>
      <c r="G143" s="12">
        <f>IFERROR(__xludf.DUMMYFUNCTION("""COMPUTED_VALUE"""),31010.0)</f>
        <v>31010</v>
      </c>
      <c r="H143" s="3">
        <f>IFERROR(__xludf.DUMMYFUNCTION("""COMPUTED_VALUE"""),10.0)</f>
        <v>10</v>
      </c>
      <c r="I143" s="3">
        <f>IFERROR(__xludf.DUMMYFUNCTION("""COMPUTED_VALUE"""),0.0)</f>
        <v>0</v>
      </c>
      <c r="J143" s="3">
        <f>IFERROR(__xludf.DUMMYFUNCTION("""COMPUTED_VALUE"""),0.0)</f>
        <v>0</v>
      </c>
      <c r="K143" s="3">
        <f>IFERROR(__xludf.DUMMYFUNCTION("""COMPUTED_VALUE"""),100.0)</f>
        <v>100</v>
      </c>
      <c r="L143" s="3">
        <f>IFERROR(__xludf.DUMMYFUNCTION("""COMPUTED_VALUE"""),100.0)</f>
        <v>100</v>
      </c>
      <c r="M143" s="3" t="str">
        <f>IFERROR(__xludf.DUMMYFUNCTION("""COMPUTED_VALUE"""),"Earth:Immune, ")</f>
        <v>Earth:Immune, </v>
      </c>
      <c r="N143" s="3" t="str">
        <f>IFERROR(__xludf.DUMMYFUNCTION("""COMPUTED_VALUE"""),"Fire:100, ")</f>
        <v>Fire:100, </v>
      </c>
      <c r="O143" s="3"/>
      <c r="P143" s="3"/>
      <c r="Q143" s="3"/>
      <c r="R143" s="3"/>
      <c r="S143" s="3"/>
      <c r="T143" s="3"/>
      <c r="U143" s="3"/>
      <c r="V143" s="3"/>
      <c r="W143" s="3"/>
      <c r="X143" s="3"/>
      <c r="Y143" s="3"/>
      <c r="Z143" s="3"/>
      <c r="AA143" s="3"/>
      <c r="AB143" s="3"/>
      <c r="AC143" s="3"/>
      <c r="AD143" s="3"/>
      <c r="AE143" s="3"/>
      <c r="AF143" s="3"/>
      <c r="AG143" s="3"/>
      <c r="AH143" s="3"/>
      <c r="AI143" s="3"/>
      <c r="AJ143" s="3" t="str">
        <f>IFERROR(__xludf.DUMMYFUNCTION("""COMPUTED_VALUE"""),"Avalanche")</f>
        <v>Avalanche</v>
      </c>
      <c r="AK143" s="3" t="str">
        <f>IFERROR(__xludf.DUMMYFUNCTION("""COMPUTED_VALUE"""),"Ice Horns")</f>
        <v>Ice Horns</v>
      </c>
      <c r="AL143" s="3" t="str">
        <f>IFERROR(__xludf.DUMMYFUNCTION("""COMPUTED_VALUE"""),"Tackle")</f>
        <v>Tackle</v>
      </c>
      <c r="AM143" s="3" t="str">
        <f>IFERROR(__xludf.DUMMYFUNCTION("""COMPUTED_VALUE"""),"Gore")</f>
        <v>Gore</v>
      </c>
      <c r="AN143" s="3" t="str">
        <f>IFERROR(__xludf.DUMMYFUNCTION("""COMPUTED_VALUE"""),"Guard")</f>
        <v>Guard</v>
      </c>
      <c r="AO143" s="3"/>
      <c r="AP143" s="3"/>
      <c r="AQ143" s="3"/>
      <c r="AR143" s="3"/>
      <c r="AS143" s="3"/>
      <c r="AT143" s="3"/>
      <c r="AU143" s="3"/>
      <c r="AV143" s="3"/>
      <c r="AW143" s="3"/>
      <c r="AX143" s="3"/>
      <c r="AY143" s="3"/>
      <c r="AZ143" s="3"/>
      <c r="BA143" s="3"/>
      <c r="BB143" s="3"/>
      <c r="BC143" s="1"/>
      <c r="BD143" s="3">
        <f>IFERROR(__xludf.DUMMYFUNCTION("""COMPUTED_VALUE"""),0.0)</f>
        <v>0</v>
      </c>
      <c r="BE143" s="4">
        <f>IFERROR(__xludf.DUMMYFUNCTION("""COMPUTED_VALUE"""),20.0)</f>
        <v>20</v>
      </c>
      <c r="BF143" s="3"/>
      <c r="BG143" s="3" t="str">
        <f>IFERROR(__xludf.DUMMYFUNCTION("""COMPUTED_VALUE"""),"Tundra")</f>
        <v>Tundra</v>
      </c>
      <c r="BH143" s="3" t="str">
        <f>IFERROR(__xludf.DUMMYFUNCTION("""COMPUTED_VALUE"""),"Land of Spira")</f>
        <v>Land of Spira</v>
      </c>
      <c r="BI143" s="3"/>
      <c r="BJ143" s="3"/>
      <c r="BK143" s="3"/>
      <c r="BL143" s="3" t="b">
        <f>IFERROR(__xludf.DUMMYFUNCTION("""COMPUTED_VALUE"""),FALSE)</f>
        <v>0</v>
      </c>
      <c r="BM143" s="3"/>
      <c r="BN143" s="3"/>
      <c r="BO143" s="3"/>
      <c r="BP143" s="3"/>
      <c r="BQ143" s="3"/>
      <c r="BR143" s="3"/>
      <c r="BS143" s="3"/>
      <c r="BT143" s="3"/>
      <c r="BU143" s="3"/>
      <c r="BV143" s="3"/>
      <c r="BW143" s="3"/>
    </row>
    <row r="144" ht="15.75" customHeight="1">
      <c r="A144" s="3" t="str">
        <f>IFERROR(__xludf.DUMMYFUNCTION("""COMPUTED_VALUE"""),"Imperial Judge")</f>
        <v>Imperial Judge</v>
      </c>
      <c r="B144" s="3">
        <f>IFERROR(__xludf.DUMMYFUNCTION("""COMPUTED_VALUE"""),1.0)</f>
        <v>1</v>
      </c>
      <c r="C144" s="3"/>
      <c r="D144" s="12" t="str">
        <f>IFERROR(__xludf.DUMMYFUNCTION("""COMPUTED_VALUE"""),"Humanoid")</f>
        <v>Humanoid</v>
      </c>
      <c r="E144" s="12">
        <f>IFERROR(__xludf.DUMMYFUNCTION("""COMPUTED_VALUE"""),1010.0)</f>
        <v>1010</v>
      </c>
      <c r="F144" s="12">
        <f>IFERROR(__xludf.DUMMYFUNCTION("""COMPUTED_VALUE"""),1010.0)</f>
        <v>1010</v>
      </c>
      <c r="G144" s="12">
        <f>IFERROR(__xludf.DUMMYFUNCTION("""COMPUTED_VALUE"""),1010.0)</f>
        <v>1010</v>
      </c>
      <c r="H144" s="3">
        <f>IFERROR(__xludf.DUMMYFUNCTION("""COMPUTED_VALUE"""),20.0)</f>
        <v>20</v>
      </c>
      <c r="I144" s="3">
        <f>IFERROR(__xludf.DUMMYFUNCTION("""COMPUTED_VALUE"""),20.0)</f>
        <v>20</v>
      </c>
      <c r="J144" s="3">
        <f>IFERROR(__xludf.DUMMYFUNCTION("""COMPUTED_VALUE"""),0.0)</f>
        <v>0</v>
      </c>
      <c r="K144" s="3">
        <f>IFERROR(__xludf.DUMMYFUNCTION("""COMPUTED_VALUE"""),100.0)</f>
        <v>100</v>
      </c>
      <c r="L144" s="3">
        <f>IFERROR(__xludf.DUMMYFUNCTION("""COMPUTED_VALUE"""),100.0)</f>
        <v>100</v>
      </c>
      <c r="M144" s="3" t="str">
        <f>IFERROR(__xludf.DUMMYFUNCTION("""COMPUTED_VALUE"""),"Light:Immune, Order:Immune, Instant Death:Immune, Banishment:Immune, ")</f>
        <v>Light:Immune, Order:Immune, Instant Death:Immune, Banishment:Immune, </v>
      </c>
      <c r="N144" s="3" t="str">
        <f>IFERROR(__xludf.DUMMYFUNCTION("""COMPUTED_VALUE"""),"Dark:100, ")</f>
        <v>Dark:100, </v>
      </c>
      <c r="O144" s="3"/>
      <c r="P144" s="3"/>
      <c r="Q144" s="3"/>
      <c r="R144" s="3"/>
      <c r="S144" s="3"/>
      <c r="T144" s="3"/>
      <c r="U144" s="3"/>
      <c r="V144" s="3"/>
      <c r="W144" s="3"/>
      <c r="X144" s="3"/>
      <c r="Y144" s="3"/>
      <c r="Z144" s="3"/>
      <c r="AA144" s="3"/>
      <c r="AB144" s="3"/>
      <c r="AC144" s="3"/>
      <c r="AD144" s="3"/>
      <c r="AE144" s="3"/>
      <c r="AF144" s="3"/>
      <c r="AG144" s="3"/>
      <c r="AH144" s="3"/>
      <c r="AI144" s="3"/>
      <c r="AJ144" s="3" t="str">
        <f>IFERROR(__xludf.DUMMYFUNCTION("""COMPUTED_VALUE"""),"Guard Call (Mob)")</f>
        <v>Guard Call (Mob)</v>
      </c>
      <c r="AK144" s="3" t="str">
        <f>IFERROR(__xludf.DUMMYFUNCTION("""COMPUTED_VALUE"""),"Arrest")</f>
        <v>Arrest</v>
      </c>
      <c r="AL144" s="3" t="str">
        <f>IFERROR(__xludf.DUMMYFUNCTION("""COMPUTED_VALUE"""),"Focused Light")</f>
        <v>Focused Light</v>
      </c>
      <c r="AM144" s="3" t="str">
        <f>IFERROR(__xludf.DUMMYFUNCTION("""COMPUTED_VALUE"""),"Alliance Guard")</f>
        <v>Alliance Guard</v>
      </c>
      <c r="AN144" s="3" t="str">
        <f>IFERROR(__xludf.DUMMYFUNCTION("""COMPUTED_VALUE"""),"Baptize")</f>
        <v>Baptize</v>
      </c>
      <c r="AO144" s="3" t="str">
        <f>IFERROR(__xludf.DUMMYFUNCTION("""COMPUTED_VALUE"""),"Neutralize")</f>
        <v>Neutralize</v>
      </c>
      <c r="AP144" s="3" t="str">
        <f>IFERROR(__xludf.DUMMYFUNCTION("""COMPUTED_VALUE"""),"Reflect")</f>
        <v>Reflect</v>
      </c>
      <c r="AQ144" s="3" t="str">
        <f>IFERROR(__xludf.DUMMYFUNCTION("""COMPUTED_VALUE"""),"Cancel")</f>
        <v>Cancel</v>
      </c>
      <c r="AR144" s="3" t="str">
        <f>IFERROR(__xludf.DUMMYFUNCTION("""COMPUTED_VALUE"""),"Confiscate")</f>
        <v>Confiscate</v>
      </c>
      <c r="AS144" s="3" t="str">
        <f>IFERROR(__xludf.DUMMYFUNCTION("""COMPUTED_VALUE"""),"Instant Regeneration")</f>
        <v>Instant Regeneration</v>
      </c>
      <c r="AT144" s="3" t="str">
        <f>IFERROR(__xludf.DUMMYFUNCTION("""COMPUTED_VALUE"""),"Downgrade")</f>
        <v>Downgrade</v>
      </c>
      <c r="AU144" s="3" t="str">
        <f>IFERROR(__xludf.DUMMYFUNCTION("""COMPUTED_VALUE"""),"Multi Ward")</f>
        <v>Multi Ward</v>
      </c>
      <c r="AV144" s="3" t="str">
        <f>IFERROR(__xludf.DUMMYFUNCTION("""COMPUTED_VALUE"""),"Celestial Wrath")</f>
        <v>Celestial Wrath</v>
      </c>
      <c r="AW144" s="3" t="str">
        <f>IFERROR(__xludf.DUMMYFUNCTION("""COMPUTED_VALUE"""),"Mass Destruction")</f>
        <v>Mass Destruction</v>
      </c>
      <c r="AX144" s="3" t="str">
        <f>IFERROR(__xludf.DUMMYFUNCTION("""COMPUTED_VALUE"""),"Chaincast")</f>
        <v>Chaincast</v>
      </c>
      <c r="AY144" s="3"/>
      <c r="AZ144" s="3"/>
      <c r="BA144" s="3"/>
      <c r="BB144" s="3"/>
      <c r="BC144" s="1"/>
      <c r="BD144" s="3">
        <f>IFERROR(__xludf.DUMMYFUNCTION("""COMPUTED_VALUE"""),20.0)</f>
        <v>20</v>
      </c>
      <c r="BE144" s="4">
        <f>IFERROR(__xludf.DUMMYFUNCTION("""COMPUTED_VALUE"""),20.0)</f>
        <v>20</v>
      </c>
      <c r="BF144" s="3" t="str">
        <f>IFERROR(__xludf.DUMMYFUNCTION("""COMPUTED_VALUE"""),"75% chance to be unaffected by any spells affecting this mob
75% chance to dodge any attack without fail.
Royal Guards Luck: 10 can be added to the caster's d20 roll, if the enemy gets a higher roll then the caster the enemy must roll again once more.
Roy"&amp;"al Awakening: When the caster dies 2 Guards Tier II will be summoned.")</f>
        <v>75% chance to be unaffected by any spells affecting this mob
75% chance to dodge any attack without fail.
Royal Guards Luck: 10 can be added to the caster's d20 roll, if the enemy gets a higher roll then the caster the enemy must roll again once more.
Royal Awakening: When the caster dies 2 Guards Tier II will be summoned.</v>
      </c>
      <c r="BG144" s="3" t="str">
        <f>IFERROR(__xludf.DUMMYFUNCTION("""COMPUTED_VALUE"""),"City/Town")</f>
        <v>City/Town</v>
      </c>
      <c r="BH144" s="3" t="str">
        <f>IFERROR(__xludf.DUMMYFUNCTION("""COMPUTED_VALUE"""),"Land of Spira")</f>
        <v>Land of Spira</v>
      </c>
      <c r="BI144" s="3"/>
      <c r="BJ144" s="3"/>
      <c r="BK144" s="3"/>
      <c r="BL144" s="3" t="b">
        <f>IFERROR(__xludf.DUMMYFUNCTION("""COMPUTED_VALUE"""),FALSE)</f>
        <v>0</v>
      </c>
      <c r="BM144" s="3"/>
      <c r="BN144" s="3"/>
      <c r="BO144" s="3"/>
      <c r="BP144" s="3"/>
      <c r="BQ144" s="3"/>
      <c r="BR144" s="3"/>
      <c r="BS144" s="3"/>
      <c r="BT144" s="3"/>
      <c r="BU144" s="3"/>
      <c r="BV144" s="3"/>
      <c r="BW144" s="3"/>
    </row>
    <row r="145" ht="15.75" customHeight="1">
      <c r="A145" s="3" t="str">
        <f>IFERROR(__xludf.DUMMYFUNCTION("""COMPUTED_VALUE"""),"Inferno Tree Walker")</f>
        <v>Inferno Tree Walker</v>
      </c>
      <c r="B145" s="3">
        <f>IFERROR(__xludf.DUMMYFUNCTION("""COMPUTED_VALUE"""),1.0)</f>
        <v>1</v>
      </c>
      <c r="C145" s="3"/>
      <c r="D145" s="12" t="str">
        <f>IFERROR(__xludf.DUMMYFUNCTION("""COMPUTED_VALUE"""),"Monstrosity")</f>
        <v>Monstrosity</v>
      </c>
      <c r="E145" s="12">
        <f>IFERROR(__xludf.DUMMYFUNCTION("""COMPUTED_VALUE"""),1010.0)</f>
        <v>1010</v>
      </c>
      <c r="F145" s="12">
        <f>IFERROR(__xludf.DUMMYFUNCTION("""COMPUTED_VALUE"""),1010.0)</f>
        <v>1010</v>
      </c>
      <c r="G145" s="12">
        <f>IFERROR(__xludf.DUMMYFUNCTION("""COMPUTED_VALUE"""),1010.0)</f>
        <v>1010</v>
      </c>
      <c r="H145" s="3">
        <f>IFERROR(__xludf.DUMMYFUNCTION("""COMPUTED_VALUE"""),10.0)</f>
        <v>10</v>
      </c>
      <c r="I145" s="3">
        <f>IFERROR(__xludf.DUMMYFUNCTION("""COMPUTED_VALUE"""),0.0)</f>
        <v>0</v>
      </c>
      <c r="J145" s="3">
        <f>IFERROR(__xludf.DUMMYFUNCTION("""COMPUTED_VALUE"""),0.0)</f>
        <v>0</v>
      </c>
      <c r="K145" s="3">
        <f>IFERROR(__xludf.DUMMYFUNCTION("""COMPUTED_VALUE"""),100.0)</f>
        <v>100</v>
      </c>
      <c r="L145" s="3">
        <f>IFERROR(__xludf.DUMMYFUNCTION("""COMPUTED_VALUE"""),100.0)</f>
        <v>100</v>
      </c>
      <c r="M145" s="3" t="str">
        <f>IFERROR(__xludf.DUMMYFUNCTION("""COMPUTED_VALUE"""),"Fire:Immune, Nature:Immune, ")</f>
        <v>Fire:Immune, Nature:Immune, </v>
      </c>
      <c r="N145" s="3" t="str">
        <f>IFERROR(__xludf.DUMMYFUNCTION("""COMPUTED_VALUE"""),"")</f>
        <v/>
      </c>
      <c r="O145" s="3"/>
      <c r="P145" s="3"/>
      <c r="Q145" s="3"/>
      <c r="R145" s="3"/>
      <c r="S145" s="3"/>
      <c r="T145" s="3"/>
      <c r="U145" s="3"/>
      <c r="V145" s="3" t="str">
        <f>IFERROR(__xludf.DUMMYFUNCTION("""COMPUTED_VALUE"""),"Legendary Tree Sword")</f>
        <v>Legendary Tree Sword</v>
      </c>
      <c r="W145" s="3"/>
      <c r="X145" s="3" t="str">
        <f>IFERROR(__xludf.DUMMYFUNCTION("""COMPUTED_VALUE"""),"Ring o’ Luck and Nature")</f>
        <v>Ring o’ Luck and Nature</v>
      </c>
      <c r="Y145" s="3"/>
      <c r="Z145" s="3"/>
      <c r="AA145" s="3"/>
      <c r="AB145" s="3"/>
      <c r="AC145" s="3"/>
      <c r="AD145" s="3"/>
      <c r="AE145" s="3"/>
      <c r="AF145" s="3"/>
      <c r="AG145" s="3"/>
      <c r="AH145" s="3"/>
      <c r="AI145" s="3"/>
      <c r="AJ145" s="3" t="str">
        <f>IFERROR(__xludf.DUMMYFUNCTION("""COMPUTED_VALUE"""),"Molten Bolder Toss")</f>
        <v>Molten Bolder Toss</v>
      </c>
      <c r="AK145" s="3" t="str">
        <f>IFERROR(__xludf.DUMMYFUNCTION("""COMPUTED_VALUE"""),"Earthquake")</f>
        <v>Earthquake</v>
      </c>
      <c r="AL145" s="3" t="str">
        <f>IFERROR(__xludf.DUMMYFUNCTION("""COMPUTED_VALUE"""),"Tree Throw")</f>
        <v>Tree Throw</v>
      </c>
      <c r="AM145" s="3" t="str">
        <f>IFERROR(__xludf.DUMMYFUNCTION("""COMPUTED_VALUE"""),"Grounds")</f>
        <v>Grounds</v>
      </c>
      <c r="AN145" s="3" t="str">
        <f>IFERROR(__xludf.DUMMYFUNCTION("""COMPUTED_VALUE"""),"Vine Hold")</f>
        <v>Vine Hold</v>
      </c>
      <c r="AO145" s="3" t="str">
        <f>IFERROR(__xludf.DUMMYFUNCTION("""COMPUTED_VALUE"""),"The World Tree")</f>
        <v>The World Tree</v>
      </c>
      <c r="AP145" s="3" t="str">
        <f>IFERROR(__xludf.DUMMYFUNCTION("""COMPUTED_VALUE"""),"Solar Storm")</f>
        <v>Solar Storm</v>
      </c>
      <c r="AQ145" s="3" t="str">
        <f>IFERROR(__xludf.DUMMYFUNCTION("""COMPUTED_VALUE"""),"Meteor Shower")</f>
        <v>Meteor Shower</v>
      </c>
      <c r="AR145" s="3" t="str">
        <f>IFERROR(__xludf.DUMMYFUNCTION("""COMPUTED_VALUE"""),"Dark Sacrifice")</f>
        <v>Dark Sacrifice</v>
      </c>
      <c r="AS145" s="3" t="str">
        <f>IFERROR(__xludf.DUMMYFUNCTION("""COMPUTED_VALUE"""),"Dark Curse")</f>
        <v>Dark Curse</v>
      </c>
      <c r="AT145" s="3" t="str">
        <f>IFERROR(__xludf.DUMMYFUNCTION("""COMPUTED_VALUE"""),"Berserk")</f>
        <v>Berserk</v>
      </c>
      <c r="AU145" s="3" t="str">
        <f>IFERROR(__xludf.DUMMYFUNCTION("""COMPUTED_VALUE"""),"Celestial Wrath")</f>
        <v>Celestial Wrath</v>
      </c>
      <c r="AV145" s="3"/>
      <c r="AW145" s="3"/>
      <c r="AX145" s="3"/>
      <c r="AY145" s="3"/>
      <c r="AZ145" s="3"/>
      <c r="BA145" s="3"/>
      <c r="BB145" s="3"/>
      <c r="BC145" s="1"/>
      <c r="BD145" s="3">
        <f>IFERROR(__xludf.DUMMYFUNCTION("""COMPUTED_VALUE"""),0.0)</f>
        <v>0</v>
      </c>
      <c r="BE145" s="4">
        <f>IFERROR(__xludf.DUMMYFUNCTION("""COMPUTED_VALUE"""),10.0)</f>
        <v>10</v>
      </c>
      <c r="BF145" s="3" t="str">
        <f>IFERROR(__xludf.DUMMYFUNCTION("""COMPUTED_VALUE"""),"Forest Totem: If this mob deals nature or fire damage it will gain hp and sp back equal to the damage it caused.
Regenerating Flame: Fire damage dealt to this mob gives it hp back instead of dealing damage.
Immune to Freezing.")</f>
        <v>Forest Totem: If this mob deals nature or fire damage it will gain hp and sp back equal to the damage it caused.
Regenerating Flame: Fire damage dealt to this mob gives it hp back instead of dealing damage.
Immune to Freezing.</v>
      </c>
      <c r="BG145" s="3" t="str">
        <f>IFERROR(__xludf.DUMMYFUNCTION("""COMPUTED_VALUE"""),"All")</f>
        <v>All</v>
      </c>
      <c r="BH145" s="3" t="str">
        <f>IFERROR(__xludf.DUMMYFUNCTION("""COMPUTED_VALUE"""),"Abstara")</f>
        <v>Abstara</v>
      </c>
      <c r="BI145" s="3"/>
      <c r="BJ145" s="3"/>
      <c r="BK145" s="3"/>
      <c r="BL145" s="3" t="b">
        <f>IFERROR(__xludf.DUMMYFUNCTION("""COMPUTED_VALUE"""),FALSE)</f>
        <v>0</v>
      </c>
      <c r="BM145" s="3"/>
      <c r="BN145" s="3"/>
      <c r="BO145" s="3"/>
      <c r="BP145" s="3"/>
      <c r="BQ145" s="3"/>
      <c r="BR145" s="3"/>
      <c r="BS145" s="3"/>
      <c r="BT145" s="3"/>
      <c r="BU145" s="3"/>
      <c r="BV145" s="3"/>
      <c r="BW145" s="3"/>
    </row>
    <row r="146" ht="15.75" customHeight="1">
      <c r="A146" s="3" t="str">
        <f>IFERROR(__xludf.DUMMYFUNCTION("""COMPUTED_VALUE"""),"Inferno Vulture")</f>
        <v>Inferno Vulture</v>
      </c>
      <c r="B146" s="3">
        <f>IFERROR(__xludf.DUMMYFUNCTION("""COMPUTED_VALUE"""),1.0)</f>
        <v>1</v>
      </c>
      <c r="C146" s="3"/>
      <c r="D146" s="12" t="str">
        <f>IFERROR(__xludf.DUMMYFUNCTION("""COMPUTED_VALUE"""),"Beast")</f>
        <v>Beast</v>
      </c>
      <c r="E146" s="12">
        <f>IFERROR(__xludf.DUMMYFUNCTION("""COMPUTED_VALUE"""),16010.0)</f>
        <v>16010</v>
      </c>
      <c r="F146" s="12">
        <f>IFERROR(__xludf.DUMMYFUNCTION("""COMPUTED_VALUE"""),16010.0)</f>
        <v>16010</v>
      </c>
      <c r="G146" s="12">
        <f>IFERROR(__xludf.DUMMYFUNCTION("""COMPUTED_VALUE"""),1010.0)</f>
        <v>1010</v>
      </c>
      <c r="H146" s="3">
        <f>IFERROR(__xludf.DUMMYFUNCTION("""COMPUTED_VALUE"""),15.0)</f>
        <v>15</v>
      </c>
      <c r="I146" s="3">
        <f>IFERROR(__xludf.DUMMYFUNCTION("""COMPUTED_VALUE"""),0.0)</f>
        <v>0</v>
      </c>
      <c r="J146" s="3">
        <f>IFERROR(__xludf.DUMMYFUNCTION("""COMPUTED_VALUE"""),0.0)</f>
        <v>0</v>
      </c>
      <c r="K146" s="3">
        <f>IFERROR(__xludf.DUMMYFUNCTION("""COMPUTED_VALUE"""),100.0)</f>
        <v>100</v>
      </c>
      <c r="L146" s="3">
        <f>IFERROR(__xludf.DUMMYFUNCTION("""COMPUTED_VALUE"""),100.0)</f>
        <v>100</v>
      </c>
      <c r="M146" s="3" t="str">
        <f>IFERROR(__xludf.DUMMYFUNCTION("""COMPUTED_VALUE"""),"Fire:Immune, Nature:Immune, ")</f>
        <v>Fire:Immune, Nature:Immune, </v>
      </c>
      <c r="N146" s="3" t="str">
        <f>IFERROR(__xludf.DUMMYFUNCTION("""COMPUTED_VALUE"""),"Water:100, ")</f>
        <v>Water:100, </v>
      </c>
      <c r="O146" s="3"/>
      <c r="P146" s="3"/>
      <c r="Q146" s="3"/>
      <c r="R146" s="3"/>
      <c r="S146" s="3"/>
      <c r="T146" s="3"/>
      <c r="U146" s="3"/>
      <c r="V146" s="3"/>
      <c r="W146" s="3"/>
      <c r="X146" s="3"/>
      <c r="Y146" s="3"/>
      <c r="Z146" s="3"/>
      <c r="AA146" s="3"/>
      <c r="AB146" s="3"/>
      <c r="AC146" s="3"/>
      <c r="AD146" s="3"/>
      <c r="AE146" s="3"/>
      <c r="AF146" s="3"/>
      <c r="AG146" s="3"/>
      <c r="AH146" s="3"/>
      <c r="AI146" s="3"/>
      <c r="AJ146" s="3" t="str">
        <f>IFERROR(__xludf.DUMMYFUNCTION("""COMPUTED_VALUE"""),"Claws")</f>
        <v>Claws</v>
      </c>
      <c r="AK146" s="3" t="str">
        <f>IFERROR(__xludf.DUMMYFUNCTION("""COMPUTED_VALUE"""),"Claws")</f>
        <v>Claws</v>
      </c>
      <c r="AL146" s="3" t="str">
        <f>IFERROR(__xludf.DUMMYFUNCTION("""COMPUTED_VALUE"""),"Sacred Flame Peck")</f>
        <v>Sacred Flame Peck</v>
      </c>
      <c r="AM146" s="3" t="str">
        <f>IFERROR(__xludf.DUMMYFUNCTION("""COMPUTED_VALUE"""),"Berserk")</f>
        <v>Berserk</v>
      </c>
      <c r="AN146" s="3" t="str">
        <f>IFERROR(__xludf.DUMMYFUNCTION("""COMPUTED_VALUE"""),"Celestial Wave")</f>
        <v>Celestial Wave</v>
      </c>
      <c r="AO146" s="3" t="str">
        <f>IFERROR(__xludf.DUMMYFUNCTION("""COMPUTED_VALUE"""),"Dive Bomb")</f>
        <v>Dive Bomb</v>
      </c>
      <c r="AP146" s="3"/>
      <c r="AQ146" s="3"/>
      <c r="AR146" s="3"/>
      <c r="AS146" s="3"/>
      <c r="AT146" s="3"/>
      <c r="AU146" s="3"/>
      <c r="AV146" s="3"/>
      <c r="AW146" s="3"/>
      <c r="AX146" s="3"/>
      <c r="AY146" s="3"/>
      <c r="AZ146" s="3"/>
      <c r="BA146" s="3"/>
      <c r="BB146" s="3"/>
      <c r="BC146" s="1"/>
      <c r="BD146" s="3">
        <f>IFERROR(__xludf.DUMMYFUNCTION("""COMPUTED_VALUE"""),0.0)</f>
        <v>0</v>
      </c>
      <c r="BE146" s="4">
        <f>IFERROR(__xludf.DUMMYFUNCTION("""COMPUTED_VALUE"""),10.0)</f>
        <v>10</v>
      </c>
      <c r="BF146" s="3" t="str">
        <f>IFERROR(__xludf.DUMMYFUNCTION("""COMPUTED_VALUE"""),"Immune to Freezing
Call of the Prey: When this creature dies it will summon a d4 of Inferno Vultures.")</f>
        <v>Immune to Freezing
Call of the Prey: When this creature dies it will summon a d4 of Inferno Vultures.</v>
      </c>
      <c r="BG146" s="3" t="str">
        <f>IFERROR(__xludf.DUMMYFUNCTION("""COMPUTED_VALUE"""),"All")</f>
        <v>All</v>
      </c>
      <c r="BH146" s="3" t="str">
        <f>IFERROR(__xludf.DUMMYFUNCTION("""COMPUTED_VALUE"""),"Abstara")</f>
        <v>Abstara</v>
      </c>
      <c r="BI146" s="3"/>
      <c r="BJ146" s="3"/>
      <c r="BK146" s="3"/>
      <c r="BL146" s="3" t="b">
        <f>IFERROR(__xludf.DUMMYFUNCTION("""COMPUTED_VALUE"""),FALSE)</f>
        <v>0</v>
      </c>
      <c r="BM146" s="3"/>
      <c r="BN146" s="3"/>
      <c r="BO146" s="3"/>
      <c r="BP146" s="3"/>
      <c r="BQ146" s="3"/>
      <c r="BR146" s="3"/>
      <c r="BS146" s="3"/>
      <c r="BT146" s="3"/>
      <c r="BU146" s="3"/>
      <c r="BV146" s="3"/>
      <c r="BW146" s="3"/>
    </row>
    <row r="147" ht="15.75" customHeight="1">
      <c r="A147" s="3" t="str">
        <f>IFERROR(__xludf.DUMMYFUNCTION("""COMPUTED_VALUE"""),"Jack Haggerson")</f>
        <v>Jack Haggerson</v>
      </c>
      <c r="B147" s="3">
        <f>IFERROR(__xludf.DUMMYFUNCTION("""COMPUTED_VALUE"""),1.0)</f>
        <v>1</v>
      </c>
      <c r="C147" s="3" t="str">
        <f>IFERROR(__xludf.DUMMYFUNCTION("""COMPUTED_VALUE"""),"Mod the Evil Seahags husband.")</f>
        <v>Mod the Evil Seahags husband.</v>
      </c>
      <c r="D147" s="3" t="str">
        <f>IFERROR(__xludf.DUMMYFUNCTION("""COMPUTED_VALUE"""),"Humanoid")</f>
        <v>Humanoid</v>
      </c>
      <c r="E147" s="3">
        <f>IFERROR(__xludf.DUMMYFUNCTION("""COMPUTED_VALUE"""),1010.0)</f>
        <v>1010</v>
      </c>
      <c r="F147" s="12">
        <f>IFERROR(__xludf.DUMMYFUNCTION("""COMPUTED_VALUE"""),1010.0)</f>
        <v>1010</v>
      </c>
      <c r="G147" s="3">
        <f>IFERROR(__xludf.DUMMYFUNCTION("""COMPUTED_VALUE"""),1010.0)</f>
        <v>1010</v>
      </c>
      <c r="H147" s="3">
        <f>IFERROR(__xludf.DUMMYFUNCTION("""COMPUTED_VALUE"""),20.0)</f>
        <v>20</v>
      </c>
      <c r="I147" s="3">
        <f>IFERROR(__xludf.DUMMYFUNCTION("""COMPUTED_VALUE"""),0.0)</f>
        <v>0</v>
      </c>
      <c r="J147" s="3">
        <f>IFERROR(__xludf.DUMMYFUNCTION("""COMPUTED_VALUE"""),0.0)</f>
        <v>0</v>
      </c>
      <c r="K147" s="3">
        <f>IFERROR(__xludf.DUMMYFUNCTION("""COMPUTED_VALUE"""),100.0)</f>
        <v>100</v>
      </c>
      <c r="L147" s="3">
        <f>IFERROR(__xludf.DUMMYFUNCTION("""COMPUTED_VALUE"""),100.0)</f>
        <v>100</v>
      </c>
      <c r="M147" s="3" t="str">
        <f>IFERROR(__xludf.DUMMYFUNCTION("""COMPUTED_VALUE"""),"Dark:Immune, Chaos:Immune, Stasis:Immune, Twilight:Immune, Voodoo:Immune, Blood:Immune, Instant Death:Immune, Banishment:Immune, ")</f>
        <v>Dark:Immune, Chaos:Immune, Stasis:Immune, Twilight:Immune, Voodoo:Immune, Blood:Immune, Instant Death:Immune, Banishment:Immune, </v>
      </c>
      <c r="N147" s="3" t="str">
        <f>IFERROR(__xludf.DUMMYFUNCTION("""COMPUTED_VALUE"""),"Fire:100, Light:100, Order:100, Zen:100, Celestial:100, ")</f>
        <v>Fire:100, Light:100, Order:100, Zen:100, Celestial:100, </v>
      </c>
      <c r="O147" s="3"/>
      <c r="P147" s="3" t="str">
        <f>IFERROR(__xludf.DUMMYFUNCTION("""COMPUTED_VALUE"""),"Chaotic Amulet")</f>
        <v>Chaotic Amulet</v>
      </c>
      <c r="Q147" s="3"/>
      <c r="R147" s="3"/>
      <c r="S147" s="3"/>
      <c r="T147" s="3"/>
      <c r="U147" s="3"/>
      <c r="V147" s="3"/>
      <c r="W147" s="3" t="str">
        <f>IFERROR(__xludf.DUMMYFUNCTION("""COMPUTED_VALUE"""),"Chaotic Shadow Life Orb")</f>
        <v>Chaotic Shadow Life Orb</v>
      </c>
      <c r="X147" s="3"/>
      <c r="Y147" s="3"/>
      <c r="Z147" s="3"/>
      <c r="AA147" s="3"/>
      <c r="AB147" s="3"/>
      <c r="AC147" s="3"/>
      <c r="AD147" s="3"/>
      <c r="AE147" s="3"/>
      <c r="AF147" s="3"/>
      <c r="AG147" s="3"/>
      <c r="AH147" s="3"/>
      <c r="AI147" s="3"/>
      <c r="AJ147" s="3" t="str">
        <f>IFERROR(__xludf.DUMMYFUNCTION("""COMPUTED_VALUE"""),"Chaincast")</f>
        <v>Chaincast</v>
      </c>
      <c r="AK147" s="3" t="str">
        <f>IFERROR(__xludf.DUMMYFUNCTION("""COMPUTED_VALUE"""),"Voodoo Meteor Shower")</f>
        <v>Voodoo Meteor Shower</v>
      </c>
      <c r="AL147" s="3" t="str">
        <f>IFERROR(__xludf.DUMMYFUNCTION("""COMPUTED_VALUE"""),"End the voodoo contract")</f>
        <v>End the voodoo contract</v>
      </c>
      <c r="AM147" s="3" t="str">
        <f>IFERROR(__xludf.DUMMYFUNCTION("""COMPUTED_VALUE"""),"Stand in")</f>
        <v>Stand in</v>
      </c>
      <c r="AN147" s="3" t="str">
        <f>IFERROR(__xludf.DUMMYFUNCTION("""COMPUTED_VALUE"""),"Hex With Bad Luck")</f>
        <v>Hex With Bad Luck</v>
      </c>
      <c r="AO147" s="3" t="str">
        <f>IFERROR(__xludf.DUMMYFUNCTION("""COMPUTED_VALUE"""),"Dimensional Quake")</f>
        <v>Dimensional Quake</v>
      </c>
      <c r="AP147" s="3" t="str">
        <f>IFERROR(__xludf.DUMMYFUNCTION("""COMPUTED_VALUE"""),"Dimension Portal")</f>
        <v>Dimension Portal</v>
      </c>
      <c r="AQ147" s="3" t="str">
        <f>IFERROR(__xludf.DUMMYFUNCTION("""COMPUTED_VALUE"""),"Darkest Abyss")</f>
        <v>Darkest Abyss</v>
      </c>
      <c r="AR147" s="3" t="str">
        <f>IFERROR(__xludf.DUMMYFUNCTION("""COMPUTED_VALUE"""),"Conceal")</f>
        <v>Conceal</v>
      </c>
      <c r="AS147" s="3" t="str">
        <f>IFERROR(__xludf.DUMMYFUNCTION("""COMPUTED_VALUE"""),"Stasis Madness")</f>
        <v>Stasis Madness</v>
      </c>
      <c r="AT147" s="3" t="str">
        <f>IFERROR(__xludf.DUMMYFUNCTION("""COMPUTED_VALUE"""),"Stasis Tsunami")</f>
        <v>Stasis Tsunami</v>
      </c>
      <c r="AU147" s="3" t="str">
        <f>IFERROR(__xludf.DUMMYFUNCTION("""COMPUTED_VALUE"""),"Twilight Masquerade")</f>
        <v>Twilight Masquerade</v>
      </c>
      <c r="AV147" s="3" t="str">
        <f>IFERROR(__xludf.DUMMYFUNCTION("""COMPUTED_VALUE"""),"Twilight Tsunami")</f>
        <v>Twilight Tsunami</v>
      </c>
      <c r="AW147" s="3" t="str">
        <f>IFERROR(__xludf.DUMMYFUNCTION("""COMPUTED_VALUE"""),"Damage With A Cost.")</f>
        <v>Damage With A Cost.</v>
      </c>
      <c r="AX147" s="3" t="str">
        <f>IFERROR(__xludf.DUMMYFUNCTION("""COMPUTED_VALUE"""),"Swallow")</f>
        <v>Swallow</v>
      </c>
      <c r="AY147" s="3" t="str">
        <f>IFERROR(__xludf.DUMMYFUNCTION("""COMPUTED_VALUE"""),"Mass Destruction")</f>
        <v>Mass Destruction</v>
      </c>
      <c r="AZ147" s="3" t="str">
        <f>IFERROR(__xludf.DUMMYFUNCTION("""COMPUTED_VALUE"""),"Celestial Wrath")</f>
        <v>Celestial Wrath</v>
      </c>
      <c r="BA147" s="3"/>
      <c r="BB147" s="3"/>
      <c r="BC147" s="1"/>
      <c r="BD147" s="3">
        <f>IFERROR(__xludf.DUMMYFUNCTION("""COMPUTED_VALUE"""),0.0)</f>
        <v>0</v>
      </c>
      <c r="BE147" s="4">
        <f>IFERROR(__xludf.DUMMYFUNCTION("""COMPUTED_VALUE"""),10.0)</f>
        <v>10</v>
      </c>
      <c r="BF147"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Items cannot be taken from this mob.")</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Items cannot be taken from this mob.</v>
      </c>
      <c r="BG147" s="3"/>
      <c r="BH147" s="3" t="str">
        <f>IFERROR(__xludf.DUMMYFUNCTION("""COMPUTED_VALUE"""),"Halloween Kingdom")</f>
        <v>Halloween Kingdom</v>
      </c>
      <c r="BI147" s="3"/>
      <c r="BJ147" s="3"/>
      <c r="BK147" s="3"/>
      <c r="BL147" s="3" t="b">
        <f>IFERROR(__xludf.DUMMYFUNCTION("""COMPUTED_VALUE"""),FALSE)</f>
        <v>0</v>
      </c>
      <c r="BM147" s="3"/>
      <c r="BN147" s="3"/>
      <c r="BO147" s="3"/>
      <c r="BP147" s="3"/>
      <c r="BQ147" s="3"/>
      <c r="BR147" s="3"/>
      <c r="BS147" s="3"/>
      <c r="BT147" s="3"/>
      <c r="BU147" s="3"/>
      <c r="BV147" s="3"/>
      <c r="BW147" s="3"/>
    </row>
    <row r="148" ht="15.75" customHeight="1">
      <c r="A148" s="3" t="str">
        <f>IFERROR(__xludf.DUMMYFUNCTION("""COMPUTED_VALUE"""),"Jelly Fish (WD)")</f>
        <v>Jelly Fish (WD)</v>
      </c>
      <c r="B148" s="3">
        <f>IFERROR(__xludf.DUMMYFUNCTION("""COMPUTED_VALUE"""),1.0)</f>
        <v>1</v>
      </c>
      <c r="C148" s="3"/>
      <c r="D148" s="12" t="str">
        <f>IFERROR(__xludf.DUMMYFUNCTION("""COMPUTED_VALUE"""),"Beast")</f>
        <v>Beast</v>
      </c>
      <c r="E148" s="12">
        <f>IFERROR(__xludf.DUMMYFUNCTION("""COMPUTED_VALUE"""),16010.0)</f>
        <v>16010</v>
      </c>
      <c r="F148" s="12">
        <f>IFERROR(__xludf.DUMMYFUNCTION("""COMPUTED_VALUE"""),1010.0)</f>
        <v>1010</v>
      </c>
      <c r="G148" s="12">
        <f>IFERROR(__xludf.DUMMYFUNCTION("""COMPUTED_VALUE"""),1010.0)</f>
        <v>1010</v>
      </c>
      <c r="H148" s="3">
        <f>IFERROR(__xludf.DUMMYFUNCTION("""COMPUTED_VALUE"""),10.0)</f>
        <v>10</v>
      </c>
      <c r="I148" s="3">
        <f>IFERROR(__xludf.DUMMYFUNCTION("""COMPUTED_VALUE"""),0.0)</f>
        <v>0</v>
      </c>
      <c r="J148" s="3">
        <f>IFERROR(__xludf.DUMMYFUNCTION("""COMPUTED_VALUE"""),0.0)</f>
        <v>0</v>
      </c>
      <c r="K148" s="3">
        <f>IFERROR(__xludf.DUMMYFUNCTION("""COMPUTED_VALUE"""),100.0)</f>
        <v>100</v>
      </c>
      <c r="L148" s="3">
        <f>IFERROR(__xludf.DUMMYFUNCTION("""COMPUTED_VALUE"""),100.0)</f>
        <v>100</v>
      </c>
      <c r="M148" s="3" t="str">
        <f>IFERROR(__xludf.DUMMYFUNCTION("""COMPUTED_VALUE"""),"Fire:Immune, Water:Immune, ")</f>
        <v>Fire:Immune, Water:Immune, </v>
      </c>
      <c r="N148" s="3" t="str">
        <f>IFERROR(__xludf.DUMMYFUNCTION("""COMPUTED_VALUE"""),"Nature:100, ")</f>
        <v>Nature:100, </v>
      </c>
      <c r="O148" s="3"/>
      <c r="P148" s="3"/>
      <c r="Q148" s="3"/>
      <c r="R148" s="3"/>
      <c r="S148" s="3"/>
      <c r="T148" s="3"/>
      <c r="U148" s="3"/>
      <c r="V148" s="3"/>
      <c r="W148" s="3"/>
      <c r="X148" s="3"/>
      <c r="Y148" s="3"/>
      <c r="Z148" s="3"/>
      <c r="AA148" s="3"/>
      <c r="AB148" s="3"/>
      <c r="AC148" s="3"/>
      <c r="AD148" s="3"/>
      <c r="AE148" s="3"/>
      <c r="AF148" s="3"/>
      <c r="AG148" s="3"/>
      <c r="AH148" s="3"/>
      <c r="AI148" s="3"/>
      <c r="AJ148" s="3" t="str">
        <f>IFERROR(__xludf.DUMMYFUNCTION("""COMPUTED_VALUE"""),"Stinger ")</f>
        <v>Stinger </v>
      </c>
      <c r="AK148" s="3"/>
      <c r="AL148" s="3"/>
      <c r="AM148" s="3"/>
      <c r="AN148" s="3"/>
      <c r="AO148" s="3"/>
      <c r="AP148" s="3"/>
      <c r="AQ148" s="3"/>
      <c r="AR148" s="3"/>
      <c r="AS148" s="3"/>
      <c r="AT148" s="3"/>
      <c r="AU148" s="3"/>
      <c r="AV148" s="3"/>
      <c r="AW148" s="3"/>
      <c r="AX148" s="3"/>
      <c r="AY148" s="3"/>
      <c r="AZ148" s="3"/>
      <c r="BA148" s="3"/>
      <c r="BB148" s="3"/>
      <c r="BC148" s="1"/>
      <c r="BD148" s="3">
        <f>IFERROR(__xludf.DUMMYFUNCTION("""COMPUTED_VALUE"""),0.0)</f>
        <v>0</v>
      </c>
      <c r="BE148" s="4">
        <f>IFERROR(__xludf.DUMMYFUNCTION("""COMPUTED_VALUE"""),10.0)</f>
        <v>10</v>
      </c>
      <c r="BF148" s="3"/>
      <c r="BG148" s="3" t="str">
        <f>IFERROR(__xludf.DUMMYFUNCTION("""COMPUTED_VALUE"""),"Ocean")</f>
        <v>Ocean</v>
      </c>
      <c r="BH148" s="3" t="str">
        <f>IFERROR(__xludf.DUMMYFUNCTION("""COMPUTED_VALUE"""),"Land Of Spira")</f>
        <v>Land Of Spira</v>
      </c>
      <c r="BI148" s="3"/>
      <c r="BJ148" s="3"/>
      <c r="BK148" s="3"/>
      <c r="BL148" s="3" t="b">
        <f>IFERROR(__xludf.DUMMYFUNCTION("""COMPUTED_VALUE"""),FALSE)</f>
        <v>0</v>
      </c>
      <c r="BM148" s="3"/>
      <c r="BN148" s="3"/>
      <c r="BO148" s="3"/>
      <c r="BP148" s="3"/>
      <c r="BQ148" s="3"/>
      <c r="BR148" s="3"/>
      <c r="BS148" s="3"/>
      <c r="BT148" s="3"/>
      <c r="BU148" s="3"/>
      <c r="BV148" s="3"/>
      <c r="BW148" s="3"/>
    </row>
    <row r="149" ht="15.75" customHeight="1">
      <c r="A149" s="3" t="str">
        <f>IFERROR(__xludf.DUMMYFUNCTION("""COMPUTED_VALUE"""),"Jelly Fish (WD) (Enhanced)")</f>
        <v>Jelly Fish (WD) (Enhanced)</v>
      </c>
      <c r="B149" s="3">
        <f>IFERROR(__xludf.DUMMYFUNCTION("""COMPUTED_VALUE"""),1.0)</f>
        <v>1</v>
      </c>
      <c r="C149" s="3"/>
      <c r="D149" s="12" t="str">
        <f>IFERROR(__xludf.DUMMYFUNCTION("""COMPUTED_VALUE"""),"Beast")</f>
        <v>Beast</v>
      </c>
      <c r="E149" s="12">
        <f>IFERROR(__xludf.DUMMYFUNCTION("""COMPUTED_VALUE"""),31010.0)</f>
        <v>31010</v>
      </c>
      <c r="F149" s="12">
        <f>IFERROR(__xludf.DUMMYFUNCTION("""COMPUTED_VALUE"""),1010.0)</f>
        <v>1010</v>
      </c>
      <c r="G149" s="12">
        <f>IFERROR(__xludf.DUMMYFUNCTION("""COMPUTED_VALUE"""),1010.0)</f>
        <v>1010</v>
      </c>
      <c r="H149" s="3">
        <f>IFERROR(__xludf.DUMMYFUNCTION("""COMPUTED_VALUE"""),10.0)</f>
        <v>10</v>
      </c>
      <c r="I149" s="3">
        <f>IFERROR(__xludf.DUMMYFUNCTION("""COMPUTED_VALUE"""),0.0)</f>
        <v>0</v>
      </c>
      <c r="J149" s="3">
        <f>IFERROR(__xludf.DUMMYFUNCTION("""COMPUTED_VALUE"""),0.0)</f>
        <v>0</v>
      </c>
      <c r="K149" s="3">
        <f>IFERROR(__xludf.DUMMYFUNCTION("""COMPUTED_VALUE"""),100.0)</f>
        <v>100</v>
      </c>
      <c r="L149" s="3">
        <f>IFERROR(__xludf.DUMMYFUNCTION("""COMPUTED_VALUE"""),100.0)</f>
        <v>100</v>
      </c>
      <c r="M149" s="3" t="str">
        <f>IFERROR(__xludf.DUMMYFUNCTION("""COMPUTED_VALUE"""),"Fire:Immune, Water:Immune, ")</f>
        <v>Fire:Immune, Water:Immune, </v>
      </c>
      <c r="N149" s="3" t="str">
        <f>IFERROR(__xludf.DUMMYFUNCTION("""COMPUTED_VALUE"""),"Nature:100, ")</f>
        <v>Nature:100, </v>
      </c>
      <c r="O149" s="3"/>
      <c r="P149" s="3"/>
      <c r="Q149" s="3"/>
      <c r="R149" s="3"/>
      <c r="S149" s="3"/>
      <c r="T149" s="3"/>
      <c r="U149" s="3"/>
      <c r="V149" s="3"/>
      <c r="W149" s="3"/>
      <c r="X149" s="3"/>
      <c r="Y149" s="3"/>
      <c r="Z149" s="3"/>
      <c r="AA149" s="3"/>
      <c r="AB149" s="3"/>
      <c r="AC149" s="3"/>
      <c r="AD149" s="3"/>
      <c r="AE149" s="3"/>
      <c r="AF149" s="3"/>
      <c r="AG149" s="3"/>
      <c r="AH149" s="3"/>
      <c r="AI149" s="3"/>
      <c r="AJ149" s="3" t="str">
        <f>IFERROR(__xludf.DUMMYFUNCTION("""COMPUTED_VALUE"""),"Stinger ")</f>
        <v>Stinger </v>
      </c>
      <c r="AK149" s="3"/>
      <c r="AL149" s="3"/>
      <c r="AM149" s="3"/>
      <c r="AN149" s="3"/>
      <c r="AO149" s="3"/>
      <c r="AP149" s="3"/>
      <c r="AQ149" s="3"/>
      <c r="AR149" s="3"/>
      <c r="AS149" s="3"/>
      <c r="AT149" s="3"/>
      <c r="AU149" s="3"/>
      <c r="AV149" s="3"/>
      <c r="AW149" s="3"/>
      <c r="AX149" s="3"/>
      <c r="AY149" s="3"/>
      <c r="AZ149" s="3"/>
      <c r="BA149" s="3"/>
      <c r="BB149" s="3"/>
      <c r="BC149" s="1"/>
      <c r="BD149" s="3">
        <f>IFERROR(__xludf.DUMMYFUNCTION("""COMPUTED_VALUE"""),0.0)</f>
        <v>0</v>
      </c>
      <c r="BE149" s="4">
        <f>IFERROR(__xludf.DUMMYFUNCTION("""COMPUTED_VALUE"""),10.0)</f>
        <v>10</v>
      </c>
      <c r="BF149" s="3"/>
      <c r="BG149" s="3" t="str">
        <f>IFERROR(__xludf.DUMMYFUNCTION("""COMPUTED_VALUE"""),"Ocean")</f>
        <v>Ocean</v>
      </c>
      <c r="BH149" s="3" t="str">
        <f>IFERROR(__xludf.DUMMYFUNCTION("""COMPUTED_VALUE"""),"Land Of Spira")</f>
        <v>Land Of Spira</v>
      </c>
      <c r="BI149" s="3"/>
      <c r="BJ149" s="3"/>
      <c r="BK149" s="3"/>
      <c r="BL149" s="3" t="b">
        <f>IFERROR(__xludf.DUMMYFUNCTION("""COMPUTED_VALUE"""),FALSE)</f>
        <v>0</v>
      </c>
      <c r="BM149" s="3"/>
      <c r="BN149" s="3"/>
      <c r="BO149" s="3"/>
      <c r="BP149" s="3"/>
      <c r="BQ149" s="3"/>
      <c r="BR149" s="3"/>
      <c r="BS149" s="3"/>
      <c r="BT149" s="3"/>
      <c r="BU149" s="3"/>
      <c r="BV149" s="3"/>
      <c r="BW149" s="3"/>
    </row>
    <row r="150" ht="15.75" customHeight="1">
      <c r="A150" s="3" t="str">
        <f>IFERROR(__xludf.DUMMYFUNCTION("""COMPUTED_VALUE"""),"King Goose")</f>
        <v>King Goose</v>
      </c>
      <c r="B150" s="3">
        <f>IFERROR(__xludf.DUMMYFUNCTION("""COMPUTED_VALUE"""),1.0)</f>
        <v>1</v>
      </c>
      <c r="C150" s="3" t="str">
        <f>IFERROR(__xludf.DUMMYFUNCTION("""COMPUTED_VALUE"""),"king of all geese")</f>
        <v>king of all geese</v>
      </c>
      <c r="D150" s="12" t="str">
        <f>IFERROR(__xludf.DUMMYFUNCTION("""COMPUTED_VALUE"""),"Beast")</f>
        <v>Beast</v>
      </c>
      <c r="E150" s="12">
        <f>IFERROR(__xludf.DUMMYFUNCTION("""COMPUTED_VALUE"""),31010.0)</f>
        <v>31010</v>
      </c>
      <c r="F150" s="12">
        <f>IFERROR(__xludf.DUMMYFUNCTION("""COMPUTED_VALUE"""),31010.0)</f>
        <v>31010</v>
      </c>
      <c r="G150" s="12">
        <f>IFERROR(__xludf.DUMMYFUNCTION("""COMPUTED_VALUE"""),31010.0)</f>
        <v>31010</v>
      </c>
      <c r="H150" s="3">
        <f>IFERROR(__xludf.DUMMYFUNCTION("""COMPUTED_VALUE"""),20.0)</f>
        <v>20</v>
      </c>
      <c r="I150" s="3">
        <f>IFERROR(__xludf.DUMMYFUNCTION("""COMPUTED_VALUE"""),0.0)</f>
        <v>0</v>
      </c>
      <c r="J150" s="3">
        <f>IFERROR(__xludf.DUMMYFUNCTION("""COMPUTED_VALUE"""),0.0)</f>
        <v>0</v>
      </c>
      <c r="K150" s="3">
        <f>IFERROR(__xludf.DUMMYFUNCTION("""COMPUTED_VALUE"""),100.0)</f>
        <v>100</v>
      </c>
      <c r="L150" s="3">
        <f>IFERROR(__xludf.DUMMYFUNCTION("""COMPUTED_VALUE"""),100.0)</f>
        <v>100</v>
      </c>
      <c r="M150" s="3" t="str">
        <f>IFERROR(__xludf.DUMMYFUNCTION("""COMPUTED_VALUE"""),"")</f>
        <v/>
      </c>
      <c r="N150" s="3" t="str">
        <f>IFERROR(__xludf.DUMMYFUNCTION("""COMPUTED_VALUE"""),"")</f>
        <v/>
      </c>
      <c r="O150" s="3"/>
      <c r="P150" s="3"/>
      <c r="Q150" s="3"/>
      <c r="R150" s="3"/>
      <c r="S150" s="3"/>
      <c r="T150" s="3"/>
      <c r="U150" s="3"/>
      <c r="V150" s="3" t="str">
        <f>IFERROR(__xludf.DUMMYFUNCTION("""COMPUTED_VALUE"""),"Goose staff")</f>
        <v>Goose staff</v>
      </c>
      <c r="W150" s="3"/>
      <c r="X150" s="3"/>
      <c r="Y150" s="3"/>
      <c r="Z150" s="3"/>
      <c r="AA150" s="3"/>
      <c r="AB150" s="3"/>
      <c r="AC150" s="3"/>
      <c r="AD150" s="3"/>
      <c r="AE150" s="3"/>
      <c r="AF150" s="3"/>
      <c r="AG150" s="3"/>
      <c r="AH150" s="3"/>
      <c r="AI150" s="3"/>
      <c r="AJ150" s="3" t="str">
        <f>IFERROR(__xludf.DUMMYFUNCTION("""COMPUTED_VALUE"""),"Fire Bolt")</f>
        <v>Fire Bolt</v>
      </c>
      <c r="AK150" s="3" t="str">
        <f>IFERROR(__xludf.DUMMYFUNCTION("""COMPUTED_VALUE"""),"Take")</f>
        <v>Take</v>
      </c>
      <c r="AL150" s="3" t="str">
        <f>IFERROR(__xludf.DUMMYFUNCTION("""COMPUTED_VALUE"""),"Eel Nado")</f>
        <v>Eel Nado</v>
      </c>
      <c r="AM150" s="3" t="str">
        <f>IFERROR(__xludf.DUMMYFUNCTION("""COMPUTED_VALUE"""),"Dive Bomb")</f>
        <v>Dive Bomb</v>
      </c>
      <c r="AN150" s="3" t="str">
        <f>IFERROR(__xludf.DUMMYFUNCTION("""COMPUTED_VALUE"""),"Taunt")</f>
        <v>Taunt</v>
      </c>
      <c r="AO150" s="3" t="str">
        <f>IFERROR(__xludf.DUMMYFUNCTION("""COMPUTED_VALUE"""),"Aggressive Chomp")</f>
        <v>Aggressive Chomp</v>
      </c>
      <c r="AP150" s="3" t="str">
        <f>IFERROR(__xludf.DUMMYFUNCTION("""COMPUTED_VALUE"""),"Aggresive Tear")</f>
        <v>Aggresive Tear</v>
      </c>
      <c r="AQ150" s="3" t="str">
        <f>IFERROR(__xludf.DUMMYFUNCTION("""COMPUTED_VALUE"""),"Tackle")</f>
        <v>Tackle</v>
      </c>
      <c r="AR150" s="3"/>
      <c r="AS150" s="3"/>
      <c r="AT150" s="3"/>
      <c r="AU150" s="3"/>
      <c r="AV150" s="3"/>
      <c r="AW150" s="3"/>
      <c r="AX150" s="3"/>
      <c r="AY150" s="3"/>
      <c r="AZ150" s="3"/>
      <c r="BA150" s="3"/>
      <c r="BB150" s="3"/>
      <c r="BC150" s="1"/>
      <c r="BD150" s="3">
        <f>IFERROR(__xludf.DUMMYFUNCTION("""COMPUTED_VALUE"""),0.0)</f>
        <v>0</v>
      </c>
      <c r="BE150" s="4">
        <f>IFERROR(__xludf.DUMMYFUNCTION("""COMPUTED_VALUE"""),10.0)</f>
        <v>10</v>
      </c>
      <c r="BF150" s="3" t="str">
        <f>IFERROR(__xludf.DUMMYFUNCTION("""COMPUTED_VALUE"""),"75% chance to be unaffected by any spells affecting this mob
75% chance to dodge any attack without fail.
75% chance to be unaffected by an item affecting this mob
Royal Goose Luck: 10 can be added to the caster's d20 roll, if the enemy gets a higher roll"&amp;" then the caster the enemy must roll again once more.
Royal Goose Awakening: When the caster dies 2 Geese will be summoned.
Items cannot be taken from this mob.")</f>
        <v>75% chance to be unaffected by any spells affecting this mob
75% chance to dodge any attack without fail.
75% chance to be unaffected by an item affecting this mob
Royal Goose Luck: 10 can be added to the caster's d20 roll, if the enemy gets a higher roll then the caster the enemy must roll again once more.
Royal Goose Awakening: When the caster dies 2 Geese will be summoned.
Items cannot be taken from this mob.</v>
      </c>
      <c r="BG150" s="3" t="str">
        <f>IFERROR(__xludf.DUMMYFUNCTION("""COMPUTED_VALUE"""),"All")</f>
        <v>All</v>
      </c>
      <c r="BH150" s="3" t="str">
        <f>IFERROR(__xludf.DUMMYFUNCTION("""COMPUTED_VALUE"""),"Land of Spira")</f>
        <v>Land of Spira</v>
      </c>
      <c r="BI150" s="3"/>
      <c r="BJ150" s="3"/>
      <c r="BK150" s="3"/>
      <c r="BL150" s="3" t="b">
        <f>IFERROR(__xludf.DUMMYFUNCTION("""COMPUTED_VALUE"""),FALSE)</f>
        <v>0</v>
      </c>
      <c r="BM150" s="3"/>
      <c r="BN150" s="3"/>
      <c r="BO150" s="3"/>
      <c r="BP150" s="3"/>
      <c r="BQ150" s="3"/>
      <c r="BR150" s="3"/>
      <c r="BS150" s="3"/>
      <c r="BT150" s="3"/>
      <c r="BU150" s="3"/>
      <c r="BV150" s="3"/>
      <c r="BW150" s="3"/>
    </row>
    <row r="151" ht="15.75" customHeight="1">
      <c r="A151" s="3" t="str">
        <f>IFERROR(__xludf.DUMMYFUNCTION("""COMPUTED_VALUE"""),"King Of Mekana (Robotic Guardian of the 5th, No. 5)")</f>
        <v>King Of Mekana (Robotic Guardian of the 5th, No. 5)</v>
      </c>
      <c r="B151" s="3">
        <f>IFERROR(__xludf.DUMMYFUNCTION("""COMPUTED_VALUE"""),1.0)</f>
        <v>1</v>
      </c>
      <c r="C151" s="3"/>
      <c r="D151" s="12" t="str">
        <f>IFERROR(__xludf.DUMMYFUNCTION("""COMPUTED_VALUE"""),"Construct")</f>
        <v>Construct</v>
      </c>
      <c r="E151" s="12">
        <f>IFERROR(__xludf.DUMMYFUNCTION("""COMPUTED_VALUE"""),1010.0)</f>
        <v>1010</v>
      </c>
      <c r="F151" s="12">
        <f>IFERROR(__xludf.DUMMYFUNCTION("""COMPUTED_VALUE"""),1010.0)</f>
        <v>1010</v>
      </c>
      <c r="G151" s="12">
        <f>IFERROR(__xludf.DUMMYFUNCTION("""COMPUTED_VALUE"""),1010.0)</f>
        <v>1010</v>
      </c>
      <c r="H151" s="3">
        <f>IFERROR(__xludf.DUMMYFUNCTION("""COMPUTED_VALUE"""),20.0)</f>
        <v>20</v>
      </c>
      <c r="I151" s="3">
        <f>IFERROR(__xludf.DUMMYFUNCTION("""COMPUTED_VALUE"""),20.0)</f>
        <v>20</v>
      </c>
      <c r="J151" s="3">
        <f>IFERROR(__xludf.DUMMYFUNCTION("""COMPUTED_VALUE"""),0.0)</f>
        <v>0</v>
      </c>
      <c r="K151" s="3">
        <f>IFERROR(__xludf.DUMMYFUNCTION("""COMPUTED_VALUE"""),100.0)</f>
        <v>100</v>
      </c>
      <c r="L151" s="3">
        <f>IFERROR(__xludf.DUMMYFUNCTION("""COMPUTED_VALUE"""),100.0)</f>
        <v>100</v>
      </c>
      <c r="M151" s="3" t="str">
        <f>IFERROR(__xludf.DUMMYFUNCTION("""COMPUTED_VALUE"""),"Celestial:Immune, Instant Death:Immune, Natural:Immune, ")</f>
        <v>Celestial:Immune, Instant Death:Immune, Natural:Immune, </v>
      </c>
      <c r="N151" s="3" t="str">
        <f>IFERROR(__xludf.DUMMYFUNCTION("""COMPUTED_VALUE"""),"Fire:100, Water:100, ")</f>
        <v>Fire:100, Water:100, </v>
      </c>
      <c r="O151" s="3"/>
      <c r="P151" s="3"/>
      <c r="Q151" s="3"/>
      <c r="R151" s="3"/>
      <c r="S151" s="3"/>
      <c r="T151" s="3"/>
      <c r="U151" s="3"/>
      <c r="V151" s="3"/>
      <c r="W151" s="3" t="str">
        <f>IFERROR(__xludf.DUMMYFUNCTION("""COMPUTED_VALUE"""),"King Of Mekanas Sword")</f>
        <v>King Of Mekanas Sword</v>
      </c>
      <c r="X151" s="3"/>
      <c r="Y151" s="3"/>
      <c r="Z151" s="3"/>
      <c r="AA151" s="3"/>
      <c r="AB151" s="3"/>
      <c r="AC151" s="3"/>
      <c r="AD151" s="3"/>
      <c r="AE151" s="3"/>
      <c r="AF151" s="3"/>
      <c r="AG151" s="3"/>
      <c r="AH151" s="3"/>
      <c r="AI151" s="3"/>
      <c r="AJ151" s="3" t="str">
        <f>IFERROR(__xludf.DUMMYFUNCTION("""COMPUTED_VALUE"""),"Forged in Fire")</f>
        <v>Forged in Fire</v>
      </c>
      <c r="AK151" s="3" t="str">
        <f>IFERROR(__xludf.DUMMYFUNCTION("""COMPUTED_VALUE"""),"Overcharge")</f>
        <v>Overcharge</v>
      </c>
      <c r="AL151" s="3" t="str">
        <f>IFERROR(__xludf.DUMMYFUNCTION("""COMPUTED_VALUE"""),"Cooldown")</f>
        <v>Cooldown</v>
      </c>
      <c r="AM151" s="3" t="str">
        <f>IFERROR(__xludf.DUMMYFUNCTION("""COMPUTED_VALUE"""),"Recharge")</f>
        <v>Recharge</v>
      </c>
      <c r="AN151" s="3"/>
      <c r="AO151" s="3"/>
      <c r="AP151" s="3"/>
      <c r="AQ151" s="3"/>
      <c r="AR151" s="3"/>
      <c r="AS151" s="3"/>
      <c r="AT151" s="3"/>
      <c r="AU151" s="3"/>
      <c r="AV151" s="3"/>
      <c r="AW151" s="3"/>
      <c r="AX151" s="3"/>
      <c r="AY151" s="3"/>
      <c r="AZ151" s="3"/>
      <c r="BA151" s="3"/>
      <c r="BB151" s="3"/>
      <c r="BC151" s="1"/>
      <c r="BD151" s="3">
        <f>IFERROR(__xludf.DUMMYFUNCTION("""COMPUTED_VALUE"""),20.0)</f>
        <v>20</v>
      </c>
      <c r="BE151" s="4">
        <f>IFERROR(__xludf.DUMMYFUNCTION("""COMPUTED_VALUE"""),20.0)</f>
        <v>20</v>
      </c>
      <c r="BF151" s="3" t="str">
        <f>IFERROR(__xludf.DUMMYFUNCTION("""COMPUTED_VALUE"""),"75% chance to be unaffected by any spells affecting this mob
75% chance to dodge any attack without fail.
Royal Guards Luck: 10 can be added to the caster's d20 roll, if the enemy gets a higher roll then the caster the enemy must roll again once more.
Roy"&amp;"al Awakening: When the caster dies 2 Guards (Major) will be summoned.")</f>
        <v>75% chance to be unaffected by any spells affecting this mob
75% chance to dodge any attack without fail.
Royal Guards Luck: 10 can be added to the caster's d20 roll, if the enemy gets a higher roll then the caster the enemy must roll again once more.
Royal Awakening: When the caster dies 2 Guards (Major) will be summoned.</v>
      </c>
      <c r="BG151" s="3" t="str">
        <f>IFERROR(__xludf.DUMMYFUNCTION("""COMPUTED_VALUE"""),"City/Town")</f>
        <v>City/Town</v>
      </c>
      <c r="BH151" s="3" t="str">
        <f>IFERROR(__xludf.DUMMYFUNCTION("""COMPUTED_VALUE"""),"Land Of Spira")</f>
        <v>Land Of Spira</v>
      </c>
      <c r="BI151" s="3"/>
      <c r="BJ151" s="3"/>
      <c r="BK151" s="3"/>
      <c r="BL151" s="3" t="b">
        <f>IFERROR(__xludf.DUMMYFUNCTION("""COMPUTED_VALUE"""),FALSE)</f>
        <v>0</v>
      </c>
      <c r="BM151" s="3"/>
      <c r="BN151" s="3"/>
      <c r="BO151" s="3"/>
      <c r="BP151" s="3"/>
      <c r="BQ151" s="3"/>
      <c r="BR151" s="3"/>
      <c r="BS151" s="3"/>
      <c r="BT151" s="3"/>
      <c r="BU151" s="3"/>
      <c r="BV151" s="3"/>
      <c r="BW151" s="3"/>
    </row>
    <row r="152" ht="15.75" customHeight="1">
      <c r="A152" s="3" t="str">
        <f>IFERROR(__xludf.DUMMYFUNCTION("""COMPUTED_VALUE"""),"Knight Of Chaotic Shadows")</f>
        <v>Knight Of Chaotic Shadows</v>
      </c>
      <c r="B152" s="3">
        <f>IFERROR(__xludf.DUMMYFUNCTION("""COMPUTED_VALUE"""),1.0)</f>
        <v>1</v>
      </c>
      <c r="C152" s="3"/>
      <c r="D152" s="12" t="str">
        <f>IFERROR(__xludf.DUMMYFUNCTION("""COMPUTED_VALUE"""),"Humanoid")</f>
        <v>Humanoid</v>
      </c>
      <c r="E152" s="12">
        <f>IFERROR(__xludf.DUMMYFUNCTION("""COMPUTED_VALUE"""),1010.0)</f>
        <v>1010</v>
      </c>
      <c r="F152" s="12">
        <f>IFERROR(__xludf.DUMMYFUNCTION("""COMPUTED_VALUE"""),1010.0)</f>
        <v>1010</v>
      </c>
      <c r="G152" s="12">
        <f>IFERROR(__xludf.DUMMYFUNCTION("""COMPUTED_VALUE"""),1010.0)</f>
        <v>1010</v>
      </c>
      <c r="H152" s="3">
        <f>IFERROR(__xludf.DUMMYFUNCTION("""COMPUTED_VALUE"""),10.0)</f>
        <v>10</v>
      </c>
      <c r="I152" s="3">
        <f>IFERROR(__xludf.DUMMYFUNCTION("""COMPUTED_VALUE"""),0.0)</f>
        <v>0</v>
      </c>
      <c r="J152" s="3">
        <f>IFERROR(__xludf.DUMMYFUNCTION("""COMPUTED_VALUE"""),0.0)</f>
        <v>0</v>
      </c>
      <c r="K152" s="3">
        <f>IFERROR(__xludf.DUMMYFUNCTION("""COMPUTED_VALUE"""),100.0)</f>
        <v>100</v>
      </c>
      <c r="L152" s="3">
        <f>IFERROR(__xludf.DUMMYFUNCTION("""COMPUTED_VALUE"""),100.0)</f>
        <v>100</v>
      </c>
      <c r="M152" s="3" t="str">
        <f>IFERROR(__xludf.DUMMYFUNCTION("""COMPUTED_VALUE"""),"Dark:100, Chaos:100, ")</f>
        <v>Dark:100, Chaos:100, </v>
      </c>
      <c r="N152" s="3" t="str">
        <f>IFERROR(__xludf.DUMMYFUNCTION("""COMPUTED_VALUE"""),"Fire:100, Light:100, Order:100, ")</f>
        <v>Fire:100, Light:100, Order:100, </v>
      </c>
      <c r="O152" s="3"/>
      <c r="P152" s="3"/>
      <c r="Q152" s="3"/>
      <c r="R152" s="3"/>
      <c r="S152" s="3"/>
      <c r="T152" s="3"/>
      <c r="U152" s="3"/>
      <c r="V152" s="3"/>
      <c r="W152" s="3" t="str">
        <f>IFERROR(__xludf.DUMMYFUNCTION("""COMPUTED_VALUE"""),"Sword of Chaotic Shadows")</f>
        <v>Sword of Chaotic Shadows</v>
      </c>
      <c r="X152" s="3"/>
      <c r="Y152" s="3"/>
      <c r="Z152" s="3"/>
      <c r="AA152" s="3"/>
      <c r="AB152" s="3"/>
      <c r="AC152" s="3"/>
      <c r="AD152" s="3"/>
      <c r="AE152" s="3"/>
      <c r="AF152" s="3"/>
      <c r="AG152" s="3"/>
      <c r="AH152" s="3"/>
      <c r="AI152" s="3"/>
      <c r="AJ152" s="3" t="str">
        <f>IFERROR(__xludf.DUMMYFUNCTION("""COMPUTED_VALUE"""),"Chaotic Royal Barrier")</f>
        <v>Chaotic Royal Barrier</v>
      </c>
      <c r="AK152" s="3" t="str">
        <f>IFERROR(__xludf.DUMMYFUNCTION("""COMPUTED_VALUE"""),"Chaotic Shadow Storm")</f>
        <v>Chaotic Shadow Storm</v>
      </c>
      <c r="AL152" s="3" t="str">
        <f>IFERROR(__xludf.DUMMYFUNCTION("""COMPUTED_VALUE"""),"Creeping Darkness")</f>
        <v>Creeping Darkness</v>
      </c>
      <c r="AM152" s="3" t="str">
        <f>IFERROR(__xludf.DUMMYFUNCTION("""COMPUTED_VALUE"""),"Chaos Ward")</f>
        <v>Chaos Ward</v>
      </c>
      <c r="AN152" s="3" t="str">
        <f>IFERROR(__xludf.DUMMYFUNCTION("""COMPUTED_VALUE"""),"Dark Curse")</f>
        <v>Dark Curse</v>
      </c>
      <c r="AO152" s="3" t="str">
        <f>IFERROR(__xludf.DUMMYFUNCTION("""COMPUTED_VALUE"""),"Darkest Abyss")</f>
        <v>Darkest Abyss</v>
      </c>
      <c r="AP152" s="3" t="str">
        <f>IFERROR(__xludf.DUMMYFUNCTION("""COMPUTED_VALUE"""),"Berserk")</f>
        <v>Berserk</v>
      </c>
      <c r="AQ152" s="3" t="str">
        <f>IFERROR(__xludf.DUMMYFUNCTION("""COMPUTED_VALUE"""),"Arrest")</f>
        <v>Arrest</v>
      </c>
      <c r="AR152" s="3"/>
      <c r="AS152" s="3"/>
      <c r="AT152" s="3"/>
      <c r="AU152" s="3"/>
      <c r="AV152" s="3"/>
      <c r="AW152" s="3"/>
      <c r="AX152" s="3"/>
      <c r="AY152" s="3"/>
      <c r="AZ152" s="3"/>
      <c r="BA152" s="3"/>
      <c r="BB152" s="3"/>
      <c r="BC152" s="1"/>
      <c r="BD152" s="3">
        <f>IFERROR(__xludf.DUMMYFUNCTION("""COMPUTED_VALUE"""),0.0)</f>
        <v>0</v>
      </c>
      <c r="BE152" s="4">
        <f>IFERROR(__xludf.DUMMYFUNCTION("""COMPUTED_VALUE"""),10.0)</f>
        <v>10</v>
      </c>
      <c r="BF152" s="3" t="str">
        <f>IFERROR(__xludf.DUMMYFUNCTION("""COMPUTED_VALUE"""),"A Dark Calling: +5 can be added to this mobs rolls.")</f>
        <v>A Dark Calling: +5 can be added to this mobs rolls.</v>
      </c>
      <c r="BG152" s="3" t="str">
        <f>IFERROR(__xludf.DUMMYFUNCTION("""COMPUTED_VALUE"""),"Jungle")</f>
        <v>Jungle</v>
      </c>
      <c r="BH152" s="3" t="str">
        <f>IFERROR(__xludf.DUMMYFUNCTION("""COMPUTED_VALUE"""),"Land Of Spira")</f>
        <v>Land Of Spira</v>
      </c>
      <c r="BI152" s="3"/>
      <c r="BJ152" s="3"/>
      <c r="BK152" s="3"/>
      <c r="BL152" s="3" t="b">
        <f>IFERROR(__xludf.DUMMYFUNCTION("""COMPUTED_VALUE"""),FALSE)</f>
        <v>0</v>
      </c>
      <c r="BM152" s="3"/>
      <c r="BN152" s="3"/>
      <c r="BO152" s="3"/>
      <c r="BP152" s="3"/>
      <c r="BQ152" s="3"/>
      <c r="BR152" s="3"/>
      <c r="BS152" s="3"/>
      <c r="BT152" s="3"/>
      <c r="BU152" s="3"/>
      <c r="BV152" s="3"/>
      <c r="BW152" s="3"/>
    </row>
    <row r="153" ht="15.75" customHeight="1">
      <c r="A153" s="3" t="str">
        <f>IFERROR(__xludf.DUMMYFUNCTION("""COMPUTED_VALUE"""),"Lamia ")</f>
        <v>Lamia </v>
      </c>
      <c r="B153" s="3">
        <f>IFERROR(__xludf.DUMMYFUNCTION("""COMPUTED_VALUE"""),1.0)</f>
        <v>1</v>
      </c>
      <c r="C153" s="3"/>
      <c r="D153" s="3" t="str">
        <f>IFERROR(__xludf.DUMMYFUNCTION("""COMPUTED_VALUE"""),"Fae")</f>
        <v>Fae</v>
      </c>
      <c r="E153" s="3">
        <f>IFERROR(__xludf.DUMMYFUNCTION("""COMPUTED_VALUE"""),1010.0)</f>
        <v>1010</v>
      </c>
      <c r="F153" s="12">
        <f>IFERROR(__xludf.DUMMYFUNCTION("""COMPUTED_VALUE"""),1010.0)</f>
        <v>1010</v>
      </c>
      <c r="G153" s="3">
        <f>IFERROR(__xludf.DUMMYFUNCTION("""COMPUTED_VALUE"""),1010.0)</f>
        <v>1010</v>
      </c>
      <c r="H153" s="3">
        <f>IFERROR(__xludf.DUMMYFUNCTION("""COMPUTED_VALUE"""),10.0)</f>
        <v>10</v>
      </c>
      <c r="I153" s="3">
        <f>IFERROR(__xludf.DUMMYFUNCTION("""COMPUTED_VALUE"""),0.0)</f>
        <v>0</v>
      </c>
      <c r="J153" s="3">
        <f>IFERROR(__xludf.DUMMYFUNCTION("""COMPUTED_VALUE"""),0.0)</f>
        <v>0</v>
      </c>
      <c r="K153" s="3">
        <f>IFERROR(__xludf.DUMMYFUNCTION("""COMPUTED_VALUE"""),100.0)</f>
        <v>100</v>
      </c>
      <c r="L153" s="3">
        <f>IFERROR(__xludf.DUMMYFUNCTION("""COMPUTED_VALUE"""),100.0)</f>
        <v>100</v>
      </c>
      <c r="M153" s="3" t="str">
        <f>IFERROR(__xludf.DUMMYFUNCTION("""COMPUTED_VALUE"""),"")</f>
        <v/>
      </c>
      <c r="N153" s="3" t="str">
        <f>IFERROR(__xludf.DUMMYFUNCTION("""COMPUTED_VALUE"""),"")</f>
        <v/>
      </c>
      <c r="O153" s="3"/>
      <c r="P153" s="3"/>
      <c r="Q153" s="3"/>
      <c r="R153" s="3"/>
      <c r="S153" s="3"/>
      <c r="T153" s="3"/>
      <c r="U153" s="3"/>
      <c r="V153" s="3"/>
      <c r="W153" s="3"/>
      <c r="X153" s="3"/>
      <c r="Y153" s="3"/>
      <c r="Z153" s="3"/>
      <c r="AA153" s="3"/>
      <c r="AB153" s="3"/>
      <c r="AC153" s="3"/>
      <c r="AD153" s="3"/>
      <c r="AE153" s="3"/>
      <c r="AF153" s="3"/>
      <c r="AG153" s="3"/>
      <c r="AH153" s="3"/>
      <c r="AI153" s="3"/>
      <c r="AJ153" s="3" t="str">
        <f>IFERROR(__xludf.DUMMYFUNCTION("""COMPUTED_VALUE"""),"Conceal")</f>
        <v>Conceal</v>
      </c>
      <c r="AK153" s="3" t="str">
        <f>IFERROR(__xludf.DUMMYFUNCTION("""COMPUTED_VALUE"""),"Pinning shot")</f>
        <v>Pinning shot</v>
      </c>
      <c r="AL153" s="3" t="str">
        <f>IFERROR(__xludf.DUMMYFUNCTION("""COMPUTED_VALUE"""),"Beast form")</f>
        <v>Beast form</v>
      </c>
      <c r="AM153" s="3" t="str">
        <f>IFERROR(__xludf.DUMMYFUNCTION("""COMPUTED_VALUE"""),"Devolve")</f>
        <v>Devolve</v>
      </c>
      <c r="AN153" s="3" t="str">
        <f>IFERROR(__xludf.DUMMYFUNCTION("""COMPUTED_VALUE"""),"Absorb Enemy ")</f>
        <v>Absorb Enemy </v>
      </c>
      <c r="AO153" s="3"/>
      <c r="AP153" s="3"/>
      <c r="AQ153" s="3"/>
      <c r="AR153" s="3"/>
      <c r="AS153" s="3"/>
      <c r="AT153" s="3"/>
      <c r="AU153" s="3"/>
      <c r="AV153" s="3"/>
      <c r="AW153" s="3"/>
      <c r="AX153" s="3"/>
      <c r="AY153" s="3"/>
      <c r="AZ153" s="3"/>
      <c r="BA153" s="3"/>
      <c r="BB153" s="3"/>
      <c r="BC153" s="1"/>
      <c r="BD153" s="3">
        <f>IFERROR(__xludf.DUMMYFUNCTION("""COMPUTED_VALUE"""),0.0)</f>
        <v>0</v>
      </c>
      <c r="BE153" s="4">
        <f>IFERROR(__xludf.DUMMYFUNCTION("""COMPUTED_VALUE"""),10.0)</f>
        <v>10</v>
      </c>
      <c r="BF153" s="3"/>
      <c r="BG153" s="3" t="str">
        <f>IFERROR(__xludf.DUMMYFUNCTION("""COMPUTED_VALUE"""),"All")</f>
        <v>All</v>
      </c>
      <c r="BH153" s="3" t="str">
        <f>IFERROR(__xludf.DUMMYFUNCTION("""COMPUTED_VALUE"""),"Land of Spira")</f>
        <v>Land of Spira</v>
      </c>
      <c r="BI153" s="3"/>
      <c r="BJ153" s="3"/>
      <c r="BK153" s="3"/>
      <c r="BL153" s="3" t="b">
        <f>IFERROR(__xludf.DUMMYFUNCTION("""COMPUTED_VALUE"""),FALSE)</f>
        <v>0</v>
      </c>
      <c r="BM153" s="3"/>
      <c r="BN153" s="3"/>
      <c r="BO153" s="3"/>
      <c r="BP153" s="3"/>
      <c r="BQ153" s="3"/>
      <c r="BR153" s="3"/>
      <c r="BS153" s="3"/>
      <c r="BT153" s="3"/>
      <c r="BU153" s="3"/>
      <c r="BV153" s="3"/>
      <c r="BW153" s="3"/>
    </row>
    <row r="154" ht="15.75" customHeight="1">
      <c r="A154" s="3" t="str">
        <f>IFERROR(__xludf.DUMMYFUNCTION("""COMPUTED_VALUE"""),"Lava Kraken")</f>
        <v>Lava Kraken</v>
      </c>
      <c r="B154" s="3">
        <f>IFERROR(__xludf.DUMMYFUNCTION("""COMPUTED_VALUE"""),1.0)</f>
        <v>1</v>
      </c>
      <c r="C154" s="3"/>
      <c r="D154" s="12" t="str">
        <f>IFERROR(__xludf.DUMMYFUNCTION("""COMPUTED_VALUE"""),"Beast")</f>
        <v>Beast</v>
      </c>
      <c r="E154" s="12">
        <f>IFERROR(__xludf.DUMMYFUNCTION("""COMPUTED_VALUE"""),1010.0)</f>
        <v>1010</v>
      </c>
      <c r="F154" s="12">
        <f>IFERROR(__xludf.DUMMYFUNCTION("""COMPUTED_VALUE"""),1010.0)</f>
        <v>1010</v>
      </c>
      <c r="G154" s="12">
        <f>IFERROR(__xludf.DUMMYFUNCTION("""COMPUTED_VALUE"""),1010.0)</f>
        <v>1010</v>
      </c>
      <c r="H154" s="3">
        <f>IFERROR(__xludf.DUMMYFUNCTION("""COMPUTED_VALUE"""),10.0)</f>
        <v>10</v>
      </c>
      <c r="I154" s="3">
        <f>IFERROR(__xludf.DUMMYFUNCTION("""COMPUTED_VALUE"""),0.0)</f>
        <v>0</v>
      </c>
      <c r="J154" s="3">
        <f>IFERROR(__xludf.DUMMYFUNCTION("""COMPUTED_VALUE"""),0.0)</f>
        <v>0</v>
      </c>
      <c r="K154" s="3">
        <f>IFERROR(__xludf.DUMMYFUNCTION("""COMPUTED_VALUE"""),100.0)</f>
        <v>100</v>
      </c>
      <c r="L154" s="3">
        <f>IFERROR(__xludf.DUMMYFUNCTION("""COMPUTED_VALUE"""),100.0)</f>
        <v>100</v>
      </c>
      <c r="M154" s="3" t="str">
        <f>IFERROR(__xludf.DUMMYFUNCTION("""COMPUTED_VALUE"""),"Fire:Immune, Nature:Immune, Instant Death:Immune, Banishment:Immune, ")</f>
        <v>Fire:Immune, Nature:Immune, Instant Death:Immune, Banishment:Immune, </v>
      </c>
      <c r="N154" s="3" t="str">
        <f>IFERROR(__xludf.DUMMYFUNCTION("""COMPUTED_VALUE"""),"")</f>
        <v/>
      </c>
      <c r="O154" s="3"/>
      <c r="P154" s="3"/>
      <c r="Q154" s="3"/>
      <c r="R154" s="3"/>
      <c r="S154" s="3"/>
      <c r="T154" s="3"/>
      <c r="U154" s="3"/>
      <c r="V154" s="3"/>
      <c r="W154" s="3"/>
      <c r="X154" s="3"/>
      <c r="Y154" s="3"/>
      <c r="Z154" s="3"/>
      <c r="AA154" s="3"/>
      <c r="AB154" s="3"/>
      <c r="AC154" s="3"/>
      <c r="AD154" s="3"/>
      <c r="AE154" s="3"/>
      <c r="AF154" s="3"/>
      <c r="AG154" s="3"/>
      <c r="AH154" s="3"/>
      <c r="AI154" s="3"/>
      <c r="AJ154" s="3" t="str">
        <f>IFERROR(__xludf.DUMMYFUNCTION("""COMPUTED_VALUE"""),"Strangle")</f>
        <v>Strangle</v>
      </c>
      <c r="AK154" s="3" t="str">
        <f>IFERROR(__xludf.DUMMYFUNCTION("""COMPUTED_VALUE"""),"Volcanic Rain")</f>
        <v>Volcanic Rain</v>
      </c>
      <c r="AL154" s="3" t="str">
        <f>IFERROR(__xludf.DUMMYFUNCTION("""COMPUTED_VALUE"""),"Mass Ignition")</f>
        <v>Mass Ignition</v>
      </c>
      <c r="AM154" s="3" t="str">
        <f>IFERROR(__xludf.DUMMYFUNCTION("""COMPUTED_VALUE"""),"Darkest Abyss")</f>
        <v>Darkest Abyss</v>
      </c>
      <c r="AN154" s="3" t="str">
        <f>IFERROR(__xludf.DUMMYFUNCTION("""COMPUTED_VALUE"""),"Dark Curse")</f>
        <v>Dark Curse</v>
      </c>
      <c r="AO154" s="3" t="str">
        <f>IFERROR(__xludf.DUMMYFUNCTION("""COMPUTED_VALUE"""),"Confiscate (Enhanced)")</f>
        <v>Confiscate (Enhanced)</v>
      </c>
      <c r="AP154" s="3" t="str">
        <f>IFERROR(__xludf.DUMMYFUNCTION("""COMPUTED_VALUE"""),"Mass Destruction")</f>
        <v>Mass Destruction</v>
      </c>
      <c r="AQ154" s="3"/>
      <c r="AR154" s="3"/>
      <c r="AS154" s="3"/>
      <c r="AT154" s="3"/>
      <c r="AU154" s="3"/>
      <c r="AV154" s="3"/>
      <c r="AW154" s="3"/>
      <c r="AX154" s="3"/>
      <c r="AY154" s="3"/>
      <c r="AZ154" s="3"/>
      <c r="BA154" s="3"/>
      <c r="BB154" s="3"/>
      <c r="BC154" s="1"/>
      <c r="BD154" s="3">
        <f>IFERROR(__xludf.DUMMYFUNCTION("""COMPUTED_VALUE"""),0.0)</f>
        <v>0</v>
      </c>
      <c r="BE154" s="4">
        <f>IFERROR(__xludf.DUMMYFUNCTION("""COMPUTED_VALUE"""),10.0)</f>
        <v>10</v>
      </c>
      <c r="BF154" s="3" t="str">
        <f>IFERROR(__xludf.DUMMYFUNCTION("""COMPUTED_VALUE"""),"Arm Shield: Must target each arm 1 at a time to deplete this creature’s hp (8 arms), Only 1 arm can be affected by spell and item effects at a time.
75% chance to be unaffected by any spells affecting this mob
A Dark Calling: +5 can be added to this mob"&amp;"s rolls.
Immune to Freezing.")</f>
        <v>Arm Shield: Must target each arm 1 at a time to deplete this creature’s hp (8 arms), Only 1 arm can be affected by spell and item effects at a time.
75% chance to be unaffected by any spells affecting this mob
A Dark Calling: +5 can be added to this mobs rolls.
Immune to Freezing.</v>
      </c>
      <c r="BG154" s="3" t="str">
        <f>IFERROR(__xludf.DUMMYFUNCTION("""COMPUTED_VALUE"""),"All")</f>
        <v>All</v>
      </c>
      <c r="BH154" s="3" t="str">
        <f>IFERROR(__xludf.DUMMYFUNCTION("""COMPUTED_VALUE"""),"Abstara")</f>
        <v>Abstara</v>
      </c>
      <c r="BI154" s="3"/>
      <c r="BJ154" s="3"/>
      <c r="BK154" s="3"/>
      <c r="BL154" s="3" t="b">
        <f>IFERROR(__xludf.DUMMYFUNCTION("""COMPUTED_VALUE"""),FALSE)</f>
        <v>0</v>
      </c>
      <c r="BM154" s="3"/>
      <c r="BN154" s="3"/>
      <c r="BO154" s="3"/>
      <c r="BP154" s="3"/>
      <c r="BQ154" s="3"/>
      <c r="BR154" s="3"/>
      <c r="BS154" s="3"/>
      <c r="BT154" s="3"/>
      <c r="BU154" s="3"/>
      <c r="BV154" s="3"/>
      <c r="BW154" s="3"/>
    </row>
    <row r="155" ht="15.75" customHeight="1">
      <c r="A155" s="3" t="str">
        <f>IFERROR(__xludf.DUMMYFUNCTION("""COMPUTED_VALUE"""),"Lava Lizard")</f>
        <v>Lava Lizard</v>
      </c>
      <c r="B155" s="3">
        <f>IFERROR(__xludf.DUMMYFUNCTION("""COMPUTED_VALUE"""),1.0)</f>
        <v>1</v>
      </c>
      <c r="C155" s="3"/>
      <c r="D155" s="12" t="str">
        <f>IFERROR(__xludf.DUMMYFUNCTION("""COMPUTED_VALUE"""),"Beast")</f>
        <v>Beast</v>
      </c>
      <c r="E155" s="12">
        <f>IFERROR(__xludf.DUMMYFUNCTION("""COMPUTED_VALUE"""),1010.0)</f>
        <v>1010</v>
      </c>
      <c r="F155" s="12">
        <f>IFERROR(__xludf.DUMMYFUNCTION("""COMPUTED_VALUE"""),1010.0)</f>
        <v>1010</v>
      </c>
      <c r="G155" s="12">
        <f>IFERROR(__xludf.DUMMYFUNCTION("""COMPUTED_VALUE"""),1010.0)</f>
        <v>1010</v>
      </c>
      <c r="H155" s="3">
        <f>IFERROR(__xludf.DUMMYFUNCTION("""COMPUTED_VALUE"""),10.0)</f>
        <v>10</v>
      </c>
      <c r="I155" s="3">
        <f>IFERROR(__xludf.DUMMYFUNCTION("""COMPUTED_VALUE"""),0.0)</f>
        <v>0</v>
      </c>
      <c r="J155" s="3">
        <f>IFERROR(__xludf.DUMMYFUNCTION("""COMPUTED_VALUE"""),0.0)</f>
        <v>0</v>
      </c>
      <c r="K155" s="3">
        <f>IFERROR(__xludf.DUMMYFUNCTION("""COMPUTED_VALUE"""),100.0)</f>
        <v>100</v>
      </c>
      <c r="L155" s="3">
        <f>IFERROR(__xludf.DUMMYFUNCTION("""COMPUTED_VALUE"""),100.0)</f>
        <v>100</v>
      </c>
      <c r="M155" s="3" t="str">
        <f>IFERROR(__xludf.DUMMYFUNCTION("""COMPUTED_VALUE"""),"Fire:Immune, Dark:100, Nature:Immune, ")</f>
        <v>Fire:Immune, Dark:100, Nature:Immune, </v>
      </c>
      <c r="N155" s="3" t="str">
        <f>IFERROR(__xludf.DUMMYFUNCTION("""COMPUTED_VALUE"""),"Water:100, ")</f>
        <v>Water:100, </v>
      </c>
      <c r="O155" s="3"/>
      <c r="P155" s="3"/>
      <c r="Q155" s="3"/>
      <c r="R155" s="3"/>
      <c r="S155" s="3"/>
      <c r="T155" s="3"/>
      <c r="U155" s="3"/>
      <c r="V155" s="3"/>
      <c r="W155" s="3"/>
      <c r="X155" s="3"/>
      <c r="Y155" s="3"/>
      <c r="Z155" s="3"/>
      <c r="AA155" s="3"/>
      <c r="AB155" s="3"/>
      <c r="AC155" s="3"/>
      <c r="AD155" s="3"/>
      <c r="AE155" s="3"/>
      <c r="AF155" s="3"/>
      <c r="AG155" s="3"/>
      <c r="AH155" s="3"/>
      <c r="AI155" s="3"/>
      <c r="AJ155" s="3" t="str">
        <f>IFERROR(__xludf.DUMMYFUNCTION("""COMPUTED_VALUE"""),"Fiery Acidic Spit")</f>
        <v>Fiery Acidic Spit</v>
      </c>
      <c r="AK155" s="3" t="str">
        <f>IFERROR(__xludf.DUMMYFUNCTION("""COMPUTED_VALUE"""),"Flame Thrower")</f>
        <v>Flame Thrower</v>
      </c>
      <c r="AL155" s="3" t="str">
        <f>IFERROR(__xludf.DUMMYFUNCTION("""COMPUTED_VALUE"""),"Volcanic Wall")</f>
        <v>Volcanic Wall</v>
      </c>
      <c r="AM155" s="3" t="str">
        <f>IFERROR(__xludf.DUMMYFUNCTION("""COMPUTED_VALUE"""),"Mass Ignition")</f>
        <v>Mass Ignition</v>
      </c>
      <c r="AN155" s="3" t="str">
        <f>IFERROR(__xludf.DUMMYFUNCTION("""COMPUTED_VALUE"""),"Dark Curse")</f>
        <v>Dark Curse</v>
      </c>
      <c r="AO155" s="3" t="str">
        <f>IFERROR(__xludf.DUMMYFUNCTION("""COMPUTED_VALUE"""),"Celestial Wave")</f>
        <v>Celestial Wave</v>
      </c>
      <c r="AP155" s="3"/>
      <c r="AQ155" s="3"/>
      <c r="AR155" s="3"/>
      <c r="AS155" s="3"/>
      <c r="AT155" s="3"/>
      <c r="AU155" s="3"/>
      <c r="AV155" s="3"/>
      <c r="AW155" s="3"/>
      <c r="AX155" s="3"/>
      <c r="AY155" s="3"/>
      <c r="AZ155" s="3"/>
      <c r="BA155" s="3"/>
      <c r="BB155" s="3"/>
      <c r="BC155" s="1"/>
      <c r="BD155" s="3">
        <f>IFERROR(__xludf.DUMMYFUNCTION("""COMPUTED_VALUE"""),0.0)</f>
        <v>0</v>
      </c>
      <c r="BE155" s="4">
        <f>IFERROR(__xludf.DUMMYFUNCTION("""COMPUTED_VALUE"""),10.0)</f>
        <v>10</v>
      </c>
      <c r="BF155" s="3" t="str">
        <f>IFERROR(__xludf.DUMMYFUNCTION("""COMPUTED_VALUE"""),"A Dark Calling: +5 can be added to this mobs rolls.
Immune to Freezing.")</f>
        <v>A Dark Calling: +5 can be added to this mobs rolls.
Immune to Freezing.</v>
      </c>
      <c r="BG155" s="3" t="str">
        <f>IFERROR(__xludf.DUMMYFUNCTION("""COMPUTED_VALUE"""),"All")</f>
        <v>All</v>
      </c>
      <c r="BH155" s="3" t="str">
        <f>IFERROR(__xludf.DUMMYFUNCTION("""COMPUTED_VALUE"""),"Abstara")</f>
        <v>Abstara</v>
      </c>
      <c r="BI155" s="3"/>
      <c r="BJ155" s="3"/>
      <c r="BK155" s="3"/>
      <c r="BL155" s="3" t="b">
        <f>IFERROR(__xludf.DUMMYFUNCTION("""COMPUTED_VALUE"""),FALSE)</f>
        <v>0</v>
      </c>
      <c r="BM155" s="3"/>
      <c r="BN155" s="3"/>
      <c r="BO155" s="3"/>
      <c r="BP155" s="3"/>
      <c r="BQ155" s="3"/>
      <c r="BR155" s="3"/>
      <c r="BS155" s="3"/>
      <c r="BT155" s="3"/>
      <c r="BU155" s="3"/>
      <c r="BV155" s="3"/>
      <c r="BW155" s="3"/>
    </row>
    <row r="156" ht="15.75" customHeight="1">
      <c r="A156" s="3" t="str">
        <f>IFERROR(__xludf.DUMMYFUNCTION("""COMPUTED_VALUE"""),"Lava Moth")</f>
        <v>Lava Moth</v>
      </c>
      <c r="B156" s="3">
        <f>IFERROR(__xludf.DUMMYFUNCTION("""COMPUTED_VALUE"""),1.0)</f>
        <v>1</v>
      </c>
      <c r="C156" s="3"/>
      <c r="D156" s="12" t="str">
        <f>IFERROR(__xludf.DUMMYFUNCTION("""COMPUTED_VALUE"""),"Beast")</f>
        <v>Beast</v>
      </c>
      <c r="E156" s="12">
        <f>IFERROR(__xludf.DUMMYFUNCTION("""COMPUTED_VALUE"""),1010.0)</f>
        <v>1010</v>
      </c>
      <c r="F156" s="12">
        <f>IFERROR(__xludf.DUMMYFUNCTION("""COMPUTED_VALUE"""),1010.0)</f>
        <v>1010</v>
      </c>
      <c r="G156" s="12">
        <f>IFERROR(__xludf.DUMMYFUNCTION("""COMPUTED_VALUE"""),1010.0)</f>
        <v>1010</v>
      </c>
      <c r="H156" s="3">
        <f>IFERROR(__xludf.DUMMYFUNCTION("""COMPUTED_VALUE"""),10.0)</f>
        <v>10</v>
      </c>
      <c r="I156" s="3">
        <f>IFERROR(__xludf.DUMMYFUNCTION("""COMPUTED_VALUE"""),0.0)</f>
        <v>0</v>
      </c>
      <c r="J156" s="3">
        <f>IFERROR(__xludf.DUMMYFUNCTION("""COMPUTED_VALUE"""),0.0)</f>
        <v>0</v>
      </c>
      <c r="K156" s="3">
        <f>IFERROR(__xludf.DUMMYFUNCTION("""COMPUTED_VALUE"""),100.0)</f>
        <v>100</v>
      </c>
      <c r="L156" s="3">
        <f>IFERROR(__xludf.DUMMYFUNCTION("""COMPUTED_VALUE"""),100.0)</f>
        <v>100</v>
      </c>
      <c r="M156" s="3" t="str">
        <f>IFERROR(__xludf.DUMMYFUNCTION("""COMPUTED_VALUE"""),"")</f>
        <v/>
      </c>
      <c r="N156" s="3" t="str">
        <f>IFERROR(__xludf.DUMMYFUNCTION("""COMPUTED_VALUE"""),"Water:100, ")</f>
        <v>Water:100, </v>
      </c>
      <c r="O156" s="3"/>
      <c r="P156" s="3"/>
      <c r="Q156" s="3"/>
      <c r="R156" s="3"/>
      <c r="S156" s="3"/>
      <c r="T156" s="3"/>
      <c r="U156" s="3"/>
      <c r="V156" s="3"/>
      <c r="W156" s="3"/>
      <c r="X156" s="3"/>
      <c r="Y156" s="3"/>
      <c r="Z156" s="3"/>
      <c r="AA156" s="3"/>
      <c r="AB156" s="3"/>
      <c r="AC156" s="3"/>
      <c r="AD156" s="3"/>
      <c r="AE156" s="3"/>
      <c r="AF156" s="3"/>
      <c r="AG156" s="3"/>
      <c r="AH156" s="3"/>
      <c r="AI156" s="3"/>
      <c r="AJ156" s="3" t="str">
        <f>IFERROR(__xludf.DUMMYFUNCTION("""COMPUTED_VALUE"""),"Fire Bolt")</f>
        <v>Fire Bolt</v>
      </c>
      <c r="AK156" s="3" t="str">
        <f>IFERROR(__xludf.DUMMYFUNCTION("""COMPUTED_VALUE"""),"Flame Thrower")</f>
        <v>Flame Thrower</v>
      </c>
      <c r="AL156" s="3" t="str">
        <f>IFERROR(__xludf.DUMMYFUNCTION("""COMPUTED_VALUE"""),"Hurricane")</f>
        <v>Hurricane</v>
      </c>
      <c r="AM156" s="3" t="str">
        <f>IFERROR(__xludf.DUMMYFUNCTION("""COMPUTED_VALUE"""),"Gust of Wind")</f>
        <v>Gust of Wind</v>
      </c>
      <c r="AN156" s="3" t="str">
        <f>IFERROR(__xludf.DUMMYFUNCTION("""COMPUTED_VALUE"""),"Shadow Strike")</f>
        <v>Shadow Strike</v>
      </c>
      <c r="AO156" s="3" t="str">
        <f>IFERROR(__xludf.DUMMYFUNCTION("""COMPUTED_VALUE"""),"Devolve")</f>
        <v>Devolve</v>
      </c>
      <c r="AP156" s="3" t="str">
        <f>IFERROR(__xludf.DUMMYFUNCTION("""COMPUTED_VALUE"""),"Berserk")</f>
        <v>Berserk</v>
      </c>
      <c r="AQ156" s="3" t="str">
        <f>IFERROR(__xludf.DUMMYFUNCTION("""COMPUTED_VALUE"""),"Celestial Wave")</f>
        <v>Celestial Wave</v>
      </c>
      <c r="AR156" s="3"/>
      <c r="AS156" s="3"/>
      <c r="AT156" s="3"/>
      <c r="AU156" s="3"/>
      <c r="AV156" s="3"/>
      <c r="AW156" s="3"/>
      <c r="AX156" s="3"/>
      <c r="AY156" s="3"/>
      <c r="AZ156" s="3"/>
      <c r="BA156" s="3"/>
      <c r="BB156" s="3"/>
      <c r="BC156" s="1"/>
      <c r="BD156" s="3">
        <f>IFERROR(__xludf.DUMMYFUNCTION("""COMPUTED_VALUE"""),0.0)</f>
        <v>0</v>
      </c>
      <c r="BE156" s="4">
        <f>IFERROR(__xludf.DUMMYFUNCTION("""COMPUTED_VALUE"""),10.0)</f>
        <v>10</v>
      </c>
      <c r="BF156" s="3" t="str">
        <f>IFERROR(__xludf.DUMMYFUNCTION("""COMPUTED_VALUE"""),"A Dark Calling: +5 can be added to this mobs rolls.
Immune to Freezing.")</f>
        <v>A Dark Calling: +5 can be added to this mobs rolls.
Immune to Freezing.</v>
      </c>
      <c r="BG156" s="3" t="str">
        <f>IFERROR(__xludf.DUMMYFUNCTION("""COMPUTED_VALUE"""),"All")</f>
        <v>All</v>
      </c>
      <c r="BH156" s="3" t="str">
        <f>IFERROR(__xludf.DUMMYFUNCTION("""COMPUTED_VALUE"""),"Abstara")</f>
        <v>Abstara</v>
      </c>
      <c r="BI156" s="3"/>
      <c r="BJ156" s="3"/>
      <c r="BK156" s="3"/>
      <c r="BL156" s="3" t="b">
        <f>IFERROR(__xludf.DUMMYFUNCTION("""COMPUTED_VALUE"""),FALSE)</f>
        <v>0</v>
      </c>
      <c r="BM156" s="3"/>
      <c r="BN156" s="3"/>
      <c r="BO156" s="3"/>
      <c r="BP156" s="3"/>
      <c r="BQ156" s="3"/>
      <c r="BR156" s="3"/>
      <c r="BS156" s="3"/>
      <c r="BT156" s="3"/>
      <c r="BU156" s="3"/>
      <c r="BV156" s="3"/>
      <c r="BW156" s="3"/>
    </row>
    <row r="157" ht="15.75" customHeight="1">
      <c r="A157" s="3" t="str">
        <f>IFERROR(__xludf.DUMMYFUNCTION("""COMPUTED_VALUE"""),"Lava Panther")</f>
        <v>Lava Panther</v>
      </c>
      <c r="B157" s="3">
        <f>IFERROR(__xludf.DUMMYFUNCTION("""COMPUTED_VALUE"""),1.0)</f>
        <v>1</v>
      </c>
      <c r="C157" s="3"/>
      <c r="D157" s="12" t="str">
        <f>IFERROR(__xludf.DUMMYFUNCTION("""COMPUTED_VALUE"""),"Beast")</f>
        <v>Beast</v>
      </c>
      <c r="E157" s="12">
        <f>IFERROR(__xludf.DUMMYFUNCTION("""COMPUTED_VALUE"""),1010.0)</f>
        <v>1010</v>
      </c>
      <c r="F157" s="12">
        <f>IFERROR(__xludf.DUMMYFUNCTION("""COMPUTED_VALUE"""),1010.0)</f>
        <v>1010</v>
      </c>
      <c r="G157" s="12">
        <f>IFERROR(__xludf.DUMMYFUNCTION("""COMPUTED_VALUE"""),1010.0)</f>
        <v>1010</v>
      </c>
      <c r="H157" s="3">
        <f>IFERROR(__xludf.DUMMYFUNCTION("""COMPUTED_VALUE"""),10.0)</f>
        <v>10</v>
      </c>
      <c r="I157" s="3">
        <f>IFERROR(__xludf.DUMMYFUNCTION("""COMPUTED_VALUE"""),0.0)</f>
        <v>0</v>
      </c>
      <c r="J157" s="3">
        <f>IFERROR(__xludf.DUMMYFUNCTION("""COMPUTED_VALUE"""),0.0)</f>
        <v>0</v>
      </c>
      <c r="K157" s="3">
        <f>IFERROR(__xludf.DUMMYFUNCTION("""COMPUTED_VALUE"""),100.0)</f>
        <v>100</v>
      </c>
      <c r="L157" s="3">
        <f>IFERROR(__xludf.DUMMYFUNCTION("""COMPUTED_VALUE"""),100.0)</f>
        <v>100</v>
      </c>
      <c r="M157" s="3" t="str">
        <f>IFERROR(__xludf.DUMMYFUNCTION("""COMPUTED_VALUE"""),"Fire:Immune, ")</f>
        <v>Fire:Immune, </v>
      </c>
      <c r="N157" s="3" t="str">
        <f>IFERROR(__xludf.DUMMYFUNCTION("""COMPUTED_VALUE"""),"Water:100, ")</f>
        <v>Water:100, </v>
      </c>
      <c r="O157" s="3"/>
      <c r="P157" s="3"/>
      <c r="Q157" s="3"/>
      <c r="R157" s="3"/>
      <c r="S157" s="3"/>
      <c r="T157" s="3"/>
      <c r="U157" s="3"/>
      <c r="V157" s="3"/>
      <c r="W157" s="3"/>
      <c r="X157" s="3"/>
      <c r="Y157" s="3"/>
      <c r="Z157" s="3"/>
      <c r="AA157" s="3"/>
      <c r="AB157" s="3"/>
      <c r="AC157" s="3"/>
      <c r="AD157" s="3"/>
      <c r="AE157" s="3"/>
      <c r="AF157" s="3"/>
      <c r="AG157" s="3"/>
      <c r="AH157" s="3"/>
      <c r="AI157" s="3"/>
      <c r="AJ157" s="3" t="str">
        <f>IFERROR(__xludf.DUMMYFUNCTION("""COMPUTED_VALUE"""),"Flaming Bite")</f>
        <v>Flaming Bite</v>
      </c>
      <c r="AK157" s="3" t="str">
        <f>IFERROR(__xludf.DUMMYFUNCTION("""COMPUTED_VALUE"""),"Volcanic Claws")</f>
        <v>Volcanic Claws</v>
      </c>
      <c r="AL157" s="3" t="str">
        <f>IFERROR(__xludf.DUMMYFUNCTION("""COMPUTED_VALUE"""),"Claws")</f>
        <v>Claws</v>
      </c>
      <c r="AM157" s="3" t="str">
        <f>IFERROR(__xludf.DUMMYFUNCTION("""COMPUTED_VALUE"""),"Lunge")</f>
        <v>Lunge</v>
      </c>
      <c r="AN157" s="3" t="str">
        <f>IFERROR(__xludf.DUMMYFUNCTION("""COMPUTED_VALUE"""),"Berserk")</f>
        <v>Berserk</v>
      </c>
      <c r="AO157" s="3" t="str">
        <f>IFERROR(__xludf.DUMMYFUNCTION("""COMPUTED_VALUE"""),"Celestial Strike")</f>
        <v>Celestial Strike</v>
      </c>
      <c r="AP157" s="3"/>
      <c r="AQ157" s="3"/>
      <c r="AR157" s="3"/>
      <c r="AS157" s="3"/>
      <c r="AT157" s="3"/>
      <c r="AU157" s="3"/>
      <c r="AV157" s="3"/>
      <c r="AW157" s="3"/>
      <c r="AX157" s="3"/>
      <c r="AY157" s="3"/>
      <c r="AZ157" s="3"/>
      <c r="BA157" s="3"/>
      <c r="BB157" s="3"/>
      <c r="BC157" s="1"/>
      <c r="BD157" s="3">
        <f>IFERROR(__xludf.DUMMYFUNCTION("""COMPUTED_VALUE"""),0.0)</f>
        <v>0</v>
      </c>
      <c r="BE157" s="4">
        <f>IFERROR(__xludf.DUMMYFUNCTION("""COMPUTED_VALUE"""),10.0)</f>
        <v>10</v>
      </c>
      <c r="BF157" s="3" t="str">
        <f>IFERROR(__xludf.DUMMYFUNCTION("""COMPUTED_VALUE"""),"A Dark Calling: +5 can be added to this mobs rolls.
Immune to Freezing.")</f>
        <v>A Dark Calling: +5 can be added to this mobs rolls.
Immune to Freezing.</v>
      </c>
      <c r="BG157" s="3" t="str">
        <f>IFERROR(__xludf.DUMMYFUNCTION("""COMPUTED_VALUE"""),"All")</f>
        <v>All</v>
      </c>
      <c r="BH157" s="3" t="str">
        <f>IFERROR(__xludf.DUMMYFUNCTION("""COMPUTED_VALUE"""),"Abstara")</f>
        <v>Abstara</v>
      </c>
      <c r="BI157" s="3"/>
      <c r="BJ157" s="3"/>
      <c r="BK157" s="3"/>
      <c r="BL157" s="3" t="b">
        <f>IFERROR(__xludf.DUMMYFUNCTION("""COMPUTED_VALUE"""),FALSE)</f>
        <v>0</v>
      </c>
      <c r="BM157" s="3"/>
      <c r="BN157" s="3"/>
      <c r="BO157" s="3"/>
      <c r="BP157" s="3"/>
      <c r="BQ157" s="3"/>
      <c r="BR157" s="3"/>
      <c r="BS157" s="3"/>
      <c r="BT157" s="3"/>
      <c r="BU157" s="3"/>
      <c r="BV157" s="3"/>
      <c r="BW157" s="3"/>
    </row>
    <row r="158" ht="15.75" customHeight="1">
      <c r="A158" s="3" t="str">
        <f>IFERROR(__xludf.DUMMYFUNCTION("""COMPUTED_VALUE"""),"Lava Rat")</f>
        <v>Lava Rat</v>
      </c>
      <c r="B158" s="3">
        <f>IFERROR(__xludf.DUMMYFUNCTION("""COMPUTED_VALUE"""),1.0)</f>
        <v>1</v>
      </c>
      <c r="C158" s="3"/>
      <c r="D158" s="12" t="str">
        <f>IFERROR(__xludf.DUMMYFUNCTION("""COMPUTED_VALUE"""),"Beast")</f>
        <v>Beast</v>
      </c>
      <c r="E158" s="12">
        <f>IFERROR(__xludf.DUMMYFUNCTION("""COMPUTED_VALUE"""),1010.0)</f>
        <v>1010</v>
      </c>
      <c r="F158" s="12">
        <f>IFERROR(__xludf.DUMMYFUNCTION("""COMPUTED_VALUE"""),1010.0)</f>
        <v>1010</v>
      </c>
      <c r="G158" s="12">
        <f>IFERROR(__xludf.DUMMYFUNCTION("""COMPUTED_VALUE"""),1010.0)</f>
        <v>1010</v>
      </c>
      <c r="H158" s="3">
        <f>IFERROR(__xludf.DUMMYFUNCTION("""COMPUTED_VALUE"""),10.0)</f>
        <v>10</v>
      </c>
      <c r="I158" s="3">
        <f>IFERROR(__xludf.DUMMYFUNCTION("""COMPUTED_VALUE"""),0.0)</f>
        <v>0</v>
      </c>
      <c r="J158" s="3">
        <f>IFERROR(__xludf.DUMMYFUNCTION("""COMPUTED_VALUE"""),0.0)</f>
        <v>0</v>
      </c>
      <c r="K158" s="3">
        <f>IFERROR(__xludf.DUMMYFUNCTION("""COMPUTED_VALUE"""),100.0)</f>
        <v>100</v>
      </c>
      <c r="L158" s="3">
        <f>IFERROR(__xludf.DUMMYFUNCTION("""COMPUTED_VALUE"""),100.0)</f>
        <v>100</v>
      </c>
      <c r="M158" s="3" t="str">
        <f>IFERROR(__xludf.DUMMYFUNCTION("""COMPUTED_VALUE"""),"Fire:Immune, ")</f>
        <v>Fire:Immune, </v>
      </c>
      <c r="N158" s="3" t="str">
        <f>IFERROR(__xludf.DUMMYFUNCTION("""COMPUTED_VALUE"""),"Water:100, ")</f>
        <v>Water:100, </v>
      </c>
      <c r="O158" s="3"/>
      <c r="P158" s="3"/>
      <c r="Q158" s="3"/>
      <c r="R158" s="3"/>
      <c r="S158" s="3"/>
      <c r="T158" s="3"/>
      <c r="U158" s="3"/>
      <c r="V158" s="3"/>
      <c r="W158" s="3"/>
      <c r="X158" s="3"/>
      <c r="Y158" s="3"/>
      <c r="Z158" s="3"/>
      <c r="AA158" s="3"/>
      <c r="AB158" s="3"/>
      <c r="AC158" s="3"/>
      <c r="AD158" s="3"/>
      <c r="AE158" s="3"/>
      <c r="AF158" s="3"/>
      <c r="AG158" s="3"/>
      <c r="AH158" s="3"/>
      <c r="AI158" s="3"/>
      <c r="AJ158" s="3" t="str">
        <f>IFERROR(__xludf.DUMMYFUNCTION("""COMPUTED_VALUE"""),"Flaming Bite")</f>
        <v>Flaming Bite</v>
      </c>
      <c r="AK158" s="3" t="str">
        <f>IFERROR(__xludf.DUMMYFUNCTION("""COMPUTED_VALUE"""),"Volcanic Claws")</f>
        <v>Volcanic Claws</v>
      </c>
      <c r="AL158" s="3" t="str">
        <f>IFERROR(__xludf.DUMMYFUNCTION("""COMPUTED_VALUE"""),"Claws")</f>
        <v>Claws</v>
      </c>
      <c r="AM158" s="3" t="str">
        <f>IFERROR(__xludf.DUMMYFUNCTION("""COMPUTED_VALUE"""),"Flame Thrower")</f>
        <v>Flame Thrower</v>
      </c>
      <c r="AN158" s="3" t="str">
        <f>IFERROR(__xludf.DUMMYFUNCTION("""COMPUTED_VALUE"""),"Berserk")</f>
        <v>Berserk</v>
      </c>
      <c r="AO158" s="3" t="str">
        <f>IFERROR(__xludf.DUMMYFUNCTION("""COMPUTED_VALUE"""),"Dark Sacrifice")</f>
        <v>Dark Sacrifice</v>
      </c>
      <c r="AP158" s="3" t="str">
        <f>IFERROR(__xludf.DUMMYFUNCTION("""COMPUTED_VALUE"""),"Celestial Strike")</f>
        <v>Celestial Strike</v>
      </c>
      <c r="AQ158" s="3"/>
      <c r="AR158" s="3"/>
      <c r="AS158" s="3"/>
      <c r="AT158" s="3"/>
      <c r="AU158" s="3"/>
      <c r="AV158" s="3"/>
      <c r="AW158" s="3"/>
      <c r="AX158" s="3"/>
      <c r="AY158" s="3"/>
      <c r="AZ158" s="3"/>
      <c r="BA158" s="3"/>
      <c r="BB158" s="3"/>
      <c r="BC158" s="1"/>
      <c r="BD158" s="3">
        <f>IFERROR(__xludf.DUMMYFUNCTION("""COMPUTED_VALUE"""),0.0)</f>
        <v>0</v>
      </c>
      <c r="BE158" s="4">
        <f>IFERROR(__xludf.DUMMYFUNCTION("""COMPUTED_VALUE"""),10.0)</f>
        <v>10</v>
      </c>
      <c r="BF158" s="3" t="str">
        <f>IFERROR(__xludf.DUMMYFUNCTION("""COMPUTED_VALUE"""),"A Dark Calling: +5 can be added to this mobs rolls.
Immune to Freezing.")</f>
        <v>A Dark Calling: +5 can be added to this mobs rolls.
Immune to Freezing.</v>
      </c>
      <c r="BG158" s="3" t="str">
        <f>IFERROR(__xludf.DUMMYFUNCTION("""COMPUTED_VALUE"""),"All")</f>
        <v>All</v>
      </c>
      <c r="BH158" s="3" t="str">
        <f>IFERROR(__xludf.DUMMYFUNCTION("""COMPUTED_VALUE"""),"Abstara")</f>
        <v>Abstara</v>
      </c>
      <c r="BI158" s="3"/>
      <c r="BJ158" s="3"/>
      <c r="BK158" s="3"/>
      <c r="BL158" s="3" t="b">
        <f>IFERROR(__xludf.DUMMYFUNCTION("""COMPUTED_VALUE"""),FALSE)</f>
        <v>0</v>
      </c>
      <c r="BM158" s="3"/>
      <c r="BN158" s="3"/>
      <c r="BO158" s="3"/>
      <c r="BP158" s="3"/>
      <c r="BQ158" s="3"/>
      <c r="BR158" s="3"/>
      <c r="BS158" s="3"/>
      <c r="BT158" s="3"/>
      <c r="BU158" s="3"/>
      <c r="BV158" s="3"/>
      <c r="BW158" s="3"/>
    </row>
    <row r="159" ht="15.75" customHeight="1">
      <c r="A159" s="3" t="str">
        <f>IFERROR(__xludf.DUMMYFUNCTION("""COMPUTED_VALUE"""),"Rat King")</f>
        <v>Rat King</v>
      </c>
      <c r="B159" s="3">
        <f>IFERROR(__xludf.DUMMYFUNCTION("""COMPUTED_VALUE"""),1.0)</f>
        <v>1</v>
      </c>
      <c r="C159" s="3"/>
      <c r="D159" s="12" t="str">
        <f>IFERROR(__xludf.DUMMYFUNCTION("""COMPUTED_VALUE"""),"Beast")</f>
        <v>Beast</v>
      </c>
      <c r="E159" s="12">
        <f>IFERROR(__xludf.DUMMYFUNCTION("""COMPUTED_VALUE"""),1010.0)</f>
        <v>1010</v>
      </c>
      <c r="F159" s="12">
        <f>IFERROR(__xludf.DUMMYFUNCTION("""COMPUTED_VALUE"""),1010.0)</f>
        <v>1010</v>
      </c>
      <c r="G159" s="12">
        <f>IFERROR(__xludf.DUMMYFUNCTION("""COMPUTED_VALUE"""),1010.0)</f>
        <v>1010</v>
      </c>
      <c r="H159" s="3">
        <f>IFERROR(__xludf.DUMMYFUNCTION("""COMPUTED_VALUE"""),10.0)</f>
        <v>10</v>
      </c>
      <c r="I159" s="3">
        <f>IFERROR(__xludf.DUMMYFUNCTION("""COMPUTED_VALUE"""),0.0)</f>
        <v>0</v>
      </c>
      <c r="J159" s="3">
        <f>IFERROR(__xludf.DUMMYFUNCTION("""COMPUTED_VALUE"""),0.0)</f>
        <v>0</v>
      </c>
      <c r="K159" s="3">
        <f>IFERROR(__xludf.DUMMYFUNCTION("""COMPUTED_VALUE"""),100.0)</f>
        <v>100</v>
      </c>
      <c r="L159" s="3">
        <f>IFERROR(__xludf.DUMMYFUNCTION("""COMPUTED_VALUE"""),100.0)</f>
        <v>100</v>
      </c>
      <c r="M159" s="3" t="str">
        <f>IFERROR(__xludf.DUMMYFUNCTION("""COMPUTED_VALUE"""),"Dark:Immune, Chaos:Immune, Voodoo:Immune, Instant Death:Immune, Banishment:Immune, ")</f>
        <v>Dark:Immune, Chaos:Immune, Voodoo:Immune, Instant Death:Immune, Banishment:Immune, </v>
      </c>
      <c r="N159" s="3" t="str">
        <f>IFERROR(__xludf.DUMMYFUNCTION("""COMPUTED_VALUE"""),"Light:100, Order:100, ")</f>
        <v>Light:100, Order:100, </v>
      </c>
      <c r="O159" s="3" t="str">
        <f>IFERROR(__xludf.DUMMYFUNCTION("""COMPUTED_VALUE"""),"Rat King's Crown")</f>
        <v>Rat King's Crown</v>
      </c>
      <c r="P159" s="3"/>
      <c r="Q159" s="3"/>
      <c r="R159" s="3"/>
      <c r="S159" s="3"/>
      <c r="T159" s="3"/>
      <c r="U159" s="3"/>
      <c r="V159" s="3"/>
      <c r="W159" s="3"/>
      <c r="X159" s="3"/>
      <c r="Y159" s="3"/>
      <c r="Z159" s="3"/>
      <c r="AA159" s="3"/>
      <c r="AB159" s="3"/>
      <c r="AC159" s="3"/>
      <c r="AD159" s="3"/>
      <c r="AE159" s="3"/>
      <c r="AF159" s="3"/>
      <c r="AG159" s="3"/>
      <c r="AH159" s="3"/>
      <c r="AI159" s="3"/>
      <c r="AJ159" s="3" t="str">
        <f>IFERROR(__xludf.DUMMYFUNCTION("""COMPUTED_VALUE"""),"Chaincast")</f>
        <v>Chaincast</v>
      </c>
      <c r="AK159" s="3" t="str">
        <f>IFERROR(__xludf.DUMMYFUNCTION("""COMPUTED_VALUE"""),"Last Gamble")</f>
        <v>Last Gamble</v>
      </c>
      <c r="AL159" s="3" t="str">
        <f>IFERROR(__xludf.DUMMYFUNCTION("""COMPUTED_VALUE"""),"Voodoo Meteor Shower")</f>
        <v>Voodoo Meteor Shower</v>
      </c>
      <c r="AM159" s="3" t="str">
        <f>IFERROR(__xludf.DUMMYFUNCTION("""COMPUTED_VALUE"""),"Banish")</f>
        <v>Banish</v>
      </c>
      <c r="AN159" s="3" t="str">
        <f>IFERROR(__xludf.DUMMYFUNCTION("""COMPUTED_VALUE"""),"Chains of Shadow")</f>
        <v>Chains of Shadow</v>
      </c>
      <c r="AO159" s="3" t="str">
        <f>IFERROR(__xludf.DUMMYFUNCTION("""COMPUTED_VALUE"""),"Devolve")</f>
        <v>Devolve</v>
      </c>
      <c r="AP159" s="3" t="str">
        <f>IFERROR(__xludf.DUMMYFUNCTION("""COMPUTED_VALUE"""),"Dimensional Quake")</f>
        <v>Dimensional Quake</v>
      </c>
      <c r="AQ159" s="3"/>
      <c r="AR159" s="3" t="str">
        <f>IFERROR(__xludf.DUMMYFUNCTION("""COMPUTED_VALUE"""),"Countdown")</f>
        <v>Countdown</v>
      </c>
      <c r="AS159" s="3" t="str">
        <f>IFERROR(__xludf.DUMMYFUNCTION("""COMPUTED_VALUE"""),"Berserk")</f>
        <v>Berserk</v>
      </c>
      <c r="AT159" s="3" t="str">
        <f>IFERROR(__xludf.DUMMYFUNCTION("""COMPUTED_VALUE"""),"Celestial Wrath")</f>
        <v>Celestial Wrath</v>
      </c>
      <c r="AU159" s="3"/>
      <c r="AV159" s="3"/>
      <c r="AW159" s="3"/>
      <c r="AX159" s="3"/>
      <c r="AY159" s="3"/>
      <c r="AZ159" s="3"/>
      <c r="BA159" s="3"/>
      <c r="BB159" s="3"/>
      <c r="BC159" s="1"/>
      <c r="BD159" s="3">
        <f>IFERROR(__xludf.DUMMYFUNCTION("""COMPUTED_VALUE"""),0.0)</f>
        <v>0</v>
      </c>
      <c r="BE159" s="4">
        <f>IFERROR(__xludf.DUMMYFUNCTION("""COMPUTED_VALUE"""),10.0)</f>
        <v>10</v>
      </c>
      <c r="BF159" s="3" t="str">
        <f>IFERROR(__xludf.DUMMYFUNCTION("""COMPUTED_VALUE"""),"75% chance to be unaffected by any spells affecting this mob
A Dark Calling II: +10 can be added to this mobs rolls.
Rat Army: When this mob dies a d4 of Lava Rats will be summoned. to the battle. 
Items cannot be taken from this mob.")</f>
        <v>75% chance to be unaffected by any spells affecting this mob
A Dark Calling II: +10 can be added to this mobs rolls.
Rat Army: When this mob dies a d4 of Lava Rats will be summoned. to the battle. 
Items cannot be taken from this mob.</v>
      </c>
      <c r="BG159" s="3" t="str">
        <f>IFERROR(__xludf.DUMMYFUNCTION("""COMPUTED_VALUE"""),"All")</f>
        <v>All</v>
      </c>
      <c r="BH159" s="3" t="str">
        <f>IFERROR(__xludf.DUMMYFUNCTION("""COMPUTED_VALUE"""),"Abstara")</f>
        <v>Abstara</v>
      </c>
      <c r="BI159" s="3"/>
      <c r="BJ159" s="3"/>
      <c r="BK159" s="3"/>
      <c r="BL159" s="3" t="b">
        <f>IFERROR(__xludf.DUMMYFUNCTION("""COMPUTED_VALUE"""),FALSE)</f>
        <v>0</v>
      </c>
      <c r="BM159" s="3"/>
      <c r="BN159" s="3"/>
      <c r="BO159" s="3"/>
      <c r="BP159" s="3"/>
      <c r="BQ159" s="3"/>
      <c r="BR159" s="3"/>
      <c r="BS159" s="3"/>
      <c r="BT159" s="3"/>
      <c r="BU159" s="3"/>
      <c r="BV159" s="3"/>
      <c r="BW159" s="3"/>
    </row>
    <row r="160" ht="15.75" customHeight="1">
      <c r="A160" s="3" t="str">
        <f>IFERROR(__xludf.DUMMYFUNCTION("""COMPUTED_VALUE"""),"Lava Tiger")</f>
        <v>Lava Tiger</v>
      </c>
      <c r="B160" s="3">
        <f>IFERROR(__xludf.DUMMYFUNCTION("""COMPUTED_VALUE"""),1.0)</f>
        <v>1</v>
      </c>
      <c r="C160" s="3"/>
      <c r="D160" s="12" t="str">
        <f>IFERROR(__xludf.DUMMYFUNCTION("""COMPUTED_VALUE"""),"Beast")</f>
        <v>Beast</v>
      </c>
      <c r="E160" s="12">
        <f>IFERROR(__xludf.DUMMYFUNCTION("""COMPUTED_VALUE"""),1010.0)</f>
        <v>1010</v>
      </c>
      <c r="F160" s="12">
        <f>IFERROR(__xludf.DUMMYFUNCTION("""COMPUTED_VALUE"""),1010.0)</f>
        <v>1010</v>
      </c>
      <c r="G160" s="12">
        <f>IFERROR(__xludf.DUMMYFUNCTION("""COMPUTED_VALUE"""),1010.0)</f>
        <v>1010</v>
      </c>
      <c r="H160" s="3">
        <f>IFERROR(__xludf.DUMMYFUNCTION("""COMPUTED_VALUE"""),10.0)</f>
        <v>10</v>
      </c>
      <c r="I160" s="3">
        <f>IFERROR(__xludf.DUMMYFUNCTION("""COMPUTED_VALUE"""),0.0)</f>
        <v>0</v>
      </c>
      <c r="J160" s="3">
        <f>IFERROR(__xludf.DUMMYFUNCTION("""COMPUTED_VALUE"""),0.0)</f>
        <v>0</v>
      </c>
      <c r="K160" s="3">
        <f>IFERROR(__xludf.DUMMYFUNCTION("""COMPUTED_VALUE"""),100.0)</f>
        <v>100</v>
      </c>
      <c r="L160" s="3">
        <f>IFERROR(__xludf.DUMMYFUNCTION("""COMPUTED_VALUE"""),100.0)</f>
        <v>100</v>
      </c>
      <c r="M160" s="3" t="str">
        <f>IFERROR(__xludf.DUMMYFUNCTION("""COMPUTED_VALUE"""),"Fire:100, Nature:Immune, ")</f>
        <v>Fire:100, Nature:Immune, </v>
      </c>
      <c r="N160" s="3" t="str">
        <f>IFERROR(__xludf.DUMMYFUNCTION("""COMPUTED_VALUE"""),"Water:100, ")</f>
        <v>Water:100, </v>
      </c>
      <c r="O160" s="3"/>
      <c r="P160" s="3"/>
      <c r="Q160" s="3"/>
      <c r="R160" s="3"/>
      <c r="S160" s="3"/>
      <c r="T160" s="3"/>
      <c r="U160" s="3"/>
      <c r="V160" s="3"/>
      <c r="W160" s="3"/>
      <c r="X160" s="3"/>
      <c r="Y160" s="3"/>
      <c r="Z160" s="3"/>
      <c r="AA160" s="3"/>
      <c r="AB160" s="3"/>
      <c r="AC160" s="3"/>
      <c r="AD160" s="3"/>
      <c r="AE160" s="3"/>
      <c r="AF160" s="3"/>
      <c r="AG160" s="3"/>
      <c r="AH160" s="3"/>
      <c r="AI160" s="3"/>
      <c r="AJ160" s="3" t="str">
        <f>IFERROR(__xludf.DUMMYFUNCTION("""COMPUTED_VALUE"""),"Volcanic Claws")</f>
        <v>Volcanic Claws</v>
      </c>
      <c r="AK160" s="3" t="str">
        <f>IFERROR(__xludf.DUMMYFUNCTION("""COMPUTED_VALUE"""),"Roar Of Heatmore")</f>
        <v>Roar Of Heatmore</v>
      </c>
      <c r="AL160" s="3"/>
      <c r="AM160" s="3" t="str">
        <f>IFERROR(__xludf.DUMMYFUNCTION("""COMPUTED_VALUE"""),"Flame Thrower")</f>
        <v>Flame Thrower</v>
      </c>
      <c r="AN160" s="3" t="str">
        <f>IFERROR(__xludf.DUMMYFUNCTION("""COMPUTED_VALUE"""),"Forgotten Fire")</f>
        <v>Forgotten Fire</v>
      </c>
      <c r="AO160" s="3" t="str">
        <f>IFERROR(__xludf.DUMMYFUNCTION("""COMPUTED_VALUE"""),"Heighten reflexes")</f>
        <v>Heighten reflexes</v>
      </c>
      <c r="AP160" s="3"/>
      <c r="AQ160" s="3"/>
      <c r="AR160" s="3"/>
      <c r="AS160" s="3"/>
      <c r="AT160" s="3"/>
      <c r="AU160" s="3"/>
      <c r="AV160" s="3"/>
      <c r="AW160" s="3"/>
      <c r="AX160" s="3"/>
      <c r="AY160" s="3"/>
      <c r="AZ160" s="3"/>
      <c r="BA160" s="3"/>
      <c r="BB160" s="3"/>
      <c r="BC160" s="1"/>
      <c r="BD160" s="3">
        <f>IFERROR(__xludf.DUMMYFUNCTION("""COMPUTED_VALUE"""),0.0)</f>
        <v>0</v>
      </c>
      <c r="BE160" s="4">
        <f>IFERROR(__xludf.DUMMYFUNCTION("""COMPUTED_VALUE"""),10.0)</f>
        <v>10</v>
      </c>
      <c r="BF160" s="3"/>
      <c r="BG160" s="3" t="str">
        <f>IFERROR(__xludf.DUMMYFUNCTION("""COMPUTED_VALUE"""),"Heatmore Jungle")</f>
        <v>Heatmore Jungle</v>
      </c>
      <c r="BH160" s="3" t="str">
        <f>IFERROR(__xludf.DUMMYFUNCTION("""COMPUTED_VALUE"""),"Land Of Spira")</f>
        <v>Land Of Spira</v>
      </c>
      <c r="BI160" s="3"/>
      <c r="BJ160" s="3"/>
      <c r="BK160" s="3"/>
      <c r="BL160" s="3" t="b">
        <f>IFERROR(__xludf.DUMMYFUNCTION("""COMPUTED_VALUE"""),FALSE)</f>
        <v>0</v>
      </c>
      <c r="BM160" s="3"/>
      <c r="BN160" s="3"/>
      <c r="BO160" s="3"/>
      <c r="BP160" s="3"/>
      <c r="BQ160" s="3"/>
      <c r="BR160" s="3"/>
      <c r="BS160" s="3"/>
      <c r="BT160" s="3"/>
      <c r="BU160" s="3"/>
      <c r="BV160" s="3"/>
      <c r="BW160" s="3"/>
    </row>
    <row r="161" ht="15.75" customHeight="1">
      <c r="A161" s="3" t="str">
        <f>IFERROR(__xludf.DUMMYFUNCTION("""COMPUTED_VALUE"""),"Legendary Treant")</f>
        <v>Legendary Treant</v>
      </c>
      <c r="B161" s="3">
        <f>IFERROR(__xludf.DUMMYFUNCTION("""COMPUTED_VALUE"""),1.0)</f>
        <v>1</v>
      </c>
      <c r="C161" s="3"/>
      <c r="D161" s="12" t="str">
        <f>IFERROR(__xludf.DUMMYFUNCTION("""COMPUTED_VALUE"""),"Monstrosity")</f>
        <v>Monstrosity</v>
      </c>
      <c r="E161" s="12">
        <f>IFERROR(__xludf.DUMMYFUNCTION("""COMPUTED_VALUE"""),1010.0)</f>
        <v>1010</v>
      </c>
      <c r="F161" s="12">
        <f>IFERROR(__xludf.DUMMYFUNCTION("""COMPUTED_VALUE"""),1010.0)</f>
        <v>1010</v>
      </c>
      <c r="G161" s="12">
        <f>IFERROR(__xludf.DUMMYFUNCTION("""COMPUTED_VALUE"""),1010.0)</f>
        <v>1010</v>
      </c>
      <c r="H161" s="3">
        <f>IFERROR(__xludf.DUMMYFUNCTION("""COMPUTED_VALUE"""),10.0)</f>
        <v>10</v>
      </c>
      <c r="I161" s="3">
        <f>IFERROR(__xludf.DUMMYFUNCTION("""COMPUTED_VALUE"""),0.0)</f>
        <v>0</v>
      </c>
      <c r="J161" s="3">
        <f>IFERROR(__xludf.DUMMYFUNCTION("""COMPUTED_VALUE"""),0.0)</f>
        <v>0</v>
      </c>
      <c r="K161" s="3">
        <f>IFERROR(__xludf.DUMMYFUNCTION("""COMPUTED_VALUE"""),100.0)</f>
        <v>100</v>
      </c>
      <c r="L161" s="3">
        <f>IFERROR(__xludf.DUMMYFUNCTION("""COMPUTED_VALUE"""),100.0)</f>
        <v>100</v>
      </c>
      <c r="M161" s="3" t="str">
        <f>IFERROR(__xludf.DUMMYFUNCTION("""COMPUTED_VALUE"""),"Water:Immune, Nature:Immune, ")</f>
        <v>Water:Immune, Nature:Immune, </v>
      </c>
      <c r="N161" s="3" t="str">
        <f>IFERROR(__xludf.DUMMYFUNCTION("""COMPUTED_VALUE"""),"Fire:100, Storm:100, ")</f>
        <v>Fire:100, Storm:100, </v>
      </c>
      <c r="O161" s="3"/>
      <c r="P161" s="3"/>
      <c r="Q161" s="3"/>
      <c r="R161" s="3"/>
      <c r="S161" s="3"/>
      <c r="T161" s="3"/>
      <c r="U161" s="3"/>
      <c r="V161" s="3" t="str">
        <f>IFERROR(__xludf.DUMMYFUNCTION("""COMPUTED_VALUE"""),"Legendary Tree Sword")</f>
        <v>Legendary Tree Sword</v>
      </c>
      <c r="W161" s="3"/>
      <c r="X161" s="3"/>
      <c r="Y161" s="3"/>
      <c r="Z161" s="3"/>
      <c r="AA161" s="3"/>
      <c r="AB161" s="3"/>
      <c r="AC161" s="3"/>
      <c r="AD161" s="3"/>
      <c r="AE161" s="3"/>
      <c r="AF161" s="3"/>
      <c r="AG161" s="3"/>
      <c r="AH161" s="3"/>
      <c r="AI161" s="3"/>
      <c r="AJ161" s="3" t="str">
        <f>IFERROR(__xludf.DUMMYFUNCTION("""COMPUTED_VALUE"""),"Tree Throw")</f>
        <v>Tree Throw</v>
      </c>
      <c r="AK161" s="3" t="str">
        <f>IFERROR(__xludf.DUMMYFUNCTION("""COMPUTED_VALUE"""),"Bite")</f>
        <v>Bite</v>
      </c>
      <c r="AL161" s="3" t="str">
        <f>IFERROR(__xludf.DUMMYFUNCTION("""COMPUTED_VALUE"""),"Absorb Life")</f>
        <v>Absorb Life</v>
      </c>
      <c r="AM161" s="3" t="str">
        <f>IFERROR(__xludf.DUMMYFUNCTION("""COMPUTED_VALUE"""),"Mountain Formation")</f>
        <v>Mountain Formation</v>
      </c>
      <c r="AN161" s="3" t="str">
        <f>IFERROR(__xludf.DUMMYFUNCTION("""COMPUTED_VALUE"""),"Sand Hole")</f>
        <v>Sand Hole</v>
      </c>
      <c r="AO161" s="3"/>
      <c r="AP161" s="3"/>
      <c r="AQ161" s="3"/>
      <c r="AR161" s="3"/>
      <c r="AS161" s="3"/>
      <c r="AT161" s="3"/>
      <c r="AU161" s="3"/>
      <c r="AV161" s="3"/>
      <c r="AW161" s="3"/>
      <c r="AX161" s="3"/>
      <c r="AY161" s="3"/>
      <c r="AZ161" s="3"/>
      <c r="BA161" s="3"/>
      <c r="BB161" s="3"/>
      <c r="BC161" s="1"/>
      <c r="BD161" s="3">
        <f>IFERROR(__xludf.DUMMYFUNCTION("""COMPUTED_VALUE"""),0.0)</f>
        <v>0</v>
      </c>
      <c r="BE161" s="4">
        <f>IFERROR(__xludf.DUMMYFUNCTION("""COMPUTED_VALUE"""),10.0)</f>
        <v>10</v>
      </c>
      <c r="BF161" s="3"/>
      <c r="BG161" s="3" t="str">
        <f>IFERROR(__xludf.DUMMYFUNCTION("""COMPUTED_VALUE"""),"Forest")</f>
        <v>Forest</v>
      </c>
      <c r="BH161" s="3" t="str">
        <f>IFERROR(__xludf.DUMMYFUNCTION("""COMPUTED_VALUE"""),"Land of Spira")</f>
        <v>Land of Spira</v>
      </c>
      <c r="BI161" s="3"/>
      <c r="BJ161" s="3"/>
      <c r="BK161" s="3"/>
      <c r="BL161" s="3" t="b">
        <f>IFERROR(__xludf.DUMMYFUNCTION("""COMPUTED_VALUE"""),FALSE)</f>
        <v>0</v>
      </c>
      <c r="BM161" s="3"/>
      <c r="BN161" s="3"/>
      <c r="BO161" s="3"/>
      <c r="BP161" s="3"/>
      <c r="BQ161" s="3"/>
      <c r="BR161" s="3"/>
      <c r="BS161" s="3"/>
      <c r="BT161" s="3"/>
      <c r="BU161" s="3"/>
      <c r="BV161" s="3"/>
      <c r="BW161" s="3"/>
    </row>
    <row r="162" ht="15.75" customHeight="1">
      <c r="A162" s="3" t="str">
        <f>IFERROR(__xludf.DUMMYFUNCTION("""COMPUTED_VALUE"""),"Locust Swarm")</f>
        <v>Locust Swarm</v>
      </c>
      <c r="B162" s="3">
        <f>IFERROR(__xludf.DUMMYFUNCTION("""COMPUTED_VALUE"""),1.0)</f>
        <v>1</v>
      </c>
      <c r="C162" s="3"/>
      <c r="D162" s="12" t="str">
        <f>IFERROR(__xludf.DUMMYFUNCTION("""COMPUTED_VALUE"""),"Beast")</f>
        <v>Beast</v>
      </c>
      <c r="E162" s="12">
        <f>IFERROR(__xludf.DUMMYFUNCTION("""COMPUTED_VALUE"""),1010.0)</f>
        <v>1010</v>
      </c>
      <c r="F162" s="12">
        <f>IFERROR(__xludf.DUMMYFUNCTION("""COMPUTED_VALUE"""),1010.0)</f>
        <v>1010</v>
      </c>
      <c r="G162" s="12">
        <f>IFERROR(__xludf.DUMMYFUNCTION("""COMPUTED_VALUE"""),1010.0)</f>
        <v>1010</v>
      </c>
      <c r="H162" s="3">
        <f>IFERROR(__xludf.DUMMYFUNCTION("""COMPUTED_VALUE"""),35.0)</f>
        <v>35</v>
      </c>
      <c r="I162" s="3">
        <f>IFERROR(__xludf.DUMMYFUNCTION("""COMPUTED_VALUE"""),0.0)</f>
        <v>0</v>
      </c>
      <c r="J162" s="3">
        <f>IFERROR(__xludf.DUMMYFUNCTION("""COMPUTED_VALUE"""),0.0)</f>
        <v>0</v>
      </c>
      <c r="K162" s="3">
        <f>IFERROR(__xludf.DUMMYFUNCTION("""COMPUTED_VALUE"""),100.0)</f>
        <v>100</v>
      </c>
      <c r="L162" s="3">
        <f>IFERROR(__xludf.DUMMYFUNCTION("""COMPUTED_VALUE"""),100.0)</f>
        <v>100</v>
      </c>
      <c r="M162" s="3" t="str">
        <f>IFERROR(__xludf.DUMMYFUNCTION("""COMPUTED_VALUE"""),"")</f>
        <v/>
      </c>
      <c r="N162" s="3" t="str">
        <f>IFERROR(__xludf.DUMMYFUNCTION("""COMPUTED_VALUE"""),"")</f>
        <v/>
      </c>
      <c r="O162" s="3"/>
      <c r="P162" s="3"/>
      <c r="Q162" s="3"/>
      <c r="R162" s="3"/>
      <c r="S162" s="3"/>
      <c r="T162" s="3"/>
      <c r="U162" s="3"/>
      <c r="V162" s="3"/>
      <c r="W162" s="3"/>
      <c r="X162" s="3"/>
      <c r="Y162" s="3"/>
      <c r="Z162" s="3"/>
      <c r="AA162" s="3"/>
      <c r="AB162" s="3"/>
      <c r="AC162" s="3"/>
      <c r="AD162" s="3"/>
      <c r="AE162" s="3"/>
      <c r="AF162" s="3"/>
      <c r="AG162" s="3"/>
      <c r="AH162" s="3"/>
      <c r="AI162" s="3"/>
      <c r="AJ162" s="3" t="str">
        <f>IFERROR(__xludf.DUMMYFUNCTION("""COMPUTED_VALUE"""),"Bite")</f>
        <v>Bite</v>
      </c>
      <c r="AK162" s="3" t="str">
        <f>IFERROR(__xludf.DUMMYFUNCTION("""COMPUTED_VALUE"""),"Sandstorm")</f>
        <v>Sandstorm</v>
      </c>
      <c r="AL162" s="3" t="str">
        <f>IFERROR(__xludf.DUMMYFUNCTION("""COMPUTED_VALUE"""),"Dive Bomb")</f>
        <v>Dive Bomb</v>
      </c>
      <c r="AM162" s="3"/>
      <c r="AN162" s="3"/>
      <c r="AO162" s="3"/>
      <c r="AP162" s="3"/>
      <c r="AQ162" s="3"/>
      <c r="AR162" s="3"/>
      <c r="AS162" s="3"/>
      <c r="AT162" s="3"/>
      <c r="AU162" s="3"/>
      <c r="AV162" s="3"/>
      <c r="AW162" s="3"/>
      <c r="AX162" s="3"/>
      <c r="AY162" s="3"/>
      <c r="AZ162" s="3"/>
      <c r="BA162" s="3"/>
      <c r="BB162" s="3"/>
      <c r="BC162" s="1"/>
      <c r="BD162" s="3">
        <f>IFERROR(__xludf.DUMMYFUNCTION("""COMPUTED_VALUE"""),0.0)</f>
        <v>0</v>
      </c>
      <c r="BE162" s="4">
        <f>IFERROR(__xludf.DUMMYFUNCTION("""COMPUTED_VALUE"""),10.0)</f>
        <v>10</v>
      </c>
      <c r="BF162" s="3"/>
      <c r="BG162" s="3" t="str">
        <f>IFERROR(__xludf.DUMMYFUNCTION("""COMPUTED_VALUE"""),"Desert")</f>
        <v>Desert</v>
      </c>
      <c r="BH162" s="3" t="str">
        <f>IFERROR(__xludf.DUMMYFUNCTION("""COMPUTED_VALUE"""),"Land of Spira")</f>
        <v>Land of Spira</v>
      </c>
      <c r="BI162" s="3"/>
      <c r="BJ162" s="3"/>
      <c r="BK162" s="3"/>
      <c r="BL162" s="3" t="b">
        <f>IFERROR(__xludf.DUMMYFUNCTION("""COMPUTED_VALUE"""),FALSE)</f>
        <v>0</v>
      </c>
      <c r="BM162" s="3"/>
      <c r="BN162" s="3"/>
      <c r="BO162" s="3"/>
      <c r="BP162" s="3"/>
      <c r="BQ162" s="3"/>
      <c r="BR162" s="3"/>
      <c r="BS162" s="3"/>
      <c r="BT162" s="3"/>
      <c r="BU162" s="3"/>
      <c r="BV162" s="3"/>
      <c r="BW162" s="3"/>
    </row>
    <row r="163" ht="15.75" customHeight="1">
      <c r="A163" s="3" t="str">
        <f>IFERROR(__xludf.DUMMYFUNCTION("""COMPUTED_VALUE"""),"Lord Dreadful (Form 1)")</f>
        <v>Lord Dreadful (Form 1)</v>
      </c>
      <c r="B163" s="3">
        <f>IFERROR(__xludf.DUMMYFUNCTION("""COMPUTED_VALUE"""),1.0)</f>
        <v>1</v>
      </c>
      <c r="C163" s="3" t="str">
        <f>IFERROR(__xludf.DUMMYFUNCTION("""COMPUTED_VALUE"""),"A spira guardian The Phantom Of Spira created that lost control of its power and is now the threat to the entire world of Spira.")</f>
        <v>A spira guardian The Phantom Of Spira created that lost control of its power and is now the threat to the entire world of Spira.</v>
      </c>
      <c r="D163" s="12" t="str">
        <f>IFERROR(__xludf.DUMMYFUNCTION("""COMPUTED_VALUE"""),"God")</f>
        <v>God</v>
      </c>
      <c r="E163" s="12">
        <f>IFERROR(__xludf.DUMMYFUNCTION("""COMPUTED_VALUE"""),1010.0)</f>
        <v>1010</v>
      </c>
      <c r="F163" s="12">
        <f>IFERROR(__xludf.DUMMYFUNCTION("""COMPUTED_VALUE"""),1010.0)</f>
        <v>1010</v>
      </c>
      <c r="G163" s="12">
        <f>IFERROR(__xludf.DUMMYFUNCTION("""COMPUTED_VALUE"""),1010.0)</f>
        <v>1010</v>
      </c>
      <c r="H163" s="3">
        <f>IFERROR(__xludf.DUMMYFUNCTION("""COMPUTED_VALUE"""),10.0)</f>
        <v>10</v>
      </c>
      <c r="I163" s="3">
        <f>IFERROR(__xludf.DUMMYFUNCTION("""COMPUTED_VALUE"""),0.0)</f>
        <v>0</v>
      </c>
      <c r="J163" s="3">
        <f>IFERROR(__xludf.DUMMYFUNCTION("""COMPUTED_VALUE"""),0.0)</f>
        <v>0</v>
      </c>
      <c r="K163" s="3">
        <f>IFERROR(__xludf.DUMMYFUNCTION("""COMPUTED_VALUE"""),100.0)</f>
        <v>100</v>
      </c>
      <c r="L163" s="3">
        <f>IFERROR(__xludf.DUMMYFUNCTION("""COMPUTED_VALUE"""),100.0)</f>
        <v>100</v>
      </c>
      <c r="M163" s="3" t="str">
        <f>IFERROR(__xludf.DUMMYFUNCTION("""COMPUTED_VALUE"""),"Dark:Immune, Chaos:Immune, Stasis:Immune, Instant Death:Immune, ")</f>
        <v>Dark:Immune, Chaos:Immune, Stasis:Immune, Instant Death:Immune, </v>
      </c>
      <c r="N163" s="3" t="str">
        <f>IFERROR(__xludf.DUMMYFUNCTION("""COMPUTED_VALUE"""),"Fire:100, Light:100, Order:100, ")</f>
        <v>Fire:100, Light:100, Order:100, </v>
      </c>
      <c r="O163" s="3"/>
      <c r="P163" s="3"/>
      <c r="Q163" s="3"/>
      <c r="R163" s="3"/>
      <c r="S163" s="3"/>
      <c r="T163" s="3"/>
      <c r="U163" s="3"/>
      <c r="V163" s="3" t="str">
        <f>IFERROR(__xludf.DUMMYFUNCTION("""COMPUTED_VALUE"""),"Lord Dreadfuls sword")</f>
        <v>Lord Dreadfuls sword</v>
      </c>
      <c r="W163" s="3"/>
      <c r="X163" s="3"/>
      <c r="Y163" s="3"/>
      <c r="Z163" s="3"/>
      <c r="AA163" s="3"/>
      <c r="AB163" s="3"/>
      <c r="AC163" s="3"/>
      <c r="AD163" s="3"/>
      <c r="AE163" s="3"/>
      <c r="AF163" s="3"/>
      <c r="AG163" s="3"/>
      <c r="AH163" s="3"/>
      <c r="AI163" s="3"/>
      <c r="AJ163" s="3" t="str">
        <f>IFERROR(__xludf.DUMMYFUNCTION("""COMPUTED_VALUE"""),"Shatter")</f>
        <v>Shatter</v>
      </c>
      <c r="AK163" s="3" t="str">
        <f>IFERROR(__xludf.DUMMYFUNCTION("""COMPUTED_VALUE"""),"Chaos Beam")</f>
        <v>Chaos Beam</v>
      </c>
      <c r="AL163" s="3" t="str">
        <f>IFERROR(__xludf.DUMMYFUNCTION("""COMPUTED_VALUE"""),"Chaotic Collapse")</f>
        <v>Chaotic Collapse</v>
      </c>
      <c r="AM163" s="3" t="str">
        <f>IFERROR(__xludf.DUMMYFUNCTION("""COMPUTED_VALUE"""),"Chaos Ward")</f>
        <v>Chaos Ward</v>
      </c>
      <c r="AN163" s="3" t="str">
        <f>IFERROR(__xludf.DUMMYFUNCTION("""COMPUTED_VALUE"""),"Disturbance")</f>
        <v>Disturbance</v>
      </c>
      <c r="AO163" s="3" t="str">
        <f>IFERROR(__xludf.DUMMYFUNCTION("""COMPUTED_VALUE"""),"Shadow Vanish")</f>
        <v>Shadow Vanish</v>
      </c>
      <c r="AP163" s="3" t="str">
        <f>IFERROR(__xludf.DUMMYFUNCTION("""COMPUTED_VALUE"""),"Chains of Shadow")</f>
        <v>Chains of Shadow</v>
      </c>
      <c r="AQ163" s="3" t="str">
        <f>IFERROR(__xludf.DUMMYFUNCTION("""COMPUTED_VALUE"""),"Dark Bolt")</f>
        <v>Dark Bolt</v>
      </c>
      <c r="AR163" s="3" t="str">
        <f>IFERROR(__xludf.DUMMYFUNCTION("""COMPUTED_VALUE"""),"Darkest Abyss")</f>
        <v>Darkest Abyss</v>
      </c>
      <c r="AS163" s="3" t="str">
        <f>IFERROR(__xludf.DUMMYFUNCTION("""COMPUTED_VALUE"""),"Celestial strike")</f>
        <v>Celestial strike</v>
      </c>
      <c r="AT163" s="3" t="str">
        <f>IFERROR(__xludf.DUMMYFUNCTION("""COMPUTED_VALUE"""),"Celestial Portal")</f>
        <v>Celestial Portal</v>
      </c>
      <c r="AU163" s="3" t="str">
        <f>IFERROR(__xludf.DUMMYFUNCTION("""COMPUTED_VALUE"""),"Celestial shield")</f>
        <v>Celestial shield</v>
      </c>
      <c r="AV163" s="3"/>
      <c r="AW163" s="3"/>
      <c r="AX163" s="3"/>
      <c r="AY163" s="3"/>
      <c r="AZ163" s="3"/>
      <c r="BA163" s="3"/>
      <c r="BB163" s="3"/>
      <c r="BC163" s="1"/>
      <c r="BD163" s="3">
        <f>IFERROR(__xludf.DUMMYFUNCTION("""COMPUTED_VALUE"""),0.0)</f>
        <v>0</v>
      </c>
      <c r="BE163" s="4">
        <f>IFERROR(__xludf.DUMMYFUNCTION("""COMPUTED_VALUE"""),10.0)</f>
        <v>10</v>
      </c>
      <c r="BF163" s="3"/>
      <c r="BG163" s="3" t="str">
        <f>IFERROR(__xludf.DUMMYFUNCTION("""COMPUTED_VALUE"""),"Dungeon")</f>
        <v>Dungeon</v>
      </c>
      <c r="BH163" s="3" t="str">
        <f>IFERROR(__xludf.DUMMYFUNCTION("""COMPUTED_VALUE"""),"Land Of Spira")</f>
        <v>Land Of Spira</v>
      </c>
      <c r="BI163" s="3"/>
      <c r="BJ163" s="3"/>
      <c r="BK163" s="3"/>
      <c r="BL163" s="3" t="b">
        <f>IFERROR(__xludf.DUMMYFUNCTION("""COMPUTED_VALUE"""),FALSE)</f>
        <v>0</v>
      </c>
      <c r="BM163" s="3"/>
      <c r="BN163" s="3"/>
      <c r="BO163" s="3"/>
      <c r="BP163" s="3"/>
      <c r="BQ163" s="3"/>
      <c r="BR163" s="3"/>
      <c r="BS163" s="3"/>
      <c r="BT163" s="3"/>
      <c r="BU163" s="3"/>
      <c r="BV163" s="3"/>
      <c r="BW163" s="3"/>
    </row>
    <row r="164" ht="15.75" customHeight="1">
      <c r="A164" s="3" t="str">
        <f>IFERROR(__xludf.DUMMYFUNCTION("""COMPUTED_VALUE"""),"Lord Dreadful (Lord Zude) (Form 2)")</f>
        <v>Lord Dreadful (Lord Zude) (Form 2)</v>
      </c>
      <c r="B164" s="3">
        <f>IFERROR(__xludf.DUMMYFUNCTION("""COMPUTED_VALUE"""),1.0)</f>
        <v>1</v>
      </c>
      <c r="C164" s="3" t="str">
        <f>IFERROR(__xludf.DUMMYFUNCTION("""COMPUTED_VALUE"""),"A spira guardian The Phantom Of Spira created that lost control of its power and is now the threat to the entire world of Spira.")</f>
        <v>A spira guardian The Phantom Of Spira created that lost control of its power and is now the threat to the entire world of Spira.</v>
      </c>
      <c r="D164" s="12" t="str">
        <f>IFERROR(__xludf.DUMMYFUNCTION("""COMPUTED_VALUE"""),"God")</f>
        <v>God</v>
      </c>
      <c r="E164" s="12">
        <f>IFERROR(__xludf.DUMMYFUNCTION("""COMPUTED_VALUE"""),1010.0)</f>
        <v>1010</v>
      </c>
      <c r="F164" s="12">
        <f>IFERROR(__xludf.DUMMYFUNCTION("""COMPUTED_VALUE"""),1010.0)</f>
        <v>1010</v>
      </c>
      <c r="G164" s="12">
        <f>IFERROR(__xludf.DUMMYFUNCTION("""COMPUTED_VALUE"""),1010.0)</f>
        <v>1010</v>
      </c>
      <c r="H164" s="3">
        <f>IFERROR(__xludf.DUMMYFUNCTION("""COMPUTED_VALUE"""),10.0)</f>
        <v>10</v>
      </c>
      <c r="I164" s="3">
        <f>IFERROR(__xludf.DUMMYFUNCTION("""COMPUTED_VALUE"""),0.0)</f>
        <v>0</v>
      </c>
      <c r="J164" s="3">
        <f>IFERROR(__xludf.DUMMYFUNCTION("""COMPUTED_VALUE"""),0.0)</f>
        <v>0</v>
      </c>
      <c r="K164" s="3">
        <f>IFERROR(__xludf.DUMMYFUNCTION("""COMPUTED_VALUE"""),100.0)</f>
        <v>100</v>
      </c>
      <c r="L164" s="3">
        <f>IFERROR(__xludf.DUMMYFUNCTION("""COMPUTED_VALUE"""),100.0)</f>
        <v>100</v>
      </c>
      <c r="M164" s="3" t="str">
        <f>IFERROR(__xludf.DUMMYFUNCTION("""COMPUTED_VALUE"""),"Dark:Immune, Chaos:Immune, Stasis:Immune, Instant Death:Immune, ")</f>
        <v>Dark:Immune, Chaos:Immune, Stasis:Immune, Instant Death:Immune, </v>
      </c>
      <c r="N164" s="3" t="str">
        <f>IFERROR(__xludf.DUMMYFUNCTION("""COMPUTED_VALUE"""),"Fire:100, Light:100, Order:100, ")</f>
        <v>Fire:100, Light:100, Order:100, </v>
      </c>
      <c r="O164" s="3"/>
      <c r="P164" s="3"/>
      <c r="Q164" s="3"/>
      <c r="R164" s="3"/>
      <c r="S164" s="3"/>
      <c r="T164" s="3"/>
      <c r="U164" s="3"/>
      <c r="V164" s="3" t="str">
        <f>IFERROR(__xludf.DUMMYFUNCTION("""COMPUTED_VALUE"""),"Lord Dreadfuls Sword")</f>
        <v>Lord Dreadfuls Sword</v>
      </c>
      <c r="W164" s="3"/>
      <c r="X164" s="3"/>
      <c r="Y164" s="3"/>
      <c r="Z164" s="3"/>
      <c r="AA164" s="3"/>
      <c r="AB164" s="3"/>
      <c r="AC164" s="3"/>
      <c r="AD164" s="3"/>
      <c r="AE164" s="3"/>
      <c r="AF164" s="3"/>
      <c r="AG164" s="3"/>
      <c r="AH164" s="3"/>
      <c r="AI164" s="3"/>
      <c r="AJ164" s="3" t="str">
        <f>IFERROR(__xludf.DUMMYFUNCTION("""COMPUTED_VALUE"""),"Shatter")</f>
        <v>Shatter</v>
      </c>
      <c r="AK164" s="3" t="str">
        <f>IFERROR(__xludf.DUMMYFUNCTION("""COMPUTED_VALUE"""),"Chaos Beam")</f>
        <v>Chaos Beam</v>
      </c>
      <c r="AL164" s="3" t="str">
        <f>IFERROR(__xludf.DUMMYFUNCTION("""COMPUTED_VALUE"""),"Chaos Ward")</f>
        <v>Chaos Ward</v>
      </c>
      <c r="AM164" s="3" t="str">
        <f>IFERROR(__xludf.DUMMYFUNCTION("""COMPUTED_VALUE"""),"Disturbance")</f>
        <v>Disturbance</v>
      </c>
      <c r="AN164" s="3" t="str">
        <f>IFERROR(__xludf.DUMMYFUNCTION("""COMPUTED_VALUE"""),"Shadow Vanish")</f>
        <v>Shadow Vanish</v>
      </c>
      <c r="AO164" s="3" t="str">
        <f>IFERROR(__xludf.DUMMYFUNCTION("""COMPUTED_VALUE"""),"Chains of Shadow")</f>
        <v>Chains of Shadow</v>
      </c>
      <c r="AP164" s="3" t="str">
        <f>IFERROR(__xludf.DUMMYFUNCTION("""COMPUTED_VALUE"""),"Dark Bolt")</f>
        <v>Dark Bolt</v>
      </c>
      <c r="AQ164" s="3" t="str">
        <f>IFERROR(__xludf.DUMMYFUNCTION("""COMPUTED_VALUE"""),"Darkest Abyss")</f>
        <v>Darkest Abyss</v>
      </c>
      <c r="AR164" s="3" t="str">
        <f>IFERROR(__xludf.DUMMYFUNCTION("""COMPUTED_VALUE"""),"Raise Dead")</f>
        <v>Raise Dead</v>
      </c>
      <c r="AS164" s="3" t="str">
        <f>IFERROR(__xludf.DUMMYFUNCTION("""COMPUTED_VALUE"""),"Shadow Strike")</f>
        <v>Shadow Strike</v>
      </c>
      <c r="AT164" s="3" t="str">
        <f>IFERROR(__xludf.DUMMYFUNCTION("""COMPUTED_VALUE"""),"Double Strike")</f>
        <v>Double Strike</v>
      </c>
      <c r="AU164" s="3" t="str">
        <f>IFERROR(__xludf.DUMMYFUNCTION("""COMPUTED_VALUE"""),"Multishot")</f>
        <v>Multishot</v>
      </c>
      <c r="AV164" s="3" t="str">
        <f>IFERROR(__xludf.DUMMYFUNCTION("""COMPUTED_VALUE"""),"Energy Charge")</f>
        <v>Energy Charge</v>
      </c>
      <c r="AW164" s="3" t="str">
        <f>IFERROR(__xludf.DUMMYFUNCTION("""COMPUTED_VALUE"""),"Celestial strike")</f>
        <v>Celestial strike</v>
      </c>
      <c r="AX164" s="3" t="str">
        <f>IFERROR(__xludf.DUMMYFUNCTION("""COMPUTED_VALUE"""),"Celestial Portal")</f>
        <v>Celestial Portal</v>
      </c>
      <c r="AY164" s="3" t="str">
        <f>IFERROR(__xludf.DUMMYFUNCTION("""COMPUTED_VALUE"""),"Celestial shield")</f>
        <v>Celestial shield</v>
      </c>
      <c r="AZ164" s="3" t="str">
        <f>IFERROR(__xludf.DUMMYFUNCTION("""COMPUTED_VALUE"""),"Celestial blast")</f>
        <v>Celestial blast</v>
      </c>
      <c r="BA164" s="3" t="str">
        <f>IFERROR(__xludf.DUMMYFUNCTION("""COMPUTED_VALUE"""),"Celestial Wrath")</f>
        <v>Celestial Wrath</v>
      </c>
      <c r="BB164" s="3"/>
      <c r="BC164" s="1"/>
      <c r="BD164" s="3">
        <f>IFERROR(__xludf.DUMMYFUNCTION("""COMPUTED_VALUE"""),0.0)</f>
        <v>0</v>
      </c>
      <c r="BE164" s="4">
        <f>IFERROR(__xludf.DUMMYFUNCTION("""COMPUTED_VALUE"""),10.0)</f>
        <v>10</v>
      </c>
      <c r="BF164" s="3" t="str">
        <f>IFERROR(__xludf.DUMMYFUNCTION("""COMPUTED_VALUE"""),"Has a 75% chance to be unaffected by any spells affecting this mob.")</f>
        <v>Has a 75% chance to be unaffected by any spells affecting this mob.</v>
      </c>
      <c r="BG164" s="3" t="str">
        <f>IFERROR(__xludf.DUMMYFUNCTION("""COMPUTED_VALUE"""),"Dungeon")</f>
        <v>Dungeon</v>
      </c>
      <c r="BH164" s="3" t="str">
        <f>IFERROR(__xludf.DUMMYFUNCTION("""COMPUTED_VALUE"""),"Land Of Spira")</f>
        <v>Land Of Spira</v>
      </c>
      <c r="BI164" s="3"/>
      <c r="BJ164" s="3"/>
      <c r="BK164" s="3"/>
      <c r="BL164" s="3" t="b">
        <f>IFERROR(__xludf.DUMMYFUNCTION("""COMPUTED_VALUE"""),FALSE)</f>
        <v>0</v>
      </c>
      <c r="BM164" s="3"/>
      <c r="BN164" s="3"/>
      <c r="BO164" s="3"/>
      <c r="BP164" s="3"/>
      <c r="BQ164" s="3"/>
      <c r="BR164" s="3"/>
      <c r="BS164" s="3"/>
      <c r="BT164" s="3"/>
      <c r="BU164" s="3"/>
      <c r="BV164" s="3"/>
      <c r="BW164" s="3"/>
    </row>
    <row r="165" ht="15.75" customHeight="1">
      <c r="A165" s="3" t="str">
        <f>IFERROR(__xludf.DUMMYFUNCTION("""COMPUTED_VALUE"""),"Lord Goose")</f>
        <v>Lord Goose</v>
      </c>
      <c r="B165" s="3">
        <f>IFERROR(__xludf.DUMMYFUNCTION("""COMPUTED_VALUE"""),1.0)</f>
        <v>1</v>
      </c>
      <c r="C165" s="3" t="str">
        <f>IFERROR(__xludf.DUMMYFUNCTION("""COMPUTED_VALUE"""),"scourge of the docile plain")</f>
        <v>scourge of the docile plain</v>
      </c>
      <c r="D165" s="12" t="str">
        <f>IFERROR(__xludf.DUMMYFUNCTION("""COMPUTED_VALUE"""),"Beast")</f>
        <v>Beast</v>
      </c>
      <c r="E165" s="12">
        <f>IFERROR(__xludf.DUMMYFUNCTION("""COMPUTED_VALUE"""),1010.0)</f>
        <v>1010</v>
      </c>
      <c r="F165" s="12">
        <f>IFERROR(__xludf.DUMMYFUNCTION("""COMPUTED_VALUE"""),1010.0)</f>
        <v>1010</v>
      </c>
      <c r="G165" s="12">
        <f>IFERROR(__xludf.DUMMYFUNCTION("""COMPUTED_VALUE"""),1010.0)</f>
        <v>1010</v>
      </c>
      <c r="H165" s="3">
        <f>IFERROR(__xludf.DUMMYFUNCTION("""COMPUTED_VALUE"""),10.0)</f>
        <v>10</v>
      </c>
      <c r="I165" s="3">
        <f>IFERROR(__xludf.DUMMYFUNCTION("""COMPUTED_VALUE"""),0.0)</f>
        <v>0</v>
      </c>
      <c r="J165" s="3">
        <f>IFERROR(__xludf.DUMMYFUNCTION("""COMPUTED_VALUE"""),0.0)</f>
        <v>0</v>
      </c>
      <c r="K165" s="3">
        <f>IFERROR(__xludf.DUMMYFUNCTION("""COMPUTED_VALUE"""),100.0)</f>
        <v>100</v>
      </c>
      <c r="L165" s="3">
        <f>IFERROR(__xludf.DUMMYFUNCTION("""COMPUTED_VALUE"""),100.0)</f>
        <v>100</v>
      </c>
      <c r="M165" s="3" t="str">
        <f>IFERROR(__xludf.DUMMYFUNCTION("""COMPUTED_VALUE"""),"")</f>
        <v/>
      </c>
      <c r="N165" s="3" t="str">
        <f>IFERROR(__xludf.DUMMYFUNCTION("""COMPUTED_VALUE"""),"")</f>
        <v/>
      </c>
      <c r="O165" s="3"/>
      <c r="P165" s="3"/>
      <c r="Q165" s="3"/>
      <c r="R165" s="3"/>
      <c r="S165" s="3"/>
      <c r="T165" s="3"/>
      <c r="U165" s="3"/>
      <c r="V165" s="3"/>
      <c r="W165" s="3" t="str">
        <f>IFERROR(__xludf.DUMMYFUNCTION("""COMPUTED_VALUE"""),"Goose Staff")</f>
        <v>Goose Staff</v>
      </c>
      <c r="X165" s="3"/>
      <c r="Y165" s="3"/>
      <c r="Z165" s="3"/>
      <c r="AA165" s="3"/>
      <c r="AB165" s="3"/>
      <c r="AC165" s="3"/>
      <c r="AD165" s="3"/>
      <c r="AE165" s="3"/>
      <c r="AF165" s="3"/>
      <c r="AG165" s="3"/>
      <c r="AH165" s="3"/>
      <c r="AI165" s="3"/>
      <c r="AJ165" s="3" t="str">
        <f>IFERROR(__xludf.DUMMYFUNCTION("""COMPUTED_VALUE"""),"Eel Nado")</f>
        <v>Eel Nado</v>
      </c>
      <c r="AK165" s="3" t="str">
        <f>IFERROR(__xludf.DUMMYFUNCTION("""COMPUTED_VALUE"""),"Take")</f>
        <v>Take</v>
      </c>
      <c r="AL165" s="3" t="str">
        <f>IFERROR(__xludf.DUMMYFUNCTION("""COMPUTED_VALUE"""),"Honk")</f>
        <v>Honk</v>
      </c>
      <c r="AM165" s="3"/>
      <c r="AN165" s="3"/>
      <c r="AO165" s="3"/>
      <c r="AP165" s="3"/>
      <c r="AQ165" s="3"/>
      <c r="AR165" s="3"/>
      <c r="AS165" s="3"/>
      <c r="AT165" s="3"/>
      <c r="AU165" s="3"/>
      <c r="AV165" s="3"/>
      <c r="AW165" s="3"/>
      <c r="AX165" s="3"/>
      <c r="AY165" s="3"/>
      <c r="AZ165" s="3"/>
      <c r="BA165" s="3"/>
      <c r="BB165" s="3"/>
      <c r="BC165" s="1"/>
      <c r="BD165" s="3">
        <f>IFERROR(__xludf.DUMMYFUNCTION("""COMPUTED_VALUE"""),0.0)</f>
        <v>0</v>
      </c>
      <c r="BE165" s="4">
        <f>IFERROR(__xludf.DUMMYFUNCTION("""COMPUTED_VALUE"""),10.0)</f>
        <v>10</v>
      </c>
      <c r="BF165" s="3" t="str">
        <f>IFERROR(__xludf.DUMMYFUNCTION("""COMPUTED_VALUE"""),"50% chance to be unaffected by any spells affecting this mob
50% chance to dodge any attack without fail.
50% chance to be unaffected by an item affecting this mob
Royal Goose Luck: 10 can be added to the caster's d20 roll, if the enemy gets a higher r"&amp;"oll then the caster the enemy must roll again once more.
Royal Goose Awakening: When the caster dies 2 Geese will be summoned.
Items cannot be taken from this mob.
")</f>
        <v>50% chance to be unaffected by any spells affecting this mob
50% chance to dodge any attack without fail.
50% chance to be unaffected by an item affecting this mob
Royal Goose Luck: 10 can be added to the caster's d20 roll, if the enemy gets a higher roll then the caster the enemy must roll again once more.
Royal Goose Awakening: When the caster dies 2 Geese will be summoned.
Items cannot be taken from this mob.
</v>
      </c>
      <c r="BG165" s="3" t="str">
        <f>IFERROR(__xludf.DUMMYFUNCTION("""COMPUTED_VALUE"""),"All")</f>
        <v>All</v>
      </c>
      <c r="BH165" s="3" t="str">
        <f>IFERROR(__xludf.DUMMYFUNCTION("""COMPUTED_VALUE"""),"Land of Spira")</f>
        <v>Land of Spira</v>
      </c>
      <c r="BI165" s="3"/>
      <c r="BJ165" s="3"/>
      <c r="BK165" s="3"/>
      <c r="BL165" s="3" t="b">
        <f>IFERROR(__xludf.DUMMYFUNCTION("""COMPUTED_VALUE"""),FALSE)</f>
        <v>0</v>
      </c>
      <c r="BM165" s="3"/>
      <c r="BN165" s="3"/>
      <c r="BO165" s="3"/>
      <c r="BP165" s="3"/>
      <c r="BQ165" s="3"/>
      <c r="BR165" s="3"/>
      <c r="BS165" s="3"/>
      <c r="BT165" s="3"/>
      <c r="BU165" s="3"/>
      <c r="BV165" s="3"/>
      <c r="BW165" s="3"/>
    </row>
    <row r="166" ht="15.75" customHeight="1">
      <c r="A166" s="3" t="str">
        <f>IFERROR(__xludf.DUMMYFUNCTION("""COMPUTED_VALUE"""),"Lord Of The Bandits")</f>
        <v>Lord Of The Bandits</v>
      </c>
      <c r="B166" s="3">
        <f>IFERROR(__xludf.DUMMYFUNCTION("""COMPUTED_VALUE"""),1.0)</f>
        <v>1</v>
      </c>
      <c r="C166" s="3"/>
      <c r="D166" s="12" t="str">
        <f>IFERROR(__xludf.DUMMYFUNCTION("""COMPUTED_VALUE"""),"Humanoid")</f>
        <v>Humanoid</v>
      </c>
      <c r="E166" s="12">
        <f>IFERROR(__xludf.DUMMYFUNCTION("""COMPUTED_VALUE"""),1010.0)</f>
        <v>1010</v>
      </c>
      <c r="F166" s="12">
        <f>IFERROR(__xludf.DUMMYFUNCTION("""COMPUTED_VALUE"""),1010.0)</f>
        <v>1010</v>
      </c>
      <c r="G166" s="12">
        <f>IFERROR(__xludf.DUMMYFUNCTION("""COMPUTED_VALUE"""),351010.0)</f>
        <v>351010</v>
      </c>
      <c r="H166" s="3">
        <f>IFERROR(__xludf.DUMMYFUNCTION("""COMPUTED_VALUE"""),10.0)</f>
        <v>10</v>
      </c>
      <c r="I166" s="3">
        <f>IFERROR(__xludf.DUMMYFUNCTION("""COMPUTED_VALUE"""),0.0)</f>
        <v>0</v>
      </c>
      <c r="J166" s="3">
        <f>IFERROR(__xludf.DUMMYFUNCTION("""COMPUTED_VALUE"""),0.0)</f>
        <v>0</v>
      </c>
      <c r="K166" s="3">
        <f>IFERROR(__xludf.DUMMYFUNCTION("""COMPUTED_VALUE"""),100.0)</f>
        <v>100</v>
      </c>
      <c r="L166" s="3">
        <f>IFERROR(__xludf.DUMMYFUNCTION("""COMPUTED_VALUE"""),100.0)</f>
        <v>100</v>
      </c>
      <c r="M166" s="3" t="str">
        <f>IFERROR(__xludf.DUMMYFUNCTION("""COMPUTED_VALUE"""),"Dark:Immune, Spirit:Immune, ")</f>
        <v>Dark:Immune, Spirit:Immune, </v>
      </c>
      <c r="N166" s="3" t="str">
        <f>IFERROR(__xludf.DUMMYFUNCTION("""COMPUTED_VALUE"""),"")</f>
        <v/>
      </c>
      <c r="O166" s="3" t="str">
        <f>IFERROR(__xludf.DUMMYFUNCTION("""COMPUTED_VALUE"""),"Bandit Hide Helm")</f>
        <v>Bandit Hide Helm</v>
      </c>
      <c r="P166" s="3"/>
      <c r="Q166" s="3"/>
      <c r="R166" s="3"/>
      <c r="S166" s="3" t="str">
        <f>IFERROR(__xludf.DUMMYFUNCTION("""COMPUTED_VALUE"""),"Bandit Hide Padding")</f>
        <v>Bandit Hide Padding</v>
      </c>
      <c r="T166" s="3" t="str">
        <f>IFERROR(__xludf.DUMMYFUNCTION("""COMPUTED_VALUE"""),"Bandit Hide Chestplate")</f>
        <v>Bandit Hide Chestplate</v>
      </c>
      <c r="U166" s="3" t="str">
        <f>IFERROR(__xludf.DUMMYFUNCTION("""COMPUTED_VALUE"""),"Bandit Hide Vambraces")</f>
        <v>Bandit Hide Vambraces</v>
      </c>
      <c r="V166" s="3" t="str">
        <f>IFERROR(__xludf.DUMMYFUNCTION("""COMPUTED_VALUE"""),"Steel Bandit Dagger")</f>
        <v>Steel Bandit Dagger</v>
      </c>
      <c r="W166" s="3" t="str">
        <f>IFERROR(__xludf.DUMMYFUNCTION("""COMPUTED_VALUE"""),"Sword of Bad Luck")</f>
        <v>Sword of Bad Luck</v>
      </c>
      <c r="X166" s="3"/>
      <c r="Y166" s="3"/>
      <c r="Z166" s="3"/>
      <c r="AA166" s="3"/>
      <c r="AB166" s="3"/>
      <c r="AC166" s="3"/>
      <c r="AD166" s="3"/>
      <c r="AE166" s="3"/>
      <c r="AF166" s="3"/>
      <c r="AG166" s="3"/>
      <c r="AH166" s="3" t="str">
        <f>IFERROR(__xludf.DUMMYFUNCTION("""COMPUTED_VALUE"""),"Bandit Hide Greaves")</f>
        <v>Bandit Hide Greaves</v>
      </c>
      <c r="AI166" s="3" t="str">
        <f>IFERROR(__xludf.DUMMYFUNCTION("""COMPUTED_VALUE"""),"Bandit Hide Boots")</f>
        <v>Bandit Hide Boots</v>
      </c>
      <c r="AJ166" s="3" t="str">
        <f>IFERROR(__xludf.DUMMYFUNCTION("""COMPUTED_VALUE"""),"Pick Pocket")</f>
        <v>Pick Pocket</v>
      </c>
      <c r="AK166" s="3" t="str">
        <f>IFERROR(__xludf.DUMMYFUNCTION("""COMPUTED_VALUE"""),"Confiscate")</f>
        <v>Confiscate</v>
      </c>
      <c r="AL166" s="3" t="str">
        <f>IFERROR(__xludf.DUMMYFUNCTION("""COMPUTED_VALUE"""),"Power Increase")</f>
        <v>Power Increase</v>
      </c>
      <c r="AM166" s="3" t="str">
        <f>IFERROR(__xludf.DUMMYFUNCTION("""COMPUTED_VALUE"""),"Double Strike")</f>
        <v>Double Strike</v>
      </c>
      <c r="AN166" s="3" t="str">
        <f>IFERROR(__xludf.DUMMYFUNCTION("""COMPUTED_VALUE"""),"Berserk")</f>
        <v>Berserk</v>
      </c>
      <c r="AO166" s="3" t="str">
        <f>IFERROR(__xludf.DUMMYFUNCTION("""COMPUTED_VALUE"""),"Multishot")</f>
        <v>Multishot</v>
      </c>
      <c r="AP166" s="3"/>
      <c r="AQ166" s="3"/>
      <c r="AR166" s="3"/>
      <c r="AS166" s="3"/>
      <c r="AT166" s="3"/>
      <c r="AU166" s="3"/>
      <c r="AV166" s="3"/>
      <c r="AW166" s="3"/>
      <c r="AX166" s="3"/>
      <c r="AY166" s="3"/>
      <c r="AZ166" s="3"/>
      <c r="BA166" s="3"/>
      <c r="BB166" s="3"/>
      <c r="BC166" s="1"/>
      <c r="BD166" s="3">
        <f>IFERROR(__xludf.DUMMYFUNCTION("""COMPUTED_VALUE"""),0.0)</f>
        <v>0</v>
      </c>
      <c r="BE166" s="4">
        <f>IFERROR(__xludf.DUMMYFUNCTION("""COMPUTED_VALUE"""),10.0)</f>
        <v>10</v>
      </c>
      <c r="BF166" s="3"/>
      <c r="BG166" s="3" t="str">
        <f>IFERROR(__xludf.DUMMYFUNCTION("""COMPUTED_VALUE"""),"All")</f>
        <v>All</v>
      </c>
      <c r="BH166" s="3" t="str">
        <f>IFERROR(__xludf.DUMMYFUNCTION("""COMPUTED_VALUE"""),"Land Of Spira")</f>
        <v>Land Of Spira</v>
      </c>
      <c r="BI166" s="3"/>
      <c r="BJ166" s="3"/>
      <c r="BK166" s="3"/>
      <c r="BL166" s="3" t="b">
        <f>IFERROR(__xludf.DUMMYFUNCTION("""COMPUTED_VALUE"""),FALSE)</f>
        <v>0</v>
      </c>
      <c r="BM166" s="3"/>
      <c r="BN166" s="3"/>
      <c r="BO166" s="3"/>
      <c r="BP166" s="3"/>
      <c r="BQ166" s="3"/>
      <c r="BR166" s="3"/>
      <c r="BS166" s="3"/>
      <c r="BT166" s="3"/>
      <c r="BU166" s="3"/>
      <c r="BV166" s="3"/>
      <c r="BW166" s="3"/>
    </row>
    <row r="167" ht="15.75" customHeight="1">
      <c r="A167" s="3" t="str">
        <f>IFERROR(__xludf.DUMMYFUNCTION("""COMPUTED_VALUE"""),"Chaotic Shadow Servant")</f>
        <v>Chaotic Shadow Servant</v>
      </c>
      <c r="B167" s="3">
        <f>IFERROR(__xludf.DUMMYFUNCTION("""COMPUTED_VALUE"""),1.0)</f>
        <v>1</v>
      </c>
      <c r="C167" s="3"/>
      <c r="D167" s="12" t="str">
        <f>IFERROR(__xludf.DUMMYFUNCTION("""COMPUTED_VALUE"""),"Humanoid")</f>
        <v>Humanoid</v>
      </c>
      <c r="E167" s="12">
        <f>IFERROR(__xludf.DUMMYFUNCTION("""COMPUTED_VALUE"""),1010.0)</f>
        <v>1010</v>
      </c>
      <c r="F167" s="12">
        <f>IFERROR(__xludf.DUMMYFUNCTION("""COMPUTED_VALUE"""),1010.0)</f>
        <v>1010</v>
      </c>
      <c r="G167" s="12">
        <f>IFERROR(__xludf.DUMMYFUNCTION("""COMPUTED_VALUE"""),1010.0)</f>
        <v>1010</v>
      </c>
      <c r="H167" s="3">
        <f>IFERROR(__xludf.DUMMYFUNCTION("""COMPUTED_VALUE"""),10.0)</f>
        <v>10</v>
      </c>
      <c r="I167" s="3">
        <f>IFERROR(__xludf.DUMMYFUNCTION("""COMPUTED_VALUE"""),0.0)</f>
        <v>0</v>
      </c>
      <c r="J167" s="3">
        <f>IFERROR(__xludf.DUMMYFUNCTION("""COMPUTED_VALUE"""),0.0)</f>
        <v>0</v>
      </c>
      <c r="K167" s="3">
        <f>IFERROR(__xludf.DUMMYFUNCTION("""COMPUTED_VALUE"""),100.0)</f>
        <v>100</v>
      </c>
      <c r="L167" s="3">
        <f>IFERROR(__xludf.DUMMYFUNCTION("""COMPUTED_VALUE"""),100.0)</f>
        <v>100</v>
      </c>
      <c r="M167" s="3" t="str">
        <f>IFERROR(__xludf.DUMMYFUNCTION("""COMPUTED_VALUE"""),"Dark:100, Chaos:100, ")</f>
        <v>Dark:100, Chaos:100, </v>
      </c>
      <c r="N167" s="3" t="str">
        <f>IFERROR(__xludf.DUMMYFUNCTION("""COMPUTED_VALUE"""),"Fire:100, Light:100, Order:100, ")</f>
        <v>Fire:100, Light:100, Order:100, </v>
      </c>
      <c r="O167" s="3"/>
      <c r="P167" s="3"/>
      <c r="Q167" s="3"/>
      <c r="R167" s="3"/>
      <c r="S167" s="3"/>
      <c r="T167" s="3"/>
      <c r="U167" s="3"/>
      <c r="V167" s="3"/>
      <c r="W167" s="3" t="str">
        <f>IFERROR(__xludf.DUMMYFUNCTION("""COMPUTED_VALUE"""),"Staff of Chaotic Shadows")</f>
        <v>Staff of Chaotic Shadows</v>
      </c>
      <c r="X167" s="3"/>
      <c r="Y167" s="3"/>
      <c r="Z167" s="3"/>
      <c r="AA167" s="3"/>
      <c r="AB167" s="3"/>
      <c r="AC167" s="3"/>
      <c r="AD167" s="3"/>
      <c r="AE167" s="3"/>
      <c r="AF167" s="3"/>
      <c r="AG167" s="3"/>
      <c r="AH167" s="3"/>
      <c r="AI167" s="3"/>
      <c r="AJ167" s="3" t="str">
        <f>IFERROR(__xludf.DUMMYFUNCTION("""COMPUTED_VALUE"""),"Shadow Vanish")</f>
        <v>Shadow Vanish</v>
      </c>
      <c r="AK167" s="3" t="str">
        <f>IFERROR(__xludf.DUMMYFUNCTION("""COMPUTED_VALUE"""),"Dark Bolt")</f>
        <v>Dark Bolt</v>
      </c>
      <c r="AL167" s="3" t="str">
        <f>IFERROR(__xludf.DUMMYFUNCTION("""COMPUTED_VALUE"""),"Voodoo meteor shower")</f>
        <v>Voodoo meteor shower</v>
      </c>
      <c r="AM167" s="3" t="str">
        <f>IFERROR(__xludf.DUMMYFUNCTION("""COMPUTED_VALUE"""),"Spirit Drain")</f>
        <v>Spirit Drain</v>
      </c>
      <c r="AN167" s="3" t="str">
        <f>IFERROR(__xludf.DUMMYFUNCTION("""COMPUTED_VALUE"""),"Soul Shot")</f>
        <v>Soul Shot</v>
      </c>
      <c r="AO167" s="3" t="str">
        <f>IFERROR(__xludf.DUMMYFUNCTION("""COMPUTED_VALUE"""),"Chaos Ward")</f>
        <v>Chaos Ward</v>
      </c>
      <c r="AP167" s="3" t="str">
        <f>IFERROR(__xludf.DUMMYFUNCTION("""COMPUTED_VALUE"""),"Chaos Beam")</f>
        <v>Chaos Beam</v>
      </c>
      <c r="AQ167" s="3"/>
      <c r="AR167" s="3"/>
      <c r="AS167" s="3"/>
      <c r="AT167" s="3"/>
      <c r="AU167" s="3"/>
      <c r="AV167" s="3"/>
      <c r="AW167" s="3"/>
      <c r="AX167" s="3"/>
      <c r="AY167" s="3"/>
      <c r="AZ167" s="3"/>
      <c r="BA167" s="3"/>
      <c r="BB167" s="3"/>
      <c r="BC167" s="1"/>
      <c r="BD167" s="3">
        <f>IFERROR(__xludf.DUMMYFUNCTION("""COMPUTED_VALUE"""),0.0)</f>
        <v>0</v>
      </c>
      <c r="BE167" s="4">
        <f>IFERROR(__xludf.DUMMYFUNCTION("""COMPUTED_VALUE"""),10.0)</f>
        <v>10</v>
      </c>
      <c r="BF167" s="3" t="str">
        <f>IFERROR(__xludf.DUMMYFUNCTION("""COMPUTED_VALUE"""),"A Dark Calling: +5 can be added to this mobs rolls.")</f>
        <v>A Dark Calling: +5 can be added to this mobs rolls.</v>
      </c>
      <c r="BG167" s="3" t="str">
        <f>IFERROR(__xludf.DUMMYFUNCTION("""COMPUTED_VALUE"""),"Jungle")</f>
        <v>Jungle</v>
      </c>
      <c r="BH167" s="3" t="str">
        <f>IFERROR(__xludf.DUMMYFUNCTION("""COMPUTED_VALUE"""),"Land Of Spira")</f>
        <v>Land Of Spira</v>
      </c>
      <c r="BI167" s="3"/>
      <c r="BJ167" s="3"/>
      <c r="BK167" s="3"/>
      <c r="BL167" s="3" t="b">
        <f>IFERROR(__xludf.DUMMYFUNCTION("""COMPUTED_VALUE"""),FALSE)</f>
        <v>0</v>
      </c>
      <c r="BM167" s="3"/>
      <c r="BN167" s="3"/>
      <c r="BO167" s="3"/>
      <c r="BP167" s="3"/>
      <c r="BQ167" s="3"/>
      <c r="BR167" s="3"/>
      <c r="BS167" s="3"/>
      <c r="BT167" s="3"/>
      <c r="BU167" s="3"/>
      <c r="BV167" s="3"/>
      <c r="BW167" s="3"/>
    </row>
    <row r="168" ht="15.75" customHeight="1">
      <c r="A168" s="3" t="str">
        <f>IFERROR(__xludf.DUMMYFUNCTION("""COMPUTED_VALUE"""),"Lugh")</f>
        <v>Lugh</v>
      </c>
      <c r="B168" s="3">
        <f>IFERROR(__xludf.DUMMYFUNCTION("""COMPUTED_VALUE"""),1.0)</f>
        <v>1</v>
      </c>
      <c r="C168" s="3" t="str">
        <f>IFERROR(__xludf.DUMMYFUNCTION("""COMPUTED_VALUE"""),"A warrior, a king, a master craftsman and a savior.")</f>
        <v>A warrior, a king, a master craftsman and a savior.</v>
      </c>
      <c r="D168" s="3" t="str">
        <f>IFERROR(__xludf.DUMMYFUNCTION("""COMPUTED_VALUE"""),"Humanoid")</f>
        <v>Humanoid</v>
      </c>
      <c r="E168" s="3">
        <f>IFERROR(__xludf.DUMMYFUNCTION("""COMPUTED_VALUE"""),1010.0)</f>
        <v>1010</v>
      </c>
      <c r="F168" s="12">
        <f>IFERROR(__xludf.DUMMYFUNCTION("""COMPUTED_VALUE"""),1010.0)</f>
        <v>1010</v>
      </c>
      <c r="G168" s="3">
        <f>IFERROR(__xludf.DUMMYFUNCTION("""COMPUTED_VALUE"""),1010.0)</f>
        <v>1010</v>
      </c>
      <c r="H168" s="3">
        <f>IFERROR(__xludf.DUMMYFUNCTION("""COMPUTED_VALUE"""),10.0)</f>
        <v>10</v>
      </c>
      <c r="I168" s="3">
        <f>IFERROR(__xludf.DUMMYFUNCTION("""COMPUTED_VALUE"""),0.0)</f>
        <v>0</v>
      </c>
      <c r="J168" s="3">
        <f>IFERROR(__xludf.DUMMYFUNCTION("""COMPUTED_VALUE"""),0.0)</f>
        <v>0</v>
      </c>
      <c r="K168" s="3">
        <f>IFERROR(__xludf.DUMMYFUNCTION("""COMPUTED_VALUE"""),100.0)</f>
        <v>100</v>
      </c>
      <c r="L168" s="3">
        <f>IFERROR(__xludf.DUMMYFUNCTION("""COMPUTED_VALUE"""),100.0)</f>
        <v>100</v>
      </c>
      <c r="M168" s="3" t="str">
        <f>IFERROR(__xludf.DUMMYFUNCTION("""COMPUTED_VALUE"""),"")</f>
        <v/>
      </c>
      <c r="N168" s="3" t="str">
        <f>IFERROR(__xludf.DUMMYFUNCTION("""COMPUTED_VALUE"""),"")</f>
        <v/>
      </c>
      <c r="O168" s="3"/>
      <c r="P168" s="3"/>
      <c r="Q168" s="3"/>
      <c r="R168" s="3"/>
      <c r="S168" s="3"/>
      <c r="T168" s="3"/>
      <c r="U168" s="3"/>
      <c r="V168" s="3"/>
      <c r="W168" s="3"/>
      <c r="X168" s="3"/>
      <c r="Y168" s="3"/>
      <c r="Z168" s="3"/>
      <c r="AA168" s="3"/>
      <c r="AB168" s="3"/>
      <c r="AC168" s="3"/>
      <c r="AD168" s="3"/>
      <c r="AE168" s="3"/>
      <c r="AF168" s="3"/>
      <c r="AG168" s="3"/>
      <c r="AH168" s="3"/>
      <c r="AI168" s="3"/>
      <c r="AJ168" s="3" t="str">
        <f>IFERROR(__xludf.DUMMYFUNCTION("""COMPUTED_VALUE"""),"Sling Stone")</f>
        <v>Sling Stone</v>
      </c>
      <c r="AK168" s="3"/>
      <c r="AL168" s="3"/>
      <c r="AM168" s="3"/>
      <c r="AN168" s="3"/>
      <c r="AO168" s="3"/>
      <c r="AP168" s="3"/>
      <c r="AQ168" s="3"/>
      <c r="AR168" s="3"/>
      <c r="AS168" s="3"/>
      <c r="AT168" s="3"/>
      <c r="AU168" s="3"/>
      <c r="AV168" s="3"/>
      <c r="AW168" s="3"/>
      <c r="AX168" s="3"/>
      <c r="AY168" s="3"/>
      <c r="AZ168" s="3"/>
      <c r="BA168" s="3"/>
      <c r="BB168" s="3"/>
      <c r="BC168" s="1"/>
      <c r="BD168" s="3">
        <f>IFERROR(__xludf.DUMMYFUNCTION("""COMPUTED_VALUE"""),0.0)</f>
        <v>0</v>
      </c>
      <c r="BE168" s="4">
        <f>IFERROR(__xludf.DUMMYFUNCTION("""COMPUTED_VALUE"""),10.0)</f>
        <v>10</v>
      </c>
      <c r="BF168" s="3"/>
      <c r="BG168" s="3"/>
      <c r="BH168" s="3" t="str">
        <f>IFERROR(__xludf.DUMMYFUNCTION("""COMPUTED_VALUE"""),"Land of Spira")</f>
        <v>Land of Spira</v>
      </c>
      <c r="BI168" s="3"/>
      <c r="BJ168" s="3" t="str">
        <f>IFERROR(__xludf.DUMMYFUNCTION("""COMPUTED_VALUE"""),"Lughnasadh")</f>
        <v>Lughnasadh</v>
      </c>
      <c r="BK168" s="3"/>
      <c r="BL168" s="3" t="b">
        <f>IFERROR(__xludf.DUMMYFUNCTION("""COMPUTED_VALUE"""),FALSE)</f>
        <v>0</v>
      </c>
      <c r="BM168" s="3"/>
      <c r="BN168" s="3"/>
      <c r="BO168" s="3"/>
      <c r="BP168" s="3"/>
      <c r="BQ168" s="3"/>
      <c r="BR168" s="3"/>
      <c r="BS168" s="3"/>
      <c r="BT168" s="3"/>
      <c r="BU168" s="3"/>
      <c r="BV168" s="3"/>
      <c r="BW168" s="3"/>
    </row>
    <row r="169" ht="15.75" customHeight="1">
      <c r="A169" s="3" t="str">
        <f>IFERROR(__xludf.DUMMYFUNCTION("""COMPUTED_VALUE"""),"Madem Hagbottom")</f>
        <v>Madem Hagbottom</v>
      </c>
      <c r="B169" s="3">
        <f>IFERROR(__xludf.DUMMYFUNCTION("""COMPUTED_VALUE"""),1.0)</f>
        <v>1</v>
      </c>
      <c r="C169" s="3" t="str">
        <f>IFERROR(__xludf.DUMMYFUNCTION("""COMPUTED_VALUE"""),"Mod the Evil Seahags older  sister.")</f>
        <v>Mod the Evil Seahags older  sister.</v>
      </c>
      <c r="D169" s="3" t="str">
        <f>IFERROR(__xludf.DUMMYFUNCTION("""COMPUTED_VALUE"""),"Fae")</f>
        <v>Fae</v>
      </c>
      <c r="E169" s="3">
        <f>IFERROR(__xludf.DUMMYFUNCTION("""COMPUTED_VALUE"""),1010.0)</f>
        <v>1010</v>
      </c>
      <c r="F169" s="12">
        <f>IFERROR(__xludf.DUMMYFUNCTION("""COMPUTED_VALUE"""),1010.0)</f>
        <v>1010</v>
      </c>
      <c r="G169" s="3">
        <f>IFERROR(__xludf.DUMMYFUNCTION("""COMPUTED_VALUE"""),1010.0)</f>
        <v>1010</v>
      </c>
      <c r="H169" s="3">
        <f>IFERROR(__xludf.DUMMYFUNCTION("""COMPUTED_VALUE"""),20.0)</f>
        <v>20</v>
      </c>
      <c r="I169" s="3">
        <f>IFERROR(__xludf.DUMMYFUNCTION("""COMPUTED_VALUE"""),0.0)</f>
        <v>0</v>
      </c>
      <c r="J169" s="3">
        <f>IFERROR(__xludf.DUMMYFUNCTION("""COMPUTED_VALUE"""),0.0)</f>
        <v>0</v>
      </c>
      <c r="K169" s="3">
        <f>IFERROR(__xludf.DUMMYFUNCTION("""COMPUTED_VALUE"""),100.0)</f>
        <v>100</v>
      </c>
      <c r="L169" s="3">
        <f>IFERROR(__xludf.DUMMYFUNCTION("""COMPUTED_VALUE"""),100.0)</f>
        <v>100</v>
      </c>
      <c r="M169" s="3" t="str">
        <f>IFERROR(__xludf.DUMMYFUNCTION("""COMPUTED_VALUE"""),"Dark:Immune, Chaos:Immune, Stasis:Immune, Twilight:Immune, Voodoo:Immune, Blood:Immune, Instant Death:Immune, Banishment:Immune, ")</f>
        <v>Dark:Immune, Chaos:Immune, Stasis:Immune, Twilight:Immune, Voodoo:Immune, Blood:Immune, Instant Death:Immune, Banishment:Immune, </v>
      </c>
      <c r="N169" s="3" t="str">
        <f>IFERROR(__xludf.DUMMYFUNCTION("""COMPUTED_VALUE"""),"Fire:100, Light:100, Order:100, Zen:100, Celestial:100, ")</f>
        <v>Fire:100, Light:100, Order:100, Zen:100, Celestial:100, </v>
      </c>
      <c r="O169" s="3"/>
      <c r="P169" s="3" t="str">
        <f>IFERROR(__xludf.DUMMYFUNCTION("""COMPUTED_VALUE"""),"Chaotic Amulet")</f>
        <v>Chaotic Amulet</v>
      </c>
      <c r="Q169" s="3"/>
      <c r="R169" s="3"/>
      <c r="S169" s="3"/>
      <c r="T169" s="3"/>
      <c r="U169" s="3"/>
      <c r="V169" s="3"/>
      <c r="W169" s="3" t="str">
        <f>IFERROR(__xludf.DUMMYFUNCTION("""COMPUTED_VALUE"""),"Chaotic Shadow Life Orb")</f>
        <v>Chaotic Shadow Life Orb</v>
      </c>
      <c r="X169" s="3"/>
      <c r="Y169" s="3"/>
      <c r="Z169" s="3"/>
      <c r="AA169" s="3"/>
      <c r="AB169" s="3"/>
      <c r="AC169" s="3"/>
      <c r="AD169" s="3"/>
      <c r="AE169" s="3"/>
      <c r="AF169" s="3"/>
      <c r="AG169" s="3"/>
      <c r="AH169" s="3"/>
      <c r="AI169" s="3"/>
      <c r="AJ169" s="3" t="str">
        <f>IFERROR(__xludf.DUMMYFUNCTION("""COMPUTED_VALUE"""),"Chaincast")</f>
        <v>Chaincast</v>
      </c>
      <c r="AK169" s="3" t="str">
        <f>IFERROR(__xludf.DUMMYFUNCTION("""COMPUTED_VALUE"""),"Voodoo Meteor Shower")</f>
        <v>Voodoo Meteor Shower</v>
      </c>
      <c r="AL169" s="3" t="str">
        <f>IFERROR(__xludf.DUMMYFUNCTION("""COMPUTED_VALUE"""),"End the voodoo contract")</f>
        <v>End the voodoo contract</v>
      </c>
      <c r="AM169" s="3" t="str">
        <f>IFERROR(__xludf.DUMMYFUNCTION("""COMPUTED_VALUE"""),"Stand in")</f>
        <v>Stand in</v>
      </c>
      <c r="AN169" s="3" t="str">
        <f>IFERROR(__xludf.DUMMYFUNCTION("""COMPUTED_VALUE"""),"Hex With Bad Luck")</f>
        <v>Hex With Bad Luck</v>
      </c>
      <c r="AO169" s="3" t="str">
        <f>IFERROR(__xludf.DUMMYFUNCTION("""COMPUTED_VALUE"""),"Dimensional Quake")</f>
        <v>Dimensional Quake</v>
      </c>
      <c r="AP169" s="3" t="str">
        <f>IFERROR(__xludf.DUMMYFUNCTION("""COMPUTED_VALUE"""),"Dimension Portal")</f>
        <v>Dimension Portal</v>
      </c>
      <c r="AQ169" s="3" t="str">
        <f>IFERROR(__xludf.DUMMYFUNCTION("""COMPUTED_VALUE"""),"Darkest Abyss")</f>
        <v>Darkest Abyss</v>
      </c>
      <c r="AR169" s="3" t="str">
        <f>IFERROR(__xludf.DUMMYFUNCTION("""COMPUTED_VALUE"""),"Conceal")</f>
        <v>Conceal</v>
      </c>
      <c r="AS169" s="3" t="str">
        <f>IFERROR(__xludf.DUMMYFUNCTION("""COMPUTED_VALUE"""),"Stasis Madness")</f>
        <v>Stasis Madness</v>
      </c>
      <c r="AT169" s="3" t="str">
        <f>IFERROR(__xludf.DUMMYFUNCTION("""COMPUTED_VALUE"""),"Stasis Tsunami")</f>
        <v>Stasis Tsunami</v>
      </c>
      <c r="AU169" s="3" t="str">
        <f>IFERROR(__xludf.DUMMYFUNCTION("""COMPUTED_VALUE"""),"Twilight Masquerade")</f>
        <v>Twilight Masquerade</v>
      </c>
      <c r="AV169" s="3" t="str">
        <f>IFERROR(__xludf.DUMMYFUNCTION("""COMPUTED_VALUE"""),"The Setting Sun")</f>
        <v>The Setting Sun</v>
      </c>
      <c r="AW169" s="3" t="str">
        <f>IFERROR(__xludf.DUMMYFUNCTION("""COMPUTED_VALUE"""),"Damage With A Cost.")</f>
        <v>Damage With A Cost.</v>
      </c>
      <c r="AX169" s="3" t="str">
        <f>IFERROR(__xludf.DUMMYFUNCTION("""COMPUTED_VALUE"""),"Swallow")</f>
        <v>Swallow</v>
      </c>
      <c r="AY169" s="3" t="str">
        <f>IFERROR(__xludf.DUMMYFUNCTION("""COMPUTED_VALUE"""),"Mass Destruction")</f>
        <v>Mass Destruction</v>
      </c>
      <c r="AZ169" s="3" t="str">
        <f>IFERROR(__xludf.DUMMYFUNCTION("""COMPUTED_VALUE"""),"Celestial Wrath")</f>
        <v>Celestial Wrath</v>
      </c>
      <c r="BA169" s="3"/>
      <c r="BB169" s="3"/>
      <c r="BC169" s="1"/>
      <c r="BD169" s="3">
        <f>IFERROR(__xludf.DUMMYFUNCTION("""COMPUTED_VALUE"""),0.0)</f>
        <v>0</v>
      </c>
      <c r="BE169" s="4">
        <f>IFERROR(__xludf.DUMMYFUNCTION("""COMPUTED_VALUE"""),10.0)</f>
        <v>10</v>
      </c>
      <c r="BF169"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Items cannot be taken from this mob.")</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Items cannot be taken from this mob.</v>
      </c>
      <c r="BG169" s="3" t="str">
        <f>IFERROR(__xludf.DUMMYFUNCTION("""COMPUTED_VALUE"""),"Dungeon")</f>
        <v>Dungeon</v>
      </c>
      <c r="BH169" s="3" t="str">
        <f>IFERROR(__xludf.DUMMYFUNCTION("""COMPUTED_VALUE"""),"Halloween Kingdom")</f>
        <v>Halloween Kingdom</v>
      </c>
      <c r="BI169" s="3"/>
      <c r="BJ169" s="3"/>
      <c r="BK169" s="3"/>
      <c r="BL169" s="3" t="b">
        <f>IFERROR(__xludf.DUMMYFUNCTION("""COMPUTED_VALUE"""),FALSE)</f>
        <v>0</v>
      </c>
      <c r="BM169" s="3"/>
      <c r="BN169" s="3"/>
      <c r="BO169" s="3"/>
      <c r="BP169" s="3"/>
      <c r="BQ169" s="3"/>
      <c r="BR169" s="3"/>
      <c r="BS169" s="3"/>
      <c r="BT169" s="3"/>
      <c r="BU169" s="3"/>
      <c r="BV169" s="3"/>
      <c r="BW169" s="3"/>
    </row>
    <row r="170" ht="15.75" customHeight="1">
      <c r="A170" s="3" t="str">
        <f>IFERROR(__xludf.DUMMYFUNCTION("""COMPUTED_VALUE"""),"Magma Bear")</f>
        <v>Magma Bear</v>
      </c>
      <c r="B170" s="3">
        <f>IFERROR(__xludf.DUMMYFUNCTION("""COMPUTED_VALUE"""),1.0)</f>
        <v>1</v>
      </c>
      <c r="C170" s="3"/>
      <c r="D170" s="12" t="str">
        <f>IFERROR(__xludf.DUMMYFUNCTION("""COMPUTED_VALUE"""),"Beast")</f>
        <v>Beast</v>
      </c>
      <c r="E170" s="12">
        <f>IFERROR(__xludf.DUMMYFUNCTION("""COMPUTED_VALUE"""),16010.0)</f>
        <v>16010</v>
      </c>
      <c r="F170" s="12">
        <f>IFERROR(__xludf.DUMMYFUNCTION("""COMPUTED_VALUE"""),1010.0)</f>
        <v>1010</v>
      </c>
      <c r="G170" s="12">
        <f>IFERROR(__xludf.DUMMYFUNCTION("""COMPUTED_VALUE"""),16010.0)</f>
        <v>16010</v>
      </c>
      <c r="H170" s="3">
        <f>IFERROR(__xludf.DUMMYFUNCTION("""COMPUTED_VALUE"""),10.0)</f>
        <v>10</v>
      </c>
      <c r="I170" s="3">
        <f>IFERROR(__xludf.DUMMYFUNCTION("""COMPUTED_VALUE"""),0.0)</f>
        <v>0</v>
      </c>
      <c r="J170" s="3">
        <f>IFERROR(__xludf.DUMMYFUNCTION("""COMPUTED_VALUE"""),0.0)</f>
        <v>0</v>
      </c>
      <c r="K170" s="3">
        <f>IFERROR(__xludf.DUMMYFUNCTION("""COMPUTED_VALUE"""),100.0)</f>
        <v>100</v>
      </c>
      <c r="L170" s="3">
        <f>IFERROR(__xludf.DUMMYFUNCTION("""COMPUTED_VALUE"""),100.0)</f>
        <v>100</v>
      </c>
      <c r="M170" s="3" t="str">
        <f>IFERROR(__xludf.DUMMYFUNCTION("""COMPUTED_VALUE"""),"Fire:Immune, ")</f>
        <v>Fire:Immune, </v>
      </c>
      <c r="N170" s="3" t="str">
        <f>IFERROR(__xludf.DUMMYFUNCTION("""COMPUTED_VALUE"""),"Water:100, ")</f>
        <v>Water:100, </v>
      </c>
      <c r="O170" s="3"/>
      <c r="P170" s="3"/>
      <c r="Q170" s="3"/>
      <c r="R170" s="3"/>
      <c r="S170" s="3"/>
      <c r="T170" s="3"/>
      <c r="U170" s="3"/>
      <c r="V170" s="3"/>
      <c r="W170" s="3"/>
      <c r="X170" s="3"/>
      <c r="Y170" s="3"/>
      <c r="Z170" s="3"/>
      <c r="AA170" s="3"/>
      <c r="AB170" s="3"/>
      <c r="AC170" s="3"/>
      <c r="AD170" s="3"/>
      <c r="AE170" s="3"/>
      <c r="AF170" s="3"/>
      <c r="AG170" s="3"/>
      <c r="AH170" s="3"/>
      <c r="AI170" s="3"/>
      <c r="AJ170" s="3" t="str">
        <f>IFERROR(__xludf.DUMMYFUNCTION("""COMPUTED_VALUE"""),"Flaming Bite")</f>
        <v>Flaming Bite</v>
      </c>
      <c r="AK170" s="3" t="str">
        <f>IFERROR(__xludf.DUMMYFUNCTION("""COMPUTED_VALUE"""),"Volcanic Claws")</f>
        <v>Volcanic Claws</v>
      </c>
      <c r="AL170" s="3" t="str">
        <f>IFERROR(__xludf.DUMMYFUNCTION("""COMPUTED_VALUE"""),"Flame Thrower")</f>
        <v>Flame Thrower</v>
      </c>
      <c r="AM170" s="3" t="str">
        <f>IFERROR(__xludf.DUMMYFUNCTION("""COMPUTED_VALUE"""),"Meteor Shower")</f>
        <v>Meteor Shower</v>
      </c>
      <c r="AN170" s="3" t="str">
        <f>IFERROR(__xludf.DUMMYFUNCTION("""COMPUTED_VALUE"""),"Berserk")</f>
        <v>Berserk</v>
      </c>
      <c r="AO170" s="3" t="str">
        <f>IFERROR(__xludf.DUMMYFUNCTION("""COMPUTED_VALUE"""),"Celestial Strike")</f>
        <v>Celestial Strike</v>
      </c>
      <c r="AP170" s="3"/>
      <c r="AQ170" s="3"/>
      <c r="AR170" s="3"/>
      <c r="AS170" s="3"/>
      <c r="AT170" s="3"/>
      <c r="AU170" s="3"/>
      <c r="AV170" s="3"/>
      <c r="AW170" s="3"/>
      <c r="AX170" s="3"/>
      <c r="AY170" s="3"/>
      <c r="AZ170" s="3"/>
      <c r="BA170" s="3"/>
      <c r="BB170" s="3"/>
      <c r="BC170" s="1"/>
      <c r="BD170" s="3">
        <f>IFERROR(__xludf.DUMMYFUNCTION("""COMPUTED_VALUE"""),0.0)</f>
        <v>0</v>
      </c>
      <c r="BE170" s="4">
        <f>IFERROR(__xludf.DUMMYFUNCTION("""COMPUTED_VALUE"""),10.0)</f>
        <v>10</v>
      </c>
      <c r="BF170" s="3" t="str">
        <f>IFERROR(__xludf.DUMMYFUNCTION("""COMPUTED_VALUE"""),"Immune to Freezing")</f>
        <v>Immune to Freezing</v>
      </c>
      <c r="BG170" s="3" t="str">
        <f>IFERROR(__xludf.DUMMYFUNCTION("""COMPUTED_VALUE"""),"All")</f>
        <v>All</v>
      </c>
      <c r="BH170" s="3" t="str">
        <f>IFERROR(__xludf.DUMMYFUNCTION("""COMPUTED_VALUE"""),"Abstara")</f>
        <v>Abstara</v>
      </c>
      <c r="BI170" s="3"/>
      <c r="BJ170" s="3"/>
      <c r="BK170" s="3"/>
      <c r="BL170" s="3" t="b">
        <f>IFERROR(__xludf.DUMMYFUNCTION("""COMPUTED_VALUE"""),FALSE)</f>
        <v>0</v>
      </c>
      <c r="BM170" s="3"/>
      <c r="BN170" s="3"/>
      <c r="BO170" s="3"/>
      <c r="BP170" s="3"/>
      <c r="BQ170" s="3"/>
      <c r="BR170" s="3"/>
      <c r="BS170" s="3"/>
      <c r="BT170" s="3"/>
      <c r="BU170" s="3"/>
      <c r="BV170" s="3"/>
      <c r="BW170" s="3"/>
    </row>
    <row r="171" ht="15.75" customHeight="1">
      <c r="A171" s="3" t="str">
        <f>IFERROR(__xludf.DUMMYFUNCTION("""COMPUTED_VALUE"""),"Magma Slime")</f>
        <v>Magma Slime</v>
      </c>
      <c r="B171" s="3">
        <f>IFERROR(__xludf.DUMMYFUNCTION("""COMPUTED_VALUE"""),1.0)</f>
        <v>1</v>
      </c>
      <c r="C171" s="3"/>
      <c r="D171" s="12" t="str">
        <f>IFERROR(__xludf.DUMMYFUNCTION("""COMPUTED_VALUE"""),"Monstrosity")</f>
        <v>Monstrosity</v>
      </c>
      <c r="E171" s="12">
        <f>IFERROR(__xludf.DUMMYFUNCTION("""COMPUTED_VALUE"""),1010.0)</f>
        <v>1010</v>
      </c>
      <c r="F171" s="12">
        <f>IFERROR(__xludf.DUMMYFUNCTION("""COMPUTED_VALUE"""),1010.0)</f>
        <v>1010</v>
      </c>
      <c r="G171" s="12">
        <f>IFERROR(__xludf.DUMMYFUNCTION("""COMPUTED_VALUE"""),1010.0)</f>
        <v>1010</v>
      </c>
      <c r="H171" s="3">
        <f>IFERROR(__xludf.DUMMYFUNCTION("""COMPUTED_VALUE"""),10.0)</f>
        <v>10</v>
      </c>
      <c r="I171" s="3">
        <f>IFERROR(__xludf.DUMMYFUNCTION("""COMPUTED_VALUE"""),0.0)</f>
        <v>0</v>
      </c>
      <c r="J171" s="3">
        <f>IFERROR(__xludf.DUMMYFUNCTION("""COMPUTED_VALUE"""),0.0)</f>
        <v>0</v>
      </c>
      <c r="K171" s="3">
        <f>IFERROR(__xludf.DUMMYFUNCTION("""COMPUTED_VALUE"""),100.0)</f>
        <v>100</v>
      </c>
      <c r="L171" s="3">
        <f>IFERROR(__xludf.DUMMYFUNCTION("""COMPUTED_VALUE"""),100.0)</f>
        <v>100</v>
      </c>
      <c r="M171" s="3" t="str">
        <f>IFERROR(__xludf.DUMMYFUNCTION("""COMPUTED_VALUE"""),"Fire:Immune, Nature:Immune, ")</f>
        <v>Fire:Immune, Nature:Immune, </v>
      </c>
      <c r="N171" s="3" t="str">
        <f>IFERROR(__xludf.DUMMYFUNCTION("""COMPUTED_VALUE"""),"Water:100, ")</f>
        <v>Water:100, </v>
      </c>
      <c r="O171" s="3"/>
      <c r="P171" s="3"/>
      <c r="Q171" s="3"/>
      <c r="R171" s="3"/>
      <c r="S171" s="3"/>
      <c r="T171" s="3"/>
      <c r="U171" s="3"/>
      <c r="V171" s="3"/>
      <c r="W171" s="3"/>
      <c r="X171" s="3"/>
      <c r="Y171" s="3"/>
      <c r="Z171" s="3"/>
      <c r="AA171" s="3"/>
      <c r="AB171" s="3"/>
      <c r="AC171" s="3"/>
      <c r="AD171" s="3"/>
      <c r="AE171" s="3"/>
      <c r="AF171" s="3"/>
      <c r="AG171" s="3"/>
      <c r="AH171" s="3"/>
      <c r="AI171" s="3"/>
      <c r="AJ171" s="3" t="str">
        <f>IFERROR(__xludf.DUMMYFUNCTION("""COMPUTED_VALUE"""),"Latch on")</f>
        <v>Latch on</v>
      </c>
      <c r="AK171" s="3" t="str">
        <f>IFERROR(__xludf.DUMMYFUNCTION("""COMPUTED_VALUE"""),"Absorb Enemy ")</f>
        <v>Absorb Enemy </v>
      </c>
      <c r="AL171" s="3" t="str">
        <f>IFERROR(__xludf.DUMMYFUNCTION("""COMPUTED_VALUE"""),"Volcanic Rain")</f>
        <v>Volcanic Rain</v>
      </c>
      <c r="AM171" s="3" t="str">
        <f>IFERROR(__xludf.DUMMYFUNCTION("""COMPUTED_VALUE"""),"Mass Ignition")</f>
        <v>Mass Ignition</v>
      </c>
      <c r="AN171" s="3"/>
      <c r="AO171" s="3"/>
      <c r="AP171" s="3"/>
      <c r="AQ171" s="3"/>
      <c r="AR171" s="3"/>
      <c r="AS171" s="3"/>
      <c r="AT171" s="3"/>
      <c r="AU171" s="3"/>
      <c r="AV171" s="3"/>
      <c r="AW171" s="3"/>
      <c r="AX171" s="3"/>
      <c r="AY171" s="3"/>
      <c r="AZ171" s="3"/>
      <c r="BA171" s="3"/>
      <c r="BB171" s="3"/>
      <c r="BC171" s="1"/>
      <c r="BD171" s="3">
        <f>IFERROR(__xludf.DUMMYFUNCTION("""COMPUTED_VALUE"""),0.0)</f>
        <v>0</v>
      </c>
      <c r="BE171" s="4">
        <f>IFERROR(__xludf.DUMMYFUNCTION("""COMPUTED_VALUE"""),15.0)</f>
        <v>15</v>
      </c>
      <c r="BF171" s="3" t="str">
        <f>IFERROR(__xludf.DUMMYFUNCTION("""COMPUTED_VALUE"""),"Absorb: 75% chance to be unaffected by any spells and attacks affecting this creature
When this creature latches on to a target; at the end of each of the targets turns this creature will melt the first item listed in the backpack")</f>
        <v>Absorb: 75% chance to be unaffected by any spells and attacks affecting this creature
When this creature latches on to a target; at the end of each of the targets turns this creature will melt the first item listed in the backpack</v>
      </c>
      <c r="BG171" s="3" t="str">
        <f>IFERROR(__xludf.DUMMYFUNCTION("""COMPUTED_VALUE"""),"All")</f>
        <v>All</v>
      </c>
      <c r="BH171" s="3" t="str">
        <f>IFERROR(__xludf.DUMMYFUNCTION("""COMPUTED_VALUE"""),"Abstara")</f>
        <v>Abstara</v>
      </c>
      <c r="BI171" s="3"/>
      <c r="BJ171" s="3"/>
      <c r="BK171" s="3"/>
      <c r="BL171" s="3" t="b">
        <f>IFERROR(__xludf.DUMMYFUNCTION("""COMPUTED_VALUE"""),FALSE)</f>
        <v>0</v>
      </c>
      <c r="BM171" s="3"/>
      <c r="BN171" s="3"/>
      <c r="BO171" s="3"/>
      <c r="BP171" s="3"/>
      <c r="BQ171" s="3"/>
      <c r="BR171" s="3"/>
      <c r="BS171" s="3"/>
      <c r="BT171" s="3"/>
      <c r="BU171" s="3"/>
      <c r="BV171" s="3"/>
      <c r="BW171" s="3"/>
    </row>
    <row r="172" ht="15.75" customHeight="1">
      <c r="A172" s="3" t="str">
        <f>IFERROR(__xludf.DUMMYFUNCTION("""COMPUTED_VALUE"""),"Manticore")</f>
        <v>Manticore</v>
      </c>
      <c r="B172" s="3">
        <f>IFERROR(__xludf.DUMMYFUNCTION("""COMPUTED_VALUE"""),1.0)</f>
        <v>1</v>
      </c>
      <c r="C172" s="3"/>
      <c r="D172" s="12" t="str">
        <f>IFERROR(__xludf.DUMMYFUNCTION("""COMPUTED_VALUE"""),"Beast")</f>
        <v>Beast</v>
      </c>
      <c r="E172" s="12">
        <f>IFERROR(__xludf.DUMMYFUNCTION("""COMPUTED_VALUE"""),16010.0)</f>
        <v>16010</v>
      </c>
      <c r="F172" s="12">
        <f>IFERROR(__xludf.DUMMYFUNCTION("""COMPUTED_VALUE"""),16010.0)</f>
        <v>16010</v>
      </c>
      <c r="G172" s="12">
        <f>IFERROR(__xludf.DUMMYFUNCTION("""COMPUTED_VALUE"""),1010.0)</f>
        <v>1010</v>
      </c>
      <c r="H172" s="3">
        <f>IFERROR(__xludf.DUMMYFUNCTION("""COMPUTED_VALUE"""),10.0)</f>
        <v>10</v>
      </c>
      <c r="I172" s="3">
        <f>IFERROR(__xludf.DUMMYFUNCTION("""COMPUTED_VALUE"""),0.0)</f>
        <v>0</v>
      </c>
      <c r="J172" s="3">
        <f>IFERROR(__xludf.DUMMYFUNCTION("""COMPUTED_VALUE"""),0.0)</f>
        <v>0</v>
      </c>
      <c r="K172" s="3">
        <f>IFERROR(__xludf.DUMMYFUNCTION("""COMPUTED_VALUE"""),100.0)</f>
        <v>100</v>
      </c>
      <c r="L172" s="3">
        <f>IFERROR(__xludf.DUMMYFUNCTION("""COMPUTED_VALUE"""),100.0)</f>
        <v>100</v>
      </c>
      <c r="M172" s="3" t="str">
        <f>IFERROR(__xludf.DUMMYFUNCTION("""COMPUTED_VALUE"""),"")</f>
        <v/>
      </c>
      <c r="N172" s="3" t="str">
        <f>IFERROR(__xludf.DUMMYFUNCTION("""COMPUTED_VALUE"""),"")</f>
        <v/>
      </c>
      <c r="O172" s="3"/>
      <c r="P172" s="3"/>
      <c r="Q172" s="3"/>
      <c r="R172" s="3"/>
      <c r="S172" s="3"/>
      <c r="T172" s="3"/>
      <c r="U172" s="3"/>
      <c r="V172" s="3"/>
      <c r="W172" s="3"/>
      <c r="X172" s="3"/>
      <c r="Y172" s="3"/>
      <c r="Z172" s="3"/>
      <c r="AA172" s="3"/>
      <c r="AB172" s="3"/>
      <c r="AC172" s="3"/>
      <c r="AD172" s="3"/>
      <c r="AE172" s="3"/>
      <c r="AF172" s="3"/>
      <c r="AG172" s="3"/>
      <c r="AH172" s="3"/>
      <c r="AI172" s="3"/>
      <c r="AJ172" s="3" t="str">
        <f>IFERROR(__xludf.DUMMYFUNCTION("""COMPUTED_VALUE"""),"Poison Needle")</f>
        <v>Poison Needle</v>
      </c>
      <c r="AK172" s="3" t="str">
        <f>IFERROR(__xludf.DUMMYFUNCTION("""COMPUTED_VALUE"""),"Poison Fang")</f>
        <v>Poison Fang</v>
      </c>
      <c r="AL172" s="3" t="str">
        <f>IFERROR(__xludf.DUMMYFUNCTION("""COMPUTED_VALUE"""),"Claws")</f>
        <v>Claws</v>
      </c>
      <c r="AM172" s="3" t="str">
        <f>IFERROR(__xludf.DUMMYFUNCTION("""COMPUTED_VALUE"""),"Bite")</f>
        <v>Bite</v>
      </c>
      <c r="AN172" s="3" t="str">
        <f>IFERROR(__xludf.DUMMYFUNCTION("""COMPUTED_VALUE"""),"Dive Bomb")</f>
        <v>Dive Bomb</v>
      </c>
      <c r="AO172" s="3"/>
      <c r="AP172" s="3"/>
      <c r="AQ172" s="3"/>
      <c r="AR172" s="3"/>
      <c r="AS172" s="3"/>
      <c r="AT172" s="3"/>
      <c r="AU172" s="3"/>
      <c r="AV172" s="3"/>
      <c r="AW172" s="3"/>
      <c r="AX172" s="3"/>
      <c r="AY172" s="3"/>
      <c r="AZ172" s="3"/>
      <c r="BA172" s="3"/>
      <c r="BB172" s="3"/>
      <c r="BC172" s="1"/>
      <c r="BD172" s="3">
        <f>IFERROR(__xludf.DUMMYFUNCTION("""COMPUTED_VALUE"""),0.0)</f>
        <v>0</v>
      </c>
      <c r="BE172" s="4">
        <f>IFERROR(__xludf.DUMMYFUNCTION("""COMPUTED_VALUE"""),10.0)</f>
        <v>10</v>
      </c>
      <c r="BF172" s="3"/>
      <c r="BG172" s="3" t="str">
        <f>IFERROR(__xludf.DUMMYFUNCTION("""COMPUTED_VALUE"""),"All")</f>
        <v>All</v>
      </c>
      <c r="BH172" s="3" t="str">
        <f>IFERROR(__xludf.DUMMYFUNCTION("""COMPUTED_VALUE"""),"Land of Spira")</f>
        <v>Land of Spira</v>
      </c>
      <c r="BI172" s="3"/>
      <c r="BJ172" s="3"/>
      <c r="BK172" s="3"/>
      <c r="BL172" s="3" t="b">
        <f>IFERROR(__xludf.DUMMYFUNCTION("""COMPUTED_VALUE"""),FALSE)</f>
        <v>0</v>
      </c>
      <c r="BM172" s="3"/>
      <c r="BN172" s="3"/>
      <c r="BO172" s="3"/>
      <c r="BP172" s="3"/>
      <c r="BQ172" s="3"/>
      <c r="BR172" s="3"/>
      <c r="BS172" s="3"/>
      <c r="BT172" s="3"/>
      <c r="BU172" s="3"/>
      <c r="BV172" s="3"/>
      <c r="BW172" s="3"/>
    </row>
    <row r="173" ht="15.75" customHeight="1">
      <c r="A173" s="3" t="str">
        <f>IFERROR(__xludf.DUMMYFUNCTION("""COMPUTED_VALUE"""),"Master Monk Warrior")</f>
        <v>Master Monk Warrior</v>
      </c>
      <c r="B173" s="3">
        <f>IFERROR(__xludf.DUMMYFUNCTION("""COMPUTED_VALUE"""),1.0)</f>
        <v>1</v>
      </c>
      <c r="C173" s="3"/>
      <c r="D173" s="12" t="str">
        <f>IFERROR(__xludf.DUMMYFUNCTION("""COMPUTED_VALUE"""),"Humanoid")</f>
        <v>Humanoid</v>
      </c>
      <c r="E173" s="12">
        <f>IFERROR(__xludf.DUMMYFUNCTION("""COMPUTED_VALUE"""),1010.0)</f>
        <v>1010</v>
      </c>
      <c r="F173" s="12">
        <f>IFERROR(__xludf.DUMMYFUNCTION("""COMPUTED_VALUE"""),1010.0)</f>
        <v>1010</v>
      </c>
      <c r="G173" s="12">
        <f>IFERROR(__xludf.DUMMYFUNCTION("""COMPUTED_VALUE"""),1010.0)</f>
        <v>1010</v>
      </c>
      <c r="H173" s="3">
        <f>IFERROR(__xludf.DUMMYFUNCTION("""COMPUTED_VALUE"""),10.0)</f>
        <v>10</v>
      </c>
      <c r="I173" s="3">
        <f>IFERROR(__xludf.DUMMYFUNCTION("""COMPUTED_VALUE"""),0.0)</f>
        <v>0</v>
      </c>
      <c r="J173" s="3">
        <f>IFERROR(__xludf.DUMMYFUNCTION("""COMPUTED_VALUE"""),0.0)</f>
        <v>0</v>
      </c>
      <c r="K173" s="3">
        <f>IFERROR(__xludf.DUMMYFUNCTION("""COMPUTED_VALUE"""),100.0)</f>
        <v>100</v>
      </c>
      <c r="L173" s="3">
        <f>IFERROR(__xludf.DUMMYFUNCTION("""COMPUTED_VALUE"""),100.0)</f>
        <v>100</v>
      </c>
      <c r="M173" s="3" t="str">
        <f>IFERROR(__xludf.DUMMYFUNCTION("""COMPUTED_VALUE"""),"Light:100, Order:100, Zen:Immune, ")</f>
        <v>Light:100, Order:100, Zen:Immune, </v>
      </c>
      <c r="N173" s="3" t="str">
        <f>IFERROR(__xludf.DUMMYFUNCTION("""COMPUTED_VALUE"""),"Dark:100, Chaos:100, Voodoo:100, ")</f>
        <v>Dark:100, Chaos:100, Voodoo:100, </v>
      </c>
      <c r="O173" s="3"/>
      <c r="P173" s="3"/>
      <c r="Q173" s="3"/>
      <c r="R173" s="3"/>
      <c r="S173" s="3"/>
      <c r="T173" s="3"/>
      <c r="U173" s="3"/>
      <c r="V173" s="3"/>
      <c r="W173" s="3" t="str">
        <f>IFERROR(__xludf.DUMMYFUNCTION("""COMPUTED_VALUE"""),"Bo Staff Of Zhenmay")</f>
        <v>Bo Staff Of Zhenmay</v>
      </c>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1"/>
      <c r="BD173" s="3">
        <f>IFERROR(__xludf.DUMMYFUNCTION("""COMPUTED_VALUE"""),0.0)</f>
        <v>0</v>
      </c>
      <c r="BE173" s="4">
        <f>IFERROR(__xludf.DUMMYFUNCTION("""COMPUTED_VALUE"""),10.0)</f>
        <v>10</v>
      </c>
      <c r="BF173" s="3"/>
      <c r="BG173" s="3" t="str">
        <f>IFERROR(__xludf.DUMMYFUNCTION("""COMPUTED_VALUE"""),"City/Town")</f>
        <v>City/Town</v>
      </c>
      <c r="BH173" s="3" t="str">
        <f>IFERROR(__xludf.DUMMYFUNCTION("""COMPUTED_VALUE"""),"Land Of Spira")</f>
        <v>Land Of Spira</v>
      </c>
      <c r="BI173" s="3"/>
      <c r="BJ173" s="3"/>
      <c r="BK173" s="3"/>
      <c r="BL173" s="3" t="b">
        <f>IFERROR(__xludf.DUMMYFUNCTION("""COMPUTED_VALUE"""),FALSE)</f>
        <v>0</v>
      </c>
      <c r="BM173" s="3"/>
      <c r="BN173" s="3"/>
      <c r="BO173" s="3"/>
      <c r="BP173" s="3"/>
      <c r="BQ173" s="3"/>
      <c r="BR173" s="3"/>
      <c r="BS173" s="3"/>
      <c r="BT173" s="3"/>
      <c r="BU173" s="3"/>
      <c r="BV173" s="3"/>
      <c r="BW173" s="3"/>
    </row>
    <row r="174" ht="15.75" customHeight="1">
      <c r="A174" s="3" t="str">
        <f>IFERROR(__xludf.DUMMYFUNCTION("""COMPUTED_VALUE"""),"Master Sawoogo")</f>
        <v>Master Sawoogo</v>
      </c>
      <c r="B174" s="3">
        <f>IFERROR(__xludf.DUMMYFUNCTION("""COMPUTED_VALUE"""),1.0)</f>
        <v>1</v>
      </c>
      <c r="C174" s="3"/>
      <c r="D174" s="12" t="str">
        <f>IFERROR(__xludf.DUMMYFUNCTION("""COMPUTED_VALUE"""),"Humanoid")</f>
        <v>Humanoid</v>
      </c>
      <c r="E174" s="12">
        <f>IFERROR(__xludf.DUMMYFUNCTION("""COMPUTED_VALUE"""),1010.0)</f>
        <v>1010</v>
      </c>
      <c r="F174" s="12">
        <f>IFERROR(__xludf.DUMMYFUNCTION("""COMPUTED_VALUE"""),1010.0)</f>
        <v>1010</v>
      </c>
      <c r="G174" s="12">
        <f>IFERROR(__xludf.DUMMYFUNCTION("""COMPUTED_VALUE"""),1010.0)</f>
        <v>1010</v>
      </c>
      <c r="H174" s="3">
        <f>IFERROR(__xludf.DUMMYFUNCTION("""COMPUTED_VALUE"""),10.0)</f>
        <v>10</v>
      </c>
      <c r="I174" s="3">
        <f>IFERROR(__xludf.DUMMYFUNCTION("""COMPUTED_VALUE"""),0.0)</f>
        <v>0</v>
      </c>
      <c r="J174" s="3">
        <f>IFERROR(__xludf.DUMMYFUNCTION("""COMPUTED_VALUE"""),0.0)</f>
        <v>0</v>
      </c>
      <c r="K174" s="3">
        <f>IFERROR(__xludf.DUMMYFUNCTION("""COMPUTED_VALUE"""),100.0)</f>
        <v>100</v>
      </c>
      <c r="L174" s="3">
        <f>IFERROR(__xludf.DUMMYFUNCTION("""COMPUTED_VALUE"""),100.0)</f>
        <v>100</v>
      </c>
      <c r="M174" s="3" t="str">
        <f>IFERROR(__xludf.DUMMYFUNCTION("""COMPUTED_VALUE"""),"Fire:Immune, Water:Immune, Nature:Immune, Celestial:Immune, Instant Death:Immune, Banishment:Immune, ")</f>
        <v>Fire:Immune, Water:Immune, Nature:Immune, Celestial:Immune, Instant Death:Immune, Banishment:Immune, </v>
      </c>
      <c r="N174" s="3" t="str">
        <f>IFERROR(__xludf.DUMMYFUNCTION("""COMPUTED_VALUE"""),"")</f>
        <v/>
      </c>
      <c r="O174" s="3"/>
      <c r="P174" s="3" t="str">
        <f>IFERROR(__xludf.DUMMYFUNCTION("""COMPUTED_VALUE"""),"Necklace Of Heatmore")</f>
        <v>Necklace Of Heatmore</v>
      </c>
      <c r="Q174" s="3"/>
      <c r="R174" s="3"/>
      <c r="S174" s="3"/>
      <c r="T174" s="3"/>
      <c r="U174" s="3"/>
      <c r="V174" s="3"/>
      <c r="W174" s="3" t="str">
        <f>IFERROR(__xludf.DUMMYFUNCTION("""COMPUTED_VALUE"""),"Staff Of Heatmore")</f>
        <v>Staff Of Heatmore</v>
      </c>
      <c r="X174" s="3"/>
      <c r="Y174" s="3"/>
      <c r="Z174" s="3"/>
      <c r="AA174" s="3"/>
      <c r="AB174" s="3"/>
      <c r="AC174" s="3"/>
      <c r="AD174" s="3"/>
      <c r="AE174" s="3"/>
      <c r="AF174" s="3"/>
      <c r="AG174" s="3"/>
      <c r="AH174" s="3"/>
      <c r="AI174" s="3"/>
      <c r="AJ174" s="3" t="str">
        <f>IFERROR(__xludf.DUMMYFUNCTION("""COMPUTED_VALUE"""),"Wrath of Heatmore")</f>
        <v>Wrath of Heatmore</v>
      </c>
      <c r="AK174" s="3" t="str">
        <f>IFERROR(__xludf.DUMMYFUNCTION("""COMPUTED_VALUE"""),"Elemental Storm")</f>
        <v>Elemental Storm</v>
      </c>
      <c r="AL174" s="3" t="str">
        <f>IFERROR(__xludf.DUMMYFUNCTION("""COMPUTED_VALUE"""),"Rock Cycle")</f>
        <v>Rock Cycle</v>
      </c>
      <c r="AM174" s="3" t="str">
        <f>IFERROR(__xludf.DUMMYFUNCTION("""COMPUTED_VALUE"""),"Grounds")</f>
        <v>Grounds</v>
      </c>
      <c r="AN174" s="3" t="str">
        <f>IFERROR(__xludf.DUMMYFUNCTION("""COMPUTED_VALUE"""),"The World Tree")</f>
        <v>The World Tree</v>
      </c>
      <c r="AO174" s="3" t="str">
        <f>IFERROR(__xludf.DUMMYFUNCTION("""COMPUTED_VALUE"""),"Chaincast")</f>
        <v>Chaincast</v>
      </c>
      <c r="AP174" s="3" t="str">
        <f>IFERROR(__xludf.DUMMYFUNCTION("""COMPUTED_VALUE"""),"Max Focus")</f>
        <v>Max Focus</v>
      </c>
      <c r="AQ174" s="3" t="str">
        <f>IFERROR(__xludf.DUMMYFUNCTION("""COMPUTED_VALUE"""),"Max Evade")</f>
        <v>Max Evade</v>
      </c>
      <c r="AR174" s="3" t="str">
        <f>IFERROR(__xludf.DUMMYFUNCTION("""COMPUTED_VALUE"""),"Last Gamble")</f>
        <v>Last Gamble</v>
      </c>
      <c r="AS174" s="3" t="str">
        <f>IFERROR(__xludf.DUMMYFUNCTION("""COMPUTED_VALUE"""),"Multishot")</f>
        <v>Multishot</v>
      </c>
      <c r="AT174" s="3" t="str">
        <f>IFERROR(__xludf.DUMMYFUNCTION("""COMPUTED_VALUE"""),"Cancel")</f>
        <v>Cancel</v>
      </c>
      <c r="AU174" s="3" t="str">
        <f>IFERROR(__xludf.DUMMYFUNCTION("""COMPUTED_VALUE"""),"Berserk")</f>
        <v>Berserk</v>
      </c>
      <c r="AV174" s="3"/>
      <c r="AW174" s="3"/>
      <c r="AX174" s="3"/>
      <c r="AY174" s="3"/>
      <c r="AZ174" s="3"/>
      <c r="BA174" s="3"/>
      <c r="BB174" s="3"/>
      <c r="BC174" s="1"/>
      <c r="BD174" s="3">
        <f>IFERROR(__xludf.DUMMYFUNCTION("""COMPUTED_VALUE"""),0.0)</f>
        <v>0</v>
      </c>
      <c r="BE174" s="4">
        <f>IFERROR(__xludf.DUMMYFUNCTION("""COMPUTED_VALUE"""),10.0)</f>
        <v>10</v>
      </c>
      <c r="BF174" s="3" t="str">
        <f>IFERROR(__xludf.DUMMYFUNCTION("""COMPUTED_VALUE"""),"75% chance to be unaffected by any spells affecting this mob
Luck Of Heatmore: +5 is added to the caster's d20 rolls during turn order and battle. 
Shell Ward: Unaffected by Rank 9 or lower spells for the first round.")</f>
        <v>75% chance to be unaffected by any spells affecting this mob
Luck Of Heatmore: +5 is added to the caster's d20 rolls during turn order and battle. 
Shell Ward: Unaffected by Rank 9 or lower spells for the first round.</v>
      </c>
      <c r="BG174" s="3" t="str">
        <f>IFERROR(__xludf.DUMMYFUNCTION("""COMPUTED_VALUE"""),"Jungle")</f>
        <v>Jungle</v>
      </c>
      <c r="BH174" s="3" t="str">
        <f>IFERROR(__xludf.DUMMYFUNCTION("""COMPUTED_VALUE"""),"Land Of Spira")</f>
        <v>Land Of Spira</v>
      </c>
      <c r="BI174" s="3"/>
      <c r="BJ174" s="3"/>
      <c r="BK174" s="3"/>
      <c r="BL174" s="3" t="b">
        <f>IFERROR(__xludf.DUMMYFUNCTION("""COMPUTED_VALUE"""),FALSE)</f>
        <v>0</v>
      </c>
      <c r="BM174" s="3"/>
      <c r="BN174" s="3"/>
      <c r="BO174" s="3"/>
      <c r="BP174" s="3"/>
      <c r="BQ174" s="3"/>
      <c r="BR174" s="3"/>
      <c r="BS174" s="3"/>
      <c r="BT174" s="3"/>
      <c r="BU174" s="3"/>
      <c r="BV174" s="3"/>
      <c r="BW174" s="3"/>
    </row>
    <row r="175" ht="15.75" customHeight="1">
      <c r="A175" s="3" t="str">
        <f>IFERROR(__xludf.DUMMYFUNCTION("""COMPUTED_VALUE"""),"Megalodon (WD)")</f>
        <v>Megalodon (WD)</v>
      </c>
      <c r="B175" s="3">
        <f>IFERROR(__xludf.DUMMYFUNCTION("""COMPUTED_VALUE"""),1.0)</f>
        <v>1</v>
      </c>
      <c r="C175" s="3"/>
      <c r="D175" s="12" t="str">
        <f>IFERROR(__xludf.DUMMYFUNCTION("""COMPUTED_VALUE"""),"Beast")</f>
        <v>Beast</v>
      </c>
      <c r="E175" s="12">
        <f>IFERROR(__xludf.DUMMYFUNCTION("""COMPUTED_VALUE"""),1010.0)</f>
        <v>1010</v>
      </c>
      <c r="F175" s="12">
        <f>IFERROR(__xludf.DUMMYFUNCTION("""COMPUTED_VALUE"""),1010.0)</f>
        <v>1010</v>
      </c>
      <c r="G175" s="12">
        <f>IFERROR(__xludf.DUMMYFUNCTION("""COMPUTED_VALUE"""),1010.0)</f>
        <v>1010</v>
      </c>
      <c r="H175" s="3">
        <f>IFERROR(__xludf.DUMMYFUNCTION("""COMPUTED_VALUE"""),10.0)</f>
        <v>10</v>
      </c>
      <c r="I175" s="3">
        <f>IFERROR(__xludf.DUMMYFUNCTION("""COMPUTED_VALUE"""),0.0)</f>
        <v>0</v>
      </c>
      <c r="J175" s="3">
        <f>IFERROR(__xludf.DUMMYFUNCTION("""COMPUTED_VALUE"""),0.0)</f>
        <v>0</v>
      </c>
      <c r="K175" s="3">
        <f>IFERROR(__xludf.DUMMYFUNCTION("""COMPUTED_VALUE"""),100.0)</f>
        <v>100</v>
      </c>
      <c r="L175" s="3">
        <f>IFERROR(__xludf.DUMMYFUNCTION("""COMPUTED_VALUE"""),100.0)</f>
        <v>100</v>
      </c>
      <c r="M175" s="3" t="str">
        <f>IFERROR(__xludf.DUMMYFUNCTION("""COMPUTED_VALUE"""),"Fire:Immune, Water:Immune, Instant Death:Immune, ")</f>
        <v>Fire:Immune, Water:Immune, Instant Death:Immune, </v>
      </c>
      <c r="N175" s="3" t="str">
        <f>IFERROR(__xludf.DUMMYFUNCTION("""COMPUTED_VALUE"""),"Nature:100, ")</f>
        <v>Nature:100, </v>
      </c>
      <c r="O175" s="3"/>
      <c r="P175" s="3"/>
      <c r="Q175" s="3"/>
      <c r="R175" s="3"/>
      <c r="S175" s="3"/>
      <c r="T175" s="3"/>
      <c r="U175" s="3"/>
      <c r="V175" s="3"/>
      <c r="W175" s="3"/>
      <c r="X175" s="3"/>
      <c r="Y175" s="3"/>
      <c r="Z175" s="3"/>
      <c r="AA175" s="3"/>
      <c r="AB175" s="3"/>
      <c r="AC175" s="3"/>
      <c r="AD175" s="3"/>
      <c r="AE175" s="3"/>
      <c r="AF175" s="3"/>
      <c r="AG175" s="3"/>
      <c r="AH175" s="3"/>
      <c r="AI175" s="3"/>
      <c r="AJ175" s="3" t="str">
        <f>IFERROR(__xludf.DUMMYFUNCTION("""COMPUTED_VALUE"""),"Call of The Sharks")</f>
        <v>Call of The Sharks</v>
      </c>
      <c r="AK175" s="3" t="str">
        <f>IFERROR(__xludf.DUMMYFUNCTION("""COMPUTED_VALUE"""),"Crashing Waves")</f>
        <v>Crashing Waves</v>
      </c>
      <c r="AL175" s="3" t="str">
        <f>IFERROR(__xludf.DUMMYFUNCTION("""COMPUTED_VALUE"""),"Torrential Downpour")</f>
        <v>Torrential Downpour</v>
      </c>
      <c r="AM175" s="3" t="str">
        <f>IFERROR(__xludf.DUMMYFUNCTION("""COMPUTED_VALUE"""),"Celestial Wave")</f>
        <v>Celestial Wave</v>
      </c>
      <c r="AN175" s="3" t="str">
        <f>IFERROR(__xludf.DUMMYFUNCTION("""COMPUTED_VALUE"""),"Multishot")</f>
        <v>Multishot</v>
      </c>
      <c r="AO175" s="3" t="str">
        <f>IFERROR(__xludf.DUMMYFUNCTION("""COMPUTED_VALUE"""),"Berserk")</f>
        <v>Berserk</v>
      </c>
      <c r="AP175" s="3" t="str">
        <f>IFERROR(__xludf.DUMMYFUNCTION("""COMPUTED_VALUE"""),"Reckless Chomp ")</f>
        <v>Reckless Chomp </v>
      </c>
      <c r="AQ175" s="3"/>
      <c r="AR175" s="3"/>
      <c r="AS175" s="3"/>
      <c r="AT175" s="3"/>
      <c r="AU175" s="3"/>
      <c r="AV175" s="3"/>
      <c r="AW175" s="3"/>
      <c r="AX175" s="3"/>
      <c r="AY175" s="3"/>
      <c r="AZ175" s="3"/>
      <c r="BA175" s="3"/>
      <c r="BB175" s="3"/>
      <c r="BC175" s="1"/>
      <c r="BD175" s="3">
        <f>IFERROR(__xludf.DUMMYFUNCTION("""COMPUTED_VALUE"""),0.0)</f>
        <v>0</v>
      </c>
      <c r="BE175" s="4">
        <f>IFERROR(__xludf.DUMMYFUNCTION("""COMPUTED_VALUE"""),10.0)</f>
        <v>10</v>
      </c>
      <c r="BF175" s="3" t="str">
        <f>IFERROR(__xludf.DUMMYFUNCTION("""COMPUTED_VALUE"""),"25% chance to be unaffected by any spells affecting this mob")</f>
        <v>25% chance to be unaffected by any spells affecting this mob</v>
      </c>
      <c r="BG175" s="3" t="str">
        <f>IFERROR(__xludf.DUMMYFUNCTION("""COMPUTED_VALUE"""),"Ocean")</f>
        <v>Ocean</v>
      </c>
      <c r="BH175" s="3" t="str">
        <f>IFERROR(__xludf.DUMMYFUNCTION("""COMPUTED_VALUE"""),"Land Of Spira")</f>
        <v>Land Of Spira</v>
      </c>
      <c r="BI175" s="3"/>
      <c r="BJ175" s="3"/>
      <c r="BK175" s="3"/>
      <c r="BL175" s="3" t="b">
        <f>IFERROR(__xludf.DUMMYFUNCTION("""COMPUTED_VALUE"""),FALSE)</f>
        <v>0</v>
      </c>
      <c r="BM175" s="3"/>
      <c r="BN175" s="3"/>
      <c r="BO175" s="3"/>
      <c r="BP175" s="3"/>
      <c r="BQ175" s="3"/>
      <c r="BR175" s="3"/>
      <c r="BS175" s="3"/>
      <c r="BT175" s="3"/>
      <c r="BU175" s="3"/>
      <c r="BV175" s="3"/>
      <c r="BW175" s="3"/>
    </row>
    <row r="176" ht="15.75" customHeight="1">
      <c r="A176" s="3" t="str">
        <f>IFERROR(__xludf.DUMMYFUNCTION("""COMPUTED_VALUE"""),"Megalodon (WD) (Enhanced)")</f>
        <v>Megalodon (WD) (Enhanced)</v>
      </c>
      <c r="B176" s="3">
        <f>IFERROR(__xludf.DUMMYFUNCTION("""COMPUTED_VALUE"""),1.0)</f>
        <v>1</v>
      </c>
      <c r="C176" s="3"/>
      <c r="D176" s="12" t="str">
        <f>IFERROR(__xludf.DUMMYFUNCTION("""COMPUTED_VALUE"""),"Beast")</f>
        <v>Beast</v>
      </c>
      <c r="E176" s="12">
        <f>IFERROR(__xludf.DUMMYFUNCTION("""COMPUTED_VALUE"""),1010.0)</f>
        <v>1010</v>
      </c>
      <c r="F176" s="12">
        <f>IFERROR(__xludf.DUMMYFUNCTION("""COMPUTED_VALUE"""),1010.0)</f>
        <v>1010</v>
      </c>
      <c r="G176" s="12">
        <f>IFERROR(__xludf.DUMMYFUNCTION("""COMPUTED_VALUE"""),1010.0)</f>
        <v>1010</v>
      </c>
      <c r="H176" s="3">
        <f>IFERROR(__xludf.DUMMYFUNCTION("""COMPUTED_VALUE"""),10.0)</f>
        <v>10</v>
      </c>
      <c r="I176" s="3">
        <f>IFERROR(__xludf.DUMMYFUNCTION("""COMPUTED_VALUE"""),0.0)</f>
        <v>0</v>
      </c>
      <c r="J176" s="3">
        <f>IFERROR(__xludf.DUMMYFUNCTION("""COMPUTED_VALUE"""),0.0)</f>
        <v>0</v>
      </c>
      <c r="K176" s="3">
        <f>IFERROR(__xludf.DUMMYFUNCTION("""COMPUTED_VALUE"""),100.0)</f>
        <v>100</v>
      </c>
      <c r="L176" s="3">
        <f>IFERROR(__xludf.DUMMYFUNCTION("""COMPUTED_VALUE"""),100.0)</f>
        <v>100</v>
      </c>
      <c r="M176" s="3" t="str">
        <f>IFERROR(__xludf.DUMMYFUNCTION("""COMPUTED_VALUE"""),"Fire:Immune, Water:Immune, Instant Death:Immune, ")</f>
        <v>Fire:Immune, Water:Immune, Instant Death:Immune, </v>
      </c>
      <c r="N176" s="3" t="str">
        <f>IFERROR(__xludf.DUMMYFUNCTION("""COMPUTED_VALUE"""),"Nature:100, ")</f>
        <v>Nature:100, </v>
      </c>
      <c r="O176" s="3"/>
      <c r="P176" s="3"/>
      <c r="Q176" s="3"/>
      <c r="R176" s="3"/>
      <c r="S176" s="3"/>
      <c r="T176" s="3"/>
      <c r="U176" s="3"/>
      <c r="V176" s="3"/>
      <c r="W176" s="3"/>
      <c r="X176" s="3"/>
      <c r="Y176" s="3"/>
      <c r="Z176" s="3"/>
      <c r="AA176" s="3"/>
      <c r="AB176" s="3"/>
      <c r="AC176" s="3"/>
      <c r="AD176" s="3"/>
      <c r="AE176" s="3"/>
      <c r="AF176" s="3"/>
      <c r="AG176" s="3"/>
      <c r="AH176" s="3"/>
      <c r="AI176" s="3"/>
      <c r="AJ176" s="3" t="str">
        <f>IFERROR(__xludf.DUMMYFUNCTION("""COMPUTED_VALUE"""),"Torrential Downpour")</f>
        <v>Torrential Downpour</v>
      </c>
      <c r="AK176" s="3" t="str">
        <f>IFERROR(__xludf.DUMMYFUNCTION("""COMPUTED_VALUE"""),"Crashing Waves")</f>
        <v>Crashing Waves</v>
      </c>
      <c r="AL176" s="3" t="str">
        <f>IFERROR(__xludf.DUMMYFUNCTION("""COMPUTED_VALUE"""),"Celestial Wave")</f>
        <v>Celestial Wave</v>
      </c>
      <c r="AM176" s="3" t="str">
        <f>IFERROR(__xludf.DUMMYFUNCTION("""COMPUTED_VALUE"""),"Call of The Sharks")</f>
        <v>Call of The Sharks</v>
      </c>
      <c r="AN176" s="3" t="str">
        <f>IFERROR(__xludf.DUMMYFUNCTION("""COMPUTED_VALUE"""),"Multishot")</f>
        <v>Multishot</v>
      </c>
      <c r="AO176" s="3" t="str">
        <f>IFERROR(__xludf.DUMMYFUNCTION("""COMPUTED_VALUE"""),"Berserk")</f>
        <v>Berserk</v>
      </c>
      <c r="AP176" s="3" t="str">
        <f>IFERROR(__xludf.DUMMYFUNCTION("""COMPUTED_VALUE"""),"Bite")</f>
        <v>Bite</v>
      </c>
      <c r="AQ176" s="3" t="str">
        <f>IFERROR(__xludf.DUMMYFUNCTION("""COMPUTED_VALUE"""),"Aggressive Chomp")</f>
        <v>Aggressive Chomp</v>
      </c>
      <c r="AR176" s="3" t="str">
        <f>IFERROR(__xludf.DUMMYFUNCTION("""COMPUTED_VALUE"""),"Aggresive Tear")</f>
        <v>Aggresive Tear</v>
      </c>
      <c r="AS176" s="3"/>
      <c r="AT176" s="3"/>
      <c r="AU176" s="3"/>
      <c r="AV176" s="3"/>
      <c r="AW176" s="3"/>
      <c r="AX176" s="3"/>
      <c r="AY176" s="3"/>
      <c r="AZ176" s="3"/>
      <c r="BA176" s="3"/>
      <c r="BB176" s="3"/>
      <c r="BC176" s="1"/>
      <c r="BD176" s="3">
        <f>IFERROR(__xludf.DUMMYFUNCTION("""COMPUTED_VALUE"""),0.0)</f>
        <v>0</v>
      </c>
      <c r="BE176" s="4">
        <f>IFERROR(__xludf.DUMMYFUNCTION("""COMPUTED_VALUE"""),10.0)</f>
        <v>10</v>
      </c>
      <c r="BF176" s="3" t="str">
        <f>IFERROR(__xludf.DUMMYFUNCTION("""COMPUTED_VALUE"""),"50% chance to be unaffected by any spells affecting this mob")</f>
        <v>50% chance to be unaffected by any spells affecting this mob</v>
      </c>
      <c r="BG176" s="3" t="str">
        <f>IFERROR(__xludf.DUMMYFUNCTION("""COMPUTED_VALUE"""),"Ocean")</f>
        <v>Ocean</v>
      </c>
      <c r="BH176" s="3" t="str">
        <f>IFERROR(__xludf.DUMMYFUNCTION("""COMPUTED_VALUE"""),"Land Of Spira")</f>
        <v>Land Of Spira</v>
      </c>
      <c r="BI176" s="3"/>
      <c r="BJ176" s="3"/>
      <c r="BK176" s="3"/>
      <c r="BL176" s="3" t="b">
        <f>IFERROR(__xludf.DUMMYFUNCTION("""COMPUTED_VALUE"""),FALSE)</f>
        <v>0</v>
      </c>
      <c r="BM176" s="3"/>
      <c r="BN176" s="3"/>
      <c r="BO176" s="3"/>
      <c r="BP176" s="3"/>
      <c r="BQ176" s="3"/>
      <c r="BR176" s="3"/>
      <c r="BS176" s="3"/>
      <c r="BT176" s="3"/>
      <c r="BU176" s="3"/>
      <c r="BV176" s="3"/>
      <c r="BW176" s="3"/>
    </row>
    <row r="177" ht="15.75" customHeight="1">
      <c r="A177" s="3" t="str">
        <f>IFERROR(__xludf.DUMMYFUNCTION("""COMPUTED_VALUE"""),"Merk the undying sand Goblin")</f>
        <v>Merk the undying sand Goblin</v>
      </c>
      <c r="B177" s="3">
        <f>IFERROR(__xludf.DUMMYFUNCTION("""COMPUTED_VALUE"""),1.0)</f>
        <v>1</v>
      </c>
      <c r="C177" s="3"/>
      <c r="D177" s="12" t="str">
        <f>IFERROR(__xludf.DUMMYFUNCTION("""COMPUTED_VALUE"""),"Humanoid")</f>
        <v>Humanoid</v>
      </c>
      <c r="E177" s="12">
        <f>IFERROR(__xludf.DUMMYFUNCTION("""COMPUTED_VALUE"""),1010.0)</f>
        <v>1010</v>
      </c>
      <c r="F177" s="12">
        <f>IFERROR(__xludf.DUMMYFUNCTION("""COMPUTED_VALUE"""),1010.0)</f>
        <v>1010</v>
      </c>
      <c r="G177" s="12">
        <f>IFERROR(__xludf.DUMMYFUNCTION("""COMPUTED_VALUE"""),1010.0)</f>
        <v>1010</v>
      </c>
      <c r="H177" s="3">
        <f>IFERROR(__xludf.DUMMYFUNCTION("""COMPUTED_VALUE"""),10.0)</f>
        <v>10</v>
      </c>
      <c r="I177" s="3">
        <f>IFERROR(__xludf.DUMMYFUNCTION("""COMPUTED_VALUE"""),0.0)</f>
        <v>0</v>
      </c>
      <c r="J177" s="3">
        <f>IFERROR(__xludf.DUMMYFUNCTION("""COMPUTED_VALUE"""),0.0)</f>
        <v>0</v>
      </c>
      <c r="K177" s="3">
        <f>IFERROR(__xludf.DUMMYFUNCTION("""COMPUTED_VALUE"""),100.0)</f>
        <v>100</v>
      </c>
      <c r="L177" s="3">
        <f>IFERROR(__xludf.DUMMYFUNCTION("""COMPUTED_VALUE"""),100.0)</f>
        <v>100</v>
      </c>
      <c r="M177" s="3" t="str">
        <f>IFERROR(__xludf.DUMMYFUNCTION("""COMPUTED_VALUE"""),"Fire:100, ")</f>
        <v>Fire:100, </v>
      </c>
      <c r="N177" s="3" t="str">
        <f>IFERROR(__xludf.DUMMYFUNCTION("""COMPUTED_VALUE"""),"Water:100, Storm:100, ")</f>
        <v>Water:100, Storm:100, </v>
      </c>
      <c r="O177" s="3"/>
      <c r="P177" s="3"/>
      <c r="Q177" s="3"/>
      <c r="R177" s="3"/>
      <c r="S177" s="3"/>
      <c r="T177" s="3"/>
      <c r="U177" s="3"/>
      <c r="V177" s="3"/>
      <c r="W177" s="3"/>
      <c r="X177" s="3"/>
      <c r="Y177" s="3"/>
      <c r="Z177" s="3"/>
      <c r="AA177" s="3"/>
      <c r="AB177" s="3"/>
      <c r="AC177" s="3"/>
      <c r="AD177" s="3"/>
      <c r="AE177" s="3"/>
      <c r="AF177" s="3"/>
      <c r="AG177" s="3"/>
      <c r="AH177" s="3"/>
      <c r="AI177" s="3"/>
      <c r="AJ177" s="3" t="str">
        <f>IFERROR(__xludf.DUMMYFUNCTION("""COMPUTED_VALUE"""),"Boulder Toss")</f>
        <v>Boulder Toss</v>
      </c>
      <c r="AK177" s="3" t="str">
        <f>IFERROR(__xludf.DUMMYFUNCTION("""COMPUTED_VALUE"""),"Last Gamble")</f>
        <v>Last Gamble</v>
      </c>
      <c r="AL177" s="3" t="str">
        <f>IFERROR(__xludf.DUMMYFUNCTION("""COMPUTED_VALUE"""),"Rock Cycle")</f>
        <v>Rock Cycle</v>
      </c>
      <c r="AM177" s="3" t="str">
        <f>IFERROR(__xludf.DUMMYFUNCTION("""COMPUTED_VALUE"""),"Sandstorm")</f>
        <v>Sandstorm</v>
      </c>
      <c r="AN177" s="3"/>
      <c r="AO177" s="3"/>
      <c r="AP177" s="3"/>
      <c r="AQ177" s="3"/>
      <c r="AR177" s="3"/>
      <c r="AS177" s="3"/>
      <c r="AT177" s="3"/>
      <c r="AU177" s="3"/>
      <c r="AV177" s="3"/>
      <c r="AW177" s="3"/>
      <c r="AX177" s="3"/>
      <c r="AY177" s="3"/>
      <c r="AZ177" s="3"/>
      <c r="BA177" s="3"/>
      <c r="BB177" s="3"/>
      <c r="BC177" s="1"/>
      <c r="BD177" s="3">
        <f>IFERROR(__xludf.DUMMYFUNCTION("""COMPUTED_VALUE"""),0.0)</f>
        <v>0</v>
      </c>
      <c r="BE177" s="4">
        <f>IFERROR(__xludf.DUMMYFUNCTION("""COMPUTED_VALUE"""),10.0)</f>
        <v>10</v>
      </c>
      <c r="BF177" s="3"/>
      <c r="BG177" s="3" t="str">
        <f>IFERROR(__xludf.DUMMYFUNCTION("""COMPUTED_VALUE"""),"Desert")</f>
        <v>Desert</v>
      </c>
      <c r="BH177" s="3" t="str">
        <f>IFERROR(__xludf.DUMMYFUNCTION("""COMPUTED_VALUE"""),"Land of Spira")</f>
        <v>Land of Spira</v>
      </c>
      <c r="BI177" s="3"/>
      <c r="BJ177" s="3"/>
      <c r="BK177" s="3"/>
      <c r="BL177" s="3" t="b">
        <f>IFERROR(__xludf.DUMMYFUNCTION("""COMPUTED_VALUE"""),FALSE)</f>
        <v>0</v>
      </c>
      <c r="BM177" s="3"/>
      <c r="BN177" s="3"/>
      <c r="BO177" s="3"/>
      <c r="BP177" s="3"/>
      <c r="BQ177" s="3"/>
      <c r="BR177" s="3"/>
      <c r="BS177" s="3"/>
      <c r="BT177" s="3"/>
      <c r="BU177" s="3"/>
      <c r="BV177" s="3"/>
      <c r="BW177" s="3"/>
    </row>
    <row r="178" ht="15.75" customHeight="1">
      <c r="A178" s="3" t="str">
        <f>IFERROR(__xludf.DUMMYFUNCTION("""COMPUTED_VALUE"""),"Mod ""The Evil Seahag From Hagstown""")</f>
        <v>Mod "The Evil Seahag From Hagstown"</v>
      </c>
      <c r="B178" s="3">
        <f>IFERROR(__xludf.DUMMYFUNCTION("""COMPUTED_VALUE"""),1.0)</f>
        <v>1</v>
      </c>
      <c r="C178" s="3" t="str">
        <f>IFERROR(__xludf.DUMMYFUNCTION("""COMPUTED_VALUE"""),"There once was a witch named Mod born in Hagstown. She had a great great great grandfather named Hagger MCseahag who founded the town. One day her granfather decided to put a curse on the town of Hagstown that ended up backfiring and cursing his family fo"&amp;"r several generations only affecting the first child of each generation. One of those children ended up being Mod. Mod was always made fun of growing up, her peers would always pick on her for how she looked all the time. One day Mod went to go see her ol"&amp;"der sister Madam Hagbottom to have her make a potion of ugliness to pour into the hagstown water supply to punish all the people that called her the ugliest of seahags to ever live.")</f>
        <v>There once was a witch named Mod born in Hagstown. She had a great great great grandfather named Hagger MCseahag who founded the town. One day her granfather decided to put a curse on the town of Hagstown that ended up backfiring and cursing his family for several generations only affecting the first child of each generation. One of those children ended up being Mod. Mod was always made fun of growing up, her peers would always pick on her for how she looked all the time. One day Mod went to go see her older sister Madam Hagbottom to have her make a potion of ugliness to pour into the hagstown water supply to punish all the people that called her the ugliest of seahags to ever live.</v>
      </c>
      <c r="D178" s="3" t="str">
        <f>IFERROR(__xludf.DUMMYFUNCTION("""COMPUTED_VALUE"""),"Fae")</f>
        <v>Fae</v>
      </c>
      <c r="E178" s="3">
        <f>IFERROR(__xludf.DUMMYFUNCTION("""COMPUTED_VALUE"""),1010.0)</f>
        <v>1010</v>
      </c>
      <c r="F178" s="12">
        <f>IFERROR(__xludf.DUMMYFUNCTION("""COMPUTED_VALUE"""),1010.0)</f>
        <v>1010</v>
      </c>
      <c r="G178" s="3">
        <f>IFERROR(__xludf.DUMMYFUNCTION("""COMPUTED_VALUE"""),1010.0)</f>
        <v>1010</v>
      </c>
      <c r="H178" s="3">
        <f>IFERROR(__xludf.DUMMYFUNCTION("""COMPUTED_VALUE"""),20.0)</f>
        <v>20</v>
      </c>
      <c r="I178" s="3">
        <f>IFERROR(__xludf.DUMMYFUNCTION("""COMPUTED_VALUE"""),0.0)</f>
        <v>0</v>
      </c>
      <c r="J178" s="3">
        <f>IFERROR(__xludf.DUMMYFUNCTION("""COMPUTED_VALUE"""),0.0)</f>
        <v>0</v>
      </c>
      <c r="K178" s="3">
        <f>IFERROR(__xludf.DUMMYFUNCTION("""COMPUTED_VALUE"""),100.0)</f>
        <v>100</v>
      </c>
      <c r="L178" s="3">
        <f>IFERROR(__xludf.DUMMYFUNCTION("""COMPUTED_VALUE"""),100.0)</f>
        <v>100</v>
      </c>
      <c r="M178" s="3" t="str">
        <f>IFERROR(__xludf.DUMMYFUNCTION("""COMPUTED_VALUE"""),"Dark:Immune, Chaos:Immune, Stasis:Immune, Twilight:Immune, Voodoo:Immune, Blood:Immune, Instant Death:Immune, Banishment:Immune, ")</f>
        <v>Dark:Immune, Chaos:Immune, Stasis:Immune, Twilight:Immune, Voodoo:Immune, Blood:Immune, Instant Death:Immune, Banishment:Immune, </v>
      </c>
      <c r="N178" s="3" t="str">
        <f>IFERROR(__xludf.DUMMYFUNCTION("""COMPUTED_VALUE"""),"Fire:100, Light:100, Order:100, Zen:100, Celestial:100, ")</f>
        <v>Fire:100, Light:100, Order:100, Zen:100, Celestial:100, </v>
      </c>
      <c r="O178" s="3"/>
      <c r="P178" s="3" t="str">
        <f>IFERROR(__xludf.DUMMYFUNCTION("""COMPUTED_VALUE"""),"Chaotic Amulet")</f>
        <v>Chaotic Amulet</v>
      </c>
      <c r="Q178" s="3"/>
      <c r="R178" s="3"/>
      <c r="S178" s="3"/>
      <c r="T178" s="3"/>
      <c r="U178" s="3"/>
      <c r="V178" s="3"/>
      <c r="W178" s="3" t="str">
        <f>IFERROR(__xludf.DUMMYFUNCTION("""COMPUTED_VALUE"""),"Chaotic Shadow Life Orb")</f>
        <v>Chaotic Shadow Life Orb</v>
      </c>
      <c r="X178" s="3"/>
      <c r="Y178" s="3"/>
      <c r="Z178" s="3"/>
      <c r="AA178" s="3"/>
      <c r="AB178" s="3"/>
      <c r="AC178" s="3"/>
      <c r="AD178" s="3"/>
      <c r="AE178" s="3"/>
      <c r="AF178" s="3"/>
      <c r="AG178" s="3"/>
      <c r="AH178" s="3"/>
      <c r="AI178" s="3"/>
      <c r="AJ178" s="3" t="str">
        <f>IFERROR(__xludf.DUMMYFUNCTION("""COMPUTED_VALUE"""),"Chaincast")</f>
        <v>Chaincast</v>
      </c>
      <c r="AK178" s="3" t="str">
        <f>IFERROR(__xludf.DUMMYFUNCTION("""COMPUTED_VALUE"""),"Voodoo Meteor Shower")</f>
        <v>Voodoo Meteor Shower</v>
      </c>
      <c r="AL178" s="3" t="str">
        <f>IFERROR(__xludf.DUMMYFUNCTION("""COMPUTED_VALUE"""),"End the voodoo contract")</f>
        <v>End the voodoo contract</v>
      </c>
      <c r="AM178" s="3" t="str">
        <f>IFERROR(__xludf.DUMMYFUNCTION("""COMPUTED_VALUE"""),"Stand in")</f>
        <v>Stand in</v>
      </c>
      <c r="AN178" s="3" t="str">
        <f>IFERROR(__xludf.DUMMYFUNCTION("""COMPUTED_VALUE"""),"Hex With Bad Luck")</f>
        <v>Hex With Bad Luck</v>
      </c>
      <c r="AO178" s="3" t="str">
        <f>IFERROR(__xludf.DUMMYFUNCTION("""COMPUTED_VALUE"""),"Dimensional Quake")</f>
        <v>Dimensional Quake</v>
      </c>
      <c r="AP178" s="3" t="str">
        <f>IFERROR(__xludf.DUMMYFUNCTION("""COMPUTED_VALUE"""),"Dimension Portal")</f>
        <v>Dimension Portal</v>
      </c>
      <c r="AQ178" s="3" t="str">
        <f>IFERROR(__xludf.DUMMYFUNCTION("""COMPUTED_VALUE"""),"Darkest Abyss")</f>
        <v>Darkest Abyss</v>
      </c>
      <c r="AR178" s="3" t="str">
        <f>IFERROR(__xludf.DUMMYFUNCTION("""COMPUTED_VALUE"""),"Conceal")</f>
        <v>Conceal</v>
      </c>
      <c r="AS178" s="3" t="str">
        <f>IFERROR(__xludf.DUMMYFUNCTION("""COMPUTED_VALUE"""),"Stasis Madness")</f>
        <v>Stasis Madness</v>
      </c>
      <c r="AT178" s="3" t="str">
        <f>IFERROR(__xludf.DUMMYFUNCTION("""COMPUTED_VALUE"""),"Stasis Tsunami")</f>
        <v>Stasis Tsunami</v>
      </c>
      <c r="AU178" s="3" t="str">
        <f>IFERROR(__xludf.DUMMYFUNCTION("""COMPUTED_VALUE"""),"Twilight Masquerade")</f>
        <v>Twilight Masquerade</v>
      </c>
      <c r="AV178" s="3" t="str">
        <f>IFERROR(__xludf.DUMMYFUNCTION("""COMPUTED_VALUE"""),"The Setting Sun")</f>
        <v>The Setting Sun</v>
      </c>
      <c r="AW178" s="3" t="str">
        <f>IFERROR(__xludf.DUMMYFUNCTION("""COMPUTED_VALUE"""),"Damage With A Cost.")</f>
        <v>Damage With A Cost.</v>
      </c>
      <c r="AX178" s="3" t="str">
        <f>IFERROR(__xludf.DUMMYFUNCTION("""COMPUTED_VALUE"""),"Swallow")</f>
        <v>Swallow</v>
      </c>
      <c r="AY178" s="3" t="str">
        <f>IFERROR(__xludf.DUMMYFUNCTION("""COMPUTED_VALUE"""),"Mass Destruction")</f>
        <v>Mass Destruction</v>
      </c>
      <c r="AZ178" s="3" t="str">
        <f>IFERROR(__xludf.DUMMYFUNCTION("""COMPUTED_VALUE"""),"Celestial Wrath")</f>
        <v>Celestial Wrath</v>
      </c>
      <c r="BA178" s="3"/>
      <c r="BB178" s="3"/>
      <c r="BC178" s="1"/>
      <c r="BD178" s="3">
        <f>IFERROR(__xludf.DUMMYFUNCTION("""COMPUTED_VALUE"""),0.0)</f>
        <v>0</v>
      </c>
      <c r="BE178" s="4">
        <f>IFERROR(__xludf.DUMMYFUNCTION("""COMPUTED_VALUE"""),10.0)</f>
        <v>10</v>
      </c>
      <c r="BF178"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25% chance to inflict the target that killed this mob with a random non-permanent disease.
Items cannot be taken"&amp;" from this mob.")</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25% chance to inflict the target that killed this mob with a random non-permanent disease.
Items cannot be taken from this mob.</v>
      </c>
      <c r="BG178" s="3" t="str">
        <f>IFERROR(__xludf.DUMMYFUNCTION("""COMPUTED_VALUE"""),"Dungeon")</f>
        <v>Dungeon</v>
      </c>
      <c r="BH178" s="3" t="str">
        <f>IFERROR(__xludf.DUMMYFUNCTION("""COMPUTED_VALUE"""),"Halloween Kingdom")</f>
        <v>Halloween Kingdom</v>
      </c>
      <c r="BI178" s="3"/>
      <c r="BJ178" s="3"/>
      <c r="BK178" s="3"/>
      <c r="BL178" s="3" t="b">
        <f>IFERROR(__xludf.DUMMYFUNCTION("""COMPUTED_VALUE"""),FALSE)</f>
        <v>0</v>
      </c>
      <c r="BM178" s="3"/>
      <c r="BN178" s="3"/>
      <c r="BO178" s="3"/>
      <c r="BP178" s="3"/>
      <c r="BQ178" s="3"/>
      <c r="BR178" s="3"/>
      <c r="BS178" s="3"/>
      <c r="BT178" s="3"/>
      <c r="BU178" s="3"/>
      <c r="BV178" s="3"/>
      <c r="BW178" s="3"/>
    </row>
    <row r="179" ht="15.75" customHeight="1">
      <c r="A179" s="3" t="str">
        <f>IFERROR(__xludf.DUMMYFUNCTION("""COMPUTED_VALUE"""),"Moonlight Unicorn")</f>
        <v>Moonlight Unicorn</v>
      </c>
      <c r="B179" s="3">
        <f>IFERROR(__xludf.DUMMYFUNCTION("""COMPUTED_VALUE"""),1.0)</f>
        <v>1</v>
      </c>
      <c r="C179" s="3"/>
      <c r="D179" s="12" t="str">
        <f>IFERROR(__xludf.DUMMYFUNCTION("""COMPUTED_VALUE"""),"Fae")</f>
        <v>Fae</v>
      </c>
      <c r="E179" s="12">
        <f>IFERROR(__xludf.DUMMYFUNCTION("""COMPUTED_VALUE"""),1010.0)</f>
        <v>1010</v>
      </c>
      <c r="F179" s="12">
        <f>IFERROR(__xludf.DUMMYFUNCTION("""COMPUTED_VALUE"""),100010.0)</f>
        <v>100010</v>
      </c>
      <c r="G179" s="12">
        <f>IFERROR(__xludf.DUMMYFUNCTION("""COMPUTED_VALUE"""),1010.0)</f>
        <v>1010</v>
      </c>
      <c r="H179" s="3">
        <f>IFERROR(__xludf.DUMMYFUNCTION("""COMPUTED_VALUE"""),10.0)</f>
        <v>10</v>
      </c>
      <c r="I179" s="3">
        <f>IFERROR(__xludf.DUMMYFUNCTION("""COMPUTED_VALUE"""),0.0)</f>
        <v>0</v>
      </c>
      <c r="J179" s="3">
        <f>IFERROR(__xludf.DUMMYFUNCTION("""COMPUTED_VALUE"""),0.0)</f>
        <v>0</v>
      </c>
      <c r="K179" s="3">
        <f>IFERROR(__xludf.DUMMYFUNCTION("""COMPUTED_VALUE"""),100.0)</f>
        <v>100</v>
      </c>
      <c r="L179" s="3">
        <f>IFERROR(__xludf.DUMMYFUNCTION("""COMPUTED_VALUE"""),100.0)</f>
        <v>100</v>
      </c>
      <c r="M179" s="3" t="str">
        <f>IFERROR(__xludf.DUMMYFUNCTION("""COMPUTED_VALUE"""),"Dark:Immune, Chaos:Immune, Astral:Immune, ")</f>
        <v>Dark:Immune, Chaos:Immune, Astral:Immune, </v>
      </c>
      <c r="N179" s="3" t="str">
        <f>IFERROR(__xludf.DUMMYFUNCTION("""COMPUTED_VALUE"""),"Celestial:100, ")</f>
        <v>Celestial:100, </v>
      </c>
      <c r="O179" s="3"/>
      <c r="P179" s="3"/>
      <c r="Q179" s="3"/>
      <c r="R179" s="3"/>
      <c r="S179" s="3"/>
      <c r="T179" s="3"/>
      <c r="U179" s="3"/>
      <c r="V179" s="3"/>
      <c r="W179" s="3"/>
      <c r="X179" s="3"/>
      <c r="Y179" s="3"/>
      <c r="Z179" s="3"/>
      <c r="AA179" s="3"/>
      <c r="AB179" s="3"/>
      <c r="AC179" s="3"/>
      <c r="AD179" s="3"/>
      <c r="AE179" s="3"/>
      <c r="AF179" s="3"/>
      <c r="AG179" s="3"/>
      <c r="AH179" s="3"/>
      <c r="AI179" s="3"/>
      <c r="AJ179" s="3" t="str">
        <f>IFERROR(__xludf.DUMMYFUNCTION("""COMPUTED_VALUE"""),"Comet Shower")</f>
        <v>Comet Shower</v>
      </c>
      <c r="AK179" s="3" t="str">
        <f>IFERROR(__xludf.DUMMYFUNCTION("""COMPUTED_VALUE"""),"Black Hole")</f>
        <v>Black Hole</v>
      </c>
      <c r="AL179" s="3" t="str">
        <f>IFERROR(__xludf.DUMMYFUNCTION("""COMPUTED_VALUE"""),"Planetary Meteor Storm")</f>
        <v>Planetary Meteor Storm</v>
      </c>
      <c r="AM179" s="3" t="str">
        <f>IFERROR(__xludf.DUMMYFUNCTION("""COMPUTED_VALUE"""),"Gore")</f>
        <v>Gore</v>
      </c>
      <c r="AN179" s="3"/>
      <c r="AO179" s="3"/>
      <c r="AP179" s="3"/>
      <c r="AQ179" s="3"/>
      <c r="AR179" s="3"/>
      <c r="AS179" s="3"/>
      <c r="AT179" s="3"/>
      <c r="AU179" s="3"/>
      <c r="AV179" s="3"/>
      <c r="AW179" s="3"/>
      <c r="AX179" s="3"/>
      <c r="AY179" s="3"/>
      <c r="AZ179" s="3"/>
      <c r="BA179" s="3"/>
      <c r="BB179" s="3"/>
      <c r="BC179" s="1"/>
      <c r="BD179" s="3">
        <f>IFERROR(__xludf.DUMMYFUNCTION("""COMPUTED_VALUE"""),0.0)</f>
        <v>0</v>
      </c>
      <c r="BE179" s="4">
        <f>IFERROR(__xludf.DUMMYFUNCTION("""COMPUTED_VALUE"""),10.0)</f>
        <v>10</v>
      </c>
      <c r="BF179" s="3"/>
      <c r="BG179" s="3" t="str">
        <f>IFERROR(__xludf.DUMMYFUNCTION("""COMPUTED_VALUE"""),"All")</f>
        <v>All</v>
      </c>
      <c r="BH179" s="3" t="str">
        <f>IFERROR(__xludf.DUMMYFUNCTION("""COMPUTED_VALUE"""),"Land Of Spira")</f>
        <v>Land Of Spira</v>
      </c>
      <c r="BI179" s="3"/>
      <c r="BJ179" s="3"/>
      <c r="BK179" s="3"/>
      <c r="BL179" s="3" t="b">
        <f>IFERROR(__xludf.DUMMYFUNCTION("""COMPUTED_VALUE"""),FALSE)</f>
        <v>0</v>
      </c>
      <c r="BM179" s="3"/>
      <c r="BN179" s="3"/>
      <c r="BO179" s="3"/>
      <c r="BP179" s="3"/>
      <c r="BQ179" s="3"/>
      <c r="BR179" s="3"/>
      <c r="BS179" s="3"/>
      <c r="BT179" s="3"/>
      <c r="BU179" s="3"/>
      <c r="BV179" s="3"/>
      <c r="BW179" s="3"/>
    </row>
    <row r="180" ht="15.75" customHeight="1">
      <c r="A180" s="3" t="str">
        <f>IFERROR(__xludf.DUMMYFUNCTION("""COMPUTED_VALUE"""),"Moonstone Dragon")</f>
        <v>Moonstone Dragon</v>
      </c>
      <c r="B180" s="3">
        <f>IFERROR(__xludf.DUMMYFUNCTION("""COMPUTED_VALUE"""),1.0)</f>
        <v>1</v>
      </c>
      <c r="C180" s="3"/>
      <c r="D180" s="3" t="str">
        <f>IFERROR(__xludf.DUMMYFUNCTION("""COMPUTED_VALUE"""),"Draconic")</f>
        <v>Draconic</v>
      </c>
      <c r="E180" s="3">
        <f>IFERROR(__xludf.DUMMYFUNCTION("""COMPUTED_VALUE"""),31010.0)</f>
        <v>31010</v>
      </c>
      <c r="F180" s="12">
        <f>IFERROR(__xludf.DUMMYFUNCTION("""COMPUTED_VALUE"""),31010.0)</f>
        <v>31010</v>
      </c>
      <c r="G180" s="3">
        <f>IFERROR(__xludf.DUMMYFUNCTION("""COMPUTED_VALUE"""),31010.0)</f>
        <v>31010</v>
      </c>
      <c r="H180" s="3">
        <f>IFERROR(__xludf.DUMMYFUNCTION("""COMPUTED_VALUE"""),20.0)</f>
        <v>20</v>
      </c>
      <c r="I180" s="3">
        <f>IFERROR(__xludf.DUMMYFUNCTION("""COMPUTED_VALUE"""),0.0)</f>
        <v>0</v>
      </c>
      <c r="J180" s="3">
        <f>IFERROR(__xludf.DUMMYFUNCTION("""COMPUTED_VALUE"""),0.0)</f>
        <v>0</v>
      </c>
      <c r="K180" s="3">
        <f>IFERROR(__xludf.DUMMYFUNCTION("""COMPUTED_VALUE"""),100.0)</f>
        <v>100</v>
      </c>
      <c r="L180" s="3">
        <f>IFERROR(__xludf.DUMMYFUNCTION("""COMPUTED_VALUE"""),100.0)</f>
        <v>100</v>
      </c>
      <c r="M180" s="3" t="str">
        <f>IFERROR(__xludf.DUMMYFUNCTION("""COMPUTED_VALUE"""),"Earth:100, Astral:Immune, Instant Death:Immune, Banishment:Immune, ")</f>
        <v>Earth:100, Astral:Immune, Instant Death:Immune, Banishment:Immune, </v>
      </c>
      <c r="N180" s="3" t="str">
        <f>IFERROR(__xludf.DUMMYFUNCTION("""COMPUTED_VALUE"""),"Water:100, Storm:100, Celestial:100, ")</f>
        <v>Water:100, Storm:100, Celestial:100, </v>
      </c>
      <c r="O180" s="3"/>
      <c r="P180" s="3"/>
      <c r="Q180" s="3"/>
      <c r="R180" s="3"/>
      <c r="S180" s="3"/>
      <c r="T180" s="3"/>
      <c r="U180" s="3"/>
      <c r="V180" s="3"/>
      <c r="W180" s="3"/>
      <c r="X180" s="3"/>
      <c r="Y180" s="3"/>
      <c r="Z180" s="3"/>
      <c r="AA180" s="3"/>
      <c r="AB180" s="3"/>
      <c r="AC180" s="3"/>
      <c r="AD180" s="3"/>
      <c r="AE180" s="3"/>
      <c r="AF180" s="3"/>
      <c r="AG180" s="3"/>
      <c r="AH180" s="3"/>
      <c r="AI180" s="3"/>
      <c r="AJ180" s="3" t="str">
        <f>IFERROR(__xludf.DUMMYFUNCTION("""COMPUTED_VALUE"""),"Lunar Ward")</f>
        <v>Lunar Ward</v>
      </c>
      <c r="AK180" s="3" t="str">
        <f>IFERROR(__xludf.DUMMYFUNCTION("""COMPUTED_VALUE"""),"Dark Curse")</f>
        <v>Dark Curse</v>
      </c>
      <c r="AL180" s="3" t="str">
        <f>IFERROR(__xludf.DUMMYFUNCTION("""COMPUTED_VALUE"""),"Dive Bomb")</f>
        <v>Dive Bomb</v>
      </c>
      <c r="AM180" s="3" t="str">
        <f>IFERROR(__xludf.DUMMYFUNCTION("""COMPUTED_VALUE"""),"Max Focus")</f>
        <v>Max Focus</v>
      </c>
      <c r="AN180" s="3" t="str">
        <f>IFERROR(__xludf.DUMMYFUNCTION("""COMPUTED_VALUE"""),"Dragon's Breath")</f>
        <v>Dragon's Breath</v>
      </c>
      <c r="AO180" s="3" t="str">
        <f>IFERROR(__xludf.DUMMYFUNCTION("""COMPUTED_VALUE"""),"Aggressive Chomp")</f>
        <v>Aggressive Chomp</v>
      </c>
      <c r="AP180" s="3" t="str">
        <f>IFERROR(__xludf.DUMMYFUNCTION("""COMPUTED_VALUE"""),"Lash of Twilight")</f>
        <v>Lash of Twilight</v>
      </c>
      <c r="AQ180" s="3" t="str">
        <f>IFERROR(__xludf.DUMMYFUNCTION("""COMPUTED_VALUE"""),"Danse Macabre")</f>
        <v>Danse Macabre</v>
      </c>
      <c r="AR180" s="3" t="str">
        <f>IFERROR(__xludf.DUMMYFUNCTION("""COMPUTED_VALUE"""),"Dark Boost")</f>
        <v>Dark Boost</v>
      </c>
      <c r="AS180" s="3" t="str">
        <f>IFERROR(__xludf.DUMMYFUNCTION("""COMPUTED_VALUE"""),"Shadow")</f>
        <v>Shadow</v>
      </c>
      <c r="AT180" s="3" t="str">
        <f>IFERROR(__xludf.DUMMYFUNCTION("""COMPUTED_VALUE"""),"Nightmare")</f>
        <v>Nightmare</v>
      </c>
      <c r="AU180" s="3" t="str">
        <f>IFERROR(__xludf.DUMMYFUNCTION("""COMPUTED_VALUE"""),"Dark Force")</f>
        <v>Dark Force</v>
      </c>
      <c r="AV180" s="3" t="str">
        <f>IFERROR(__xludf.DUMMYFUNCTION("""COMPUTED_VALUE"""),"Moon Slam")</f>
        <v>Moon Slam</v>
      </c>
      <c r="AW180" s="3" t="str">
        <f>IFERROR(__xludf.DUMMYFUNCTION("""COMPUTED_VALUE"""),"Moonlight")</f>
        <v>Moonlight</v>
      </c>
      <c r="AX180" s="3" t="str">
        <f>IFERROR(__xludf.DUMMYFUNCTION("""COMPUTED_VALUE"""),"Moonlight")</f>
        <v>Moonlight</v>
      </c>
      <c r="AY180" s="3" t="str">
        <f>IFERROR(__xludf.DUMMYFUNCTION("""COMPUTED_VALUE"""),"Moonlight Regen")</f>
        <v>Moonlight Regen</v>
      </c>
      <c r="AZ180" s="3"/>
      <c r="BA180" s="3"/>
      <c r="BB180" s="3"/>
      <c r="BC180" s="1"/>
      <c r="BD180" s="3">
        <f>IFERROR(__xludf.DUMMYFUNCTION("""COMPUTED_VALUE"""),0.0)</f>
        <v>0</v>
      </c>
      <c r="BE180" s="4">
        <f>IFERROR(__xludf.DUMMYFUNCTION("""COMPUTED_VALUE"""),10.0)</f>
        <v>10</v>
      </c>
      <c r="BF180"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180" s="3" t="str">
        <f>IFERROR(__xludf.DUMMYFUNCTION("""COMPUTED_VALUE"""),"All")</f>
        <v>All</v>
      </c>
      <c r="BH180" s="3" t="str">
        <f>IFERROR(__xludf.DUMMYFUNCTION("""COMPUTED_VALUE"""),"Dragonscale Island")</f>
        <v>Dragonscale Island</v>
      </c>
      <c r="BI180" s="3"/>
      <c r="BJ180" s="3"/>
      <c r="BK180" s="3"/>
      <c r="BL180" s="3" t="b">
        <f>IFERROR(__xludf.DUMMYFUNCTION("""COMPUTED_VALUE"""),FALSE)</f>
        <v>0</v>
      </c>
      <c r="BM180" s="3"/>
      <c r="BN180" s="3"/>
      <c r="BO180" s="3"/>
      <c r="BP180" s="3"/>
      <c r="BQ180" s="3"/>
      <c r="BR180" s="3"/>
      <c r="BS180" s="3"/>
      <c r="BT180" s="3"/>
      <c r="BU180" s="3"/>
      <c r="BV180" s="3"/>
      <c r="BW180" s="3"/>
    </row>
    <row r="181" ht="15.75" customHeight="1">
      <c r="A181" s="3" t="str">
        <f>IFERROR(__xludf.DUMMYFUNCTION("""COMPUTED_VALUE"""),"Mournful Mother")</f>
        <v>Mournful Mother</v>
      </c>
      <c r="B181" s="3">
        <f>IFERROR(__xludf.DUMMYFUNCTION("""COMPUTED_VALUE"""),1.0)</f>
        <v>1</v>
      </c>
      <c r="C181" s="3"/>
      <c r="D181" s="3" t="str">
        <f>IFERROR(__xludf.DUMMYFUNCTION("""COMPUTED_VALUE"""),"Undead")</f>
        <v>Undead</v>
      </c>
      <c r="E181" s="3">
        <f>IFERROR(__xludf.DUMMYFUNCTION("""COMPUTED_VALUE"""),1010.0)</f>
        <v>1010</v>
      </c>
      <c r="F181" s="12">
        <f>IFERROR(__xludf.DUMMYFUNCTION("""COMPUTED_VALUE"""),1010.0)</f>
        <v>1010</v>
      </c>
      <c r="G181" s="3">
        <f>IFERROR(__xludf.DUMMYFUNCTION("""COMPUTED_VALUE"""),1010.0)</f>
        <v>1010</v>
      </c>
      <c r="H181" s="3">
        <f>IFERROR(__xludf.DUMMYFUNCTION("""COMPUTED_VALUE"""),10.0)</f>
        <v>10</v>
      </c>
      <c r="I181" s="3">
        <f>IFERROR(__xludf.DUMMYFUNCTION("""COMPUTED_VALUE"""),0.0)</f>
        <v>0</v>
      </c>
      <c r="J181" s="3">
        <f>IFERROR(__xludf.DUMMYFUNCTION("""COMPUTED_VALUE"""),0.0)</f>
        <v>0</v>
      </c>
      <c r="K181" s="3">
        <f>IFERROR(__xludf.DUMMYFUNCTION("""COMPUTED_VALUE"""),100.0)</f>
        <v>100</v>
      </c>
      <c r="L181" s="3">
        <f>IFERROR(__xludf.DUMMYFUNCTION("""COMPUTED_VALUE"""),100.0)</f>
        <v>100</v>
      </c>
      <c r="M181" s="3" t="str">
        <f>IFERROR(__xludf.DUMMYFUNCTION("""COMPUTED_VALUE"""),"Dark:Immune, ")</f>
        <v>Dark:Immune, </v>
      </c>
      <c r="N181" s="3" t="str">
        <f>IFERROR(__xludf.DUMMYFUNCTION("""COMPUTED_VALUE"""),"Light:100, ")</f>
        <v>Light:100, </v>
      </c>
      <c r="O181" s="3"/>
      <c r="P181" s="3"/>
      <c r="Q181" s="3"/>
      <c r="R181" s="3"/>
      <c r="S181" s="3"/>
      <c r="T181" s="3" t="str">
        <f>IFERROR(__xludf.DUMMYFUNCTION("""COMPUTED_VALUE"""),"Poison Vine Sword")</f>
        <v>Poison Vine Sword</v>
      </c>
      <c r="U181" s="3"/>
      <c r="V181" s="3"/>
      <c r="W181" s="3"/>
      <c r="X181" s="3"/>
      <c r="Y181" s="3"/>
      <c r="Z181" s="3"/>
      <c r="AA181" s="3"/>
      <c r="AB181" s="3"/>
      <c r="AC181" s="3"/>
      <c r="AD181" s="3"/>
      <c r="AE181" s="3"/>
      <c r="AF181" s="3"/>
      <c r="AG181" s="3"/>
      <c r="AH181" s="3"/>
      <c r="AI181" s="3"/>
      <c r="AJ181" s="3" t="str">
        <f>IFERROR(__xludf.DUMMYFUNCTION("""COMPUTED_VALUE"""),"Conceal")</f>
        <v>Conceal</v>
      </c>
      <c r="AK181" s="3" t="str">
        <f>IFERROR(__xludf.DUMMYFUNCTION("""COMPUTED_VALUE"""),"Frostbite")</f>
        <v>Frostbite</v>
      </c>
      <c r="AL181" s="3"/>
      <c r="AM181" s="3"/>
      <c r="AN181" s="3"/>
      <c r="AO181" s="3"/>
      <c r="AP181" s="3"/>
      <c r="AQ181" s="3"/>
      <c r="AR181" s="3"/>
      <c r="AS181" s="3"/>
      <c r="AT181" s="3"/>
      <c r="AU181" s="3"/>
      <c r="AV181" s="3"/>
      <c r="AW181" s="3"/>
      <c r="AX181" s="3"/>
      <c r="AY181" s="3"/>
      <c r="AZ181" s="3"/>
      <c r="BA181" s="3"/>
      <c r="BB181" s="3"/>
      <c r="BC181" s="1"/>
      <c r="BD181" s="3">
        <f>IFERROR(__xludf.DUMMYFUNCTION("""COMPUTED_VALUE"""),0.0)</f>
        <v>0</v>
      </c>
      <c r="BE181" s="4">
        <f>IFERROR(__xludf.DUMMYFUNCTION("""COMPUTED_VALUE"""),10.0)</f>
        <v>10</v>
      </c>
      <c r="BF181" s="3" t="str">
        <f>IFERROR(__xludf.DUMMYFUNCTION("""COMPUTED_VALUE"""),"Whaling Cry - When this mob is targeted for an attack it may use intimidation on the player targetting it.")</f>
        <v>Whaling Cry - When this mob is targeted for an attack it may use intimidation on the player targetting it.</v>
      </c>
      <c r="BG181" s="3" t="str">
        <f>IFERROR(__xludf.DUMMYFUNCTION("""COMPUTED_VALUE"""),"All")</f>
        <v>All</v>
      </c>
      <c r="BH181" s="3" t="str">
        <f>IFERROR(__xludf.DUMMYFUNCTION("""COMPUTED_VALUE"""),"Land of Spira")</f>
        <v>Land of Spira</v>
      </c>
      <c r="BI181" s="3"/>
      <c r="BJ181" s="3"/>
      <c r="BK181" s="3"/>
      <c r="BL181" s="3" t="b">
        <f>IFERROR(__xludf.DUMMYFUNCTION("""COMPUTED_VALUE"""),FALSE)</f>
        <v>0</v>
      </c>
      <c r="BM181" s="3"/>
      <c r="BN181" s="3"/>
      <c r="BO181" s="3"/>
      <c r="BP181" s="3"/>
      <c r="BQ181" s="3"/>
      <c r="BR181" s="3"/>
      <c r="BS181" s="3"/>
      <c r="BT181" s="3"/>
      <c r="BU181" s="3"/>
      <c r="BV181" s="3"/>
      <c r="BW181" s="3"/>
    </row>
    <row r="182" ht="15.75" customHeight="1">
      <c r="A182" s="3" t="str">
        <f>IFERROR(__xludf.DUMMYFUNCTION("""COMPUTED_VALUE"""),"Mr. Skeleton")</f>
        <v>Mr. Skeleton</v>
      </c>
      <c r="B182" s="3">
        <f>IFERROR(__xludf.DUMMYFUNCTION("""COMPUTED_VALUE"""),1.0)</f>
        <v>1</v>
      </c>
      <c r="C182" s="3"/>
      <c r="D182" s="12" t="str">
        <f>IFERROR(__xludf.DUMMYFUNCTION("""COMPUTED_VALUE"""),"Undead")</f>
        <v>Undead</v>
      </c>
      <c r="E182" s="12">
        <f>IFERROR(__xludf.DUMMYFUNCTION("""COMPUTED_VALUE"""),1010.0)</f>
        <v>1010</v>
      </c>
      <c r="F182" s="12">
        <f>IFERROR(__xludf.DUMMYFUNCTION("""COMPUTED_VALUE"""),1010.0)</f>
        <v>1010</v>
      </c>
      <c r="G182" s="12">
        <f>IFERROR(__xludf.DUMMYFUNCTION("""COMPUTED_VALUE"""),1010.0)</f>
        <v>1010</v>
      </c>
      <c r="H182" s="3">
        <f>IFERROR(__xludf.DUMMYFUNCTION("""COMPUTED_VALUE"""),10.0)</f>
        <v>10</v>
      </c>
      <c r="I182" s="3">
        <f>IFERROR(__xludf.DUMMYFUNCTION("""COMPUTED_VALUE"""),0.0)</f>
        <v>0</v>
      </c>
      <c r="J182" s="3">
        <f>IFERROR(__xludf.DUMMYFUNCTION("""COMPUTED_VALUE"""),0.0)</f>
        <v>0</v>
      </c>
      <c r="K182" s="3">
        <f>IFERROR(__xludf.DUMMYFUNCTION("""COMPUTED_VALUE"""),100.0)</f>
        <v>100</v>
      </c>
      <c r="L182" s="3">
        <f>IFERROR(__xludf.DUMMYFUNCTION("""COMPUTED_VALUE"""),100.0)</f>
        <v>100</v>
      </c>
      <c r="M182" s="3" t="str">
        <f>IFERROR(__xludf.DUMMYFUNCTION("""COMPUTED_VALUE"""),"")</f>
        <v/>
      </c>
      <c r="N182" s="3" t="str">
        <f>IFERROR(__xludf.DUMMYFUNCTION("""COMPUTED_VALUE"""),"")</f>
        <v/>
      </c>
      <c r="O182" s="3"/>
      <c r="P182" s="3"/>
      <c r="Q182" s="3"/>
      <c r="R182" s="3"/>
      <c r="S182" s="3"/>
      <c r="T182" s="3"/>
      <c r="U182" s="3"/>
      <c r="V182" s="3"/>
      <c r="W182" s="3" t="str">
        <f>IFERROR(__xludf.DUMMYFUNCTION("""COMPUTED_VALUE"""),"Colossus Bone Sword")</f>
        <v>Colossus Bone Sword</v>
      </c>
      <c r="X182" s="3"/>
      <c r="Y182" s="3"/>
      <c r="Z182" s="3"/>
      <c r="AA182" s="3"/>
      <c r="AB182" s="3"/>
      <c r="AC182" s="3"/>
      <c r="AD182" s="3"/>
      <c r="AE182" s="3"/>
      <c r="AF182" s="3"/>
      <c r="AG182" s="3"/>
      <c r="AH182" s="3"/>
      <c r="AI182" s="3"/>
      <c r="AJ182" s="3" t="str">
        <f>IFERROR(__xludf.DUMMYFUNCTION("""COMPUTED_VALUE"""),"Darkness Ablaze")</f>
        <v>Darkness Ablaze</v>
      </c>
      <c r="AK182" s="3" t="str">
        <f>IFERROR(__xludf.DUMMYFUNCTION("""COMPUTED_VALUE"""),"Dimensional Quake")</f>
        <v>Dimensional Quake</v>
      </c>
      <c r="AL182" s="3" t="str">
        <f>IFERROR(__xludf.DUMMYFUNCTION("""COMPUTED_VALUE"""),"Darkest Abyss")</f>
        <v>Darkest Abyss</v>
      </c>
      <c r="AM182" s="3" t="str">
        <f>IFERROR(__xludf.DUMMYFUNCTION("""COMPUTED_VALUE"""),"Dark Curse")</f>
        <v>Dark Curse</v>
      </c>
      <c r="AN182" s="3" t="str">
        <f>IFERROR(__xludf.DUMMYFUNCTION("""COMPUTED_VALUE"""),"Earthquake")</f>
        <v>Earthquake</v>
      </c>
      <c r="AO182" s="3" t="str">
        <f>IFERROR(__xludf.DUMMYFUNCTION("""COMPUTED_VALUE"""),"Curse of Wasting")</f>
        <v>Curse of Wasting</v>
      </c>
      <c r="AP182" s="3" t="str">
        <f>IFERROR(__xludf.DUMMYFUNCTION("""COMPUTED_VALUE"""),"Berserk")</f>
        <v>Berserk</v>
      </c>
      <c r="AQ182" s="3" t="str">
        <f>IFERROR(__xludf.DUMMYFUNCTION("""COMPUTED_VALUE"""),"Chaincast")</f>
        <v>Chaincast</v>
      </c>
      <c r="AR182" s="3" t="str">
        <f>IFERROR(__xludf.DUMMYFUNCTION("""COMPUTED_VALUE"""),"Mass Destruction")</f>
        <v>Mass Destruction</v>
      </c>
      <c r="AS182" s="3"/>
      <c r="AT182" s="3"/>
      <c r="AU182" s="3"/>
      <c r="AV182" s="3"/>
      <c r="AW182" s="3"/>
      <c r="AX182" s="3"/>
      <c r="AY182" s="3"/>
      <c r="AZ182" s="3"/>
      <c r="BA182" s="3"/>
      <c r="BB182" s="3"/>
      <c r="BC182" s="1"/>
      <c r="BD182" s="3">
        <f>IFERROR(__xludf.DUMMYFUNCTION("""COMPUTED_VALUE"""),0.0)</f>
        <v>0</v>
      </c>
      <c r="BE182" s="4">
        <f>IFERROR(__xludf.DUMMYFUNCTION("""COMPUTED_VALUE"""),10.0)</f>
        <v>10</v>
      </c>
      <c r="BF182" s="3" t="str">
        <f>IFERROR(__xludf.DUMMYFUNCTION("""COMPUTED_VALUE"""),"75% chance to be unaffected by any spells affecting this mob
A Dark Calling II: +10 can be added to this mobs rolls.
Bone Defence: Gain 1 Defence for  every 1 point of damage dealt.
Bad to the  Bone: When this enemy dies, a d4 of Skeleton Warriors Tier"&amp;" 2 will be summoned.")</f>
        <v>75% chance to be unaffected by any spells affecting this mob
A Dark Calling II: +10 can be added to this mobs rolls.
Bone Defence: Gain 1 Defence for  every 1 point of damage dealt.
Bad to the  Bone: When this enemy dies, a d4 of Skeleton Warriors Tier 2 will be summoned.</v>
      </c>
      <c r="BG182" s="3" t="str">
        <f>IFERROR(__xludf.DUMMYFUNCTION("""COMPUTED_VALUE"""),"All")</f>
        <v>All</v>
      </c>
      <c r="BH182" s="3" t="str">
        <f>IFERROR(__xludf.DUMMYFUNCTION("""COMPUTED_VALUE"""),"Abstara")</f>
        <v>Abstara</v>
      </c>
      <c r="BI182" s="3"/>
      <c r="BJ182" s="3"/>
      <c r="BK182" s="3"/>
      <c r="BL182" s="3" t="b">
        <f>IFERROR(__xludf.DUMMYFUNCTION("""COMPUTED_VALUE"""),FALSE)</f>
        <v>0</v>
      </c>
      <c r="BM182" s="3"/>
      <c r="BN182" s="3"/>
      <c r="BO182" s="3"/>
      <c r="BP182" s="3"/>
      <c r="BQ182" s="3"/>
      <c r="BR182" s="3"/>
      <c r="BS182" s="3"/>
      <c r="BT182" s="3"/>
      <c r="BU182" s="3"/>
      <c r="BV182" s="3"/>
      <c r="BW182" s="3"/>
    </row>
    <row r="183" ht="15.75" customHeight="1">
      <c r="A183" s="3" t="str">
        <f>IFERROR(__xludf.DUMMYFUNCTION("""COMPUTED_VALUE"""),"Multi Headed Chaotic Shadow Dragon")</f>
        <v>Multi Headed Chaotic Shadow Dragon</v>
      </c>
      <c r="B183" s="3">
        <f>IFERROR(__xludf.DUMMYFUNCTION("""COMPUTED_VALUE"""),1.0)</f>
        <v>1</v>
      </c>
      <c r="C183" s="3"/>
      <c r="D183" s="12" t="str">
        <f>IFERROR(__xludf.DUMMYFUNCTION("""COMPUTED_VALUE"""),"Draconic")</f>
        <v>Draconic</v>
      </c>
      <c r="E183" s="12">
        <f>IFERROR(__xludf.DUMMYFUNCTION("""COMPUTED_VALUE"""),1010.0)</f>
        <v>1010</v>
      </c>
      <c r="F183" s="12">
        <f>IFERROR(__xludf.DUMMYFUNCTION("""COMPUTED_VALUE"""),1010.0)</f>
        <v>1010</v>
      </c>
      <c r="G183" s="12">
        <f>IFERROR(__xludf.DUMMYFUNCTION("""COMPUTED_VALUE"""),1010.0)</f>
        <v>1010</v>
      </c>
      <c r="H183" s="3">
        <f>IFERROR(__xludf.DUMMYFUNCTION("""COMPUTED_VALUE"""),10.0)</f>
        <v>10</v>
      </c>
      <c r="I183" s="3">
        <f>IFERROR(__xludf.DUMMYFUNCTION("""COMPUTED_VALUE"""),0.0)</f>
        <v>0</v>
      </c>
      <c r="J183" s="3">
        <f>IFERROR(__xludf.DUMMYFUNCTION("""COMPUTED_VALUE"""),0.0)</f>
        <v>0</v>
      </c>
      <c r="K183" s="3">
        <f>IFERROR(__xludf.DUMMYFUNCTION("""COMPUTED_VALUE"""),100.0)</f>
        <v>100</v>
      </c>
      <c r="L183" s="3">
        <f>IFERROR(__xludf.DUMMYFUNCTION("""COMPUTED_VALUE"""),100.0)</f>
        <v>100</v>
      </c>
      <c r="M183" s="3" t="str">
        <f>IFERROR(__xludf.DUMMYFUNCTION("""COMPUTED_VALUE"""),"Dark:100, Chaos:100, Instant Death:Immune, Banishment:Immune, ")</f>
        <v>Dark:100, Chaos:100, Instant Death:Immune, Banishment:Immune, </v>
      </c>
      <c r="N183" s="3" t="str">
        <f>IFERROR(__xludf.DUMMYFUNCTION("""COMPUTED_VALUE"""),"Fire:100, Light:100, Order:100, ")</f>
        <v>Fire:100, Light:100, Order:100, </v>
      </c>
      <c r="O183" s="3"/>
      <c r="P183" s="3"/>
      <c r="Q183" s="3"/>
      <c r="R183" s="3"/>
      <c r="S183" s="3"/>
      <c r="T183" s="3"/>
      <c r="U183" s="3"/>
      <c r="V183" s="3"/>
      <c r="W183" s="3"/>
      <c r="X183" s="3"/>
      <c r="Y183" s="3"/>
      <c r="Z183" s="3"/>
      <c r="AA183" s="3"/>
      <c r="AB183" s="3"/>
      <c r="AC183" s="3"/>
      <c r="AD183" s="3"/>
      <c r="AE183" s="3"/>
      <c r="AF183" s="3"/>
      <c r="AG183" s="3"/>
      <c r="AH183" s="3"/>
      <c r="AI183" s="3"/>
      <c r="AJ183" s="3" t="str">
        <f>IFERROR(__xludf.DUMMYFUNCTION("""COMPUTED_VALUE"""),"Greater Dragon's Breath")</f>
        <v>Greater Dragon's Breath</v>
      </c>
      <c r="AK183" s="3" t="str">
        <f>IFERROR(__xludf.DUMMYFUNCTION("""COMPUTED_VALUE"""),"Bite")</f>
        <v>Bite</v>
      </c>
      <c r="AL183" s="3" t="str">
        <f>IFERROR(__xludf.DUMMYFUNCTION("""COMPUTED_VALUE"""),"Tail Smash")</f>
        <v>Tail Smash</v>
      </c>
      <c r="AM183" s="3" t="str">
        <f>IFERROR(__xludf.DUMMYFUNCTION("""COMPUTED_VALUE"""),"Claws")</f>
        <v>Claws</v>
      </c>
      <c r="AN183" s="3" t="str">
        <f>IFERROR(__xludf.DUMMYFUNCTION("""COMPUTED_VALUE"""),"Berserk")</f>
        <v>Berserk</v>
      </c>
      <c r="AO183" s="3" t="str">
        <f>IFERROR(__xludf.DUMMYFUNCTION("""COMPUTED_VALUE"""),"Multishot")</f>
        <v>Multishot</v>
      </c>
      <c r="AP183" s="3" t="str">
        <f>IFERROR(__xludf.DUMMYFUNCTION("""COMPUTED_VALUE"""),"Draconic Scream")</f>
        <v>Draconic Scream</v>
      </c>
      <c r="AQ183" s="3" t="str">
        <f>IFERROR(__xludf.DUMMYFUNCTION("""COMPUTED_VALUE"""),"Chaotic Shadow Dragons War Call")</f>
        <v>Chaotic Shadow Dragons War Call</v>
      </c>
      <c r="AR183" s="3" t="str">
        <f>IFERROR(__xludf.DUMMYFUNCTION("""COMPUTED_VALUE"""),"Chaotic Shadow Dragons Wrath")</f>
        <v>Chaotic Shadow Dragons Wrath</v>
      </c>
      <c r="AS183" s="3" t="str">
        <f>IFERROR(__xludf.DUMMYFUNCTION("""COMPUTED_VALUE"""),"Chaotic Shadow Breath")</f>
        <v>Chaotic Shadow Breath</v>
      </c>
      <c r="AT183" s="3" t="str">
        <f>IFERROR(__xludf.DUMMYFUNCTION("""COMPUTED_VALUE"""),"Chaotic Shadow Storm")</f>
        <v>Chaotic Shadow Storm</v>
      </c>
      <c r="AU183" s="3" t="str">
        <f>IFERROR(__xludf.DUMMYFUNCTION("""COMPUTED_VALUE"""),"Mass Destruction")</f>
        <v>Mass Destruction</v>
      </c>
      <c r="AV183" s="3"/>
      <c r="AW183" s="3"/>
      <c r="AX183" s="3"/>
      <c r="AY183" s="3"/>
      <c r="AZ183" s="3"/>
      <c r="BA183" s="3"/>
      <c r="BB183" s="3"/>
      <c r="BC183" s="1"/>
      <c r="BD183" s="3">
        <f>IFERROR(__xludf.DUMMYFUNCTION("""COMPUTED_VALUE"""),0.0)</f>
        <v>0</v>
      </c>
      <c r="BE183" s="4">
        <f>IFERROR(__xludf.DUMMYFUNCTION("""COMPUTED_VALUE"""),10.0)</f>
        <v>10</v>
      </c>
      <c r="BF183" s="3" t="str">
        <f>IFERROR(__xludf.DUMMYFUNCTION("""COMPUTED_VALUE"""),"Has a 50% chance to be unaffected by any spells affecting this mob
Dragons Luck II: +10 can be added to this mobs d20 rolls.")</f>
        <v>Has a 50% chance to be unaffected by any spells affecting this mob
Dragons Luck II: +10 can be added to this mobs d20 rolls.</v>
      </c>
      <c r="BG183" s="3" t="str">
        <f>IFERROR(__xludf.DUMMYFUNCTION("""COMPUTED_VALUE"""),"Jungle of Shadows")</f>
        <v>Jungle of Shadows</v>
      </c>
      <c r="BH183" s="3" t="str">
        <f>IFERROR(__xludf.DUMMYFUNCTION("""COMPUTED_VALUE"""),"Land Of Spira")</f>
        <v>Land Of Spira</v>
      </c>
      <c r="BI183" s="3"/>
      <c r="BJ183" s="3"/>
      <c r="BK183" s="3"/>
      <c r="BL183" s="3" t="b">
        <f>IFERROR(__xludf.DUMMYFUNCTION("""COMPUTED_VALUE"""),FALSE)</f>
        <v>0</v>
      </c>
      <c r="BM183" s="3"/>
      <c r="BN183" s="3"/>
      <c r="BO183" s="3"/>
      <c r="BP183" s="3"/>
      <c r="BQ183" s="3"/>
      <c r="BR183" s="3"/>
      <c r="BS183" s="3"/>
      <c r="BT183" s="3"/>
      <c r="BU183" s="3"/>
      <c r="BV183" s="3"/>
      <c r="BW183" s="3"/>
    </row>
    <row r="184" ht="15.75" customHeight="1">
      <c r="A184" s="3" t="str">
        <f>IFERROR(__xludf.DUMMYFUNCTION("""COMPUTED_VALUE"""),"Mummy Guardian")</f>
        <v>Mummy Guardian</v>
      </c>
      <c r="B184" s="3">
        <f>IFERROR(__xludf.DUMMYFUNCTION("""COMPUTED_VALUE"""),1.0)</f>
        <v>1</v>
      </c>
      <c r="C184" s="3"/>
      <c r="D184" s="12" t="str">
        <f>IFERROR(__xludf.DUMMYFUNCTION("""COMPUTED_VALUE"""),"Undead")</f>
        <v>Undead</v>
      </c>
      <c r="E184" s="12">
        <f>IFERROR(__xludf.DUMMYFUNCTION("""COMPUTED_VALUE"""),1010.0)</f>
        <v>1010</v>
      </c>
      <c r="F184" s="12">
        <f>IFERROR(__xludf.DUMMYFUNCTION("""COMPUTED_VALUE"""),1010.0)</f>
        <v>1010</v>
      </c>
      <c r="G184" s="12">
        <f>IFERROR(__xludf.DUMMYFUNCTION("""COMPUTED_VALUE"""),1010.0)</f>
        <v>1010</v>
      </c>
      <c r="H184" s="3">
        <f>IFERROR(__xludf.DUMMYFUNCTION("""COMPUTED_VALUE"""),10.0)</f>
        <v>10</v>
      </c>
      <c r="I184" s="3">
        <f>IFERROR(__xludf.DUMMYFUNCTION("""COMPUTED_VALUE"""),0.0)</f>
        <v>0</v>
      </c>
      <c r="J184" s="3">
        <f>IFERROR(__xludf.DUMMYFUNCTION("""COMPUTED_VALUE"""),0.0)</f>
        <v>0</v>
      </c>
      <c r="K184" s="3">
        <f>IFERROR(__xludf.DUMMYFUNCTION("""COMPUTED_VALUE"""),100.0)</f>
        <v>100</v>
      </c>
      <c r="L184" s="3">
        <f>IFERROR(__xludf.DUMMYFUNCTION("""COMPUTED_VALUE"""),100.0)</f>
        <v>100</v>
      </c>
      <c r="M184" s="3" t="str">
        <f>IFERROR(__xludf.DUMMYFUNCTION("""COMPUTED_VALUE"""),"Dark:Immune, ")</f>
        <v>Dark:Immune, </v>
      </c>
      <c r="N184" s="3" t="str">
        <f>IFERROR(__xludf.DUMMYFUNCTION("""COMPUTED_VALUE"""),"Fire:100, Light:100, ")</f>
        <v>Fire:100, Light:100, </v>
      </c>
      <c r="O184" s="3"/>
      <c r="P184" s="3"/>
      <c r="Q184" s="3"/>
      <c r="R184" s="3"/>
      <c r="S184" s="3"/>
      <c r="T184" s="3"/>
      <c r="U184" s="3"/>
      <c r="V184" s="3"/>
      <c r="W184" s="3" t="str">
        <f>IFERROR(__xludf.DUMMYFUNCTION("""COMPUTED_VALUE"""),"Sword of the Wicked")</f>
        <v>Sword of the Wicked</v>
      </c>
      <c r="X184" s="3"/>
      <c r="Y184" s="3"/>
      <c r="Z184" s="3"/>
      <c r="AA184" s="3"/>
      <c r="AB184" s="3"/>
      <c r="AC184" s="3"/>
      <c r="AD184" s="3"/>
      <c r="AE184" s="3"/>
      <c r="AF184" s="3"/>
      <c r="AG184" s="3"/>
      <c r="AH184" s="3"/>
      <c r="AI184" s="3"/>
      <c r="AJ184" s="3" t="str">
        <f>IFERROR(__xludf.DUMMYFUNCTION("""COMPUTED_VALUE"""),"Dark Force")</f>
        <v>Dark Force</v>
      </c>
      <c r="AK184" s="3" t="str">
        <f>IFERROR(__xludf.DUMMYFUNCTION("""COMPUTED_VALUE"""),"Dark Sacrifice")</f>
        <v>Dark Sacrifice</v>
      </c>
      <c r="AL184" s="3"/>
      <c r="AM184" s="3"/>
      <c r="AN184" s="3"/>
      <c r="AO184" s="3"/>
      <c r="AP184" s="3"/>
      <c r="AQ184" s="3"/>
      <c r="AR184" s="3"/>
      <c r="AS184" s="3"/>
      <c r="AT184" s="3"/>
      <c r="AU184" s="3"/>
      <c r="AV184" s="3"/>
      <c r="AW184" s="3"/>
      <c r="AX184" s="3"/>
      <c r="AY184" s="3"/>
      <c r="AZ184" s="3"/>
      <c r="BA184" s="3"/>
      <c r="BB184" s="3"/>
      <c r="BC184" s="1"/>
      <c r="BD184" s="3">
        <f>IFERROR(__xludf.DUMMYFUNCTION("""COMPUTED_VALUE"""),0.0)</f>
        <v>0</v>
      </c>
      <c r="BE184" s="4">
        <f>IFERROR(__xludf.DUMMYFUNCTION("""COMPUTED_VALUE"""),10.0)</f>
        <v>10</v>
      </c>
      <c r="BF184" s="3"/>
      <c r="BG184" s="3" t="str">
        <f>IFERROR(__xludf.DUMMYFUNCTION("""COMPUTED_VALUE"""),"Desert")</f>
        <v>Desert</v>
      </c>
      <c r="BH184" s="3" t="str">
        <f>IFERROR(__xludf.DUMMYFUNCTION("""COMPUTED_VALUE"""),"Land Of Spira")</f>
        <v>Land Of Spira</v>
      </c>
      <c r="BI184" s="3"/>
      <c r="BJ184" s="3"/>
      <c r="BK184" s="3"/>
      <c r="BL184" s="3" t="b">
        <f>IFERROR(__xludf.DUMMYFUNCTION("""COMPUTED_VALUE"""),FALSE)</f>
        <v>0</v>
      </c>
      <c r="BM184" s="3"/>
      <c r="BN184" s="3"/>
      <c r="BO184" s="3"/>
      <c r="BP184" s="3"/>
      <c r="BQ184" s="3"/>
      <c r="BR184" s="3"/>
      <c r="BS184" s="3"/>
      <c r="BT184" s="3"/>
      <c r="BU184" s="3"/>
      <c r="BV184" s="3"/>
      <c r="BW184" s="3"/>
    </row>
    <row r="185" ht="15.75" customHeight="1">
      <c r="A185" s="3" t="str">
        <f>IFERROR(__xludf.DUMMYFUNCTION("""COMPUTED_VALUE"""),"Mummy King")</f>
        <v>Mummy King</v>
      </c>
      <c r="B185" s="3">
        <f>IFERROR(__xludf.DUMMYFUNCTION("""COMPUTED_VALUE"""),1.0)</f>
        <v>1</v>
      </c>
      <c r="C185" s="3"/>
      <c r="D185" s="12" t="str">
        <f>IFERROR(__xludf.DUMMYFUNCTION("""COMPUTED_VALUE"""),"Undead")</f>
        <v>Undead</v>
      </c>
      <c r="E185" s="12">
        <f>IFERROR(__xludf.DUMMYFUNCTION("""COMPUTED_VALUE"""),1010.0)</f>
        <v>1010</v>
      </c>
      <c r="F185" s="12">
        <f>IFERROR(__xludf.DUMMYFUNCTION("""COMPUTED_VALUE"""),1010.0)</f>
        <v>1010</v>
      </c>
      <c r="G185" s="12">
        <f>IFERROR(__xludf.DUMMYFUNCTION("""COMPUTED_VALUE"""),1010.0)</f>
        <v>1010</v>
      </c>
      <c r="H185" s="3">
        <f>IFERROR(__xludf.DUMMYFUNCTION("""COMPUTED_VALUE"""),20.0)</f>
        <v>20</v>
      </c>
      <c r="I185" s="3">
        <f>IFERROR(__xludf.DUMMYFUNCTION("""COMPUTED_VALUE"""),0.0)</f>
        <v>0</v>
      </c>
      <c r="J185" s="3">
        <f>IFERROR(__xludf.DUMMYFUNCTION("""COMPUTED_VALUE"""),0.0)</f>
        <v>0</v>
      </c>
      <c r="K185" s="3">
        <f>IFERROR(__xludf.DUMMYFUNCTION("""COMPUTED_VALUE"""),100.0)</f>
        <v>100</v>
      </c>
      <c r="L185" s="3">
        <f>IFERROR(__xludf.DUMMYFUNCTION("""COMPUTED_VALUE"""),100.0)</f>
        <v>100</v>
      </c>
      <c r="M185" s="3" t="str">
        <f>IFERROR(__xludf.DUMMYFUNCTION("""COMPUTED_VALUE"""),"Dark:Immune, Instant Death:Immune, Banishment:Immune, ")</f>
        <v>Dark:Immune, Instant Death:Immune, Banishment:Immune, </v>
      </c>
      <c r="N185" s="3" t="str">
        <f>IFERROR(__xludf.DUMMYFUNCTION("""COMPUTED_VALUE"""),"Fire:100, Light:100, ")</f>
        <v>Fire:100, Light:100, </v>
      </c>
      <c r="O185" s="3"/>
      <c r="P185" s="3"/>
      <c r="Q185" s="3"/>
      <c r="R185" s="3"/>
      <c r="S185" s="3"/>
      <c r="T185" s="3"/>
      <c r="U185" s="3"/>
      <c r="V185" s="3"/>
      <c r="W185" s="3" t="str">
        <f>IFERROR(__xludf.DUMMYFUNCTION("""COMPUTED_VALUE"""),"Ancient Stone Guardians Sword")</f>
        <v>Ancient Stone Guardians Sword</v>
      </c>
      <c r="X185" s="3"/>
      <c r="Y185" s="3"/>
      <c r="Z185" s="3"/>
      <c r="AA185" s="3"/>
      <c r="AB185" s="3"/>
      <c r="AC185" s="3"/>
      <c r="AD185" s="3"/>
      <c r="AE185" s="3"/>
      <c r="AF185" s="3"/>
      <c r="AG185" s="3"/>
      <c r="AH185" s="3"/>
      <c r="AI185" s="3"/>
      <c r="AJ185" s="3" t="str">
        <f>IFERROR(__xludf.DUMMYFUNCTION("""COMPUTED_VALUE"""),"Arrest")</f>
        <v>Arrest</v>
      </c>
      <c r="AK185" s="3" t="str">
        <f>IFERROR(__xludf.DUMMYFUNCTION("""COMPUTED_VALUE"""),"Chains of Shadow")</f>
        <v>Chains of Shadow</v>
      </c>
      <c r="AL185" s="3" t="str">
        <f>IFERROR(__xludf.DUMMYFUNCTION("""COMPUTED_VALUE"""),"Dark Curse")</f>
        <v>Dark Curse</v>
      </c>
      <c r="AM185" s="3" t="str">
        <f>IFERROR(__xludf.DUMMYFUNCTION("""COMPUTED_VALUE"""),"Dimensional Quake")</f>
        <v>Dimensional Quake</v>
      </c>
      <c r="AN185" s="3" t="str">
        <f>IFERROR(__xludf.DUMMYFUNCTION("""COMPUTED_VALUE"""),"Damage With A Cost.")</f>
        <v>Damage With A Cost.</v>
      </c>
      <c r="AO185" s="3" t="str">
        <f>IFERROR(__xludf.DUMMYFUNCTION("""COMPUTED_VALUE"""),"Conceal")</f>
        <v>Conceal</v>
      </c>
      <c r="AP185" s="3" t="str">
        <f>IFERROR(__xludf.DUMMYFUNCTION("""COMPUTED_VALUE"""),"Voodoo meteor shower")</f>
        <v>Voodoo meteor shower</v>
      </c>
      <c r="AQ185" s="3" t="str">
        <f>IFERROR(__xludf.DUMMYFUNCTION("""COMPUTED_VALUE"""),"Last Gamble")</f>
        <v>Last Gamble</v>
      </c>
      <c r="AR185" s="3" t="str">
        <f>IFERROR(__xludf.DUMMYFUNCTION("""COMPUTED_VALUE"""),"Banish")</f>
        <v>Banish</v>
      </c>
      <c r="AS185" s="3" t="str">
        <f>IFERROR(__xludf.DUMMYFUNCTION("""COMPUTED_VALUE"""),"Chaos Ward")</f>
        <v>Chaos Ward</v>
      </c>
      <c r="AT185" s="3" t="str">
        <f>IFERROR(__xludf.DUMMYFUNCTION("""COMPUTED_VALUE"""),"Stasis Madness")</f>
        <v>Stasis Madness</v>
      </c>
      <c r="AU185" s="3" t="str">
        <f>IFERROR(__xludf.DUMMYFUNCTION("""COMPUTED_VALUE"""),"Chaincast")</f>
        <v>Chaincast</v>
      </c>
      <c r="AV185" s="3"/>
      <c r="AW185" s="3"/>
      <c r="AX185" s="3"/>
      <c r="AY185" s="3"/>
      <c r="AZ185" s="3"/>
      <c r="BA185" s="3"/>
      <c r="BB185" s="3"/>
      <c r="BC185" s="1"/>
      <c r="BD185" s="3">
        <f>IFERROR(__xludf.DUMMYFUNCTION("""COMPUTED_VALUE"""),0.0)</f>
        <v>0</v>
      </c>
      <c r="BE185" s="4">
        <f>IFERROR(__xludf.DUMMYFUNCTION("""COMPUTED_VALUE"""),20.0)</f>
        <v>20</v>
      </c>
      <c r="BF185" s="3" t="str">
        <f>IFERROR(__xludf.DUMMYFUNCTION("""COMPUTED_VALUE"""),"The Mummies Revival: When this mob dies 2 mummy guardians will be summoned to battle.
75% chance to be unaffected by any spells affecting this mob
Mummy's Ravage: +10 can be added to this mobs d20 rolls.")</f>
        <v>The Mummies Revival: When this mob dies 2 mummy guardians will be summoned to battle.
75% chance to be unaffected by any spells affecting this mob
Mummy's Ravage: +10 can be added to this mobs d20 rolls.</v>
      </c>
      <c r="BG185" s="3" t="str">
        <f>IFERROR(__xludf.DUMMYFUNCTION("""COMPUTED_VALUE"""),"Desert")</f>
        <v>Desert</v>
      </c>
      <c r="BH185" s="3" t="str">
        <f>IFERROR(__xludf.DUMMYFUNCTION("""COMPUTED_VALUE"""),"Land Of Spira")</f>
        <v>Land Of Spira</v>
      </c>
      <c r="BI185" s="3"/>
      <c r="BJ185" s="3"/>
      <c r="BK185" s="3"/>
      <c r="BL185" s="3" t="b">
        <f>IFERROR(__xludf.DUMMYFUNCTION("""COMPUTED_VALUE"""),FALSE)</f>
        <v>0</v>
      </c>
      <c r="BM185" s="3"/>
      <c r="BN185" s="3"/>
      <c r="BO185" s="3"/>
      <c r="BP185" s="3"/>
      <c r="BQ185" s="3"/>
      <c r="BR185" s="3"/>
      <c r="BS185" s="3"/>
      <c r="BT185" s="3"/>
      <c r="BU185" s="3"/>
      <c r="BV185" s="3"/>
      <c r="BW185" s="3"/>
    </row>
    <row r="186" ht="15.75" customHeight="1">
      <c r="A186" s="3" t="str">
        <f>IFERROR(__xludf.DUMMYFUNCTION("""COMPUTED_VALUE"""),"Mummy Queen")</f>
        <v>Mummy Queen</v>
      </c>
      <c r="B186" s="3">
        <f>IFERROR(__xludf.DUMMYFUNCTION("""COMPUTED_VALUE"""),1.0)</f>
        <v>1</v>
      </c>
      <c r="C186" s="3"/>
      <c r="D186" s="12" t="str">
        <f>IFERROR(__xludf.DUMMYFUNCTION("""COMPUTED_VALUE"""),"Undead")</f>
        <v>Undead</v>
      </c>
      <c r="E186" s="12">
        <f>IFERROR(__xludf.DUMMYFUNCTION("""COMPUTED_VALUE"""),1010.0)</f>
        <v>1010</v>
      </c>
      <c r="F186" s="12">
        <f>IFERROR(__xludf.DUMMYFUNCTION("""COMPUTED_VALUE"""),1010.0)</f>
        <v>1010</v>
      </c>
      <c r="G186" s="12">
        <f>IFERROR(__xludf.DUMMYFUNCTION("""COMPUTED_VALUE"""),1010.0)</f>
        <v>1010</v>
      </c>
      <c r="H186" s="3">
        <f>IFERROR(__xludf.DUMMYFUNCTION("""COMPUTED_VALUE"""),10.0)</f>
        <v>10</v>
      </c>
      <c r="I186" s="3">
        <f>IFERROR(__xludf.DUMMYFUNCTION("""COMPUTED_VALUE"""),0.0)</f>
        <v>0</v>
      </c>
      <c r="J186" s="3">
        <f>IFERROR(__xludf.DUMMYFUNCTION("""COMPUTED_VALUE"""),0.0)</f>
        <v>0</v>
      </c>
      <c r="K186" s="3">
        <f>IFERROR(__xludf.DUMMYFUNCTION("""COMPUTED_VALUE"""),100.0)</f>
        <v>100</v>
      </c>
      <c r="L186" s="3">
        <f>IFERROR(__xludf.DUMMYFUNCTION("""COMPUTED_VALUE"""),100.0)</f>
        <v>100</v>
      </c>
      <c r="M186" s="3" t="str">
        <f>IFERROR(__xludf.DUMMYFUNCTION("""COMPUTED_VALUE"""),"Dark:Immune, ")</f>
        <v>Dark:Immune, </v>
      </c>
      <c r="N186" s="3" t="str">
        <f>IFERROR(__xludf.DUMMYFUNCTION("""COMPUTED_VALUE"""),"Fire:100, Light:100, ")</f>
        <v>Fire:100, Light:100, </v>
      </c>
      <c r="O186" s="3"/>
      <c r="P186" s="3"/>
      <c r="Q186" s="3"/>
      <c r="R186" s="3"/>
      <c r="S186" s="3"/>
      <c r="T186" s="3"/>
      <c r="U186" s="3"/>
      <c r="V186" s="3"/>
      <c r="W186" s="3" t="str">
        <f>IFERROR(__xludf.DUMMYFUNCTION("""COMPUTED_VALUE"""),"Sword of the Wicked")</f>
        <v>Sword of the Wicked</v>
      </c>
      <c r="X186" s="3"/>
      <c r="Y186" s="3"/>
      <c r="Z186" s="3"/>
      <c r="AA186" s="3"/>
      <c r="AB186" s="3"/>
      <c r="AC186" s="3"/>
      <c r="AD186" s="3"/>
      <c r="AE186" s="3"/>
      <c r="AF186" s="3"/>
      <c r="AG186" s="3"/>
      <c r="AH186" s="3"/>
      <c r="AI186" s="3"/>
      <c r="AJ186" s="3" t="str">
        <f>IFERROR(__xludf.DUMMYFUNCTION("""COMPUTED_VALUE"""),"Arrest")</f>
        <v>Arrest</v>
      </c>
      <c r="AK186" s="3" t="str">
        <f>IFERROR(__xludf.DUMMYFUNCTION("""COMPUTED_VALUE"""),"Chains of Shadow")</f>
        <v>Chains of Shadow</v>
      </c>
      <c r="AL186" s="3" t="str">
        <f>IFERROR(__xludf.DUMMYFUNCTION("""COMPUTED_VALUE"""),"Dark Curse")</f>
        <v>Dark Curse</v>
      </c>
      <c r="AM186" s="3" t="str">
        <f>IFERROR(__xludf.DUMMYFUNCTION("""COMPUTED_VALUE"""),"Dimensional Quake")</f>
        <v>Dimensional Quake</v>
      </c>
      <c r="AN186" s="3" t="str">
        <f>IFERROR(__xludf.DUMMYFUNCTION("""COMPUTED_VALUE"""),"Damage With A Cost.")</f>
        <v>Damage With A Cost.</v>
      </c>
      <c r="AO186" s="3" t="str">
        <f>IFERROR(__xludf.DUMMYFUNCTION("""COMPUTED_VALUE"""),"Conceal")</f>
        <v>Conceal</v>
      </c>
      <c r="AP186" s="3" t="str">
        <f>IFERROR(__xludf.DUMMYFUNCTION("""COMPUTED_VALUE"""),"Voodoo meteor shower")</f>
        <v>Voodoo meteor shower</v>
      </c>
      <c r="AQ186" s="3" t="str">
        <f>IFERROR(__xludf.DUMMYFUNCTION("""COMPUTED_VALUE"""),"Last Gamble")</f>
        <v>Last Gamble</v>
      </c>
      <c r="AR186" s="3" t="str">
        <f>IFERROR(__xludf.DUMMYFUNCTION("""COMPUTED_VALUE"""),"Banish")</f>
        <v>Banish</v>
      </c>
      <c r="AS186" s="3" t="str">
        <f>IFERROR(__xludf.DUMMYFUNCTION("""COMPUTED_VALUE"""),"Chaos Ward")</f>
        <v>Chaos Ward</v>
      </c>
      <c r="AT186" s="3" t="str">
        <f>IFERROR(__xludf.DUMMYFUNCTION("""COMPUTED_VALUE"""),"Stasis Madness")</f>
        <v>Stasis Madness</v>
      </c>
      <c r="AU186" s="3" t="str">
        <f>IFERROR(__xludf.DUMMYFUNCTION("""COMPUTED_VALUE"""),"Chaincast")</f>
        <v>Chaincast</v>
      </c>
      <c r="AV186" s="3"/>
      <c r="AW186" s="3"/>
      <c r="AX186" s="3"/>
      <c r="AY186" s="3"/>
      <c r="AZ186" s="3"/>
      <c r="BA186" s="3"/>
      <c r="BB186" s="3"/>
      <c r="BC186" s="1"/>
      <c r="BD186" s="3">
        <f>IFERROR(__xludf.DUMMYFUNCTION("""COMPUTED_VALUE"""),0.0)</f>
        <v>0</v>
      </c>
      <c r="BE186" s="4">
        <f>IFERROR(__xludf.DUMMYFUNCTION("""COMPUTED_VALUE"""),10.0)</f>
        <v>10</v>
      </c>
      <c r="BF186" s="3"/>
      <c r="BG186" s="3" t="str">
        <f>IFERROR(__xludf.DUMMYFUNCTION("""COMPUTED_VALUE"""),"Desert")</f>
        <v>Desert</v>
      </c>
      <c r="BH186" s="3" t="str">
        <f>IFERROR(__xludf.DUMMYFUNCTION("""COMPUTED_VALUE"""),"Land Of Spira")</f>
        <v>Land Of Spira</v>
      </c>
      <c r="BI186" s="3"/>
      <c r="BJ186" s="3"/>
      <c r="BK186" s="3"/>
      <c r="BL186" s="3" t="b">
        <f>IFERROR(__xludf.DUMMYFUNCTION("""COMPUTED_VALUE"""),FALSE)</f>
        <v>0</v>
      </c>
      <c r="BM186" s="3"/>
      <c r="BN186" s="3"/>
      <c r="BO186" s="3"/>
      <c r="BP186" s="3"/>
      <c r="BQ186" s="3"/>
      <c r="BR186" s="3"/>
      <c r="BS186" s="3"/>
      <c r="BT186" s="3"/>
      <c r="BU186" s="3"/>
      <c r="BV186" s="3"/>
      <c r="BW186" s="3"/>
    </row>
    <row r="187" ht="15.75" customHeight="1">
      <c r="A187" s="3" t="str">
        <f>IFERROR(__xludf.DUMMYFUNCTION("""COMPUTED_VALUE"""),"Mummy Soldier")</f>
        <v>Mummy Soldier</v>
      </c>
      <c r="B187" s="3">
        <f>IFERROR(__xludf.DUMMYFUNCTION("""COMPUTED_VALUE"""),1.0)</f>
        <v>1</v>
      </c>
      <c r="C187" s="3"/>
      <c r="D187" s="12" t="str">
        <f>IFERROR(__xludf.DUMMYFUNCTION("""COMPUTED_VALUE"""),"Undead")</f>
        <v>Undead</v>
      </c>
      <c r="E187" s="12">
        <f>IFERROR(__xludf.DUMMYFUNCTION("""COMPUTED_VALUE"""),1010.0)</f>
        <v>1010</v>
      </c>
      <c r="F187" s="12">
        <f>IFERROR(__xludf.DUMMYFUNCTION("""COMPUTED_VALUE"""),1010.0)</f>
        <v>1010</v>
      </c>
      <c r="G187" s="12">
        <f>IFERROR(__xludf.DUMMYFUNCTION("""COMPUTED_VALUE"""),1010.0)</f>
        <v>1010</v>
      </c>
      <c r="H187" s="3">
        <f>IFERROR(__xludf.DUMMYFUNCTION("""COMPUTED_VALUE"""),10.0)</f>
        <v>10</v>
      </c>
      <c r="I187" s="3">
        <f>IFERROR(__xludf.DUMMYFUNCTION("""COMPUTED_VALUE"""),0.0)</f>
        <v>0</v>
      </c>
      <c r="J187" s="3">
        <f>IFERROR(__xludf.DUMMYFUNCTION("""COMPUTED_VALUE"""),0.0)</f>
        <v>0</v>
      </c>
      <c r="K187" s="3">
        <f>IFERROR(__xludf.DUMMYFUNCTION("""COMPUTED_VALUE"""),100.0)</f>
        <v>100</v>
      </c>
      <c r="L187" s="3">
        <f>IFERROR(__xludf.DUMMYFUNCTION("""COMPUTED_VALUE"""),100.0)</f>
        <v>100</v>
      </c>
      <c r="M187" s="3" t="str">
        <f>IFERROR(__xludf.DUMMYFUNCTION("""COMPUTED_VALUE"""),"Dark:Immune, ")</f>
        <v>Dark:Immune, </v>
      </c>
      <c r="N187" s="3" t="str">
        <f>IFERROR(__xludf.DUMMYFUNCTION("""COMPUTED_VALUE"""),"Fire:100, Light:100, ")</f>
        <v>Fire:100, Light:100, </v>
      </c>
      <c r="O187" s="3"/>
      <c r="P187" s="3"/>
      <c r="Q187" s="3"/>
      <c r="R187" s="3"/>
      <c r="S187" s="3"/>
      <c r="T187" s="3"/>
      <c r="U187" s="3"/>
      <c r="V187" s="3"/>
      <c r="W187" s="3" t="str">
        <f>IFERROR(__xludf.DUMMYFUNCTION("""COMPUTED_VALUE"""),"Sword of the Wicked")</f>
        <v>Sword of the Wicked</v>
      </c>
      <c r="X187" s="3"/>
      <c r="Y187" s="3"/>
      <c r="Z187" s="3"/>
      <c r="AA187" s="3"/>
      <c r="AB187" s="3"/>
      <c r="AC187" s="3"/>
      <c r="AD187" s="3"/>
      <c r="AE187" s="3"/>
      <c r="AF187" s="3"/>
      <c r="AG187" s="3"/>
      <c r="AH187" s="3"/>
      <c r="AI187" s="3"/>
      <c r="AJ187" s="3" t="str">
        <f>IFERROR(__xludf.DUMMYFUNCTION("""COMPUTED_VALUE"""),"Dark Force")</f>
        <v>Dark Force</v>
      </c>
      <c r="AK187" s="3" t="str">
        <f>IFERROR(__xludf.DUMMYFUNCTION("""COMPUTED_VALUE"""),"Dark Sacrifice")</f>
        <v>Dark Sacrifice</v>
      </c>
      <c r="AL187" s="3"/>
      <c r="AM187" s="3"/>
      <c r="AN187" s="3"/>
      <c r="AO187" s="3"/>
      <c r="AP187" s="3"/>
      <c r="AQ187" s="3"/>
      <c r="AR187" s="3"/>
      <c r="AS187" s="3"/>
      <c r="AT187" s="3"/>
      <c r="AU187" s="3"/>
      <c r="AV187" s="3"/>
      <c r="AW187" s="3"/>
      <c r="AX187" s="3"/>
      <c r="AY187" s="3"/>
      <c r="AZ187" s="3"/>
      <c r="BA187" s="3"/>
      <c r="BB187" s="3"/>
      <c r="BC187" s="1"/>
      <c r="BD187" s="3">
        <f>IFERROR(__xludf.DUMMYFUNCTION("""COMPUTED_VALUE"""),0.0)</f>
        <v>0</v>
      </c>
      <c r="BE187" s="4">
        <f>IFERROR(__xludf.DUMMYFUNCTION("""COMPUTED_VALUE"""),10.0)</f>
        <v>10</v>
      </c>
      <c r="BF187" s="3"/>
      <c r="BG187" s="3" t="str">
        <f>IFERROR(__xludf.DUMMYFUNCTION("""COMPUTED_VALUE"""),"Desert")</f>
        <v>Desert</v>
      </c>
      <c r="BH187" s="3" t="str">
        <f>IFERROR(__xludf.DUMMYFUNCTION("""COMPUTED_VALUE"""),"Land Of Spira")</f>
        <v>Land Of Spira</v>
      </c>
      <c r="BI187" s="3"/>
      <c r="BJ187" s="3"/>
      <c r="BK187" s="3"/>
      <c r="BL187" s="3" t="b">
        <f>IFERROR(__xludf.DUMMYFUNCTION("""COMPUTED_VALUE"""),FALSE)</f>
        <v>0</v>
      </c>
      <c r="BM187" s="3"/>
      <c r="BN187" s="3"/>
      <c r="BO187" s="3"/>
      <c r="BP187" s="3"/>
      <c r="BQ187" s="3"/>
      <c r="BR187" s="3"/>
      <c r="BS187" s="3"/>
      <c r="BT187" s="3"/>
      <c r="BU187" s="3"/>
      <c r="BV187" s="3"/>
      <c r="BW187" s="3"/>
    </row>
    <row r="188" ht="15.75" customHeight="1">
      <c r="A188" s="3" t="str">
        <f>IFERROR(__xludf.DUMMYFUNCTION("""COMPUTED_VALUE"""),"Mummy Warrior")</f>
        <v>Mummy Warrior</v>
      </c>
      <c r="B188" s="3">
        <f>IFERROR(__xludf.DUMMYFUNCTION("""COMPUTED_VALUE"""),1.0)</f>
        <v>1</v>
      </c>
      <c r="C188" s="3"/>
      <c r="D188" s="12" t="str">
        <f>IFERROR(__xludf.DUMMYFUNCTION("""COMPUTED_VALUE"""),"Undead")</f>
        <v>Undead</v>
      </c>
      <c r="E188" s="12">
        <f>IFERROR(__xludf.DUMMYFUNCTION("""COMPUTED_VALUE"""),1010.0)</f>
        <v>1010</v>
      </c>
      <c r="F188" s="12">
        <f>IFERROR(__xludf.DUMMYFUNCTION("""COMPUTED_VALUE"""),1010.0)</f>
        <v>1010</v>
      </c>
      <c r="G188" s="12">
        <f>IFERROR(__xludf.DUMMYFUNCTION("""COMPUTED_VALUE"""),1010.0)</f>
        <v>1010</v>
      </c>
      <c r="H188" s="3">
        <f>IFERROR(__xludf.DUMMYFUNCTION("""COMPUTED_VALUE"""),10.0)</f>
        <v>10</v>
      </c>
      <c r="I188" s="3">
        <f>IFERROR(__xludf.DUMMYFUNCTION("""COMPUTED_VALUE"""),0.0)</f>
        <v>0</v>
      </c>
      <c r="J188" s="3">
        <f>IFERROR(__xludf.DUMMYFUNCTION("""COMPUTED_VALUE"""),0.0)</f>
        <v>0</v>
      </c>
      <c r="K188" s="3">
        <f>IFERROR(__xludf.DUMMYFUNCTION("""COMPUTED_VALUE"""),100.0)</f>
        <v>100</v>
      </c>
      <c r="L188" s="3">
        <f>IFERROR(__xludf.DUMMYFUNCTION("""COMPUTED_VALUE"""),100.0)</f>
        <v>100</v>
      </c>
      <c r="M188" s="3" t="str">
        <f>IFERROR(__xludf.DUMMYFUNCTION("""COMPUTED_VALUE"""),"Dark:Immune, ")</f>
        <v>Dark:Immune, </v>
      </c>
      <c r="N188" s="3" t="str">
        <f>IFERROR(__xludf.DUMMYFUNCTION("""COMPUTED_VALUE"""),"Fire:100, Light:100, ")</f>
        <v>Fire:100, Light:100, </v>
      </c>
      <c r="O188" s="3"/>
      <c r="P188" s="3"/>
      <c r="Q188" s="3"/>
      <c r="R188" s="3"/>
      <c r="S188" s="3"/>
      <c r="T188" s="3"/>
      <c r="U188" s="3"/>
      <c r="V188" s="3"/>
      <c r="W188" s="3" t="str">
        <f>IFERROR(__xludf.DUMMYFUNCTION("""COMPUTED_VALUE"""),"Sword of the Wicked")</f>
        <v>Sword of the Wicked</v>
      </c>
      <c r="X188" s="3"/>
      <c r="Y188" s="3"/>
      <c r="Z188" s="3"/>
      <c r="AA188" s="3"/>
      <c r="AB188" s="3"/>
      <c r="AC188" s="3"/>
      <c r="AD188" s="3"/>
      <c r="AE188" s="3"/>
      <c r="AF188" s="3"/>
      <c r="AG188" s="3"/>
      <c r="AH188" s="3"/>
      <c r="AI188" s="3"/>
      <c r="AJ188" s="3" t="str">
        <f>IFERROR(__xludf.DUMMYFUNCTION("""COMPUTED_VALUE"""),"Dark Force")</f>
        <v>Dark Force</v>
      </c>
      <c r="AK188" s="3" t="str">
        <f>IFERROR(__xludf.DUMMYFUNCTION("""COMPUTED_VALUE"""),"Dark Sacrifice")</f>
        <v>Dark Sacrifice</v>
      </c>
      <c r="AL188" s="3"/>
      <c r="AM188" s="3"/>
      <c r="AN188" s="3"/>
      <c r="AO188" s="3"/>
      <c r="AP188" s="3"/>
      <c r="AQ188" s="3"/>
      <c r="AR188" s="3"/>
      <c r="AS188" s="3"/>
      <c r="AT188" s="3"/>
      <c r="AU188" s="3"/>
      <c r="AV188" s="3"/>
      <c r="AW188" s="3"/>
      <c r="AX188" s="3"/>
      <c r="AY188" s="3"/>
      <c r="AZ188" s="3"/>
      <c r="BA188" s="3"/>
      <c r="BB188" s="3"/>
      <c r="BC188" s="1"/>
      <c r="BD188" s="3">
        <f>IFERROR(__xludf.DUMMYFUNCTION("""COMPUTED_VALUE"""),0.0)</f>
        <v>0</v>
      </c>
      <c r="BE188" s="4">
        <f>IFERROR(__xludf.DUMMYFUNCTION("""COMPUTED_VALUE"""),10.0)</f>
        <v>10</v>
      </c>
      <c r="BF188" s="3"/>
      <c r="BG188" s="3" t="str">
        <f>IFERROR(__xludf.DUMMYFUNCTION("""COMPUTED_VALUE"""),"Desert")</f>
        <v>Desert</v>
      </c>
      <c r="BH188" s="3" t="str">
        <f>IFERROR(__xludf.DUMMYFUNCTION("""COMPUTED_VALUE"""),"Land Of Spira")</f>
        <v>Land Of Spira</v>
      </c>
      <c r="BI188" s="3"/>
      <c r="BJ188" s="3"/>
      <c r="BK188" s="3"/>
      <c r="BL188" s="3" t="b">
        <f>IFERROR(__xludf.DUMMYFUNCTION("""COMPUTED_VALUE"""),FALSE)</f>
        <v>0</v>
      </c>
      <c r="BM188" s="3"/>
      <c r="BN188" s="3"/>
      <c r="BO188" s="3"/>
      <c r="BP188" s="3"/>
      <c r="BQ188" s="3"/>
      <c r="BR188" s="3"/>
      <c r="BS188" s="3"/>
      <c r="BT188" s="3"/>
      <c r="BU188" s="3"/>
      <c r="BV188" s="3"/>
      <c r="BW188" s="3"/>
    </row>
    <row r="189" ht="15.75" customHeight="1">
      <c r="A189" s="3" t="str">
        <f>IFERROR(__xludf.DUMMYFUNCTION("""COMPUTED_VALUE"""),"Octopi (WD)")</f>
        <v>Octopi (WD)</v>
      </c>
      <c r="B189" s="3">
        <f>IFERROR(__xludf.DUMMYFUNCTION("""COMPUTED_VALUE"""),1.0)</f>
        <v>1</v>
      </c>
      <c r="C189" s="3"/>
      <c r="D189" s="12" t="str">
        <f>IFERROR(__xludf.DUMMYFUNCTION("""COMPUTED_VALUE"""),"Beast")</f>
        <v>Beast</v>
      </c>
      <c r="E189" s="12">
        <f>IFERROR(__xludf.DUMMYFUNCTION("""COMPUTED_VALUE"""),1010.0)</f>
        <v>1010</v>
      </c>
      <c r="F189" s="12">
        <f>IFERROR(__xludf.DUMMYFUNCTION("""COMPUTED_VALUE"""),16010.0)</f>
        <v>16010</v>
      </c>
      <c r="G189" s="12">
        <f>IFERROR(__xludf.DUMMYFUNCTION("""COMPUTED_VALUE"""),1010.0)</f>
        <v>1010</v>
      </c>
      <c r="H189" s="3">
        <f>IFERROR(__xludf.DUMMYFUNCTION("""COMPUTED_VALUE"""),15.0)</f>
        <v>15</v>
      </c>
      <c r="I189" s="3">
        <f>IFERROR(__xludf.DUMMYFUNCTION("""COMPUTED_VALUE"""),0.0)</f>
        <v>0</v>
      </c>
      <c r="J189" s="3">
        <f>IFERROR(__xludf.DUMMYFUNCTION("""COMPUTED_VALUE"""),0.0)</f>
        <v>0</v>
      </c>
      <c r="K189" s="3">
        <f>IFERROR(__xludf.DUMMYFUNCTION("""COMPUTED_VALUE"""),100.0)</f>
        <v>100</v>
      </c>
      <c r="L189" s="3">
        <f>IFERROR(__xludf.DUMMYFUNCTION("""COMPUTED_VALUE"""),100.0)</f>
        <v>100</v>
      </c>
      <c r="M189" s="3" t="str">
        <f>IFERROR(__xludf.DUMMYFUNCTION("""COMPUTED_VALUE"""),"Fire:Immune, Water:Immune, Instant Death:Immune, ")</f>
        <v>Fire:Immune, Water:Immune, Instant Death:Immune, </v>
      </c>
      <c r="N189" s="3" t="str">
        <f>IFERROR(__xludf.DUMMYFUNCTION("""COMPUTED_VALUE"""),"Nature:100, ")</f>
        <v>Nature:100, </v>
      </c>
      <c r="O189" s="3"/>
      <c r="P189" s="3"/>
      <c r="Q189" s="3"/>
      <c r="R189" s="3"/>
      <c r="S189" s="3"/>
      <c r="T189" s="3"/>
      <c r="U189" s="3"/>
      <c r="V189" s="3"/>
      <c r="W189" s="3"/>
      <c r="X189" s="3"/>
      <c r="Y189" s="3"/>
      <c r="Z189" s="3"/>
      <c r="AA189" s="3"/>
      <c r="AB189" s="3"/>
      <c r="AC189" s="3"/>
      <c r="AD189" s="3"/>
      <c r="AE189" s="3"/>
      <c r="AF189" s="3"/>
      <c r="AG189" s="3"/>
      <c r="AH189" s="3"/>
      <c r="AI189" s="3"/>
      <c r="AJ189" s="3" t="str">
        <f>IFERROR(__xludf.DUMMYFUNCTION("""COMPUTED_VALUE"""),"Confiscate")</f>
        <v>Confiscate</v>
      </c>
      <c r="AK189" s="3" t="str">
        <f>IFERROR(__xludf.DUMMYFUNCTION("""COMPUTED_VALUE"""),"Tentacle Wack ")</f>
        <v>Tentacle Wack </v>
      </c>
      <c r="AL189" s="3" t="str">
        <f>IFERROR(__xludf.DUMMYFUNCTION("""COMPUTED_VALUE"""),"Punch")</f>
        <v>Punch</v>
      </c>
      <c r="AM189" s="3" t="str">
        <f>IFERROR(__xludf.DUMMYFUNCTION("""COMPUTED_VALUE"""),"Distracting Blow")</f>
        <v>Distracting Blow</v>
      </c>
      <c r="AN189" s="3"/>
      <c r="AO189" s="3"/>
      <c r="AP189" s="3"/>
      <c r="AQ189" s="3"/>
      <c r="AR189" s="3"/>
      <c r="AS189" s="3"/>
      <c r="AT189" s="3"/>
      <c r="AU189" s="3"/>
      <c r="AV189" s="3"/>
      <c r="AW189" s="3"/>
      <c r="AX189" s="3"/>
      <c r="AY189" s="3"/>
      <c r="AZ189" s="3"/>
      <c r="BA189" s="3"/>
      <c r="BB189" s="3"/>
      <c r="BC189" s="1"/>
      <c r="BD189" s="3">
        <f>IFERROR(__xludf.DUMMYFUNCTION("""COMPUTED_VALUE"""),0.0)</f>
        <v>0</v>
      </c>
      <c r="BE189" s="4">
        <f>IFERROR(__xludf.DUMMYFUNCTION("""COMPUTED_VALUE"""),15.0)</f>
        <v>15</v>
      </c>
      <c r="BF189" s="3" t="str">
        <f>IFERROR(__xludf.DUMMYFUNCTION("""COMPUTED_VALUE"""),"25% chance to be unaffected by any spells affecting this mob")</f>
        <v>25% chance to be unaffected by any spells affecting this mob</v>
      </c>
      <c r="BG189" s="3" t="str">
        <f>IFERROR(__xludf.DUMMYFUNCTION("""COMPUTED_VALUE"""),"Ocean")</f>
        <v>Ocean</v>
      </c>
      <c r="BH189" s="3" t="str">
        <f>IFERROR(__xludf.DUMMYFUNCTION("""COMPUTED_VALUE"""),"Land Of Spira")</f>
        <v>Land Of Spira</v>
      </c>
      <c r="BI189" s="3"/>
      <c r="BJ189" s="3"/>
      <c r="BK189" s="3"/>
      <c r="BL189" s="3" t="b">
        <f>IFERROR(__xludf.DUMMYFUNCTION("""COMPUTED_VALUE"""),FALSE)</f>
        <v>0</v>
      </c>
      <c r="BM189" s="3"/>
      <c r="BN189" s="3"/>
      <c r="BO189" s="3"/>
      <c r="BP189" s="3"/>
      <c r="BQ189" s="3"/>
      <c r="BR189" s="3"/>
      <c r="BS189" s="3"/>
      <c r="BT189" s="3"/>
      <c r="BU189" s="3"/>
      <c r="BV189" s="3"/>
      <c r="BW189" s="3"/>
    </row>
    <row r="190" ht="15.75" customHeight="1">
      <c r="A190" s="3" t="str">
        <f>IFERROR(__xludf.DUMMYFUNCTION("""COMPUTED_VALUE"""),"Octopi (WD) (Enhanced)")</f>
        <v>Octopi (WD) (Enhanced)</v>
      </c>
      <c r="B190" s="3">
        <f>IFERROR(__xludf.DUMMYFUNCTION("""COMPUTED_VALUE"""),1.0)</f>
        <v>1</v>
      </c>
      <c r="C190" s="3"/>
      <c r="D190" s="12" t="str">
        <f>IFERROR(__xludf.DUMMYFUNCTION("""COMPUTED_VALUE"""),"Beast")</f>
        <v>Beast</v>
      </c>
      <c r="E190" s="12">
        <f>IFERROR(__xludf.DUMMYFUNCTION("""COMPUTED_VALUE"""),1010.0)</f>
        <v>1010</v>
      </c>
      <c r="F190" s="12">
        <f>IFERROR(__xludf.DUMMYFUNCTION("""COMPUTED_VALUE"""),31010.0)</f>
        <v>31010</v>
      </c>
      <c r="G190" s="12">
        <f>IFERROR(__xludf.DUMMYFUNCTION("""COMPUTED_VALUE"""),1010.0)</f>
        <v>1010</v>
      </c>
      <c r="H190" s="3">
        <f>IFERROR(__xludf.DUMMYFUNCTION("""COMPUTED_VALUE"""),15.0)</f>
        <v>15</v>
      </c>
      <c r="I190" s="3">
        <f>IFERROR(__xludf.DUMMYFUNCTION("""COMPUTED_VALUE"""),0.0)</f>
        <v>0</v>
      </c>
      <c r="J190" s="3">
        <f>IFERROR(__xludf.DUMMYFUNCTION("""COMPUTED_VALUE"""),0.0)</f>
        <v>0</v>
      </c>
      <c r="K190" s="3">
        <f>IFERROR(__xludf.DUMMYFUNCTION("""COMPUTED_VALUE"""),100.0)</f>
        <v>100</v>
      </c>
      <c r="L190" s="3">
        <f>IFERROR(__xludf.DUMMYFUNCTION("""COMPUTED_VALUE"""),100.0)</f>
        <v>100</v>
      </c>
      <c r="M190" s="3" t="str">
        <f>IFERROR(__xludf.DUMMYFUNCTION("""COMPUTED_VALUE"""),"Fire:Immune, Water:Immune, Instant Death:Immune, ")</f>
        <v>Fire:Immune, Water:Immune, Instant Death:Immune, </v>
      </c>
      <c r="N190" s="3" t="str">
        <f>IFERROR(__xludf.DUMMYFUNCTION("""COMPUTED_VALUE"""),"Storm:100, Nature:100, ")</f>
        <v>Storm:100, Nature:100, </v>
      </c>
      <c r="O190" s="3"/>
      <c r="P190" s="3"/>
      <c r="Q190" s="3"/>
      <c r="R190" s="3"/>
      <c r="S190" s="3"/>
      <c r="T190" s="3"/>
      <c r="U190" s="3"/>
      <c r="V190" s="3"/>
      <c r="W190" s="3"/>
      <c r="X190" s="3"/>
      <c r="Y190" s="3"/>
      <c r="Z190" s="3"/>
      <c r="AA190" s="3"/>
      <c r="AB190" s="3"/>
      <c r="AC190" s="3"/>
      <c r="AD190" s="3"/>
      <c r="AE190" s="3"/>
      <c r="AF190" s="3"/>
      <c r="AG190" s="3"/>
      <c r="AH190" s="3"/>
      <c r="AI190" s="3"/>
      <c r="AJ190" s="3" t="str">
        <f>IFERROR(__xludf.DUMMYFUNCTION("""COMPUTED_VALUE"""),"Confiscate")</f>
        <v>Confiscate</v>
      </c>
      <c r="AK190" s="3" t="str">
        <f>IFERROR(__xludf.DUMMYFUNCTION("""COMPUTED_VALUE"""),"Tentacle Wack ")</f>
        <v>Tentacle Wack </v>
      </c>
      <c r="AL190" s="3" t="str">
        <f>IFERROR(__xludf.DUMMYFUNCTION("""COMPUTED_VALUE"""),"Hard punch")</f>
        <v>Hard punch</v>
      </c>
      <c r="AM190" s="3" t="str">
        <f>IFERROR(__xludf.DUMMYFUNCTION("""COMPUTED_VALUE"""),"Distracting Blow")</f>
        <v>Distracting Blow</v>
      </c>
      <c r="AN190" s="3"/>
      <c r="AO190" s="3"/>
      <c r="AP190" s="3"/>
      <c r="AQ190" s="3"/>
      <c r="AR190" s="3"/>
      <c r="AS190" s="3"/>
      <c r="AT190" s="3"/>
      <c r="AU190" s="3"/>
      <c r="AV190" s="3"/>
      <c r="AW190" s="3"/>
      <c r="AX190" s="3"/>
      <c r="AY190" s="3"/>
      <c r="AZ190" s="3"/>
      <c r="BA190" s="3"/>
      <c r="BB190" s="3"/>
      <c r="BC190" s="1"/>
      <c r="BD190" s="3">
        <f>IFERROR(__xludf.DUMMYFUNCTION("""COMPUTED_VALUE"""),0.0)</f>
        <v>0</v>
      </c>
      <c r="BE190" s="4">
        <f>IFERROR(__xludf.DUMMYFUNCTION("""COMPUTED_VALUE"""),15.0)</f>
        <v>15</v>
      </c>
      <c r="BF190" s="3" t="str">
        <f>IFERROR(__xludf.DUMMYFUNCTION("""COMPUTED_VALUE"""),"50% chance to be unaffected by any spells affecting this mob")</f>
        <v>50% chance to be unaffected by any spells affecting this mob</v>
      </c>
      <c r="BG190" s="3" t="str">
        <f>IFERROR(__xludf.DUMMYFUNCTION("""COMPUTED_VALUE"""),"Ocean")</f>
        <v>Ocean</v>
      </c>
      <c r="BH190" s="3" t="str">
        <f>IFERROR(__xludf.DUMMYFUNCTION("""COMPUTED_VALUE"""),"Land Of Spira")</f>
        <v>Land Of Spira</v>
      </c>
      <c r="BI190" s="3"/>
      <c r="BJ190" s="3"/>
      <c r="BK190" s="3"/>
      <c r="BL190" s="3" t="b">
        <f>IFERROR(__xludf.DUMMYFUNCTION("""COMPUTED_VALUE"""),FALSE)</f>
        <v>0</v>
      </c>
      <c r="BM190" s="3"/>
      <c r="BN190" s="3"/>
      <c r="BO190" s="3"/>
      <c r="BP190" s="3"/>
      <c r="BQ190" s="3"/>
      <c r="BR190" s="3"/>
      <c r="BS190" s="3"/>
      <c r="BT190" s="3"/>
      <c r="BU190" s="3"/>
      <c r="BV190" s="3"/>
      <c r="BW190" s="3"/>
    </row>
    <row r="191" ht="15.75" customHeight="1">
      <c r="A191" s="3" t="str">
        <f>IFERROR(__xludf.DUMMYFUNCTION("""COMPUTED_VALUE"""),"Ox")</f>
        <v>Ox</v>
      </c>
      <c r="B191" s="3">
        <f>IFERROR(__xludf.DUMMYFUNCTION("""COMPUTED_VALUE"""),1.0)</f>
        <v>1</v>
      </c>
      <c r="C191" s="3"/>
      <c r="D191" s="3" t="str">
        <f>IFERROR(__xludf.DUMMYFUNCTION("""COMPUTED_VALUE"""),"Beast")</f>
        <v>Beast</v>
      </c>
      <c r="E191" s="3">
        <f>IFERROR(__xludf.DUMMYFUNCTION("""COMPUTED_VALUE"""),1010.0)</f>
        <v>1010</v>
      </c>
      <c r="F191" s="12">
        <f>IFERROR(__xludf.DUMMYFUNCTION("""COMPUTED_VALUE"""),1010.0)</f>
        <v>1010</v>
      </c>
      <c r="G191" s="3">
        <f>IFERROR(__xludf.DUMMYFUNCTION("""COMPUTED_VALUE"""),1010.0)</f>
        <v>1010</v>
      </c>
      <c r="H191" s="3">
        <f>IFERROR(__xludf.DUMMYFUNCTION("""COMPUTED_VALUE"""),10.0)</f>
        <v>10</v>
      </c>
      <c r="I191" s="3">
        <f>IFERROR(__xludf.DUMMYFUNCTION("""COMPUTED_VALUE"""),0.0)</f>
        <v>0</v>
      </c>
      <c r="J191" s="3">
        <f>IFERROR(__xludf.DUMMYFUNCTION("""COMPUTED_VALUE"""),0.0)</f>
        <v>0</v>
      </c>
      <c r="K191" s="3">
        <f>IFERROR(__xludf.DUMMYFUNCTION("""COMPUTED_VALUE"""),100.0)</f>
        <v>100</v>
      </c>
      <c r="L191" s="3">
        <f>IFERROR(__xludf.DUMMYFUNCTION("""COMPUTED_VALUE"""),100.0)</f>
        <v>100</v>
      </c>
      <c r="M191" s="3" t="str">
        <f>IFERROR(__xludf.DUMMYFUNCTION("""COMPUTED_VALUE"""),"")</f>
        <v/>
      </c>
      <c r="N191" s="3" t="str">
        <f>IFERROR(__xludf.DUMMYFUNCTION("""COMPUTED_VALUE"""),"")</f>
        <v/>
      </c>
      <c r="O191" s="3"/>
      <c r="P191" s="3"/>
      <c r="Q191" s="3"/>
      <c r="R191" s="3"/>
      <c r="S191" s="3"/>
      <c r="T191" s="3"/>
      <c r="U191" s="3"/>
      <c r="V191" s="3"/>
      <c r="W191" s="3"/>
      <c r="X191" s="3"/>
      <c r="Y191" s="3"/>
      <c r="Z191" s="3"/>
      <c r="AA191" s="3"/>
      <c r="AB191" s="3"/>
      <c r="AC191" s="3"/>
      <c r="AD191" s="3"/>
      <c r="AE191" s="3"/>
      <c r="AF191" s="3"/>
      <c r="AG191" s="3"/>
      <c r="AH191" s="3"/>
      <c r="AI191" s="3"/>
      <c r="AJ191" s="3" t="str">
        <f>IFERROR(__xludf.DUMMYFUNCTION("""COMPUTED_VALUE"""),"Horns")</f>
        <v>Horns</v>
      </c>
      <c r="AK191" s="3" t="str">
        <f>IFERROR(__xludf.DUMMYFUNCTION("""COMPUTED_VALUE"""),"Charge")</f>
        <v>Charge</v>
      </c>
      <c r="AL191" s="3" t="str">
        <f>IFERROR(__xludf.DUMMYFUNCTION("""COMPUTED_VALUE"""),"Gore")</f>
        <v>Gore</v>
      </c>
      <c r="AM191" s="3" t="str">
        <f>IFERROR(__xludf.DUMMYFUNCTION("""COMPUTED_VALUE"""),"Distracting Blow")</f>
        <v>Distracting Blow</v>
      </c>
      <c r="AN191" s="3"/>
      <c r="AO191" s="3"/>
      <c r="AP191" s="3"/>
      <c r="AQ191" s="3"/>
      <c r="AR191" s="3"/>
      <c r="AS191" s="3"/>
      <c r="AT191" s="3"/>
      <c r="AU191" s="3"/>
      <c r="AV191" s="3"/>
      <c r="AW191" s="3"/>
      <c r="AX191" s="3"/>
      <c r="AY191" s="3"/>
      <c r="AZ191" s="3"/>
      <c r="BA191" s="3"/>
      <c r="BB191" s="3"/>
      <c r="BC191" s="1"/>
      <c r="BD191" s="3">
        <f>IFERROR(__xludf.DUMMYFUNCTION("""COMPUTED_VALUE"""),0.0)</f>
        <v>0</v>
      </c>
      <c r="BE191" s="4">
        <f>IFERROR(__xludf.DUMMYFUNCTION("""COMPUTED_VALUE"""),15.0)</f>
        <v>15</v>
      </c>
      <c r="BF191" s="3"/>
      <c r="BG191" s="3" t="str">
        <f>IFERROR(__xludf.DUMMYFUNCTION("""COMPUTED_VALUE"""),"All")</f>
        <v>All</v>
      </c>
      <c r="BH191" s="3" t="str">
        <f>IFERROR(__xludf.DUMMYFUNCTION("""COMPUTED_VALUE"""),"Land of Spira")</f>
        <v>Land of Spira</v>
      </c>
      <c r="BI191" s="3"/>
      <c r="BJ191" s="3"/>
      <c r="BK191" s="3"/>
      <c r="BL191" s="3" t="b">
        <f>IFERROR(__xludf.DUMMYFUNCTION("""COMPUTED_VALUE"""),FALSE)</f>
        <v>0</v>
      </c>
      <c r="BM191" s="3"/>
      <c r="BN191" s="3"/>
      <c r="BO191" s="3"/>
      <c r="BP191" s="3"/>
      <c r="BQ191" s="3"/>
      <c r="BR191" s="3"/>
      <c r="BS191" s="3"/>
      <c r="BT191" s="3"/>
      <c r="BU191" s="3"/>
      <c r="BV191" s="3"/>
      <c r="BW191" s="3"/>
    </row>
    <row r="192" ht="15.75" customHeight="1">
      <c r="A192" s="3" t="str">
        <f>IFERROR(__xludf.DUMMYFUNCTION("""COMPUTED_VALUE"""),"Phantom")</f>
        <v>Phantom</v>
      </c>
      <c r="B192" s="3">
        <f>IFERROR(__xludf.DUMMYFUNCTION("""COMPUTED_VALUE"""),1.0)</f>
        <v>1</v>
      </c>
      <c r="C192" s="3"/>
      <c r="D192" s="12" t="str">
        <f>IFERROR(__xludf.DUMMYFUNCTION("""COMPUTED_VALUE"""),"Spirit")</f>
        <v>Spirit</v>
      </c>
      <c r="E192" s="12">
        <f>IFERROR(__xludf.DUMMYFUNCTION("""COMPUTED_VALUE"""),1010.0)</f>
        <v>1010</v>
      </c>
      <c r="F192" s="12">
        <f>IFERROR(__xludf.DUMMYFUNCTION("""COMPUTED_VALUE"""),1010.0)</f>
        <v>1010</v>
      </c>
      <c r="G192" s="12">
        <f>IFERROR(__xludf.DUMMYFUNCTION("""COMPUTED_VALUE"""),1010.0)</f>
        <v>1010</v>
      </c>
      <c r="H192" s="3">
        <f>IFERROR(__xludf.DUMMYFUNCTION("""COMPUTED_VALUE"""),10.0)</f>
        <v>10</v>
      </c>
      <c r="I192" s="3">
        <f>IFERROR(__xludf.DUMMYFUNCTION("""COMPUTED_VALUE"""),0.0)</f>
        <v>0</v>
      </c>
      <c r="J192" s="3">
        <f>IFERROR(__xludf.DUMMYFUNCTION("""COMPUTED_VALUE"""),0.0)</f>
        <v>0</v>
      </c>
      <c r="K192" s="3">
        <f>IFERROR(__xludf.DUMMYFUNCTION("""COMPUTED_VALUE"""),100.0)</f>
        <v>100</v>
      </c>
      <c r="L192" s="3">
        <f>IFERROR(__xludf.DUMMYFUNCTION("""COMPUTED_VALUE"""),100.0)</f>
        <v>100</v>
      </c>
      <c r="M192" s="3" t="str">
        <f>IFERROR(__xludf.DUMMYFUNCTION("""COMPUTED_VALUE"""),"Dark:Immune, ")</f>
        <v>Dark:Immune, </v>
      </c>
      <c r="N192" s="3" t="str">
        <f>IFERROR(__xludf.DUMMYFUNCTION("""COMPUTED_VALUE"""),"Light:100, ")</f>
        <v>Light:100, </v>
      </c>
      <c r="O192" s="3"/>
      <c r="P192" s="3"/>
      <c r="Q192" s="3"/>
      <c r="R192" s="3"/>
      <c r="S192" s="3"/>
      <c r="T192" s="3"/>
      <c r="U192" s="3"/>
      <c r="V192" s="3"/>
      <c r="W192" s="3"/>
      <c r="X192" s="3"/>
      <c r="Y192" s="3"/>
      <c r="Z192" s="3"/>
      <c r="AA192" s="3"/>
      <c r="AB192" s="3"/>
      <c r="AC192" s="3"/>
      <c r="AD192" s="3"/>
      <c r="AE192" s="3"/>
      <c r="AF192" s="3"/>
      <c r="AG192" s="3"/>
      <c r="AH192" s="3"/>
      <c r="AI192" s="3"/>
      <c r="AJ192" s="3" t="str">
        <f>IFERROR(__xludf.DUMMYFUNCTION("""COMPUTED_VALUE"""),"Ice Ball")</f>
        <v>Ice Ball</v>
      </c>
      <c r="AK192" s="3" t="str">
        <f>IFERROR(__xludf.DUMMYFUNCTION("""COMPUTED_VALUE"""),"Chains of Shadow")</f>
        <v>Chains of Shadow</v>
      </c>
      <c r="AL192" s="3" t="str">
        <f>IFERROR(__xludf.DUMMYFUNCTION("""COMPUTED_VALUE"""),"Burning Dread")</f>
        <v>Burning Dread</v>
      </c>
      <c r="AM192" s="3"/>
      <c r="AN192" s="3"/>
      <c r="AO192" s="3"/>
      <c r="AP192" s="3"/>
      <c r="AQ192" s="3"/>
      <c r="AR192" s="3"/>
      <c r="AS192" s="3"/>
      <c r="AT192" s="3"/>
      <c r="AU192" s="3"/>
      <c r="AV192" s="3"/>
      <c r="AW192" s="3"/>
      <c r="AX192" s="3"/>
      <c r="AY192" s="3"/>
      <c r="AZ192" s="3"/>
      <c r="BA192" s="3"/>
      <c r="BB192" s="3"/>
      <c r="BC192" s="1"/>
      <c r="BD192" s="3">
        <f>IFERROR(__xludf.DUMMYFUNCTION("""COMPUTED_VALUE"""),0.0)</f>
        <v>0</v>
      </c>
      <c r="BE192" s="4">
        <f>IFERROR(__xludf.DUMMYFUNCTION("""COMPUTED_VALUE"""),10.0)</f>
        <v>10</v>
      </c>
      <c r="BF192" s="3"/>
      <c r="BG192" s="3" t="str">
        <f>IFERROR(__xludf.DUMMYFUNCTION("""COMPUTED_VALUE"""),"All")</f>
        <v>All</v>
      </c>
      <c r="BH192" s="3" t="str">
        <f>IFERROR(__xludf.DUMMYFUNCTION("""COMPUTED_VALUE"""),"Land of Spira")</f>
        <v>Land of Spira</v>
      </c>
      <c r="BI192" s="3"/>
      <c r="BJ192" s="3"/>
      <c r="BK192" s="3"/>
      <c r="BL192" s="3" t="b">
        <f>IFERROR(__xludf.DUMMYFUNCTION("""COMPUTED_VALUE"""),FALSE)</f>
        <v>0</v>
      </c>
      <c r="BM192" s="3"/>
      <c r="BN192" s="3"/>
      <c r="BO192" s="3"/>
      <c r="BP192" s="3"/>
      <c r="BQ192" s="3"/>
      <c r="BR192" s="3"/>
      <c r="BS192" s="3"/>
      <c r="BT192" s="3"/>
      <c r="BU192" s="3"/>
      <c r="BV192" s="3"/>
      <c r="BW192" s="3"/>
    </row>
    <row r="193" ht="15.75" customHeight="1">
      <c r="A193" s="3" t="str">
        <f>IFERROR(__xludf.DUMMYFUNCTION("""COMPUTED_VALUE"""),"Phantom of Lord Dreadful")</f>
        <v>Phantom of Lord Dreadful</v>
      </c>
      <c r="B193" s="3">
        <f>IFERROR(__xludf.DUMMYFUNCTION("""COMPUTED_VALUE"""),1.0)</f>
        <v>1</v>
      </c>
      <c r="C193" s="3"/>
      <c r="D193" s="12" t="str">
        <f>IFERROR(__xludf.DUMMYFUNCTION("""COMPUTED_VALUE"""),"Spirit")</f>
        <v>Spirit</v>
      </c>
      <c r="E193" s="12">
        <f>IFERROR(__xludf.DUMMYFUNCTION("""COMPUTED_VALUE"""),1010.0)</f>
        <v>1010</v>
      </c>
      <c r="F193" s="12">
        <f>IFERROR(__xludf.DUMMYFUNCTION("""COMPUTED_VALUE"""),1010.0)</f>
        <v>1010</v>
      </c>
      <c r="G193" s="12">
        <f>IFERROR(__xludf.DUMMYFUNCTION("""COMPUTED_VALUE"""),1010.0)</f>
        <v>1010</v>
      </c>
      <c r="H193" s="3">
        <f>IFERROR(__xludf.DUMMYFUNCTION("""COMPUTED_VALUE"""),10.0)</f>
        <v>10</v>
      </c>
      <c r="I193" s="3">
        <f>IFERROR(__xludf.DUMMYFUNCTION("""COMPUTED_VALUE"""),0.0)</f>
        <v>0</v>
      </c>
      <c r="J193" s="3">
        <f>IFERROR(__xludf.DUMMYFUNCTION("""COMPUTED_VALUE"""),0.0)</f>
        <v>0</v>
      </c>
      <c r="K193" s="3">
        <f>IFERROR(__xludf.DUMMYFUNCTION("""COMPUTED_VALUE"""),100.0)</f>
        <v>100</v>
      </c>
      <c r="L193" s="3">
        <f>IFERROR(__xludf.DUMMYFUNCTION("""COMPUTED_VALUE"""),100.0)</f>
        <v>100</v>
      </c>
      <c r="M193" s="3" t="str">
        <f>IFERROR(__xludf.DUMMYFUNCTION("""COMPUTED_VALUE"""),"Dark:Immune, ")</f>
        <v>Dark:Immune, </v>
      </c>
      <c r="N193" s="3" t="str">
        <f>IFERROR(__xludf.DUMMYFUNCTION("""COMPUTED_VALUE"""),"Fire:100, Light:100, ")</f>
        <v>Fire:100, Light:100, </v>
      </c>
      <c r="O193" s="3"/>
      <c r="P193" s="3"/>
      <c r="Q193" s="3"/>
      <c r="R193" s="3"/>
      <c r="S193" s="3"/>
      <c r="T193" s="3"/>
      <c r="U193" s="3"/>
      <c r="V193" s="3"/>
      <c r="W193" s="3"/>
      <c r="X193" s="3"/>
      <c r="Y193" s="3"/>
      <c r="Z193" s="3"/>
      <c r="AA193" s="3"/>
      <c r="AB193" s="3"/>
      <c r="AC193" s="3"/>
      <c r="AD193" s="3"/>
      <c r="AE193" s="3"/>
      <c r="AF193" s="3"/>
      <c r="AG193" s="3"/>
      <c r="AH193" s="3"/>
      <c r="AI193" s="3"/>
      <c r="AJ193" s="3" t="str">
        <f>IFERROR(__xludf.DUMMYFUNCTION("""COMPUTED_VALUE"""),"Dark Boost")</f>
        <v>Dark Boost</v>
      </c>
      <c r="AK193" s="3" t="str">
        <f>IFERROR(__xludf.DUMMYFUNCTION("""COMPUTED_VALUE"""),"Chaotic Shadow Force")</f>
        <v>Chaotic Shadow Force</v>
      </c>
      <c r="AL193" s="3" t="str">
        <f>IFERROR(__xludf.DUMMYFUNCTION("""COMPUTED_VALUE"""),"Darkest Abyss")</f>
        <v>Darkest Abyss</v>
      </c>
      <c r="AM193" s="3" t="str">
        <f>IFERROR(__xludf.DUMMYFUNCTION("""COMPUTED_VALUE"""),"Chaotic Shadow Force")</f>
        <v>Chaotic Shadow Force</v>
      </c>
      <c r="AN193" s="3" t="str">
        <f>IFERROR(__xludf.DUMMYFUNCTION("""COMPUTED_VALUE"""),"Celestial strike")</f>
        <v>Celestial strike</v>
      </c>
      <c r="AO193" s="3"/>
      <c r="AP193" s="3"/>
      <c r="AQ193" s="3"/>
      <c r="AR193" s="3"/>
      <c r="AS193" s="3"/>
      <c r="AT193" s="3"/>
      <c r="AU193" s="3"/>
      <c r="AV193" s="3"/>
      <c r="AW193" s="3"/>
      <c r="AX193" s="3"/>
      <c r="AY193" s="3"/>
      <c r="AZ193" s="3"/>
      <c r="BA193" s="3"/>
      <c r="BB193" s="3"/>
      <c r="BC193" s="1"/>
      <c r="BD193" s="3">
        <f>IFERROR(__xludf.DUMMYFUNCTION("""COMPUTED_VALUE"""),0.0)</f>
        <v>0</v>
      </c>
      <c r="BE193" s="4">
        <f>IFERROR(__xludf.DUMMYFUNCTION("""COMPUTED_VALUE"""),10.0)</f>
        <v>10</v>
      </c>
      <c r="BF193" s="3" t="str">
        <f>IFERROR(__xludf.DUMMYFUNCTION("""COMPUTED_VALUE"""),"will live on 1 hp unless hit with light, fire, or celestial.")</f>
        <v>will live on 1 hp unless hit with light, fire, or celestial.</v>
      </c>
      <c r="BG193" s="3" t="str">
        <f>IFERROR(__xludf.DUMMYFUNCTION("""COMPUTED_VALUE"""),"All")</f>
        <v>All</v>
      </c>
      <c r="BH193" s="3" t="str">
        <f>IFERROR(__xludf.DUMMYFUNCTION("""COMPUTED_VALUE"""),"Land Of Spira")</f>
        <v>Land Of Spira</v>
      </c>
      <c r="BI193" s="3"/>
      <c r="BJ193" s="3"/>
      <c r="BK193" s="3"/>
      <c r="BL193" s="3" t="b">
        <f>IFERROR(__xludf.DUMMYFUNCTION("""COMPUTED_VALUE"""),FALSE)</f>
        <v>0</v>
      </c>
      <c r="BM193" s="3"/>
      <c r="BN193" s="3"/>
      <c r="BO193" s="3"/>
      <c r="BP193" s="3"/>
      <c r="BQ193" s="3"/>
      <c r="BR193" s="3"/>
      <c r="BS193" s="3"/>
      <c r="BT193" s="3"/>
      <c r="BU193" s="3"/>
      <c r="BV193" s="3"/>
      <c r="BW193" s="3"/>
    </row>
    <row r="194" ht="15.75" customHeight="1">
      <c r="A194" s="3" t="str">
        <f>IFERROR(__xludf.DUMMYFUNCTION("""COMPUTED_VALUE"""),"Piranhas (WD)")</f>
        <v>Piranhas (WD)</v>
      </c>
      <c r="B194" s="3">
        <f>IFERROR(__xludf.DUMMYFUNCTION("""COMPUTED_VALUE"""),1.0)</f>
        <v>1</v>
      </c>
      <c r="C194" s="3"/>
      <c r="D194" s="12" t="str">
        <f>IFERROR(__xludf.DUMMYFUNCTION("""COMPUTED_VALUE"""),"Beast")</f>
        <v>Beast</v>
      </c>
      <c r="E194" s="12">
        <f>IFERROR(__xludf.DUMMYFUNCTION("""COMPUTED_VALUE"""),16010.0)</f>
        <v>16010</v>
      </c>
      <c r="F194" s="12">
        <f>IFERROR(__xludf.DUMMYFUNCTION("""COMPUTED_VALUE"""),1010.0)</f>
        <v>1010</v>
      </c>
      <c r="G194" s="12">
        <f>IFERROR(__xludf.DUMMYFUNCTION("""COMPUTED_VALUE"""),1010.0)</f>
        <v>1010</v>
      </c>
      <c r="H194" s="3">
        <f>IFERROR(__xludf.DUMMYFUNCTION("""COMPUTED_VALUE"""),20.0)</f>
        <v>20</v>
      </c>
      <c r="I194" s="3">
        <f>IFERROR(__xludf.DUMMYFUNCTION("""COMPUTED_VALUE"""),0.0)</f>
        <v>0</v>
      </c>
      <c r="J194" s="3">
        <f>IFERROR(__xludf.DUMMYFUNCTION("""COMPUTED_VALUE"""),0.0)</f>
        <v>0</v>
      </c>
      <c r="K194" s="3">
        <f>IFERROR(__xludf.DUMMYFUNCTION("""COMPUTED_VALUE"""),100.0)</f>
        <v>100</v>
      </c>
      <c r="L194" s="3">
        <f>IFERROR(__xludf.DUMMYFUNCTION("""COMPUTED_VALUE"""),100.0)</f>
        <v>100</v>
      </c>
      <c r="M194" s="3" t="str">
        <f>IFERROR(__xludf.DUMMYFUNCTION("""COMPUTED_VALUE"""),"Fire:Immune, Water:Immune, ")</f>
        <v>Fire:Immune, Water:Immune, </v>
      </c>
      <c r="N194" s="3" t="str">
        <f>IFERROR(__xludf.DUMMYFUNCTION("""COMPUTED_VALUE"""),"Nature:100, ")</f>
        <v>Nature:100, </v>
      </c>
      <c r="O194" s="3"/>
      <c r="P194" s="3"/>
      <c r="Q194" s="3"/>
      <c r="R194" s="3"/>
      <c r="S194" s="3"/>
      <c r="T194" s="3"/>
      <c r="U194" s="3"/>
      <c r="V194" s="3"/>
      <c r="W194" s="3"/>
      <c r="X194" s="3"/>
      <c r="Y194" s="3"/>
      <c r="Z194" s="3"/>
      <c r="AA194" s="3"/>
      <c r="AB194" s="3"/>
      <c r="AC194" s="3"/>
      <c r="AD194" s="3"/>
      <c r="AE194" s="3"/>
      <c r="AF194" s="3"/>
      <c r="AG194" s="3"/>
      <c r="AH194" s="3"/>
      <c r="AI194" s="3"/>
      <c r="AJ194" s="3" t="str">
        <f>IFERROR(__xludf.DUMMYFUNCTION("""COMPUTED_VALUE"""),"Swarm")</f>
        <v>Swarm</v>
      </c>
      <c r="AK194" s="3" t="str">
        <f>IFERROR(__xludf.DUMMYFUNCTION("""COMPUTED_VALUE"""),"Bite")</f>
        <v>Bite</v>
      </c>
      <c r="AL194" s="3"/>
      <c r="AM194" s="3"/>
      <c r="AN194" s="3"/>
      <c r="AO194" s="3"/>
      <c r="AP194" s="3"/>
      <c r="AQ194" s="3"/>
      <c r="AR194" s="3"/>
      <c r="AS194" s="3"/>
      <c r="AT194" s="3"/>
      <c r="AU194" s="3"/>
      <c r="AV194" s="3"/>
      <c r="AW194" s="3"/>
      <c r="AX194" s="3"/>
      <c r="AY194" s="3"/>
      <c r="AZ194" s="3"/>
      <c r="BA194" s="3"/>
      <c r="BB194" s="3"/>
      <c r="BC194" s="1"/>
      <c r="BD194" s="3">
        <f>IFERROR(__xludf.DUMMYFUNCTION("""COMPUTED_VALUE"""),0.0)</f>
        <v>0</v>
      </c>
      <c r="BE194" s="4">
        <f>IFERROR(__xludf.DUMMYFUNCTION("""COMPUTED_VALUE"""),10.0)</f>
        <v>10</v>
      </c>
      <c r="BF194" s="3"/>
      <c r="BG194" s="3" t="str">
        <f>IFERROR(__xludf.DUMMYFUNCTION("""COMPUTED_VALUE"""),"Ocean")</f>
        <v>Ocean</v>
      </c>
      <c r="BH194" s="3" t="str">
        <f>IFERROR(__xludf.DUMMYFUNCTION("""COMPUTED_VALUE"""),"Land Of Spira")</f>
        <v>Land Of Spira</v>
      </c>
      <c r="BI194" s="3"/>
      <c r="BJ194" s="3"/>
      <c r="BK194" s="3"/>
      <c r="BL194" s="3" t="b">
        <f>IFERROR(__xludf.DUMMYFUNCTION("""COMPUTED_VALUE"""),FALSE)</f>
        <v>0</v>
      </c>
      <c r="BM194" s="3"/>
      <c r="BN194" s="3"/>
      <c r="BO194" s="3"/>
      <c r="BP194" s="3"/>
      <c r="BQ194" s="3"/>
      <c r="BR194" s="3"/>
      <c r="BS194" s="3"/>
      <c r="BT194" s="3"/>
      <c r="BU194" s="3"/>
      <c r="BV194" s="3"/>
      <c r="BW194" s="3"/>
    </row>
    <row r="195" ht="15.75" customHeight="1">
      <c r="A195" s="3" t="str">
        <f>IFERROR(__xludf.DUMMYFUNCTION("""COMPUTED_VALUE"""),"Piranhas (WD) (Enhanced)")</f>
        <v>Piranhas (WD) (Enhanced)</v>
      </c>
      <c r="B195" s="3">
        <f>IFERROR(__xludf.DUMMYFUNCTION("""COMPUTED_VALUE"""),1.0)</f>
        <v>1</v>
      </c>
      <c r="C195" s="3"/>
      <c r="D195" s="12" t="str">
        <f>IFERROR(__xludf.DUMMYFUNCTION("""COMPUTED_VALUE"""),"Beast")</f>
        <v>Beast</v>
      </c>
      <c r="E195" s="12">
        <f>IFERROR(__xludf.DUMMYFUNCTION("""COMPUTED_VALUE"""),31010.0)</f>
        <v>31010</v>
      </c>
      <c r="F195" s="12">
        <f>IFERROR(__xludf.DUMMYFUNCTION("""COMPUTED_VALUE"""),1010.0)</f>
        <v>1010</v>
      </c>
      <c r="G195" s="12">
        <f>IFERROR(__xludf.DUMMYFUNCTION("""COMPUTED_VALUE"""),1010.0)</f>
        <v>1010</v>
      </c>
      <c r="H195" s="3">
        <f>IFERROR(__xludf.DUMMYFUNCTION("""COMPUTED_VALUE"""),25.0)</f>
        <v>25</v>
      </c>
      <c r="I195" s="3">
        <f>IFERROR(__xludf.DUMMYFUNCTION("""COMPUTED_VALUE"""),0.0)</f>
        <v>0</v>
      </c>
      <c r="J195" s="3">
        <f>IFERROR(__xludf.DUMMYFUNCTION("""COMPUTED_VALUE"""),0.0)</f>
        <v>0</v>
      </c>
      <c r="K195" s="3">
        <f>IFERROR(__xludf.DUMMYFUNCTION("""COMPUTED_VALUE"""),100.0)</f>
        <v>100</v>
      </c>
      <c r="L195" s="3">
        <f>IFERROR(__xludf.DUMMYFUNCTION("""COMPUTED_VALUE"""),100.0)</f>
        <v>100</v>
      </c>
      <c r="M195" s="3" t="str">
        <f>IFERROR(__xludf.DUMMYFUNCTION("""COMPUTED_VALUE"""),"Fire:Immune, Water:Immune, ")</f>
        <v>Fire:Immune, Water:Immune, </v>
      </c>
      <c r="N195" s="3" t="str">
        <f>IFERROR(__xludf.DUMMYFUNCTION("""COMPUTED_VALUE"""),"Nature:100, ")</f>
        <v>Nature:100, </v>
      </c>
      <c r="O195" s="3"/>
      <c r="P195" s="3"/>
      <c r="Q195" s="3"/>
      <c r="R195" s="3"/>
      <c r="S195" s="3"/>
      <c r="T195" s="3"/>
      <c r="U195" s="3"/>
      <c r="V195" s="3"/>
      <c r="W195" s="3"/>
      <c r="X195" s="3"/>
      <c r="Y195" s="3"/>
      <c r="Z195" s="3"/>
      <c r="AA195" s="3"/>
      <c r="AB195" s="3"/>
      <c r="AC195" s="3"/>
      <c r="AD195" s="3"/>
      <c r="AE195" s="3"/>
      <c r="AF195" s="3"/>
      <c r="AG195" s="3"/>
      <c r="AH195" s="3"/>
      <c r="AI195" s="3"/>
      <c r="AJ195" s="3" t="str">
        <f>IFERROR(__xludf.DUMMYFUNCTION("""COMPUTED_VALUE"""),"Swarm")</f>
        <v>Swarm</v>
      </c>
      <c r="AK195" s="3" t="str">
        <f>IFERROR(__xludf.DUMMYFUNCTION("""COMPUTED_VALUE"""),"Bite")</f>
        <v>Bite</v>
      </c>
      <c r="AL195" s="3"/>
      <c r="AM195" s="3"/>
      <c r="AN195" s="3"/>
      <c r="AO195" s="3"/>
      <c r="AP195" s="3"/>
      <c r="AQ195" s="3"/>
      <c r="AR195" s="3"/>
      <c r="AS195" s="3"/>
      <c r="AT195" s="3"/>
      <c r="AU195" s="3"/>
      <c r="AV195" s="3"/>
      <c r="AW195" s="3"/>
      <c r="AX195" s="3"/>
      <c r="AY195" s="3"/>
      <c r="AZ195" s="3"/>
      <c r="BA195" s="3"/>
      <c r="BB195" s="3"/>
      <c r="BC195" s="1"/>
      <c r="BD195" s="3">
        <f>IFERROR(__xludf.DUMMYFUNCTION("""COMPUTED_VALUE"""),0.0)</f>
        <v>0</v>
      </c>
      <c r="BE195" s="4">
        <f>IFERROR(__xludf.DUMMYFUNCTION("""COMPUTED_VALUE"""),10.0)</f>
        <v>10</v>
      </c>
      <c r="BF195" s="3"/>
      <c r="BG195" s="3" t="str">
        <f>IFERROR(__xludf.DUMMYFUNCTION("""COMPUTED_VALUE"""),"Ocean")</f>
        <v>Ocean</v>
      </c>
      <c r="BH195" s="3" t="str">
        <f>IFERROR(__xludf.DUMMYFUNCTION("""COMPUTED_VALUE"""),"Land Of Spira")</f>
        <v>Land Of Spira</v>
      </c>
      <c r="BI195" s="3"/>
      <c r="BJ195" s="3"/>
      <c r="BK195" s="3"/>
      <c r="BL195" s="3" t="b">
        <f>IFERROR(__xludf.DUMMYFUNCTION("""COMPUTED_VALUE"""),FALSE)</f>
        <v>0</v>
      </c>
      <c r="BM195" s="3"/>
      <c r="BN195" s="3"/>
      <c r="BO195" s="3"/>
      <c r="BP195" s="3"/>
      <c r="BQ195" s="3"/>
      <c r="BR195" s="3"/>
      <c r="BS195" s="3"/>
      <c r="BT195" s="3"/>
      <c r="BU195" s="3"/>
      <c r="BV195" s="3"/>
      <c r="BW195" s="3"/>
    </row>
    <row r="196" ht="15.75" customHeight="1">
      <c r="A196" s="3" t="str">
        <f>IFERROR(__xludf.DUMMYFUNCTION("""COMPUTED_VALUE"""),"Poison Warrior")</f>
        <v>Poison Warrior</v>
      </c>
      <c r="B196" s="3">
        <f>IFERROR(__xludf.DUMMYFUNCTION("""COMPUTED_VALUE"""),1.0)</f>
        <v>1</v>
      </c>
      <c r="C196" s="3" t="str">
        <f>IFERROR(__xludf.DUMMYFUNCTION("""COMPUTED_VALUE"""),"swamp portal event enemy")</f>
        <v>swamp portal event enemy</v>
      </c>
      <c r="D196" s="12" t="str">
        <f>IFERROR(__xludf.DUMMYFUNCTION("""COMPUTED_VALUE"""),"Humanoid")</f>
        <v>Humanoid</v>
      </c>
      <c r="E196" s="12">
        <f>IFERROR(__xludf.DUMMYFUNCTION("""COMPUTED_VALUE"""),1010.0)</f>
        <v>1010</v>
      </c>
      <c r="F196" s="12">
        <f>IFERROR(__xludf.DUMMYFUNCTION("""COMPUTED_VALUE"""),1010.0)</f>
        <v>1010</v>
      </c>
      <c r="G196" s="12">
        <f>IFERROR(__xludf.DUMMYFUNCTION("""COMPUTED_VALUE"""),1010.0)</f>
        <v>1010</v>
      </c>
      <c r="H196" s="3">
        <f>IFERROR(__xludf.DUMMYFUNCTION("""COMPUTED_VALUE"""),10.0)</f>
        <v>10</v>
      </c>
      <c r="I196" s="3">
        <f>IFERROR(__xludf.DUMMYFUNCTION("""COMPUTED_VALUE"""),0.0)</f>
        <v>0</v>
      </c>
      <c r="J196" s="3">
        <f>IFERROR(__xludf.DUMMYFUNCTION("""COMPUTED_VALUE"""),0.0)</f>
        <v>0</v>
      </c>
      <c r="K196" s="3">
        <f>IFERROR(__xludf.DUMMYFUNCTION("""COMPUTED_VALUE"""),100.0)</f>
        <v>100</v>
      </c>
      <c r="L196" s="3">
        <f>IFERROR(__xludf.DUMMYFUNCTION("""COMPUTED_VALUE"""),100.0)</f>
        <v>100</v>
      </c>
      <c r="M196" s="3" t="str">
        <f>IFERROR(__xludf.DUMMYFUNCTION("""COMPUTED_VALUE"""),"Nature:100, ")</f>
        <v>Nature:100, </v>
      </c>
      <c r="N196" s="3" t="str">
        <f>IFERROR(__xludf.DUMMYFUNCTION("""COMPUTED_VALUE"""),"Fire:100, ")</f>
        <v>Fire:100, </v>
      </c>
      <c r="O196" s="3"/>
      <c r="P196" s="3"/>
      <c r="Q196" s="3"/>
      <c r="R196" s="3"/>
      <c r="S196" s="3"/>
      <c r="T196" s="3"/>
      <c r="U196" s="3"/>
      <c r="V196" s="3" t="str">
        <f>IFERROR(__xludf.DUMMYFUNCTION("""COMPUTED_VALUE"""),"Poison Vine Sword")</f>
        <v>Poison Vine Sword</v>
      </c>
      <c r="W196" s="3"/>
      <c r="X196" s="3"/>
      <c r="Y196" s="3"/>
      <c r="Z196" s="3"/>
      <c r="AA196" s="3"/>
      <c r="AB196" s="3"/>
      <c r="AC196" s="3"/>
      <c r="AD196" s="3"/>
      <c r="AE196" s="3"/>
      <c r="AF196" s="3"/>
      <c r="AG196" s="3"/>
      <c r="AH196" s="3"/>
      <c r="AI196" s="3"/>
      <c r="AJ196" s="3" t="str">
        <f>IFERROR(__xludf.DUMMYFUNCTION("""COMPUTED_VALUE"""),"Class 3 Poison")</f>
        <v>Class 3 Poison</v>
      </c>
      <c r="AK196" s="3"/>
      <c r="AL196" s="3"/>
      <c r="AM196" s="3"/>
      <c r="AN196" s="3"/>
      <c r="AO196" s="3"/>
      <c r="AP196" s="3"/>
      <c r="AQ196" s="3"/>
      <c r="AR196" s="3"/>
      <c r="AS196" s="3"/>
      <c r="AT196" s="3"/>
      <c r="AU196" s="3"/>
      <c r="AV196" s="3"/>
      <c r="AW196" s="3"/>
      <c r="AX196" s="3"/>
      <c r="AY196" s="3"/>
      <c r="AZ196" s="3"/>
      <c r="BA196" s="3"/>
      <c r="BB196" s="3"/>
      <c r="BC196" s="1"/>
      <c r="BD196" s="3">
        <f>IFERROR(__xludf.DUMMYFUNCTION("""COMPUTED_VALUE"""),0.0)</f>
        <v>0</v>
      </c>
      <c r="BE196" s="4">
        <f>IFERROR(__xludf.DUMMYFUNCTION("""COMPUTED_VALUE"""),10.0)</f>
        <v>10</v>
      </c>
      <c r="BF196" s="3"/>
      <c r="BG196" s="3" t="str">
        <f>IFERROR(__xludf.DUMMYFUNCTION("""COMPUTED_VALUE"""),"Swamp")</f>
        <v>Swamp</v>
      </c>
      <c r="BH196" s="3" t="str">
        <f>IFERROR(__xludf.DUMMYFUNCTION("""COMPUTED_VALUE"""),"Land of Spira")</f>
        <v>Land of Spira</v>
      </c>
      <c r="BI196" s="3"/>
      <c r="BJ196" s="3"/>
      <c r="BK196" s="3"/>
      <c r="BL196" s="3" t="b">
        <f>IFERROR(__xludf.DUMMYFUNCTION("""COMPUTED_VALUE"""),FALSE)</f>
        <v>0</v>
      </c>
      <c r="BM196" s="3"/>
      <c r="BN196" s="3"/>
      <c r="BO196" s="3"/>
      <c r="BP196" s="3"/>
      <c r="BQ196" s="3"/>
      <c r="BR196" s="3"/>
      <c r="BS196" s="3"/>
      <c r="BT196" s="3"/>
      <c r="BU196" s="3"/>
      <c r="BV196" s="3"/>
      <c r="BW196" s="3"/>
    </row>
    <row r="197" ht="15.75" customHeight="1">
      <c r="A197" s="3" t="str">
        <f>IFERROR(__xludf.DUMMYFUNCTION("""COMPUTED_VALUE"""),"Possessed Pumpkin")</f>
        <v>Possessed Pumpkin</v>
      </c>
      <c r="B197" s="3">
        <f>IFERROR(__xludf.DUMMYFUNCTION("""COMPUTED_VALUE"""),1.0)</f>
        <v>1</v>
      </c>
      <c r="C197" s="3"/>
      <c r="D197" s="3" t="str">
        <f>IFERROR(__xludf.DUMMYFUNCTION("""COMPUTED_VALUE"""),"Undead")</f>
        <v>Undead</v>
      </c>
      <c r="E197" s="3">
        <f>IFERROR(__xludf.DUMMYFUNCTION("""COMPUTED_VALUE"""),1010.0)</f>
        <v>1010</v>
      </c>
      <c r="F197" s="12">
        <f>IFERROR(__xludf.DUMMYFUNCTION("""COMPUTED_VALUE"""),1010.0)</f>
        <v>1010</v>
      </c>
      <c r="G197" s="3">
        <f>IFERROR(__xludf.DUMMYFUNCTION("""COMPUTED_VALUE"""),1010.0)</f>
        <v>1010</v>
      </c>
      <c r="H197" s="3">
        <f>IFERROR(__xludf.DUMMYFUNCTION("""COMPUTED_VALUE"""),10.0)</f>
        <v>10</v>
      </c>
      <c r="I197" s="3">
        <f>IFERROR(__xludf.DUMMYFUNCTION("""COMPUTED_VALUE"""),0.0)</f>
        <v>0</v>
      </c>
      <c r="J197" s="3">
        <f>IFERROR(__xludf.DUMMYFUNCTION("""COMPUTED_VALUE"""),0.0)</f>
        <v>0</v>
      </c>
      <c r="K197" s="3">
        <f>IFERROR(__xludf.DUMMYFUNCTION("""COMPUTED_VALUE"""),100.0)</f>
        <v>100</v>
      </c>
      <c r="L197" s="3">
        <f>IFERROR(__xludf.DUMMYFUNCTION("""COMPUTED_VALUE"""),100.0)</f>
        <v>100</v>
      </c>
      <c r="M197" s="3" t="str">
        <f>IFERROR(__xludf.DUMMYFUNCTION("""COMPUTED_VALUE"""),"Dark:Immune, Spirit:Immune, ")</f>
        <v>Dark:Immune, Spirit:Immune, </v>
      </c>
      <c r="N197" s="3" t="str">
        <f>IFERROR(__xludf.DUMMYFUNCTION("""COMPUTED_VALUE"""),"Light:100, ")</f>
        <v>Light:100, </v>
      </c>
      <c r="O197" s="3"/>
      <c r="P197" s="3"/>
      <c r="Q197" s="3"/>
      <c r="R197" s="3"/>
      <c r="S197" s="3"/>
      <c r="T197" s="3"/>
      <c r="U197" s="3"/>
      <c r="V197" s="3"/>
      <c r="W197" s="3"/>
      <c r="X197" s="3"/>
      <c r="Y197" s="3"/>
      <c r="Z197" s="3"/>
      <c r="AA197" s="3"/>
      <c r="AB197" s="3"/>
      <c r="AC197" s="3"/>
      <c r="AD197" s="3"/>
      <c r="AE197" s="3"/>
      <c r="AF197" s="3"/>
      <c r="AG197" s="3"/>
      <c r="AH197" s="3"/>
      <c r="AI197" s="3"/>
      <c r="AJ197" s="3" t="str">
        <f>IFERROR(__xludf.DUMMYFUNCTION("""COMPUTED_VALUE"""),"Possession")</f>
        <v>Possession</v>
      </c>
      <c r="AK197" s="3" t="str">
        <f>IFERROR(__xludf.DUMMYFUNCTION("""COMPUTED_VALUE"""),"Soul Shot")</f>
        <v>Soul Shot</v>
      </c>
      <c r="AL197" s="3" t="str">
        <f>IFERROR(__xludf.DUMMYFUNCTION("""COMPUTED_VALUE"""),"Flaming Bite")</f>
        <v>Flaming Bite</v>
      </c>
      <c r="AM197" s="3" t="str">
        <f>IFERROR(__xludf.DUMMYFUNCTION("""COMPUTED_VALUE"""),"Mass Ignition")</f>
        <v>Mass Ignition</v>
      </c>
      <c r="AN197" s="3"/>
      <c r="AO197" s="3"/>
      <c r="AP197" s="3"/>
      <c r="AQ197" s="3"/>
      <c r="AR197" s="3"/>
      <c r="AS197" s="3"/>
      <c r="AT197" s="3"/>
      <c r="AU197" s="3"/>
      <c r="AV197" s="3"/>
      <c r="AW197" s="3"/>
      <c r="AX197" s="3"/>
      <c r="AY197" s="3"/>
      <c r="AZ197" s="3"/>
      <c r="BA197" s="3"/>
      <c r="BB197" s="3"/>
      <c r="BC197" s="1"/>
      <c r="BD197" s="3">
        <f>IFERROR(__xludf.DUMMYFUNCTION("""COMPUTED_VALUE"""),0.0)</f>
        <v>0</v>
      </c>
      <c r="BE197" s="4">
        <f>IFERROR(__xludf.DUMMYFUNCTION("""COMPUTED_VALUE"""),10.0)</f>
        <v>10</v>
      </c>
      <c r="BF197" s="3" t="str">
        <f>IFERROR(__xludf.DUMMYFUNCTION("""COMPUTED_VALUE"""),"Peek A Boo:  All players roll a d20 at the begining of battle; The players that roll a 10 or lower cannot perform their turn order for the first round of the battle, Players that roll a 20 or higher get two actions during their turn order for the first ro"&amp;"und of battle.
Undead- Can only be killed by light,fire, or celestial")</f>
        <v>Peek A Boo:  All players roll a d20 at the begining of battle; The players that roll a 10 or lower cannot perform their turn order for the first round of the battle, Players that roll a 20 or higher get two actions during their turn order for the first round of battle.
Undead- Can only be killed by light,fire, or celestial</v>
      </c>
      <c r="BG197" s="3" t="str">
        <f>IFERROR(__xludf.DUMMYFUNCTION("""COMPUTED_VALUE"""),"Dungeon")</f>
        <v>Dungeon</v>
      </c>
      <c r="BH197" s="3" t="str">
        <f>IFERROR(__xludf.DUMMYFUNCTION("""COMPUTED_VALUE"""),"Halloween Kingdom")</f>
        <v>Halloween Kingdom</v>
      </c>
      <c r="BI197" s="3"/>
      <c r="BJ197" s="3"/>
      <c r="BK197" s="3"/>
      <c r="BL197" s="3" t="b">
        <f>IFERROR(__xludf.DUMMYFUNCTION("""COMPUTED_VALUE"""),FALSE)</f>
        <v>0</v>
      </c>
      <c r="BM197" s="3"/>
      <c r="BN197" s="3"/>
      <c r="BO197" s="3"/>
      <c r="BP197" s="3"/>
      <c r="BQ197" s="3"/>
      <c r="BR197" s="3"/>
      <c r="BS197" s="3"/>
      <c r="BT197" s="3"/>
      <c r="BU197" s="3"/>
      <c r="BV197" s="3"/>
      <c r="BW197" s="3"/>
    </row>
    <row r="198" ht="15.75" customHeight="1">
      <c r="A198" s="3" t="str">
        <f>IFERROR(__xludf.DUMMYFUNCTION("""COMPUTED_VALUE"""),"Possesed Clown")</f>
        <v>Possesed Clown</v>
      </c>
      <c r="B198" s="3">
        <f>IFERROR(__xludf.DUMMYFUNCTION("""COMPUTED_VALUE"""),1.0)</f>
        <v>1</v>
      </c>
      <c r="C198" s="3"/>
      <c r="D198" s="3" t="str">
        <f>IFERROR(__xludf.DUMMYFUNCTION("""COMPUTED_VALUE"""),"Undead")</f>
        <v>Undead</v>
      </c>
      <c r="E198" s="3">
        <f>IFERROR(__xludf.DUMMYFUNCTION("""COMPUTED_VALUE"""),1010.0)</f>
        <v>1010</v>
      </c>
      <c r="F198" s="12">
        <f>IFERROR(__xludf.DUMMYFUNCTION("""COMPUTED_VALUE"""),1010.0)</f>
        <v>1010</v>
      </c>
      <c r="G198" s="3">
        <f>IFERROR(__xludf.DUMMYFUNCTION("""COMPUTED_VALUE"""),1010.0)</f>
        <v>1010</v>
      </c>
      <c r="H198" s="3">
        <f>IFERROR(__xludf.DUMMYFUNCTION("""COMPUTED_VALUE"""),10.0)</f>
        <v>10</v>
      </c>
      <c r="I198" s="3">
        <f>IFERROR(__xludf.DUMMYFUNCTION("""COMPUTED_VALUE"""),0.0)</f>
        <v>0</v>
      </c>
      <c r="J198" s="3">
        <f>IFERROR(__xludf.DUMMYFUNCTION("""COMPUTED_VALUE"""),0.0)</f>
        <v>0</v>
      </c>
      <c r="K198" s="3">
        <f>IFERROR(__xludf.DUMMYFUNCTION("""COMPUTED_VALUE"""),100.0)</f>
        <v>100</v>
      </c>
      <c r="L198" s="3">
        <f>IFERROR(__xludf.DUMMYFUNCTION("""COMPUTED_VALUE"""),100.0)</f>
        <v>100</v>
      </c>
      <c r="M198" s="3" t="str">
        <f>IFERROR(__xludf.DUMMYFUNCTION("""COMPUTED_VALUE"""),"Dark:Immune, Spirit:Immune, ")</f>
        <v>Dark:Immune, Spirit:Immune, </v>
      </c>
      <c r="N198" s="3" t="str">
        <f>IFERROR(__xludf.DUMMYFUNCTION("""COMPUTED_VALUE"""),"Light:100, ")</f>
        <v>Light:100, </v>
      </c>
      <c r="O198" s="3"/>
      <c r="P198" s="3"/>
      <c r="Q198" s="3"/>
      <c r="R198" s="3"/>
      <c r="S198" s="3"/>
      <c r="T198" s="3"/>
      <c r="U198" s="3"/>
      <c r="V198" s="3"/>
      <c r="W198" s="3"/>
      <c r="X198" s="3"/>
      <c r="Y198" s="3"/>
      <c r="Z198" s="3"/>
      <c r="AA198" s="3"/>
      <c r="AB198" s="3"/>
      <c r="AC198" s="3"/>
      <c r="AD198" s="3"/>
      <c r="AE198" s="3"/>
      <c r="AF198" s="3"/>
      <c r="AG198" s="3"/>
      <c r="AH198" s="3"/>
      <c r="AI198" s="3"/>
      <c r="AJ198" s="3" t="str">
        <f>IFERROR(__xludf.DUMMYFUNCTION("""COMPUTED_VALUE"""),"Darkest Abyss")</f>
        <v>Darkest Abyss</v>
      </c>
      <c r="AK198" s="3" t="str">
        <f>IFERROR(__xludf.DUMMYFUNCTION("""COMPUTED_VALUE"""),"Dark Curse")</f>
        <v>Dark Curse</v>
      </c>
      <c r="AL198" s="3" t="str">
        <f>IFERROR(__xludf.DUMMYFUNCTION("""COMPUTED_VALUE"""),"Possession")</f>
        <v>Possession</v>
      </c>
      <c r="AM198" s="3" t="str">
        <f>IFERROR(__xludf.DUMMYFUNCTION("""COMPUTED_VALUE"""),"Soul Trap")</f>
        <v>Soul Trap</v>
      </c>
      <c r="AN198" s="3"/>
      <c r="AO198" s="3"/>
      <c r="AP198" s="3"/>
      <c r="AQ198" s="3"/>
      <c r="AR198" s="3"/>
      <c r="AS198" s="3"/>
      <c r="AT198" s="3"/>
      <c r="AU198" s="3"/>
      <c r="AV198" s="3"/>
      <c r="AW198" s="3"/>
      <c r="AX198" s="3"/>
      <c r="AY198" s="3"/>
      <c r="AZ198" s="3"/>
      <c r="BA198" s="3"/>
      <c r="BB198" s="3"/>
      <c r="BC198" s="1"/>
      <c r="BD198" s="3">
        <f>IFERROR(__xludf.DUMMYFUNCTION("""COMPUTED_VALUE"""),0.0)</f>
        <v>0</v>
      </c>
      <c r="BE198" s="4">
        <f>IFERROR(__xludf.DUMMYFUNCTION("""COMPUTED_VALUE"""),10.0)</f>
        <v>10</v>
      </c>
      <c r="BF198" s="3" t="str">
        <f>IFERROR(__xludf.DUMMYFUNCTION("""COMPUTED_VALUE"""),"A Dark Calling: +5 can be added to this mobs rolls.")</f>
        <v>A Dark Calling: +5 can be added to this mobs rolls.</v>
      </c>
      <c r="BG198" s="3" t="str">
        <f>IFERROR(__xludf.DUMMYFUNCTION("""COMPUTED_VALUE"""),"Dungeon")</f>
        <v>Dungeon</v>
      </c>
      <c r="BH198" s="3" t="str">
        <f>IFERROR(__xludf.DUMMYFUNCTION("""COMPUTED_VALUE"""),"Halloween Kingdom")</f>
        <v>Halloween Kingdom</v>
      </c>
      <c r="BI198" s="3"/>
      <c r="BJ198" s="3"/>
      <c r="BK198" s="3"/>
      <c r="BL198" s="3" t="b">
        <f>IFERROR(__xludf.DUMMYFUNCTION("""COMPUTED_VALUE"""),FALSE)</f>
        <v>0</v>
      </c>
      <c r="BM198" s="3"/>
      <c r="BN198" s="3"/>
      <c r="BO198" s="3"/>
      <c r="BP198" s="3"/>
      <c r="BQ198" s="3"/>
      <c r="BR198" s="3"/>
      <c r="BS198" s="3"/>
      <c r="BT198" s="3"/>
      <c r="BU198" s="3"/>
      <c r="BV198" s="3"/>
      <c r="BW198" s="3"/>
    </row>
    <row r="199" ht="15.75" customHeight="1">
      <c r="A199" s="3" t="str">
        <f>IFERROR(__xludf.DUMMYFUNCTION("""COMPUTED_VALUE"""),"Pumpkin King")</f>
        <v>Pumpkin King</v>
      </c>
      <c r="B199" s="3">
        <f>IFERROR(__xludf.DUMMYFUNCTION("""COMPUTED_VALUE"""),1.0)</f>
        <v>1</v>
      </c>
      <c r="C199" s="3"/>
      <c r="D199" s="3" t="str">
        <f>IFERROR(__xludf.DUMMYFUNCTION("""COMPUTED_VALUE"""),"Undead")</f>
        <v>Undead</v>
      </c>
      <c r="E199" s="3">
        <f>IFERROR(__xludf.DUMMYFUNCTION("""COMPUTED_VALUE"""),1010.0)</f>
        <v>1010</v>
      </c>
      <c r="F199" s="12">
        <f>IFERROR(__xludf.DUMMYFUNCTION("""COMPUTED_VALUE"""),1010.0)</f>
        <v>1010</v>
      </c>
      <c r="G199" s="3">
        <f>IFERROR(__xludf.DUMMYFUNCTION("""COMPUTED_VALUE"""),1010.0)</f>
        <v>1010</v>
      </c>
      <c r="H199" s="3">
        <f>IFERROR(__xludf.DUMMYFUNCTION("""COMPUTED_VALUE"""),20.0)</f>
        <v>20</v>
      </c>
      <c r="I199" s="3">
        <f>IFERROR(__xludf.DUMMYFUNCTION("""COMPUTED_VALUE"""),0.0)</f>
        <v>0</v>
      </c>
      <c r="J199" s="3">
        <f>IFERROR(__xludf.DUMMYFUNCTION("""COMPUTED_VALUE"""),0.0)</f>
        <v>0</v>
      </c>
      <c r="K199" s="3">
        <f>IFERROR(__xludf.DUMMYFUNCTION("""COMPUTED_VALUE"""),100.0)</f>
        <v>100</v>
      </c>
      <c r="L199" s="3">
        <f>IFERROR(__xludf.DUMMYFUNCTION("""COMPUTED_VALUE"""),100.0)</f>
        <v>100</v>
      </c>
      <c r="M199" s="3" t="str">
        <f>IFERROR(__xludf.DUMMYFUNCTION("""COMPUTED_VALUE"""),"Dark:Immune, Spirit:Immune, Instant Death:Immune, Banishment:Immune, ")</f>
        <v>Dark:Immune, Spirit:Immune, Instant Death:Immune, Banishment:Immune, </v>
      </c>
      <c r="N199" s="3" t="str">
        <f>IFERROR(__xludf.DUMMYFUNCTION("""COMPUTED_VALUE"""),"Light:100, ")</f>
        <v>Light:100, </v>
      </c>
      <c r="O199" s="3"/>
      <c r="P199" s="3" t="str">
        <f>IFERROR(__xludf.DUMMYFUNCTION("""COMPUTED_VALUE"""),"Necklace of the Pumpkin")</f>
        <v>Necklace of the Pumpkin</v>
      </c>
      <c r="Q199" s="3"/>
      <c r="R199" s="3"/>
      <c r="S199" s="3"/>
      <c r="T199" s="3"/>
      <c r="U199" s="3"/>
      <c r="V199" s="3"/>
      <c r="W199" s="3" t="str">
        <f>IFERROR(__xludf.DUMMYFUNCTION("""COMPUTED_VALUE"""),"The Staff of The Pumpkin’s Curse")</f>
        <v>The Staff of The Pumpkin’s Curse</v>
      </c>
      <c r="X199" s="3"/>
      <c r="Y199" s="3"/>
      <c r="Z199" s="3"/>
      <c r="AA199" s="3"/>
      <c r="AB199" s="3"/>
      <c r="AC199" s="3"/>
      <c r="AD199" s="3"/>
      <c r="AE199" s="3"/>
      <c r="AF199" s="3"/>
      <c r="AG199" s="3"/>
      <c r="AH199" s="3"/>
      <c r="AI199" s="3"/>
      <c r="AJ199" s="3" t="str">
        <f>IFERROR(__xludf.DUMMYFUNCTION("""COMPUTED_VALUE"""),"Chaincast")</f>
        <v>Chaincast</v>
      </c>
      <c r="AK199" s="3" t="str">
        <f>IFERROR(__xludf.DUMMYFUNCTION("""COMPUTED_VALUE"""),"Arrest")</f>
        <v>Arrest</v>
      </c>
      <c r="AL199" s="3" t="str">
        <f>IFERROR(__xludf.DUMMYFUNCTION("""COMPUTED_VALUE"""),"Enthrall")</f>
        <v>Enthrall</v>
      </c>
      <c r="AM199" s="3" t="str">
        <f>IFERROR(__xludf.DUMMYFUNCTION("""COMPUTED_VALUE"""),"A Deal With The Spirit World")</f>
        <v>A Deal With The Spirit World</v>
      </c>
      <c r="AN199" s="3" t="str">
        <f>IFERROR(__xludf.DUMMYFUNCTION("""COMPUTED_VALUE"""),"Last Gamble")</f>
        <v>Last Gamble</v>
      </c>
      <c r="AO199" s="3" t="str">
        <f>IFERROR(__xludf.DUMMYFUNCTION("""COMPUTED_VALUE"""),"Voodoo Meteor Shower")</f>
        <v>Voodoo Meteor Shower</v>
      </c>
      <c r="AP199" s="3" t="str">
        <f>IFERROR(__xludf.DUMMYFUNCTION("""COMPUTED_VALUE"""),"Volcanic Rain")</f>
        <v>Volcanic Rain</v>
      </c>
      <c r="AQ199" s="3" t="str">
        <f>IFERROR(__xludf.DUMMYFUNCTION("""COMPUTED_VALUE"""),"Meteor Shower")</f>
        <v>Meteor Shower</v>
      </c>
      <c r="AR199" s="3" t="str">
        <f>IFERROR(__xludf.DUMMYFUNCTION("""COMPUTED_VALUE"""),"Darkest Abyss")</f>
        <v>Darkest Abyss</v>
      </c>
      <c r="AS199" s="3" t="str">
        <f>IFERROR(__xludf.DUMMYFUNCTION("""COMPUTED_VALUE"""),"Dark Curse")</f>
        <v>Dark Curse</v>
      </c>
      <c r="AT199" s="3" t="str">
        <f>IFERROR(__xludf.DUMMYFUNCTION("""COMPUTED_VALUE"""),"Dimensional Quake")</f>
        <v>Dimensional Quake</v>
      </c>
      <c r="AU199" s="3" t="str">
        <f>IFERROR(__xludf.DUMMYFUNCTION("""COMPUTED_VALUE"""),"Dimension Portal")</f>
        <v>Dimension Portal</v>
      </c>
      <c r="AV199" s="3" t="str">
        <f>IFERROR(__xludf.DUMMYFUNCTION("""COMPUTED_VALUE"""),"Mass Destruction")</f>
        <v>Mass Destruction</v>
      </c>
      <c r="AW199" s="3" t="str">
        <f>IFERROR(__xludf.DUMMYFUNCTION("""COMPUTED_VALUE"""),"Multishot")</f>
        <v>Multishot</v>
      </c>
      <c r="AX199" s="3"/>
      <c r="AY199" s="3"/>
      <c r="AZ199" s="3"/>
      <c r="BA199" s="3"/>
      <c r="BB199" s="3"/>
      <c r="BC199" s="1"/>
      <c r="BD199" s="3">
        <f>IFERROR(__xludf.DUMMYFUNCTION("""COMPUTED_VALUE"""),0.0)</f>
        <v>0</v>
      </c>
      <c r="BE199" s="4">
        <f>IFERROR(__xludf.DUMMYFUNCTION("""COMPUTED_VALUE"""),20.0)</f>
        <v>20</v>
      </c>
      <c r="BF199" s="3" t="str">
        <f>IFERROR(__xludf.DUMMYFUNCTION("""COMPUTED_VALUE"""),"75% chance chance to be unaffected by any spells affecting this mob
Peek A Boo:  All players roll a d20 at the begining of battle; The players that roll a 10 or lower cannot perform their turn order for the first round of the battle, Players that roll a "&amp;"20 or higher get two actions during their turn order for the first round of battle. 
Trick or Treat: All players roll a d20 at the begining of battle; The players that roll a 10 or lower half their perks except constitution until end of battle, Players t"&amp;"hat roll a 20 or higher double their  perks except constitution until the end of battle.
Hollows Guidance II: +10 can be added to this mobs rolls.
Undead: will live on 1 hp unless hit with light, fire, or celestial.")</f>
        <v>75% chance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Undead: will live on 1 hp unless hit with light, fire, or celestial.</v>
      </c>
      <c r="BG199" s="3" t="str">
        <f>IFERROR(__xludf.DUMMYFUNCTION("""COMPUTED_VALUE"""),"Dungeon")</f>
        <v>Dungeon</v>
      </c>
      <c r="BH199" s="3" t="str">
        <f>IFERROR(__xludf.DUMMYFUNCTION("""COMPUTED_VALUE"""),"Halloween Kingdom")</f>
        <v>Halloween Kingdom</v>
      </c>
      <c r="BI199" s="3"/>
      <c r="BJ199" s="3"/>
      <c r="BK199" s="3"/>
      <c r="BL199" s="3" t="b">
        <f>IFERROR(__xludf.DUMMYFUNCTION("""COMPUTED_VALUE"""),FALSE)</f>
        <v>0</v>
      </c>
      <c r="BM199" s="3"/>
      <c r="BN199" s="3"/>
      <c r="BO199" s="3"/>
      <c r="BP199" s="3"/>
      <c r="BQ199" s="3"/>
      <c r="BR199" s="3"/>
      <c r="BS199" s="3"/>
      <c r="BT199" s="3"/>
      <c r="BU199" s="3"/>
      <c r="BV199" s="3"/>
      <c r="BW199" s="3"/>
    </row>
    <row r="200" ht="15.75" customHeight="1">
      <c r="A200" s="3" t="str">
        <f>IFERROR(__xludf.DUMMYFUNCTION("""COMPUTED_VALUE"""),"Pumpkin Lord")</f>
        <v>Pumpkin Lord</v>
      </c>
      <c r="B200" s="3">
        <f>IFERROR(__xludf.DUMMYFUNCTION("""COMPUTED_VALUE"""),1.0)</f>
        <v>1</v>
      </c>
      <c r="C200" s="3"/>
      <c r="D200" s="3" t="str">
        <f>IFERROR(__xludf.DUMMYFUNCTION("""COMPUTED_VALUE"""),"Undead")</f>
        <v>Undead</v>
      </c>
      <c r="E200" s="3">
        <f>IFERROR(__xludf.DUMMYFUNCTION("""COMPUTED_VALUE"""),1010.0)</f>
        <v>1010</v>
      </c>
      <c r="F200" s="12">
        <f>IFERROR(__xludf.DUMMYFUNCTION("""COMPUTED_VALUE"""),1010.0)</f>
        <v>1010</v>
      </c>
      <c r="G200" s="3">
        <f>IFERROR(__xludf.DUMMYFUNCTION("""COMPUTED_VALUE"""),1010.0)</f>
        <v>1010</v>
      </c>
      <c r="H200" s="3">
        <f>IFERROR(__xludf.DUMMYFUNCTION("""COMPUTED_VALUE"""),10.0)</f>
        <v>10</v>
      </c>
      <c r="I200" s="3">
        <f>IFERROR(__xludf.DUMMYFUNCTION("""COMPUTED_VALUE"""),0.0)</f>
        <v>0</v>
      </c>
      <c r="J200" s="3">
        <f>IFERROR(__xludf.DUMMYFUNCTION("""COMPUTED_VALUE"""),0.0)</f>
        <v>0</v>
      </c>
      <c r="K200" s="3">
        <f>IFERROR(__xludf.DUMMYFUNCTION("""COMPUTED_VALUE"""),100.0)</f>
        <v>100</v>
      </c>
      <c r="L200" s="3">
        <f>IFERROR(__xludf.DUMMYFUNCTION("""COMPUTED_VALUE"""),100.0)</f>
        <v>100</v>
      </c>
      <c r="M200" s="3" t="str">
        <f>IFERROR(__xludf.DUMMYFUNCTION("""COMPUTED_VALUE"""),"Dark:Immune, Spirit:Immune, Instant Death:Immune, ")</f>
        <v>Dark:Immune, Spirit:Immune, Instant Death:Immune, </v>
      </c>
      <c r="N200" s="3" t="str">
        <f>IFERROR(__xludf.DUMMYFUNCTION("""COMPUTED_VALUE"""),"Light:100, ")</f>
        <v>Light:100, </v>
      </c>
      <c r="O200" s="3"/>
      <c r="P200" s="3" t="str">
        <f>IFERROR(__xludf.DUMMYFUNCTION("""COMPUTED_VALUE"""),"Necklace of the Pumpkin")</f>
        <v>Necklace of the Pumpkin</v>
      </c>
      <c r="Q200" s="3"/>
      <c r="R200" s="3"/>
      <c r="S200" s="3"/>
      <c r="T200" s="3"/>
      <c r="U200" s="3"/>
      <c r="V200" s="3"/>
      <c r="W200" s="3" t="str">
        <f>IFERROR(__xludf.DUMMYFUNCTION("""COMPUTED_VALUE"""),"The Staff of The Pumpkin’s Curse")</f>
        <v>The Staff of The Pumpkin’s Curse</v>
      </c>
      <c r="X200" s="3"/>
      <c r="Y200" s="3"/>
      <c r="Z200" s="3"/>
      <c r="AA200" s="3"/>
      <c r="AB200" s="3"/>
      <c r="AC200" s="3"/>
      <c r="AD200" s="3"/>
      <c r="AE200" s="3"/>
      <c r="AF200" s="3"/>
      <c r="AG200" s="3"/>
      <c r="AH200" s="3"/>
      <c r="AI200" s="3"/>
      <c r="AJ200" s="3" t="str">
        <f>IFERROR(__xludf.DUMMYFUNCTION("""COMPUTED_VALUE"""),"Arrest")</f>
        <v>Arrest</v>
      </c>
      <c r="AK200" s="3" t="str">
        <f>IFERROR(__xludf.DUMMYFUNCTION("""COMPUTED_VALUE"""),"Possession")</f>
        <v>Possession</v>
      </c>
      <c r="AL200" s="3" t="str">
        <f>IFERROR(__xludf.DUMMYFUNCTION("""COMPUTED_VALUE"""),"A Deal With The Spirit World")</f>
        <v>A Deal With The Spirit World</v>
      </c>
      <c r="AM200" s="3" t="str">
        <f>IFERROR(__xludf.DUMMYFUNCTION("""COMPUTED_VALUE"""),"Last Gamble")</f>
        <v>Last Gamble</v>
      </c>
      <c r="AN200" s="3" t="str">
        <f>IFERROR(__xludf.DUMMYFUNCTION("""COMPUTED_VALUE"""),"Voodoo Meteor Shower")</f>
        <v>Voodoo Meteor Shower</v>
      </c>
      <c r="AO200" s="3" t="str">
        <f>IFERROR(__xludf.DUMMYFUNCTION("""COMPUTED_VALUE"""),"Volcanic Rain")</f>
        <v>Volcanic Rain</v>
      </c>
      <c r="AP200" s="3" t="str">
        <f>IFERROR(__xludf.DUMMYFUNCTION("""COMPUTED_VALUE"""),"Meteor Shower")</f>
        <v>Meteor Shower</v>
      </c>
      <c r="AQ200" s="3" t="str">
        <f>IFERROR(__xludf.DUMMYFUNCTION("""COMPUTED_VALUE"""),"Darkest Abyss")</f>
        <v>Darkest Abyss</v>
      </c>
      <c r="AR200" s="3" t="str">
        <f>IFERROR(__xludf.DUMMYFUNCTION("""COMPUTED_VALUE"""),"Dark Curse")</f>
        <v>Dark Curse</v>
      </c>
      <c r="AS200" s="3" t="str">
        <f>IFERROR(__xludf.DUMMYFUNCTION("""COMPUTED_VALUE"""),"Dimensional Quake")</f>
        <v>Dimensional Quake</v>
      </c>
      <c r="AT200" s="3" t="str">
        <f>IFERROR(__xludf.DUMMYFUNCTION("""COMPUTED_VALUE"""),"Dimension Portal")</f>
        <v>Dimension Portal</v>
      </c>
      <c r="AU200" s="3" t="str">
        <f>IFERROR(__xludf.DUMMYFUNCTION("""COMPUTED_VALUE"""),"Mass Destruction")</f>
        <v>Mass Destruction</v>
      </c>
      <c r="AV200" s="3" t="str">
        <f>IFERROR(__xludf.DUMMYFUNCTION("""COMPUTED_VALUE"""),"Multishot")</f>
        <v>Multishot</v>
      </c>
      <c r="AW200" s="3"/>
      <c r="AX200" s="3"/>
      <c r="AY200" s="3"/>
      <c r="AZ200" s="3"/>
      <c r="BA200" s="3"/>
      <c r="BB200" s="3"/>
      <c r="BC200" s="1"/>
      <c r="BD200" s="3">
        <f>IFERROR(__xludf.DUMMYFUNCTION("""COMPUTED_VALUE"""),0.0)</f>
        <v>0</v>
      </c>
      <c r="BE200" s="4">
        <f>IFERROR(__xludf.DUMMYFUNCTION("""COMPUTED_VALUE"""),10.0)</f>
        <v>10</v>
      </c>
      <c r="BF200" s="3" t="str">
        <f>IFERROR(__xludf.DUMMYFUNCTION("""COMPUTED_VALUE"""),"Trick or Treat: All players roll a d20 at the begining of battle; The players that roll a 10 or lower half their perks except constitution until end of battle, Players that roll a 20 or higher double their  perks except constitution until the end of battl"&amp;"e.
50% chance chance to be unaffected by any spells affecting this mob
Hollows Guidance: +5 can be added to this mobs rolls.
Undead - Will live on 1hp unless killed by fire light or celestial.")</f>
        <v>Trick or Treat: All players roll a d20 at the begining of battle; The players that roll a 10 or lower half their perks except constitution until end of battle, Players that roll a 20 or higher double their  perks except constitution until the end of battle.
50% chance chance to be unaffected by any spells affecting this mob
Hollows Guidance: +5 can be added to this mobs rolls.
Undead - Will live on 1hp unless killed by fire light or celestial.</v>
      </c>
      <c r="BG200" s="3" t="str">
        <f>IFERROR(__xludf.DUMMYFUNCTION("""COMPUTED_VALUE"""),"Dungeon")</f>
        <v>Dungeon</v>
      </c>
      <c r="BH200" s="3" t="str">
        <f>IFERROR(__xludf.DUMMYFUNCTION("""COMPUTED_VALUE"""),"Halloween Kingdom")</f>
        <v>Halloween Kingdom</v>
      </c>
      <c r="BI200" s="3"/>
      <c r="BJ200" s="3"/>
      <c r="BK200" s="3"/>
      <c r="BL200" s="3" t="b">
        <f>IFERROR(__xludf.DUMMYFUNCTION("""COMPUTED_VALUE"""),FALSE)</f>
        <v>0</v>
      </c>
      <c r="BM200" s="3"/>
      <c r="BN200" s="3"/>
      <c r="BO200" s="3"/>
      <c r="BP200" s="3"/>
      <c r="BQ200" s="3"/>
      <c r="BR200" s="3"/>
      <c r="BS200" s="3"/>
      <c r="BT200" s="3"/>
      <c r="BU200" s="3"/>
      <c r="BV200" s="3"/>
      <c r="BW200" s="3"/>
    </row>
    <row r="201" ht="15.75" customHeight="1">
      <c r="A201" s="3" t="str">
        <f>IFERROR(__xludf.DUMMYFUNCTION("""COMPUTED_VALUE"""),"Puppet")</f>
        <v>Puppet</v>
      </c>
      <c r="B201" s="3">
        <f>IFERROR(__xludf.DUMMYFUNCTION("""COMPUTED_VALUE"""),1.0)</f>
        <v>1</v>
      </c>
      <c r="C201" s="3"/>
      <c r="D201" s="3" t="str">
        <f>IFERROR(__xludf.DUMMYFUNCTION("""COMPUTED_VALUE"""),"Construct")</f>
        <v>Construct</v>
      </c>
      <c r="E201" s="3">
        <f>IFERROR(__xludf.DUMMYFUNCTION("""COMPUTED_VALUE"""),1010.0)</f>
        <v>1010</v>
      </c>
      <c r="F201" s="12">
        <f>IFERROR(__xludf.DUMMYFUNCTION("""COMPUTED_VALUE"""),1010.0)</f>
        <v>1010</v>
      </c>
      <c r="G201" s="3">
        <f>IFERROR(__xludf.DUMMYFUNCTION("""COMPUTED_VALUE"""),1010.0)</f>
        <v>1010</v>
      </c>
      <c r="H201" s="3">
        <f>IFERROR(__xludf.DUMMYFUNCTION("""COMPUTED_VALUE"""),10.0)</f>
        <v>10</v>
      </c>
      <c r="I201" s="3">
        <f>IFERROR(__xludf.DUMMYFUNCTION("""COMPUTED_VALUE"""),0.0)</f>
        <v>0</v>
      </c>
      <c r="J201" s="3">
        <f>IFERROR(__xludf.DUMMYFUNCTION("""COMPUTED_VALUE"""),0.0)</f>
        <v>0</v>
      </c>
      <c r="K201" s="3">
        <f>IFERROR(__xludf.DUMMYFUNCTION("""COMPUTED_VALUE"""),100.0)</f>
        <v>100</v>
      </c>
      <c r="L201" s="3">
        <f>IFERROR(__xludf.DUMMYFUNCTION("""COMPUTED_VALUE"""),100.0)</f>
        <v>100</v>
      </c>
      <c r="M201" s="3" t="str">
        <f>IFERROR(__xludf.DUMMYFUNCTION("""COMPUTED_VALUE"""),"Dark:Immune, Spirit:immune, Chaos:immune, ")</f>
        <v>Dark:Immune, Spirit:immune, Chaos:immune, </v>
      </c>
      <c r="N201" s="3" t="str">
        <f>IFERROR(__xludf.DUMMYFUNCTION("""COMPUTED_VALUE"""),"Fire:100, Light:100, Order:100, ")</f>
        <v>Fire:100, Light:100, Order:100, </v>
      </c>
      <c r="O201" s="3"/>
      <c r="P201" s="3"/>
      <c r="Q201" s="3"/>
      <c r="R201" s="3"/>
      <c r="S201" s="3"/>
      <c r="T201" s="3"/>
      <c r="U201" s="3"/>
      <c r="V201" s="3"/>
      <c r="W201" s="3"/>
      <c r="X201" s="3"/>
      <c r="Y201" s="3"/>
      <c r="Z201" s="3"/>
      <c r="AA201" s="3"/>
      <c r="AB201" s="3"/>
      <c r="AC201" s="3"/>
      <c r="AD201" s="3"/>
      <c r="AE201" s="3"/>
      <c r="AF201" s="3"/>
      <c r="AG201" s="3"/>
      <c r="AH201" s="3"/>
      <c r="AI201" s="3"/>
      <c r="AJ201" s="3" t="str">
        <f>IFERROR(__xludf.DUMMYFUNCTION("""COMPUTED_VALUE"""),"Possession")</f>
        <v>Possession</v>
      </c>
      <c r="AK201" s="3" t="str">
        <f>IFERROR(__xludf.DUMMYFUNCTION("""COMPUTED_VALUE"""),"Conceal")</f>
        <v>Conceal</v>
      </c>
      <c r="AL201" s="3" t="str">
        <f>IFERROR(__xludf.DUMMYFUNCTION("""COMPUTED_VALUE"""),"Chaotic Shadow Force")</f>
        <v>Chaotic Shadow Force</v>
      </c>
      <c r="AM201" s="3"/>
      <c r="AN201" s="3"/>
      <c r="AO201" s="3"/>
      <c r="AP201" s="3"/>
      <c r="AQ201" s="3"/>
      <c r="AR201" s="3"/>
      <c r="AS201" s="3"/>
      <c r="AT201" s="3"/>
      <c r="AU201" s="3"/>
      <c r="AV201" s="3"/>
      <c r="AW201" s="3"/>
      <c r="AX201" s="3"/>
      <c r="AY201" s="3"/>
      <c r="AZ201" s="3"/>
      <c r="BA201" s="3"/>
      <c r="BB201" s="3"/>
      <c r="BC201" s="1"/>
      <c r="BD201" s="3">
        <f>IFERROR(__xludf.DUMMYFUNCTION("""COMPUTED_VALUE"""),0.0)</f>
        <v>0</v>
      </c>
      <c r="BE201" s="4">
        <f>IFERROR(__xludf.DUMMYFUNCTION("""COMPUTED_VALUE"""),10.0)</f>
        <v>10</v>
      </c>
      <c r="BF201" s="3" t="str">
        <f>IFERROR(__xludf.DUMMYFUNCTION("""COMPUTED_VALUE"""),"Undead: Can only be killed by light, fire, or celestial.")</f>
        <v>Undead: Can only be killed by light, fire, or celestial.</v>
      </c>
      <c r="BG201" s="3" t="str">
        <f>IFERROR(__xludf.DUMMYFUNCTION("""COMPUTED_VALUE"""),"All")</f>
        <v>All</v>
      </c>
      <c r="BH201" s="3" t="str">
        <f>IFERROR(__xludf.DUMMYFUNCTION("""COMPUTED_VALUE"""),"Land of Spira")</f>
        <v>Land of Spira</v>
      </c>
      <c r="BI201" s="3" t="str">
        <f>IFERROR(__xludf.DUMMYFUNCTION("""COMPUTED_VALUE"""),"Land of The Forgotten")</f>
        <v>Land of The Forgotten</v>
      </c>
      <c r="BJ201" s="3"/>
      <c r="BK201" s="3"/>
      <c r="BL201" s="3" t="b">
        <f>IFERROR(__xludf.DUMMYFUNCTION("""COMPUTED_VALUE"""),FALSE)</f>
        <v>0</v>
      </c>
      <c r="BM201" s="3"/>
      <c r="BN201" s="3"/>
      <c r="BO201" s="3"/>
      <c r="BP201" s="3"/>
      <c r="BQ201" s="3"/>
      <c r="BR201" s="3"/>
      <c r="BS201" s="3"/>
      <c r="BT201" s="3"/>
      <c r="BU201" s="3"/>
      <c r="BV201" s="3"/>
      <c r="BW201" s="3"/>
    </row>
    <row r="202" ht="15.75" customHeight="1">
      <c r="A202" s="3" t="str">
        <f>IFERROR(__xludf.DUMMYFUNCTION("""COMPUTED_VALUE"""),"Reaper Of Spira (25% chance of this enemy appearing when you complain about being targeted)")</f>
        <v>Reaper Of Spira (25% chance of this enemy appearing when you complain about being targeted)</v>
      </c>
      <c r="B202" s="3">
        <f>IFERROR(__xludf.DUMMYFUNCTION("""COMPUTED_VALUE"""),1.0)</f>
        <v>1</v>
      </c>
      <c r="C202" s="3"/>
      <c r="D202" s="12" t="str">
        <f>IFERROR(__xludf.DUMMYFUNCTION("""COMPUTED_VALUE"""),"Undead")</f>
        <v>Undead</v>
      </c>
      <c r="E202" s="12">
        <f>IFERROR(__xludf.DUMMYFUNCTION("""COMPUTED_VALUE"""),1010.0)</f>
        <v>1010</v>
      </c>
      <c r="F202" s="12">
        <f>IFERROR(__xludf.DUMMYFUNCTION("""COMPUTED_VALUE"""),1010.0)</f>
        <v>1010</v>
      </c>
      <c r="G202" s="12">
        <f>IFERROR(__xludf.DUMMYFUNCTION("""COMPUTED_VALUE"""),1010.0)</f>
        <v>1010</v>
      </c>
      <c r="H202" s="3">
        <f>IFERROR(__xludf.DUMMYFUNCTION("""COMPUTED_VALUE"""),10.0)</f>
        <v>10</v>
      </c>
      <c r="I202" s="3">
        <f>IFERROR(__xludf.DUMMYFUNCTION("""COMPUTED_VALUE"""),0.0)</f>
        <v>0</v>
      </c>
      <c r="J202" s="3">
        <f>IFERROR(__xludf.DUMMYFUNCTION("""COMPUTED_VALUE"""),0.0)</f>
        <v>0</v>
      </c>
      <c r="K202" s="3">
        <f>IFERROR(__xludf.DUMMYFUNCTION("""COMPUTED_VALUE"""),100.0)</f>
        <v>100</v>
      </c>
      <c r="L202" s="3">
        <f>IFERROR(__xludf.DUMMYFUNCTION("""COMPUTED_VALUE"""),100.0)</f>
        <v>100</v>
      </c>
      <c r="M202" s="3" t="str">
        <f>IFERROR(__xludf.DUMMYFUNCTION("""COMPUTED_VALUE"""),"Instant Death:Immune, Banishment:Immune, ")</f>
        <v>Instant Death:Immune, Banishment:Immune, </v>
      </c>
      <c r="N202" s="3" t="str">
        <f>IFERROR(__xludf.DUMMYFUNCTION("""COMPUTED_VALUE"""),"Fire:100, Light:100, Order:100, ")</f>
        <v>Fire:100, Light:100, Order:100, </v>
      </c>
      <c r="O202" s="3"/>
      <c r="P202" s="3"/>
      <c r="Q202" s="3"/>
      <c r="R202" s="3"/>
      <c r="S202" s="3"/>
      <c r="T202" s="3"/>
      <c r="U202" s="3"/>
      <c r="V202" s="3" t="str">
        <f>IFERROR(__xludf.DUMMYFUNCTION("""COMPUTED_VALUE"""),"Sword Of The Reaper")</f>
        <v>Sword Of The Reaper</v>
      </c>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1"/>
      <c r="BD202" s="3">
        <f>IFERROR(__xludf.DUMMYFUNCTION("""COMPUTED_VALUE"""),0.0)</f>
        <v>0</v>
      </c>
      <c r="BE202" s="4">
        <f>IFERROR(__xludf.DUMMYFUNCTION("""COMPUTED_VALUE"""),10.0)</f>
        <v>10</v>
      </c>
      <c r="BF202" s="3" t="str">
        <f>IFERROR(__xludf.DUMMYFUNCTION("""COMPUTED_VALUE"""),"Undead- Can only be killed by light,fire, or celestial")</f>
        <v>Undead- Can only be killed by light,fire, or celestial</v>
      </c>
      <c r="BG202" s="3" t="str">
        <f>IFERROR(__xludf.DUMMYFUNCTION("""COMPUTED_VALUE"""),"Dungeon")</f>
        <v>Dungeon</v>
      </c>
      <c r="BH202" s="3" t="str">
        <f>IFERROR(__xludf.DUMMYFUNCTION("""COMPUTED_VALUE"""),"Land Of Spira")</f>
        <v>Land Of Spira</v>
      </c>
      <c r="BI202" s="3"/>
      <c r="BJ202" s="3"/>
      <c r="BK202" s="3"/>
      <c r="BL202" s="3" t="b">
        <f>IFERROR(__xludf.DUMMYFUNCTION("""COMPUTED_VALUE"""),FALSE)</f>
        <v>0</v>
      </c>
      <c r="BM202" s="3"/>
      <c r="BN202" s="3"/>
      <c r="BO202" s="3"/>
      <c r="BP202" s="3"/>
      <c r="BQ202" s="3"/>
      <c r="BR202" s="3"/>
      <c r="BS202" s="3"/>
      <c r="BT202" s="3"/>
      <c r="BU202" s="3"/>
      <c r="BV202" s="3"/>
      <c r="BW202" s="3"/>
    </row>
    <row r="203" ht="15.75" customHeight="1">
      <c r="A203" s="3" t="str">
        <f>IFERROR(__xludf.DUMMYFUNCTION("""COMPUTED_VALUE"""),"Red Footed Beast")</f>
        <v>Red Footed Beast</v>
      </c>
      <c r="B203" s="3">
        <f>IFERROR(__xludf.DUMMYFUNCTION("""COMPUTED_VALUE"""),1.0)</f>
        <v>1</v>
      </c>
      <c r="C203" s="3"/>
      <c r="D203" s="12" t="str">
        <f>IFERROR(__xludf.DUMMYFUNCTION("""COMPUTED_VALUE"""),"Undead")</f>
        <v>Undead</v>
      </c>
      <c r="E203" s="12">
        <f>IFERROR(__xludf.DUMMYFUNCTION("""COMPUTED_VALUE"""),31010.0)</f>
        <v>31010</v>
      </c>
      <c r="F203" s="12">
        <f>IFERROR(__xludf.DUMMYFUNCTION("""COMPUTED_VALUE"""),1010.0)</f>
        <v>1010</v>
      </c>
      <c r="G203" s="12">
        <f>IFERROR(__xludf.DUMMYFUNCTION("""COMPUTED_VALUE"""),1010.0)</f>
        <v>1010</v>
      </c>
      <c r="H203" s="3">
        <f>IFERROR(__xludf.DUMMYFUNCTION("""COMPUTED_VALUE"""),15.0)</f>
        <v>15</v>
      </c>
      <c r="I203" s="3">
        <f>IFERROR(__xludf.DUMMYFUNCTION("""COMPUTED_VALUE"""),0.0)</f>
        <v>0</v>
      </c>
      <c r="J203" s="3">
        <f>IFERROR(__xludf.DUMMYFUNCTION("""COMPUTED_VALUE"""),0.0)</f>
        <v>0</v>
      </c>
      <c r="K203" s="3">
        <f>IFERROR(__xludf.DUMMYFUNCTION("""COMPUTED_VALUE"""),100.0)</f>
        <v>100</v>
      </c>
      <c r="L203" s="3">
        <f>IFERROR(__xludf.DUMMYFUNCTION("""COMPUTED_VALUE"""),100.0)</f>
        <v>100</v>
      </c>
      <c r="M203" s="3" t="str">
        <f>IFERROR(__xludf.DUMMYFUNCTION("""COMPUTED_VALUE"""),"Earth:Immune, ")</f>
        <v>Earth:Immune, </v>
      </c>
      <c r="N203" s="3" t="str">
        <f>IFERROR(__xludf.DUMMYFUNCTION("""COMPUTED_VALUE"""),"")</f>
        <v/>
      </c>
      <c r="O203" s="3"/>
      <c r="P203" s="3"/>
      <c r="Q203" s="3"/>
      <c r="R203" s="3"/>
      <c r="S203" s="3"/>
      <c r="T203" s="3"/>
      <c r="U203" s="3"/>
      <c r="V203" s="3"/>
      <c r="W203" s="3"/>
      <c r="X203" s="3"/>
      <c r="Y203" s="3"/>
      <c r="Z203" s="3"/>
      <c r="AA203" s="3"/>
      <c r="AB203" s="3"/>
      <c r="AC203" s="3"/>
      <c r="AD203" s="3"/>
      <c r="AE203" s="3"/>
      <c r="AF203" s="3"/>
      <c r="AG203" s="3"/>
      <c r="AH203" s="3"/>
      <c r="AI203" s="3"/>
      <c r="AJ203" s="3" t="str">
        <f>IFERROR(__xludf.DUMMYFUNCTION("""COMPUTED_VALUE"""),"Earthquake")</f>
        <v>Earthquake</v>
      </c>
      <c r="AK203" s="3" t="str">
        <f>IFERROR(__xludf.DUMMYFUNCTION("""COMPUTED_VALUE"""),"Horns")</f>
        <v>Horns</v>
      </c>
      <c r="AL203" s="3" t="str">
        <f>IFERROR(__xludf.DUMMYFUNCTION("""COMPUTED_VALUE"""),"Gore")</f>
        <v>Gore</v>
      </c>
      <c r="AM203" s="3" t="str">
        <f>IFERROR(__xludf.DUMMYFUNCTION("""COMPUTED_VALUE"""),"Bite")</f>
        <v>Bite</v>
      </c>
      <c r="AN203" s="3" t="str">
        <f>IFERROR(__xludf.DUMMYFUNCTION("""COMPUTED_VALUE"""),"Aggressive Chomp")</f>
        <v>Aggressive Chomp</v>
      </c>
      <c r="AO203" s="3" t="str">
        <f>IFERROR(__xludf.DUMMYFUNCTION("""COMPUTED_VALUE"""),"Aggresive Tear")</f>
        <v>Aggresive Tear</v>
      </c>
      <c r="AP203" s="3"/>
      <c r="AQ203" s="3"/>
      <c r="AR203" s="3"/>
      <c r="AS203" s="3"/>
      <c r="AT203" s="3"/>
      <c r="AU203" s="3"/>
      <c r="AV203" s="3"/>
      <c r="AW203" s="3"/>
      <c r="AX203" s="3"/>
      <c r="AY203" s="3"/>
      <c r="AZ203" s="3"/>
      <c r="BA203" s="3"/>
      <c r="BB203" s="3"/>
      <c r="BC203" s="1"/>
      <c r="BD203" s="3">
        <f>IFERROR(__xludf.DUMMYFUNCTION("""COMPUTED_VALUE"""),0.0)</f>
        <v>0</v>
      </c>
      <c r="BE203" s="4">
        <f>IFERROR(__xludf.DUMMYFUNCTION("""COMPUTED_VALUE"""),15.0)</f>
        <v>15</v>
      </c>
      <c r="BF203" s="3" t="str">
        <f>IFERROR(__xludf.DUMMYFUNCTION("""COMPUTED_VALUE"""),"Undead- Can only be killed by light,fire, or celestial")</f>
        <v>Undead- Can only be killed by light,fire, or celestial</v>
      </c>
      <c r="BG203" s="3" t="str">
        <f>IFERROR(__xludf.DUMMYFUNCTION("""COMPUTED_VALUE"""),"All")</f>
        <v>All</v>
      </c>
      <c r="BH203" s="3" t="str">
        <f>IFERROR(__xludf.DUMMYFUNCTION("""COMPUTED_VALUE"""),"Land Of Spira")</f>
        <v>Land Of Spira</v>
      </c>
      <c r="BI203" s="3"/>
      <c r="BJ203" s="3"/>
      <c r="BK203" s="3"/>
      <c r="BL203" s="3" t="b">
        <f>IFERROR(__xludf.DUMMYFUNCTION("""COMPUTED_VALUE"""),FALSE)</f>
        <v>0</v>
      </c>
      <c r="BM203" s="3"/>
      <c r="BN203" s="3"/>
      <c r="BO203" s="3"/>
      <c r="BP203" s="3"/>
      <c r="BQ203" s="3"/>
      <c r="BR203" s="3"/>
      <c r="BS203" s="3"/>
      <c r="BT203" s="3"/>
      <c r="BU203" s="3"/>
      <c r="BV203" s="3"/>
      <c r="BW203" s="3"/>
    </row>
    <row r="204" ht="15.75" customHeight="1">
      <c r="A204" s="3" t="str">
        <f>IFERROR(__xludf.DUMMYFUNCTION("""COMPUTED_VALUE"""),"Red Soul")</f>
        <v>Red Soul</v>
      </c>
      <c r="B204" s="3">
        <f>IFERROR(__xludf.DUMMYFUNCTION("""COMPUTED_VALUE"""),1.0)</f>
        <v>1</v>
      </c>
      <c r="C204" s="3"/>
      <c r="D204" s="12" t="str">
        <f>IFERROR(__xludf.DUMMYFUNCTION("""COMPUTED_VALUE"""),"Spirit")</f>
        <v>Spirit</v>
      </c>
      <c r="E204" s="12">
        <f>IFERROR(__xludf.DUMMYFUNCTION("""COMPUTED_VALUE"""),1010.0)</f>
        <v>1010</v>
      </c>
      <c r="F204" s="12">
        <f>IFERROR(__xludf.DUMMYFUNCTION("""COMPUTED_VALUE"""),1010.0)</f>
        <v>1010</v>
      </c>
      <c r="G204" s="12">
        <f>IFERROR(__xludf.DUMMYFUNCTION("""COMPUTED_VALUE"""),1010.0)</f>
        <v>1010</v>
      </c>
      <c r="H204" s="3">
        <f>IFERROR(__xludf.DUMMYFUNCTION("""COMPUTED_VALUE"""),10.0)</f>
        <v>10</v>
      </c>
      <c r="I204" s="3">
        <f>IFERROR(__xludf.DUMMYFUNCTION("""COMPUTED_VALUE"""),0.0)</f>
        <v>0</v>
      </c>
      <c r="J204" s="3">
        <f>IFERROR(__xludf.DUMMYFUNCTION("""COMPUTED_VALUE"""),0.0)</f>
        <v>0</v>
      </c>
      <c r="K204" s="3">
        <f>IFERROR(__xludf.DUMMYFUNCTION("""COMPUTED_VALUE"""),100.0)</f>
        <v>100</v>
      </c>
      <c r="L204" s="3">
        <f>IFERROR(__xludf.DUMMYFUNCTION("""COMPUTED_VALUE"""),100.0)</f>
        <v>100</v>
      </c>
      <c r="M204" s="3" t="str">
        <f>IFERROR(__xludf.DUMMYFUNCTION("""COMPUTED_VALUE"""),"Fire:100, Spirit:Immune, Nature:Immune, ")</f>
        <v>Fire:100, Spirit:Immune, Nature:Immune, </v>
      </c>
      <c r="N204" s="3" t="str">
        <f>IFERROR(__xludf.DUMMYFUNCTION("""COMPUTED_VALUE"""),"Water:100, Light:100, ")</f>
        <v>Water:100, Light:100, </v>
      </c>
      <c r="O204" s="3"/>
      <c r="P204" s="3"/>
      <c r="Q204" s="3"/>
      <c r="R204" s="3"/>
      <c r="S204" s="3"/>
      <c r="T204" s="3"/>
      <c r="U204" s="3"/>
      <c r="V204" s="3"/>
      <c r="W204" s="3" t="str">
        <f>IFERROR(__xludf.DUMMYFUNCTION("""COMPUTED_VALUE"""),"The Red Sword")</f>
        <v>The Red Sword</v>
      </c>
      <c r="X204" s="3"/>
      <c r="Y204" s="3"/>
      <c r="Z204" s="3"/>
      <c r="AA204" s="3"/>
      <c r="AB204" s="3"/>
      <c r="AC204" s="3"/>
      <c r="AD204" s="3"/>
      <c r="AE204" s="3"/>
      <c r="AF204" s="3"/>
      <c r="AG204" s="3"/>
      <c r="AH204" s="3"/>
      <c r="AI204" s="3"/>
      <c r="AJ204" s="3" t="str">
        <f>IFERROR(__xludf.DUMMYFUNCTION("""COMPUTED_VALUE"""),"A Deal With The Spirit World")</f>
        <v>A Deal With The Spirit World</v>
      </c>
      <c r="AK204" s="3" t="str">
        <f>IFERROR(__xludf.DUMMYFUNCTION("""COMPUTED_VALUE"""),"Final Blast")</f>
        <v>Final Blast</v>
      </c>
      <c r="AL204" s="3" t="str">
        <f>IFERROR(__xludf.DUMMYFUNCTION("""COMPUTED_VALUE"""),"Soul Shot")</f>
        <v>Soul Shot</v>
      </c>
      <c r="AM204" s="3" t="str">
        <f>IFERROR(__xludf.DUMMYFUNCTION("""COMPUTED_VALUE"""),"Final Rest")</f>
        <v>Final Rest</v>
      </c>
      <c r="AN204" s="3" t="str">
        <f>IFERROR(__xludf.DUMMYFUNCTION("""COMPUTED_VALUE"""),"Soul Trap")</f>
        <v>Soul Trap</v>
      </c>
      <c r="AO204" s="3" t="str">
        <f>IFERROR(__xludf.DUMMYFUNCTION("""COMPUTED_VALUE"""),"Possession")</f>
        <v>Possession</v>
      </c>
      <c r="AP204" s="3" t="str">
        <f>IFERROR(__xludf.DUMMYFUNCTION("""COMPUTED_VALUE"""),"Confuse")</f>
        <v>Confuse</v>
      </c>
      <c r="AQ204" s="3"/>
      <c r="AR204" s="3"/>
      <c r="AS204" s="3"/>
      <c r="AT204" s="3"/>
      <c r="AU204" s="3"/>
      <c r="AV204" s="3"/>
      <c r="AW204" s="3"/>
      <c r="AX204" s="3"/>
      <c r="AY204" s="3"/>
      <c r="AZ204" s="3"/>
      <c r="BA204" s="3"/>
      <c r="BB204" s="3"/>
      <c r="BC204" s="1"/>
      <c r="BD204" s="3">
        <f>IFERROR(__xludf.DUMMYFUNCTION("""COMPUTED_VALUE"""),0.0)</f>
        <v>0</v>
      </c>
      <c r="BE204" s="4">
        <f>IFERROR(__xludf.DUMMYFUNCTION("""COMPUTED_VALUE"""),10.0)</f>
        <v>10</v>
      </c>
      <c r="BF204" s="3" t="str">
        <f>IFERROR(__xludf.DUMMYFUNCTION("""COMPUTED_VALUE"""),"The Gray Spirit: After 1 round a brown token will appear in battle, after another round if the token is still there, a giant explosion will occur causing all enemies to take Poison 10,000 for 3 rounds.
Undead- Can only be killed by light,fire, or celesti"&amp;"al")</f>
        <v>The Gray Spirit: After 1 round a brown token will appear in battle, after another round if the token is still there, a giant explosion will occur causing all enemies to take Poison 10,000 for 3 rounds.
Undead- Can only be killed by light,fire, or celestial</v>
      </c>
      <c r="BG204" s="3" t="str">
        <f>IFERROR(__xludf.DUMMYFUNCTION("""COMPUTED_VALUE"""),"All")</f>
        <v>All</v>
      </c>
      <c r="BH204" s="3" t="str">
        <f>IFERROR(__xludf.DUMMYFUNCTION("""COMPUTED_VALUE"""),"Abstara")</f>
        <v>Abstara</v>
      </c>
      <c r="BI204" s="3"/>
      <c r="BJ204" s="3"/>
      <c r="BK204" s="3"/>
      <c r="BL204" s="3" t="b">
        <f>IFERROR(__xludf.DUMMYFUNCTION("""COMPUTED_VALUE"""),FALSE)</f>
        <v>0</v>
      </c>
      <c r="BM204" s="3"/>
      <c r="BN204" s="3"/>
      <c r="BO204" s="3"/>
      <c r="BP204" s="3"/>
      <c r="BQ204" s="3"/>
      <c r="BR204" s="3"/>
      <c r="BS204" s="3"/>
      <c r="BT204" s="3"/>
      <c r="BU204" s="3"/>
      <c r="BV204" s="3"/>
      <c r="BW204" s="3"/>
    </row>
    <row r="205" ht="15.75" customHeight="1">
      <c r="A205" s="3" t="str">
        <f>IFERROR(__xludf.DUMMYFUNCTION("""COMPUTED_VALUE"""),"Rhino")</f>
        <v>Rhino</v>
      </c>
      <c r="B205" s="3">
        <f>IFERROR(__xludf.DUMMYFUNCTION("""COMPUTED_VALUE"""),1.0)</f>
        <v>1</v>
      </c>
      <c r="C205" s="3"/>
      <c r="D205" s="12" t="str">
        <f>IFERROR(__xludf.DUMMYFUNCTION("""COMPUTED_VALUE"""),"Beast")</f>
        <v>Beast</v>
      </c>
      <c r="E205" s="12">
        <f>IFERROR(__xludf.DUMMYFUNCTION("""COMPUTED_VALUE"""),61010.0)</f>
        <v>61010</v>
      </c>
      <c r="F205" s="12">
        <f>IFERROR(__xludf.DUMMYFUNCTION("""COMPUTED_VALUE"""),1010.0)</f>
        <v>1010</v>
      </c>
      <c r="G205" s="12">
        <f>IFERROR(__xludf.DUMMYFUNCTION("""COMPUTED_VALUE"""),61010.0)</f>
        <v>61010</v>
      </c>
      <c r="H205" s="3">
        <f>IFERROR(__xludf.DUMMYFUNCTION("""COMPUTED_VALUE"""),15.0)</f>
        <v>15</v>
      </c>
      <c r="I205" s="3">
        <f>IFERROR(__xludf.DUMMYFUNCTION("""COMPUTED_VALUE"""),0.0)</f>
        <v>0</v>
      </c>
      <c r="J205" s="3">
        <f>IFERROR(__xludf.DUMMYFUNCTION("""COMPUTED_VALUE"""),0.0)</f>
        <v>0</v>
      </c>
      <c r="K205" s="3">
        <f>IFERROR(__xludf.DUMMYFUNCTION("""COMPUTED_VALUE"""),100.0)</f>
        <v>100</v>
      </c>
      <c r="L205" s="3">
        <f>IFERROR(__xludf.DUMMYFUNCTION("""COMPUTED_VALUE"""),100.0)</f>
        <v>100</v>
      </c>
      <c r="M205" s="3" t="str">
        <f>IFERROR(__xludf.DUMMYFUNCTION("""COMPUTED_VALUE"""),"")</f>
        <v/>
      </c>
      <c r="N205" s="3" t="str">
        <f>IFERROR(__xludf.DUMMYFUNCTION("""COMPUTED_VALUE"""),"")</f>
        <v/>
      </c>
      <c r="O205" s="3"/>
      <c r="P205" s="3"/>
      <c r="Q205" s="3"/>
      <c r="R205" s="3"/>
      <c r="S205" s="3"/>
      <c r="T205" s="3"/>
      <c r="U205" s="3"/>
      <c r="V205" s="3"/>
      <c r="W205" s="3"/>
      <c r="X205" s="3"/>
      <c r="Y205" s="3"/>
      <c r="Z205" s="3"/>
      <c r="AA205" s="3"/>
      <c r="AB205" s="3"/>
      <c r="AC205" s="3"/>
      <c r="AD205" s="3"/>
      <c r="AE205" s="3"/>
      <c r="AF205" s="3"/>
      <c r="AG205" s="3"/>
      <c r="AH205" s="3"/>
      <c r="AI205" s="3"/>
      <c r="AJ205" s="3" t="str">
        <f>IFERROR(__xludf.DUMMYFUNCTION("""COMPUTED_VALUE"""),"Horns")</f>
        <v>Horns</v>
      </c>
      <c r="AK205" s="3" t="str">
        <f>IFERROR(__xludf.DUMMYFUNCTION("""COMPUTED_VALUE"""),"Charge")</f>
        <v>Charge</v>
      </c>
      <c r="AL205" s="3" t="str">
        <f>IFERROR(__xludf.DUMMYFUNCTION("""COMPUTED_VALUE"""),"Heighten reflexes")</f>
        <v>Heighten reflexes</v>
      </c>
      <c r="AM205" s="3" t="str">
        <f>IFERROR(__xludf.DUMMYFUNCTION("""COMPUTED_VALUE"""),"Double Strike")</f>
        <v>Double Strike</v>
      </c>
      <c r="AN205" s="3" t="str">
        <f>IFERROR(__xludf.DUMMYFUNCTION("""COMPUTED_VALUE"""),"Gore")</f>
        <v>Gore</v>
      </c>
      <c r="AO205" s="3"/>
      <c r="AP205" s="3"/>
      <c r="AQ205" s="3"/>
      <c r="AR205" s="3"/>
      <c r="AS205" s="3"/>
      <c r="AT205" s="3"/>
      <c r="AU205" s="3"/>
      <c r="AV205" s="3"/>
      <c r="AW205" s="3"/>
      <c r="AX205" s="3"/>
      <c r="AY205" s="3"/>
      <c r="AZ205" s="3"/>
      <c r="BA205" s="3"/>
      <c r="BB205" s="3"/>
      <c r="BC205" s="1"/>
      <c r="BD205" s="3">
        <f>IFERROR(__xludf.DUMMYFUNCTION("""COMPUTED_VALUE"""),0.0)</f>
        <v>0</v>
      </c>
      <c r="BE205" s="4">
        <f>IFERROR(__xludf.DUMMYFUNCTION("""COMPUTED_VALUE"""),10.0)</f>
        <v>10</v>
      </c>
      <c r="BF205" s="3"/>
      <c r="BG205" s="3" t="str">
        <f>IFERROR(__xludf.DUMMYFUNCTION("""COMPUTED_VALUE"""),"All")</f>
        <v>All</v>
      </c>
      <c r="BH205" s="3" t="str">
        <f>IFERROR(__xludf.DUMMYFUNCTION("""COMPUTED_VALUE"""),"Land Of Spira")</f>
        <v>Land Of Spira</v>
      </c>
      <c r="BI205" s="3"/>
      <c r="BJ205" s="3"/>
      <c r="BK205" s="3"/>
      <c r="BL205" s="3" t="b">
        <f>IFERROR(__xludf.DUMMYFUNCTION("""COMPUTED_VALUE"""),FALSE)</f>
        <v>0</v>
      </c>
      <c r="BM205" s="3"/>
      <c r="BN205" s="3"/>
      <c r="BO205" s="3"/>
      <c r="BP205" s="3"/>
      <c r="BQ205" s="3"/>
      <c r="BR205" s="3"/>
      <c r="BS205" s="3"/>
      <c r="BT205" s="3"/>
      <c r="BU205" s="3"/>
      <c r="BV205" s="3"/>
      <c r="BW205" s="3"/>
    </row>
    <row r="206" ht="15.75" customHeight="1">
      <c r="A206" s="3" t="str">
        <f>IFERROR(__xludf.DUMMYFUNCTION("""COMPUTED_VALUE"""),"Robotic Guardian of the 5th, No. 1")</f>
        <v>Robotic Guardian of the 5th, No. 1</v>
      </c>
      <c r="B206" s="3">
        <f>IFERROR(__xludf.DUMMYFUNCTION("""COMPUTED_VALUE"""),1.0)</f>
        <v>1</v>
      </c>
      <c r="C206" s="3"/>
      <c r="D206" s="12" t="str">
        <f>IFERROR(__xludf.DUMMYFUNCTION("""COMPUTED_VALUE"""),"Construct")</f>
        <v>Construct</v>
      </c>
      <c r="E206" s="12">
        <f>IFERROR(__xludf.DUMMYFUNCTION("""COMPUTED_VALUE"""),1010.0)</f>
        <v>1010</v>
      </c>
      <c r="F206" s="12">
        <f>IFERROR(__xludf.DUMMYFUNCTION("""COMPUTED_VALUE"""),1010.0)</f>
        <v>1010</v>
      </c>
      <c r="G206" s="12">
        <f>IFERROR(__xludf.DUMMYFUNCTION("""COMPUTED_VALUE"""),1010.0)</f>
        <v>1010</v>
      </c>
      <c r="H206" s="3">
        <f>IFERROR(__xludf.DUMMYFUNCTION("""COMPUTED_VALUE"""),10.0)</f>
        <v>10</v>
      </c>
      <c r="I206" s="3">
        <f>IFERROR(__xludf.DUMMYFUNCTION("""COMPUTED_VALUE"""),0.0)</f>
        <v>0</v>
      </c>
      <c r="J206" s="3">
        <f>IFERROR(__xludf.DUMMYFUNCTION("""COMPUTED_VALUE"""),0.0)</f>
        <v>0</v>
      </c>
      <c r="K206" s="3">
        <f>IFERROR(__xludf.DUMMYFUNCTION("""COMPUTED_VALUE"""),100.0)</f>
        <v>100</v>
      </c>
      <c r="L206" s="3">
        <f>IFERROR(__xludf.DUMMYFUNCTION("""COMPUTED_VALUE"""),100.0)</f>
        <v>100</v>
      </c>
      <c r="M206" s="3" t="str">
        <f>IFERROR(__xludf.DUMMYFUNCTION("""COMPUTED_VALUE"""),"Natural:Immune, ")</f>
        <v>Natural:Immune, </v>
      </c>
      <c r="N206" s="3" t="str">
        <f>IFERROR(__xludf.DUMMYFUNCTION("""COMPUTED_VALUE"""),"Fire:100, Water:100, ")</f>
        <v>Fire:100, Water:100, </v>
      </c>
      <c r="O206" s="3"/>
      <c r="P206" s="3"/>
      <c r="Q206" s="3"/>
      <c r="R206" s="3"/>
      <c r="S206" s="3"/>
      <c r="T206" s="3"/>
      <c r="U206" s="3"/>
      <c r="V206" s="3"/>
      <c r="W206" s="3" t="str">
        <f>IFERROR(__xludf.DUMMYFUNCTION("""COMPUTED_VALUE"""),"Lazer Infused Sword")</f>
        <v>Lazer Infused Sword</v>
      </c>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1"/>
      <c r="BD206" s="3">
        <f>IFERROR(__xludf.DUMMYFUNCTION("""COMPUTED_VALUE"""),0.0)</f>
        <v>0</v>
      </c>
      <c r="BE206" s="4">
        <f>IFERROR(__xludf.DUMMYFUNCTION("""COMPUTED_VALUE"""),10.0)</f>
        <v>10</v>
      </c>
      <c r="BF206" s="3"/>
      <c r="BG206" s="3" t="str">
        <f>IFERROR(__xludf.DUMMYFUNCTION("""COMPUTED_VALUE"""),"City/Town")</f>
        <v>City/Town</v>
      </c>
      <c r="BH206" s="3" t="str">
        <f>IFERROR(__xludf.DUMMYFUNCTION("""COMPUTED_VALUE"""),"Land Of Spira")</f>
        <v>Land Of Spira</v>
      </c>
      <c r="BI206" s="3"/>
      <c r="BJ206" s="3"/>
      <c r="BK206" s="3"/>
      <c r="BL206" s="3" t="b">
        <f>IFERROR(__xludf.DUMMYFUNCTION("""COMPUTED_VALUE"""),FALSE)</f>
        <v>0</v>
      </c>
      <c r="BM206" s="3"/>
      <c r="BN206" s="3"/>
      <c r="BO206" s="3"/>
      <c r="BP206" s="3"/>
      <c r="BQ206" s="3"/>
      <c r="BR206" s="3"/>
      <c r="BS206" s="3"/>
      <c r="BT206" s="3"/>
      <c r="BU206" s="3"/>
      <c r="BV206" s="3"/>
      <c r="BW206" s="3"/>
    </row>
    <row r="207" ht="15.75" customHeight="1">
      <c r="A207" s="3" t="str">
        <f>IFERROR(__xludf.DUMMYFUNCTION("""COMPUTED_VALUE"""),"Robotic Guardian of the 5th, No. 2")</f>
        <v>Robotic Guardian of the 5th, No. 2</v>
      </c>
      <c r="B207" s="3">
        <f>IFERROR(__xludf.DUMMYFUNCTION("""COMPUTED_VALUE"""),1.0)</f>
        <v>1</v>
      </c>
      <c r="C207" s="3"/>
      <c r="D207" s="12" t="str">
        <f>IFERROR(__xludf.DUMMYFUNCTION("""COMPUTED_VALUE"""),"Construct")</f>
        <v>Construct</v>
      </c>
      <c r="E207" s="12">
        <f>IFERROR(__xludf.DUMMYFUNCTION("""COMPUTED_VALUE"""),1010.0)</f>
        <v>1010</v>
      </c>
      <c r="F207" s="12">
        <f>IFERROR(__xludf.DUMMYFUNCTION("""COMPUTED_VALUE"""),1010.0)</f>
        <v>1010</v>
      </c>
      <c r="G207" s="12">
        <f>IFERROR(__xludf.DUMMYFUNCTION("""COMPUTED_VALUE"""),1010.0)</f>
        <v>1010</v>
      </c>
      <c r="H207" s="3">
        <f>IFERROR(__xludf.DUMMYFUNCTION("""COMPUTED_VALUE"""),10.0)</f>
        <v>10</v>
      </c>
      <c r="I207" s="3">
        <f>IFERROR(__xludf.DUMMYFUNCTION("""COMPUTED_VALUE"""),0.0)</f>
        <v>0</v>
      </c>
      <c r="J207" s="3">
        <f>IFERROR(__xludf.DUMMYFUNCTION("""COMPUTED_VALUE"""),0.0)</f>
        <v>0</v>
      </c>
      <c r="K207" s="3">
        <f>IFERROR(__xludf.DUMMYFUNCTION("""COMPUTED_VALUE"""),100.0)</f>
        <v>100</v>
      </c>
      <c r="L207" s="3">
        <f>IFERROR(__xludf.DUMMYFUNCTION("""COMPUTED_VALUE"""),100.0)</f>
        <v>100</v>
      </c>
      <c r="M207" s="3" t="str">
        <f>IFERROR(__xludf.DUMMYFUNCTION("""COMPUTED_VALUE"""),"Natural:Immune, ")</f>
        <v>Natural:Immune, </v>
      </c>
      <c r="N207" s="3" t="str">
        <f>IFERROR(__xludf.DUMMYFUNCTION("""COMPUTED_VALUE"""),"Fire:100, Water:100, ")</f>
        <v>Fire:100, Water:100, </v>
      </c>
      <c r="O207" s="3"/>
      <c r="P207" s="3"/>
      <c r="Q207" s="3"/>
      <c r="R207" s="3"/>
      <c r="S207" s="3"/>
      <c r="T207" s="3"/>
      <c r="U207" s="3"/>
      <c r="V207" s="3"/>
      <c r="W207" s="3" t="str">
        <f>IFERROR(__xludf.DUMMYFUNCTION("""COMPUTED_VALUE"""),"Lazer Infused Sword")</f>
        <v>Lazer Infused Sword</v>
      </c>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1"/>
      <c r="BD207" s="3">
        <f>IFERROR(__xludf.DUMMYFUNCTION("""COMPUTED_VALUE"""),0.0)</f>
        <v>0</v>
      </c>
      <c r="BE207" s="4">
        <f>IFERROR(__xludf.DUMMYFUNCTION("""COMPUTED_VALUE"""),10.0)</f>
        <v>10</v>
      </c>
      <c r="BF207" s="3"/>
      <c r="BG207" s="3" t="str">
        <f>IFERROR(__xludf.DUMMYFUNCTION("""COMPUTED_VALUE"""),"City/Town")</f>
        <v>City/Town</v>
      </c>
      <c r="BH207" s="3" t="str">
        <f>IFERROR(__xludf.DUMMYFUNCTION("""COMPUTED_VALUE"""),"Land Of Spira")</f>
        <v>Land Of Spira</v>
      </c>
      <c r="BI207" s="3"/>
      <c r="BJ207" s="3"/>
      <c r="BK207" s="3"/>
      <c r="BL207" s="3" t="b">
        <f>IFERROR(__xludf.DUMMYFUNCTION("""COMPUTED_VALUE"""),FALSE)</f>
        <v>0</v>
      </c>
      <c r="BM207" s="3"/>
      <c r="BN207" s="3"/>
      <c r="BO207" s="3"/>
      <c r="BP207" s="3"/>
      <c r="BQ207" s="3"/>
      <c r="BR207" s="3"/>
      <c r="BS207" s="3"/>
      <c r="BT207" s="3"/>
      <c r="BU207" s="3"/>
      <c r="BV207" s="3"/>
      <c r="BW207" s="3"/>
    </row>
    <row r="208" ht="15.75" customHeight="1">
      <c r="A208" s="3" t="str">
        <f>IFERROR(__xludf.DUMMYFUNCTION("""COMPUTED_VALUE"""),"Robotic Guardian of the 5th, No. 3")</f>
        <v>Robotic Guardian of the 5th, No. 3</v>
      </c>
      <c r="B208" s="3">
        <f>IFERROR(__xludf.DUMMYFUNCTION("""COMPUTED_VALUE"""),1.0)</f>
        <v>1</v>
      </c>
      <c r="C208" s="3"/>
      <c r="D208" s="12" t="str">
        <f>IFERROR(__xludf.DUMMYFUNCTION("""COMPUTED_VALUE"""),"Construct")</f>
        <v>Construct</v>
      </c>
      <c r="E208" s="12">
        <f>IFERROR(__xludf.DUMMYFUNCTION("""COMPUTED_VALUE"""),1010.0)</f>
        <v>1010</v>
      </c>
      <c r="F208" s="12">
        <f>IFERROR(__xludf.DUMMYFUNCTION("""COMPUTED_VALUE"""),1010.0)</f>
        <v>1010</v>
      </c>
      <c r="G208" s="12">
        <f>IFERROR(__xludf.DUMMYFUNCTION("""COMPUTED_VALUE"""),1010.0)</f>
        <v>1010</v>
      </c>
      <c r="H208" s="3">
        <f>IFERROR(__xludf.DUMMYFUNCTION("""COMPUTED_VALUE"""),10.0)</f>
        <v>10</v>
      </c>
      <c r="I208" s="3">
        <f>IFERROR(__xludf.DUMMYFUNCTION("""COMPUTED_VALUE"""),0.0)</f>
        <v>0</v>
      </c>
      <c r="J208" s="3">
        <f>IFERROR(__xludf.DUMMYFUNCTION("""COMPUTED_VALUE"""),0.0)</f>
        <v>0</v>
      </c>
      <c r="K208" s="3">
        <f>IFERROR(__xludf.DUMMYFUNCTION("""COMPUTED_VALUE"""),100.0)</f>
        <v>100</v>
      </c>
      <c r="L208" s="3">
        <f>IFERROR(__xludf.DUMMYFUNCTION("""COMPUTED_VALUE"""),100.0)</f>
        <v>100</v>
      </c>
      <c r="M208" s="3" t="str">
        <f>IFERROR(__xludf.DUMMYFUNCTION("""COMPUTED_VALUE"""),"Natural:Immune, ")</f>
        <v>Natural:Immune, </v>
      </c>
      <c r="N208" s="3" t="str">
        <f>IFERROR(__xludf.DUMMYFUNCTION("""COMPUTED_VALUE"""),"Fire:100, Water:100, ")</f>
        <v>Fire:100, Water:100, </v>
      </c>
      <c r="O208" s="3"/>
      <c r="P208" s="3"/>
      <c r="Q208" s="3"/>
      <c r="R208" s="3"/>
      <c r="S208" s="3"/>
      <c r="T208" s="3"/>
      <c r="U208" s="3"/>
      <c r="V208" s="3"/>
      <c r="W208" s="3" t="str">
        <f>IFERROR(__xludf.DUMMYFUNCTION("""COMPUTED_VALUE"""),"Lazer Infused Sword")</f>
        <v>Lazer Infused Sword</v>
      </c>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1"/>
      <c r="BD208" s="3">
        <f>IFERROR(__xludf.DUMMYFUNCTION("""COMPUTED_VALUE"""),0.0)</f>
        <v>0</v>
      </c>
      <c r="BE208" s="4">
        <f>IFERROR(__xludf.DUMMYFUNCTION("""COMPUTED_VALUE"""),10.0)</f>
        <v>10</v>
      </c>
      <c r="BF208" s="3"/>
      <c r="BG208" s="3" t="str">
        <f>IFERROR(__xludf.DUMMYFUNCTION("""COMPUTED_VALUE"""),"City/Town")</f>
        <v>City/Town</v>
      </c>
      <c r="BH208" s="3" t="str">
        <f>IFERROR(__xludf.DUMMYFUNCTION("""COMPUTED_VALUE"""),"Land Of Spira")</f>
        <v>Land Of Spira</v>
      </c>
      <c r="BI208" s="3"/>
      <c r="BJ208" s="3"/>
      <c r="BK208" s="3"/>
      <c r="BL208" s="3" t="b">
        <f>IFERROR(__xludf.DUMMYFUNCTION("""COMPUTED_VALUE"""),FALSE)</f>
        <v>0</v>
      </c>
      <c r="BM208" s="3"/>
      <c r="BN208" s="3"/>
      <c r="BO208" s="3"/>
      <c r="BP208" s="3"/>
      <c r="BQ208" s="3"/>
      <c r="BR208" s="3"/>
      <c r="BS208" s="3"/>
      <c r="BT208" s="3"/>
      <c r="BU208" s="3"/>
      <c r="BV208" s="3"/>
      <c r="BW208" s="3"/>
    </row>
    <row r="209" ht="15.75" customHeight="1">
      <c r="A209" s="3" t="str">
        <f>IFERROR(__xludf.DUMMYFUNCTION("""COMPUTED_VALUE"""),"Robotic Guardian of the 5th, No. 4")</f>
        <v>Robotic Guardian of the 5th, No. 4</v>
      </c>
      <c r="B209" s="3">
        <f>IFERROR(__xludf.DUMMYFUNCTION("""COMPUTED_VALUE"""),1.0)</f>
        <v>1</v>
      </c>
      <c r="C209" s="3"/>
      <c r="D209" s="12" t="str">
        <f>IFERROR(__xludf.DUMMYFUNCTION("""COMPUTED_VALUE"""),"Construct")</f>
        <v>Construct</v>
      </c>
      <c r="E209" s="12">
        <f>IFERROR(__xludf.DUMMYFUNCTION("""COMPUTED_VALUE"""),1010.0)</f>
        <v>1010</v>
      </c>
      <c r="F209" s="12">
        <f>IFERROR(__xludf.DUMMYFUNCTION("""COMPUTED_VALUE"""),1010.0)</f>
        <v>1010</v>
      </c>
      <c r="G209" s="12">
        <f>IFERROR(__xludf.DUMMYFUNCTION("""COMPUTED_VALUE"""),1010.0)</f>
        <v>1010</v>
      </c>
      <c r="H209" s="3">
        <f>IFERROR(__xludf.DUMMYFUNCTION("""COMPUTED_VALUE"""),10.0)</f>
        <v>10</v>
      </c>
      <c r="I209" s="3">
        <f>IFERROR(__xludf.DUMMYFUNCTION("""COMPUTED_VALUE"""),0.0)</f>
        <v>0</v>
      </c>
      <c r="J209" s="3">
        <f>IFERROR(__xludf.DUMMYFUNCTION("""COMPUTED_VALUE"""),0.0)</f>
        <v>0</v>
      </c>
      <c r="K209" s="3">
        <f>IFERROR(__xludf.DUMMYFUNCTION("""COMPUTED_VALUE"""),100.0)</f>
        <v>100</v>
      </c>
      <c r="L209" s="3">
        <f>IFERROR(__xludf.DUMMYFUNCTION("""COMPUTED_VALUE"""),100.0)</f>
        <v>100</v>
      </c>
      <c r="M209" s="3" t="str">
        <f>IFERROR(__xludf.DUMMYFUNCTION("""COMPUTED_VALUE"""),"Natural:Immune, ")</f>
        <v>Natural:Immune, </v>
      </c>
      <c r="N209" s="3" t="str">
        <f>IFERROR(__xludf.DUMMYFUNCTION("""COMPUTED_VALUE"""),"Fire:100, Water:100, ")</f>
        <v>Fire:100, Water:100, </v>
      </c>
      <c r="O209" s="3"/>
      <c r="P209" s="3"/>
      <c r="Q209" s="3"/>
      <c r="R209" s="3"/>
      <c r="S209" s="3"/>
      <c r="T209" s="3"/>
      <c r="U209" s="3"/>
      <c r="V209" s="3"/>
      <c r="W209" s="3" t="str">
        <f>IFERROR(__xludf.DUMMYFUNCTION("""COMPUTED_VALUE"""),"Lazer Infused Sword")</f>
        <v>Lazer Infused Sword</v>
      </c>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1"/>
      <c r="BD209" s="3">
        <f>IFERROR(__xludf.DUMMYFUNCTION("""COMPUTED_VALUE"""),0.0)</f>
        <v>0</v>
      </c>
      <c r="BE209" s="4">
        <f>IFERROR(__xludf.DUMMYFUNCTION("""COMPUTED_VALUE"""),10.0)</f>
        <v>10</v>
      </c>
      <c r="BF209" s="3"/>
      <c r="BG209" s="3" t="str">
        <f>IFERROR(__xludf.DUMMYFUNCTION("""COMPUTED_VALUE"""),"City/Town")</f>
        <v>City/Town</v>
      </c>
      <c r="BH209" s="3" t="str">
        <f>IFERROR(__xludf.DUMMYFUNCTION("""COMPUTED_VALUE"""),"Land Of Spira")</f>
        <v>Land Of Spira</v>
      </c>
      <c r="BI209" s="3"/>
      <c r="BJ209" s="3"/>
      <c r="BK209" s="3"/>
      <c r="BL209" s="3" t="b">
        <f>IFERROR(__xludf.DUMMYFUNCTION("""COMPUTED_VALUE"""),FALSE)</f>
        <v>0</v>
      </c>
      <c r="BM209" s="3"/>
      <c r="BN209" s="3"/>
      <c r="BO209" s="3"/>
      <c r="BP209" s="3"/>
      <c r="BQ209" s="3"/>
      <c r="BR209" s="3"/>
      <c r="BS209" s="3"/>
      <c r="BT209" s="3"/>
      <c r="BU209" s="3"/>
      <c r="BV209" s="3"/>
      <c r="BW209" s="3"/>
    </row>
    <row r="210" ht="15.75" customHeight="1">
      <c r="A210" s="3" t="str">
        <f>IFERROR(__xludf.DUMMYFUNCTION("""COMPUTED_VALUE"""),"Rock Snake")</f>
        <v>Rock Snake</v>
      </c>
      <c r="B210" s="3">
        <f>IFERROR(__xludf.DUMMYFUNCTION("""COMPUTED_VALUE"""),1.0)</f>
        <v>1</v>
      </c>
      <c r="C210" s="3"/>
      <c r="D210" s="12" t="str">
        <f>IFERROR(__xludf.DUMMYFUNCTION("""COMPUTED_VALUE"""),"Beast")</f>
        <v>Beast</v>
      </c>
      <c r="E210" s="12">
        <f>IFERROR(__xludf.DUMMYFUNCTION("""COMPUTED_VALUE"""),1010.0)</f>
        <v>1010</v>
      </c>
      <c r="F210" s="12">
        <f>IFERROR(__xludf.DUMMYFUNCTION("""COMPUTED_VALUE"""),1010.0)</f>
        <v>1010</v>
      </c>
      <c r="G210" s="12">
        <f>IFERROR(__xludf.DUMMYFUNCTION("""COMPUTED_VALUE"""),1010.0)</f>
        <v>1010</v>
      </c>
      <c r="H210" s="3">
        <f>IFERROR(__xludf.DUMMYFUNCTION("""COMPUTED_VALUE"""),10.0)</f>
        <v>10</v>
      </c>
      <c r="I210" s="3">
        <f>IFERROR(__xludf.DUMMYFUNCTION("""COMPUTED_VALUE"""),0.0)</f>
        <v>0</v>
      </c>
      <c r="J210" s="3">
        <f>IFERROR(__xludf.DUMMYFUNCTION("""COMPUTED_VALUE"""),0.0)</f>
        <v>0</v>
      </c>
      <c r="K210" s="3">
        <f>IFERROR(__xludf.DUMMYFUNCTION("""COMPUTED_VALUE"""),100.0)</f>
        <v>100</v>
      </c>
      <c r="L210" s="3">
        <f>IFERROR(__xludf.DUMMYFUNCTION("""COMPUTED_VALUE"""),100.0)</f>
        <v>100</v>
      </c>
      <c r="M210" s="3" t="str">
        <f>IFERROR(__xludf.DUMMYFUNCTION("""COMPUTED_VALUE"""),"Fire:100, ")</f>
        <v>Fire:100, </v>
      </c>
      <c r="N210" s="3" t="str">
        <f>IFERROR(__xludf.DUMMYFUNCTION("""COMPUTED_VALUE"""),"Water:100, ")</f>
        <v>Water:100, </v>
      </c>
      <c r="O210" s="3"/>
      <c r="P210" s="3"/>
      <c r="Q210" s="3"/>
      <c r="R210" s="3"/>
      <c r="S210" s="3"/>
      <c r="T210" s="3"/>
      <c r="U210" s="3"/>
      <c r="V210" s="3"/>
      <c r="W210" s="3"/>
      <c r="X210" s="3"/>
      <c r="Y210" s="3"/>
      <c r="Z210" s="3"/>
      <c r="AA210" s="3"/>
      <c r="AB210" s="3"/>
      <c r="AC210" s="3"/>
      <c r="AD210" s="3"/>
      <c r="AE210" s="3"/>
      <c r="AF210" s="3"/>
      <c r="AG210" s="3"/>
      <c r="AH210" s="3"/>
      <c r="AI210" s="3"/>
      <c r="AJ210" s="3" t="str">
        <f>IFERROR(__xludf.DUMMYFUNCTION("""COMPUTED_VALUE"""),"Rock Shot")</f>
        <v>Rock Shot</v>
      </c>
      <c r="AK210" s="3" t="str">
        <f>IFERROR(__xludf.DUMMYFUNCTION("""COMPUTED_VALUE"""),"Quicksand")</f>
        <v>Quicksand</v>
      </c>
      <c r="AL210" s="3" t="str">
        <f>IFERROR(__xludf.DUMMYFUNCTION("""COMPUTED_VALUE"""),"Rock Shot")</f>
        <v>Rock Shot</v>
      </c>
      <c r="AM210" s="3" t="str">
        <f>IFERROR(__xludf.DUMMYFUNCTION("""COMPUTED_VALUE"""),"Bite")</f>
        <v>Bite</v>
      </c>
      <c r="AN210" s="3" t="str">
        <f>IFERROR(__xludf.DUMMYFUNCTION("""COMPUTED_VALUE"""),"Poison Fang")</f>
        <v>Poison Fang</v>
      </c>
      <c r="AO210" s="3"/>
      <c r="AP210" s="3"/>
      <c r="AQ210" s="3"/>
      <c r="AR210" s="3"/>
      <c r="AS210" s="3"/>
      <c r="AT210" s="3"/>
      <c r="AU210" s="3"/>
      <c r="AV210" s="3"/>
      <c r="AW210" s="3"/>
      <c r="AX210" s="3"/>
      <c r="AY210" s="3"/>
      <c r="AZ210" s="3"/>
      <c r="BA210" s="3"/>
      <c r="BB210" s="3"/>
      <c r="BC210" s="1"/>
      <c r="BD210" s="3">
        <f>IFERROR(__xludf.DUMMYFUNCTION("""COMPUTED_VALUE"""),0.0)</f>
        <v>0</v>
      </c>
      <c r="BE210" s="4">
        <f>IFERROR(__xludf.DUMMYFUNCTION("""COMPUTED_VALUE"""),10.0)</f>
        <v>10</v>
      </c>
      <c r="BF210" s="3"/>
      <c r="BG210" s="3" t="str">
        <f>IFERROR(__xludf.DUMMYFUNCTION("""COMPUTED_VALUE"""),"All")</f>
        <v>All</v>
      </c>
      <c r="BH210" s="3" t="str">
        <f>IFERROR(__xludf.DUMMYFUNCTION("""COMPUTED_VALUE"""),"Land of Spira")</f>
        <v>Land of Spira</v>
      </c>
      <c r="BI210" s="3"/>
      <c r="BJ210" s="3"/>
      <c r="BK210" s="3"/>
      <c r="BL210" s="3" t="b">
        <f>IFERROR(__xludf.DUMMYFUNCTION("""COMPUTED_VALUE"""),FALSE)</f>
        <v>0</v>
      </c>
      <c r="BM210" s="3"/>
      <c r="BN210" s="3"/>
      <c r="BO210" s="3"/>
      <c r="BP210" s="3"/>
      <c r="BQ210" s="3"/>
      <c r="BR210" s="3"/>
      <c r="BS210" s="3"/>
      <c r="BT210" s="3"/>
      <c r="BU210" s="3"/>
      <c r="BV210" s="3"/>
      <c r="BW210" s="3"/>
    </row>
    <row r="211" ht="15.75" customHeight="1">
      <c r="A211" s="3" t="str">
        <f>IFERROR(__xludf.DUMMYFUNCTION("""COMPUTED_VALUE"""),"Rooster")</f>
        <v>Rooster</v>
      </c>
      <c r="B211" s="3">
        <f>IFERROR(__xludf.DUMMYFUNCTION("""COMPUTED_VALUE"""),1.0)</f>
        <v>1</v>
      </c>
      <c r="C211" s="3" t="str">
        <f>IFERROR(__xludf.DUMMYFUNCTION("""COMPUTED_VALUE"""),"Fuck around and find out")</f>
        <v>Fuck around and find out</v>
      </c>
      <c r="D211" s="3" t="str">
        <f>IFERROR(__xludf.DUMMYFUNCTION("""COMPUTED_VALUE"""),"Beast")</f>
        <v>Beast</v>
      </c>
      <c r="E211" s="12">
        <f>IFERROR(__xludf.DUMMYFUNCTION("""COMPUTED_VALUE"""),101010.0)</f>
        <v>101010</v>
      </c>
      <c r="F211" s="12">
        <f>IFERROR(__xludf.DUMMYFUNCTION("""COMPUTED_VALUE"""),101010.0)</f>
        <v>101010</v>
      </c>
      <c r="G211" s="12">
        <f>IFERROR(__xludf.DUMMYFUNCTION("""COMPUTED_VALUE"""),101010.0)</f>
        <v>101010</v>
      </c>
      <c r="H211" s="3">
        <f>IFERROR(__xludf.DUMMYFUNCTION("""COMPUTED_VALUE"""),50.0)</f>
        <v>50</v>
      </c>
      <c r="I211" s="3">
        <f>IFERROR(__xludf.DUMMYFUNCTION("""COMPUTED_VALUE"""),0.0)</f>
        <v>0</v>
      </c>
      <c r="J211" s="3">
        <f>IFERROR(__xludf.DUMMYFUNCTION("""COMPUTED_VALUE"""),0.0)</f>
        <v>0</v>
      </c>
      <c r="K211" s="12">
        <f>IFERROR(__xludf.DUMMYFUNCTION("""COMPUTED_VALUE"""),101010.0)</f>
        <v>101010</v>
      </c>
      <c r="L211" s="12">
        <f>IFERROR(__xludf.DUMMYFUNCTION("""COMPUTED_VALUE"""),101010.0)</f>
        <v>101010</v>
      </c>
      <c r="M211" s="3" t="str">
        <f>IFERROR(__xludf.DUMMYFUNCTION("""COMPUTED_VALUE"""),"")</f>
        <v/>
      </c>
      <c r="N211" s="3" t="str">
        <f>IFERROR(__xludf.DUMMYFUNCTION("""COMPUTED_VALUE"""),"")</f>
        <v/>
      </c>
      <c r="O211" s="3"/>
      <c r="P211" s="3"/>
      <c r="Q211" s="3"/>
      <c r="R211" s="3"/>
      <c r="S211" s="3"/>
      <c r="T211" s="3"/>
      <c r="U211" s="3"/>
      <c r="V211" s="3"/>
      <c r="W211" s="3"/>
      <c r="X211" s="3"/>
      <c r="Y211" s="3"/>
      <c r="Z211" s="3"/>
      <c r="AA211" s="3"/>
      <c r="AB211" s="3"/>
      <c r="AC211" s="3"/>
      <c r="AD211" s="3"/>
      <c r="AE211" s="3"/>
      <c r="AF211" s="3"/>
      <c r="AG211" s="3"/>
      <c r="AH211" s="3"/>
      <c r="AI211" s="3"/>
      <c r="AJ211" s="3" t="str">
        <f>IFERROR(__xludf.DUMMYFUNCTION("""COMPUTED_VALUE"""),"Dive Bomb")</f>
        <v>Dive Bomb</v>
      </c>
      <c r="AK211" s="3" t="str">
        <f>IFERROR(__xludf.DUMMYFUNCTION("""COMPUTED_VALUE"""),"Sacred Flame Peck")</f>
        <v>Sacred Flame Peck</v>
      </c>
      <c r="AL211" s="3" t="str">
        <f>IFERROR(__xludf.DUMMYFUNCTION("""COMPUTED_VALUE"""),"Rapid Frost Peck")</f>
        <v>Rapid Frost Peck</v>
      </c>
      <c r="AM211" s="3" t="str">
        <f>IFERROR(__xludf.DUMMYFUNCTION("""COMPUTED_VALUE"""),"Sun Slam")</f>
        <v>Sun Slam</v>
      </c>
      <c r="AN211" s="3"/>
      <c r="AO211" s="3"/>
      <c r="AP211" s="3"/>
      <c r="AQ211" s="3"/>
      <c r="AR211" s="3"/>
      <c r="AS211" s="3"/>
      <c r="AT211" s="3"/>
      <c r="AU211" s="3"/>
      <c r="AV211" s="3"/>
      <c r="AW211" s="3"/>
      <c r="AX211" s="3"/>
      <c r="AY211" s="3"/>
      <c r="AZ211" s="3"/>
      <c r="BA211" s="3"/>
      <c r="BB211" s="3"/>
      <c r="BC211" s="1"/>
      <c r="BD211" s="3">
        <f>IFERROR(__xludf.DUMMYFUNCTION("""COMPUTED_VALUE"""),0.0)</f>
        <v>0</v>
      </c>
      <c r="BE211" s="4">
        <f>IFERROR(__xludf.DUMMYFUNCTION("""COMPUTED_VALUE"""),10.0)</f>
        <v>10</v>
      </c>
      <c r="BF211" s="3"/>
      <c r="BG211" s="3" t="str">
        <f>IFERROR(__xludf.DUMMYFUNCTION("""COMPUTED_VALUE"""),"All")</f>
        <v>All</v>
      </c>
      <c r="BH211" s="3" t="str">
        <f>IFERROR(__xludf.DUMMYFUNCTION("""COMPUTED_VALUE"""),"Land of Spira")</f>
        <v>Land of Spira</v>
      </c>
      <c r="BI211" s="3"/>
      <c r="BJ211" s="3"/>
      <c r="BK211" s="3"/>
      <c r="BL211" s="3" t="b">
        <f>IFERROR(__xludf.DUMMYFUNCTION("""COMPUTED_VALUE"""),FALSE)</f>
        <v>0</v>
      </c>
      <c r="BM211" s="3"/>
      <c r="BN211" s="3"/>
      <c r="BO211" s="3"/>
      <c r="BP211" s="3"/>
      <c r="BQ211" s="3"/>
      <c r="BR211" s="3"/>
      <c r="BS211" s="3"/>
      <c r="BT211" s="3"/>
      <c r="BU211" s="3"/>
      <c r="BV211" s="3"/>
      <c r="BW211" s="3"/>
    </row>
    <row r="212" ht="15.75" customHeight="1">
      <c r="A212" s="3" t="str">
        <f>IFERROR(__xludf.DUMMYFUNCTION("""COMPUTED_VALUE"""),"Rowboat")</f>
        <v>Rowboat</v>
      </c>
      <c r="B212" s="3">
        <f>IFERROR(__xludf.DUMMYFUNCTION("""COMPUTED_VALUE"""),1.0)</f>
        <v>1</v>
      </c>
      <c r="C212" s="3"/>
      <c r="D212" s="12" t="str">
        <f>IFERROR(__xludf.DUMMYFUNCTION("""COMPUTED_VALUE"""),"Construct")</f>
        <v>Construct</v>
      </c>
      <c r="E212" s="3"/>
      <c r="F212" s="12">
        <f>IFERROR(__xludf.DUMMYFUNCTION("""COMPUTED_VALUE"""),1010.0)</f>
        <v>1010</v>
      </c>
      <c r="G212" s="3"/>
      <c r="H212" s="3">
        <f>IFERROR(__xludf.DUMMYFUNCTION("""COMPUTED_VALUE"""),10.0)</f>
        <v>10</v>
      </c>
      <c r="I212" s="3">
        <f>IFERROR(__xludf.DUMMYFUNCTION("""COMPUTED_VALUE"""),0.0)</f>
        <v>0</v>
      </c>
      <c r="J212" s="3">
        <f>IFERROR(__xludf.DUMMYFUNCTION("""COMPUTED_VALUE"""),0.0)</f>
        <v>0</v>
      </c>
      <c r="K212" s="3">
        <f>IFERROR(__xludf.DUMMYFUNCTION("""COMPUTED_VALUE"""),100.0)</f>
        <v>100</v>
      </c>
      <c r="L212" s="3">
        <f>IFERROR(__xludf.DUMMYFUNCTION("""COMPUTED_VALUE"""),100.0)</f>
        <v>100</v>
      </c>
      <c r="M212" s="3" t="str">
        <f>IFERROR(__xludf.DUMMYFUNCTION("""COMPUTED_VALUE"""),"")</f>
        <v/>
      </c>
      <c r="N212" s="3" t="str">
        <f>IFERROR(__xludf.DUMMYFUNCTION("""COMPUTED_VALUE"""),"")</f>
        <v/>
      </c>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1"/>
      <c r="BD212" s="3">
        <f>IFERROR(__xludf.DUMMYFUNCTION("""COMPUTED_VALUE"""),0.0)</f>
        <v>0</v>
      </c>
      <c r="BE212" s="4">
        <f>IFERROR(__xludf.DUMMYFUNCTION("""COMPUTED_VALUE"""),10.0)</f>
        <v>10</v>
      </c>
      <c r="BF212" s="3" t="str">
        <f>IFERROR(__xludf.DUMMYFUNCTION("""COMPUTED_VALUE"""),"Deduct d5 days from your current journey.
Up to 2 party members can travel in this mount.")</f>
        <v>Deduct d5 days from your current journey.
Up to 2 party members can travel in this mount.</v>
      </c>
      <c r="BG212" s="3" t="str">
        <f>IFERROR(__xludf.DUMMYFUNCTION("""COMPUTED_VALUE"""),"Ocean")</f>
        <v>Ocean</v>
      </c>
      <c r="BH212" s="3" t="str">
        <f>IFERROR(__xludf.DUMMYFUNCTION("""COMPUTED_VALUE"""),"Land of Spira")</f>
        <v>Land of Spira</v>
      </c>
      <c r="BI212" s="3"/>
      <c r="BJ212" s="3"/>
      <c r="BK212" s="3">
        <f>IFERROR(__xludf.DUMMYFUNCTION("""COMPUTED_VALUE"""),0.0)</f>
        <v>0</v>
      </c>
      <c r="BL212" s="3" t="b">
        <f>IFERROR(__xludf.DUMMYFUNCTION("""COMPUTED_VALUE"""),TRUE)</f>
        <v>1</v>
      </c>
      <c r="BM212" s="12" t="str">
        <f>IFERROR(__xludf.DUMMYFUNCTION("""COMPUTED_VALUE"""),"Boat")</f>
        <v>Boat</v>
      </c>
      <c r="BN212" s="3"/>
      <c r="BO212" s="3"/>
      <c r="BP212" s="3"/>
      <c r="BQ212" s="3"/>
      <c r="BR212" s="3"/>
      <c r="BS212" s="3"/>
      <c r="BT212" s="3"/>
      <c r="BU212" s="3"/>
      <c r="BV212" s="3"/>
      <c r="BW212" s="3"/>
    </row>
    <row r="213" ht="15.75" customHeight="1">
      <c r="A213" s="3"/>
      <c r="B213" s="3">
        <f>IFERROR(__xludf.DUMMYFUNCTION("""COMPUTED_VALUE"""),1.0)</f>
        <v>1</v>
      </c>
      <c r="C213" s="3"/>
      <c r="D213" s="3" t="str">
        <f>IFERROR(__xludf.DUMMYFUNCTION("""COMPUTED_VALUE"""),"Draconic")</f>
        <v>Draconic</v>
      </c>
      <c r="E213" s="3">
        <f>IFERROR(__xludf.DUMMYFUNCTION("""COMPUTED_VALUE"""),1010.0)</f>
        <v>1010</v>
      </c>
      <c r="F213" s="12">
        <f>IFERROR(__xludf.DUMMYFUNCTION("""COMPUTED_VALUE"""),1010.0)</f>
        <v>1010</v>
      </c>
      <c r="G213" s="3">
        <f>IFERROR(__xludf.DUMMYFUNCTION("""COMPUTED_VALUE"""),1010.0)</f>
        <v>1010</v>
      </c>
      <c r="H213" s="3">
        <f>IFERROR(__xludf.DUMMYFUNCTION("""COMPUTED_VALUE"""),10.0)</f>
        <v>10</v>
      </c>
      <c r="I213" s="3">
        <f>IFERROR(__xludf.DUMMYFUNCTION("""COMPUTED_VALUE"""),0.0)</f>
        <v>0</v>
      </c>
      <c r="J213" s="3">
        <f>IFERROR(__xludf.DUMMYFUNCTION("""COMPUTED_VALUE"""),0.0)</f>
        <v>0</v>
      </c>
      <c r="K213" s="3">
        <f>IFERROR(__xludf.DUMMYFUNCTION("""COMPUTED_VALUE"""),100.0)</f>
        <v>100</v>
      </c>
      <c r="L213" s="3">
        <f>IFERROR(__xludf.DUMMYFUNCTION("""COMPUTED_VALUE"""),100.0)</f>
        <v>100</v>
      </c>
      <c r="M213" s="3" t="str">
        <f>IFERROR(__xludf.DUMMYFUNCTION("""COMPUTED_VALUE"""),"#N/A")</f>
        <v>#N/A</v>
      </c>
      <c r="N213" s="3" t="str">
        <f>IFERROR(__xludf.DUMMYFUNCTION("""COMPUTED_VALUE"""),"#N/A")</f>
        <v>#N/A</v>
      </c>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1"/>
      <c r="BD213" s="3">
        <f>IFERROR(__xludf.DUMMYFUNCTION("""COMPUTED_VALUE"""),0.0)</f>
        <v>0</v>
      </c>
      <c r="BE213" s="4">
        <f>IFERROR(__xludf.DUMMYFUNCTION("""COMPUTED_VALUE"""),10.0)</f>
        <v>10</v>
      </c>
      <c r="BF213" s="3"/>
      <c r="BG213" s="3"/>
      <c r="BH213" s="3"/>
      <c r="BI213" s="3"/>
      <c r="BJ213" s="3"/>
      <c r="BK213" s="3"/>
      <c r="BL213" s="3" t="b">
        <f>IFERROR(__xludf.DUMMYFUNCTION("""COMPUTED_VALUE"""),FALSE)</f>
        <v>0</v>
      </c>
      <c r="BM213" s="3"/>
      <c r="BN213" s="3"/>
      <c r="BO213" s="3"/>
      <c r="BP213" s="3"/>
      <c r="BQ213" s="3"/>
      <c r="BR213" s="3"/>
      <c r="BS213" s="3"/>
      <c r="BT213" s="3"/>
      <c r="BU213" s="3"/>
      <c r="BV213" s="3"/>
      <c r="BW213" s="3"/>
    </row>
    <row r="214" ht="15.75" customHeight="1">
      <c r="A214" s="3" t="str">
        <f>IFERROR(__xludf.DUMMYFUNCTION("""COMPUTED_VALUE"""),"Saber Toothed Cat")</f>
        <v>Saber Toothed Cat</v>
      </c>
      <c r="B214" s="3">
        <f>IFERROR(__xludf.DUMMYFUNCTION("""COMPUTED_VALUE"""),1.0)</f>
        <v>1</v>
      </c>
      <c r="C214" s="3"/>
      <c r="D214" s="3" t="str">
        <f>IFERROR(__xludf.DUMMYFUNCTION("""COMPUTED_VALUE"""),"Beast")</f>
        <v>Beast</v>
      </c>
      <c r="E214" s="3">
        <f>IFERROR(__xludf.DUMMYFUNCTION("""COMPUTED_VALUE"""),1010.0)</f>
        <v>1010</v>
      </c>
      <c r="F214" s="12">
        <f>IFERROR(__xludf.DUMMYFUNCTION("""COMPUTED_VALUE"""),1010.0)</f>
        <v>1010</v>
      </c>
      <c r="G214" s="3">
        <f>IFERROR(__xludf.DUMMYFUNCTION("""COMPUTED_VALUE"""),1010.0)</f>
        <v>1010</v>
      </c>
      <c r="H214" s="3">
        <f>IFERROR(__xludf.DUMMYFUNCTION("""COMPUTED_VALUE"""),10.0)</f>
        <v>10</v>
      </c>
      <c r="I214" s="3">
        <f>IFERROR(__xludf.DUMMYFUNCTION("""COMPUTED_VALUE"""),0.0)</f>
        <v>0</v>
      </c>
      <c r="J214" s="3">
        <f>IFERROR(__xludf.DUMMYFUNCTION("""COMPUTED_VALUE"""),0.0)</f>
        <v>0</v>
      </c>
      <c r="K214" s="3">
        <f>IFERROR(__xludf.DUMMYFUNCTION("""COMPUTED_VALUE"""),100.0)</f>
        <v>100</v>
      </c>
      <c r="L214" s="3">
        <f>IFERROR(__xludf.DUMMYFUNCTION("""COMPUTED_VALUE"""),100.0)</f>
        <v>100</v>
      </c>
      <c r="M214" s="3" t="str">
        <f>IFERROR(__xludf.DUMMYFUNCTION("""COMPUTED_VALUE"""),"")</f>
        <v/>
      </c>
      <c r="N214" s="3" t="str">
        <f>IFERROR(__xludf.DUMMYFUNCTION("""COMPUTED_VALUE"""),"")</f>
        <v/>
      </c>
      <c r="O214" s="3"/>
      <c r="P214" s="3"/>
      <c r="Q214" s="3"/>
      <c r="R214" s="3"/>
      <c r="S214" s="3"/>
      <c r="T214" s="3"/>
      <c r="U214" s="3"/>
      <c r="V214" s="3"/>
      <c r="W214" s="3"/>
      <c r="X214" s="3"/>
      <c r="Y214" s="3"/>
      <c r="Z214" s="3"/>
      <c r="AA214" s="3"/>
      <c r="AB214" s="3"/>
      <c r="AC214" s="3"/>
      <c r="AD214" s="3"/>
      <c r="AE214" s="3"/>
      <c r="AF214" s="3"/>
      <c r="AG214" s="3"/>
      <c r="AH214" s="3"/>
      <c r="AI214" s="3"/>
      <c r="AJ214" s="3" t="str">
        <f>IFERROR(__xludf.DUMMYFUNCTION("""COMPUTED_VALUE"""),"Flaming Bite")</f>
        <v>Flaming Bite</v>
      </c>
      <c r="AK214" s="3" t="str">
        <f>IFERROR(__xludf.DUMMYFUNCTION("""COMPUTED_VALUE"""),"Volcanic Claws")</f>
        <v>Volcanic Claws</v>
      </c>
      <c r="AL214" s="3" t="str">
        <f>IFERROR(__xludf.DUMMYFUNCTION("""COMPUTED_VALUE"""),"Blazing Scratch")</f>
        <v>Blazing Scratch</v>
      </c>
      <c r="AM214" s="3" t="str">
        <f>IFERROR(__xludf.DUMMYFUNCTION("""COMPUTED_VALUE"""),"Berserk")</f>
        <v>Berserk</v>
      </c>
      <c r="AN214" s="3" t="str">
        <f>IFERROR(__xludf.DUMMYFUNCTION("""COMPUTED_VALUE"""),"Celestial Strike")</f>
        <v>Celestial Strike</v>
      </c>
      <c r="AO214" s="3" t="str">
        <f>IFERROR(__xludf.DUMMYFUNCTION("""COMPUTED_VALUE"""),"Reckless Chomp ")</f>
        <v>Reckless Chomp </v>
      </c>
      <c r="AP214" s="3" t="str">
        <f>IFERROR(__xludf.DUMMYFUNCTION("""COMPUTED_VALUE"""),"Tackle")</f>
        <v>Tackle</v>
      </c>
      <c r="AQ214" s="3"/>
      <c r="AR214" s="3"/>
      <c r="AS214" s="3"/>
      <c r="AT214" s="3"/>
      <c r="AU214" s="3"/>
      <c r="AV214" s="3"/>
      <c r="AW214" s="3"/>
      <c r="AX214" s="3"/>
      <c r="AY214" s="3"/>
      <c r="AZ214" s="3"/>
      <c r="BA214" s="3"/>
      <c r="BB214" s="3"/>
      <c r="BC214" s="1"/>
      <c r="BD214" s="3">
        <f>IFERROR(__xludf.DUMMYFUNCTION("""COMPUTED_VALUE"""),0.0)</f>
        <v>0</v>
      </c>
      <c r="BE214" s="4">
        <f>IFERROR(__xludf.DUMMYFUNCTION("""COMPUTED_VALUE"""),10.0)</f>
        <v>10</v>
      </c>
      <c r="BF214" s="3" t="str">
        <f>IFERROR(__xludf.DUMMYFUNCTION("""COMPUTED_VALUE"""),"A Dark Calling: +5 can be added to this mobs rolls.")</f>
        <v>A Dark Calling: +5 can be added to this mobs rolls.</v>
      </c>
      <c r="BG214" s="3" t="str">
        <f>IFERROR(__xludf.DUMMYFUNCTION("""COMPUTED_VALUE"""),"All")</f>
        <v>All</v>
      </c>
      <c r="BH214" s="3" t="str">
        <f>IFERROR(__xludf.DUMMYFUNCTION("""COMPUTED_VALUE"""),"Abstara")</f>
        <v>Abstara</v>
      </c>
      <c r="BI214" s="3"/>
      <c r="BJ214" s="3"/>
      <c r="BK214" s="3"/>
      <c r="BL214" s="3" t="b">
        <f>IFERROR(__xludf.DUMMYFUNCTION("""COMPUTED_VALUE"""),FALSE)</f>
        <v>0</v>
      </c>
      <c r="BM214" s="3"/>
      <c r="BN214" s="3"/>
      <c r="BO214" s="3"/>
      <c r="BP214" s="3"/>
      <c r="BQ214" s="3"/>
      <c r="BR214" s="3"/>
      <c r="BS214" s="3"/>
      <c r="BT214" s="3"/>
      <c r="BU214" s="3"/>
      <c r="BV214" s="3"/>
      <c r="BW214" s="3"/>
    </row>
    <row r="215" ht="15.75" customHeight="1">
      <c r="A215" s="3" t="str">
        <f>IFERROR(__xludf.DUMMYFUNCTION("""COMPUTED_VALUE"""),"Sand Worm")</f>
        <v>Sand Worm</v>
      </c>
      <c r="B215" s="3">
        <f>IFERROR(__xludf.DUMMYFUNCTION("""COMPUTED_VALUE"""),1.0)</f>
        <v>1</v>
      </c>
      <c r="C215" s="3"/>
      <c r="D215" s="12" t="str">
        <f>IFERROR(__xludf.DUMMYFUNCTION("""COMPUTED_VALUE"""),"Monstrosity")</f>
        <v>Monstrosity</v>
      </c>
      <c r="E215" s="12">
        <f>IFERROR(__xludf.DUMMYFUNCTION("""COMPUTED_VALUE"""),1010.0)</f>
        <v>1010</v>
      </c>
      <c r="F215" s="12">
        <f>IFERROR(__xludf.DUMMYFUNCTION("""COMPUTED_VALUE"""),1010.0)</f>
        <v>1010</v>
      </c>
      <c r="G215" s="12">
        <f>IFERROR(__xludf.DUMMYFUNCTION("""COMPUTED_VALUE"""),1010.0)</f>
        <v>1010</v>
      </c>
      <c r="H215" s="3">
        <f>IFERROR(__xludf.DUMMYFUNCTION("""COMPUTED_VALUE"""),10.0)</f>
        <v>10</v>
      </c>
      <c r="I215" s="3">
        <f>IFERROR(__xludf.DUMMYFUNCTION("""COMPUTED_VALUE"""),0.0)</f>
        <v>0</v>
      </c>
      <c r="J215" s="3">
        <f>IFERROR(__xludf.DUMMYFUNCTION("""COMPUTED_VALUE"""),0.0)</f>
        <v>0</v>
      </c>
      <c r="K215" s="3">
        <f>IFERROR(__xludf.DUMMYFUNCTION("""COMPUTED_VALUE"""),100.0)</f>
        <v>100</v>
      </c>
      <c r="L215" s="3">
        <f>IFERROR(__xludf.DUMMYFUNCTION("""COMPUTED_VALUE"""),100.0)</f>
        <v>100</v>
      </c>
      <c r="M215" s="3" t="str">
        <f>IFERROR(__xludf.DUMMYFUNCTION("""COMPUTED_VALUE"""),"Fire:Immune, Water:Immune, ")</f>
        <v>Fire:Immune, Water:Immune, </v>
      </c>
      <c r="N215" s="3" t="str">
        <f>IFERROR(__xludf.DUMMYFUNCTION("""COMPUTED_VALUE"""),"Storm:100, ")</f>
        <v>Storm:100, </v>
      </c>
      <c r="O215" s="3"/>
      <c r="P215" s="3"/>
      <c r="Q215" s="3"/>
      <c r="R215" s="3"/>
      <c r="S215" s="3"/>
      <c r="T215" s="3"/>
      <c r="U215" s="3"/>
      <c r="V215" s="3"/>
      <c r="W215" s="3"/>
      <c r="X215" s="3"/>
      <c r="Y215" s="3"/>
      <c r="Z215" s="3"/>
      <c r="AA215" s="3"/>
      <c r="AB215" s="3"/>
      <c r="AC215" s="3"/>
      <c r="AD215" s="3"/>
      <c r="AE215" s="3"/>
      <c r="AF215" s="3"/>
      <c r="AG215" s="3"/>
      <c r="AH215" s="3"/>
      <c r="AI215" s="3"/>
      <c r="AJ215" s="3" t="str">
        <f>IFERROR(__xludf.DUMMYFUNCTION("""COMPUTED_VALUE"""),"Absorb Enemy ")</f>
        <v>Absorb Enemy </v>
      </c>
      <c r="AK215" s="3" t="str">
        <f>IFERROR(__xludf.DUMMYFUNCTION("""COMPUTED_VALUE"""),"Rock Shot")</f>
        <v>Rock Shot</v>
      </c>
      <c r="AL215" s="3" t="str">
        <f>IFERROR(__xludf.DUMMYFUNCTION("""COMPUTED_VALUE"""),"Sand Hole")</f>
        <v>Sand Hole</v>
      </c>
      <c r="AM215" s="3" t="str">
        <f>IFERROR(__xludf.DUMMYFUNCTION("""COMPUTED_VALUE"""),"Quicksand")</f>
        <v>Quicksand</v>
      </c>
      <c r="AN215" s="3" t="str">
        <f>IFERROR(__xludf.DUMMYFUNCTION("""COMPUTED_VALUE"""),"Earthquake")</f>
        <v>Earthquake</v>
      </c>
      <c r="AO215" s="3" t="str">
        <f>IFERROR(__xludf.DUMMYFUNCTION("""COMPUTED_VALUE"""),"Rock Cycle")</f>
        <v>Rock Cycle</v>
      </c>
      <c r="AP215" s="3" t="str">
        <f>IFERROR(__xludf.DUMMYFUNCTION("""COMPUTED_VALUE"""),"Taunt (Mob)")</f>
        <v>Taunt (Mob)</v>
      </c>
      <c r="AQ215" s="3"/>
      <c r="AR215" s="3"/>
      <c r="AS215" s="3"/>
      <c r="AT215" s="3"/>
      <c r="AU215" s="3"/>
      <c r="AV215" s="3"/>
      <c r="AW215" s="3"/>
      <c r="AX215" s="3"/>
      <c r="AY215" s="3"/>
      <c r="AZ215" s="3"/>
      <c r="BA215" s="3"/>
      <c r="BB215" s="3"/>
      <c r="BC215" s="1"/>
      <c r="BD215" s="3">
        <f>IFERROR(__xludf.DUMMYFUNCTION("""COMPUTED_VALUE"""),0.0)</f>
        <v>0</v>
      </c>
      <c r="BE215" s="4">
        <f>IFERROR(__xludf.DUMMYFUNCTION("""COMPUTED_VALUE"""),10.0)</f>
        <v>10</v>
      </c>
      <c r="BF215" s="3" t="str">
        <f>IFERROR(__xludf.DUMMYFUNCTION("""COMPUTED_VALUE"""),"Absorption: has a 50% to absorb an attack or spell affecting this creature.")</f>
        <v>Absorption: has a 50% to absorb an attack or spell affecting this creature.</v>
      </c>
      <c r="BG215" s="3" t="str">
        <f>IFERROR(__xludf.DUMMYFUNCTION("""COMPUTED_VALUE"""),"Desert")</f>
        <v>Desert</v>
      </c>
      <c r="BH215" s="3" t="str">
        <f>IFERROR(__xludf.DUMMYFUNCTION("""COMPUTED_VALUE"""),"Land of Spira")</f>
        <v>Land of Spira</v>
      </c>
      <c r="BI215" s="3"/>
      <c r="BJ215" s="3"/>
      <c r="BK215" s="3"/>
      <c r="BL215" s="3" t="b">
        <f>IFERROR(__xludf.DUMMYFUNCTION("""COMPUTED_VALUE"""),FALSE)</f>
        <v>0</v>
      </c>
      <c r="BM215" s="3"/>
      <c r="BN215" s="3"/>
      <c r="BO215" s="3"/>
      <c r="BP215" s="3"/>
      <c r="BQ215" s="3"/>
      <c r="BR215" s="3"/>
      <c r="BS215" s="3"/>
      <c r="BT215" s="3"/>
      <c r="BU215" s="3"/>
      <c r="BV215" s="3"/>
      <c r="BW215" s="3"/>
    </row>
    <row r="216" ht="15.75" customHeight="1">
      <c r="A216" s="3" t="str">
        <f>IFERROR(__xludf.DUMMYFUNCTION("""COMPUTED_VALUE"""),"Sandmite")</f>
        <v>Sandmite</v>
      </c>
      <c r="B216" s="3">
        <f>IFERROR(__xludf.DUMMYFUNCTION("""COMPUTED_VALUE"""),1.0)</f>
        <v>1</v>
      </c>
      <c r="C216" s="3"/>
      <c r="D216" s="12" t="str">
        <f>IFERROR(__xludf.DUMMYFUNCTION("""COMPUTED_VALUE"""),"Beast")</f>
        <v>Beast</v>
      </c>
      <c r="E216" s="12">
        <f>IFERROR(__xludf.DUMMYFUNCTION("""COMPUTED_VALUE"""),1010.0)</f>
        <v>1010</v>
      </c>
      <c r="F216" s="12">
        <f>IFERROR(__xludf.DUMMYFUNCTION("""COMPUTED_VALUE"""),1010.0)</f>
        <v>1010</v>
      </c>
      <c r="G216" s="12">
        <f>IFERROR(__xludf.DUMMYFUNCTION("""COMPUTED_VALUE"""),1010.0)</f>
        <v>1010</v>
      </c>
      <c r="H216" s="3">
        <f>IFERROR(__xludf.DUMMYFUNCTION("""COMPUTED_VALUE"""),10.0)</f>
        <v>10</v>
      </c>
      <c r="I216" s="3">
        <f>IFERROR(__xludf.DUMMYFUNCTION("""COMPUTED_VALUE"""),0.0)</f>
        <v>0</v>
      </c>
      <c r="J216" s="3">
        <f>IFERROR(__xludf.DUMMYFUNCTION("""COMPUTED_VALUE"""),0.0)</f>
        <v>0</v>
      </c>
      <c r="K216" s="3">
        <f>IFERROR(__xludf.DUMMYFUNCTION("""COMPUTED_VALUE"""),100.0)</f>
        <v>100</v>
      </c>
      <c r="L216" s="3">
        <f>IFERROR(__xludf.DUMMYFUNCTION("""COMPUTED_VALUE"""),100.0)</f>
        <v>100</v>
      </c>
      <c r="M216" s="3" t="str">
        <f>IFERROR(__xludf.DUMMYFUNCTION("""COMPUTED_VALUE"""),"Fire:100, ")</f>
        <v>Fire:100, </v>
      </c>
      <c r="N216" s="3" t="str">
        <f>IFERROR(__xludf.DUMMYFUNCTION("""COMPUTED_VALUE"""),"Water:100, ")</f>
        <v>Water:100, </v>
      </c>
      <c r="O216" s="3"/>
      <c r="P216" s="3"/>
      <c r="Q216" s="3"/>
      <c r="R216" s="3"/>
      <c r="S216" s="3"/>
      <c r="T216" s="3"/>
      <c r="U216" s="3"/>
      <c r="V216" s="3"/>
      <c r="W216" s="3"/>
      <c r="X216" s="3"/>
      <c r="Y216" s="3"/>
      <c r="Z216" s="3"/>
      <c r="AA216" s="3"/>
      <c r="AB216" s="3"/>
      <c r="AC216" s="3"/>
      <c r="AD216" s="3"/>
      <c r="AE216" s="3"/>
      <c r="AF216" s="3"/>
      <c r="AG216" s="3"/>
      <c r="AH216" s="3"/>
      <c r="AI216" s="3"/>
      <c r="AJ216" s="3" t="str">
        <f>IFERROR(__xludf.DUMMYFUNCTION("""COMPUTED_VALUE"""),"Bite")</f>
        <v>Bite</v>
      </c>
      <c r="AK216" s="3" t="str">
        <f>IFERROR(__xludf.DUMMYFUNCTION("""COMPUTED_VALUE"""),"Sandstorm")</f>
        <v>Sandstorm</v>
      </c>
      <c r="AL216" s="3" t="str">
        <f>IFERROR(__xludf.DUMMYFUNCTION("""COMPUTED_VALUE"""),"[Element] Strike")</f>
        <v>[Element] Strike</v>
      </c>
      <c r="AM216" s="3" t="str">
        <f>IFERROR(__xludf.DUMMYFUNCTION("""COMPUTED_VALUE"""),"Berserk")</f>
        <v>Berserk</v>
      </c>
      <c r="AN216" s="3" t="str">
        <f>IFERROR(__xludf.DUMMYFUNCTION("""COMPUTED_VALUE"""),"Go For The Vitals")</f>
        <v>Go For The Vitals</v>
      </c>
      <c r="AO216" s="3"/>
      <c r="AP216" s="3"/>
      <c r="AQ216" s="3"/>
      <c r="AR216" s="3"/>
      <c r="AS216" s="3"/>
      <c r="AT216" s="3"/>
      <c r="AU216" s="3"/>
      <c r="AV216" s="3"/>
      <c r="AW216" s="3"/>
      <c r="AX216" s="3"/>
      <c r="AY216" s="3"/>
      <c r="AZ216" s="3"/>
      <c r="BA216" s="3"/>
      <c r="BB216" s="3"/>
      <c r="BC216" s="1"/>
      <c r="BD216" s="3">
        <f>IFERROR(__xludf.DUMMYFUNCTION("""COMPUTED_VALUE"""),0.0)</f>
        <v>0</v>
      </c>
      <c r="BE216" s="4">
        <f>IFERROR(__xludf.DUMMYFUNCTION("""COMPUTED_VALUE"""),10.0)</f>
        <v>10</v>
      </c>
      <c r="BF216" s="3"/>
      <c r="BG216" s="3" t="str">
        <f>IFERROR(__xludf.DUMMYFUNCTION("""COMPUTED_VALUE"""),"Desert")</f>
        <v>Desert</v>
      </c>
      <c r="BH216" s="3" t="str">
        <f>IFERROR(__xludf.DUMMYFUNCTION("""COMPUTED_VALUE"""),"Land of Spira")</f>
        <v>Land of Spira</v>
      </c>
      <c r="BI216" s="3"/>
      <c r="BJ216" s="3"/>
      <c r="BK216" s="3"/>
      <c r="BL216" s="3" t="b">
        <f>IFERROR(__xludf.DUMMYFUNCTION("""COMPUTED_VALUE"""),FALSE)</f>
        <v>0</v>
      </c>
      <c r="BM216" s="3"/>
      <c r="BN216" s="3"/>
      <c r="BO216" s="3"/>
      <c r="BP216" s="3"/>
      <c r="BQ216" s="3"/>
      <c r="BR216" s="3"/>
      <c r="BS216" s="3"/>
      <c r="BT216" s="3"/>
      <c r="BU216" s="3"/>
      <c r="BV216" s="3"/>
      <c r="BW216" s="3"/>
    </row>
    <row r="217" ht="15.75" customHeight="1">
      <c r="A217" s="3"/>
      <c r="B217" s="3">
        <f>IFERROR(__xludf.DUMMYFUNCTION("""COMPUTED_VALUE"""),1.0)</f>
        <v>1</v>
      </c>
      <c r="C217" s="3"/>
      <c r="D217" s="3" t="str">
        <f>IFERROR(__xludf.DUMMYFUNCTION("""COMPUTED_VALUE"""),"Draconic")</f>
        <v>Draconic</v>
      </c>
      <c r="E217" s="3">
        <f>IFERROR(__xludf.DUMMYFUNCTION("""COMPUTED_VALUE"""),1010.0)</f>
        <v>1010</v>
      </c>
      <c r="F217" s="12">
        <f>IFERROR(__xludf.DUMMYFUNCTION("""COMPUTED_VALUE"""),1010.0)</f>
        <v>1010</v>
      </c>
      <c r="G217" s="3">
        <f>IFERROR(__xludf.DUMMYFUNCTION("""COMPUTED_VALUE"""),1010.0)</f>
        <v>1010</v>
      </c>
      <c r="H217" s="3">
        <f>IFERROR(__xludf.DUMMYFUNCTION("""COMPUTED_VALUE"""),10.0)</f>
        <v>10</v>
      </c>
      <c r="I217" s="3">
        <f>IFERROR(__xludf.DUMMYFUNCTION("""COMPUTED_VALUE"""),0.0)</f>
        <v>0</v>
      </c>
      <c r="J217" s="3">
        <f>IFERROR(__xludf.DUMMYFUNCTION("""COMPUTED_VALUE"""),0.0)</f>
        <v>0</v>
      </c>
      <c r="K217" s="3">
        <f>IFERROR(__xludf.DUMMYFUNCTION("""COMPUTED_VALUE"""),100.0)</f>
        <v>100</v>
      </c>
      <c r="L217" s="3">
        <f>IFERROR(__xludf.DUMMYFUNCTION("""COMPUTED_VALUE"""),100.0)</f>
        <v>100</v>
      </c>
      <c r="M217" s="3" t="str">
        <f>IFERROR(__xludf.DUMMYFUNCTION("""COMPUTED_VALUE"""),"#N/A")</f>
        <v>#N/A</v>
      </c>
      <c r="N217" s="3" t="str">
        <f>IFERROR(__xludf.DUMMYFUNCTION("""COMPUTED_VALUE"""),"#N/A")</f>
        <v>#N/A</v>
      </c>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1"/>
      <c r="BD217" s="3">
        <f>IFERROR(__xludf.DUMMYFUNCTION("""COMPUTED_VALUE"""),0.0)</f>
        <v>0</v>
      </c>
      <c r="BE217" s="4">
        <f>IFERROR(__xludf.DUMMYFUNCTION("""COMPUTED_VALUE"""),10.0)</f>
        <v>10</v>
      </c>
      <c r="BF217" s="3"/>
      <c r="BG217" s="3"/>
      <c r="BH217" s="3"/>
      <c r="BI217" s="3"/>
      <c r="BJ217" s="3"/>
      <c r="BK217" s="3"/>
      <c r="BL217" s="3" t="b">
        <f>IFERROR(__xludf.DUMMYFUNCTION("""COMPUTED_VALUE"""),FALSE)</f>
        <v>0</v>
      </c>
      <c r="BM217" s="3"/>
      <c r="BN217" s="3"/>
      <c r="BO217" s="3"/>
      <c r="BP217" s="3"/>
      <c r="BQ217" s="3"/>
      <c r="BR217" s="3"/>
      <c r="BS217" s="3"/>
      <c r="BT217" s="3"/>
      <c r="BU217" s="3"/>
      <c r="BV217" s="3"/>
      <c r="BW217" s="3"/>
    </row>
    <row r="218" ht="15.75" customHeight="1">
      <c r="A218" s="3" t="str">
        <f>IFERROR(__xludf.DUMMYFUNCTION("""COMPUTED_VALUE"""),"Sea Serpent (WD)")</f>
        <v>Sea Serpent (WD)</v>
      </c>
      <c r="B218" s="3">
        <f>IFERROR(__xludf.DUMMYFUNCTION("""COMPUTED_VALUE"""),1.0)</f>
        <v>1</v>
      </c>
      <c r="C218" s="3"/>
      <c r="D218" s="12" t="str">
        <f>IFERROR(__xludf.DUMMYFUNCTION("""COMPUTED_VALUE"""),"Beast")</f>
        <v>Beast</v>
      </c>
      <c r="E218" s="12">
        <f>IFERROR(__xludf.DUMMYFUNCTION("""COMPUTED_VALUE"""),1010.0)</f>
        <v>1010</v>
      </c>
      <c r="F218" s="12">
        <f>IFERROR(__xludf.DUMMYFUNCTION("""COMPUTED_VALUE"""),1010.0)</f>
        <v>1010</v>
      </c>
      <c r="G218" s="12">
        <f>IFERROR(__xludf.DUMMYFUNCTION("""COMPUTED_VALUE"""),1010.0)</f>
        <v>1010</v>
      </c>
      <c r="H218" s="3">
        <f>IFERROR(__xludf.DUMMYFUNCTION("""COMPUTED_VALUE"""),10.0)</f>
        <v>10</v>
      </c>
      <c r="I218" s="3">
        <f>IFERROR(__xludf.DUMMYFUNCTION("""COMPUTED_VALUE"""),0.0)</f>
        <v>0</v>
      </c>
      <c r="J218" s="3">
        <f>IFERROR(__xludf.DUMMYFUNCTION("""COMPUTED_VALUE"""),0.0)</f>
        <v>0</v>
      </c>
      <c r="K218" s="3">
        <f>IFERROR(__xludf.DUMMYFUNCTION("""COMPUTED_VALUE"""),100.0)</f>
        <v>100</v>
      </c>
      <c r="L218" s="3">
        <f>IFERROR(__xludf.DUMMYFUNCTION("""COMPUTED_VALUE"""),100.0)</f>
        <v>100</v>
      </c>
      <c r="M218" s="3" t="str">
        <f>IFERROR(__xludf.DUMMYFUNCTION("""COMPUTED_VALUE"""),"Fire:Immune, Water:Immune, Instant Death:Immune, ")</f>
        <v>Fire:Immune, Water:Immune, Instant Death:Immune, </v>
      </c>
      <c r="N218" s="3" t="str">
        <f>IFERROR(__xludf.DUMMYFUNCTION("""COMPUTED_VALUE"""),"Nature:100, ")</f>
        <v>Nature:100, </v>
      </c>
      <c r="O218" s="3"/>
      <c r="P218" s="3"/>
      <c r="Q218" s="3"/>
      <c r="R218" s="3"/>
      <c r="S218" s="3"/>
      <c r="T218" s="3"/>
      <c r="U218" s="3"/>
      <c r="V218" s="3"/>
      <c r="W218" s="3"/>
      <c r="X218" s="3"/>
      <c r="Y218" s="3"/>
      <c r="Z218" s="3"/>
      <c r="AA218" s="3"/>
      <c r="AB218" s="3"/>
      <c r="AC218" s="3"/>
      <c r="AD218" s="3"/>
      <c r="AE218" s="3"/>
      <c r="AF218" s="3"/>
      <c r="AG218" s="3"/>
      <c r="AH218" s="3"/>
      <c r="AI218" s="3"/>
      <c r="AJ218" s="3" t="str">
        <f>IFERROR(__xludf.DUMMYFUNCTION("""COMPUTED_VALUE"""),"Water Beam")</f>
        <v>Water Beam</v>
      </c>
      <c r="AK218" s="3" t="str">
        <f>IFERROR(__xludf.DUMMYFUNCTION("""COMPUTED_VALUE"""),"Celestial blast")</f>
        <v>Celestial blast</v>
      </c>
      <c r="AL218" s="3" t="str">
        <f>IFERROR(__xludf.DUMMYFUNCTION("""COMPUTED_VALUE"""),"Crashing Waves")</f>
        <v>Crashing Waves</v>
      </c>
      <c r="AM218" s="3" t="str">
        <f>IFERROR(__xludf.DUMMYFUNCTION("""COMPUTED_VALUE"""),"Mass Destruction")</f>
        <v>Mass Destruction</v>
      </c>
      <c r="AN218" s="3" t="str">
        <f>IFERROR(__xludf.DUMMYFUNCTION("""COMPUTED_VALUE"""),"Torrential Downpour")</f>
        <v>Torrential Downpour</v>
      </c>
      <c r="AO218" s="3" t="str">
        <f>IFERROR(__xludf.DUMMYFUNCTION("""COMPUTED_VALUE"""),"Berserk")</f>
        <v>Berserk</v>
      </c>
      <c r="AP218" s="3"/>
      <c r="AQ218" s="3"/>
      <c r="AR218" s="3"/>
      <c r="AS218" s="3"/>
      <c r="AT218" s="3"/>
      <c r="AU218" s="3"/>
      <c r="AV218" s="3"/>
      <c r="AW218" s="3"/>
      <c r="AX218" s="3"/>
      <c r="AY218" s="3"/>
      <c r="AZ218" s="3"/>
      <c r="BA218" s="3"/>
      <c r="BB218" s="3"/>
      <c r="BC218" s="1"/>
      <c r="BD218" s="3">
        <f>IFERROR(__xludf.DUMMYFUNCTION("""COMPUTED_VALUE"""),0.0)</f>
        <v>0</v>
      </c>
      <c r="BE218" s="4">
        <f>IFERROR(__xludf.DUMMYFUNCTION("""COMPUTED_VALUE"""),10.0)</f>
        <v>10</v>
      </c>
      <c r="BF218" s="3" t="str">
        <f>IFERROR(__xludf.DUMMYFUNCTION("""COMPUTED_VALUE"""),"50% chance to be unaffected by any spells affecting this mob
Serpents Luck: +5 for turn order roll and all d20 rolls during battle.
Serpents Battleground: When the caster takes damage, water spells will deal x4 damage for the caster and will increase by"&amp;" x2 everytime the caster takes damage, (Max=x10). ")</f>
        <v>50% chance to be unaffected by any spells affecting this mob
Serpents Luck: +5 for turn order roll and all d20 rolls during battle.
Serpents Battleground: When the caster takes damage, water spells will deal x4 damage for the caster and will increase by x2 everytime the caster takes damage, (Max=x10). </v>
      </c>
      <c r="BG218" s="3" t="str">
        <f>IFERROR(__xludf.DUMMYFUNCTION("""COMPUTED_VALUE"""),"Ocean")</f>
        <v>Ocean</v>
      </c>
      <c r="BH218" s="3" t="str">
        <f>IFERROR(__xludf.DUMMYFUNCTION("""COMPUTED_VALUE"""),"Land Of Spira")</f>
        <v>Land Of Spira</v>
      </c>
      <c r="BI218" s="3"/>
      <c r="BJ218" s="3"/>
      <c r="BK218" s="3"/>
      <c r="BL218" s="3" t="b">
        <f>IFERROR(__xludf.DUMMYFUNCTION("""COMPUTED_VALUE"""),FALSE)</f>
        <v>0</v>
      </c>
      <c r="BM218" s="3"/>
      <c r="BN218" s="3"/>
      <c r="BO218" s="3"/>
      <c r="BP218" s="3"/>
      <c r="BQ218" s="3"/>
      <c r="BR218" s="3"/>
      <c r="BS218" s="3"/>
      <c r="BT218" s="3"/>
      <c r="BU218" s="3"/>
      <c r="BV218" s="3"/>
      <c r="BW218" s="3"/>
    </row>
    <row r="219" ht="15.75" customHeight="1">
      <c r="A219" s="3" t="str">
        <f>IFERROR(__xludf.DUMMYFUNCTION("""COMPUTED_VALUE"""),"Sea Serpent (WD) (Enhanced)")</f>
        <v>Sea Serpent (WD) (Enhanced)</v>
      </c>
      <c r="B219" s="3">
        <f>IFERROR(__xludf.DUMMYFUNCTION("""COMPUTED_VALUE"""),1.0)</f>
        <v>1</v>
      </c>
      <c r="C219" s="3"/>
      <c r="D219" s="12" t="str">
        <f>IFERROR(__xludf.DUMMYFUNCTION("""COMPUTED_VALUE"""),"Beast")</f>
        <v>Beast</v>
      </c>
      <c r="E219" s="12">
        <f>IFERROR(__xludf.DUMMYFUNCTION("""COMPUTED_VALUE"""),1010.0)</f>
        <v>1010</v>
      </c>
      <c r="F219" s="12">
        <f>IFERROR(__xludf.DUMMYFUNCTION("""COMPUTED_VALUE"""),1010.0)</f>
        <v>1010</v>
      </c>
      <c r="G219" s="12">
        <f>IFERROR(__xludf.DUMMYFUNCTION("""COMPUTED_VALUE"""),1010.0)</f>
        <v>1010</v>
      </c>
      <c r="H219" s="3">
        <f>IFERROR(__xludf.DUMMYFUNCTION("""COMPUTED_VALUE"""),10.0)</f>
        <v>10</v>
      </c>
      <c r="I219" s="3">
        <f>IFERROR(__xludf.DUMMYFUNCTION("""COMPUTED_VALUE"""),0.0)</f>
        <v>0</v>
      </c>
      <c r="J219" s="3">
        <f>IFERROR(__xludf.DUMMYFUNCTION("""COMPUTED_VALUE"""),0.0)</f>
        <v>0</v>
      </c>
      <c r="K219" s="3">
        <f>IFERROR(__xludf.DUMMYFUNCTION("""COMPUTED_VALUE"""),100.0)</f>
        <v>100</v>
      </c>
      <c r="L219" s="3">
        <f>IFERROR(__xludf.DUMMYFUNCTION("""COMPUTED_VALUE"""),100.0)</f>
        <v>100</v>
      </c>
      <c r="M219" s="3" t="str">
        <f>IFERROR(__xludf.DUMMYFUNCTION("""COMPUTED_VALUE"""),"Fire:Immune, Water:Immune, Instant Death:Immune, ")</f>
        <v>Fire:Immune, Water:Immune, Instant Death:Immune, </v>
      </c>
      <c r="N219" s="3" t="str">
        <f>IFERROR(__xludf.DUMMYFUNCTION("""COMPUTED_VALUE"""),"Nature:100, ")</f>
        <v>Nature:100, </v>
      </c>
      <c r="O219" s="3"/>
      <c r="P219" s="3"/>
      <c r="Q219" s="3"/>
      <c r="R219" s="3"/>
      <c r="S219" s="3"/>
      <c r="T219" s="3"/>
      <c r="U219" s="3"/>
      <c r="V219" s="3"/>
      <c r="W219" s="3"/>
      <c r="X219" s="3"/>
      <c r="Y219" s="3"/>
      <c r="Z219" s="3"/>
      <c r="AA219" s="3"/>
      <c r="AB219" s="3"/>
      <c r="AC219" s="3"/>
      <c r="AD219" s="3"/>
      <c r="AE219" s="3"/>
      <c r="AF219" s="3"/>
      <c r="AG219" s="3"/>
      <c r="AH219" s="3"/>
      <c r="AI219" s="3"/>
      <c r="AJ219" s="3" t="str">
        <f>IFERROR(__xludf.DUMMYFUNCTION("""COMPUTED_VALUE"""),"Water Beam")</f>
        <v>Water Beam</v>
      </c>
      <c r="AK219" s="3" t="str">
        <f>IFERROR(__xludf.DUMMYFUNCTION("""COMPUTED_VALUE"""),"Celestial blast")</f>
        <v>Celestial blast</v>
      </c>
      <c r="AL219" s="3" t="str">
        <f>IFERROR(__xludf.DUMMYFUNCTION("""COMPUTED_VALUE"""),"Crashing Waves (Enhanced)")</f>
        <v>Crashing Waves (Enhanced)</v>
      </c>
      <c r="AM219" s="3" t="str">
        <f>IFERROR(__xludf.DUMMYFUNCTION("""COMPUTED_VALUE"""),"Mass Destruction")</f>
        <v>Mass Destruction</v>
      </c>
      <c r="AN219" s="3" t="str">
        <f>IFERROR(__xludf.DUMMYFUNCTION("""COMPUTED_VALUE"""),"Torrential Downpour")</f>
        <v>Torrential Downpour</v>
      </c>
      <c r="AO219" s="3" t="str">
        <f>IFERROR(__xludf.DUMMYFUNCTION("""COMPUTED_VALUE"""),"Berserk")</f>
        <v>Berserk</v>
      </c>
      <c r="AP219" s="3"/>
      <c r="AQ219" s="3"/>
      <c r="AR219" s="3"/>
      <c r="AS219" s="3"/>
      <c r="AT219" s="3"/>
      <c r="AU219" s="3"/>
      <c r="AV219" s="3"/>
      <c r="AW219" s="3"/>
      <c r="AX219" s="3"/>
      <c r="AY219" s="3"/>
      <c r="AZ219" s="3"/>
      <c r="BA219" s="3"/>
      <c r="BB219" s="3"/>
      <c r="BC219" s="1"/>
      <c r="BD219" s="3">
        <f>IFERROR(__xludf.DUMMYFUNCTION("""COMPUTED_VALUE"""),0.0)</f>
        <v>0</v>
      </c>
      <c r="BE219" s="4">
        <f>IFERROR(__xludf.DUMMYFUNCTION("""COMPUTED_VALUE"""),10.0)</f>
        <v>10</v>
      </c>
      <c r="BF219" s="3" t="str">
        <f>IFERROR(__xludf.DUMMYFUNCTION("""COMPUTED_VALUE"""),"75% chance to be unaffected by any spells affecting this mob
Serpents Luck II: +10 for turn order roll and all d20 rolls during battle.
Serpents Battleground: When the caster takes damage, water spells will deal x4 damage for the caster and will increas"&amp;"e by x2 everytime the caster takes damage, (Max=x10). ")</f>
        <v>75% chance to be unaffected by any spells affecting this mob
Serpents Luck II: +10 for turn order roll and all d20 rolls during battle.
Serpents Battleground: When the caster takes damage, water spells will deal x4 damage for the caster and will increase by x2 everytime the caster takes damage, (Max=x10). </v>
      </c>
      <c r="BG219" s="3" t="str">
        <f>IFERROR(__xludf.DUMMYFUNCTION("""COMPUTED_VALUE"""),"Ocean")</f>
        <v>Ocean</v>
      </c>
      <c r="BH219" s="3" t="str">
        <f>IFERROR(__xludf.DUMMYFUNCTION("""COMPUTED_VALUE"""),"Land Of Spira")</f>
        <v>Land Of Spira</v>
      </c>
      <c r="BI219" s="3"/>
      <c r="BJ219" s="3"/>
      <c r="BK219" s="3"/>
      <c r="BL219" s="3" t="b">
        <f>IFERROR(__xludf.DUMMYFUNCTION("""COMPUTED_VALUE"""),FALSE)</f>
        <v>0</v>
      </c>
      <c r="BM219" s="3"/>
      <c r="BN219" s="3"/>
      <c r="BO219" s="3"/>
      <c r="BP219" s="3"/>
      <c r="BQ219" s="3"/>
      <c r="BR219" s="3"/>
      <c r="BS219" s="3"/>
      <c r="BT219" s="3"/>
      <c r="BU219" s="3"/>
      <c r="BV219" s="3"/>
      <c r="BW219" s="3"/>
    </row>
    <row r="220" ht="15.75" customHeight="1">
      <c r="A220" s="3" t="str">
        <f>IFERROR(__xludf.DUMMYFUNCTION("""COMPUTED_VALUE"""),"Sea Worm (WD)")</f>
        <v>Sea Worm (WD)</v>
      </c>
      <c r="B220" s="3">
        <f>IFERROR(__xludf.DUMMYFUNCTION("""COMPUTED_VALUE"""),1.0)</f>
        <v>1</v>
      </c>
      <c r="C220" s="3"/>
      <c r="D220" s="12" t="str">
        <f>IFERROR(__xludf.DUMMYFUNCTION("""COMPUTED_VALUE"""),"Monstrosity")</f>
        <v>Monstrosity</v>
      </c>
      <c r="E220" s="12">
        <f>IFERROR(__xludf.DUMMYFUNCTION("""COMPUTED_VALUE"""),1010.0)</f>
        <v>1010</v>
      </c>
      <c r="F220" s="12">
        <f>IFERROR(__xludf.DUMMYFUNCTION("""COMPUTED_VALUE"""),1010.0)</f>
        <v>1010</v>
      </c>
      <c r="G220" s="12">
        <f>IFERROR(__xludf.DUMMYFUNCTION("""COMPUTED_VALUE"""),1010.0)</f>
        <v>1010</v>
      </c>
      <c r="H220" s="3">
        <f>IFERROR(__xludf.DUMMYFUNCTION("""COMPUTED_VALUE"""),10.0)</f>
        <v>10</v>
      </c>
      <c r="I220" s="3">
        <f>IFERROR(__xludf.DUMMYFUNCTION("""COMPUTED_VALUE"""),0.0)</f>
        <v>0</v>
      </c>
      <c r="J220" s="3">
        <f>IFERROR(__xludf.DUMMYFUNCTION("""COMPUTED_VALUE"""),0.0)</f>
        <v>0</v>
      </c>
      <c r="K220" s="3">
        <f>IFERROR(__xludf.DUMMYFUNCTION("""COMPUTED_VALUE"""),100.0)</f>
        <v>100</v>
      </c>
      <c r="L220" s="3">
        <f>IFERROR(__xludf.DUMMYFUNCTION("""COMPUTED_VALUE"""),100.0)</f>
        <v>100</v>
      </c>
      <c r="M220" s="3" t="str">
        <f>IFERROR(__xludf.DUMMYFUNCTION("""COMPUTED_VALUE"""),"Fire:Immune, Water:Immune, ")</f>
        <v>Fire:Immune, Water:Immune, </v>
      </c>
      <c r="N220" s="3" t="str">
        <f>IFERROR(__xludf.DUMMYFUNCTION("""COMPUTED_VALUE"""),"Nature:100, ")</f>
        <v>Nature:100, </v>
      </c>
      <c r="O220" s="3"/>
      <c r="P220" s="3"/>
      <c r="Q220" s="3"/>
      <c r="R220" s="3"/>
      <c r="S220" s="3"/>
      <c r="T220" s="3"/>
      <c r="U220" s="3"/>
      <c r="V220" s="3"/>
      <c r="W220" s="3"/>
      <c r="X220" s="3"/>
      <c r="Y220" s="3"/>
      <c r="Z220" s="3"/>
      <c r="AA220" s="3"/>
      <c r="AB220" s="3"/>
      <c r="AC220" s="3"/>
      <c r="AD220" s="3"/>
      <c r="AE220" s="3"/>
      <c r="AF220" s="3"/>
      <c r="AG220" s="3"/>
      <c r="AH220" s="3"/>
      <c r="AI220" s="3"/>
      <c r="AJ220" s="3" t="str">
        <f>IFERROR(__xludf.DUMMYFUNCTION("""COMPUTED_VALUE"""),"Absorb Enemy ")</f>
        <v>Absorb Enemy </v>
      </c>
      <c r="AK220" s="3" t="str">
        <f>IFERROR(__xludf.DUMMYFUNCTION("""COMPUTED_VALUE"""),"Crashing Waves")</f>
        <v>Crashing Waves</v>
      </c>
      <c r="AL220" s="3" t="str">
        <f>IFERROR(__xludf.DUMMYFUNCTION("""COMPUTED_VALUE"""),"Torrential Downpour")</f>
        <v>Torrential Downpour</v>
      </c>
      <c r="AM220" s="3" t="str">
        <f>IFERROR(__xludf.DUMMYFUNCTION("""COMPUTED_VALUE"""),"Taunt (Mob)")</f>
        <v>Taunt (Mob)</v>
      </c>
      <c r="AN220" s="3"/>
      <c r="AO220" s="3"/>
      <c r="AP220" s="3"/>
      <c r="AQ220" s="3"/>
      <c r="AR220" s="3"/>
      <c r="AS220" s="3"/>
      <c r="AT220" s="3"/>
      <c r="AU220" s="3"/>
      <c r="AV220" s="3"/>
      <c r="AW220" s="3"/>
      <c r="AX220" s="3"/>
      <c r="AY220" s="3"/>
      <c r="AZ220" s="3"/>
      <c r="BA220" s="3"/>
      <c r="BB220" s="3"/>
      <c r="BC220" s="1"/>
      <c r="BD220" s="3">
        <f>IFERROR(__xludf.DUMMYFUNCTION("""COMPUTED_VALUE"""),0.0)</f>
        <v>0</v>
      </c>
      <c r="BE220" s="4">
        <f>IFERROR(__xludf.DUMMYFUNCTION("""COMPUTED_VALUE"""),15.0)</f>
        <v>15</v>
      </c>
      <c r="BF220" s="3" t="str">
        <f>IFERROR(__xludf.DUMMYFUNCTION("""COMPUTED_VALUE"""),"Absorption: has a 50% to absorb an attack or spell affecting this creature.
+5 can be added to this mobs rolls.")</f>
        <v>Absorption: has a 50% to absorb an attack or spell affecting this creature.
+5 can be added to this mobs rolls.</v>
      </c>
      <c r="BG220" s="3" t="str">
        <f>IFERROR(__xludf.DUMMYFUNCTION("""COMPUTED_VALUE"""),"Ocean")</f>
        <v>Ocean</v>
      </c>
      <c r="BH220" s="3" t="str">
        <f>IFERROR(__xludf.DUMMYFUNCTION("""COMPUTED_VALUE"""),"Land Of Spira")</f>
        <v>Land Of Spira</v>
      </c>
      <c r="BI220" s="3"/>
      <c r="BJ220" s="3"/>
      <c r="BK220" s="3"/>
      <c r="BL220" s="3" t="b">
        <f>IFERROR(__xludf.DUMMYFUNCTION("""COMPUTED_VALUE"""),FALSE)</f>
        <v>0</v>
      </c>
      <c r="BM220" s="3"/>
      <c r="BN220" s="3"/>
      <c r="BO220" s="3"/>
      <c r="BP220" s="3"/>
      <c r="BQ220" s="3"/>
      <c r="BR220" s="3"/>
      <c r="BS220" s="3"/>
      <c r="BT220" s="3"/>
      <c r="BU220" s="3"/>
      <c r="BV220" s="3"/>
      <c r="BW220" s="3"/>
    </row>
    <row r="221" ht="15.75" customHeight="1">
      <c r="A221" s="3" t="str">
        <f>IFERROR(__xludf.DUMMYFUNCTION("""COMPUTED_VALUE"""),"Sea Worm (WD) (Enhanced)")</f>
        <v>Sea Worm (WD) (Enhanced)</v>
      </c>
      <c r="B221" s="3">
        <f>IFERROR(__xludf.DUMMYFUNCTION("""COMPUTED_VALUE"""),1.0)</f>
        <v>1</v>
      </c>
      <c r="C221" s="3"/>
      <c r="D221" s="12" t="str">
        <f>IFERROR(__xludf.DUMMYFUNCTION("""COMPUTED_VALUE"""),"Monstrosity")</f>
        <v>Monstrosity</v>
      </c>
      <c r="E221" s="12">
        <f>IFERROR(__xludf.DUMMYFUNCTION("""COMPUTED_VALUE"""),1010.0)</f>
        <v>1010</v>
      </c>
      <c r="F221" s="12">
        <f>IFERROR(__xludf.DUMMYFUNCTION("""COMPUTED_VALUE"""),1010.0)</f>
        <v>1010</v>
      </c>
      <c r="G221" s="12">
        <f>IFERROR(__xludf.DUMMYFUNCTION("""COMPUTED_VALUE"""),1010.0)</f>
        <v>1010</v>
      </c>
      <c r="H221" s="3">
        <f>IFERROR(__xludf.DUMMYFUNCTION("""COMPUTED_VALUE"""),10.0)</f>
        <v>10</v>
      </c>
      <c r="I221" s="3">
        <f>IFERROR(__xludf.DUMMYFUNCTION("""COMPUTED_VALUE"""),0.0)</f>
        <v>0</v>
      </c>
      <c r="J221" s="3">
        <f>IFERROR(__xludf.DUMMYFUNCTION("""COMPUTED_VALUE"""),0.0)</f>
        <v>0</v>
      </c>
      <c r="K221" s="3">
        <f>IFERROR(__xludf.DUMMYFUNCTION("""COMPUTED_VALUE"""),100.0)</f>
        <v>100</v>
      </c>
      <c r="L221" s="3">
        <f>IFERROR(__xludf.DUMMYFUNCTION("""COMPUTED_VALUE"""),100.0)</f>
        <v>100</v>
      </c>
      <c r="M221" s="3" t="str">
        <f>IFERROR(__xludf.DUMMYFUNCTION("""COMPUTED_VALUE"""),"Fire:Immune, Water:Immune, ")</f>
        <v>Fire:Immune, Water:Immune, </v>
      </c>
      <c r="N221" s="3" t="str">
        <f>IFERROR(__xludf.DUMMYFUNCTION("""COMPUTED_VALUE"""),"Nature:100, ")</f>
        <v>Nature:100, </v>
      </c>
      <c r="O221" s="3"/>
      <c r="P221" s="3"/>
      <c r="Q221" s="3"/>
      <c r="R221" s="3"/>
      <c r="S221" s="3"/>
      <c r="T221" s="3"/>
      <c r="U221" s="3"/>
      <c r="V221" s="3"/>
      <c r="W221" s="3"/>
      <c r="X221" s="3"/>
      <c r="Y221" s="3"/>
      <c r="Z221" s="3"/>
      <c r="AA221" s="3"/>
      <c r="AB221" s="3"/>
      <c r="AC221" s="3"/>
      <c r="AD221" s="3"/>
      <c r="AE221" s="3"/>
      <c r="AF221" s="3"/>
      <c r="AG221" s="3"/>
      <c r="AH221" s="3"/>
      <c r="AI221" s="3"/>
      <c r="AJ221" s="3" t="str">
        <f>IFERROR(__xludf.DUMMYFUNCTION("""COMPUTED_VALUE"""),"Absorb Enemy ")</f>
        <v>Absorb Enemy </v>
      </c>
      <c r="AK221" s="3" t="str">
        <f>IFERROR(__xludf.DUMMYFUNCTION("""COMPUTED_VALUE"""),"Crashing Waves (Enhanced)")</f>
        <v>Crashing Waves (Enhanced)</v>
      </c>
      <c r="AL221" s="3" t="str">
        <f>IFERROR(__xludf.DUMMYFUNCTION("""COMPUTED_VALUE"""),"Torrential Downpour")</f>
        <v>Torrential Downpour</v>
      </c>
      <c r="AM221" s="3" t="str">
        <f>IFERROR(__xludf.DUMMYFUNCTION("""COMPUTED_VALUE"""),"Taunt (Mob)")</f>
        <v>Taunt (Mob)</v>
      </c>
      <c r="AN221" s="3"/>
      <c r="AO221" s="3"/>
      <c r="AP221" s="3"/>
      <c r="AQ221" s="3"/>
      <c r="AR221" s="3"/>
      <c r="AS221" s="3"/>
      <c r="AT221" s="3"/>
      <c r="AU221" s="3"/>
      <c r="AV221" s="3"/>
      <c r="AW221" s="3"/>
      <c r="AX221" s="3"/>
      <c r="AY221" s="3"/>
      <c r="AZ221" s="3"/>
      <c r="BA221" s="3"/>
      <c r="BB221" s="3"/>
      <c r="BC221" s="1"/>
      <c r="BD221" s="3">
        <f>IFERROR(__xludf.DUMMYFUNCTION("""COMPUTED_VALUE"""),0.0)</f>
        <v>0</v>
      </c>
      <c r="BE221" s="4">
        <f>IFERROR(__xludf.DUMMYFUNCTION("""COMPUTED_VALUE"""),20.0)</f>
        <v>20</v>
      </c>
      <c r="BF221" s="3" t="str">
        <f>IFERROR(__xludf.DUMMYFUNCTION("""COMPUTED_VALUE"""),"Absorption (Enhanced): has a 75% to absorb an attack or spell affecting this creature.
+5 can be added to this mobs rolls.")</f>
        <v>Absorption (Enhanced): has a 75% to absorb an attack or spell affecting this creature.
+5 can be added to this mobs rolls.</v>
      </c>
      <c r="BG221" s="3" t="str">
        <f>IFERROR(__xludf.DUMMYFUNCTION("""COMPUTED_VALUE"""),"Ocean")</f>
        <v>Ocean</v>
      </c>
      <c r="BH221" s="3" t="str">
        <f>IFERROR(__xludf.DUMMYFUNCTION("""COMPUTED_VALUE"""),"Land Of Spira")</f>
        <v>Land Of Spira</v>
      </c>
      <c r="BI221" s="3"/>
      <c r="BJ221" s="3"/>
      <c r="BK221" s="3"/>
      <c r="BL221" s="3" t="b">
        <f>IFERROR(__xludf.DUMMYFUNCTION("""COMPUTED_VALUE"""),FALSE)</f>
        <v>0</v>
      </c>
      <c r="BM221" s="3"/>
      <c r="BN221" s="3"/>
      <c r="BO221" s="3"/>
      <c r="BP221" s="3"/>
      <c r="BQ221" s="3"/>
      <c r="BR221" s="3"/>
      <c r="BS221" s="3"/>
      <c r="BT221" s="3"/>
      <c r="BU221" s="3"/>
      <c r="BV221" s="3"/>
      <c r="BW221" s="3"/>
    </row>
    <row r="222" ht="15.75" customHeight="1">
      <c r="A222" s="3" t="str">
        <f>IFERROR(__xludf.DUMMYFUNCTION("""COMPUTED_VALUE"""),"Seraph")</f>
        <v>Seraph</v>
      </c>
      <c r="B222" s="3">
        <f>IFERROR(__xludf.DUMMYFUNCTION("""COMPUTED_VALUE"""),1.0)</f>
        <v>1</v>
      </c>
      <c r="C222" s="3"/>
      <c r="D222" s="12" t="str">
        <f>IFERROR(__xludf.DUMMYFUNCTION("""COMPUTED_VALUE"""),"Heavenly")</f>
        <v>Heavenly</v>
      </c>
      <c r="E222" s="12">
        <f>IFERROR(__xludf.DUMMYFUNCTION("""COMPUTED_VALUE"""),1010.0)</f>
        <v>1010</v>
      </c>
      <c r="F222" s="12">
        <f>IFERROR(__xludf.DUMMYFUNCTION("""COMPUTED_VALUE"""),1010.0)</f>
        <v>1010</v>
      </c>
      <c r="G222" s="12">
        <f>IFERROR(__xludf.DUMMYFUNCTION("""COMPUTED_VALUE"""),1010.0)</f>
        <v>1010</v>
      </c>
      <c r="H222" s="3">
        <f>IFERROR(__xludf.DUMMYFUNCTION("""COMPUTED_VALUE"""),10.0)</f>
        <v>10</v>
      </c>
      <c r="I222" s="3">
        <f>IFERROR(__xludf.DUMMYFUNCTION("""COMPUTED_VALUE"""),0.0)</f>
        <v>0</v>
      </c>
      <c r="J222" s="3">
        <f>IFERROR(__xludf.DUMMYFUNCTION("""COMPUTED_VALUE"""),0.0)</f>
        <v>0</v>
      </c>
      <c r="K222" s="3">
        <f>IFERROR(__xludf.DUMMYFUNCTION("""COMPUTED_VALUE"""),100.0)</f>
        <v>100</v>
      </c>
      <c r="L222" s="3">
        <f>IFERROR(__xludf.DUMMYFUNCTION("""COMPUTED_VALUE"""),100.0)</f>
        <v>100</v>
      </c>
      <c r="M222" s="3" t="str">
        <f>IFERROR(__xludf.DUMMYFUNCTION("""COMPUTED_VALUE"""),"Light:Immune, Spirit:Immune, Order:Immune, Astral:Immune, Celestial:Immune, Instant Death:Immune, Banishment:Immune, ")</f>
        <v>Light:Immune, Spirit:Immune, Order:Immune, Astral:Immune, Celestial:Immune, Instant Death:Immune, Banishment:Immune, </v>
      </c>
      <c r="N222" s="3" t="str">
        <f>IFERROR(__xludf.DUMMYFUNCTION("""COMPUTED_VALUE"""),"Dark:100, Chaos:100, Voodoo:100, ")</f>
        <v>Dark:100, Chaos:100, Voodoo:100, </v>
      </c>
      <c r="O222" s="3"/>
      <c r="P222" s="3"/>
      <c r="Q222" s="3"/>
      <c r="R222" s="3"/>
      <c r="S222" s="3"/>
      <c r="T222" s="3"/>
      <c r="U222" s="3"/>
      <c r="V222" s="3"/>
      <c r="W222" s="3"/>
      <c r="X222" s="3"/>
      <c r="Y222" s="3"/>
      <c r="Z222" s="3"/>
      <c r="AA222" s="3"/>
      <c r="AB222" s="3"/>
      <c r="AC222" s="3"/>
      <c r="AD222" s="3"/>
      <c r="AE222" s="3"/>
      <c r="AF222" s="3"/>
      <c r="AG222" s="3"/>
      <c r="AH222" s="3"/>
      <c r="AI222" s="3"/>
      <c r="AJ222" s="3" t="str">
        <f>IFERROR(__xludf.DUMMYFUNCTION("""COMPUTED_VALUE"""),"Dive Bomb")</f>
        <v>Dive Bomb</v>
      </c>
      <c r="AK222" s="3"/>
      <c r="AL222" s="3"/>
      <c r="AM222" s="3"/>
      <c r="AN222" s="3"/>
      <c r="AO222" s="3"/>
      <c r="AP222" s="3"/>
      <c r="AQ222" s="3"/>
      <c r="AR222" s="3"/>
      <c r="AS222" s="3"/>
      <c r="AT222" s="3"/>
      <c r="AU222" s="3"/>
      <c r="AV222" s="3"/>
      <c r="AW222" s="3"/>
      <c r="AX222" s="3"/>
      <c r="AY222" s="3"/>
      <c r="AZ222" s="3"/>
      <c r="BA222" s="3"/>
      <c r="BB222" s="3"/>
      <c r="BC222" s="1"/>
      <c r="BD222" s="3">
        <f>IFERROR(__xludf.DUMMYFUNCTION("""COMPUTED_VALUE"""),0.0)</f>
        <v>0</v>
      </c>
      <c r="BE222" s="4">
        <f>IFERROR(__xludf.DUMMYFUNCTION("""COMPUTED_VALUE"""),10.0)</f>
        <v>10</v>
      </c>
      <c r="BF222" s="3"/>
      <c r="BG222" s="3" t="str">
        <f>IFERROR(__xludf.DUMMYFUNCTION("""COMPUTED_VALUE"""),"All")</f>
        <v>All</v>
      </c>
      <c r="BH222" s="3" t="str">
        <f>IFERROR(__xludf.DUMMYFUNCTION("""COMPUTED_VALUE"""),"Solreach")</f>
        <v>Solreach</v>
      </c>
      <c r="BI222" s="3"/>
      <c r="BJ222" s="3"/>
      <c r="BK222" s="3"/>
      <c r="BL222" s="3" t="b">
        <f>IFERROR(__xludf.DUMMYFUNCTION("""COMPUTED_VALUE"""),FALSE)</f>
        <v>0</v>
      </c>
      <c r="BM222" s="3"/>
      <c r="BN222" s="3"/>
      <c r="BO222" s="3"/>
      <c r="BP222" s="3"/>
      <c r="BQ222" s="3"/>
      <c r="BR222" s="3"/>
      <c r="BS222" s="3"/>
      <c r="BT222" s="3"/>
      <c r="BU222" s="3"/>
      <c r="BV222" s="3"/>
      <c r="BW222" s="3"/>
    </row>
    <row r="223" ht="15.75" customHeight="1">
      <c r="A223" s="3" t="str">
        <f>IFERROR(__xludf.DUMMYFUNCTION("""COMPUTED_VALUE"""),"Shadow King")</f>
        <v>Shadow King</v>
      </c>
      <c r="B223" s="3">
        <f>IFERROR(__xludf.DUMMYFUNCTION("""COMPUTED_VALUE"""),1.0)</f>
        <v>1</v>
      </c>
      <c r="C223" s="3"/>
      <c r="D223" s="12" t="str">
        <f>IFERROR(__xludf.DUMMYFUNCTION("""COMPUTED_VALUE"""),"Undead")</f>
        <v>Undead</v>
      </c>
      <c r="E223" s="12">
        <f>IFERROR(__xludf.DUMMYFUNCTION("""COMPUTED_VALUE"""),1010.0)</f>
        <v>1010</v>
      </c>
      <c r="F223" s="12">
        <f>IFERROR(__xludf.DUMMYFUNCTION("""COMPUTED_VALUE"""),1010.0)</f>
        <v>1010</v>
      </c>
      <c r="G223" s="12">
        <f>IFERROR(__xludf.DUMMYFUNCTION("""COMPUTED_VALUE"""),1010.0)</f>
        <v>1010</v>
      </c>
      <c r="H223" s="3">
        <f>IFERROR(__xludf.DUMMYFUNCTION("""COMPUTED_VALUE"""),10.0)</f>
        <v>10</v>
      </c>
      <c r="I223" s="3">
        <f>IFERROR(__xludf.DUMMYFUNCTION("""COMPUTED_VALUE"""),0.0)</f>
        <v>0</v>
      </c>
      <c r="J223" s="3">
        <f>IFERROR(__xludf.DUMMYFUNCTION("""COMPUTED_VALUE"""),0.0)</f>
        <v>0</v>
      </c>
      <c r="K223" s="3">
        <f>IFERROR(__xludf.DUMMYFUNCTION("""COMPUTED_VALUE"""),100.0)</f>
        <v>100</v>
      </c>
      <c r="L223" s="3">
        <f>IFERROR(__xludf.DUMMYFUNCTION("""COMPUTED_VALUE"""),100.0)</f>
        <v>100</v>
      </c>
      <c r="M223" s="3" t="str">
        <f>IFERROR(__xludf.DUMMYFUNCTION("""COMPUTED_VALUE"""),"Dark:Immune, Physical:Immune, ")</f>
        <v>Dark:Immune, Physical:Immune, </v>
      </c>
      <c r="N223" s="3" t="str">
        <f>IFERROR(__xludf.DUMMYFUNCTION("""COMPUTED_VALUE"""),"Fire:100, Light:100, ")</f>
        <v>Fire:100, Light:100, </v>
      </c>
      <c r="O223" s="3"/>
      <c r="P223" s="3"/>
      <c r="Q223" s="3"/>
      <c r="R223" s="3"/>
      <c r="S223" s="3"/>
      <c r="T223" s="3"/>
      <c r="U223" s="3"/>
      <c r="V223" s="3"/>
      <c r="W223" s="3"/>
      <c r="X223" s="3"/>
      <c r="Y223" s="3"/>
      <c r="Z223" s="3"/>
      <c r="AA223" s="3"/>
      <c r="AB223" s="3"/>
      <c r="AC223" s="3"/>
      <c r="AD223" s="3"/>
      <c r="AE223" s="3"/>
      <c r="AF223" s="3"/>
      <c r="AG223" s="3"/>
      <c r="AH223" s="3"/>
      <c r="AI223" s="3"/>
      <c r="AJ223" s="3" t="str">
        <f>IFERROR(__xludf.DUMMYFUNCTION("""COMPUTED_VALUE"""),"Celestial Wrath")</f>
        <v>Celestial Wrath</v>
      </c>
      <c r="AK223" s="3" t="str">
        <f>IFERROR(__xludf.DUMMYFUNCTION("""COMPUTED_VALUE"""),"Dark Force")</f>
        <v>Dark Force</v>
      </c>
      <c r="AL223" s="3" t="str">
        <f>IFERROR(__xludf.DUMMYFUNCTION("""COMPUTED_VALUE"""),"Nightmare")</f>
        <v>Nightmare</v>
      </c>
      <c r="AM223" s="3" t="str">
        <f>IFERROR(__xludf.DUMMYFUNCTION("""COMPUTED_VALUE"""),"Dark Curse")</f>
        <v>Dark Curse</v>
      </c>
      <c r="AN223" s="3" t="str">
        <f>IFERROR(__xludf.DUMMYFUNCTION("""COMPUTED_VALUE"""),"Darkest Abyss")</f>
        <v>Darkest Abyss</v>
      </c>
      <c r="AO223" s="3" t="str">
        <f>IFERROR(__xludf.DUMMYFUNCTION("""COMPUTED_VALUE"""),"Summon Haunted Scarecrow")</f>
        <v>Summon Haunted Scarecrow</v>
      </c>
      <c r="AP223" s="3" t="str">
        <f>IFERROR(__xludf.DUMMYFUNCTION("""COMPUTED_VALUE"""),"Voodoo Meteor Shower")</f>
        <v>Voodoo Meteor Shower</v>
      </c>
      <c r="AQ223" s="3"/>
      <c r="AR223" s="3"/>
      <c r="AS223" s="3"/>
      <c r="AT223" s="3"/>
      <c r="AU223" s="3"/>
      <c r="AV223" s="3"/>
      <c r="AW223" s="3"/>
      <c r="AX223" s="3"/>
      <c r="AY223" s="3"/>
      <c r="AZ223" s="3"/>
      <c r="BA223" s="3"/>
      <c r="BB223" s="3"/>
      <c r="BC223" s="1"/>
      <c r="BD223" s="3">
        <f>IFERROR(__xludf.DUMMYFUNCTION("""COMPUTED_VALUE"""),0.0)</f>
        <v>0</v>
      </c>
      <c r="BE223" s="4">
        <f>IFERROR(__xludf.DUMMYFUNCTION("""COMPUTED_VALUE"""),10.0)</f>
        <v>10</v>
      </c>
      <c r="BF223" s="3" t="str">
        <f>IFERROR(__xludf.DUMMYFUNCTION("""COMPUTED_VALUE"""),"Undead- Can only be killed by light,fire, or celestial")</f>
        <v>Undead- Can only be killed by light,fire, or celestial</v>
      </c>
      <c r="BG223" s="3" t="str">
        <f>IFERROR(__xludf.DUMMYFUNCTION("""COMPUTED_VALUE"""),"All")</f>
        <v>All</v>
      </c>
      <c r="BH223" s="3" t="str">
        <f>IFERROR(__xludf.DUMMYFUNCTION("""COMPUTED_VALUE"""),"Land Of Spira")</f>
        <v>Land Of Spira</v>
      </c>
      <c r="BI223" s="3"/>
      <c r="BJ223" s="3"/>
      <c r="BK223" s="3"/>
      <c r="BL223" s="3" t="b">
        <f>IFERROR(__xludf.DUMMYFUNCTION("""COMPUTED_VALUE"""),FALSE)</f>
        <v>0</v>
      </c>
      <c r="BM223" s="3"/>
      <c r="BN223" s="3"/>
      <c r="BO223" s="3"/>
      <c r="BP223" s="3"/>
      <c r="BQ223" s="3"/>
      <c r="BR223" s="3"/>
      <c r="BS223" s="3"/>
      <c r="BT223" s="3"/>
      <c r="BU223" s="3"/>
      <c r="BV223" s="3"/>
      <c r="BW223" s="3"/>
    </row>
    <row r="224" ht="15.75" customHeight="1">
      <c r="A224" s="3" t="str">
        <f>IFERROR(__xludf.DUMMYFUNCTION("""COMPUTED_VALUE"""),"Shadow Suit of Armor")</f>
        <v>Shadow Suit of Armor</v>
      </c>
      <c r="B224" s="3">
        <f>IFERROR(__xludf.DUMMYFUNCTION("""COMPUTED_VALUE"""),1.0)</f>
        <v>1</v>
      </c>
      <c r="C224" s="3"/>
      <c r="D224" s="12" t="str">
        <f>IFERROR(__xludf.DUMMYFUNCTION("""COMPUTED_VALUE"""),"Spirit")</f>
        <v>Spirit</v>
      </c>
      <c r="E224" s="12">
        <f>IFERROR(__xludf.DUMMYFUNCTION("""COMPUTED_VALUE"""),1010.0)</f>
        <v>1010</v>
      </c>
      <c r="F224" s="12">
        <f>IFERROR(__xludf.DUMMYFUNCTION("""COMPUTED_VALUE"""),1010.0)</f>
        <v>1010</v>
      </c>
      <c r="G224" s="12">
        <f>IFERROR(__xludf.DUMMYFUNCTION("""COMPUTED_VALUE"""),1010.0)</f>
        <v>1010</v>
      </c>
      <c r="H224" s="3">
        <f>IFERROR(__xludf.DUMMYFUNCTION("""COMPUTED_VALUE"""),10.0)</f>
        <v>10</v>
      </c>
      <c r="I224" s="3">
        <f>IFERROR(__xludf.DUMMYFUNCTION("""COMPUTED_VALUE"""),0.0)</f>
        <v>0</v>
      </c>
      <c r="J224" s="3">
        <f>IFERROR(__xludf.DUMMYFUNCTION("""COMPUTED_VALUE"""),0.0)</f>
        <v>0</v>
      </c>
      <c r="K224" s="3">
        <f>IFERROR(__xludf.DUMMYFUNCTION("""COMPUTED_VALUE"""),100.0)</f>
        <v>100</v>
      </c>
      <c r="L224" s="3">
        <f>IFERROR(__xludf.DUMMYFUNCTION("""COMPUTED_VALUE"""),100.0)</f>
        <v>100</v>
      </c>
      <c r="M224" s="3" t="str">
        <f>IFERROR(__xludf.DUMMYFUNCTION("""COMPUTED_VALUE"""),"Dark:100, ")</f>
        <v>Dark:100, </v>
      </c>
      <c r="N224" s="3" t="str">
        <f>IFERROR(__xludf.DUMMYFUNCTION("""COMPUTED_VALUE"""),"Light:100, ")</f>
        <v>Light:100, </v>
      </c>
      <c r="O224" s="3" t="str">
        <f>IFERROR(__xludf.DUMMYFUNCTION("""COMPUTED_VALUE"""),"Dark Knight Helm")</f>
        <v>Dark Knight Helm</v>
      </c>
      <c r="P224" s="3"/>
      <c r="Q224" s="3"/>
      <c r="R224" s="3"/>
      <c r="S224" s="3"/>
      <c r="T224" s="3"/>
      <c r="U224" s="3"/>
      <c r="V224" s="3" t="str">
        <f>IFERROR(__xludf.DUMMYFUNCTION("""COMPUTED_VALUE"""),"Sword of Eternal darkness")</f>
        <v>Sword of Eternal darkness</v>
      </c>
      <c r="W224" s="3"/>
      <c r="X224" s="3" t="str">
        <f>IFERROR(__xludf.DUMMYFUNCTION("""COMPUTED_VALUE"""),"Ring of Darkness")</f>
        <v>Ring of Darkness</v>
      </c>
      <c r="Y224" s="3" t="str">
        <f>IFERROR(__xludf.DUMMYFUNCTION("""COMPUTED_VALUE"""),"Ring of Death")</f>
        <v>Ring of Death</v>
      </c>
      <c r="Z224" s="3"/>
      <c r="AA224" s="3"/>
      <c r="AB224" s="3"/>
      <c r="AC224" s="3"/>
      <c r="AD224" s="3"/>
      <c r="AE224" s="3"/>
      <c r="AF224" s="3"/>
      <c r="AG224" s="3"/>
      <c r="AH224" s="3"/>
      <c r="AI224" s="3"/>
      <c r="AJ224" s="3" t="str">
        <f>IFERROR(__xludf.DUMMYFUNCTION("""COMPUTED_VALUE"""),"Darkest Abyss")</f>
        <v>Darkest Abyss</v>
      </c>
      <c r="AK224" s="3" t="str">
        <f>IFERROR(__xludf.DUMMYFUNCTION("""COMPUTED_VALUE"""),"Conceal")</f>
        <v>Conceal</v>
      </c>
      <c r="AL224" s="3" t="str">
        <f>IFERROR(__xludf.DUMMYFUNCTION("""COMPUTED_VALUE"""),"Possession")</f>
        <v>Possession</v>
      </c>
      <c r="AM224" s="3" t="str">
        <f>IFERROR(__xludf.DUMMYFUNCTION("""COMPUTED_VALUE"""),"A Deal With The Spirit World")</f>
        <v>A Deal With The Spirit World</v>
      </c>
      <c r="AN224" s="3" t="str">
        <f>IFERROR(__xludf.DUMMYFUNCTION("""COMPUTED_VALUE"""),"Arrest")</f>
        <v>Arrest</v>
      </c>
      <c r="AO224" s="3"/>
      <c r="AP224" s="3"/>
      <c r="AQ224" s="3"/>
      <c r="AR224" s="3"/>
      <c r="AS224" s="3"/>
      <c r="AT224" s="3"/>
      <c r="AU224" s="3"/>
      <c r="AV224" s="3"/>
      <c r="AW224" s="3"/>
      <c r="AX224" s="3"/>
      <c r="AY224" s="3"/>
      <c r="AZ224" s="3"/>
      <c r="BA224" s="3"/>
      <c r="BB224" s="3"/>
      <c r="BC224" s="1"/>
      <c r="BD224" s="3">
        <f>IFERROR(__xludf.DUMMYFUNCTION("""COMPUTED_VALUE"""),0.0)</f>
        <v>0</v>
      </c>
      <c r="BE224" s="4">
        <f>IFERROR(__xludf.DUMMYFUNCTION("""COMPUTED_VALUE"""),10.0)</f>
        <v>10</v>
      </c>
      <c r="BF224" s="3" t="str">
        <f>IFERROR(__xludf.DUMMYFUNCTION("""COMPUTED_VALUE"""),"A Dark Calling: +5 can be added to this mobs rolls.
Undead - Can only be killed by light,fire, or celestial")</f>
        <v>A Dark Calling: +5 can be added to this mobs rolls.
Undead - Can only be killed by light,fire, or celestial</v>
      </c>
      <c r="BG224" s="3" t="str">
        <f>IFERROR(__xludf.DUMMYFUNCTION("""COMPUTED_VALUE"""),"All")</f>
        <v>All</v>
      </c>
      <c r="BH224" s="3" t="str">
        <f>IFERROR(__xludf.DUMMYFUNCTION("""COMPUTED_VALUE"""),"Land of Spira")</f>
        <v>Land of Spira</v>
      </c>
      <c r="BI224" s="3"/>
      <c r="BJ224" s="3"/>
      <c r="BK224" s="3"/>
      <c r="BL224" s="3" t="b">
        <f>IFERROR(__xludf.DUMMYFUNCTION("""COMPUTED_VALUE"""),FALSE)</f>
        <v>0</v>
      </c>
      <c r="BM224" s="3"/>
      <c r="BN224" s="3"/>
      <c r="BO224" s="3"/>
      <c r="BP224" s="3"/>
      <c r="BQ224" s="3"/>
      <c r="BR224" s="3"/>
      <c r="BS224" s="3"/>
      <c r="BT224" s="3"/>
      <c r="BU224" s="3"/>
      <c r="BV224" s="3"/>
      <c r="BW224" s="3"/>
    </row>
    <row r="225" ht="15.75" customHeight="1">
      <c r="A225" s="3" t="str">
        <f>IFERROR(__xludf.DUMMYFUNCTION("""COMPUTED_VALUE"""),"Shark (WD)")</f>
        <v>Shark (WD)</v>
      </c>
      <c r="B225" s="3">
        <f>IFERROR(__xludf.DUMMYFUNCTION("""COMPUTED_VALUE"""),1.0)</f>
        <v>1</v>
      </c>
      <c r="C225" s="3"/>
      <c r="D225" s="12" t="str">
        <f>IFERROR(__xludf.DUMMYFUNCTION("""COMPUTED_VALUE"""),"Beast")</f>
        <v>Beast</v>
      </c>
      <c r="E225" s="12">
        <f>IFERROR(__xludf.DUMMYFUNCTION("""COMPUTED_VALUE"""),1010.0)</f>
        <v>1010</v>
      </c>
      <c r="F225" s="12">
        <f>IFERROR(__xludf.DUMMYFUNCTION("""COMPUTED_VALUE"""),1010.0)</f>
        <v>1010</v>
      </c>
      <c r="G225" s="12">
        <f>IFERROR(__xludf.DUMMYFUNCTION("""COMPUTED_VALUE"""),1010.0)</f>
        <v>1010</v>
      </c>
      <c r="H225" s="3">
        <f>IFERROR(__xludf.DUMMYFUNCTION("""COMPUTED_VALUE"""),10.0)</f>
        <v>10</v>
      </c>
      <c r="I225" s="3">
        <f>IFERROR(__xludf.DUMMYFUNCTION("""COMPUTED_VALUE"""),0.0)</f>
        <v>0</v>
      </c>
      <c r="J225" s="3">
        <f>IFERROR(__xludf.DUMMYFUNCTION("""COMPUTED_VALUE"""),0.0)</f>
        <v>0</v>
      </c>
      <c r="K225" s="3">
        <f>IFERROR(__xludf.DUMMYFUNCTION("""COMPUTED_VALUE"""),100.0)</f>
        <v>100</v>
      </c>
      <c r="L225" s="3">
        <f>IFERROR(__xludf.DUMMYFUNCTION("""COMPUTED_VALUE"""),100.0)</f>
        <v>100</v>
      </c>
      <c r="M225" s="3" t="str">
        <f>IFERROR(__xludf.DUMMYFUNCTION("""COMPUTED_VALUE"""),"Fire:Immune, Water:Immune, ")</f>
        <v>Fire:Immune, Water:Immune, </v>
      </c>
      <c r="N225" s="3" t="str">
        <f>IFERROR(__xludf.DUMMYFUNCTION("""COMPUTED_VALUE"""),"Nature:100, ")</f>
        <v>Nature:100, </v>
      </c>
      <c r="O225" s="3"/>
      <c r="P225" s="3"/>
      <c r="Q225" s="3"/>
      <c r="R225" s="3"/>
      <c r="S225" s="3"/>
      <c r="T225" s="3"/>
      <c r="U225" s="3"/>
      <c r="V225" s="3"/>
      <c r="W225" s="3"/>
      <c r="X225" s="3"/>
      <c r="Y225" s="3"/>
      <c r="Z225" s="3"/>
      <c r="AA225" s="3"/>
      <c r="AB225" s="3"/>
      <c r="AC225" s="3"/>
      <c r="AD225" s="3"/>
      <c r="AE225" s="3"/>
      <c r="AF225" s="3"/>
      <c r="AG225" s="3"/>
      <c r="AH225" s="3"/>
      <c r="AI225" s="3"/>
      <c r="AJ225" s="3" t="str">
        <f>IFERROR(__xludf.DUMMYFUNCTION("""COMPUTED_VALUE"""),"Bite")</f>
        <v>Bite</v>
      </c>
      <c r="AK225" s="3" t="str">
        <f>IFERROR(__xludf.DUMMYFUNCTION("""COMPUTED_VALUE"""),"Call of The Sharks")</f>
        <v>Call of The Sharks</v>
      </c>
      <c r="AL225" s="3" t="str">
        <f>IFERROR(__xludf.DUMMYFUNCTION("""COMPUTED_VALUE"""),"Geyser")</f>
        <v>Geyser</v>
      </c>
      <c r="AM225" s="3" t="str">
        <f>IFERROR(__xludf.DUMMYFUNCTION("""COMPUTED_VALUE"""),"Berserk")</f>
        <v>Berserk</v>
      </c>
      <c r="AN225" s="3" t="str">
        <f>IFERROR(__xludf.DUMMYFUNCTION("""COMPUTED_VALUE"""),"Reckless Chomp ")</f>
        <v>Reckless Chomp </v>
      </c>
      <c r="AO225" s="3" t="str">
        <f>IFERROR(__xludf.DUMMYFUNCTION("""COMPUTED_VALUE"""),"Tackle")</f>
        <v>Tackle</v>
      </c>
      <c r="AP225" s="3"/>
      <c r="AQ225" s="3"/>
      <c r="AR225" s="3"/>
      <c r="AS225" s="3"/>
      <c r="AT225" s="3"/>
      <c r="AU225" s="3"/>
      <c r="AV225" s="3"/>
      <c r="AW225" s="3"/>
      <c r="AX225" s="3"/>
      <c r="AY225" s="3"/>
      <c r="AZ225" s="3"/>
      <c r="BA225" s="3"/>
      <c r="BB225" s="3"/>
      <c r="BC225" s="1"/>
      <c r="BD225" s="3">
        <f>IFERROR(__xludf.DUMMYFUNCTION("""COMPUTED_VALUE"""),0.0)</f>
        <v>0</v>
      </c>
      <c r="BE225" s="4">
        <f>IFERROR(__xludf.DUMMYFUNCTION("""COMPUTED_VALUE"""),10.0)</f>
        <v>10</v>
      </c>
      <c r="BF225" s="3"/>
      <c r="BG225" s="3" t="str">
        <f>IFERROR(__xludf.DUMMYFUNCTION("""COMPUTED_VALUE"""),"Ocean")</f>
        <v>Ocean</v>
      </c>
      <c r="BH225" s="3" t="str">
        <f>IFERROR(__xludf.DUMMYFUNCTION("""COMPUTED_VALUE"""),"Land Of Spira")</f>
        <v>Land Of Spira</v>
      </c>
      <c r="BI225" s="3"/>
      <c r="BJ225" s="3"/>
      <c r="BK225" s="3"/>
      <c r="BL225" s="3" t="b">
        <f>IFERROR(__xludf.DUMMYFUNCTION("""COMPUTED_VALUE"""),FALSE)</f>
        <v>0</v>
      </c>
      <c r="BM225" s="3"/>
      <c r="BN225" s="3"/>
      <c r="BO225" s="3"/>
      <c r="BP225" s="3"/>
      <c r="BQ225" s="3"/>
      <c r="BR225" s="3"/>
      <c r="BS225" s="3"/>
      <c r="BT225" s="3"/>
      <c r="BU225" s="3"/>
      <c r="BV225" s="3"/>
      <c r="BW225" s="3"/>
    </row>
    <row r="226" ht="15.75" customHeight="1">
      <c r="A226" s="3" t="str">
        <f>IFERROR(__xludf.DUMMYFUNCTION("""COMPUTED_VALUE"""),"Shark (WD) (Enhanced0")</f>
        <v>Shark (WD) (Enhanced0</v>
      </c>
      <c r="B226" s="3">
        <f>IFERROR(__xludf.DUMMYFUNCTION("""COMPUTED_VALUE"""),1.0)</f>
        <v>1</v>
      </c>
      <c r="C226" s="3"/>
      <c r="D226" s="12" t="str">
        <f>IFERROR(__xludf.DUMMYFUNCTION("""COMPUTED_VALUE"""),"Beast")</f>
        <v>Beast</v>
      </c>
      <c r="E226" s="12">
        <f>IFERROR(__xludf.DUMMYFUNCTION("""COMPUTED_VALUE"""),1010.0)</f>
        <v>1010</v>
      </c>
      <c r="F226" s="12">
        <f>IFERROR(__xludf.DUMMYFUNCTION("""COMPUTED_VALUE"""),1010.0)</f>
        <v>1010</v>
      </c>
      <c r="G226" s="12">
        <f>IFERROR(__xludf.DUMMYFUNCTION("""COMPUTED_VALUE"""),1010.0)</f>
        <v>1010</v>
      </c>
      <c r="H226" s="3">
        <f>IFERROR(__xludf.DUMMYFUNCTION("""COMPUTED_VALUE"""),10.0)</f>
        <v>10</v>
      </c>
      <c r="I226" s="3">
        <f>IFERROR(__xludf.DUMMYFUNCTION("""COMPUTED_VALUE"""),0.0)</f>
        <v>0</v>
      </c>
      <c r="J226" s="3">
        <f>IFERROR(__xludf.DUMMYFUNCTION("""COMPUTED_VALUE"""),0.0)</f>
        <v>0</v>
      </c>
      <c r="K226" s="3">
        <f>IFERROR(__xludf.DUMMYFUNCTION("""COMPUTED_VALUE"""),100.0)</f>
        <v>100</v>
      </c>
      <c r="L226" s="3">
        <f>IFERROR(__xludf.DUMMYFUNCTION("""COMPUTED_VALUE"""),100.0)</f>
        <v>100</v>
      </c>
      <c r="M226" s="3" t="str">
        <f>IFERROR(__xludf.DUMMYFUNCTION("""COMPUTED_VALUE"""),"Fire:Immune, Water:Immune, ")</f>
        <v>Fire:Immune, Water:Immune, </v>
      </c>
      <c r="N226" s="3" t="str">
        <f>IFERROR(__xludf.DUMMYFUNCTION("""COMPUTED_VALUE"""),"")</f>
        <v/>
      </c>
      <c r="O226" s="3"/>
      <c r="P226" s="3"/>
      <c r="Q226" s="3"/>
      <c r="R226" s="3"/>
      <c r="S226" s="3"/>
      <c r="T226" s="3"/>
      <c r="U226" s="3"/>
      <c r="V226" s="3"/>
      <c r="W226" s="3"/>
      <c r="X226" s="3"/>
      <c r="Y226" s="3"/>
      <c r="Z226" s="3"/>
      <c r="AA226" s="3"/>
      <c r="AB226" s="3"/>
      <c r="AC226" s="3"/>
      <c r="AD226" s="3"/>
      <c r="AE226" s="3"/>
      <c r="AF226" s="3"/>
      <c r="AG226" s="3"/>
      <c r="AH226" s="3"/>
      <c r="AI226" s="3"/>
      <c r="AJ226" s="3" t="str">
        <f>IFERROR(__xludf.DUMMYFUNCTION("""COMPUTED_VALUE"""),"Bite")</f>
        <v>Bite</v>
      </c>
      <c r="AK226" s="3" t="str">
        <f>IFERROR(__xludf.DUMMYFUNCTION("""COMPUTED_VALUE"""),"Call of The Sharks")</f>
        <v>Call of The Sharks</v>
      </c>
      <c r="AL226" s="3" t="str">
        <f>IFERROR(__xludf.DUMMYFUNCTION("""COMPUTED_VALUE"""),"Geyser")</f>
        <v>Geyser</v>
      </c>
      <c r="AM226" s="3" t="str">
        <f>IFERROR(__xludf.DUMMYFUNCTION("""COMPUTED_VALUE"""),"Berserk")</f>
        <v>Berserk</v>
      </c>
      <c r="AN226" s="3" t="str">
        <f>IFERROR(__xludf.DUMMYFUNCTION("""COMPUTED_VALUE"""),"Crashing Waves (Enhanced)")</f>
        <v>Crashing Waves (Enhanced)</v>
      </c>
      <c r="AO226" s="3" t="str">
        <f>IFERROR(__xludf.DUMMYFUNCTION("""COMPUTED_VALUE"""),"Aggressive Chomp")</f>
        <v>Aggressive Chomp</v>
      </c>
      <c r="AP226" s="3" t="str">
        <f>IFERROR(__xludf.DUMMYFUNCTION("""COMPUTED_VALUE"""),"Aggresive Tear")</f>
        <v>Aggresive Tear</v>
      </c>
      <c r="AQ226" s="3" t="str">
        <f>IFERROR(__xludf.DUMMYFUNCTION("""COMPUTED_VALUE"""),"Tackle")</f>
        <v>Tackle</v>
      </c>
      <c r="AR226" s="3"/>
      <c r="AS226" s="3"/>
      <c r="AT226" s="3"/>
      <c r="AU226" s="3"/>
      <c r="AV226" s="3"/>
      <c r="AW226" s="3"/>
      <c r="AX226" s="3"/>
      <c r="AY226" s="3"/>
      <c r="AZ226" s="3"/>
      <c r="BA226" s="3"/>
      <c r="BB226" s="3"/>
      <c r="BC226" s="1"/>
      <c r="BD226" s="3">
        <f>IFERROR(__xludf.DUMMYFUNCTION("""COMPUTED_VALUE"""),0.0)</f>
        <v>0</v>
      </c>
      <c r="BE226" s="4">
        <f>IFERROR(__xludf.DUMMYFUNCTION("""COMPUTED_VALUE"""),10.0)</f>
        <v>10</v>
      </c>
      <c r="BF226" s="3"/>
      <c r="BG226" s="3" t="str">
        <f>IFERROR(__xludf.DUMMYFUNCTION("""COMPUTED_VALUE"""),"Ocean")</f>
        <v>Ocean</v>
      </c>
      <c r="BH226" s="3" t="str">
        <f>IFERROR(__xludf.DUMMYFUNCTION("""COMPUTED_VALUE"""),"Land Of Spira")</f>
        <v>Land Of Spira</v>
      </c>
      <c r="BI226" s="3"/>
      <c r="BJ226" s="3"/>
      <c r="BK226" s="3"/>
      <c r="BL226" s="3" t="b">
        <f>IFERROR(__xludf.DUMMYFUNCTION("""COMPUTED_VALUE"""),FALSE)</f>
        <v>0</v>
      </c>
      <c r="BM226" s="3"/>
      <c r="BN226" s="3"/>
      <c r="BO226" s="3"/>
      <c r="BP226" s="3"/>
      <c r="BQ226" s="3"/>
      <c r="BR226" s="3"/>
      <c r="BS226" s="3"/>
      <c r="BT226" s="3"/>
      <c r="BU226" s="3"/>
      <c r="BV226" s="3"/>
      <c r="BW226" s="3"/>
    </row>
    <row r="227" ht="15.75" customHeight="1">
      <c r="A227" s="3" t="str">
        <f>IFERROR(__xludf.DUMMYFUNCTION("""COMPUTED_VALUE"""),"Skeletal Warrior")</f>
        <v>Skeletal Warrior</v>
      </c>
      <c r="B227" s="3">
        <f>IFERROR(__xludf.DUMMYFUNCTION("""COMPUTED_VALUE"""),1.0)</f>
        <v>1</v>
      </c>
      <c r="C227" s="3"/>
      <c r="D227" s="12" t="str">
        <f>IFERROR(__xludf.DUMMYFUNCTION("""COMPUTED_VALUE"""),"Undead")</f>
        <v>Undead</v>
      </c>
      <c r="E227" s="12">
        <f>IFERROR(__xludf.DUMMYFUNCTION("""COMPUTED_VALUE"""),1010.0)</f>
        <v>1010</v>
      </c>
      <c r="F227" s="12">
        <f>IFERROR(__xludf.DUMMYFUNCTION("""COMPUTED_VALUE"""),1010.0)</f>
        <v>1010</v>
      </c>
      <c r="G227" s="12">
        <f>IFERROR(__xludf.DUMMYFUNCTION("""COMPUTED_VALUE"""),1010.0)</f>
        <v>1010</v>
      </c>
      <c r="H227" s="3">
        <f>IFERROR(__xludf.DUMMYFUNCTION("""COMPUTED_VALUE"""),10.0)</f>
        <v>10</v>
      </c>
      <c r="I227" s="3">
        <f>IFERROR(__xludf.DUMMYFUNCTION("""COMPUTED_VALUE"""),0.0)</f>
        <v>0</v>
      </c>
      <c r="J227" s="3">
        <f>IFERROR(__xludf.DUMMYFUNCTION("""COMPUTED_VALUE"""),0.0)</f>
        <v>0</v>
      </c>
      <c r="K227" s="3">
        <f>IFERROR(__xludf.DUMMYFUNCTION("""COMPUTED_VALUE"""),100.0)</f>
        <v>100</v>
      </c>
      <c r="L227" s="3">
        <f>IFERROR(__xludf.DUMMYFUNCTION("""COMPUTED_VALUE"""),100.0)</f>
        <v>100</v>
      </c>
      <c r="M227" s="3" t="str">
        <f>IFERROR(__xludf.DUMMYFUNCTION("""COMPUTED_VALUE"""),"Dark:100, ")</f>
        <v>Dark:100, </v>
      </c>
      <c r="N227" s="3" t="str">
        <f>IFERROR(__xludf.DUMMYFUNCTION("""COMPUTED_VALUE"""),"Light:100, ")</f>
        <v>Light:100, </v>
      </c>
      <c r="O227" s="3"/>
      <c r="P227" s="3"/>
      <c r="Q227" s="3"/>
      <c r="R227" s="3"/>
      <c r="S227" s="3"/>
      <c r="T227" s="3"/>
      <c r="U227" s="3"/>
      <c r="V227" s="3"/>
      <c r="W227" s="3" t="str">
        <f>IFERROR(__xludf.DUMMYFUNCTION("""COMPUTED_VALUE"""),"Bone Sword ")</f>
        <v>Bone Sword </v>
      </c>
      <c r="X227" s="3"/>
      <c r="Y227" s="3"/>
      <c r="Z227" s="3"/>
      <c r="AA227" s="3"/>
      <c r="AB227" s="3"/>
      <c r="AC227" s="3"/>
      <c r="AD227" s="3"/>
      <c r="AE227" s="3"/>
      <c r="AF227" s="3"/>
      <c r="AG227" s="3"/>
      <c r="AH227" s="3"/>
      <c r="AI227" s="3"/>
      <c r="AJ227" s="3" t="str">
        <f>IFERROR(__xludf.DUMMYFUNCTION("""COMPUTED_VALUE"""),"Dark Curse")</f>
        <v>Dark Curse</v>
      </c>
      <c r="AK227" s="3" t="str">
        <f>IFERROR(__xludf.DUMMYFUNCTION("""COMPUTED_VALUE"""),"Dark Force")</f>
        <v>Dark Force</v>
      </c>
      <c r="AL227" s="3" t="str">
        <f>IFERROR(__xludf.DUMMYFUNCTION("""COMPUTED_VALUE"""),"Chains of Shadow")</f>
        <v>Chains of Shadow</v>
      </c>
      <c r="AM227" s="3" t="str">
        <f>IFERROR(__xludf.DUMMYFUNCTION("""COMPUTED_VALUE"""),"Berserk")</f>
        <v>Berserk</v>
      </c>
      <c r="AN227" s="3"/>
      <c r="AO227" s="3"/>
      <c r="AP227" s="3"/>
      <c r="AQ227" s="3"/>
      <c r="AR227" s="3"/>
      <c r="AS227" s="3"/>
      <c r="AT227" s="3"/>
      <c r="AU227" s="3"/>
      <c r="AV227" s="3"/>
      <c r="AW227" s="3"/>
      <c r="AX227" s="3"/>
      <c r="AY227" s="3"/>
      <c r="AZ227" s="3"/>
      <c r="BA227" s="3"/>
      <c r="BB227" s="3"/>
      <c r="BC227" s="1"/>
      <c r="BD227" s="3">
        <f>IFERROR(__xludf.DUMMYFUNCTION("""COMPUTED_VALUE"""),0.0)</f>
        <v>0</v>
      </c>
      <c r="BE227" s="4">
        <f>IFERROR(__xludf.DUMMYFUNCTION("""COMPUTED_VALUE"""),10.0)</f>
        <v>10</v>
      </c>
      <c r="BF227" s="3" t="str">
        <f>IFERROR(__xludf.DUMMYFUNCTION("""COMPUTED_VALUE"""),"Undead- Can only be killed by light,fire, or celestial")</f>
        <v>Undead- Can only be killed by light,fire, or celestial</v>
      </c>
      <c r="BG227" s="3" t="str">
        <f>IFERROR(__xludf.DUMMYFUNCTION("""COMPUTED_VALUE"""),"All")</f>
        <v>All</v>
      </c>
      <c r="BH227" s="3" t="str">
        <f>IFERROR(__xludf.DUMMYFUNCTION("""COMPUTED_VALUE"""),"Land of Spira")</f>
        <v>Land of Spira</v>
      </c>
      <c r="BI227" s="3"/>
      <c r="BJ227" s="3"/>
      <c r="BK227" s="3"/>
      <c r="BL227" s="3" t="b">
        <f>IFERROR(__xludf.DUMMYFUNCTION("""COMPUTED_VALUE"""),FALSE)</f>
        <v>0</v>
      </c>
      <c r="BM227" s="3"/>
      <c r="BN227" s="3"/>
      <c r="BO227" s="3"/>
      <c r="BP227" s="3"/>
      <c r="BQ227" s="3"/>
      <c r="BR227" s="3"/>
      <c r="BS227" s="3"/>
      <c r="BT227" s="3"/>
      <c r="BU227" s="3"/>
      <c r="BV227" s="3"/>
      <c r="BW227" s="3"/>
    </row>
    <row r="228" ht="15.75" customHeight="1">
      <c r="A228" s="3" t="str">
        <f>IFERROR(__xludf.DUMMYFUNCTION("""COMPUTED_VALUE"""),"Skeleton Lord")</f>
        <v>Skeleton Lord</v>
      </c>
      <c r="B228" s="3">
        <f>IFERROR(__xludf.DUMMYFUNCTION("""COMPUTED_VALUE"""),1.0)</f>
        <v>1</v>
      </c>
      <c r="C228" s="3" t="str">
        <f>IFERROR(__xludf.DUMMYFUNCTION("""COMPUTED_VALUE"""),"lord dreadfuls 1st son.")</f>
        <v>lord dreadfuls 1st son.</v>
      </c>
      <c r="D228" s="12" t="str">
        <f>IFERROR(__xludf.DUMMYFUNCTION("""COMPUTED_VALUE"""),"Undead")</f>
        <v>Undead</v>
      </c>
      <c r="E228" s="12">
        <f>IFERROR(__xludf.DUMMYFUNCTION("""COMPUTED_VALUE"""),1010.0)</f>
        <v>1010</v>
      </c>
      <c r="F228" s="12">
        <f>IFERROR(__xludf.DUMMYFUNCTION("""COMPUTED_VALUE"""),1010.0)</f>
        <v>1010</v>
      </c>
      <c r="G228" s="12">
        <f>IFERROR(__xludf.DUMMYFUNCTION("""COMPUTED_VALUE"""),1010.0)</f>
        <v>1010</v>
      </c>
      <c r="H228" s="3">
        <f>IFERROR(__xludf.DUMMYFUNCTION("""COMPUTED_VALUE"""),10.0)</f>
        <v>10</v>
      </c>
      <c r="I228" s="3">
        <f>IFERROR(__xludf.DUMMYFUNCTION("""COMPUTED_VALUE"""),0.0)</f>
        <v>0</v>
      </c>
      <c r="J228" s="3">
        <f>IFERROR(__xludf.DUMMYFUNCTION("""COMPUTED_VALUE"""),0.0)</f>
        <v>0</v>
      </c>
      <c r="K228" s="3">
        <f>IFERROR(__xludf.DUMMYFUNCTION("""COMPUTED_VALUE"""),100.0)</f>
        <v>100</v>
      </c>
      <c r="L228" s="3">
        <f>IFERROR(__xludf.DUMMYFUNCTION("""COMPUTED_VALUE"""),100.0)</f>
        <v>100</v>
      </c>
      <c r="M228" s="3" t="str">
        <f>IFERROR(__xludf.DUMMYFUNCTION("""COMPUTED_VALUE"""),"Dark:Immune, Chaos:100, Instant Death:Immune, ")</f>
        <v>Dark:Immune, Chaos:100, Instant Death:Immune, </v>
      </c>
      <c r="N228" s="3" t="str">
        <f>IFERROR(__xludf.DUMMYFUNCTION("""COMPUTED_VALUE"""),"Light:100, ")</f>
        <v>Light:100, </v>
      </c>
      <c r="O228" s="3"/>
      <c r="P228" s="3"/>
      <c r="Q228" s="3"/>
      <c r="R228" s="3"/>
      <c r="S228" s="3"/>
      <c r="T228" s="3"/>
      <c r="U228" s="3"/>
      <c r="V228" s="3" t="str">
        <f>IFERROR(__xludf.DUMMYFUNCTION("""COMPUTED_VALUE"""),"Bone Sword ")</f>
        <v>Bone Sword </v>
      </c>
      <c r="W228" s="3"/>
      <c r="X228" s="3"/>
      <c r="Y228" s="3"/>
      <c r="Z228" s="3"/>
      <c r="AA228" s="3"/>
      <c r="AB228" s="3"/>
      <c r="AC228" s="3"/>
      <c r="AD228" s="3"/>
      <c r="AE228" s="3"/>
      <c r="AF228" s="3"/>
      <c r="AG228" s="3"/>
      <c r="AH228" s="3"/>
      <c r="AI228" s="3"/>
      <c r="AJ228" s="3" t="str">
        <f>IFERROR(__xludf.DUMMYFUNCTION("""COMPUTED_VALUE"""),"Dark Curse")</f>
        <v>Dark Curse</v>
      </c>
      <c r="AK228" s="3" t="str">
        <f>IFERROR(__xludf.DUMMYFUNCTION("""COMPUTED_VALUE"""),"Dark Bolt")</f>
        <v>Dark Bolt</v>
      </c>
      <c r="AL228" s="3" t="str">
        <f>IFERROR(__xludf.DUMMYFUNCTION("""COMPUTED_VALUE"""),"Curse of Wasting")</f>
        <v>Curse of Wasting</v>
      </c>
      <c r="AM228" s="3" t="str">
        <f>IFERROR(__xludf.DUMMYFUNCTION("""COMPUTED_VALUE"""),"Chaos Beam")</f>
        <v>Chaos Beam</v>
      </c>
      <c r="AN228" s="3" t="str">
        <f>IFERROR(__xludf.DUMMYFUNCTION("""COMPUTED_VALUE"""),"Darkest Abyss")</f>
        <v>Darkest Abyss</v>
      </c>
      <c r="AO228" s="3" t="str">
        <f>IFERROR(__xludf.DUMMYFUNCTION("""COMPUTED_VALUE"""),"Celestial Wrath")</f>
        <v>Celestial Wrath</v>
      </c>
      <c r="AP228" s="3"/>
      <c r="AQ228" s="3"/>
      <c r="AR228" s="3"/>
      <c r="AS228" s="3"/>
      <c r="AT228" s="3"/>
      <c r="AU228" s="3"/>
      <c r="AV228" s="3"/>
      <c r="AW228" s="3"/>
      <c r="AX228" s="3"/>
      <c r="AY228" s="3"/>
      <c r="AZ228" s="3"/>
      <c r="BA228" s="3"/>
      <c r="BB228" s="3"/>
      <c r="BC228" s="1"/>
      <c r="BD228" s="3">
        <f>IFERROR(__xludf.DUMMYFUNCTION("""COMPUTED_VALUE"""),0.0)</f>
        <v>0</v>
      </c>
      <c r="BE228" s="4">
        <f>IFERROR(__xludf.DUMMYFUNCTION("""COMPUTED_VALUE"""),10.0)</f>
        <v>10</v>
      </c>
      <c r="BF228" s="3" t="str">
        <f>IFERROR(__xludf.DUMMYFUNCTION("""COMPUTED_VALUE"""),"Undead- Can only be killed by light,fire, or celestial")</f>
        <v>Undead- Can only be killed by light,fire, or celestial</v>
      </c>
      <c r="BG228" s="3" t="str">
        <f>IFERROR(__xludf.DUMMYFUNCTION("""COMPUTED_VALUE"""),"All")</f>
        <v>All</v>
      </c>
      <c r="BH228" s="3" t="str">
        <f>IFERROR(__xludf.DUMMYFUNCTION("""COMPUTED_VALUE"""),"Land of Spira")</f>
        <v>Land of Spira</v>
      </c>
      <c r="BI228" s="3"/>
      <c r="BJ228" s="3"/>
      <c r="BK228" s="3"/>
      <c r="BL228" s="3" t="b">
        <f>IFERROR(__xludf.DUMMYFUNCTION("""COMPUTED_VALUE"""),FALSE)</f>
        <v>0</v>
      </c>
      <c r="BM228" s="3"/>
      <c r="BN228" s="3"/>
      <c r="BO228" s="3"/>
      <c r="BP228" s="3"/>
      <c r="BQ228" s="3"/>
      <c r="BR228" s="3"/>
      <c r="BS228" s="3"/>
      <c r="BT228" s="3"/>
      <c r="BU228" s="3"/>
      <c r="BV228" s="3"/>
      <c r="BW228" s="3"/>
    </row>
    <row r="229" ht="15.75" customHeight="1">
      <c r="A229" s="3" t="str">
        <f>IFERROR(__xludf.DUMMYFUNCTION("""COMPUTED_VALUE"""),"Skilled Robot Soldier (King Of Mekanas Companion)")</f>
        <v>Skilled Robot Soldier (King Of Mekanas Companion)</v>
      </c>
      <c r="B229" s="3">
        <f>IFERROR(__xludf.DUMMYFUNCTION("""COMPUTED_VALUE"""),1.0)</f>
        <v>1</v>
      </c>
      <c r="C229" s="3"/>
      <c r="D229" s="12" t="str">
        <f>IFERROR(__xludf.DUMMYFUNCTION("""COMPUTED_VALUE"""),"Construct")</f>
        <v>Construct</v>
      </c>
      <c r="E229" s="12">
        <f>IFERROR(__xludf.DUMMYFUNCTION("""COMPUTED_VALUE"""),1010.0)</f>
        <v>1010</v>
      </c>
      <c r="F229" s="12">
        <f>IFERROR(__xludf.DUMMYFUNCTION("""COMPUTED_VALUE"""),1010.0)</f>
        <v>1010</v>
      </c>
      <c r="G229" s="12">
        <f>IFERROR(__xludf.DUMMYFUNCTION("""COMPUTED_VALUE"""),1010.0)</f>
        <v>1010</v>
      </c>
      <c r="H229" s="3">
        <f>IFERROR(__xludf.DUMMYFUNCTION("""COMPUTED_VALUE"""),10.0)</f>
        <v>10</v>
      </c>
      <c r="I229" s="3">
        <f>IFERROR(__xludf.DUMMYFUNCTION("""COMPUTED_VALUE"""),0.0)</f>
        <v>0</v>
      </c>
      <c r="J229" s="3">
        <f>IFERROR(__xludf.DUMMYFUNCTION("""COMPUTED_VALUE"""),0.0)</f>
        <v>0</v>
      </c>
      <c r="K229" s="3">
        <f>IFERROR(__xludf.DUMMYFUNCTION("""COMPUTED_VALUE"""),100.0)</f>
        <v>100</v>
      </c>
      <c r="L229" s="3">
        <f>IFERROR(__xludf.DUMMYFUNCTION("""COMPUTED_VALUE"""),100.0)</f>
        <v>100</v>
      </c>
      <c r="M229" s="3" t="str">
        <f>IFERROR(__xludf.DUMMYFUNCTION("""COMPUTED_VALUE"""),"Natural:Immune, ")</f>
        <v>Natural:Immune, </v>
      </c>
      <c r="N229" s="3" t="str">
        <f>IFERROR(__xludf.DUMMYFUNCTION("""COMPUTED_VALUE"""),"Fire:100, Water:100, ")</f>
        <v>Fire:100, Water:100, </v>
      </c>
      <c r="O229" s="3"/>
      <c r="P229" s="3"/>
      <c r="Q229" s="3"/>
      <c r="R229" s="3"/>
      <c r="S229" s="3"/>
      <c r="T229" s="3"/>
      <c r="U229" s="3"/>
      <c r="V229" s="3"/>
      <c r="W229" s="3"/>
      <c r="X229" s="3"/>
      <c r="Y229" s="3"/>
      <c r="Z229" s="3"/>
      <c r="AA229" s="3"/>
      <c r="AB229" s="3"/>
      <c r="AC229" s="3"/>
      <c r="AD229" s="3"/>
      <c r="AE229" s="3"/>
      <c r="AF229" s="3"/>
      <c r="AG229" s="3"/>
      <c r="AH229" s="3"/>
      <c r="AI229" s="3"/>
      <c r="AJ229" s="3" t="str">
        <f>IFERROR(__xludf.DUMMYFUNCTION("""COMPUTED_VALUE"""),"Overcharge")</f>
        <v>Overcharge</v>
      </c>
      <c r="AK229" s="3" t="str">
        <f>IFERROR(__xludf.DUMMYFUNCTION("""COMPUTED_VALUE"""),"Recharge")</f>
        <v>Recharge</v>
      </c>
      <c r="AL229" s="3" t="str">
        <f>IFERROR(__xludf.DUMMYFUNCTION("""COMPUTED_VALUE"""),"Cooldown")</f>
        <v>Cooldown</v>
      </c>
      <c r="AM229" s="3"/>
      <c r="AN229" s="3"/>
      <c r="AO229" s="3"/>
      <c r="AP229" s="3"/>
      <c r="AQ229" s="3"/>
      <c r="AR229" s="3"/>
      <c r="AS229" s="3"/>
      <c r="AT229" s="3"/>
      <c r="AU229" s="3"/>
      <c r="AV229" s="3"/>
      <c r="AW229" s="3"/>
      <c r="AX229" s="3"/>
      <c r="AY229" s="3"/>
      <c r="AZ229" s="3"/>
      <c r="BA229" s="3"/>
      <c r="BB229" s="3"/>
      <c r="BC229" s="1"/>
      <c r="BD229" s="3">
        <f>IFERROR(__xludf.DUMMYFUNCTION("""COMPUTED_VALUE"""),0.0)</f>
        <v>0</v>
      </c>
      <c r="BE229" s="4">
        <f>IFERROR(__xludf.DUMMYFUNCTION("""COMPUTED_VALUE"""),10.0)</f>
        <v>10</v>
      </c>
      <c r="BF229" s="3"/>
      <c r="BG229" s="3" t="str">
        <f>IFERROR(__xludf.DUMMYFUNCTION("""COMPUTED_VALUE"""),"City/Town")</f>
        <v>City/Town</v>
      </c>
      <c r="BH229" s="3" t="str">
        <f>IFERROR(__xludf.DUMMYFUNCTION("""COMPUTED_VALUE"""),"Land Of Spira")</f>
        <v>Land Of Spira</v>
      </c>
      <c r="BI229" s="3"/>
      <c r="BJ229" s="3"/>
      <c r="BK229" s="3"/>
      <c r="BL229" s="3" t="b">
        <f>IFERROR(__xludf.DUMMYFUNCTION("""COMPUTED_VALUE"""),FALSE)</f>
        <v>0</v>
      </c>
      <c r="BM229" s="3"/>
      <c r="BN229" s="3"/>
      <c r="BO229" s="3"/>
      <c r="BP229" s="3"/>
      <c r="BQ229" s="3"/>
      <c r="BR229" s="3"/>
      <c r="BS229" s="3"/>
      <c r="BT229" s="3"/>
      <c r="BU229" s="3"/>
      <c r="BV229" s="3"/>
      <c r="BW229" s="3"/>
    </row>
    <row r="230" ht="15.75" customHeight="1">
      <c r="A230" s="3" t="str">
        <f>IFERROR(__xludf.DUMMYFUNCTION("""COMPUTED_VALUE"""),"Slime")</f>
        <v>Slime</v>
      </c>
      <c r="B230" s="3">
        <f>IFERROR(__xludf.DUMMYFUNCTION("""COMPUTED_VALUE"""),1.0)</f>
        <v>1</v>
      </c>
      <c r="C230" s="3" t="str">
        <f>IFERROR(__xludf.DUMMYFUNCTION("""COMPUTED_VALUE"""),"A small mindless ball of magical sludge this creature will strike at anything that gets to close and try to absorb it, they are mostly harmless one swing will disrupt its form turning it back to a liquid state.")</f>
        <v>A small mindless ball of magical sludge this creature will strike at anything that gets to close and try to absorb it, they are mostly harmless one swing will disrupt its form turning it back to a liquid state.</v>
      </c>
      <c r="D230" s="12" t="str">
        <f>IFERROR(__xludf.DUMMYFUNCTION("""COMPUTED_VALUE"""),"Monstrosity")</f>
        <v>Monstrosity</v>
      </c>
      <c r="E230" s="12">
        <f>IFERROR(__xludf.DUMMYFUNCTION("""COMPUTED_VALUE"""),1010.0)</f>
        <v>1010</v>
      </c>
      <c r="F230" s="12">
        <f>IFERROR(__xludf.DUMMYFUNCTION("""COMPUTED_VALUE"""),1010.0)</f>
        <v>1010</v>
      </c>
      <c r="G230" s="12">
        <f>IFERROR(__xludf.DUMMYFUNCTION("""COMPUTED_VALUE"""),1010.0)</f>
        <v>1010</v>
      </c>
      <c r="H230" s="3">
        <f>IFERROR(__xludf.DUMMYFUNCTION("""COMPUTED_VALUE"""),10.0)</f>
        <v>10</v>
      </c>
      <c r="I230" s="3">
        <f>IFERROR(__xludf.DUMMYFUNCTION("""COMPUTED_VALUE"""),0.0)</f>
        <v>0</v>
      </c>
      <c r="J230" s="3">
        <f>IFERROR(__xludf.DUMMYFUNCTION("""COMPUTED_VALUE"""),0.0)</f>
        <v>0</v>
      </c>
      <c r="K230" s="3">
        <f>IFERROR(__xludf.DUMMYFUNCTION("""COMPUTED_VALUE"""),100.0)</f>
        <v>100</v>
      </c>
      <c r="L230" s="3">
        <f>IFERROR(__xludf.DUMMYFUNCTION("""COMPUTED_VALUE"""),100.0)</f>
        <v>100</v>
      </c>
      <c r="M230" s="3" t="str">
        <f>IFERROR(__xludf.DUMMYFUNCTION("""COMPUTED_VALUE"""),"")</f>
        <v/>
      </c>
      <c r="N230" s="3" t="str">
        <f>IFERROR(__xludf.DUMMYFUNCTION("""COMPUTED_VALUE"""),"")</f>
        <v/>
      </c>
      <c r="O230" s="3"/>
      <c r="P230" s="3"/>
      <c r="Q230" s="3"/>
      <c r="R230" s="3"/>
      <c r="S230" s="3"/>
      <c r="T230" s="3"/>
      <c r="U230" s="3"/>
      <c r="V230" s="3"/>
      <c r="W230" s="3"/>
      <c r="X230" s="3"/>
      <c r="Y230" s="3"/>
      <c r="Z230" s="3"/>
      <c r="AA230" s="3"/>
      <c r="AB230" s="3"/>
      <c r="AC230" s="3"/>
      <c r="AD230" s="3"/>
      <c r="AE230" s="3"/>
      <c r="AF230" s="3"/>
      <c r="AG230" s="3"/>
      <c r="AH230" s="3"/>
      <c r="AI230" s="3"/>
      <c r="AJ230" s="3" t="str">
        <f>IFERROR(__xludf.DUMMYFUNCTION("""COMPUTED_VALUE"""),"Latch on")</f>
        <v>Latch on</v>
      </c>
      <c r="AK230" s="3" t="str">
        <f>IFERROR(__xludf.DUMMYFUNCTION("""COMPUTED_VALUE"""),"Absorb")</f>
        <v>Absorb</v>
      </c>
      <c r="AL230" s="3" t="str">
        <f>IFERROR(__xludf.DUMMYFUNCTION("""COMPUTED_VALUE"""),"Absorb Enemy ")</f>
        <v>Absorb Enemy </v>
      </c>
      <c r="AM230" s="3"/>
      <c r="AN230" s="3"/>
      <c r="AO230" s="3"/>
      <c r="AP230" s="3"/>
      <c r="AQ230" s="3"/>
      <c r="AR230" s="3"/>
      <c r="AS230" s="3"/>
      <c r="AT230" s="3"/>
      <c r="AU230" s="3"/>
      <c r="AV230" s="3"/>
      <c r="AW230" s="3"/>
      <c r="AX230" s="3"/>
      <c r="AY230" s="3"/>
      <c r="AZ230" s="3"/>
      <c r="BA230" s="3"/>
      <c r="BB230" s="3"/>
      <c r="BC230" s="1"/>
      <c r="BD230" s="3">
        <f>IFERROR(__xludf.DUMMYFUNCTION("""COMPUTED_VALUE"""),0.0)</f>
        <v>0</v>
      </c>
      <c r="BE230" s="4">
        <f>IFERROR(__xludf.DUMMYFUNCTION("""COMPUTED_VALUE"""),15.0)</f>
        <v>15</v>
      </c>
      <c r="BF230" s="3" t="str">
        <f>IFERROR(__xludf.DUMMYFUNCTION("""COMPUTED_VALUE"""),"Absorption: 50% chance to absorb a spell or attack affecting this creature")</f>
        <v>Absorption: 50% chance to absorb a spell or attack affecting this creature</v>
      </c>
      <c r="BG230" s="3" t="str">
        <f>IFERROR(__xludf.DUMMYFUNCTION("""COMPUTED_VALUE"""),"All")</f>
        <v>All</v>
      </c>
      <c r="BH230" s="3" t="str">
        <f>IFERROR(__xludf.DUMMYFUNCTION("""COMPUTED_VALUE"""),"Land of Spira")</f>
        <v>Land of Spira</v>
      </c>
      <c r="BI230" s="3"/>
      <c r="BJ230" s="3"/>
      <c r="BK230" s="3"/>
      <c r="BL230" s="3" t="b">
        <f>IFERROR(__xludf.DUMMYFUNCTION("""COMPUTED_VALUE"""),FALSE)</f>
        <v>0</v>
      </c>
      <c r="BM230" s="3"/>
      <c r="BN230" s="3"/>
      <c r="BO230" s="3"/>
      <c r="BP230" s="3"/>
      <c r="BQ230" s="3"/>
      <c r="BR230" s="3"/>
      <c r="BS230" s="3"/>
      <c r="BT230" s="3"/>
      <c r="BU230" s="3"/>
      <c r="BV230" s="3"/>
      <c r="BW230" s="3"/>
    </row>
    <row r="231" ht="15.75" customHeight="1">
      <c r="A231" s="3" t="str">
        <f>IFERROR(__xludf.DUMMYFUNCTION("""COMPUTED_VALUE"""),"Sorana- Demon Of The Cycle")</f>
        <v>Sorana- Demon Of The Cycle</v>
      </c>
      <c r="B231" s="3">
        <f>IFERROR(__xludf.DUMMYFUNCTION("""COMPUTED_VALUE"""),1.0)</f>
        <v>1</v>
      </c>
      <c r="C231" s="3"/>
      <c r="D231" s="12" t="str">
        <f>IFERROR(__xludf.DUMMYFUNCTION("""COMPUTED_VALUE"""),"Demonic")</f>
        <v>Demonic</v>
      </c>
      <c r="E231" s="12">
        <f>IFERROR(__xludf.DUMMYFUNCTION("""COMPUTED_VALUE"""),1010.0)</f>
        <v>1010</v>
      </c>
      <c r="F231" s="12">
        <f>IFERROR(__xludf.DUMMYFUNCTION("""COMPUTED_VALUE"""),1010.0)</f>
        <v>1010</v>
      </c>
      <c r="G231" s="12">
        <f>IFERROR(__xludf.DUMMYFUNCTION("""COMPUTED_VALUE"""),1010.0)</f>
        <v>1010</v>
      </c>
      <c r="H231" s="3">
        <f>IFERROR(__xludf.DUMMYFUNCTION("""COMPUTED_VALUE"""),10.0)</f>
        <v>10</v>
      </c>
      <c r="I231" s="3">
        <f>IFERROR(__xludf.DUMMYFUNCTION("""COMPUTED_VALUE"""),0.0)</f>
        <v>0</v>
      </c>
      <c r="J231" s="3">
        <f>IFERROR(__xludf.DUMMYFUNCTION("""COMPUTED_VALUE"""),0.0)</f>
        <v>0</v>
      </c>
      <c r="K231" s="3">
        <f>IFERROR(__xludf.DUMMYFUNCTION("""COMPUTED_VALUE"""),100.0)</f>
        <v>100</v>
      </c>
      <c r="L231" s="3">
        <f>IFERROR(__xludf.DUMMYFUNCTION("""COMPUTED_VALUE"""),100.0)</f>
        <v>100</v>
      </c>
      <c r="M231" s="3" t="str">
        <f>IFERROR(__xludf.DUMMYFUNCTION("""COMPUTED_VALUE"""),"Dark:Immune, Chaos:Immune, Voodoo:Immune, Instant Death:Immune, Banishment:Immune, ")</f>
        <v>Dark:Immune, Chaos:Immune, Voodoo:Immune, Instant Death:Immune, Banishment:Immune, </v>
      </c>
      <c r="N231" s="3" t="str">
        <f>IFERROR(__xludf.DUMMYFUNCTION("""COMPUTED_VALUE"""),"Fire:100, Light:100, Order:100, ")</f>
        <v>Fire:100, Light:100, Order:100, </v>
      </c>
      <c r="O231" s="3"/>
      <c r="P231" s="3"/>
      <c r="Q231" s="3"/>
      <c r="R231" s="3"/>
      <c r="S231" s="3"/>
      <c r="T231" s="3"/>
      <c r="U231" s="3"/>
      <c r="V231" s="3"/>
      <c r="W231" s="3"/>
      <c r="X231" s="3"/>
      <c r="Y231" s="3"/>
      <c r="Z231" s="3"/>
      <c r="AA231" s="3"/>
      <c r="AB231" s="3"/>
      <c r="AC231" s="3"/>
      <c r="AD231" s="3"/>
      <c r="AE231" s="3"/>
      <c r="AF231" s="3"/>
      <c r="AG231" s="3"/>
      <c r="AH231" s="3"/>
      <c r="AI231" s="3"/>
      <c r="AJ231" s="3" t="str">
        <f>IFERROR(__xludf.DUMMYFUNCTION("""COMPUTED_VALUE"""),"The Cycle")</f>
        <v>The Cycle</v>
      </c>
      <c r="AK231" s="3"/>
      <c r="AL231" s="3"/>
      <c r="AM231" s="3"/>
      <c r="AN231" s="3"/>
      <c r="AO231" s="3"/>
      <c r="AP231" s="3"/>
      <c r="AQ231" s="3"/>
      <c r="AR231" s="3"/>
      <c r="AS231" s="3"/>
      <c r="AT231" s="3"/>
      <c r="AU231" s="3"/>
      <c r="AV231" s="3"/>
      <c r="AW231" s="3"/>
      <c r="AX231" s="3"/>
      <c r="AY231" s="3"/>
      <c r="AZ231" s="3"/>
      <c r="BA231" s="3"/>
      <c r="BB231" s="3"/>
      <c r="BC231" s="1"/>
      <c r="BD231" s="3">
        <f>IFERROR(__xludf.DUMMYFUNCTION("""COMPUTED_VALUE"""),0.0)</f>
        <v>0</v>
      </c>
      <c r="BE231" s="4">
        <f>IFERROR(__xludf.DUMMYFUNCTION("""COMPUTED_VALUE"""),10.0)</f>
        <v>10</v>
      </c>
      <c r="BF231" s="3" t="str">
        <f>IFERROR(__xludf.DUMMYFUNCTION("""COMPUTED_VALUE"""),"will live on 1 hp unless hit with light, fire, or celestial.")</f>
        <v>will live on 1 hp unless hit with light, fire, or celestial.</v>
      </c>
      <c r="BG231" s="3" t="str">
        <f>IFERROR(__xludf.DUMMYFUNCTION("""COMPUTED_VALUE"""),"Dungeon")</f>
        <v>Dungeon</v>
      </c>
      <c r="BH231" s="3" t="str">
        <f>IFERROR(__xludf.DUMMYFUNCTION("""COMPUTED_VALUE"""),"Land Of Spira")</f>
        <v>Land Of Spira</v>
      </c>
      <c r="BI231" s="3"/>
      <c r="BJ231" s="3"/>
      <c r="BK231" s="3"/>
      <c r="BL231" s="3" t="b">
        <f>IFERROR(__xludf.DUMMYFUNCTION("""COMPUTED_VALUE"""),FALSE)</f>
        <v>0</v>
      </c>
      <c r="BM231" s="3"/>
      <c r="BN231" s="3"/>
      <c r="BO231" s="3"/>
      <c r="BP231" s="3"/>
      <c r="BQ231" s="3"/>
      <c r="BR231" s="3"/>
      <c r="BS231" s="3"/>
      <c r="BT231" s="3"/>
      <c r="BU231" s="3"/>
      <c r="BV231" s="3"/>
      <c r="BW231" s="3"/>
    </row>
    <row r="232" ht="15.75" customHeight="1">
      <c r="A232" s="3" t="str">
        <f>IFERROR(__xludf.DUMMYFUNCTION("""COMPUTED_VALUE"""),"Soul Dragon")</f>
        <v>Soul Dragon</v>
      </c>
      <c r="B232" s="3">
        <f>IFERROR(__xludf.DUMMYFUNCTION("""COMPUTED_VALUE"""),1.0)</f>
        <v>1</v>
      </c>
      <c r="C232" s="3"/>
      <c r="D232" s="3" t="str">
        <f>IFERROR(__xludf.DUMMYFUNCTION("""COMPUTED_VALUE"""),"Draconic")</f>
        <v>Draconic</v>
      </c>
      <c r="E232" s="3">
        <f>IFERROR(__xludf.DUMMYFUNCTION("""COMPUTED_VALUE"""),31010.0)</f>
        <v>31010</v>
      </c>
      <c r="F232" s="12">
        <f>IFERROR(__xludf.DUMMYFUNCTION("""COMPUTED_VALUE"""),31010.0)</f>
        <v>31010</v>
      </c>
      <c r="G232" s="3">
        <f>IFERROR(__xludf.DUMMYFUNCTION("""COMPUTED_VALUE"""),31010.0)</f>
        <v>31010</v>
      </c>
      <c r="H232" s="3">
        <f>IFERROR(__xludf.DUMMYFUNCTION("""COMPUTED_VALUE"""),15.0)</f>
        <v>15</v>
      </c>
      <c r="I232" s="3">
        <f>IFERROR(__xludf.DUMMYFUNCTION("""COMPUTED_VALUE"""),0.0)</f>
        <v>0</v>
      </c>
      <c r="J232" s="3">
        <f>IFERROR(__xludf.DUMMYFUNCTION("""COMPUTED_VALUE"""),0.0)</f>
        <v>0</v>
      </c>
      <c r="K232" s="3">
        <f>IFERROR(__xludf.DUMMYFUNCTION("""COMPUTED_VALUE"""),100.0)</f>
        <v>100</v>
      </c>
      <c r="L232" s="3">
        <f>IFERROR(__xludf.DUMMYFUNCTION("""COMPUTED_VALUE"""),100.0)</f>
        <v>100</v>
      </c>
      <c r="M232" s="3" t="str">
        <f>IFERROR(__xludf.DUMMYFUNCTION("""COMPUTED_VALUE"""),"Dark:Immune, Instant Death:Immune, Banishment:Immune, ")</f>
        <v>Dark:Immune, Instant Death:Immune, Banishment:Immune, </v>
      </c>
      <c r="N232" s="3" t="str">
        <f>IFERROR(__xludf.DUMMYFUNCTION("""COMPUTED_VALUE"""),"Fire:100, Light:100, ")</f>
        <v>Fire:100, Light:100, </v>
      </c>
      <c r="O232" s="3"/>
      <c r="P232" s="3"/>
      <c r="Q232" s="3"/>
      <c r="R232" s="3"/>
      <c r="S232" s="3"/>
      <c r="T232" s="3"/>
      <c r="U232" s="3"/>
      <c r="V232" s="3"/>
      <c r="W232" s="3"/>
      <c r="X232" s="3"/>
      <c r="Y232" s="3"/>
      <c r="Z232" s="3"/>
      <c r="AA232" s="3"/>
      <c r="AB232" s="3"/>
      <c r="AC232" s="3"/>
      <c r="AD232" s="3"/>
      <c r="AE232" s="3"/>
      <c r="AF232" s="3"/>
      <c r="AG232" s="3"/>
      <c r="AH232" s="3"/>
      <c r="AI232" s="3"/>
      <c r="AJ232" s="3" t="str">
        <f>IFERROR(__xludf.DUMMYFUNCTION("""COMPUTED_VALUE"""),"Dragon's Breath")</f>
        <v>Dragon's Breath</v>
      </c>
      <c r="AK232" s="3" t="str">
        <f>IFERROR(__xludf.DUMMYFUNCTION("""COMPUTED_VALUE"""),"Bite")</f>
        <v>Bite</v>
      </c>
      <c r="AL232" s="3" t="str">
        <f>IFERROR(__xludf.DUMMYFUNCTION("""COMPUTED_VALUE"""),"Tail Smash")</f>
        <v>Tail Smash</v>
      </c>
      <c r="AM232" s="3" t="str">
        <f>IFERROR(__xludf.DUMMYFUNCTION("""COMPUTED_VALUE"""),"Claws")</f>
        <v>Claws</v>
      </c>
      <c r="AN232" s="3" t="str">
        <f>IFERROR(__xludf.DUMMYFUNCTION("""COMPUTED_VALUE"""),"Berserk")</f>
        <v>Berserk</v>
      </c>
      <c r="AO232" s="3" t="str">
        <f>IFERROR(__xludf.DUMMYFUNCTION("""COMPUTED_VALUE"""),"Multishot")</f>
        <v>Multishot</v>
      </c>
      <c r="AP232" s="3" t="str">
        <f>IFERROR(__xludf.DUMMYFUNCTION("""COMPUTED_VALUE"""),"Draconic Scream")</f>
        <v>Draconic Scream</v>
      </c>
      <c r="AQ232" s="3" t="str">
        <f>IFERROR(__xludf.DUMMYFUNCTION("""COMPUTED_VALUE"""),"Spirit Fog")</f>
        <v>Spirit Fog</v>
      </c>
      <c r="AR232" s="3" t="str">
        <f>IFERROR(__xludf.DUMMYFUNCTION("""COMPUTED_VALUE"""),"Rain of Souls")</f>
        <v>Rain of Souls</v>
      </c>
      <c r="AS232" s="3" t="str">
        <f>IFERROR(__xludf.DUMMYFUNCTION("""COMPUTED_VALUE"""),"Soul Trap")</f>
        <v>Soul Trap</v>
      </c>
      <c r="AT232" s="3" t="str">
        <f>IFERROR(__xludf.DUMMYFUNCTION("""COMPUTED_VALUE"""),"Celestial Wrath")</f>
        <v>Celestial Wrath</v>
      </c>
      <c r="AU232" s="3"/>
      <c r="AV232" s="3"/>
      <c r="AW232" s="3"/>
      <c r="AX232" s="3"/>
      <c r="AY232" s="3"/>
      <c r="AZ232" s="3"/>
      <c r="BA232" s="3"/>
      <c r="BB232" s="3"/>
      <c r="BC232" s="1"/>
      <c r="BD232" s="3">
        <f>IFERROR(__xludf.DUMMYFUNCTION("""COMPUTED_VALUE"""),0.0)</f>
        <v>0</v>
      </c>
      <c r="BE232" s="4">
        <f>IFERROR(__xludf.DUMMYFUNCTION("""COMPUTED_VALUE"""),10.0)</f>
        <v>10</v>
      </c>
      <c r="BF232" s="3" t="str">
        <f>IFERROR(__xludf.DUMMYFUNCTION("""COMPUTED_VALUE"""),"25% chance to be unaffected by any spells affecting this mob
Dragons Luck: +5 can be added to this mobs d20 rolls.
Spirit - Immune to Blood, Will live on 1HP unless hit with a Light, Spirit, or Celestial attack. Cannot be immune to Light, Spirit, and Ce"&amp;"lestial.")</f>
        <v>25% chance to be unaffected by any spells affecting this mob
Dragons Luck: +5 can be added to this mobs d20 rolls.
Spirit - Immune to Blood, Will live on 1HP unless hit with a Light, Spirit, or Celestial attack. Cannot be immune to Light, Spirit, and Celestial.</v>
      </c>
      <c r="BG232" s="3" t="str">
        <f>IFERROR(__xludf.DUMMYFUNCTION("""COMPUTED_VALUE"""),"All")</f>
        <v>All</v>
      </c>
      <c r="BH232" s="3" t="str">
        <f>IFERROR(__xludf.DUMMYFUNCTION("""COMPUTED_VALUE"""),"Dragonscale Island")</f>
        <v>Dragonscale Island</v>
      </c>
      <c r="BI232" s="3"/>
      <c r="BJ232" s="3"/>
      <c r="BK232" s="3"/>
      <c r="BL232" s="3" t="b">
        <f>IFERROR(__xludf.DUMMYFUNCTION("""COMPUTED_VALUE"""),FALSE)</f>
        <v>0</v>
      </c>
      <c r="BM232" s="3"/>
      <c r="BN232" s="3"/>
      <c r="BO232" s="3"/>
      <c r="BP232" s="3"/>
      <c r="BQ232" s="3"/>
      <c r="BR232" s="3"/>
      <c r="BS232" s="3"/>
      <c r="BT232" s="3"/>
      <c r="BU232" s="3"/>
      <c r="BV232" s="3"/>
      <c r="BW232" s="3"/>
    </row>
    <row r="233" ht="15.75" customHeight="1">
      <c r="A233" s="3" t="str">
        <f>IFERROR(__xludf.DUMMYFUNCTION("""COMPUTED_VALUE"""),"Spirit Dragon")</f>
        <v>Spirit Dragon</v>
      </c>
      <c r="B233" s="3">
        <f>IFERROR(__xludf.DUMMYFUNCTION("""COMPUTED_VALUE"""),1.0)</f>
        <v>1</v>
      </c>
      <c r="C233" s="3"/>
      <c r="D233" s="3" t="str">
        <f>IFERROR(__xludf.DUMMYFUNCTION("""COMPUTED_VALUE"""),"Draconic")</f>
        <v>Draconic</v>
      </c>
      <c r="E233" s="3">
        <f>IFERROR(__xludf.DUMMYFUNCTION("""COMPUTED_VALUE"""),31010.0)</f>
        <v>31010</v>
      </c>
      <c r="F233" s="12">
        <f>IFERROR(__xludf.DUMMYFUNCTION("""COMPUTED_VALUE"""),31010.0)</f>
        <v>31010</v>
      </c>
      <c r="G233" s="3">
        <f>IFERROR(__xludf.DUMMYFUNCTION("""COMPUTED_VALUE"""),31010.0)</f>
        <v>31010</v>
      </c>
      <c r="H233" s="3">
        <f>IFERROR(__xludf.DUMMYFUNCTION("""COMPUTED_VALUE"""),15.0)</f>
        <v>15</v>
      </c>
      <c r="I233" s="3">
        <f>IFERROR(__xludf.DUMMYFUNCTION("""COMPUTED_VALUE"""),0.0)</f>
        <v>0</v>
      </c>
      <c r="J233" s="3">
        <f>IFERROR(__xludf.DUMMYFUNCTION("""COMPUTED_VALUE"""),0.0)</f>
        <v>0</v>
      </c>
      <c r="K233" s="3">
        <f>IFERROR(__xludf.DUMMYFUNCTION("""COMPUTED_VALUE"""),100.0)</f>
        <v>100</v>
      </c>
      <c r="L233" s="3">
        <f>IFERROR(__xludf.DUMMYFUNCTION("""COMPUTED_VALUE"""),100.0)</f>
        <v>100</v>
      </c>
      <c r="M233" s="3" t="str">
        <f>IFERROR(__xludf.DUMMYFUNCTION("""COMPUTED_VALUE"""),"Dark:Immune, Instant Death:Immune, Banishment:Immune, ")</f>
        <v>Dark:Immune, Instant Death:Immune, Banishment:Immune, </v>
      </c>
      <c r="N233" s="3" t="str">
        <f>IFERROR(__xludf.DUMMYFUNCTION("""COMPUTED_VALUE"""),"Fire:100, Light:100, ")</f>
        <v>Fire:100, Light:100, </v>
      </c>
      <c r="O233" s="3"/>
      <c r="P233" s="3"/>
      <c r="Q233" s="3"/>
      <c r="R233" s="3"/>
      <c r="S233" s="3"/>
      <c r="T233" s="3"/>
      <c r="U233" s="3"/>
      <c r="V233" s="3"/>
      <c r="W233" s="3"/>
      <c r="X233" s="3"/>
      <c r="Y233" s="3"/>
      <c r="Z233" s="3"/>
      <c r="AA233" s="3"/>
      <c r="AB233" s="3"/>
      <c r="AC233" s="3"/>
      <c r="AD233" s="3"/>
      <c r="AE233" s="3"/>
      <c r="AF233" s="3"/>
      <c r="AG233" s="3"/>
      <c r="AH233" s="3"/>
      <c r="AI233" s="3"/>
      <c r="AJ233" s="3" t="str">
        <f>IFERROR(__xludf.DUMMYFUNCTION("""COMPUTED_VALUE"""),"Dragon's Breath")</f>
        <v>Dragon's Breath</v>
      </c>
      <c r="AK233" s="3" t="str">
        <f>IFERROR(__xludf.DUMMYFUNCTION("""COMPUTED_VALUE"""),"Bite")</f>
        <v>Bite</v>
      </c>
      <c r="AL233" s="3" t="str">
        <f>IFERROR(__xludf.DUMMYFUNCTION("""COMPUTED_VALUE"""),"Tail Smash")</f>
        <v>Tail Smash</v>
      </c>
      <c r="AM233" s="3" t="str">
        <f>IFERROR(__xludf.DUMMYFUNCTION("""COMPUTED_VALUE"""),"Claws")</f>
        <v>Claws</v>
      </c>
      <c r="AN233" s="3" t="str">
        <f>IFERROR(__xludf.DUMMYFUNCTION("""COMPUTED_VALUE"""),"Berserk")</f>
        <v>Berserk</v>
      </c>
      <c r="AO233" s="3" t="str">
        <f>IFERROR(__xludf.DUMMYFUNCTION("""COMPUTED_VALUE"""),"Multishot")</f>
        <v>Multishot</v>
      </c>
      <c r="AP233" s="3" t="str">
        <f>IFERROR(__xludf.DUMMYFUNCTION("""COMPUTED_VALUE"""),"Draconic Scream")</f>
        <v>Draconic Scream</v>
      </c>
      <c r="AQ233" s="3" t="str">
        <f>IFERROR(__xludf.DUMMYFUNCTION("""COMPUTED_VALUE"""),"A Deal With The Spirit World")</f>
        <v>A Deal With The Spirit World</v>
      </c>
      <c r="AR233" s="3" t="str">
        <f>IFERROR(__xludf.DUMMYFUNCTION("""COMPUTED_VALUE"""),"Spirit Drain")</f>
        <v>Spirit Drain</v>
      </c>
      <c r="AS233" s="3" t="str">
        <f>IFERROR(__xludf.DUMMYFUNCTION("""COMPUTED_VALUE"""),"Possession")</f>
        <v>Possession</v>
      </c>
      <c r="AT233" s="3" t="str">
        <f>IFERROR(__xludf.DUMMYFUNCTION("""COMPUTED_VALUE"""),"Celestial Wrath")</f>
        <v>Celestial Wrath</v>
      </c>
      <c r="AU233" s="3" t="str">
        <f>IFERROR(__xludf.DUMMYFUNCTION("""COMPUTED_VALUE"""),"Spirit Fog")</f>
        <v>Spirit Fog</v>
      </c>
      <c r="AV233" s="3" t="str">
        <f>IFERROR(__xludf.DUMMYFUNCTION("""COMPUTED_VALUE"""),"Burning Dread")</f>
        <v>Burning Dread</v>
      </c>
      <c r="AW233" s="3"/>
      <c r="AX233" s="3"/>
      <c r="AY233" s="3"/>
      <c r="AZ233" s="3"/>
      <c r="BA233" s="3"/>
      <c r="BB233" s="3"/>
      <c r="BC233" s="1"/>
      <c r="BD233" s="3">
        <f>IFERROR(__xludf.DUMMYFUNCTION("""COMPUTED_VALUE"""),0.0)</f>
        <v>0</v>
      </c>
      <c r="BE233" s="4">
        <f>IFERROR(__xludf.DUMMYFUNCTION("""COMPUTED_VALUE"""),10.0)</f>
        <v>10</v>
      </c>
      <c r="BF233" s="3" t="str">
        <f>IFERROR(__xludf.DUMMYFUNCTION("""COMPUTED_VALUE"""),"25% chance to be unaffected by any spells affecting this mob
Dragons Luck: +5 can be added to this mobs d20 rolls.
Spirit - Immune to Blood, Will live on 1HP unless hit with a Light, Spirit, or Celestial attack. Cannot be immune to Light, Spirit, and Ce"&amp;"lestial.")</f>
        <v>25% chance to be unaffected by any spells affecting this mob
Dragons Luck: +5 can be added to this mobs d20 rolls.
Spirit - Immune to Blood, Will live on 1HP unless hit with a Light, Spirit, or Celestial attack. Cannot be immune to Light, Spirit, and Celestial.</v>
      </c>
      <c r="BG233" s="3" t="str">
        <f>IFERROR(__xludf.DUMMYFUNCTION("""COMPUTED_VALUE"""),"All")</f>
        <v>All</v>
      </c>
      <c r="BH233" s="3" t="str">
        <f>IFERROR(__xludf.DUMMYFUNCTION("""COMPUTED_VALUE"""),"Dragonscale Island")</f>
        <v>Dragonscale Island</v>
      </c>
      <c r="BI233" s="3"/>
      <c r="BJ233" s="3"/>
      <c r="BK233" s="3"/>
      <c r="BL233" s="3" t="b">
        <f>IFERROR(__xludf.DUMMYFUNCTION("""COMPUTED_VALUE"""),FALSE)</f>
        <v>0</v>
      </c>
      <c r="BM233" s="3"/>
      <c r="BN233" s="3"/>
      <c r="BO233" s="3"/>
      <c r="BP233" s="3"/>
      <c r="BQ233" s="3"/>
      <c r="BR233" s="3"/>
      <c r="BS233" s="3"/>
      <c r="BT233" s="3"/>
      <c r="BU233" s="3"/>
      <c r="BV233" s="3"/>
      <c r="BW233" s="3"/>
    </row>
    <row r="234" ht="15.75" customHeight="1">
      <c r="A234" s="3" t="str">
        <f>IFERROR(__xludf.DUMMYFUNCTION("""COMPUTED_VALUE"""),"Spirit Warrior")</f>
        <v>Spirit Warrior</v>
      </c>
      <c r="B234" s="3">
        <f>IFERROR(__xludf.DUMMYFUNCTION("""COMPUTED_VALUE"""),1.0)</f>
        <v>1</v>
      </c>
      <c r="C234" s="3"/>
      <c r="D234" s="12" t="str">
        <f>IFERROR(__xludf.DUMMYFUNCTION("""COMPUTED_VALUE"""),"Spirit")</f>
        <v>Spirit</v>
      </c>
      <c r="E234" s="12">
        <f>IFERROR(__xludf.DUMMYFUNCTION("""COMPUTED_VALUE"""),1010.0)</f>
        <v>1010</v>
      </c>
      <c r="F234" s="12">
        <f>IFERROR(__xludf.DUMMYFUNCTION("""COMPUTED_VALUE"""),1010.0)</f>
        <v>1010</v>
      </c>
      <c r="G234" s="12">
        <f>IFERROR(__xludf.DUMMYFUNCTION("""COMPUTED_VALUE"""),1010.0)</f>
        <v>1010</v>
      </c>
      <c r="H234" s="3">
        <f>IFERROR(__xludf.DUMMYFUNCTION("""COMPUTED_VALUE"""),10.0)</f>
        <v>10</v>
      </c>
      <c r="I234" s="3">
        <f>IFERROR(__xludf.DUMMYFUNCTION("""COMPUTED_VALUE"""),0.0)</f>
        <v>0</v>
      </c>
      <c r="J234" s="3">
        <f>IFERROR(__xludf.DUMMYFUNCTION("""COMPUTED_VALUE"""),0.0)</f>
        <v>0</v>
      </c>
      <c r="K234" s="3">
        <f>IFERROR(__xludf.DUMMYFUNCTION("""COMPUTED_VALUE"""),100.0)</f>
        <v>100</v>
      </c>
      <c r="L234" s="3">
        <f>IFERROR(__xludf.DUMMYFUNCTION("""COMPUTED_VALUE"""),100.0)</f>
        <v>100</v>
      </c>
      <c r="M234" s="3" t="str">
        <f>IFERROR(__xludf.DUMMYFUNCTION("""COMPUTED_VALUE"""),"Dark:Immune, Spirit:Immune, Chaos:Immune, ")</f>
        <v>Dark:Immune, Spirit:Immune, Chaos:Immune, </v>
      </c>
      <c r="N234" s="3" t="str">
        <f>IFERROR(__xludf.DUMMYFUNCTION("""COMPUTED_VALUE"""),"Light:100, ")</f>
        <v>Light:100, </v>
      </c>
      <c r="O234" s="3"/>
      <c r="P234" s="3"/>
      <c r="Q234" s="3"/>
      <c r="R234" s="3"/>
      <c r="S234" s="3"/>
      <c r="T234" s="3"/>
      <c r="U234" s="3"/>
      <c r="V234" s="3" t="str">
        <f>IFERROR(__xludf.DUMMYFUNCTION("""COMPUTED_VALUE"""),"Spirit Shield")</f>
        <v>Spirit Shield</v>
      </c>
      <c r="W234" s="3" t="str">
        <f>IFERROR(__xludf.DUMMYFUNCTION("""COMPUTED_VALUE"""),"Spirit Blade")</f>
        <v>Spirit Blade</v>
      </c>
      <c r="X234" s="3"/>
      <c r="Y234" s="3"/>
      <c r="Z234" s="3"/>
      <c r="AA234" s="3"/>
      <c r="AB234" s="3"/>
      <c r="AC234" s="3"/>
      <c r="AD234" s="3"/>
      <c r="AE234" s="3"/>
      <c r="AF234" s="3"/>
      <c r="AG234" s="3"/>
      <c r="AH234" s="3"/>
      <c r="AI234" s="3"/>
      <c r="AJ234" s="3" t="str">
        <f>IFERROR(__xludf.DUMMYFUNCTION("""COMPUTED_VALUE"""),"Parry")</f>
        <v>Parry</v>
      </c>
      <c r="AK234" s="3" t="str">
        <f>IFERROR(__xludf.DUMMYFUNCTION("""COMPUTED_VALUE"""),"Berserk")</f>
        <v>Berserk</v>
      </c>
      <c r="AL234" s="3" t="str">
        <f>IFERROR(__xludf.DUMMYFUNCTION("""COMPUTED_VALUE"""),"Possession")</f>
        <v>Possession</v>
      </c>
      <c r="AM234" s="3" t="str">
        <f>IFERROR(__xludf.DUMMYFUNCTION("""COMPUTED_VALUE"""),"Degrade")</f>
        <v>Degrade</v>
      </c>
      <c r="AN234" s="3" t="str">
        <f>IFERROR(__xludf.DUMMYFUNCTION("""COMPUTED_VALUE"""),"Distant Warrior")</f>
        <v>Distant Warrior</v>
      </c>
      <c r="AO234" s="3"/>
      <c r="AP234" s="3"/>
      <c r="AQ234" s="3"/>
      <c r="AR234" s="3"/>
      <c r="AS234" s="3"/>
      <c r="AT234" s="3"/>
      <c r="AU234" s="3"/>
      <c r="AV234" s="3"/>
      <c r="AW234" s="3"/>
      <c r="AX234" s="3"/>
      <c r="AY234" s="3"/>
      <c r="AZ234" s="3"/>
      <c r="BA234" s="3"/>
      <c r="BB234" s="3"/>
      <c r="BC234" s="1"/>
      <c r="BD234" s="3">
        <f>IFERROR(__xludf.DUMMYFUNCTION("""COMPUTED_VALUE"""),0.0)</f>
        <v>0</v>
      </c>
      <c r="BE234" s="4">
        <f>IFERROR(__xludf.DUMMYFUNCTION("""COMPUTED_VALUE"""),10.0)</f>
        <v>10</v>
      </c>
      <c r="BF234" s="3"/>
      <c r="BG234" s="3" t="str">
        <f>IFERROR(__xludf.DUMMYFUNCTION("""COMPUTED_VALUE"""),"All")</f>
        <v>All</v>
      </c>
      <c r="BH234" s="3" t="str">
        <f>IFERROR(__xludf.DUMMYFUNCTION("""COMPUTED_VALUE"""),"Land Of Spira")</f>
        <v>Land Of Spira</v>
      </c>
      <c r="BI234" s="3"/>
      <c r="BJ234" s="3"/>
      <c r="BK234" s="3"/>
      <c r="BL234" s="3" t="b">
        <f>IFERROR(__xludf.DUMMYFUNCTION("""COMPUTED_VALUE"""),FALSE)</f>
        <v>0</v>
      </c>
      <c r="BM234" s="3"/>
      <c r="BN234" s="3"/>
      <c r="BO234" s="3"/>
      <c r="BP234" s="3"/>
      <c r="BQ234" s="3"/>
      <c r="BR234" s="3"/>
      <c r="BS234" s="3"/>
      <c r="BT234" s="3"/>
      <c r="BU234" s="3"/>
      <c r="BV234" s="3"/>
      <c r="BW234" s="3"/>
    </row>
    <row r="235" ht="15.75" customHeight="1">
      <c r="A235" s="3" t="str">
        <f>IFERROR(__xludf.DUMMYFUNCTION("""COMPUTED_VALUE"""),"Squid (WD)")</f>
        <v>Squid (WD)</v>
      </c>
      <c r="B235" s="3">
        <f>IFERROR(__xludf.DUMMYFUNCTION("""COMPUTED_VALUE"""),1.0)</f>
        <v>1</v>
      </c>
      <c r="C235" s="3"/>
      <c r="D235" s="12" t="str">
        <f>IFERROR(__xludf.DUMMYFUNCTION("""COMPUTED_VALUE"""),"Beast")</f>
        <v>Beast</v>
      </c>
      <c r="E235" s="12">
        <f>IFERROR(__xludf.DUMMYFUNCTION("""COMPUTED_VALUE"""),1010.0)</f>
        <v>1010</v>
      </c>
      <c r="F235" s="12">
        <f>IFERROR(__xludf.DUMMYFUNCTION("""COMPUTED_VALUE"""),1010.0)</f>
        <v>1010</v>
      </c>
      <c r="G235" s="12">
        <f>IFERROR(__xludf.DUMMYFUNCTION("""COMPUTED_VALUE"""),1010.0)</f>
        <v>1010</v>
      </c>
      <c r="H235" s="3">
        <f>IFERROR(__xludf.DUMMYFUNCTION("""COMPUTED_VALUE"""),10.0)</f>
        <v>10</v>
      </c>
      <c r="I235" s="3">
        <f>IFERROR(__xludf.DUMMYFUNCTION("""COMPUTED_VALUE"""),0.0)</f>
        <v>0</v>
      </c>
      <c r="J235" s="3">
        <f>IFERROR(__xludf.DUMMYFUNCTION("""COMPUTED_VALUE"""),0.0)</f>
        <v>0</v>
      </c>
      <c r="K235" s="3">
        <f>IFERROR(__xludf.DUMMYFUNCTION("""COMPUTED_VALUE"""),100.0)</f>
        <v>100</v>
      </c>
      <c r="L235" s="3">
        <f>IFERROR(__xludf.DUMMYFUNCTION("""COMPUTED_VALUE"""),100.0)</f>
        <v>100</v>
      </c>
      <c r="M235" s="3" t="str">
        <f>IFERROR(__xludf.DUMMYFUNCTION("""COMPUTED_VALUE"""),"Fire:Immune, Water:Immune, ")</f>
        <v>Fire:Immune, Water:Immune, </v>
      </c>
      <c r="N235" s="3" t="str">
        <f>IFERROR(__xludf.DUMMYFUNCTION("""COMPUTED_VALUE"""),"Nature:100, ")</f>
        <v>Nature:100, </v>
      </c>
      <c r="O235" s="3"/>
      <c r="P235" s="3"/>
      <c r="Q235" s="3"/>
      <c r="R235" s="3"/>
      <c r="S235" s="3"/>
      <c r="T235" s="3"/>
      <c r="U235" s="3"/>
      <c r="V235" s="3"/>
      <c r="W235" s="3"/>
      <c r="X235" s="3"/>
      <c r="Y235" s="3"/>
      <c r="Z235" s="3"/>
      <c r="AA235" s="3"/>
      <c r="AB235" s="3"/>
      <c r="AC235" s="3"/>
      <c r="AD235" s="3"/>
      <c r="AE235" s="3"/>
      <c r="AF235" s="3"/>
      <c r="AG235" s="3"/>
      <c r="AH235" s="3"/>
      <c r="AI235" s="3"/>
      <c r="AJ235" s="3" t="str">
        <f>IFERROR(__xludf.DUMMYFUNCTION("""COMPUTED_VALUE"""),"Ink Shot ")</f>
        <v>Ink Shot </v>
      </c>
      <c r="AK235" s="3" t="str">
        <f>IFERROR(__xludf.DUMMYFUNCTION("""COMPUTED_VALUE"""),"Tentacle Wack ")</f>
        <v>Tentacle Wack </v>
      </c>
      <c r="AL235" s="3"/>
      <c r="AM235" s="3"/>
      <c r="AN235" s="3"/>
      <c r="AO235" s="3"/>
      <c r="AP235" s="3"/>
      <c r="AQ235" s="3"/>
      <c r="AR235" s="3"/>
      <c r="AS235" s="3"/>
      <c r="AT235" s="3"/>
      <c r="AU235" s="3"/>
      <c r="AV235" s="3"/>
      <c r="AW235" s="3"/>
      <c r="AX235" s="3"/>
      <c r="AY235" s="3"/>
      <c r="AZ235" s="3"/>
      <c r="BA235" s="3"/>
      <c r="BB235" s="3"/>
      <c r="BC235" s="1"/>
      <c r="BD235" s="3">
        <f>IFERROR(__xludf.DUMMYFUNCTION("""COMPUTED_VALUE"""),0.0)</f>
        <v>0</v>
      </c>
      <c r="BE235" s="4">
        <f>IFERROR(__xludf.DUMMYFUNCTION("""COMPUTED_VALUE"""),10.0)</f>
        <v>10</v>
      </c>
      <c r="BF235" s="3"/>
      <c r="BG235" s="3" t="str">
        <f>IFERROR(__xludf.DUMMYFUNCTION("""COMPUTED_VALUE"""),"Ocean")</f>
        <v>Ocean</v>
      </c>
      <c r="BH235" s="3" t="str">
        <f>IFERROR(__xludf.DUMMYFUNCTION("""COMPUTED_VALUE"""),"Land Of Spira")</f>
        <v>Land Of Spira</v>
      </c>
      <c r="BI235" s="3"/>
      <c r="BJ235" s="3"/>
      <c r="BK235" s="3"/>
      <c r="BL235" s="3" t="b">
        <f>IFERROR(__xludf.DUMMYFUNCTION("""COMPUTED_VALUE"""),FALSE)</f>
        <v>0</v>
      </c>
      <c r="BM235" s="3"/>
      <c r="BN235" s="3"/>
      <c r="BO235" s="3"/>
      <c r="BP235" s="3"/>
      <c r="BQ235" s="3"/>
      <c r="BR235" s="3"/>
      <c r="BS235" s="3"/>
      <c r="BT235" s="3"/>
      <c r="BU235" s="3"/>
      <c r="BV235" s="3"/>
      <c r="BW235" s="3"/>
    </row>
    <row r="236" ht="15.75" customHeight="1">
      <c r="A236" s="3" t="str">
        <f>IFERROR(__xludf.DUMMYFUNCTION("""COMPUTED_VALUE"""),"Squid (WD) (Enhanced)")</f>
        <v>Squid (WD) (Enhanced)</v>
      </c>
      <c r="B236" s="3">
        <f>IFERROR(__xludf.DUMMYFUNCTION("""COMPUTED_VALUE"""),1.0)</f>
        <v>1</v>
      </c>
      <c r="C236" s="3"/>
      <c r="D236" s="12" t="str">
        <f>IFERROR(__xludf.DUMMYFUNCTION("""COMPUTED_VALUE"""),"Beast")</f>
        <v>Beast</v>
      </c>
      <c r="E236" s="12">
        <f>IFERROR(__xludf.DUMMYFUNCTION("""COMPUTED_VALUE"""),1010.0)</f>
        <v>1010</v>
      </c>
      <c r="F236" s="12">
        <f>IFERROR(__xludf.DUMMYFUNCTION("""COMPUTED_VALUE"""),1010.0)</f>
        <v>1010</v>
      </c>
      <c r="G236" s="12">
        <f>IFERROR(__xludf.DUMMYFUNCTION("""COMPUTED_VALUE"""),1010.0)</f>
        <v>1010</v>
      </c>
      <c r="H236" s="3">
        <f>IFERROR(__xludf.DUMMYFUNCTION("""COMPUTED_VALUE"""),10.0)</f>
        <v>10</v>
      </c>
      <c r="I236" s="3">
        <f>IFERROR(__xludf.DUMMYFUNCTION("""COMPUTED_VALUE"""),0.0)</f>
        <v>0</v>
      </c>
      <c r="J236" s="3">
        <f>IFERROR(__xludf.DUMMYFUNCTION("""COMPUTED_VALUE"""),0.0)</f>
        <v>0</v>
      </c>
      <c r="K236" s="3">
        <f>IFERROR(__xludf.DUMMYFUNCTION("""COMPUTED_VALUE"""),100.0)</f>
        <v>100</v>
      </c>
      <c r="L236" s="3">
        <f>IFERROR(__xludf.DUMMYFUNCTION("""COMPUTED_VALUE"""),100.0)</f>
        <v>100</v>
      </c>
      <c r="M236" s="3" t="str">
        <f>IFERROR(__xludf.DUMMYFUNCTION("""COMPUTED_VALUE"""),"Fire:Immune, Water:Immune, ")</f>
        <v>Fire:Immune, Water:Immune, </v>
      </c>
      <c r="N236" s="3" t="str">
        <f>IFERROR(__xludf.DUMMYFUNCTION("""COMPUTED_VALUE"""),"Nature:100, ")</f>
        <v>Nature:100, </v>
      </c>
      <c r="O236" s="3"/>
      <c r="P236" s="3"/>
      <c r="Q236" s="3"/>
      <c r="R236" s="3"/>
      <c r="S236" s="3"/>
      <c r="T236" s="3"/>
      <c r="U236" s="3"/>
      <c r="V236" s="3" t="str">
        <f>IFERROR(__xludf.DUMMYFUNCTION("""COMPUTED_VALUE"""),"Tentacle")</f>
        <v>Tentacle</v>
      </c>
      <c r="W236" s="3"/>
      <c r="X236" s="3"/>
      <c r="Y236" s="3"/>
      <c r="Z236" s="3"/>
      <c r="AA236" s="3"/>
      <c r="AB236" s="3"/>
      <c r="AC236" s="3"/>
      <c r="AD236" s="3"/>
      <c r="AE236" s="3"/>
      <c r="AF236" s="3"/>
      <c r="AG236" s="3"/>
      <c r="AH236" s="3"/>
      <c r="AI236" s="3"/>
      <c r="AJ236" s="3" t="str">
        <f>IFERROR(__xludf.DUMMYFUNCTION("""COMPUTED_VALUE"""),"Ink Shot ")</f>
        <v>Ink Shot </v>
      </c>
      <c r="AK236" s="3" t="str">
        <f>IFERROR(__xludf.DUMMYFUNCTION("""COMPUTED_VALUE"""),"Tentacle Wack ")</f>
        <v>Tentacle Wack </v>
      </c>
      <c r="AL236" s="3"/>
      <c r="AM236" s="3"/>
      <c r="AN236" s="3"/>
      <c r="AO236" s="3"/>
      <c r="AP236" s="3"/>
      <c r="AQ236" s="3"/>
      <c r="AR236" s="3"/>
      <c r="AS236" s="3"/>
      <c r="AT236" s="3"/>
      <c r="AU236" s="3"/>
      <c r="AV236" s="3"/>
      <c r="AW236" s="3"/>
      <c r="AX236" s="3"/>
      <c r="AY236" s="3"/>
      <c r="AZ236" s="3"/>
      <c r="BA236" s="3"/>
      <c r="BB236" s="3"/>
      <c r="BC236" s="1"/>
      <c r="BD236" s="3">
        <f>IFERROR(__xludf.DUMMYFUNCTION("""COMPUTED_VALUE"""),0.0)</f>
        <v>0</v>
      </c>
      <c r="BE236" s="4">
        <f>IFERROR(__xludf.DUMMYFUNCTION("""COMPUTED_VALUE"""),10.0)</f>
        <v>10</v>
      </c>
      <c r="BF236" s="3"/>
      <c r="BG236" s="3" t="str">
        <f>IFERROR(__xludf.DUMMYFUNCTION("""COMPUTED_VALUE"""),"Ocean")</f>
        <v>Ocean</v>
      </c>
      <c r="BH236" s="3" t="str">
        <f>IFERROR(__xludf.DUMMYFUNCTION("""COMPUTED_VALUE"""),"Land Of Spira")</f>
        <v>Land Of Spira</v>
      </c>
      <c r="BI236" s="3"/>
      <c r="BJ236" s="3"/>
      <c r="BK236" s="3"/>
      <c r="BL236" s="3" t="b">
        <f>IFERROR(__xludf.DUMMYFUNCTION("""COMPUTED_VALUE"""),FALSE)</f>
        <v>0</v>
      </c>
      <c r="BM236" s="3"/>
      <c r="BN236" s="3"/>
      <c r="BO236" s="3"/>
      <c r="BP236" s="3"/>
      <c r="BQ236" s="3"/>
      <c r="BR236" s="3"/>
      <c r="BS236" s="3"/>
      <c r="BT236" s="3"/>
      <c r="BU236" s="3"/>
      <c r="BV236" s="3"/>
      <c r="BW236" s="3"/>
    </row>
    <row r="237" ht="15.75" customHeight="1">
      <c r="A237" s="3" t="str">
        <f>IFERROR(__xludf.DUMMYFUNCTION("""COMPUTED_VALUE"""),"Stag")</f>
        <v>Stag</v>
      </c>
      <c r="B237" s="3">
        <f>IFERROR(__xludf.DUMMYFUNCTION("""COMPUTED_VALUE"""),1.0)</f>
        <v>1</v>
      </c>
      <c r="C237" s="3"/>
      <c r="D237" s="3" t="str">
        <f>IFERROR(__xludf.DUMMYFUNCTION("""COMPUTED_VALUE"""),"Beast")</f>
        <v>Beast</v>
      </c>
      <c r="E237" s="3">
        <f>IFERROR(__xludf.DUMMYFUNCTION("""COMPUTED_VALUE"""),1010.0)</f>
        <v>1010</v>
      </c>
      <c r="F237" s="12">
        <f>IFERROR(__xludf.DUMMYFUNCTION("""COMPUTED_VALUE"""),1010.0)</f>
        <v>1010</v>
      </c>
      <c r="G237" s="3">
        <f>IFERROR(__xludf.DUMMYFUNCTION("""COMPUTED_VALUE"""),1010.0)</f>
        <v>1010</v>
      </c>
      <c r="H237" s="3">
        <f>IFERROR(__xludf.DUMMYFUNCTION("""COMPUTED_VALUE"""),25.0)</f>
        <v>25</v>
      </c>
      <c r="I237" s="3">
        <f>IFERROR(__xludf.DUMMYFUNCTION("""COMPUTED_VALUE"""),0.0)</f>
        <v>0</v>
      </c>
      <c r="J237" s="3">
        <f>IFERROR(__xludf.DUMMYFUNCTION("""COMPUTED_VALUE"""),0.0)</f>
        <v>0</v>
      </c>
      <c r="K237" s="3">
        <f>IFERROR(__xludf.DUMMYFUNCTION("""COMPUTED_VALUE"""),100.0)</f>
        <v>100</v>
      </c>
      <c r="L237" s="3">
        <f>IFERROR(__xludf.DUMMYFUNCTION("""COMPUTED_VALUE"""),100.0)</f>
        <v>100</v>
      </c>
      <c r="M237" s="3" t="str">
        <f>IFERROR(__xludf.DUMMYFUNCTION("""COMPUTED_VALUE"""),"")</f>
        <v/>
      </c>
      <c r="N237" s="3" t="str">
        <f>IFERROR(__xludf.DUMMYFUNCTION("""COMPUTED_VALUE"""),"")</f>
        <v/>
      </c>
      <c r="O237" s="3"/>
      <c r="P237" s="3"/>
      <c r="Q237" s="3"/>
      <c r="R237" s="3"/>
      <c r="S237" s="3"/>
      <c r="T237" s="3"/>
      <c r="U237" s="3"/>
      <c r="V237" s="3"/>
      <c r="W237" s="3"/>
      <c r="X237" s="3"/>
      <c r="Y237" s="3"/>
      <c r="Z237" s="3"/>
      <c r="AA237" s="3"/>
      <c r="AB237" s="3"/>
      <c r="AC237" s="3"/>
      <c r="AD237" s="3"/>
      <c r="AE237" s="3"/>
      <c r="AF237" s="3"/>
      <c r="AG237" s="3"/>
      <c r="AH237" s="3"/>
      <c r="AI237" s="3"/>
      <c r="AJ237" s="3" t="str">
        <f>IFERROR(__xludf.DUMMYFUNCTION("""COMPUTED_VALUE"""),"Gore")</f>
        <v>Gore</v>
      </c>
      <c r="AK237" s="3" t="str">
        <f>IFERROR(__xludf.DUMMYFUNCTION("""COMPUTED_VALUE"""),"Antler Stab")</f>
        <v>Antler Stab</v>
      </c>
      <c r="AL237" s="3" t="str">
        <f>IFERROR(__xludf.DUMMYFUNCTION("""COMPUTED_VALUE"""),"Berserk")</f>
        <v>Berserk</v>
      </c>
      <c r="AM237" s="3" t="str">
        <f>IFERROR(__xludf.DUMMYFUNCTION("""COMPUTED_VALUE"""),"Nature Ward")</f>
        <v>Nature Ward</v>
      </c>
      <c r="AN237" s="3"/>
      <c r="AO237" s="3"/>
      <c r="AP237" s="3"/>
      <c r="AQ237" s="3"/>
      <c r="AR237" s="3"/>
      <c r="AS237" s="3"/>
      <c r="AT237" s="3"/>
      <c r="AU237" s="3"/>
      <c r="AV237" s="3"/>
      <c r="AW237" s="3"/>
      <c r="AX237" s="3"/>
      <c r="AY237" s="3"/>
      <c r="AZ237" s="3"/>
      <c r="BA237" s="3"/>
      <c r="BB237" s="3"/>
      <c r="BC237" s="1"/>
      <c r="BD237" s="3">
        <f>IFERROR(__xludf.DUMMYFUNCTION("""COMPUTED_VALUE"""),0.0)</f>
        <v>0</v>
      </c>
      <c r="BE237" s="4">
        <f>IFERROR(__xludf.DUMMYFUNCTION("""COMPUTED_VALUE"""),15.0)</f>
        <v>15</v>
      </c>
      <c r="BF237" s="3" t="str">
        <f>IFERROR(__xludf.DUMMYFUNCTION("""COMPUTED_VALUE"""),"Deduct d10 days from your current journey while on this mount.
You still use hunger, and thirst, while using this mount.
Restful Mount: you spend only half the hunger, and thirst.
Only 1 member of the party can travel on this mount.")</f>
        <v>Deduct d10 days from your current journey while on this mount.
You still use hunger, and thirst, while using this mount.
Restful Mount: you spend only half the hunger, and thirst.
Only 1 member of the party can travel on this mount.</v>
      </c>
      <c r="BG237" s="3" t="str">
        <f>IFERROR(__xludf.DUMMYFUNCTION("""COMPUTED_VALUE"""),"Forest")</f>
        <v>Forest</v>
      </c>
      <c r="BH237" s="3" t="str">
        <f>IFERROR(__xludf.DUMMYFUNCTION("""COMPUTED_VALUE"""),"Land of Spira")</f>
        <v>Land of Spira</v>
      </c>
      <c r="BI237" s="3"/>
      <c r="BJ237" s="3"/>
      <c r="BK237" s="3">
        <f>IFERROR(__xludf.DUMMYFUNCTION("""COMPUTED_VALUE"""),0.0)</f>
        <v>0</v>
      </c>
      <c r="BL237" s="3" t="b">
        <f>IFERROR(__xludf.DUMMYFUNCTION("""COMPUTED_VALUE"""),TRUE)</f>
        <v>1</v>
      </c>
      <c r="BM237" s="3" t="str">
        <f>IFERROR(__xludf.DUMMYFUNCTION("""COMPUTED_VALUE"""),"Animal")</f>
        <v>Animal</v>
      </c>
      <c r="BN237" s="3"/>
      <c r="BO237" s="3"/>
      <c r="BP237" s="3"/>
      <c r="BQ237" s="3"/>
      <c r="BR237" s="3"/>
      <c r="BS237" s="3"/>
      <c r="BT237" s="3"/>
      <c r="BU237" s="3"/>
      <c r="BV237" s="3"/>
      <c r="BW237" s="3"/>
    </row>
    <row r="238" ht="15.75" customHeight="1">
      <c r="A238" s="3" t="str">
        <f>IFERROR(__xludf.DUMMYFUNCTION("""COMPUTED_VALUE"""),"Steed")</f>
        <v>Steed</v>
      </c>
      <c r="B238" s="3">
        <f>IFERROR(__xludf.DUMMYFUNCTION("""COMPUTED_VALUE"""),1.0)</f>
        <v>1</v>
      </c>
      <c r="C238" s="3" t="str">
        <f>IFERROR(__xludf.DUMMYFUNCTION("""COMPUTED_VALUE"""),"A trusty mount fit for a knight")</f>
        <v>A trusty mount fit for a knight</v>
      </c>
      <c r="D238" s="3" t="str">
        <f>IFERROR(__xludf.DUMMYFUNCTION("""COMPUTED_VALUE"""),"Beast")</f>
        <v>Beast</v>
      </c>
      <c r="E238" s="3">
        <f>IFERROR(__xludf.DUMMYFUNCTION("""COMPUTED_VALUE"""),1010.0)</f>
        <v>1010</v>
      </c>
      <c r="F238" s="12">
        <f>IFERROR(__xludf.DUMMYFUNCTION("""COMPUTED_VALUE"""),1010.0)</f>
        <v>1010</v>
      </c>
      <c r="G238" s="3">
        <f>IFERROR(__xludf.DUMMYFUNCTION("""COMPUTED_VALUE"""),1010.0)</f>
        <v>1010</v>
      </c>
      <c r="H238" s="3">
        <f>IFERROR(__xludf.DUMMYFUNCTION("""COMPUTED_VALUE"""),10.0)</f>
        <v>10</v>
      </c>
      <c r="I238" s="3">
        <f>IFERROR(__xludf.DUMMYFUNCTION("""COMPUTED_VALUE"""),0.0)</f>
        <v>0</v>
      </c>
      <c r="J238" s="3">
        <f>IFERROR(__xludf.DUMMYFUNCTION("""COMPUTED_VALUE"""),0.0)</f>
        <v>0</v>
      </c>
      <c r="K238" s="3">
        <f>IFERROR(__xludf.DUMMYFUNCTION("""COMPUTED_VALUE"""),100.0)</f>
        <v>100</v>
      </c>
      <c r="L238" s="3">
        <f>IFERROR(__xludf.DUMMYFUNCTION("""COMPUTED_VALUE"""),100.0)</f>
        <v>100</v>
      </c>
      <c r="M238" s="3" t="str">
        <f>IFERROR(__xludf.DUMMYFUNCTION("""COMPUTED_VALUE"""),"")</f>
        <v/>
      </c>
      <c r="N238" s="3" t="str">
        <f>IFERROR(__xludf.DUMMYFUNCTION("""COMPUTED_VALUE"""),"")</f>
        <v/>
      </c>
      <c r="O238" s="3"/>
      <c r="P238" s="3"/>
      <c r="Q238" s="3"/>
      <c r="R238" s="3"/>
      <c r="S238" s="3"/>
      <c r="T238" s="3"/>
      <c r="U238" s="3"/>
      <c r="V238" s="3"/>
      <c r="W238" s="3"/>
      <c r="X238" s="3"/>
      <c r="Y238" s="3"/>
      <c r="Z238" s="3"/>
      <c r="AA238" s="3"/>
      <c r="AB238" s="3"/>
      <c r="AC238" s="3"/>
      <c r="AD238" s="3"/>
      <c r="AE238" s="3"/>
      <c r="AF238" s="3"/>
      <c r="AG238" s="3"/>
      <c r="AH238" s="3"/>
      <c r="AI238" s="3"/>
      <c r="AJ238" s="3" t="str">
        <f>IFERROR(__xludf.DUMMYFUNCTION("""COMPUTED_VALUE"""),"Gore")</f>
        <v>Gore</v>
      </c>
      <c r="AK238" s="3" t="str">
        <f>IFERROR(__xludf.DUMMYFUNCTION("""COMPUTED_VALUE"""),"Trample")</f>
        <v>Trample</v>
      </c>
      <c r="AL238" s="3" t="str">
        <f>IFERROR(__xludf.DUMMYFUNCTION("""COMPUTED_VALUE"""),"Berserk")</f>
        <v>Berserk</v>
      </c>
      <c r="AM238" s="3" t="str">
        <f>IFERROR(__xludf.DUMMYFUNCTION("""COMPUTED_VALUE"""),"Nature Ward")</f>
        <v>Nature Ward</v>
      </c>
      <c r="AN238" s="3"/>
      <c r="AO238" s="3"/>
      <c r="AP238" s="3"/>
      <c r="AQ238" s="3"/>
      <c r="AR238" s="3"/>
      <c r="AS238" s="3"/>
      <c r="AT238" s="3"/>
      <c r="AU238" s="3"/>
      <c r="AV238" s="3"/>
      <c r="AW238" s="3"/>
      <c r="AX238" s="3"/>
      <c r="AY238" s="3"/>
      <c r="AZ238" s="3"/>
      <c r="BA238" s="3"/>
      <c r="BB238" s="3"/>
      <c r="BC238" s="1"/>
      <c r="BD238" s="3">
        <f>IFERROR(__xludf.DUMMYFUNCTION("""COMPUTED_VALUE"""),0.0)</f>
        <v>0</v>
      </c>
      <c r="BE238" s="4">
        <f>IFERROR(__xludf.DUMMYFUNCTION("""COMPUTED_VALUE"""),15.0)</f>
        <v>15</v>
      </c>
      <c r="BF238" s="3" t="str">
        <f>IFERROR(__xludf.DUMMYFUNCTION("""COMPUTED_VALUE"""),"Deduct d10 days from your current journey while on this mount.
You still use hunger, and thirst, while using this mount.
Restful Mount: you spend only half the hunger, and thirst.
Only 1 member of the party can travel on this mount.")</f>
        <v>Deduct d10 days from your current journey while on this mount.
You still use hunger, and thirst, while using this mount.
Restful Mount: you spend only half the hunger, and thirst.
Only 1 member of the party can travel on this mount.</v>
      </c>
      <c r="BG238" s="3" t="str">
        <f>IFERROR(__xludf.DUMMYFUNCTION("""COMPUTED_VALUE"""),"Forest")</f>
        <v>Forest</v>
      </c>
      <c r="BH238" s="3" t="str">
        <f>IFERROR(__xludf.DUMMYFUNCTION("""COMPUTED_VALUE"""),"Land of Spira")</f>
        <v>Land of Spira</v>
      </c>
      <c r="BI238" s="3"/>
      <c r="BJ238" s="3"/>
      <c r="BK238" s="3">
        <f>IFERROR(__xludf.DUMMYFUNCTION("""COMPUTED_VALUE"""),0.0)</f>
        <v>0</v>
      </c>
      <c r="BL238" s="3" t="b">
        <f>IFERROR(__xludf.DUMMYFUNCTION("""COMPUTED_VALUE"""),TRUE)</f>
        <v>1</v>
      </c>
      <c r="BM238" s="3" t="str">
        <f>IFERROR(__xludf.DUMMYFUNCTION("""COMPUTED_VALUE"""),"Animal")</f>
        <v>Animal</v>
      </c>
      <c r="BN238" s="3"/>
      <c r="BO238" s="3"/>
      <c r="BP238" s="3"/>
      <c r="BQ238" s="3"/>
      <c r="BR238" s="3"/>
      <c r="BS238" s="3"/>
      <c r="BT238" s="3"/>
      <c r="BU238" s="3"/>
      <c r="BV238" s="3"/>
      <c r="BW238" s="3"/>
    </row>
    <row r="239" ht="15.75" customHeight="1">
      <c r="A239" s="3" t="str">
        <f>IFERROR(__xludf.DUMMYFUNCTION("""COMPUTED_VALUE"""),"Stone Dragon")</f>
        <v>Stone Dragon</v>
      </c>
      <c r="B239" s="3">
        <f>IFERROR(__xludf.DUMMYFUNCTION("""COMPUTED_VALUE"""),1.0)</f>
        <v>1</v>
      </c>
      <c r="C239" s="3"/>
      <c r="D239" s="3" t="str">
        <f>IFERROR(__xludf.DUMMYFUNCTION("""COMPUTED_VALUE"""),"Draconic")</f>
        <v>Draconic</v>
      </c>
      <c r="E239" s="3">
        <f>IFERROR(__xludf.DUMMYFUNCTION("""COMPUTED_VALUE"""),31010.0)</f>
        <v>31010</v>
      </c>
      <c r="F239" s="12">
        <f>IFERROR(__xludf.DUMMYFUNCTION("""COMPUTED_VALUE"""),31010.0)</f>
        <v>31010</v>
      </c>
      <c r="G239" s="3">
        <f>IFERROR(__xludf.DUMMYFUNCTION("""COMPUTED_VALUE"""),31010.0)</f>
        <v>31010</v>
      </c>
      <c r="H239" s="3">
        <f>IFERROR(__xludf.DUMMYFUNCTION("""COMPUTED_VALUE"""),15.0)</f>
        <v>15</v>
      </c>
      <c r="I239" s="3">
        <f>IFERROR(__xludf.DUMMYFUNCTION("""COMPUTED_VALUE"""),0.0)</f>
        <v>0</v>
      </c>
      <c r="J239" s="3">
        <f>IFERROR(__xludf.DUMMYFUNCTION("""COMPUTED_VALUE"""),0.0)</f>
        <v>0</v>
      </c>
      <c r="K239" s="3">
        <f>IFERROR(__xludf.DUMMYFUNCTION("""COMPUTED_VALUE"""),100.0)</f>
        <v>100</v>
      </c>
      <c r="L239" s="3">
        <f>IFERROR(__xludf.DUMMYFUNCTION("""COMPUTED_VALUE"""),100.0)</f>
        <v>100</v>
      </c>
      <c r="M239" s="3" t="str">
        <f>IFERROR(__xludf.DUMMYFUNCTION("""COMPUTED_VALUE"""),"Storm:Immune, ")</f>
        <v>Storm:Immune, </v>
      </c>
      <c r="N239" s="3" t="str">
        <f>IFERROR(__xludf.DUMMYFUNCTION("""COMPUTED_VALUE"""),"")</f>
        <v/>
      </c>
      <c r="O239" s="3"/>
      <c r="P239" s="3"/>
      <c r="Q239" s="3"/>
      <c r="R239" s="3"/>
      <c r="S239" s="3"/>
      <c r="T239" s="3"/>
      <c r="U239" s="3"/>
      <c r="V239" s="3"/>
      <c r="W239" s="3"/>
      <c r="X239" s="3"/>
      <c r="Y239" s="3"/>
      <c r="Z239" s="3"/>
      <c r="AA239" s="3"/>
      <c r="AB239" s="3"/>
      <c r="AC239" s="3"/>
      <c r="AD239" s="3"/>
      <c r="AE239" s="3"/>
      <c r="AF239" s="3"/>
      <c r="AG239" s="3"/>
      <c r="AH239" s="3"/>
      <c r="AI239" s="3"/>
      <c r="AJ239" s="3" t="str">
        <f>IFERROR(__xludf.DUMMYFUNCTION("""COMPUTED_VALUE"""),"Dragon's Breath")</f>
        <v>Dragon's Breath</v>
      </c>
      <c r="AK239" s="3" t="str">
        <f>IFERROR(__xludf.DUMMYFUNCTION("""COMPUTED_VALUE"""),"Bite")</f>
        <v>Bite</v>
      </c>
      <c r="AL239" s="3" t="str">
        <f>IFERROR(__xludf.DUMMYFUNCTION("""COMPUTED_VALUE"""),"Tail Smash")</f>
        <v>Tail Smash</v>
      </c>
      <c r="AM239" s="3" t="str">
        <f>IFERROR(__xludf.DUMMYFUNCTION("""COMPUTED_VALUE"""),"Claws")</f>
        <v>Claws</v>
      </c>
      <c r="AN239" s="3" t="str">
        <f>IFERROR(__xludf.DUMMYFUNCTION("""COMPUTED_VALUE"""),"Berserk")</f>
        <v>Berserk</v>
      </c>
      <c r="AO239" s="3" t="str">
        <f>IFERROR(__xludf.DUMMYFUNCTION("""COMPUTED_VALUE"""),"Multishot")</f>
        <v>Multishot</v>
      </c>
      <c r="AP239" s="3" t="str">
        <f>IFERROR(__xludf.DUMMYFUNCTION("""COMPUTED_VALUE"""),"Draconic Scream")</f>
        <v>Draconic Scream</v>
      </c>
      <c r="AQ239" s="3" t="str">
        <f>IFERROR(__xludf.DUMMYFUNCTION("""COMPUTED_VALUE"""),"Earthquake")</f>
        <v>Earthquake</v>
      </c>
      <c r="AR239" s="3" t="str">
        <f>IFERROR(__xludf.DUMMYFUNCTION("""COMPUTED_VALUE"""),"Rock Cycle")</f>
        <v>Rock Cycle</v>
      </c>
      <c r="AS239" s="3" t="str">
        <f>IFERROR(__xludf.DUMMYFUNCTION("""COMPUTED_VALUE"""),"Quicksand")</f>
        <v>Quicksand</v>
      </c>
      <c r="AT239" s="3" t="str">
        <f>IFERROR(__xludf.DUMMYFUNCTION("""COMPUTED_VALUE"""),"Celestial Wrath")</f>
        <v>Celestial Wrath</v>
      </c>
      <c r="AU239" s="3"/>
      <c r="AV239" s="3"/>
      <c r="AW239" s="3"/>
      <c r="AX239" s="3"/>
      <c r="AY239" s="3"/>
      <c r="AZ239" s="3"/>
      <c r="BA239" s="3"/>
      <c r="BB239" s="3"/>
      <c r="BC239" s="1"/>
      <c r="BD239" s="3">
        <f>IFERROR(__xludf.DUMMYFUNCTION("""COMPUTED_VALUE"""),0.0)</f>
        <v>0</v>
      </c>
      <c r="BE239" s="4">
        <f>IFERROR(__xludf.DUMMYFUNCTION("""COMPUTED_VALUE"""),10.0)</f>
        <v>10</v>
      </c>
      <c r="BF239" s="3" t="str">
        <f>IFERROR(__xludf.DUMMYFUNCTION("""COMPUTED_VALUE"""),"25% chance to be unaffected by any spells affecting this mob
Dragons Luck: +5 can be added to this mobs d20 rolls.
X2 Def For self and all allys at all times.")</f>
        <v>25% chance to be unaffected by any spells affecting this mob
Dragons Luck: +5 can be added to this mobs d20 rolls.
X2 Def For self and all allys at all times.</v>
      </c>
      <c r="BG239" s="3" t="str">
        <f>IFERROR(__xludf.DUMMYFUNCTION("""COMPUTED_VALUE"""),"All")</f>
        <v>All</v>
      </c>
      <c r="BH239" s="3" t="str">
        <f>IFERROR(__xludf.DUMMYFUNCTION("""COMPUTED_VALUE"""),"Dragonscale Island")</f>
        <v>Dragonscale Island</v>
      </c>
      <c r="BI239" s="3"/>
      <c r="BJ239" s="3"/>
      <c r="BK239" s="3"/>
      <c r="BL239" s="3" t="b">
        <f>IFERROR(__xludf.DUMMYFUNCTION("""COMPUTED_VALUE"""),FALSE)</f>
        <v>0</v>
      </c>
      <c r="BM239" s="3"/>
      <c r="BN239" s="3"/>
      <c r="BO239" s="3"/>
      <c r="BP239" s="3"/>
      <c r="BQ239" s="3"/>
      <c r="BR239" s="3"/>
      <c r="BS239" s="3"/>
      <c r="BT239" s="3"/>
      <c r="BU239" s="3"/>
      <c r="BV239" s="3"/>
      <c r="BW239" s="3"/>
    </row>
    <row r="240" ht="15.75" customHeight="1">
      <c r="A240" s="3"/>
      <c r="B240" s="3">
        <f>IFERROR(__xludf.DUMMYFUNCTION("""COMPUTED_VALUE"""),1.0)</f>
        <v>1</v>
      </c>
      <c r="C240" s="3"/>
      <c r="D240" s="3" t="str">
        <f>IFERROR(__xludf.DUMMYFUNCTION("""COMPUTED_VALUE"""),"Draconic")</f>
        <v>Draconic</v>
      </c>
      <c r="E240" s="3">
        <f>IFERROR(__xludf.DUMMYFUNCTION("""COMPUTED_VALUE"""),31010.0)</f>
        <v>31010</v>
      </c>
      <c r="F240" s="12">
        <f>IFERROR(__xludf.DUMMYFUNCTION("""COMPUTED_VALUE"""),31010.0)</f>
        <v>31010</v>
      </c>
      <c r="G240" s="3">
        <f>IFERROR(__xludf.DUMMYFUNCTION("""COMPUTED_VALUE"""),31010.0)</f>
        <v>31010</v>
      </c>
      <c r="H240" s="3">
        <f>IFERROR(__xludf.DUMMYFUNCTION("""COMPUTED_VALUE"""),15.0)</f>
        <v>15</v>
      </c>
      <c r="I240" s="3">
        <f>IFERROR(__xludf.DUMMYFUNCTION("""COMPUTED_VALUE"""),0.0)</f>
        <v>0</v>
      </c>
      <c r="J240" s="3">
        <f>IFERROR(__xludf.DUMMYFUNCTION("""COMPUTED_VALUE"""),0.0)</f>
        <v>0</v>
      </c>
      <c r="K240" s="3">
        <f>IFERROR(__xludf.DUMMYFUNCTION("""COMPUTED_VALUE"""),100.0)</f>
        <v>100</v>
      </c>
      <c r="L240" s="3">
        <f>IFERROR(__xludf.DUMMYFUNCTION("""COMPUTED_VALUE"""),100.0)</f>
        <v>100</v>
      </c>
      <c r="M240" s="3" t="str">
        <f>IFERROR(__xludf.DUMMYFUNCTION("""COMPUTED_VALUE"""),"#N/A")</f>
        <v>#N/A</v>
      </c>
      <c r="N240" s="3" t="str">
        <f>IFERROR(__xludf.DUMMYFUNCTION("""COMPUTED_VALUE"""),"#N/A")</f>
        <v>#N/A</v>
      </c>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1"/>
      <c r="BD240" s="3">
        <f>IFERROR(__xludf.DUMMYFUNCTION("""COMPUTED_VALUE"""),0.0)</f>
        <v>0</v>
      </c>
      <c r="BE240" s="4">
        <f>IFERROR(__xludf.DUMMYFUNCTION("""COMPUTED_VALUE"""),10.0)</f>
        <v>10</v>
      </c>
      <c r="BF240" s="3"/>
      <c r="BG240" s="3" t="str">
        <f>IFERROR(__xludf.DUMMYFUNCTION("""COMPUTED_VALUE"""),"All")</f>
        <v>All</v>
      </c>
      <c r="BH240" s="3" t="str">
        <f>IFERROR(__xludf.DUMMYFUNCTION("""COMPUTED_VALUE"""),"Land of Spira")</f>
        <v>Land of Spira</v>
      </c>
      <c r="BI240" s="3"/>
      <c r="BJ240" s="3"/>
      <c r="BK240" s="3"/>
      <c r="BL240" s="3" t="b">
        <f>IFERROR(__xludf.DUMMYFUNCTION("""COMPUTED_VALUE"""),FALSE)</f>
        <v>0</v>
      </c>
      <c r="BM240" s="3"/>
      <c r="BN240" s="3"/>
      <c r="BO240" s="3"/>
      <c r="BP240" s="3"/>
      <c r="BQ240" s="3"/>
      <c r="BR240" s="3"/>
      <c r="BS240" s="3"/>
      <c r="BT240" s="3"/>
      <c r="BU240" s="3"/>
      <c r="BV240" s="3"/>
      <c r="BW240" s="3"/>
    </row>
    <row r="241" ht="15.75" customHeight="1">
      <c r="A241" s="3" t="str">
        <f>IFERROR(__xludf.DUMMYFUNCTION("""COMPUTED_VALUE"""),"Straitzo The Vampire Warrior")</f>
        <v>Straitzo The Vampire Warrior</v>
      </c>
      <c r="B241" s="3">
        <f>IFERROR(__xludf.DUMMYFUNCTION("""COMPUTED_VALUE"""),1.0)</f>
        <v>1</v>
      </c>
      <c r="C241" s="3"/>
      <c r="D241" s="12" t="str">
        <f>IFERROR(__xludf.DUMMYFUNCTION("""COMPUTED_VALUE"""),"Undead")</f>
        <v>Undead</v>
      </c>
      <c r="E241" s="12">
        <f>IFERROR(__xludf.DUMMYFUNCTION("""COMPUTED_VALUE"""),1010.0)</f>
        <v>1010</v>
      </c>
      <c r="F241" s="12">
        <f>IFERROR(__xludf.DUMMYFUNCTION("""COMPUTED_VALUE"""),1010.0)</f>
        <v>1010</v>
      </c>
      <c r="G241" s="12">
        <f>IFERROR(__xludf.DUMMYFUNCTION("""COMPUTED_VALUE"""),1010.0)</f>
        <v>1010</v>
      </c>
      <c r="H241" s="3">
        <f>IFERROR(__xludf.DUMMYFUNCTION("""COMPUTED_VALUE"""),10.0)</f>
        <v>10</v>
      </c>
      <c r="I241" s="3">
        <f>IFERROR(__xludf.DUMMYFUNCTION("""COMPUTED_VALUE"""),0.0)</f>
        <v>0</v>
      </c>
      <c r="J241" s="3">
        <f>IFERROR(__xludf.DUMMYFUNCTION("""COMPUTED_VALUE"""),0.0)</f>
        <v>0</v>
      </c>
      <c r="K241" s="3">
        <f>IFERROR(__xludf.DUMMYFUNCTION("""COMPUTED_VALUE"""),100.0)</f>
        <v>100</v>
      </c>
      <c r="L241" s="3">
        <f>IFERROR(__xludf.DUMMYFUNCTION("""COMPUTED_VALUE"""),100.0)</f>
        <v>100</v>
      </c>
      <c r="M241" s="3" t="str">
        <f>IFERROR(__xludf.DUMMYFUNCTION("""COMPUTED_VALUE"""),"Dark:Immune, Blood:Immune, ")</f>
        <v>Dark:Immune, Blood:Immune, </v>
      </c>
      <c r="N241" s="3" t="str">
        <f>IFERROR(__xludf.DUMMYFUNCTION("""COMPUTED_VALUE"""),"Fire:100, Light:100, ")</f>
        <v>Fire:100, Light:100, </v>
      </c>
      <c r="O241" s="3"/>
      <c r="P241" s="3"/>
      <c r="Q241" s="3"/>
      <c r="R241" s="3"/>
      <c r="S241" s="3"/>
      <c r="T241" s="3"/>
      <c r="U241" s="3"/>
      <c r="V241" s="3" t="str">
        <f>IFERROR(__xludf.DUMMYFUNCTION("""COMPUTED_VALUE"""),"Sword of the Vampire’s Lust")</f>
        <v>Sword of the Vampire’s Lust</v>
      </c>
      <c r="W241" s="3"/>
      <c r="X241" s="3"/>
      <c r="Y241" s="3"/>
      <c r="Z241" s="3"/>
      <c r="AA241" s="3"/>
      <c r="AB241" s="3"/>
      <c r="AC241" s="3"/>
      <c r="AD241" s="3"/>
      <c r="AE241" s="3"/>
      <c r="AF241" s="3"/>
      <c r="AG241" s="3"/>
      <c r="AH241" s="3"/>
      <c r="AI241" s="3"/>
      <c r="AJ241" s="3" t="str">
        <f>IFERROR(__xludf.DUMMYFUNCTION("""COMPUTED_VALUE"""),"Undead Bite")</f>
        <v>Undead Bite</v>
      </c>
      <c r="AK241" s="3" t="str">
        <f>IFERROR(__xludf.DUMMYFUNCTION("""COMPUTED_VALUE"""),"Blood Geyser")</f>
        <v>Blood Geyser</v>
      </c>
      <c r="AL241" s="3" t="str">
        <f>IFERROR(__xludf.DUMMYFUNCTION("""COMPUTED_VALUE"""),"Damage With A Cost.")</f>
        <v>Damage With A Cost.</v>
      </c>
      <c r="AM241" s="3" t="str">
        <f>IFERROR(__xludf.DUMMYFUNCTION("""COMPUTED_VALUE"""),"Berserk")</f>
        <v>Berserk</v>
      </c>
      <c r="AN241" s="3" t="str">
        <f>IFERROR(__xludf.DUMMYFUNCTION("""COMPUTED_VALUE"""),"Celestial Wrath")</f>
        <v>Celestial Wrath</v>
      </c>
      <c r="AO241" s="3"/>
      <c r="AP241" s="3"/>
      <c r="AQ241" s="3"/>
      <c r="AR241" s="3"/>
      <c r="AS241" s="3"/>
      <c r="AT241" s="3"/>
      <c r="AU241" s="3"/>
      <c r="AV241" s="3"/>
      <c r="AW241" s="3"/>
      <c r="AX241" s="3"/>
      <c r="AY241" s="3"/>
      <c r="AZ241" s="3"/>
      <c r="BA241" s="3"/>
      <c r="BB241" s="3"/>
      <c r="BC241" s="1"/>
      <c r="BD241" s="3">
        <f>IFERROR(__xludf.DUMMYFUNCTION("""COMPUTED_VALUE"""),0.0)</f>
        <v>0</v>
      </c>
      <c r="BE241" s="4">
        <f>IFERROR(__xludf.DUMMYFUNCTION("""COMPUTED_VALUE"""),10.0)</f>
        <v>10</v>
      </c>
      <c r="BF241" s="3" t="str">
        <f>IFERROR(__xludf.DUMMYFUNCTION("""COMPUTED_VALUE"""),"A Dark Calling: +5 can be added to this mobs rolls.")</f>
        <v>A Dark Calling: +5 can be added to this mobs rolls.</v>
      </c>
      <c r="BG241" s="3" t="str">
        <f>IFERROR(__xludf.DUMMYFUNCTION("""COMPUTED_VALUE"""),"All")</f>
        <v>All</v>
      </c>
      <c r="BH241" s="3" t="str">
        <f>IFERROR(__xludf.DUMMYFUNCTION("""COMPUTED_VALUE"""),"Abstara")</f>
        <v>Abstara</v>
      </c>
      <c r="BI241" s="3"/>
      <c r="BJ241" s="3"/>
      <c r="BK241" s="3"/>
      <c r="BL241" s="3" t="b">
        <f>IFERROR(__xludf.DUMMYFUNCTION("""COMPUTED_VALUE"""),FALSE)</f>
        <v>0</v>
      </c>
      <c r="BM241" s="3"/>
      <c r="BN241" s="3"/>
      <c r="BO241" s="3"/>
      <c r="BP241" s="3"/>
      <c r="BQ241" s="3"/>
      <c r="BR241" s="3"/>
      <c r="BS241" s="3"/>
      <c r="BT241" s="3"/>
      <c r="BU241" s="3"/>
      <c r="BV241" s="3"/>
      <c r="BW241" s="3"/>
    </row>
    <row r="242" ht="15.75" customHeight="1">
      <c r="A242" s="3" t="str">
        <f>IFERROR(__xludf.DUMMYFUNCTION("""COMPUTED_VALUE"""),"Sunstone Dragon")</f>
        <v>Sunstone Dragon</v>
      </c>
      <c r="B242" s="3">
        <f>IFERROR(__xludf.DUMMYFUNCTION("""COMPUTED_VALUE"""),1.0)</f>
        <v>1</v>
      </c>
      <c r="C242" s="3"/>
      <c r="D242" s="3" t="str">
        <f>IFERROR(__xludf.DUMMYFUNCTION("""COMPUTED_VALUE"""),"Demonic")</f>
        <v>Demonic</v>
      </c>
      <c r="E242" s="3">
        <f>IFERROR(__xludf.DUMMYFUNCTION("""COMPUTED_VALUE"""),31010.0)</f>
        <v>31010</v>
      </c>
      <c r="F242" s="12">
        <f>IFERROR(__xludf.DUMMYFUNCTION("""COMPUTED_VALUE"""),31010.0)</f>
        <v>31010</v>
      </c>
      <c r="G242" s="3">
        <f>IFERROR(__xludf.DUMMYFUNCTION("""COMPUTED_VALUE"""),31010.0)</f>
        <v>31010</v>
      </c>
      <c r="H242" s="3">
        <f>IFERROR(__xludf.DUMMYFUNCTION("""COMPUTED_VALUE"""),15.0)</f>
        <v>15</v>
      </c>
      <c r="I242" s="3">
        <f>IFERROR(__xludf.DUMMYFUNCTION("""COMPUTED_VALUE"""),0.0)</f>
        <v>0</v>
      </c>
      <c r="J242" s="3">
        <f>IFERROR(__xludf.DUMMYFUNCTION("""COMPUTED_VALUE"""),0.0)</f>
        <v>0</v>
      </c>
      <c r="K242" s="3">
        <f>IFERROR(__xludf.DUMMYFUNCTION("""COMPUTED_VALUE"""),100.0)</f>
        <v>100</v>
      </c>
      <c r="L242" s="3">
        <f>IFERROR(__xludf.DUMMYFUNCTION("""COMPUTED_VALUE"""),100.0)</f>
        <v>100</v>
      </c>
      <c r="M242" s="3" t="str">
        <f>IFERROR(__xludf.DUMMYFUNCTION("""COMPUTED_VALUE"""),"Earth:100, Celestial:Immune, Instant Death:Immune, Banishment:Immune, ")</f>
        <v>Earth:100, Celestial:Immune, Instant Death:Immune, Banishment:Immune, </v>
      </c>
      <c r="N242" s="3" t="str">
        <f>IFERROR(__xludf.DUMMYFUNCTION("""COMPUTED_VALUE"""),"Astral:100, ")</f>
        <v>Astral:100, </v>
      </c>
      <c r="O242" s="3"/>
      <c r="P242" s="3"/>
      <c r="Q242" s="3"/>
      <c r="R242" s="3"/>
      <c r="S242" s="3"/>
      <c r="T242" s="3"/>
      <c r="U242" s="3"/>
      <c r="V242" s="3"/>
      <c r="W242" s="3"/>
      <c r="X242" s="3"/>
      <c r="Y242" s="3"/>
      <c r="Z242" s="3"/>
      <c r="AA242" s="3"/>
      <c r="AB242" s="3"/>
      <c r="AC242" s="3"/>
      <c r="AD242" s="3"/>
      <c r="AE242" s="3"/>
      <c r="AF242" s="3"/>
      <c r="AG242" s="3"/>
      <c r="AH242" s="3"/>
      <c r="AI242" s="3"/>
      <c r="AJ242" s="3" t="str">
        <f>IFERROR(__xludf.DUMMYFUNCTION("""COMPUTED_VALUE"""),"Solar Ward")</f>
        <v>Solar Ward</v>
      </c>
      <c r="AK242" s="3" t="str">
        <f>IFERROR(__xludf.DUMMYFUNCTION("""COMPUTED_VALUE"""),"Dive Bomb")</f>
        <v>Dive Bomb</v>
      </c>
      <c r="AL242" s="3" t="str">
        <f>IFERROR(__xludf.DUMMYFUNCTION("""COMPUTED_VALUE"""),"Dragon's Breath")</f>
        <v>Dragon's Breath</v>
      </c>
      <c r="AM242" s="3" t="str">
        <f>IFERROR(__xludf.DUMMYFUNCTION("""COMPUTED_VALUE"""),"Max Focus")</f>
        <v>Max Focus</v>
      </c>
      <c r="AN242" s="3" t="str">
        <f>IFERROR(__xludf.DUMMYFUNCTION("""COMPUTED_VALUE"""),"Sunny Day")</f>
        <v>Sunny Day</v>
      </c>
      <c r="AO242" s="3" t="str">
        <f>IFERROR(__xludf.DUMMYFUNCTION("""COMPUTED_VALUE"""),"Inferno Sun")</f>
        <v>Inferno Sun</v>
      </c>
      <c r="AP242" s="3" t="str">
        <f>IFERROR(__xludf.DUMMYFUNCTION("""COMPUTED_VALUE"""),"Sunlight Regen")</f>
        <v>Sunlight Regen</v>
      </c>
      <c r="AQ242" s="3" t="str">
        <f>IFERROR(__xludf.DUMMYFUNCTION("""COMPUTED_VALUE"""),"Sun Slam")</f>
        <v>Sun Slam</v>
      </c>
      <c r="AR242" s="3" t="str">
        <f>IFERROR(__xludf.DUMMYFUNCTION("""COMPUTED_VALUE"""),"Obliterating Light of Blindness")</f>
        <v>Obliterating Light of Blindness</v>
      </c>
      <c r="AS242" s="3"/>
      <c r="AT242" s="3"/>
      <c r="AU242" s="3"/>
      <c r="AV242" s="3"/>
      <c r="AW242" s="3"/>
      <c r="AX242" s="3"/>
      <c r="AY242" s="3"/>
      <c r="AZ242" s="3"/>
      <c r="BA242" s="3"/>
      <c r="BB242" s="3"/>
      <c r="BC242" s="1"/>
      <c r="BD242" s="3">
        <f>IFERROR(__xludf.DUMMYFUNCTION("""COMPUTED_VALUE"""),0.0)</f>
        <v>0</v>
      </c>
      <c r="BE242" s="4">
        <f>IFERROR(__xludf.DUMMYFUNCTION("""COMPUTED_VALUE"""),10.0)</f>
        <v>10</v>
      </c>
      <c r="BF242"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242" s="3" t="str">
        <f>IFERROR(__xludf.DUMMYFUNCTION("""COMPUTED_VALUE"""),"All")</f>
        <v>All</v>
      </c>
      <c r="BH242" s="3" t="str">
        <f>IFERROR(__xludf.DUMMYFUNCTION("""COMPUTED_VALUE"""),"Dragonscale Island")</f>
        <v>Dragonscale Island</v>
      </c>
      <c r="BI242" s="3"/>
      <c r="BJ242" s="3"/>
      <c r="BK242" s="3"/>
      <c r="BL242" s="3" t="b">
        <f>IFERROR(__xludf.DUMMYFUNCTION("""COMPUTED_VALUE"""),FALSE)</f>
        <v>0</v>
      </c>
      <c r="BM242" s="3"/>
      <c r="BN242" s="3"/>
      <c r="BO242" s="3"/>
      <c r="BP242" s="3"/>
      <c r="BQ242" s="3"/>
      <c r="BR242" s="3"/>
      <c r="BS242" s="3"/>
      <c r="BT242" s="3"/>
      <c r="BU242" s="3"/>
      <c r="BV242" s="3"/>
      <c r="BW242" s="3"/>
    </row>
    <row r="243" ht="15.75" customHeight="1">
      <c r="A243" s="3"/>
      <c r="B243" s="3">
        <f>IFERROR(__xludf.DUMMYFUNCTION("""COMPUTED_VALUE"""),1.0)</f>
        <v>1</v>
      </c>
      <c r="C243" s="3"/>
      <c r="D243" s="3" t="str">
        <f>IFERROR(__xludf.DUMMYFUNCTION("""COMPUTED_VALUE"""),"Draconic")</f>
        <v>Draconic</v>
      </c>
      <c r="E243" s="3">
        <f>IFERROR(__xludf.DUMMYFUNCTION("""COMPUTED_VALUE"""),1010.0)</f>
        <v>1010</v>
      </c>
      <c r="F243" s="12">
        <f>IFERROR(__xludf.DUMMYFUNCTION("""COMPUTED_VALUE"""),1010.0)</f>
        <v>1010</v>
      </c>
      <c r="G243" s="3">
        <f>IFERROR(__xludf.DUMMYFUNCTION("""COMPUTED_VALUE"""),1010.0)</f>
        <v>1010</v>
      </c>
      <c r="H243" s="3">
        <f>IFERROR(__xludf.DUMMYFUNCTION("""COMPUTED_VALUE"""),10.0)</f>
        <v>10</v>
      </c>
      <c r="I243" s="3">
        <f>IFERROR(__xludf.DUMMYFUNCTION("""COMPUTED_VALUE"""),0.0)</f>
        <v>0</v>
      </c>
      <c r="J243" s="3">
        <f>IFERROR(__xludf.DUMMYFUNCTION("""COMPUTED_VALUE"""),0.0)</f>
        <v>0</v>
      </c>
      <c r="K243" s="3">
        <f>IFERROR(__xludf.DUMMYFUNCTION("""COMPUTED_VALUE"""),100.0)</f>
        <v>100</v>
      </c>
      <c r="L243" s="3">
        <f>IFERROR(__xludf.DUMMYFUNCTION("""COMPUTED_VALUE"""),100.0)</f>
        <v>100</v>
      </c>
      <c r="M243" s="3" t="str">
        <f>IFERROR(__xludf.DUMMYFUNCTION("""COMPUTED_VALUE"""),"")</f>
        <v/>
      </c>
      <c r="N243" s="3" t="str">
        <f>IFERROR(__xludf.DUMMYFUNCTION("""COMPUTED_VALUE"""),"")</f>
        <v/>
      </c>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1"/>
      <c r="BD243" s="3">
        <f>IFERROR(__xludf.DUMMYFUNCTION("""COMPUTED_VALUE"""),0.0)</f>
        <v>0</v>
      </c>
      <c r="BE243" s="4">
        <f>IFERROR(__xludf.DUMMYFUNCTION("""COMPUTED_VALUE"""),10.0)</f>
        <v>10</v>
      </c>
      <c r="BF243" s="3"/>
      <c r="BG243" s="3"/>
      <c r="BH243" s="3"/>
      <c r="BI243" s="3"/>
      <c r="BJ243" s="3"/>
      <c r="BK243" s="3"/>
      <c r="BL243" s="3" t="b">
        <f>IFERROR(__xludf.DUMMYFUNCTION("""COMPUTED_VALUE"""),FALSE)</f>
        <v>0</v>
      </c>
      <c r="BM243" s="3"/>
      <c r="BN243" s="3"/>
      <c r="BO243" s="3"/>
      <c r="BP243" s="3"/>
      <c r="BQ243" s="3"/>
      <c r="BR243" s="3"/>
      <c r="BS243" s="3"/>
      <c r="BT243" s="3"/>
      <c r="BU243" s="3"/>
      <c r="BV243" s="3"/>
      <c r="BW243" s="3"/>
    </row>
    <row r="244" ht="15.75" customHeight="1">
      <c r="A244" s="3" t="str">
        <f>IFERROR(__xludf.DUMMYFUNCTION("""COMPUTED_VALUE"""),"Swamp Portal Guard")</f>
        <v>Swamp Portal Guard</v>
      </c>
      <c r="B244" s="3">
        <f>IFERROR(__xludf.DUMMYFUNCTION("""COMPUTED_VALUE"""),1.0)</f>
        <v>1</v>
      </c>
      <c r="C244" s="3"/>
      <c r="D244" s="12" t="str">
        <f>IFERROR(__xludf.DUMMYFUNCTION("""COMPUTED_VALUE"""),"Humanoid")</f>
        <v>Humanoid</v>
      </c>
      <c r="E244" s="12">
        <f>IFERROR(__xludf.DUMMYFUNCTION("""COMPUTED_VALUE"""),1010.0)</f>
        <v>1010</v>
      </c>
      <c r="F244" s="12">
        <f>IFERROR(__xludf.DUMMYFUNCTION("""COMPUTED_VALUE"""),1010.0)</f>
        <v>1010</v>
      </c>
      <c r="G244" s="12">
        <f>IFERROR(__xludf.DUMMYFUNCTION("""COMPUTED_VALUE"""),1010.0)</f>
        <v>1010</v>
      </c>
      <c r="H244" s="3">
        <f>IFERROR(__xludf.DUMMYFUNCTION("""COMPUTED_VALUE"""),10.0)</f>
        <v>10</v>
      </c>
      <c r="I244" s="3">
        <f>IFERROR(__xludf.DUMMYFUNCTION("""COMPUTED_VALUE"""),10.0)</f>
        <v>10</v>
      </c>
      <c r="J244" s="3">
        <f>IFERROR(__xludf.DUMMYFUNCTION("""COMPUTED_VALUE"""),10.0)</f>
        <v>10</v>
      </c>
      <c r="K244" s="3">
        <f>IFERROR(__xludf.DUMMYFUNCTION("""COMPUTED_VALUE"""),100.0)</f>
        <v>100</v>
      </c>
      <c r="L244" s="3">
        <f>IFERROR(__xludf.DUMMYFUNCTION("""COMPUTED_VALUE"""),100.0)</f>
        <v>100</v>
      </c>
      <c r="M244" s="3" t="str">
        <f>IFERROR(__xludf.DUMMYFUNCTION("""COMPUTED_VALUE"""),"Water:100, ")</f>
        <v>Water:100, </v>
      </c>
      <c r="N244" s="3" t="str">
        <f>IFERROR(__xludf.DUMMYFUNCTION("""COMPUTED_VALUE"""),"Fire:100, Storm:100, ")</f>
        <v>Fire:100, Storm:100, </v>
      </c>
      <c r="O244" s="3"/>
      <c r="P244" s="3"/>
      <c r="Q244" s="3"/>
      <c r="R244" s="3"/>
      <c r="S244" s="3"/>
      <c r="T244" s="3"/>
      <c r="U244" s="3"/>
      <c r="V244" s="3"/>
      <c r="W244" s="3"/>
      <c r="X244" s="3"/>
      <c r="Y244" s="3"/>
      <c r="Z244" s="3"/>
      <c r="AA244" s="3"/>
      <c r="AB244" s="3"/>
      <c r="AC244" s="3"/>
      <c r="AD244" s="3"/>
      <c r="AE244" s="3"/>
      <c r="AF244" s="3"/>
      <c r="AG244" s="3"/>
      <c r="AH244" s="3"/>
      <c r="AI244" s="3"/>
      <c r="AJ244" s="3" t="str">
        <f>IFERROR(__xludf.DUMMYFUNCTION("""COMPUTED_VALUE"""),"Arrest")</f>
        <v>Arrest</v>
      </c>
      <c r="AK244" s="3" t="str">
        <f>IFERROR(__xludf.DUMMYFUNCTION("""COMPUTED_VALUE"""),"Class 3 Poison")</f>
        <v>Class 3 Poison</v>
      </c>
      <c r="AL244" s="3" t="str">
        <f>IFERROR(__xludf.DUMMYFUNCTION("""COMPUTED_VALUE"""),"Confiscate")</f>
        <v>Confiscate</v>
      </c>
      <c r="AM244" s="3" t="str">
        <f>IFERROR(__xludf.DUMMYFUNCTION("""COMPUTED_VALUE"""),"Entangle")</f>
        <v>Entangle</v>
      </c>
      <c r="AN244" s="3" t="str">
        <f>IFERROR(__xludf.DUMMYFUNCTION("""COMPUTED_VALUE"""),"Celestial Wrath")</f>
        <v>Celestial Wrath</v>
      </c>
      <c r="AO244" s="3"/>
      <c r="AP244" s="3"/>
      <c r="AQ244" s="3"/>
      <c r="AR244" s="3"/>
      <c r="AS244" s="3"/>
      <c r="AT244" s="3"/>
      <c r="AU244" s="3"/>
      <c r="AV244" s="3"/>
      <c r="AW244" s="3"/>
      <c r="AX244" s="3"/>
      <c r="AY244" s="3"/>
      <c r="AZ244" s="3"/>
      <c r="BA244" s="3"/>
      <c r="BB244" s="3"/>
      <c r="BC244" s="1"/>
      <c r="BD244" s="3">
        <f>IFERROR(__xludf.DUMMYFUNCTION("""COMPUTED_VALUE"""),10.0)</f>
        <v>10</v>
      </c>
      <c r="BE244" s="4">
        <f>IFERROR(__xludf.DUMMYFUNCTION("""COMPUTED_VALUE"""),10.0)</f>
        <v>10</v>
      </c>
      <c r="BF244" s="3" t="str">
        <f>IFERROR(__xludf.DUMMYFUNCTION("""COMPUTED_VALUE"""),"25% chance to dodge any attack without fail.
25% chance to be unaffected by any spells affecting this mob
25% chance to be unaffected by an item affecting this mob
Guards Reinforcement: 5 can be added to the casters d20 roll.
Items cannot be taken fro"&amp;"m this mob.")</f>
        <v>25% chance to dodge any attack without fail.
25% chance to be unaffected by any spells affecting this mob
25% chance to be unaffected by an item affecting this mob
Guards Reinforcement: 5 can be added to the casters d20 roll.
Items cannot be taken from this mob.</v>
      </c>
      <c r="BG244" s="3" t="str">
        <f>IFERROR(__xludf.DUMMYFUNCTION("""COMPUTED_VALUE"""),"Swamp")</f>
        <v>Swamp</v>
      </c>
      <c r="BH244" s="3" t="str">
        <f>IFERROR(__xludf.DUMMYFUNCTION("""COMPUTED_VALUE"""),"Land of Spira")</f>
        <v>Land of Spira</v>
      </c>
      <c r="BI244" s="3"/>
      <c r="BJ244" s="3"/>
      <c r="BK244" s="3"/>
      <c r="BL244" s="3" t="b">
        <f>IFERROR(__xludf.DUMMYFUNCTION("""COMPUTED_VALUE"""),FALSE)</f>
        <v>0</v>
      </c>
      <c r="BM244" s="3"/>
      <c r="BN244" s="3"/>
      <c r="BO244" s="3"/>
      <c r="BP244" s="3"/>
      <c r="BQ244" s="3"/>
      <c r="BR244" s="3"/>
      <c r="BS244" s="3"/>
      <c r="BT244" s="3"/>
      <c r="BU244" s="3"/>
      <c r="BV244" s="3"/>
      <c r="BW244" s="3"/>
    </row>
    <row r="245" ht="15.75" customHeight="1">
      <c r="A245" s="3" t="str">
        <f>IFERROR(__xludf.DUMMYFUNCTION("""COMPUTED_VALUE"""),"The Ancient Colossal Dragon of Spira")</f>
        <v>The Ancient Colossal Dragon of Spira</v>
      </c>
      <c r="B245" s="3">
        <f>IFERROR(__xludf.DUMMYFUNCTION("""COMPUTED_VALUE"""),1.0)</f>
        <v>1</v>
      </c>
      <c r="C245" s="3"/>
      <c r="D245" s="12" t="str">
        <f>IFERROR(__xludf.DUMMYFUNCTION("""COMPUTED_VALUE"""),"Draconic")</f>
        <v>Draconic</v>
      </c>
      <c r="E245" s="12">
        <f>IFERROR(__xludf.DUMMYFUNCTION("""COMPUTED_VALUE"""),1010.0)</f>
        <v>1010</v>
      </c>
      <c r="F245" s="12">
        <f>IFERROR(__xludf.DUMMYFUNCTION("""COMPUTED_VALUE"""),1010.0)</f>
        <v>1010</v>
      </c>
      <c r="G245" s="12">
        <f>IFERROR(__xludf.DUMMYFUNCTION("""COMPUTED_VALUE"""),1010.0)</f>
        <v>1010</v>
      </c>
      <c r="H245" s="3">
        <f>IFERROR(__xludf.DUMMYFUNCTION("""COMPUTED_VALUE"""),10.0)</f>
        <v>10</v>
      </c>
      <c r="I245" s="3">
        <f>IFERROR(__xludf.DUMMYFUNCTION("""COMPUTED_VALUE"""),0.0)</f>
        <v>0</v>
      </c>
      <c r="J245" s="3">
        <f>IFERROR(__xludf.DUMMYFUNCTION("""COMPUTED_VALUE"""),0.0)</f>
        <v>0</v>
      </c>
      <c r="K245" s="3">
        <f>IFERROR(__xludf.DUMMYFUNCTION("""COMPUTED_VALUE"""),100.0)</f>
        <v>100</v>
      </c>
      <c r="L245" s="3">
        <f>IFERROR(__xludf.DUMMYFUNCTION("""COMPUTED_VALUE"""),100.0)</f>
        <v>100</v>
      </c>
      <c r="M245" s="3" t="str">
        <f>IFERROR(__xludf.DUMMYFUNCTION("""COMPUTED_VALUE"""),"Instant Death:Immune, Banishment:Immune, ")</f>
        <v>Instant Death:Immune, Banishment:Immune, </v>
      </c>
      <c r="N245" s="3" t="str">
        <f>IFERROR(__xludf.DUMMYFUNCTION("""COMPUTED_VALUE"""),"")</f>
        <v/>
      </c>
      <c r="O245" s="3"/>
      <c r="P245" s="3"/>
      <c r="Q245" s="3"/>
      <c r="R245" s="3"/>
      <c r="S245" s="3"/>
      <c r="T245" s="3"/>
      <c r="U245" s="3"/>
      <c r="V245" s="3"/>
      <c r="W245" s="3"/>
      <c r="X245" s="3"/>
      <c r="Y245" s="3"/>
      <c r="Z245" s="3"/>
      <c r="AA245" s="3"/>
      <c r="AB245" s="3"/>
      <c r="AC245" s="3"/>
      <c r="AD245" s="3"/>
      <c r="AE245" s="3"/>
      <c r="AF245" s="3"/>
      <c r="AG245" s="3"/>
      <c r="AH245" s="3"/>
      <c r="AI245" s="3"/>
      <c r="AJ245" s="3" t="str">
        <f>IFERROR(__xludf.DUMMYFUNCTION("""COMPUTED_VALUE"""),"Aggressive Chomp")</f>
        <v>Aggressive Chomp</v>
      </c>
      <c r="AK245" s="3" t="str">
        <f>IFERROR(__xludf.DUMMYFUNCTION("""COMPUTED_VALUE"""),"Mass Destruction")</f>
        <v>Mass Destruction</v>
      </c>
      <c r="AL245" s="3" t="str">
        <f>IFERROR(__xludf.DUMMYFUNCTION("""COMPUTED_VALUE"""),"Celestial Wrath")</f>
        <v>Celestial Wrath</v>
      </c>
      <c r="AM245" s="3" t="str">
        <f>IFERROR(__xludf.DUMMYFUNCTION("""COMPUTED_VALUE"""),"Strong ward")</f>
        <v>Strong ward</v>
      </c>
      <c r="AN245" s="3" t="str">
        <f>IFERROR(__xludf.DUMMYFUNCTION("""COMPUTED_VALUE"""),"Chaincast")</f>
        <v>Chaincast</v>
      </c>
      <c r="AO245" s="3" t="str">
        <f>IFERROR(__xludf.DUMMYFUNCTION("""COMPUTED_VALUE"""),"Multishot")</f>
        <v>Multishot</v>
      </c>
      <c r="AP245" s="3" t="str">
        <f>IFERROR(__xludf.DUMMYFUNCTION("""COMPUTED_VALUE"""),"Dragon's Breath")</f>
        <v>Dragon's Breath</v>
      </c>
      <c r="AQ245" s="3" t="str">
        <f>IFERROR(__xludf.DUMMYFUNCTION("""COMPUTED_VALUE"""),"Max Evade")</f>
        <v>Max Evade</v>
      </c>
      <c r="AR245" s="3"/>
      <c r="AS245" s="3"/>
      <c r="AT245" s="3"/>
      <c r="AU245" s="3"/>
      <c r="AV245" s="3"/>
      <c r="AW245" s="3"/>
      <c r="AX245" s="3"/>
      <c r="AY245" s="3"/>
      <c r="AZ245" s="3"/>
      <c r="BA245" s="3"/>
      <c r="BB245" s="3"/>
      <c r="BC245" s="1"/>
      <c r="BD245" s="3">
        <f>IFERROR(__xludf.DUMMYFUNCTION("""COMPUTED_VALUE"""),0.0)</f>
        <v>0</v>
      </c>
      <c r="BE245" s="4">
        <f>IFERROR(__xludf.DUMMYFUNCTION("""COMPUTED_VALUE"""),10.0)</f>
        <v>10</v>
      </c>
      <c r="BF245" s="3" t="str">
        <f>IFERROR(__xludf.DUMMYFUNCTION("""COMPUTED_VALUE"""),"75% chance to be unaffected by any spells affecting this mob
Dragons Luck II: +10 is added to the casters d20 rolls.")</f>
        <v>75% chance to be unaffected by any spells affecting this mob
Dragons Luck II: +10 is added to the casters d20 rolls.</v>
      </c>
      <c r="BG245" s="3" t="str">
        <f>IFERROR(__xludf.DUMMYFUNCTION("""COMPUTED_VALUE"""),"All")</f>
        <v>All</v>
      </c>
      <c r="BH245" s="3" t="str">
        <f>IFERROR(__xludf.DUMMYFUNCTION("""COMPUTED_VALUE"""),"Land Of Spira")</f>
        <v>Land Of Spira</v>
      </c>
      <c r="BI245" s="3"/>
      <c r="BJ245" s="3"/>
      <c r="BK245" s="3"/>
      <c r="BL245" s="3" t="b">
        <f>IFERROR(__xludf.DUMMYFUNCTION("""COMPUTED_VALUE"""),FALSE)</f>
        <v>0</v>
      </c>
      <c r="BM245" s="3"/>
      <c r="BN245" s="3"/>
      <c r="BO245" s="3"/>
      <c r="BP245" s="3"/>
      <c r="BQ245" s="3"/>
      <c r="BR245" s="3"/>
      <c r="BS245" s="3"/>
      <c r="BT245" s="3"/>
      <c r="BU245" s="3"/>
      <c r="BV245" s="3"/>
      <c r="BW245" s="3"/>
    </row>
    <row r="246" ht="15.75" customHeight="1">
      <c r="A246" s="3" t="str">
        <f>IFERROR(__xludf.DUMMYFUNCTION("""COMPUTED_VALUE"""),"The Black And White Dragon")</f>
        <v>The Black And White Dragon</v>
      </c>
      <c r="B246" s="3">
        <f>IFERROR(__xludf.DUMMYFUNCTION("""COMPUTED_VALUE"""),1.0)</f>
        <v>1</v>
      </c>
      <c r="C246" s="3"/>
      <c r="D246" s="12" t="str">
        <f>IFERROR(__xludf.DUMMYFUNCTION("""COMPUTED_VALUE"""),"Draconic")</f>
        <v>Draconic</v>
      </c>
      <c r="E246" s="12">
        <f>IFERROR(__xludf.DUMMYFUNCTION("""COMPUTED_VALUE"""),1010.0)</f>
        <v>1010</v>
      </c>
      <c r="F246" s="12">
        <f>IFERROR(__xludf.DUMMYFUNCTION("""COMPUTED_VALUE"""),1010.0)</f>
        <v>1010</v>
      </c>
      <c r="G246" s="12">
        <f>IFERROR(__xludf.DUMMYFUNCTION("""COMPUTED_VALUE"""),1010.0)</f>
        <v>1010</v>
      </c>
      <c r="H246" s="3">
        <f>IFERROR(__xludf.DUMMYFUNCTION("""COMPUTED_VALUE"""),10.0)</f>
        <v>10</v>
      </c>
      <c r="I246" s="3">
        <f>IFERROR(__xludf.DUMMYFUNCTION("""COMPUTED_VALUE"""),0.0)</f>
        <v>0</v>
      </c>
      <c r="J246" s="3">
        <f>IFERROR(__xludf.DUMMYFUNCTION("""COMPUTED_VALUE"""),0.0)</f>
        <v>0</v>
      </c>
      <c r="K246" s="3">
        <f>IFERROR(__xludf.DUMMYFUNCTION("""COMPUTED_VALUE"""),100.0)</f>
        <v>100</v>
      </c>
      <c r="L246" s="3">
        <f>IFERROR(__xludf.DUMMYFUNCTION("""COMPUTED_VALUE"""),100.0)</f>
        <v>100</v>
      </c>
      <c r="M246" s="3" t="str">
        <f>IFERROR(__xludf.DUMMYFUNCTION("""COMPUTED_VALUE"""),"Instant Death:Immune, Banishment:Immune, ")</f>
        <v>Instant Death:Immune, Banishment:Immune, </v>
      </c>
      <c r="N246" s="3" t="str">
        <f>IFERROR(__xludf.DUMMYFUNCTION("""COMPUTED_VALUE"""),"")</f>
        <v/>
      </c>
      <c r="O246" s="3"/>
      <c r="P246" s="3"/>
      <c r="Q246" s="3"/>
      <c r="R246" s="3"/>
      <c r="S246" s="3"/>
      <c r="T246" s="3"/>
      <c r="U246" s="3"/>
      <c r="V246" s="3"/>
      <c r="W246" s="3"/>
      <c r="X246" s="3"/>
      <c r="Y246" s="3"/>
      <c r="Z246" s="3"/>
      <c r="AA246" s="3"/>
      <c r="AB246" s="3"/>
      <c r="AC246" s="3"/>
      <c r="AD246" s="3"/>
      <c r="AE246" s="3"/>
      <c r="AF246" s="3"/>
      <c r="AG246" s="3"/>
      <c r="AH246" s="3"/>
      <c r="AI246" s="3"/>
      <c r="AJ246" s="3" t="str">
        <f>IFERROR(__xludf.DUMMYFUNCTION("""COMPUTED_VALUE"""),"Dive Bomb")</f>
        <v>Dive Bomb</v>
      </c>
      <c r="AK246" s="3" t="str">
        <f>IFERROR(__xludf.DUMMYFUNCTION("""COMPUTED_VALUE"""),"Dragon's Breath")</f>
        <v>Dragon's Breath</v>
      </c>
      <c r="AL246" s="3" t="str">
        <f>IFERROR(__xludf.DUMMYFUNCTION("""COMPUTED_VALUE"""),"Sunny Day")</f>
        <v>Sunny Day</v>
      </c>
      <c r="AM246" s="3" t="str">
        <f>IFERROR(__xludf.DUMMYFUNCTION("""COMPUTED_VALUE"""),"Inferno Sun")</f>
        <v>Inferno Sun</v>
      </c>
      <c r="AN246" s="3" t="str">
        <f>IFERROR(__xludf.DUMMYFUNCTION("""COMPUTED_VALUE"""),"Sunlight Regen")</f>
        <v>Sunlight Regen</v>
      </c>
      <c r="AO246" s="3" t="str">
        <f>IFERROR(__xludf.DUMMYFUNCTION("""COMPUTED_VALUE"""),"Sun Slam")</f>
        <v>Sun Slam</v>
      </c>
      <c r="AP246" s="3" t="str">
        <f>IFERROR(__xludf.DUMMYFUNCTION("""COMPUTED_VALUE"""),"Moon Slam")</f>
        <v>Moon Slam</v>
      </c>
      <c r="AQ246" s="3" t="str">
        <f>IFERROR(__xludf.DUMMYFUNCTION("""COMPUTED_VALUE"""),"Moon Beam")</f>
        <v>Moon Beam</v>
      </c>
      <c r="AR246" s="3" t="str">
        <f>IFERROR(__xludf.DUMMYFUNCTION("""COMPUTED_VALUE"""),"Moonlight")</f>
        <v>Moonlight</v>
      </c>
      <c r="AS246" s="3" t="str">
        <f>IFERROR(__xludf.DUMMYFUNCTION("""COMPUTED_VALUE"""),"Moonlight Regen")</f>
        <v>Moonlight Regen</v>
      </c>
      <c r="AT246" s="3" t="str">
        <f>IFERROR(__xludf.DUMMYFUNCTION("""COMPUTED_VALUE"""),"Solar Eclipse")</f>
        <v>Solar Eclipse</v>
      </c>
      <c r="AU246" s="3"/>
      <c r="AV246" s="3"/>
      <c r="AW246" s="3"/>
      <c r="AX246" s="3"/>
      <c r="AY246" s="3"/>
      <c r="AZ246" s="3"/>
      <c r="BA246" s="3"/>
      <c r="BB246" s="3"/>
      <c r="BC246" s="1"/>
      <c r="BD246" s="3">
        <f>IFERROR(__xludf.DUMMYFUNCTION("""COMPUTED_VALUE"""),0.0)</f>
        <v>0</v>
      </c>
      <c r="BE246" s="4">
        <f>IFERROR(__xludf.DUMMYFUNCTION("""COMPUTED_VALUE"""),10.0)</f>
        <v>10</v>
      </c>
      <c r="BF246" s="3" t="str">
        <f>IFERROR(__xludf.DUMMYFUNCTION("""COMPUTED_VALUE"""),"25% chance to be unaffected by any spells affecting this mob
Dragons Luck: +5 is added to the casters d20 rolls.")</f>
        <v>25% chance to be unaffected by any spells affecting this mob
Dragons Luck: +5 is added to the casters d20 rolls.</v>
      </c>
      <c r="BG246" s="3" t="str">
        <f>IFERROR(__xludf.DUMMYFUNCTION("""COMPUTED_VALUE"""),"All")</f>
        <v>All</v>
      </c>
      <c r="BH246" s="3" t="str">
        <f>IFERROR(__xludf.DUMMYFUNCTION("""COMPUTED_VALUE"""),"Solreach")</f>
        <v>Solreach</v>
      </c>
      <c r="BI246" s="3"/>
      <c r="BJ246" s="3"/>
      <c r="BK246" s="3"/>
      <c r="BL246" s="3" t="b">
        <f>IFERROR(__xludf.DUMMYFUNCTION("""COMPUTED_VALUE"""),FALSE)</f>
        <v>0</v>
      </c>
      <c r="BM246" s="3"/>
      <c r="BN246" s="3"/>
      <c r="BO246" s="3"/>
      <c r="BP246" s="3"/>
      <c r="BQ246" s="3"/>
      <c r="BR246" s="3"/>
      <c r="BS246" s="3"/>
      <c r="BT246" s="3"/>
      <c r="BU246" s="3"/>
      <c r="BV246" s="3"/>
      <c r="BW246" s="3"/>
    </row>
    <row r="247" ht="15.75" customHeight="1">
      <c r="A247" s="3" t="str">
        <f>IFERROR(__xludf.DUMMYFUNCTION("""COMPUTED_VALUE"""),"The Black Demon")</f>
        <v>The Black Demon</v>
      </c>
      <c r="B247" s="3">
        <f>IFERROR(__xludf.DUMMYFUNCTION("""COMPUTED_VALUE"""),1.0)</f>
        <v>1</v>
      </c>
      <c r="C247" s="3"/>
      <c r="D247" s="12" t="str">
        <f>IFERROR(__xludf.DUMMYFUNCTION("""COMPUTED_VALUE"""),"Demonic")</f>
        <v>Demonic</v>
      </c>
      <c r="E247" s="12">
        <f>IFERROR(__xludf.DUMMYFUNCTION("""COMPUTED_VALUE"""),1010.0)</f>
        <v>1010</v>
      </c>
      <c r="F247" s="12">
        <f>IFERROR(__xludf.DUMMYFUNCTION("""COMPUTED_VALUE"""),1010.0)</f>
        <v>1010</v>
      </c>
      <c r="G247" s="12">
        <f>IFERROR(__xludf.DUMMYFUNCTION("""COMPUTED_VALUE"""),1010.0)</f>
        <v>1010</v>
      </c>
      <c r="H247" s="3">
        <f>IFERROR(__xludf.DUMMYFUNCTION("""COMPUTED_VALUE"""),10.0)</f>
        <v>10</v>
      </c>
      <c r="I247" s="3">
        <f>IFERROR(__xludf.DUMMYFUNCTION("""COMPUTED_VALUE"""),0.0)</f>
        <v>0</v>
      </c>
      <c r="J247" s="3">
        <f>IFERROR(__xludf.DUMMYFUNCTION("""COMPUTED_VALUE"""),0.0)</f>
        <v>0</v>
      </c>
      <c r="K247" s="3">
        <f>IFERROR(__xludf.DUMMYFUNCTION("""COMPUTED_VALUE"""),100.0)</f>
        <v>100</v>
      </c>
      <c r="L247" s="3">
        <f>IFERROR(__xludf.DUMMYFUNCTION("""COMPUTED_VALUE"""),100.0)</f>
        <v>100</v>
      </c>
      <c r="M247" s="3" t="str">
        <f>IFERROR(__xludf.DUMMYFUNCTION("""COMPUTED_VALUE"""),"Dark:Immune, Spirit:Immune, Chaos:Immune, Instant Death:Immune, ")</f>
        <v>Dark:Immune, Spirit:Immune, Chaos:Immune, Instant Death:Immune, </v>
      </c>
      <c r="N247" s="3" t="str">
        <f>IFERROR(__xludf.DUMMYFUNCTION("""COMPUTED_VALUE"""),"Fire:100, Light:100, ")</f>
        <v>Fire:100, Light:100, </v>
      </c>
      <c r="O247" s="3"/>
      <c r="P247" s="3"/>
      <c r="Q247" s="3"/>
      <c r="R247" s="3"/>
      <c r="S247" s="3"/>
      <c r="T247" s="3"/>
      <c r="U247" s="3"/>
      <c r="V247" s="3" t="str">
        <f>IFERROR(__xludf.DUMMYFUNCTION("""COMPUTED_VALUE"""),"Chaos Sword")</f>
        <v>Chaos Sword</v>
      </c>
      <c r="W247" s="3"/>
      <c r="X247" s="3"/>
      <c r="Y247" s="3"/>
      <c r="Z247" s="3"/>
      <c r="AA247" s="3"/>
      <c r="AB247" s="3"/>
      <c r="AC247" s="3"/>
      <c r="AD247" s="3"/>
      <c r="AE247" s="3"/>
      <c r="AF247" s="3"/>
      <c r="AG247" s="3"/>
      <c r="AH247" s="3"/>
      <c r="AI247" s="3"/>
      <c r="AJ247" s="3" t="str">
        <f>IFERROR(__xludf.DUMMYFUNCTION("""COMPUTED_VALUE"""),"Dark Curse")</f>
        <v>Dark Curse</v>
      </c>
      <c r="AK247" s="3" t="str">
        <f>IFERROR(__xludf.DUMMYFUNCTION("""COMPUTED_VALUE"""),"Darkest Abyss")</f>
        <v>Darkest Abyss</v>
      </c>
      <c r="AL247" s="3" t="str">
        <f>IFERROR(__xludf.DUMMYFUNCTION("""COMPUTED_VALUE"""),"Last Gamble")</f>
        <v>Last Gamble</v>
      </c>
      <c r="AM247" s="3" t="str">
        <f>IFERROR(__xludf.DUMMYFUNCTION("""COMPUTED_VALUE"""),"Chaotic Shadow Force")</f>
        <v>Chaotic Shadow Force</v>
      </c>
      <c r="AN247" s="3" t="str">
        <f>IFERROR(__xludf.DUMMYFUNCTION("""COMPUTED_VALUE"""),"End The Voodoo Contract")</f>
        <v>End The Voodoo Contract</v>
      </c>
      <c r="AO247" s="3" t="str">
        <f>IFERROR(__xludf.DUMMYFUNCTION("""COMPUTED_VALUE"""),"Enthrall")</f>
        <v>Enthrall</v>
      </c>
      <c r="AP247" s="3" t="str">
        <f>IFERROR(__xludf.DUMMYFUNCTION("""COMPUTED_VALUE"""),"Celestial Wrath")</f>
        <v>Celestial Wrath</v>
      </c>
      <c r="AQ247" s="3"/>
      <c r="AR247" s="3"/>
      <c r="AS247" s="3"/>
      <c r="AT247" s="3"/>
      <c r="AU247" s="3"/>
      <c r="AV247" s="3"/>
      <c r="AW247" s="3"/>
      <c r="AX247" s="3"/>
      <c r="AY247" s="3"/>
      <c r="AZ247" s="3"/>
      <c r="BA247" s="3"/>
      <c r="BB247" s="3"/>
      <c r="BC247" s="1"/>
      <c r="BD247" s="3">
        <f>IFERROR(__xludf.DUMMYFUNCTION("""COMPUTED_VALUE"""),0.0)</f>
        <v>0</v>
      </c>
      <c r="BE247" s="4">
        <f>IFERROR(__xludf.DUMMYFUNCTION("""COMPUTED_VALUE"""),10.0)</f>
        <v>10</v>
      </c>
      <c r="BF247" s="3" t="str">
        <f>IFERROR(__xludf.DUMMYFUNCTION("""COMPUTED_VALUE"""),"A Dark Calling: +5 can be added to this mobs rolls.")</f>
        <v>A Dark Calling: +5 can be added to this mobs rolls.</v>
      </c>
      <c r="BG247" s="3" t="str">
        <f>IFERROR(__xludf.DUMMYFUNCTION("""COMPUTED_VALUE"""),"All")</f>
        <v>All</v>
      </c>
      <c r="BH247" s="3" t="str">
        <f>IFERROR(__xludf.DUMMYFUNCTION("""COMPUTED_VALUE"""),"Abstara")</f>
        <v>Abstara</v>
      </c>
      <c r="BI247" s="3"/>
      <c r="BJ247" s="3"/>
      <c r="BK247" s="3"/>
      <c r="BL247" s="3" t="b">
        <f>IFERROR(__xludf.DUMMYFUNCTION("""COMPUTED_VALUE"""),FALSE)</f>
        <v>0</v>
      </c>
      <c r="BM247" s="3"/>
      <c r="BN247" s="3"/>
      <c r="BO247" s="3"/>
      <c r="BP247" s="3"/>
      <c r="BQ247" s="3"/>
      <c r="BR247" s="3"/>
      <c r="BS247" s="3"/>
      <c r="BT247" s="3"/>
      <c r="BU247" s="3"/>
      <c r="BV247" s="3"/>
      <c r="BW247" s="3"/>
    </row>
    <row r="248" ht="15.75" customHeight="1">
      <c r="A248" s="3" t="str">
        <f>IFERROR(__xludf.DUMMYFUNCTION("""COMPUTED_VALUE"""),"The Clown King")</f>
        <v>The Clown King</v>
      </c>
      <c r="B248" s="3">
        <f>IFERROR(__xludf.DUMMYFUNCTION("""COMPUTED_VALUE"""),1.0)</f>
        <v>1</v>
      </c>
      <c r="C248" s="3"/>
      <c r="D248" s="3" t="str">
        <f>IFERROR(__xludf.DUMMYFUNCTION("""COMPUTED_VALUE"""),"Humanoid")</f>
        <v>Humanoid</v>
      </c>
      <c r="E248" s="3">
        <f>IFERROR(__xludf.DUMMYFUNCTION("""COMPUTED_VALUE"""),1010.0)</f>
        <v>1010</v>
      </c>
      <c r="F248" s="12">
        <f>IFERROR(__xludf.DUMMYFUNCTION("""COMPUTED_VALUE"""),1010.0)</f>
        <v>1010</v>
      </c>
      <c r="G248" s="3">
        <f>IFERROR(__xludf.DUMMYFUNCTION("""COMPUTED_VALUE"""),1010.0)</f>
        <v>1010</v>
      </c>
      <c r="H248" s="3">
        <f>IFERROR(__xludf.DUMMYFUNCTION("""COMPUTED_VALUE"""),20.0)</f>
        <v>20</v>
      </c>
      <c r="I248" s="3">
        <f>IFERROR(__xludf.DUMMYFUNCTION("""COMPUTED_VALUE"""),0.0)</f>
        <v>0</v>
      </c>
      <c r="J248" s="3">
        <f>IFERROR(__xludf.DUMMYFUNCTION("""COMPUTED_VALUE"""),0.0)</f>
        <v>0</v>
      </c>
      <c r="K248" s="3">
        <f>IFERROR(__xludf.DUMMYFUNCTION("""COMPUTED_VALUE"""),100.0)</f>
        <v>100</v>
      </c>
      <c r="L248" s="3">
        <f>IFERROR(__xludf.DUMMYFUNCTION("""COMPUTED_VALUE"""),100.0)</f>
        <v>100</v>
      </c>
      <c r="M248" s="3" t="str">
        <f>IFERROR(__xludf.DUMMYFUNCTION("""COMPUTED_VALUE"""),"Dark:Immune, Spirit:Immune, Instant Death:Immune, Banishment:immune, ")</f>
        <v>Dark:Immune, Spirit:Immune, Instant Death:Immune, Banishment:immune, </v>
      </c>
      <c r="N248" s="3" t="str">
        <f>IFERROR(__xludf.DUMMYFUNCTION("""COMPUTED_VALUE"""),"Light:100, ")</f>
        <v>Light:100, </v>
      </c>
      <c r="O248" s="3"/>
      <c r="P248" s="3"/>
      <c r="Q248" s="3"/>
      <c r="R248" s="3"/>
      <c r="S248" s="3"/>
      <c r="T248" s="3"/>
      <c r="U248" s="3"/>
      <c r="V248" s="3"/>
      <c r="W248" s="3"/>
      <c r="X248" s="3"/>
      <c r="Y248" s="3"/>
      <c r="Z248" s="3"/>
      <c r="AA248" s="3"/>
      <c r="AB248" s="3"/>
      <c r="AC248" s="3"/>
      <c r="AD248" s="3"/>
      <c r="AE248" s="3"/>
      <c r="AF248" s="3"/>
      <c r="AG248" s="3"/>
      <c r="AH248" s="3"/>
      <c r="AI248" s="3"/>
      <c r="AJ248" s="3" t="str">
        <f>IFERROR(__xludf.DUMMYFUNCTION("""COMPUTED_VALUE"""),"Chaincast")</f>
        <v>Chaincast</v>
      </c>
      <c r="AK248" s="3" t="str">
        <f>IFERROR(__xludf.DUMMYFUNCTION("""COMPUTED_VALUE"""),"Arrest")</f>
        <v>Arrest</v>
      </c>
      <c r="AL248" s="3" t="str">
        <f>IFERROR(__xludf.DUMMYFUNCTION("""COMPUTED_VALUE"""),"Darkest Abyss")</f>
        <v>Darkest Abyss</v>
      </c>
      <c r="AM248" s="3" t="str">
        <f>IFERROR(__xludf.DUMMYFUNCTION("""COMPUTED_VALUE"""),"Dark Curse")</f>
        <v>Dark Curse</v>
      </c>
      <c r="AN248" s="3" t="str">
        <f>IFERROR(__xludf.DUMMYFUNCTION("""COMPUTED_VALUE"""),"Dimensional Quake")</f>
        <v>Dimensional Quake</v>
      </c>
      <c r="AO248" s="3" t="str">
        <f>IFERROR(__xludf.DUMMYFUNCTION("""COMPUTED_VALUE"""),"Dimension Portal")</f>
        <v>Dimension Portal</v>
      </c>
      <c r="AP248" s="3" t="str">
        <f>IFERROR(__xludf.DUMMYFUNCTION("""COMPUTED_VALUE"""),"Voodoo Meteor Shower")</f>
        <v>Voodoo Meteor Shower</v>
      </c>
      <c r="AQ248" s="3" t="str">
        <f>IFERROR(__xludf.DUMMYFUNCTION("""COMPUTED_VALUE"""),"Hex With Bad Luck")</f>
        <v>Hex With Bad Luck</v>
      </c>
      <c r="AR248" s="3" t="str">
        <f>IFERROR(__xludf.DUMMYFUNCTION("""COMPUTED_VALUE"""),"Stand in")</f>
        <v>Stand in</v>
      </c>
      <c r="AS248" s="3" t="str">
        <f>IFERROR(__xludf.DUMMYFUNCTION("""COMPUTED_VALUE"""),"Last Gamble")</f>
        <v>Last Gamble</v>
      </c>
      <c r="AT248" s="3" t="str">
        <f>IFERROR(__xludf.DUMMYFUNCTION("""COMPUTED_VALUE"""),"Mass Destruction")</f>
        <v>Mass Destruction</v>
      </c>
      <c r="AU248" s="3" t="str">
        <f>IFERROR(__xludf.DUMMYFUNCTION("""COMPUTED_VALUE"""),"Celestial Increase II")</f>
        <v>Celestial Increase II</v>
      </c>
      <c r="AV248" s="3"/>
      <c r="AW248" s="3"/>
      <c r="AX248" s="3"/>
      <c r="AY248" s="3"/>
      <c r="AZ248" s="3"/>
      <c r="BA248" s="3"/>
      <c r="BB248" s="3"/>
      <c r="BC248" s="1"/>
      <c r="BD248" s="3">
        <f>IFERROR(__xludf.DUMMYFUNCTION("""COMPUTED_VALUE"""),0.0)</f>
        <v>0</v>
      </c>
      <c r="BE248" s="4">
        <f>IFERROR(__xludf.DUMMYFUNCTION("""COMPUTED_VALUE"""),20.0)</f>
        <v>20</v>
      </c>
      <c r="BF248"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v>
      </c>
      <c r="BG248" s="3" t="str">
        <f>IFERROR(__xludf.DUMMYFUNCTION("""COMPUTED_VALUE"""),"All")</f>
        <v>All</v>
      </c>
      <c r="BH248" s="3" t="str">
        <f>IFERROR(__xludf.DUMMYFUNCTION("""COMPUTED_VALUE"""),"Halloween Kingdom")</f>
        <v>Halloween Kingdom</v>
      </c>
      <c r="BI248" s="3"/>
      <c r="BJ248" s="3"/>
      <c r="BK248" s="3"/>
      <c r="BL248" s="3" t="b">
        <f>IFERROR(__xludf.DUMMYFUNCTION("""COMPUTED_VALUE"""),FALSE)</f>
        <v>0</v>
      </c>
      <c r="BM248" s="3"/>
      <c r="BN248" s="3"/>
      <c r="BO248" s="3"/>
      <c r="BP248" s="3"/>
      <c r="BQ248" s="3"/>
      <c r="BR248" s="3"/>
      <c r="BS248" s="3"/>
      <c r="BT248" s="3"/>
      <c r="BU248" s="3"/>
      <c r="BV248" s="3"/>
      <c r="BW248" s="3"/>
    </row>
    <row r="249" ht="15.75" customHeight="1">
      <c r="A249" s="3" t="str">
        <f>IFERROR(__xludf.DUMMYFUNCTION("""COMPUTED_VALUE"""),"The Cursed Kraken")</f>
        <v>The Cursed Kraken</v>
      </c>
      <c r="B249" s="3">
        <f>IFERROR(__xludf.DUMMYFUNCTION("""COMPUTED_VALUE"""),1.0)</f>
        <v>1</v>
      </c>
      <c r="C249" s="3"/>
      <c r="D249" s="12" t="str">
        <f>IFERROR(__xludf.DUMMYFUNCTION("""COMPUTED_VALUE"""),"Beast")</f>
        <v>Beast</v>
      </c>
      <c r="E249" s="12">
        <f>IFERROR(__xludf.DUMMYFUNCTION("""COMPUTED_VALUE"""),1010.0)</f>
        <v>1010</v>
      </c>
      <c r="F249" s="12">
        <f>IFERROR(__xludf.DUMMYFUNCTION("""COMPUTED_VALUE"""),1010.0)</f>
        <v>1010</v>
      </c>
      <c r="G249" s="12">
        <f>IFERROR(__xludf.DUMMYFUNCTION("""COMPUTED_VALUE"""),1010.0)</f>
        <v>1010</v>
      </c>
      <c r="H249" s="3">
        <f>IFERROR(__xludf.DUMMYFUNCTION("""COMPUTED_VALUE"""),10.0)</f>
        <v>10</v>
      </c>
      <c r="I249" s="3">
        <f>IFERROR(__xludf.DUMMYFUNCTION("""COMPUTED_VALUE"""),0.0)</f>
        <v>0</v>
      </c>
      <c r="J249" s="3">
        <f>IFERROR(__xludf.DUMMYFUNCTION("""COMPUTED_VALUE"""),0.0)</f>
        <v>0</v>
      </c>
      <c r="K249" s="3">
        <f>IFERROR(__xludf.DUMMYFUNCTION("""COMPUTED_VALUE"""),100.0)</f>
        <v>100</v>
      </c>
      <c r="L249" s="3">
        <f>IFERROR(__xludf.DUMMYFUNCTION("""COMPUTED_VALUE"""),100.0)</f>
        <v>100</v>
      </c>
      <c r="M249" s="3" t="str">
        <f>IFERROR(__xludf.DUMMYFUNCTION("""COMPUTED_VALUE"""),"Fire:Immune, Water:Immune, ")</f>
        <v>Fire:Immune, Water:Immune, </v>
      </c>
      <c r="N249" s="3" t="str">
        <f>IFERROR(__xludf.DUMMYFUNCTION("""COMPUTED_VALUE"""),"Nature:100, ")</f>
        <v>Nature:100, </v>
      </c>
      <c r="O249" s="3"/>
      <c r="P249" s="3"/>
      <c r="Q249" s="3"/>
      <c r="R249" s="3"/>
      <c r="S249" s="3"/>
      <c r="T249" s="3"/>
      <c r="U249" s="3"/>
      <c r="V249" s="3"/>
      <c r="W249" s="3"/>
      <c r="X249" s="3"/>
      <c r="Y249" s="3"/>
      <c r="Z249" s="3"/>
      <c r="AA249" s="3"/>
      <c r="AB249" s="3"/>
      <c r="AC249" s="3"/>
      <c r="AD249" s="3"/>
      <c r="AE249" s="3"/>
      <c r="AF249" s="3"/>
      <c r="AG249" s="3"/>
      <c r="AH249" s="3"/>
      <c r="AI249" s="3"/>
      <c r="AJ249" s="3" t="str">
        <f>IFERROR(__xludf.DUMMYFUNCTION("""COMPUTED_VALUE"""),"Strangle")</f>
        <v>Strangle</v>
      </c>
      <c r="AK249" s="3" t="str">
        <f>IFERROR(__xludf.DUMMYFUNCTION("""COMPUTED_VALUE"""),"Call of The Sharks")</f>
        <v>Call of The Sharks</v>
      </c>
      <c r="AL249" s="3"/>
      <c r="AM249" s="3"/>
      <c r="AN249" s="3"/>
      <c r="AO249" s="3"/>
      <c r="AP249" s="3"/>
      <c r="AQ249" s="3"/>
      <c r="AR249" s="3"/>
      <c r="AS249" s="3"/>
      <c r="AT249" s="3"/>
      <c r="AU249" s="3"/>
      <c r="AV249" s="3"/>
      <c r="AW249" s="3"/>
      <c r="AX249" s="3"/>
      <c r="AY249" s="3"/>
      <c r="AZ249" s="3"/>
      <c r="BA249" s="3"/>
      <c r="BB249" s="3"/>
      <c r="BC249" s="1"/>
      <c r="BD249" s="3">
        <f>IFERROR(__xludf.DUMMYFUNCTION("""COMPUTED_VALUE"""),0.0)</f>
        <v>0</v>
      </c>
      <c r="BE249" s="4">
        <f>IFERROR(__xludf.DUMMYFUNCTION("""COMPUTED_VALUE"""),10.0)</f>
        <v>10</v>
      </c>
      <c r="BF249" s="3" t="str">
        <f>IFERROR(__xludf.DUMMYFUNCTION("""COMPUTED_VALUE"""),"Arm Shield: Must target each arm 1 at a time to deplete this creature’s hp (6 arms), Only 1 arm can be affected by spell, attack, item effects, and natural powers at a time.
+10 can be added to this mobs rolls if it's enemies are in water, +5 can be adde"&amp;"d to this mobs rolls if it's enemies are not in water.
75% chance to be unaffected by any spells affecting this mob")</f>
        <v>Arm Shield: Must target each arm 1 at a time to deplete this creature’s hp (6 arms), Only 1 arm can be affected by spell, attack, item effects, and natural powers at a time.
+10 can be added to this mobs rolls if it's enemies are in water, +5 can be added to this mobs rolls if it's enemies are not in water.
75% chance to be unaffected by any spells affecting this mob</v>
      </c>
      <c r="BG249" s="3" t="str">
        <f>IFERROR(__xludf.DUMMYFUNCTION("""COMPUTED_VALUE"""),"Ocean")</f>
        <v>Ocean</v>
      </c>
      <c r="BH249" s="3" t="str">
        <f>IFERROR(__xludf.DUMMYFUNCTION("""COMPUTED_VALUE"""),"Land Of Spira")</f>
        <v>Land Of Spira</v>
      </c>
      <c r="BI249" s="3"/>
      <c r="BJ249" s="3"/>
      <c r="BK249" s="3"/>
      <c r="BL249" s="3" t="b">
        <f>IFERROR(__xludf.DUMMYFUNCTION("""COMPUTED_VALUE"""),FALSE)</f>
        <v>0</v>
      </c>
      <c r="BM249" s="3"/>
      <c r="BN249" s="3"/>
      <c r="BO249" s="3"/>
      <c r="BP249" s="3"/>
      <c r="BQ249" s="3"/>
      <c r="BR249" s="3"/>
      <c r="BS249" s="3"/>
      <c r="BT249" s="3"/>
      <c r="BU249" s="3"/>
      <c r="BV249" s="3"/>
      <c r="BW249" s="3"/>
    </row>
    <row r="250" ht="15.75" customHeight="1">
      <c r="A250" s="3" t="str">
        <f>IFERROR(__xludf.DUMMYFUNCTION("""COMPUTED_VALUE"""),"Giant Magma Snail")</f>
        <v>Giant Magma Snail</v>
      </c>
      <c r="B250" s="3">
        <f>IFERROR(__xludf.DUMMYFUNCTION("""COMPUTED_VALUE"""),1.0)</f>
        <v>1</v>
      </c>
      <c r="C250" s="3"/>
      <c r="D250" s="12" t="str">
        <f>IFERROR(__xludf.DUMMYFUNCTION("""COMPUTED_VALUE"""),"Beast")</f>
        <v>Beast</v>
      </c>
      <c r="E250" s="12">
        <f>IFERROR(__xludf.DUMMYFUNCTION("""COMPUTED_VALUE"""),1010.0)</f>
        <v>1010</v>
      </c>
      <c r="F250" s="12">
        <f>IFERROR(__xludf.DUMMYFUNCTION("""COMPUTED_VALUE"""),1010.0)</f>
        <v>1010</v>
      </c>
      <c r="G250" s="12">
        <f>IFERROR(__xludf.DUMMYFUNCTION("""COMPUTED_VALUE"""),101010.0)</f>
        <v>101010</v>
      </c>
      <c r="H250" s="3">
        <f>IFERROR(__xludf.DUMMYFUNCTION("""COMPUTED_VALUE"""),10.0)</f>
        <v>10</v>
      </c>
      <c r="I250" s="3">
        <f>IFERROR(__xludf.DUMMYFUNCTION("""COMPUTED_VALUE"""),0.0)</f>
        <v>0</v>
      </c>
      <c r="J250" s="3">
        <f>IFERROR(__xludf.DUMMYFUNCTION("""COMPUTED_VALUE"""),0.0)</f>
        <v>0</v>
      </c>
      <c r="K250" s="3">
        <f>IFERROR(__xludf.DUMMYFUNCTION("""COMPUTED_VALUE"""),100.0)</f>
        <v>100</v>
      </c>
      <c r="L250" s="3">
        <f>IFERROR(__xludf.DUMMYFUNCTION("""COMPUTED_VALUE"""),100.0)</f>
        <v>100</v>
      </c>
      <c r="M250" s="3" t="str">
        <f>IFERROR(__xludf.DUMMYFUNCTION("""COMPUTED_VALUE"""),"Fire:Immune, Nature:Immune, ")</f>
        <v>Fire:Immune, Nature:Immune, </v>
      </c>
      <c r="N250" s="3" t="str">
        <f>IFERROR(__xludf.DUMMYFUNCTION("""COMPUTED_VALUE"""),"Water:100, ")</f>
        <v>Water:100, </v>
      </c>
      <c r="O250" s="3"/>
      <c r="P250" s="3"/>
      <c r="Q250" s="3"/>
      <c r="R250" s="3"/>
      <c r="S250" s="3"/>
      <c r="T250" s="3"/>
      <c r="U250" s="3"/>
      <c r="V250" s="3"/>
      <c r="W250" s="3"/>
      <c r="X250" s="3"/>
      <c r="Y250" s="3"/>
      <c r="Z250" s="3"/>
      <c r="AA250" s="3"/>
      <c r="AB250" s="3"/>
      <c r="AC250" s="3"/>
      <c r="AD250" s="3"/>
      <c r="AE250" s="3"/>
      <c r="AF250" s="3"/>
      <c r="AG250" s="3"/>
      <c r="AH250" s="3"/>
      <c r="AI250" s="3"/>
      <c r="AJ250" s="3" t="str">
        <f>IFERROR(__xludf.DUMMYFUNCTION("""COMPUTED_VALUE"""),"Blade Barrier")</f>
        <v>Blade Barrier</v>
      </c>
      <c r="AK250" s="3" t="str">
        <f>IFERROR(__xludf.DUMMYFUNCTION("""COMPUTED_VALUE"""),"Melee Shield")</f>
        <v>Melee Shield</v>
      </c>
      <c r="AL250" s="3" t="str">
        <f>IFERROR(__xludf.DUMMYFUNCTION("""COMPUTED_VALUE"""),"Deflect")</f>
        <v>Deflect</v>
      </c>
      <c r="AM250" s="3" t="str">
        <f>IFERROR(__xludf.DUMMYFUNCTION("""COMPUTED_VALUE"""),"Reflect")</f>
        <v>Reflect</v>
      </c>
      <c r="AN250" s="3" t="str">
        <f>IFERROR(__xludf.DUMMYFUNCTION("""COMPUTED_VALUE"""),"Chaos Ward")</f>
        <v>Chaos Ward</v>
      </c>
      <c r="AO250" s="3" t="str">
        <f>IFERROR(__xludf.DUMMYFUNCTION("""COMPUTED_VALUE"""),"Full Impact")</f>
        <v>Full Impact</v>
      </c>
      <c r="AP250" s="3"/>
      <c r="AQ250" s="3"/>
      <c r="AR250" s="3"/>
      <c r="AS250" s="3"/>
      <c r="AT250" s="3"/>
      <c r="AU250" s="3"/>
      <c r="AV250" s="3"/>
      <c r="AW250" s="3"/>
      <c r="AX250" s="3"/>
      <c r="AY250" s="3"/>
      <c r="AZ250" s="3"/>
      <c r="BA250" s="3"/>
      <c r="BB250" s="3"/>
      <c r="BC250" s="1"/>
      <c r="BD250" s="3">
        <f>IFERROR(__xludf.DUMMYFUNCTION("""COMPUTED_VALUE"""),0.0)</f>
        <v>0</v>
      </c>
      <c r="BE250" s="4">
        <f>IFERROR(__xludf.DUMMYFUNCTION("""COMPUTED_VALUE"""),10.0)</f>
        <v>10</v>
      </c>
      <c r="BF250" s="3" t="str">
        <f>IFERROR(__xludf.DUMMYFUNCTION("""COMPUTED_VALUE"""),"A Dark Calling: +5 can be added to this mobs rolls.
Reinforced Shell: This mob takes half the damage from incoming attacks.")</f>
        <v>A Dark Calling: +5 can be added to this mobs rolls.
Reinforced Shell: This mob takes half the damage from incoming attacks.</v>
      </c>
      <c r="BG250" s="3" t="str">
        <f>IFERROR(__xludf.DUMMYFUNCTION("""COMPUTED_VALUE"""),"All")</f>
        <v>All</v>
      </c>
      <c r="BH250" s="3" t="str">
        <f>IFERROR(__xludf.DUMMYFUNCTION("""COMPUTED_VALUE"""),"Abstara")</f>
        <v>Abstara</v>
      </c>
      <c r="BI250" s="3"/>
      <c r="BJ250" s="3"/>
      <c r="BK250" s="3"/>
      <c r="BL250" s="3" t="b">
        <f>IFERROR(__xludf.DUMMYFUNCTION("""COMPUTED_VALUE"""),FALSE)</f>
        <v>0</v>
      </c>
      <c r="BM250" s="3"/>
      <c r="BN250" s="3"/>
      <c r="BO250" s="3"/>
      <c r="BP250" s="3"/>
      <c r="BQ250" s="3"/>
      <c r="BR250" s="3"/>
      <c r="BS250" s="3"/>
      <c r="BT250" s="3"/>
      <c r="BU250" s="3"/>
      <c r="BV250" s="3"/>
      <c r="BW250" s="3"/>
    </row>
    <row r="251" ht="15.75" customHeight="1">
      <c r="A251" s="3" t="str">
        <f>IFERROR(__xludf.DUMMYFUNCTION("""COMPUTED_VALUE"""),"The God Of Birch")</f>
        <v>The God Of Birch</v>
      </c>
      <c r="B251" s="3">
        <f>IFERROR(__xludf.DUMMYFUNCTION("""COMPUTED_VALUE"""),1.0)</f>
        <v>1</v>
      </c>
      <c r="C251" s="3" t="str">
        <f>IFERROR(__xludf.DUMMYFUNCTION("""COMPUTED_VALUE"""),"The most powerful druid ever alive who vanished over 5000 years ago. Some say he still lies beneath the city of forest view where his tomb could possibly be found.")</f>
        <v>The most powerful druid ever alive who vanished over 5000 years ago. Some say he still lies beneath the city of forest view where his tomb could possibly be found.</v>
      </c>
      <c r="D251" s="12" t="str">
        <f>IFERROR(__xludf.DUMMYFUNCTION("""COMPUTED_VALUE"""),"Fae")</f>
        <v>Fae</v>
      </c>
      <c r="E251" s="12">
        <f>IFERROR(__xludf.DUMMYFUNCTION("""COMPUTED_VALUE"""),1010.0)</f>
        <v>1010</v>
      </c>
      <c r="F251" s="12">
        <f>IFERROR(__xludf.DUMMYFUNCTION("""COMPUTED_VALUE"""),1010.0)</f>
        <v>1010</v>
      </c>
      <c r="G251" s="12">
        <f>IFERROR(__xludf.DUMMYFUNCTION("""COMPUTED_VALUE"""),1010.0)</f>
        <v>1010</v>
      </c>
      <c r="H251" s="3">
        <f>IFERROR(__xludf.DUMMYFUNCTION("""COMPUTED_VALUE"""),10.0)</f>
        <v>10</v>
      </c>
      <c r="I251" s="3">
        <f>IFERROR(__xludf.DUMMYFUNCTION("""COMPUTED_VALUE"""),0.0)</f>
        <v>0</v>
      </c>
      <c r="J251" s="3">
        <f>IFERROR(__xludf.DUMMYFUNCTION("""COMPUTED_VALUE"""),0.0)</f>
        <v>0</v>
      </c>
      <c r="K251" s="3">
        <f>IFERROR(__xludf.DUMMYFUNCTION("""COMPUTED_VALUE"""),100.0)</f>
        <v>100</v>
      </c>
      <c r="L251" s="3">
        <f>IFERROR(__xludf.DUMMYFUNCTION("""COMPUTED_VALUE"""),100.0)</f>
        <v>100</v>
      </c>
      <c r="M251" s="3" t="str">
        <f>IFERROR(__xludf.DUMMYFUNCTION("""COMPUTED_VALUE"""),"Instant Death:Immune, ")</f>
        <v>Instant Death:Immune, </v>
      </c>
      <c r="N251" s="3" t="str">
        <f>IFERROR(__xludf.DUMMYFUNCTION("""COMPUTED_VALUE"""),"Fire:100, Storm:100, ")</f>
        <v>Fire:100, Storm:100, </v>
      </c>
      <c r="O251" s="3"/>
      <c r="P251" s="3"/>
      <c r="Q251" s="3"/>
      <c r="R251" s="3"/>
      <c r="S251" s="3"/>
      <c r="T251" s="3"/>
      <c r="U251" s="3"/>
      <c r="V251" s="3" t="str">
        <f>IFERROR(__xludf.DUMMYFUNCTION("""COMPUTED_VALUE"""),"World Tree Sword")</f>
        <v>World Tree Sword</v>
      </c>
      <c r="W251" s="3"/>
      <c r="X251" s="3"/>
      <c r="Y251" s="3"/>
      <c r="Z251" s="3"/>
      <c r="AA251" s="3"/>
      <c r="AB251" s="3"/>
      <c r="AC251" s="3"/>
      <c r="AD251" s="3"/>
      <c r="AE251" s="3"/>
      <c r="AF251" s="3"/>
      <c r="AG251" s="3"/>
      <c r="AH251" s="3"/>
      <c r="AI251" s="3"/>
      <c r="AJ251" s="3" t="str">
        <f>IFERROR(__xludf.DUMMYFUNCTION("""COMPUTED_VALUE"""),"Nature ward")</f>
        <v>Nature ward</v>
      </c>
      <c r="AK251" s="3" t="str">
        <f>IFERROR(__xludf.DUMMYFUNCTION("""COMPUTED_VALUE"""),"Vine Whip")</f>
        <v>Vine Whip</v>
      </c>
      <c r="AL251" s="3" t="str">
        <f>IFERROR(__xludf.DUMMYFUNCTION("""COMPUTED_VALUE"""),"Vine Hold")</f>
        <v>Vine Hold</v>
      </c>
      <c r="AM251" s="3" t="str">
        <f>IFERROR(__xludf.DUMMYFUNCTION("""COMPUTED_VALUE"""),"The World Tree")</f>
        <v>The World Tree</v>
      </c>
      <c r="AN251" s="3" t="str">
        <f>IFERROR(__xludf.DUMMYFUNCTION("""COMPUTED_VALUE"""),"Multishot")</f>
        <v>Multishot</v>
      </c>
      <c r="AO251" s="3" t="str">
        <f>IFERROR(__xludf.DUMMYFUNCTION("""COMPUTED_VALUE"""),"Chaincast")</f>
        <v>Chaincast</v>
      </c>
      <c r="AP251" s="3"/>
      <c r="AQ251" s="3"/>
      <c r="AR251" s="3"/>
      <c r="AS251" s="3"/>
      <c r="AT251" s="3"/>
      <c r="AU251" s="3"/>
      <c r="AV251" s="3"/>
      <c r="AW251" s="3"/>
      <c r="AX251" s="3"/>
      <c r="AY251" s="3"/>
      <c r="AZ251" s="3"/>
      <c r="BA251" s="3"/>
      <c r="BB251" s="3"/>
      <c r="BC251" s="1"/>
      <c r="BD251" s="3">
        <f>IFERROR(__xludf.DUMMYFUNCTION("""COMPUTED_VALUE"""),0.0)</f>
        <v>0</v>
      </c>
      <c r="BE251" s="4">
        <f>IFERROR(__xludf.DUMMYFUNCTION("""COMPUTED_VALUE"""),10.0)</f>
        <v>10</v>
      </c>
      <c r="BF251" s="3"/>
      <c r="BG251" s="3" t="str">
        <f>IFERROR(__xludf.DUMMYFUNCTION("""COMPUTED_VALUE"""),"Forest")</f>
        <v>Forest</v>
      </c>
      <c r="BH251" s="3" t="str">
        <f>IFERROR(__xludf.DUMMYFUNCTION("""COMPUTED_VALUE"""),"Land of Spira")</f>
        <v>Land of Spira</v>
      </c>
      <c r="BI251" s="3"/>
      <c r="BJ251" s="3"/>
      <c r="BK251" s="3"/>
      <c r="BL251" s="3" t="b">
        <f>IFERROR(__xludf.DUMMYFUNCTION("""COMPUTED_VALUE"""),FALSE)</f>
        <v>0</v>
      </c>
      <c r="BM251" s="3"/>
      <c r="BN251" s="3"/>
      <c r="BO251" s="3"/>
      <c r="BP251" s="3"/>
      <c r="BQ251" s="3"/>
      <c r="BR251" s="3"/>
      <c r="BS251" s="3"/>
      <c r="BT251" s="3"/>
      <c r="BU251" s="3"/>
      <c r="BV251" s="3"/>
      <c r="BW251" s="3"/>
    </row>
    <row r="252" ht="15.75" customHeight="1">
      <c r="A252" s="3" t="str">
        <f>IFERROR(__xludf.DUMMYFUNCTION("""COMPUTED_VALUE"""),"The Grim Reaper")</f>
        <v>The Grim Reaper</v>
      </c>
      <c r="B252" s="3">
        <f>IFERROR(__xludf.DUMMYFUNCTION("""COMPUTED_VALUE"""),1.0)</f>
        <v>1</v>
      </c>
      <c r="C252" s="3" t="str">
        <f>IFERROR(__xludf.DUMMYFUNCTION("""COMPUTED_VALUE"""),"5% chance this enemy will appear when you die.")</f>
        <v>5% chance this enemy will appear when you die.</v>
      </c>
      <c r="D252" s="3" t="str">
        <f>IFERROR(__xludf.DUMMYFUNCTION("""COMPUTED_VALUE"""),"Spirit")</f>
        <v>Spirit</v>
      </c>
      <c r="E252" s="3">
        <f>IFERROR(__xludf.DUMMYFUNCTION("""COMPUTED_VALUE"""),1010.0)</f>
        <v>1010</v>
      </c>
      <c r="F252" s="12">
        <f>IFERROR(__xludf.DUMMYFUNCTION("""COMPUTED_VALUE"""),1010.0)</f>
        <v>1010</v>
      </c>
      <c r="G252" s="3">
        <f>IFERROR(__xludf.DUMMYFUNCTION("""COMPUTED_VALUE"""),1010.0)</f>
        <v>1010</v>
      </c>
      <c r="H252" s="3">
        <f>IFERROR(__xludf.DUMMYFUNCTION("""COMPUTED_VALUE"""),10.0)</f>
        <v>10</v>
      </c>
      <c r="I252" s="3">
        <f>IFERROR(__xludf.DUMMYFUNCTION("""COMPUTED_VALUE"""),0.0)</f>
        <v>0</v>
      </c>
      <c r="J252" s="3">
        <f>IFERROR(__xludf.DUMMYFUNCTION("""COMPUTED_VALUE"""),0.0)</f>
        <v>0</v>
      </c>
      <c r="K252" s="3">
        <f>IFERROR(__xludf.DUMMYFUNCTION("""COMPUTED_VALUE"""),100.0)</f>
        <v>100</v>
      </c>
      <c r="L252" s="3">
        <f>IFERROR(__xludf.DUMMYFUNCTION("""COMPUTED_VALUE"""),100.0)</f>
        <v>100</v>
      </c>
      <c r="M252" s="3" t="str">
        <f>IFERROR(__xludf.DUMMYFUNCTION("""COMPUTED_VALUE"""),"")</f>
        <v/>
      </c>
      <c r="N252" s="3" t="str">
        <f>IFERROR(__xludf.DUMMYFUNCTION("""COMPUTED_VALUE"""),"Fire:100, Light:100, ")</f>
        <v>Fire:100, Light:100, </v>
      </c>
      <c r="O252" s="3"/>
      <c r="P252" s="3"/>
      <c r="Q252" s="3"/>
      <c r="R252" s="3"/>
      <c r="S252" s="3"/>
      <c r="T252" s="3"/>
      <c r="U252" s="3"/>
      <c r="V252" s="3"/>
      <c r="W252" s="3"/>
      <c r="X252" s="3"/>
      <c r="Y252" s="3"/>
      <c r="Z252" s="3"/>
      <c r="AA252" s="3"/>
      <c r="AB252" s="3"/>
      <c r="AC252" s="3"/>
      <c r="AD252" s="3"/>
      <c r="AE252" s="3"/>
      <c r="AF252" s="3"/>
      <c r="AG252" s="3"/>
      <c r="AH252" s="3"/>
      <c r="AI252" s="3"/>
      <c r="AJ252" s="3" t="str">
        <f>IFERROR(__xludf.DUMMYFUNCTION("""COMPUTED_VALUE"""),"Reapers Cradle")</f>
        <v>Reapers Cradle</v>
      </c>
      <c r="AK252" s="3" t="str">
        <f>IFERROR(__xludf.DUMMYFUNCTION("""COMPUTED_VALUE"""),"Reapers Curse")</f>
        <v>Reapers Curse</v>
      </c>
      <c r="AL252" s="3" t="str">
        <f>IFERROR(__xludf.DUMMYFUNCTION("""COMPUTED_VALUE"""),"Conceal")</f>
        <v>Conceal</v>
      </c>
      <c r="AM252" s="3" t="str">
        <f>IFERROR(__xludf.DUMMYFUNCTION("""COMPUTED_VALUE"""),"Shadow Vanish")</f>
        <v>Shadow Vanish</v>
      </c>
      <c r="AN252" s="3" t="str">
        <f>IFERROR(__xludf.DUMMYFUNCTION("""COMPUTED_VALUE"""),"Flame Thrower")</f>
        <v>Flame Thrower</v>
      </c>
      <c r="AO252" s="3" t="str">
        <f>IFERROR(__xludf.DUMMYFUNCTION("""COMPUTED_VALUE"""),"Volcanic Rain")</f>
        <v>Volcanic Rain</v>
      </c>
      <c r="AP252" s="3" t="str">
        <f>IFERROR(__xludf.DUMMYFUNCTION("""COMPUTED_VALUE"""),"Multishot")</f>
        <v>Multishot</v>
      </c>
      <c r="AQ252" s="3" t="str">
        <f>IFERROR(__xludf.DUMMYFUNCTION("""COMPUTED_VALUE"""),"Multi Banishment")</f>
        <v>Multi Banishment</v>
      </c>
      <c r="AR252" s="3" t="str">
        <f>IFERROR(__xludf.DUMMYFUNCTION("""COMPUTED_VALUE"""),"Last Gamble")</f>
        <v>Last Gamble</v>
      </c>
      <c r="AS252" s="3"/>
      <c r="AT252" s="3"/>
      <c r="AU252" s="3"/>
      <c r="AV252" s="3"/>
      <c r="AW252" s="3"/>
      <c r="AX252" s="3"/>
      <c r="AY252" s="3"/>
      <c r="AZ252" s="3"/>
      <c r="BA252" s="3"/>
      <c r="BB252" s="3"/>
      <c r="BC252" s="1"/>
      <c r="BD252" s="3">
        <f>IFERROR(__xludf.DUMMYFUNCTION("""COMPUTED_VALUE"""),0.0)</f>
        <v>0</v>
      </c>
      <c r="BE252" s="4">
        <f>IFERROR(__xludf.DUMMYFUNCTION("""COMPUTED_VALUE"""),10.0)</f>
        <v>10</v>
      </c>
      <c r="BF252" s="3" t="str">
        <f>IFERROR(__xludf.DUMMYFUNCTION("""COMPUTED_VALUE"""),"Reapers Last Stand: Will revive after death once.
75% chance to be unaffected by any spells affecting this mob.")</f>
        <v>Reapers Last Stand: Will revive after death once.
75% chance to be unaffected by any spells affecting this mob.</v>
      </c>
      <c r="BG252" s="3" t="str">
        <f>IFERROR(__xludf.DUMMYFUNCTION("""COMPUTED_VALUE"""),"Dungeon")</f>
        <v>Dungeon</v>
      </c>
      <c r="BH252" s="3" t="str">
        <f>IFERROR(__xludf.DUMMYFUNCTION("""COMPUTED_VALUE"""),"Land of Spira")</f>
        <v>Land of Spira</v>
      </c>
      <c r="BI252" s="3"/>
      <c r="BJ252" s="3"/>
      <c r="BK252" s="3"/>
      <c r="BL252" s="3" t="b">
        <f>IFERROR(__xludf.DUMMYFUNCTION("""COMPUTED_VALUE"""),FALSE)</f>
        <v>0</v>
      </c>
      <c r="BM252" s="3"/>
      <c r="BN252" s="3"/>
      <c r="BO252" s="3"/>
      <c r="BP252" s="3"/>
      <c r="BQ252" s="3"/>
      <c r="BR252" s="3"/>
      <c r="BS252" s="3"/>
      <c r="BT252" s="3"/>
      <c r="BU252" s="3"/>
      <c r="BV252" s="3"/>
      <c r="BW252" s="3"/>
    </row>
    <row r="253" ht="15.75" customHeight="1">
      <c r="A253" s="3" t="str">
        <f>IFERROR(__xludf.DUMMYFUNCTION("""COMPUTED_VALUE"""),"The Guardian Of Death")</f>
        <v>The Guardian Of Death</v>
      </c>
      <c r="B253" s="3">
        <f>IFERROR(__xludf.DUMMYFUNCTION("""COMPUTED_VALUE"""),1.0)</f>
        <v>1</v>
      </c>
      <c r="C253" s="3"/>
      <c r="D253" s="12" t="str">
        <f>IFERROR(__xludf.DUMMYFUNCTION("""COMPUTED_VALUE"""),"Humanoid")</f>
        <v>Humanoid</v>
      </c>
      <c r="E253" s="12">
        <f>IFERROR(__xludf.DUMMYFUNCTION("""COMPUTED_VALUE"""),1010.0)</f>
        <v>1010</v>
      </c>
      <c r="F253" s="12">
        <f>IFERROR(__xludf.DUMMYFUNCTION("""COMPUTED_VALUE"""),1010.0)</f>
        <v>1010</v>
      </c>
      <c r="G253" s="12">
        <f>IFERROR(__xludf.DUMMYFUNCTION("""COMPUTED_VALUE"""),1010.0)</f>
        <v>1010</v>
      </c>
      <c r="H253" s="3">
        <f>IFERROR(__xludf.DUMMYFUNCTION("""COMPUTED_VALUE"""),10.0)</f>
        <v>10</v>
      </c>
      <c r="I253" s="3">
        <f>IFERROR(__xludf.DUMMYFUNCTION("""COMPUTED_VALUE"""),0.0)</f>
        <v>0</v>
      </c>
      <c r="J253" s="3">
        <f>IFERROR(__xludf.DUMMYFUNCTION("""COMPUTED_VALUE"""),0.0)</f>
        <v>0</v>
      </c>
      <c r="K253" s="3">
        <f>IFERROR(__xludf.DUMMYFUNCTION("""COMPUTED_VALUE"""),100.0)</f>
        <v>100</v>
      </c>
      <c r="L253" s="3">
        <f>IFERROR(__xludf.DUMMYFUNCTION("""COMPUTED_VALUE"""),100.0)</f>
        <v>100</v>
      </c>
      <c r="M253" s="3" t="str">
        <f>IFERROR(__xludf.DUMMYFUNCTION("""COMPUTED_VALUE"""),"Dark:Immune, Chaos:Immune, Instant Death:Immune, Banishment:Immune, ")</f>
        <v>Dark:Immune, Chaos:Immune, Instant Death:Immune, Banishment:Immune, </v>
      </c>
      <c r="N253" s="3" t="str">
        <f>IFERROR(__xludf.DUMMYFUNCTION("""COMPUTED_VALUE"""),"Fire:100, Light:100, Nature:100, ")</f>
        <v>Fire:100, Light:100, Nature:100, </v>
      </c>
      <c r="O253" s="3"/>
      <c r="P253" s="3"/>
      <c r="Q253" s="3"/>
      <c r="R253" s="3"/>
      <c r="S253" s="3"/>
      <c r="T253" s="3"/>
      <c r="U253" s="3"/>
      <c r="V253" s="3" t="str">
        <f>IFERROR(__xludf.DUMMYFUNCTION("""COMPUTED_VALUE"""),"The Guardian Of Death's Sword")</f>
        <v>The Guardian Of Death's Sword</v>
      </c>
      <c r="W253" s="3"/>
      <c r="X253" s="3"/>
      <c r="Y253" s="3"/>
      <c r="Z253" s="3"/>
      <c r="AA253" s="3"/>
      <c r="AB253" s="3"/>
      <c r="AC253" s="3"/>
      <c r="AD253" s="3"/>
      <c r="AE253" s="3"/>
      <c r="AF253" s="3"/>
      <c r="AG253" s="3"/>
      <c r="AH253" s="3"/>
      <c r="AI253" s="3"/>
      <c r="AJ253" s="3" t="str">
        <f>IFERROR(__xludf.DUMMYFUNCTION("""COMPUTED_VALUE"""),"Stasis Meteor Shower")</f>
        <v>Stasis Meteor Shower</v>
      </c>
      <c r="AK253" s="3" t="str">
        <f>IFERROR(__xludf.DUMMYFUNCTION("""COMPUTED_VALUE"""),"Hex with bad luck")</f>
        <v>Hex with bad luck</v>
      </c>
      <c r="AL253" s="3" t="str">
        <f>IFERROR(__xludf.DUMMYFUNCTION("""COMPUTED_VALUE"""),"Mass Destruction")</f>
        <v>Mass Destruction</v>
      </c>
      <c r="AM253" s="3" t="str">
        <f>IFERROR(__xludf.DUMMYFUNCTION("""COMPUTED_VALUE"""),"A Deal With The Spirit World")</f>
        <v>A Deal With The Spirit World</v>
      </c>
      <c r="AN253" s="3" t="str">
        <f>IFERROR(__xludf.DUMMYFUNCTION("""COMPUTED_VALUE"""),"Shadow Vanish")</f>
        <v>Shadow Vanish</v>
      </c>
      <c r="AO253" s="3" t="str">
        <f>IFERROR(__xludf.DUMMYFUNCTION("""COMPUTED_VALUE"""),"Dark Curse")</f>
        <v>Dark Curse</v>
      </c>
      <c r="AP253" s="3" t="str">
        <f>IFERROR(__xludf.DUMMYFUNCTION("""COMPUTED_VALUE"""),"Chaincast")</f>
        <v>Chaincast</v>
      </c>
      <c r="AQ253" s="3"/>
      <c r="AR253" s="3"/>
      <c r="AS253" s="3"/>
      <c r="AT253" s="3"/>
      <c r="AU253" s="3"/>
      <c r="AV253" s="3"/>
      <c r="AW253" s="3"/>
      <c r="AX253" s="3"/>
      <c r="AY253" s="3"/>
      <c r="AZ253" s="3"/>
      <c r="BA253" s="3"/>
      <c r="BB253" s="3"/>
      <c r="BC253" s="1"/>
      <c r="BD253" s="3">
        <f>IFERROR(__xludf.DUMMYFUNCTION("""COMPUTED_VALUE"""),0.0)</f>
        <v>0</v>
      </c>
      <c r="BE253" s="4">
        <f>IFERROR(__xludf.DUMMYFUNCTION("""COMPUTED_VALUE"""),10.0)</f>
        <v>10</v>
      </c>
      <c r="BF253" s="3" t="str">
        <f>IFERROR(__xludf.DUMMYFUNCTION("""COMPUTED_VALUE"""),"75% chance to be unaffected by any spells affecting this mob.
A Dark Calling II: +10 can be added to this mobs rolls.
Last Stand: Will revive after death once.")</f>
        <v>75% chance to be unaffected by any spells affecting this mob.
A Dark Calling II: +10 can be added to this mobs rolls.
Last Stand: Will revive after death once.</v>
      </c>
      <c r="BG253" s="3" t="str">
        <f>IFERROR(__xludf.DUMMYFUNCTION("""COMPUTED_VALUE"""),"All")</f>
        <v>All</v>
      </c>
      <c r="BH253" s="3" t="str">
        <f>IFERROR(__xludf.DUMMYFUNCTION("""COMPUTED_VALUE"""),"Land of Spira")</f>
        <v>Land of Spira</v>
      </c>
      <c r="BI253" s="3"/>
      <c r="BJ253" s="3"/>
      <c r="BK253" s="3"/>
      <c r="BL253" s="3" t="b">
        <f>IFERROR(__xludf.DUMMYFUNCTION("""COMPUTED_VALUE"""),FALSE)</f>
        <v>0</v>
      </c>
      <c r="BM253" s="3"/>
      <c r="BN253" s="3"/>
      <c r="BO253" s="3"/>
      <c r="BP253" s="3"/>
      <c r="BQ253" s="3"/>
      <c r="BR253" s="3"/>
      <c r="BS253" s="3"/>
      <c r="BT253" s="3"/>
      <c r="BU253" s="3"/>
      <c r="BV253" s="3"/>
      <c r="BW253" s="3"/>
    </row>
    <row r="254" ht="15.75" customHeight="1">
      <c r="A254" s="3" t="str">
        <f>IFERROR(__xludf.DUMMYFUNCTION("""COMPUTED_VALUE"""),"The Guardian Of The Mystic Well")</f>
        <v>The Guardian Of The Mystic Well</v>
      </c>
      <c r="B254" s="3">
        <f>IFERROR(__xludf.DUMMYFUNCTION("""COMPUTED_VALUE"""),1.0)</f>
        <v>1</v>
      </c>
      <c r="C254" s="3" t="str">
        <f>IFERROR(__xludf.DUMMYFUNCTION("""COMPUTED_VALUE"""),"the guardian of the wells")</f>
        <v>the guardian of the wells</v>
      </c>
      <c r="D254" s="12" t="str">
        <f>IFERROR(__xludf.DUMMYFUNCTION("""COMPUTED_VALUE"""),"Fae")</f>
        <v>Fae</v>
      </c>
      <c r="E254" s="12">
        <f>IFERROR(__xludf.DUMMYFUNCTION("""COMPUTED_VALUE"""),1010.0)</f>
        <v>1010</v>
      </c>
      <c r="F254" s="12">
        <f>IFERROR(__xludf.DUMMYFUNCTION("""COMPUTED_VALUE"""),1010.0)</f>
        <v>1010</v>
      </c>
      <c r="G254" s="12">
        <f>IFERROR(__xludf.DUMMYFUNCTION("""COMPUTED_VALUE"""),1010.0)</f>
        <v>1010</v>
      </c>
      <c r="H254" s="3">
        <f>IFERROR(__xludf.DUMMYFUNCTION("""COMPUTED_VALUE"""),10.0)</f>
        <v>10</v>
      </c>
      <c r="I254" s="3">
        <f>IFERROR(__xludf.DUMMYFUNCTION("""COMPUTED_VALUE"""),0.0)</f>
        <v>0</v>
      </c>
      <c r="J254" s="3">
        <f>IFERROR(__xludf.DUMMYFUNCTION("""COMPUTED_VALUE"""),0.0)</f>
        <v>0</v>
      </c>
      <c r="K254" s="3">
        <f>IFERROR(__xludf.DUMMYFUNCTION("""COMPUTED_VALUE"""),100.0)</f>
        <v>100</v>
      </c>
      <c r="L254" s="3">
        <f>IFERROR(__xludf.DUMMYFUNCTION("""COMPUTED_VALUE"""),100.0)</f>
        <v>100</v>
      </c>
      <c r="M254" s="3" t="str">
        <f>IFERROR(__xludf.DUMMYFUNCTION("""COMPUTED_VALUE"""),"Fire:Immune, Water:Immune, Storm:100, ")</f>
        <v>Fire:Immune, Water:Immune, Storm:100, </v>
      </c>
      <c r="N254" s="3" t="str">
        <f>IFERROR(__xludf.DUMMYFUNCTION("""COMPUTED_VALUE"""),"Nature:100, ")</f>
        <v>Nature:100, </v>
      </c>
      <c r="O254" s="3"/>
      <c r="P254" s="3"/>
      <c r="Q254" s="3"/>
      <c r="R254" s="3"/>
      <c r="S254" s="3"/>
      <c r="T254" s="3"/>
      <c r="U254" s="3"/>
      <c r="V254" s="3"/>
      <c r="W254" s="3"/>
      <c r="X254" s="3"/>
      <c r="Y254" s="3"/>
      <c r="Z254" s="3"/>
      <c r="AA254" s="3"/>
      <c r="AB254" s="3"/>
      <c r="AC254" s="3"/>
      <c r="AD254" s="3"/>
      <c r="AE254" s="3"/>
      <c r="AF254" s="3"/>
      <c r="AG254" s="3"/>
      <c r="AH254" s="3"/>
      <c r="AI254" s="3"/>
      <c r="AJ254" s="3" t="str">
        <f>IFERROR(__xludf.DUMMYFUNCTION("""COMPUTED_VALUE"""),"Tower Of Atlantis")</f>
        <v>Tower Of Atlantis</v>
      </c>
      <c r="AK254" s="3" t="str">
        <f>IFERROR(__xludf.DUMMYFUNCTION("""COMPUTED_VALUE"""),"Avalanche")</f>
        <v>Avalanche</v>
      </c>
      <c r="AL254" s="3" t="str">
        <f>IFERROR(__xludf.DUMMYFUNCTION("""COMPUTED_VALUE"""),"Stun wave")</f>
        <v>Stun wave</v>
      </c>
      <c r="AM254" s="3" t="str">
        <f>IFERROR(__xludf.DUMMYFUNCTION("""COMPUTED_VALUE"""),"Elemental Storm")</f>
        <v>Elemental Storm</v>
      </c>
      <c r="AN254" s="3" t="str">
        <f>IFERROR(__xludf.DUMMYFUNCTION("""COMPUTED_VALUE"""),"Thunderstorm")</f>
        <v>Thunderstorm</v>
      </c>
      <c r="AO254" s="3" t="str">
        <f>IFERROR(__xludf.DUMMYFUNCTION("""COMPUTED_VALUE"""),"Water Ward")</f>
        <v>Water Ward</v>
      </c>
      <c r="AP254" s="3" t="str">
        <f>IFERROR(__xludf.DUMMYFUNCTION("""COMPUTED_VALUE"""),"Torrential Downpour")</f>
        <v>Torrential Downpour</v>
      </c>
      <c r="AQ254" s="3"/>
      <c r="AR254" s="3"/>
      <c r="AS254" s="3"/>
      <c r="AT254" s="3"/>
      <c r="AU254" s="3"/>
      <c r="AV254" s="3"/>
      <c r="AW254" s="3"/>
      <c r="AX254" s="3"/>
      <c r="AY254" s="3"/>
      <c r="AZ254" s="3"/>
      <c r="BA254" s="3"/>
      <c r="BB254" s="3"/>
      <c r="BC254" s="1"/>
      <c r="BD254" s="3">
        <f>IFERROR(__xludf.DUMMYFUNCTION("""COMPUTED_VALUE"""),0.0)</f>
        <v>0</v>
      </c>
      <c r="BE254" s="4">
        <f>IFERROR(__xludf.DUMMYFUNCTION("""COMPUTED_VALUE"""),10.0)</f>
        <v>10</v>
      </c>
      <c r="BF254" s="3"/>
      <c r="BG254" s="3" t="str">
        <f>IFERROR(__xludf.DUMMYFUNCTION("""COMPUTED_VALUE"""),"City/Town")</f>
        <v>City/Town</v>
      </c>
      <c r="BH254" s="3" t="str">
        <f>IFERROR(__xludf.DUMMYFUNCTION("""COMPUTED_VALUE"""),"Land of Spira")</f>
        <v>Land of Spira</v>
      </c>
      <c r="BI254" s="3"/>
      <c r="BJ254" s="3"/>
      <c r="BK254" s="3"/>
      <c r="BL254" s="3" t="b">
        <f>IFERROR(__xludf.DUMMYFUNCTION("""COMPUTED_VALUE"""),FALSE)</f>
        <v>0</v>
      </c>
      <c r="BM254" s="3"/>
      <c r="BN254" s="3"/>
      <c r="BO254" s="3"/>
      <c r="BP254" s="3"/>
      <c r="BQ254" s="3"/>
      <c r="BR254" s="3"/>
      <c r="BS254" s="3"/>
      <c r="BT254" s="3"/>
      <c r="BU254" s="3"/>
      <c r="BV254" s="3"/>
      <c r="BW254" s="3"/>
    </row>
    <row r="255" ht="15.75" customHeight="1">
      <c r="A255" s="3"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255" s="3">
        <f>IFERROR(__xludf.DUMMYFUNCTION("""COMPUTED_VALUE"""),1.0)</f>
        <v>1</v>
      </c>
      <c r="C255" s="3"/>
      <c r="D255" s="12" t="str">
        <f>IFERROR(__xludf.DUMMYFUNCTION("""COMPUTED_VALUE"""),"Demonic")</f>
        <v>Demonic</v>
      </c>
      <c r="E255" s="12">
        <f>IFERROR(__xludf.DUMMYFUNCTION("""COMPUTED_VALUE"""),1010.0)</f>
        <v>1010</v>
      </c>
      <c r="F255" s="12">
        <f>IFERROR(__xludf.DUMMYFUNCTION("""COMPUTED_VALUE"""),1010.0)</f>
        <v>1010</v>
      </c>
      <c r="G255" s="12">
        <f>IFERROR(__xludf.DUMMYFUNCTION("""COMPUTED_VALUE"""),1010.0)</f>
        <v>1010</v>
      </c>
      <c r="H255" s="3">
        <f>IFERROR(__xludf.DUMMYFUNCTION("""COMPUTED_VALUE"""),10.0)</f>
        <v>10</v>
      </c>
      <c r="I255" s="3">
        <f>IFERROR(__xludf.DUMMYFUNCTION("""COMPUTED_VALUE"""),0.0)</f>
        <v>0</v>
      </c>
      <c r="J255" s="3">
        <f>IFERROR(__xludf.DUMMYFUNCTION("""COMPUTED_VALUE"""),0.0)</f>
        <v>0</v>
      </c>
      <c r="K255" s="3">
        <f>IFERROR(__xludf.DUMMYFUNCTION("""COMPUTED_VALUE"""),100.0)</f>
        <v>100</v>
      </c>
      <c r="L255" s="3">
        <f>IFERROR(__xludf.DUMMYFUNCTION("""COMPUTED_VALUE"""),100.0)</f>
        <v>100</v>
      </c>
      <c r="M255" s="3" t="str">
        <f>IFERROR(__xludf.DUMMYFUNCTION("""COMPUTED_VALUE"""),"")</f>
        <v/>
      </c>
      <c r="N255" s="3" t="str">
        <f>IFERROR(__xludf.DUMMYFUNCTION("""COMPUTED_VALUE"""),"")</f>
        <v/>
      </c>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1"/>
      <c r="BD255" s="3">
        <f>IFERROR(__xludf.DUMMYFUNCTION("""COMPUTED_VALUE"""),0.0)</f>
        <v>0</v>
      </c>
      <c r="BE255" s="4">
        <f>IFERROR(__xludf.DUMMYFUNCTION("""COMPUTED_VALUE"""),10.0)</f>
        <v>10</v>
      </c>
      <c r="BF255" s="3" t="str">
        <f>IFERROR(__xludf.DUMMYFUNCTION("""COMPUTED_VALUE"""),"will live on 1 hp unless hit with light, fire, or celestial.")</f>
        <v>will live on 1 hp unless hit with light, fire, or celestial.</v>
      </c>
      <c r="BG255" s="3" t="str">
        <f>IFERROR(__xludf.DUMMYFUNCTION("""COMPUTED_VALUE"""),"All")</f>
        <v>All</v>
      </c>
      <c r="BH255" s="3" t="str">
        <f>IFERROR(__xludf.DUMMYFUNCTION("""COMPUTED_VALUE"""),"Land Of Spira")</f>
        <v>Land Of Spira</v>
      </c>
      <c r="BI255" s="3"/>
      <c r="BJ255" s="3"/>
      <c r="BK255" s="3"/>
      <c r="BL255" s="3" t="b">
        <f>IFERROR(__xludf.DUMMYFUNCTION("""COMPUTED_VALUE"""),FALSE)</f>
        <v>0</v>
      </c>
      <c r="BM255" s="3"/>
      <c r="BN255" s="3"/>
      <c r="BO255" s="3"/>
      <c r="BP255" s="3"/>
      <c r="BQ255" s="3"/>
      <c r="BR255" s="3"/>
      <c r="BS255" s="3"/>
      <c r="BT255" s="3"/>
      <c r="BU255" s="3"/>
      <c r="BV255" s="3"/>
      <c r="BW255" s="3"/>
    </row>
    <row r="256" ht="15.75" customHeight="1">
      <c r="A256" s="3" t="str">
        <f>IFERROR(__xludf.DUMMYFUNCTION("""COMPUTED_VALUE"""),"The Horseman Of Lord Dreadful No. 2 This enemy will appear alongside The Horseman Of Lord Dreadful No. 1")</f>
        <v>The Horseman Of Lord Dreadful No. 2 This enemy will appear alongside The Horseman Of Lord Dreadful No. 1</v>
      </c>
      <c r="B256" s="3">
        <f>IFERROR(__xludf.DUMMYFUNCTION("""COMPUTED_VALUE"""),1.0)</f>
        <v>1</v>
      </c>
      <c r="C256" s="3"/>
      <c r="D256" s="12" t="str">
        <f>IFERROR(__xludf.DUMMYFUNCTION("""COMPUTED_VALUE"""),"Demonic")</f>
        <v>Demonic</v>
      </c>
      <c r="E256" s="12">
        <f>IFERROR(__xludf.DUMMYFUNCTION("""COMPUTED_VALUE"""),1010.0)</f>
        <v>1010</v>
      </c>
      <c r="F256" s="12">
        <f>IFERROR(__xludf.DUMMYFUNCTION("""COMPUTED_VALUE"""),1010.0)</f>
        <v>1010</v>
      </c>
      <c r="G256" s="12">
        <f>IFERROR(__xludf.DUMMYFUNCTION("""COMPUTED_VALUE"""),1010.0)</f>
        <v>1010</v>
      </c>
      <c r="H256" s="3">
        <f>IFERROR(__xludf.DUMMYFUNCTION("""COMPUTED_VALUE"""),10.0)</f>
        <v>10</v>
      </c>
      <c r="I256" s="3">
        <f>IFERROR(__xludf.DUMMYFUNCTION("""COMPUTED_VALUE"""),0.0)</f>
        <v>0</v>
      </c>
      <c r="J256" s="3">
        <f>IFERROR(__xludf.DUMMYFUNCTION("""COMPUTED_VALUE"""),0.0)</f>
        <v>0</v>
      </c>
      <c r="K256" s="3">
        <f>IFERROR(__xludf.DUMMYFUNCTION("""COMPUTED_VALUE"""),100.0)</f>
        <v>100</v>
      </c>
      <c r="L256" s="3">
        <f>IFERROR(__xludf.DUMMYFUNCTION("""COMPUTED_VALUE"""),100.0)</f>
        <v>100</v>
      </c>
      <c r="M256" s="3" t="str">
        <f>IFERROR(__xludf.DUMMYFUNCTION("""COMPUTED_VALUE"""),"")</f>
        <v/>
      </c>
      <c r="N256" s="3" t="str">
        <f>IFERROR(__xludf.DUMMYFUNCTION("""COMPUTED_VALUE"""),"")</f>
        <v/>
      </c>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1"/>
      <c r="BD256" s="3">
        <f>IFERROR(__xludf.DUMMYFUNCTION("""COMPUTED_VALUE"""),0.0)</f>
        <v>0</v>
      </c>
      <c r="BE256" s="4">
        <f>IFERROR(__xludf.DUMMYFUNCTION("""COMPUTED_VALUE"""),10.0)</f>
        <v>10</v>
      </c>
      <c r="BF256" s="3" t="str">
        <f>IFERROR(__xludf.DUMMYFUNCTION("""COMPUTED_VALUE"""),"will live on 1 hp unless hit with light, fire, or celestial.")</f>
        <v>will live on 1 hp unless hit with light, fire, or celestial.</v>
      </c>
      <c r="BG256" s="3" t="str">
        <f>IFERROR(__xludf.DUMMYFUNCTION("""COMPUTED_VALUE"""),"All")</f>
        <v>All</v>
      </c>
      <c r="BH256" s="3" t="str">
        <f>IFERROR(__xludf.DUMMYFUNCTION("""COMPUTED_VALUE"""),"Land Of Spira")</f>
        <v>Land Of Spira</v>
      </c>
      <c r="BI256" s="3"/>
      <c r="BJ256" s="3"/>
      <c r="BK256" s="3"/>
      <c r="BL256" s="3" t="b">
        <f>IFERROR(__xludf.DUMMYFUNCTION("""COMPUTED_VALUE"""),FALSE)</f>
        <v>0</v>
      </c>
      <c r="BM256" s="3"/>
      <c r="BN256" s="3"/>
      <c r="BO256" s="3"/>
      <c r="BP256" s="3"/>
      <c r="BQ256" s="3"/>
      <c r="BR256" s="3"/>
      <c r="BS256" s="3"/>
      <c r="BT256" s="3"/>
      <c r="BU256" s="3"/>
      <c r="BV256" s="3"/>
      <c r="BW256" s="3"/>
    </row>
    <row r="257" ht="15.75" customHeight="1">
      <c r="A257" s="3" t="str">
        <f>IFERROR(__xludf.DUMMYFUNCTION("""COMPUTED_VALUE"""),"The Kraken")</f>
        <v>The Kraken</v>
      </c>
      <c r="B257" s="3">
        <f>IFERROR(__xludf.DUMMYFUNCTION("""COMPUTED_VALUE"""),1.0)</f>
        <v>1</v>
      </c>
      <c r="C257" s="3" t="str">
        <f>IFERROR(__xludf.DUMMYFUNCTION("""COMPUTED_VALUE"""),"The modifier to water damage from all his equipment is X90 water damage")</f>
        <v>The modifier to water damage from all his equipment is X90 water damage</v>
      </c>
      <c r="D257" s="12" t="str">
        <f>IFERROR(__xludf.DUMMYFUNCTION("""COMPUTED_VALUE"""),"Beast")</f>
        <v>Beast</v>
      </c>
      <c r="E257" s="12">
        <f>IFERROR(__xludf.DUMMYFUNCTION("""COMPUTED_VALUE"""),1010.0)</f>
        <v>1010</v>
      </c>
      <c r="F257" s="12">
        <f>IFERROR(__xludf.DUMMYFUNCTION("""COMPUTED_VALUE"""),1010.0)</f>
        <v>1010</v>
      </c>
      <c r="G257" s="12">
        <f>IFERROR(__xludf.DUMMYFUNCTION("""COMPUTED_VALUE"""),81010.0)</f>
        <v>81010</v>
      </c>
      <c r="H257" s="3">
        <f>IFERROR(__xludf.DUMMYFUNCTION("""COMPUTED_VALUE"""),10.0)</f>
        <v>10</v>
      </c>
      <c r="I257" s="3">
        <f>IFERROR(__xludf.DUMMYFUNCTION("""COMPUTED_VALUE"""),0.0)</f>
        <v>0</v>
      </c>
      <c r="J257" s="3">
        <f>IFERROR(__xludf.DUMMYFUNCTION("""COMPUTED_VALUE"""),0.0)</f>
        <v>0</v>
      </c>
      <c r="K257" s="3">
        <f>IFERROR(__xludf.DUMMYFUNCTION("""COMPUTED_VALUE"""),100.0)</f>
        <v>100</v>
      </c>
      <c r="L257" s="3">
        <f>IFERROR(__xludf.DUMMYFUNCTION("""COMPUTED_VALUE"""),100.0)</f>
        <v>100</v>
      </c>
      <c r="M257" s="3" t="str">
        <f>IFERROR(__xludf.DUMMYFUNCTION("""COMPUTED_VALUE"""),"Fire:Immune, Water:Immune, Instant Death:Immune, Banishment:Immune, ")</f>
        <v>Fire:Immune, Water:Immune, Instant Death:Immune, Banishment:Immune, </v>
      </c>
      <c r="N257" s="3" t="str">
        <f>IFERROR(__xludf.DUMMYFUNCTION("""COMPUTED_VALUE"""),"Nature:100, ")</f>
        <v>Nature:100, </v>
      </c>
      <c r="O257" s="3" t="str">
        <f>IFERROR(__xludf.DUMMYFUNCTION("""COMPUTED_VALUE"""),"Poseidon's Helmet")</f>
        <v>Poseidon's Helmet</v>
      </c>
      <c r="P257" s="3"/>
      <c r="Q257" s="3"/>
      <c r="R257" s="3"/>
      <c r="S257" s="3" t="str">
        <f>IFERROR(__xludf.DUMMYFUNCTION("""COMPUTED_VALUE"""),"Poseidon's Pauldrons")</f>
        <v>Poseidon's Pauldrons</v>
      </c>
      <c r="T257" s="3" t="str">
        <f>IFERROR(__xludf.DUMMYFUNCTION("""COMPUTED_VALUE"""),"Poseidon's Chestplate")</f>
        <v>Poseidon's Chestplate</v>
      </c>
      <c r="U257" s="3" t="str">
        <f>IFERROR(__xludf.DUMMYFUNCTION("""COMPUTED_VALUE"""),"Poseidon's Vambraces")</f>
        <v>Poseidon's Vambraces</v>
      </c>
      <c r="V257" s="3" t="str">
        <f>IFERROR(__xludf.DUMMYFUNCTION("""COMPUTED_VALUE"""),"Poseidon's Sword")</f>
        <v>Poseidon's Sword</v>
      </c>
      <c r="W257" s="3" t="str">
        <f>IFERROR(__xludf.DUMMYFUNCTION("""COMPUTED_VALUE"""),"Poseidon's Trident")</f>
        <v>Poseidon's Trident</v>
      </c>
      <c r="X257" s="3" t="str">
        <f>IFERROR(__xludf.DUMMYFUNCTION("""COMPUTED_VALUE"""),"Poseidon's Ring")</f>
        <v>Poseidon's Ring</v>
      </c>
      <c r="Y257" s="3" t="str">
        <f>IFERROR(__xludf.DUMMYFUNCTION("""COMPUTED_VALUE"""),"Poseidon's Ring")</f>
        <v>Poseidon's Ring</v>
      </c>
      <c r="Z257" s="3" t="str">
        <f>IFERROR(__xludf.DUMMYFUNCTION("""COMPUTED_VALUE"""),"Poseidon's Ring")</f>
        <v>Poseidon's Ring</v>
      </c>
      <c r="AA257" s="3" t="str">
        <f>IFERROR(__xludf.DUMMYFUNCTION("""COMPUTED_VALUE"""),"Poseidon's Ring")</f>
        <v>Poseidon's Ring</v>
      </c>
      <c r="AB257" s="3" t="str">
        <f>IFERROR(__xludf.DUMMYFUNCTION("""COMPUTED_VALUE"""),"Poseidon's Ring")</f>
        <v>Poseidon's Ring</v>
      </c>
      <c r="AC257" s="3" t="str">
        <f>IFERROR(__xludf.DUMMYFUNCTION("""COMPUTED_VALUE"""),"Poseidon's Ring")</f>
        <v>Poseidon's Ring</v>
      </c>
      <c r="AD257" s="3" t="str">
        <f>IFERROR(__xludf.DUMMYFUNCTION("""COMPUTED_VALUE"""),"Poseidon's Ring")</f>
        <v>Poseidon's Ring</v>
      </c>
      <c r="AE257" s="3" t="str">
        <f>IFERROR(__xludf.DUMMYFUNCTION("""COMPUTED_VALUE"""),"Poseidon's Ring")</f>
        <v>Poseidon's Ring</v>
      </c>
      <c r="AF257" s="3" t="str">
        <f>IFERROR(__xludf.DUMMYFUNCTION("""COMPUTED_VALUE"""),"Poseidon's Ring")</f>
        <v>Poseidon's Ring</v>
      </c>
      <c r="AG257" s="3" t="str">
        <f>IFERROR(__xludf.DUMMYFUNCTION("""COMPUTED_VALUE"""),"Poseidon's Ring")</f>
        <v>Poseidon's Ring</v>
      </c>
      <c r="AH257" s="3" t="str">
        <f>IFERROR(__xludf.DUMMYFUNCTION("""COMPUTED_VALUE"""),"Poseidon's Greaves")</f>
        <v>Poseidon's Greaves</v>
      </c>
      <c r="AI257" s="3" t="str">
        <f>IFERROR(__xludf.DUMMYFUNCTION("""COMPUTED_VALUE"""),"Poseidon's Boots")</f>
        <v>Poseidon's Boots</v>
      </c>
      <c r="AJ257" s="3" t="str">
        <f>IFERROR(__xludf.DUMMYFUNCTION("""COMPUTED_VALUE"""),"Krakoken")</f>
        <v>Krakoken</v>
      </c>
      <c r="AK257" s="3" t="str">
        <f>IFERROR(__xludf.DUMMYFUNCTION("""COMPUTED_VALUE"""),"Kraken Smarts")</f>
        <v>Kraken Smarts</v>
      </c>
      <c r="AL257" s="3" t="str">
        <f>IFERROR(__xludf.DUMMYFUNCTION("""COMPUTED_VALUE"""),"Krakens Roar")</f>
        <v>Krakens Roar</v>
      </c>
      <c r="AM257" s="3" t="str">
        <f>IFERROR(__xludf.DUMMYFUNCTION("""COMPUTED_VALUE"""),"Bite")</f>
        <v>Bite</v>
      </c>
      <c r="AN257" s="3" t="str">
        <f>IFERROR(__xludf.DUMMYFUNCTION("""COMPUTED_VALUE"""),"Mass Destruction")</f>
        <v>Mass Destruction</v>
      </c>
      <c r="AO257" s="3" t="str">
        <f>IFERROR(__xludf.DUMMYFUNCTION("""COMPUTED_VALUE"""),"Torrential Downpour")</f>
        <v>Torrential Downpour</v>
      </c>
      <c r="AP257" s="3" t="str">
        <f>IFERROR(__xludf.DUMMYFUNCTION("""COMPUTED_VALUE"""),"Multishot")</f>
        <v>Multishot</v>
      </c>
      <c r="AQ257" s="3" t="str">
        <f>IFERROR(__xludf.DUMMYFUNCTION("""COMPUTED_VALUE"""),"Water Ward")</f>
        <v>Water Ward</v>
      </c>
      <c r="AR257" s="3" t="str">
        <f>IFERROR(__xludf.DUMMYFUNCTION("""COMPUTED_VALUE"""),"Cancel")</f>
        <v>Cancel</v>
      </c>
      <c r="AS257" s="3"/>
      <c r="AT257" s="3"/>
      <c r="AU257" s="3"/>
      <c r="AV257" s="3"/>
      <c r="AW257" s="3"/>
      <c r="AX257" s="3"/>
      <c r="AY257" s="3"/>
      <c r="AZ257" s="3"/>
      <c r="BA257" s="3"/>
      <c r="BB257" s="3"/>
      <c r="BC257" s="1"/>
      <c r="BD257" s="3">
        <f>IFERROR(__xludf.DUMMYFUNCTION("""COMPUTED_VALUE"""),0.0)</f>
        <v>0</v>
      </c>
      <c r="BE257" s="4">
        <f>IFERROR(__xludf.DUMMYFUNCTION("""COMPUTED_VALUE"""),10.0)</f>
        <v>10</v>
      </c>
      <c r="BF257" s="3" t="str">
        <f>IFERROR(__xludf.DUMMYFUNCTION("""COMPUTED_VALUE"""),"Luck of The Sea II:  +10 can be added to the casters d20 rolls.
75% chance to be unaffected by any spells affecting this mob
Item's cannot be taken from this mob.")</f>
        <v>Luck of The Sea II:  +10 can be added to the casters d20 rolls.
75% chance to be unaffected by any spells affecting this mob
Item's cannot be taken from this mob.</v>
      </c>
      <c r="BG257" s="3" t="str">
        <f>IFERROR(__xludf.DUMMYFUNCTION("""COMPUTED_VALUE"""),"Ocean")</f>
        <v>Ocean</v>
      </c>
      <c r="BH257" s="3" t="str">
        <f>IFERROR(__xludf.DUMMYFUNCTION("""COMPUTED_VALUE"""),"Land of Spira")</f>
        <v>Land of Spira</v>
      </c>
      <c r="BI257" s="3"/>
      <c r="BJ257" s="3"/>
      <c r="BK257" s="3"/>
      <c r="BL257" s="3" t="b">
        <f>IFERROR(__xludf.DUMMYFUNCTION("""COMPUTED_VALUE"""),FALSE)</f>
        <v>0</v>
      </c>
      <c r="BM257" s="3"/>
      <c r="BN257" s="3"/>
      <c r="BO257" s="3"/>
      <c r="BP257" s="3"/>
      <c r="BQ257" s="3"/>
      <c r="BR257" s="3"/>
      <c r="BS257" s="3"/>
      <c r="BT257" s="3"/>
      <c r="BU257" s="3"/>
      <c r="BV257" s="3"/>
      <c r="BW257" s="3"/>
    </row>
    <row r="258" ht="15.75" customHeight="1">
      <c r="A258" s="3" t="str">
        <f>IFERROR(__xludf.DUMMYFUNCTION("""COMPUTED_VALUE"""),"The Puppet Master")</f>
        <v>The Puppet Master</v>
      </c>
      <c r="B258" s="3">
        <f>IFERROR(__xludf.DUMMYFUNCTION("""COMPUTED_VALUE"""),1.0)</f>
        <v>1</v>
      </c>
      <c r="C258" s="3" t="str">
        <f>IFERROR(__xludf.DUMMYFUNCTION("""COMPUTED_VALUE"""),"A new opponent which seeks power. Controller of Minds, which happens to be deathblade's Best friend.")</f>
        <v>A new opponent which seeks power. Controller of Minds, which happens to be deathblade's Best friend.</v>
      </c>
      <c r="D258" s="3" t="str">
        <f>IFERROR(__xludf.DUMMYFUNCTION("""COMPUTED_VALUE"""),"Humanoid")</f>
        <v>Humanoid</v>
      </c>
      <c r="E258" s="3">
        <f>IFERROR(__xludf.DUMMYFUNCTION("""COMPUTED_VALUE"""),1010.0)</f>
        <v>1010</v>
      </c>
      <c r="F258" s="12">
        <f>IFERROR(__xludf.DUMMYFUNCTION("""COMPUTED_VALUE"""),1010.0)</f>
        <v>1010</v>
      </c>
      <c r="G258" s="3">
        <f>IFERROR(__xludf.DUMMYFUNCTION("""COMPUTED_VALUE"""),1010.0)</f>
        <v>1010</v>
      </c>
      <c r="H258" s="3">
        <f>IFERROR(__xludf.DUMMYFUNCTION("""COMPUTED_VALUE"""),10.0)</f>
        <v>10</v>
      </c>
      <c r="I258" s="3">
        <f>IFERROR(__xludf.DUMMYFUNCTION("""COMPUTED_VALUE"""),0.0)</f>
        <v>0</v>
      </c>
      <c r="J258" s="3">
        <f>IFERROR(__xludf.DUMMYFUNCTION("""COMPUTED_VALUE"""),0.0)</f>
        <v>0</v>
      </c>
      <c r="K258" s="3">
        <f>IFERROR(__xludf.DUMMYFUNCTION("""COMPUTED_VALUE"""),100.0)</f>
        <v>100</v>
      </c>
      <c r="L258" s="3">
        <f>IFERROR(__xludf.DUMMYFUNCTION("""COMPUTED_VALUE"""),100.0)</f>
        <v>100</v>
      </c>
      <c r="M258" s="3" t="str">
        <f>IFERROR(__xludf.DUMMYFUNCTION("""COMPUTED_VALUE"""),"Dark:Immune, Spirit:immune, Chaos:immune, Stasis:Immune, Voodoo:immune, Instant Death:Immune, Banishment:Immune, ")</f>
        <v>Dark:Immune, Spirit:immune, Chaos:immune, Stasis:Immune, Voodoo:immune, Instant Death:Immune, Banishment:Immune, </v>
      </c>
      <c r="N258" s="3" t="str">
        <f>IFERROR(__xludf.DUMMYFUNCTION("""COMPUTED_VALUE"""),"Fire:100, Light:100, Order:100, ")</f>
        <v>Fire:100, Light:100, Order:100, </v>
      </c>
      <c r="O258" s="3"/>
      <c r="P258" s="3"/>
      <c r="Q258" s="3"/>
      <c r="R258" s="3"/>
      <c r="S258" s="3"/>
      <c r="T258" s="3"/>
      <c r="U258" s="3"/>
      <c r="V258" s="3"/>
      <c r="W258" s="3"/>
      <c r="X258" s="3"/>
      <c r="Y258" s="3"/>
      <c r="Z258" s="3"/>
      <c r="AA258" s="3"/>
      <c r="AB258" s="3"/>
      <c r="AC258" s="3"/>
      <c r="AD258" s="3"/>
      <c r="AE258" s="3"/>
      <c r="AF258" s="3"/>
      <c r="AG258" s="3"/>
      <c r="AH258" s="3"/>
      <c r="AI258" s="3"/>
      <c r="AJ258" s="3" t="str">
        <f>IFERROR(__xludf.DUMMYFUNCTION("""COMPUTED_VALUE"""),"Conceal")</f>
        <v>Conceal</v>
      </c>
      <c r="AK258" s="3" t="str">
        <f>IFERROR(__xludf.DUMMYFUNCTION("""COMPUTED_VALUE"""),"Last Gamble")</f>
        <v>Last Gamble</v>
      </c>
      <c r="AL258" s="3" t="str">
        <f>IFERROR(__xludf.DUMMYFUNCTION("""COMPUTED_VALUE"""),"Chaotic Shadow Force")</f>
        <v>Chaotic Shadow Force</v>
      </c>
      <c r="AM258" s="3" t="str">
        <f>IFERROR(__xludf.DUMMYFUNCTION("""COMPUTED_VALUE"""),"Celestial blast")</f>
        <v>Celestial blast</v>
      </c>
      <c r="AN258" s="3" t="str">
        <f>IFERROR(__xludf.DUMMYFUNCTION("""COMPUTED_VALUE"""),"Mass Destruction")</f>
        <v>Mass Destruction</v>
      </c>
      <c r="AO258" s="3" t="str">
        <f>IFERROR(__xludf.DUMMYFUNCTION("""COMPUTED_VALUE"""),"Celestial Summon")</f>
        <v>Celestial Summon</v>
      </c>
      <c r="AP258" s="3" t="str">
        <f>IFERROR(__xludf.DUMMYFUNCTION("""COMPUTED_VALUE"""),"Chaos Ward")</f>
        <v>Chaos Ward</v>
      </c>
      <c r="AQ258" s="3" t="str">
        <f>IFERROR(__xludf.DUMMYFUNCTION("""COMPUTED_VALUE"""),"Stun Negation")</f>
        <v>Stun Negation</v>
      </c>
      <c r="AR258" s="3" t="str">
        <f>IFERROR(__xludf.DUMMYFUNCTION("""COMPUTED_VALUE"""),"Enthrall")</f>
        <v>Enthrall</v>
      </c>
      <c r="AS258" s="3" t="str">
        <f>IFERROR(__xludf.DUMMYFUNCTION("""COMPUTED_VALUE"""),"Multishot")</f>
        <v>Multishot</v>
      </c>
      <c r="AT258" s="3"/>
      <c r="AU258" s="3"/>
      <c r="AV258" s="3"/>
      <c r="AW258" s="3"/>
      <c r="AX258" s="3"/>
      <c r="AY258" s="3"/>
      <c r="AZ258" s="3"/>
      <c r="BA258" s="3"/>
      <c r="BB258" s="3"/>
      <c r="BC258" s="1"/>
      <c r="BD258" s="3">
        <f>IFERROR(__xludf.DUMMYFUNCTION("""COMPUTED_VALUE"""),0.0)</f>
        <v>0</v>
      </c>
      <c r="BE258" s="4">
        <f>IFERROR(__xludf.DUMMYFUNCTION("""COMPUTED_VALUE"""),10.0)</f>
        <v>10</v>
      </c>
      <c r="BF258" s="3" t="str">
        <f>IFERROR(__xludf.DUMMYFUNCTION("""COMPUTED_VALUE"""),"Puppets Curse: When a spell is casted by anyone other then this mob, the enemy that casted the spell will have a 50% chance to lose 500 HP and SP, A puppet will then be summoned. 
75% chance to be unaffected by any spells affecting this mob
A Dark Calli"&amp;"ng II: +10 can be added to this mobs rolls.")</f>
        <v>Puppets Curse: When a spell is casted by anyone other then this mob, the enemy that casted the spell will have a 50% chance to lose 500 HP and SP, A puppet will then be summoned. 
75% chance to be unaffected by any spells affecting this mob
A Dark Calling II: +10 can be added to this mobs rolls.</v>
      </c>
      <c r="BG258" s="3" t="str">
        <f>IFERROR(__xludf.DUMMYFUNCTION("""COMPUTED_VALUE"""),"All")</f>
        <v>All</v>
      </c>
      <c r="BH258" s="3" t="str">
        <f>IFERROR(__xludf.DUMMYFUNCTION("""COMPUTED_VALUE"""),"Land of The Forgotten")</f>
        <v>Land of The Forgotten</v>
      </c>
      <c r="BI258" s="3"/>
      <c r="BJ258" s="3"/>
      <c r="BK258" s="3"/>
      <c r="BL258" s="3" t="b">
        <f>IFERROR(__xludf.DUMMYFUNCTION("""COMPUTED_VALUE"""),FALSE)</f>
        <v>0</v>
      </c>
      <c r="BM258" s="3"/>
      <c r="BN258" s="3"/>
      <c r="BO258" s="3"/>
      <c r="BP258" s="3"/>
      <c r="BQ258" s="3"/>
      <c r="BR258" s="3"/>
      <c r="BS258" s="3"/>
      <c r="BT258" s="3"/>
      <c r="BU258" s="3"/>
      <c r="BV258" s="3"/>
      <c r="BW258" s="3"/>
    </row>
    <row r="259" ht="15.75" customHeight="1">
      <c r="A259" s="3" t="str">
        <f>IFERROR(__xludf.DUMMYFUNCTION("""COMPUTED_VALUE"""),"The Purple Necromancer")</f>
        <v>The Purple Necromancer</v>
      </c>
      <c r="B259" s="3">
        <f>IFERROR(__xludf.DUMMYFUNCTION("""COMPUTED_VALUE"""),1.0)</f>
        <v>1</v>
      </c>
      <c r="C259" s="3"/>
      <c r="D259" s="12" t="str">
        <f>IFERROR(__xludf.DUMMYFUNCTION("""COMPUTED_VALUE"""),"Humanoid")</f>
        <v>Humanoid</v>
      </c>
      <c r="E259" s="12">
        <f>IFERROR(__xludf.DUMMYFUNCTION("""COMPUTED_VALUE"""),1010.0)</f>
        <v>1010</v>
      </c>
      <c r="F259" s="12">
        <f>IFERROR(__xludf.DUMMYFUNCTION("""COMPUTED_VALUE"""),1010.0)</f>
        <v>1010</v>
      </c>
      <c r="G259" s="12">
        <f>IFERROR(__xludf.DUMMYFUNCTION("""COMPUTED_VALUE"""),1010.0)</f>
        <v>1010</v>
      </c>
      <c r="H259" s="3">
        <f>IFERROR(__xludf.DUMMYFUNCTION("""COMPUTED_VALUE"""),10.0)</f>
        <v>10</v>
      </c>
      <c r="I259" s="3">
        <f>IFERROR(__xludf.DUMMYFUNCTION("""COMPUTED_VALUE"""),0.0)</f>
        <v>0</v>
      </c>
      <c r="J259" s="3">
        <f>IFERROR(__xludf.DUMMYFUNCTION("""COMPUTED_VALUE"""),0.0)</f>
        <v>0</v>
      </c>
      <c r="K259" s="3">
        <f>IFERROR(__xludf.DUMMYFUNCTION("""COMPUTED_VALUE"""),100.0)</f>
        <v>100</v>
      </c>
      <c r="L259" s="3">
        <f>IFERROR(__xludf.DUMMYFUNCTION("""COMPUTED_VALUE"""),100.0)</f>
        <v>100</v>
      </c>
      <c r="M259" s="3" t="str">
        <f>IFERROR(__xludf.DUMMYFUNCTION("""COMPUTED_VALUE"""),"Storm:Immune, Dark:Immune, Chaos:Immune, Instant Death:Immune, ")</f>
        <v>Storm:Immune, Dark:Immune, Chaos:Immune, Instant Death:Immune, </v>
      </c>
      <c r="N259" s="3" t="str">
        <f>IFERROR(__xludf.DUMMYFUNCTION("""COMPUTED_VALUE"""),"")</f>
        <v/>
      </c>
      <c r="O259" s="3"/>
      <c r="P259" s="3"/>
      <c r="Q259" s="3"/>
      <c r="R259" s="3"/>
      <c r="S259" s="3"/>
      <c r="T259" s="3"/>
      <c r="U259" s="3"/>
      <c r="V259" s="3" t="str">
        <f>IFERROR(__xludf.DUMMYFUNCTION("""COMPUTED_VALUE"""),"Staff of Chaotic Shadows")</f>
        <v>Staff of Chaotic Shadows</v>
      </c>
      <c r="W259" s="3"/>
      <c r="X259" s="3"/>
      <c r="Y259" s="3"/>
      <c r="Z259" s="3"/>
      <c r="AA259" s="3"/>
      <c r="AB259" s="3"/>
      <c r="AC259" s="3"/>
      <c r="AD259" s="3"/>
      <c r="AE259" s="3"/>
      <c r="AF259" s="3"/>
      <c r="AG259" s="3"/>
      <c r="AH259" s="3"/>
      <c r="AI259" s="3"/>
      <c r="AJ259" s="3" t="str">
        <f>IFERROR(__xludf.DUMMYFUNCTION("""COMPUTED_VALUE"""),"Chaincast")</f>
        <v>Chaincast</v>
      </c>
      <c r="AK259" s="3" t="str">
        <f>IFERROR(__xludf.DUMMYFUNCTION("""COMPUTED_VALUE"""),"Raise Dead")</f>
        <v>Raise Dead</v>
      </c>
      <c r="AL259" s="3" t="str">
        <f>IFERROR(__xludf.DUMMYFUNCTION("""COMPUTED_VALUE"""),"Darkest Abyss")</f>
        <v>Darkest Abyss</v>
      </c>
      <c r="AM259" s="3" t="str">
        <f>IFERROR(__xludf.DUMMYFUNCTION("""COMPUTED_VALUE"""),"Darkness Ablaze")</f>
        <v>Darkness Ablaze</v>
      </c>
      <c r="AN259" s="3" t="str">
        <f>IFERROR(__xludf.DUMMYFUNCTION("""COMPUTED_VALUE"""),"Dimensional Quake")</f>
        <v>Dimensional Quake</v>
      </c>
      <c r="AO259" s="3" t="str">
        <f>IFERROR(__xludf.DUMMYFUNCTION("""COMPUTED_VALUE"""),"Voodoo Ritual of Raise The Dead")</f>
        <v>Voodoo Ritual of Raise The Dead</v>
      </c>
      <c r="AP259" s="3" t="str">
        <f>IFERROR(__xludf.DUMMYFUNCTION("""COMPUTED_VALUE"""),"End The Voodoo Contract")</f>
        <v>End The Voodoo Contract</v>
      </c>
      <c r="AQ259" s="3" t="str">
        <f>IFERROR(__xludf.DUMMYFUNCTION("""COMPUTED_VALUE"""),"Dreading Storm")</f>
        <v>Dreading Storm</v>
      </c>
      <c r="AR259" s="3" t="str">
        <f>IFERROR(__xludf.DUMMYFUNCTION("""COMPUTED_VALUE"""),"Tornado")</f>
        <v>Tornado</v>
      </c>
      <c r="AS259" s="3" t="str">
        <f>IFERROR(__xludf.DUMMYFUNCTION("""COMPUTED_VALUE"""),"Celestial Wrath")</f>
        <v>Celestial Wrath</v>
      </c>
      <c r="AT259" s="3"/>
      <c r="AU259" s="3"/>
      <c r="AV259" s="3"/>
      <c r="AW259" s="3"/>
      <c r="AX259" s="3"/>
      <c r="AY259" s="3"/>
      <c r="AZ259" s="3"/>
      <c r="BA259" s="3"/>
      <c r="BB259" s="3"/>
      <c r="BC259" s="1"/>
      <c r="BD259" s="3">
        <f>IFERROR(__xludf.DUMMYFUNCTION("""COMPUTED_VALUE"""),0.0)</f>
        <v>0</v>
      </c>
      <c r="BE259" s="4">
        <f>IFERROR(__xludf.DUMMYFUNCTION("""COMPUTED_VALUE"""),10.0)</f>
        <v>10</v>
      </c>
      <c r="BF259" s="3" t="str">
        <f>IFERROR(__xludf.DUMMYFUNCTION("""COMPUTED_VALUE"""),"A Dark Calling II: +10 can be added to this mobs rolls.
A Fallen Ally Must Never Die: 50% Chance to  revive an ally when they die.
Everliving Necromancer: 50% chance to come back to life after death once per battle.")</f>
        <v>A Dark Calling II: +10 can be added to this mobs rolls.
A Fallen Ally Must Never Die: 50% Chance to  revive an ally when they die.
Everliving Necromancer: 50% chance to come back to life after death once per battle.</v>
      </c>
      <c r="BG259" s="3" t="str">
        <f>IFERROR(__xludf.DUMMYFUNCTION("""COMPUTED_VALUE"""),"All")</f>
        <v>All</v>
      </c>
      <c r="BH259" s="3" t="str">
        <f>IFERROR(__xludf.DUMMYFUNCTION("""COMPUTED_VALUE"""),"Abstara")</f>
        <v>Abstara</v>
      </c>
      <c r="BI259" s="3"/>
      <c r="BJ259" s="3"/>
      <c r="BK259" s="3"/>
      <c r="BL259" s="3" t="b">
        <f>IFERROR(__xludf.DUMMYFUNCTION("""COMPUTED_VALUE"""),FALSE)</f>
        <v>0</v>
      </c>
      <c r="BM259" s="3"/>
      <c r="BN259" s="3"/>
      <c r="BO259" s="3"/>
      <c r="BP259" s="3"/>
      <c r="BQ259" s="3"/>
      <c r="BR259" s="3"/>
      <c r="BS259" s="3"/>
      <c r="BT259" s="3"/>
      <c r="BU259" s="3"/>
      <c r="BV259" s="3"/>
      <c r="BW259" s="3"/>
    </row>
    <row r="260" ht="15.75" customHeight="1">
      <c r="A260" s="3" t="str">
        <f>IFERROR(__xludf.DUMMYFUNCTION("""COMPUTED_VALUE"""),"The Ring King")</f>
        <v>The Ring King</v>
      </c>
      <c r="B260" s="3">
        <f>IFERROR(__xludf.DUMMYFUNCTION("""COMPUTED_VALUE"""),1.0)</f>
        <v>1</v>
      </c>
      <c r="C260" s="3"/>
      <c r="D260" s="12" t="str">
        <f>IFERROR(__xludf.DUMMYFUNCTION("""COMPUTED_VALUE"""),"Beast")</f>
        <v>Beast</v>
      </c>
      <c r="E260" s="12">
        <f>IFERROR(__xludf.DUMMYFUNCTION("""COMPUTED_VALUE"""),1010.0)</f>
        <v>1010</v>
      </c>
      <c r="F260" s="12">
        <f>IFERROR(__xludf.DUMMYFUNCTION("""COMPUTED_VALUE"""),1010.0)</f>
        <v>1010</v>
      </c>
      <c r="G260" s="12">
        <f>IFERROR(__xludf.DUMMYFUNCTION("""COMPUTED_VALUE"""),1010.0)</f>
        <v>1010</v>
      </c>
      <c r="H260" s="3">
        <f>IFERROR(__xludf.DUMMYFUNCTION("""COMPUTED_VALUE"""),10.0)</f>
        <v>10</v>
      </c>
      <c r="I260" s="3">
        <f>IFERROR(__xludf.DUMMYFUNCTION("""COMPUTED_VALUE"""),0.0)</f>
        <v>0</v>
      </c>
      <c r="J260" s="3">
        <f>IFERROR(__xludf.DUMMYFUNCTION("""COMPUTED_VALUE"""),0.0)</f>
        <v>0</v>
      </c>
      <c r="K260" s="3">
        <f>IFERROR(__xludf.DUMMYFUNCTION("""COMPUTED_VALUE"""),100.0)</f>
        <v>100</v>
      </c>
      <c r="L260" s="3">
        <f>IFERROR(__xludf.DUMMYFUNCTION("""COMPUTED_VALUE"""),100.0)</f>
        <v>100</v>
      </c>
      <c r="M260" s="3" t="str">
        <f>IFERROR(__xludf.DUMMYFUNCTION("""COMPUTED_VALUE"""),"Dark:100, Chaos:100, Instant Death:Immune, Banishment:Immune, ")</f>
        <v>Dark:100, Chaos:100, Instant Death:Immune, Banishment:Immune, </v>
      </c>
      <c r="N260" s="3" t="str">
        <f>IFERROR(__xludf.DUMMYFUNCTION("""COMPUTED_VALUE"""),"Fire:100, Light:100, Order:100, ")</f>
        <v>Fire:100, Light:100, Order:100, </v>
      </c>
      <c r="O260" s="3"/>
      <c r="P260" s="3"/>
      <c r="Q260" s="3"/>
      <c r="R260" s="3"/>
      <c r="S260" s="3"/>
      <c r="T260" s="3"/>
      <c r="U260" s="3"/>
      <c r="V260" s="3"/>
      <c r="W260" s="3"/>
      <c r="X260" s="3" t="str">
        <f>IFERROR(__xludf.DUMMYFUNCTION("""COMPUTED_VALUE"""),"Ring of the Bonded Undead")</f>
        <v>Ring of the Bonded Undead</v>
      </c>
      <c r="Y260" s="3" t="str">
        <f>IFERROR(__xludf.DUMMYFUNCTION("""COMPUTED_VALUE"""),"Ring o’ Luck and Nature")</f>
        <v>Ring o’ Luck and Nature</v>
      </c>
      <c r="Z260" s="3" t="str">
        <f>IFERROR(__xludf.DUMMYFUNCTION("""COMPUTED_VALUE"""),"Ring of Death")</f>
        <v>Ring of Death</v>
      </c>
      <c r="AA260" s="3" t="str">
        <f>IFERROR(__xludf.DUMMYFUNCTION("""COMPUTED_VALUE"""),"Ring of Pure Chaos")</f>
        <v>Ring of Pure Chaos</v>
      </c>
      <c r="AB260" s="3" t="str">
        <f>IFERROR(__xludf.DUMMYFUNCTION("""COMPUTED_VALUE"""),"Skull Ring")</f>
        <v>Skull Ring</v>
      </c>
      <c r="AC260" s="3" t="str">
        <f>IFERROR(__xludf.DUMMYFUNCTION("""COMPUTED_VALUE"""),"Fire Ring")</f>
        <v>Fire Ring</v>
      </c>
      <c r="AD260" s="3" t="str">
        <f>IFERROR(__xludf.DUMMYFUNCTION("""COMPUTED_VALUE"""),"Ring of Darkness")</f>
        <v>Ring of Darkness</v>
      </c>
      <c r="AE260" s="3" t="str">
        <f>IFERROR(__xludf.DUMMYFUNCTION("""COMPUTED_VALUE"""),"Ring of Pure Chaos")</f>
        <v>Ring of Pure Chaos</v>
      </c>
      <c r="AF260" s="3" t="str">
        <f>IFERROR(__xludf.DUMMYFUNCTION("""COMPUTED_VALUE"""),"Spooky Branch Ring")</f>
        <v>Spooky Branch Ring</v>
      </c>
      <c r="AG260" s="3"/>
      <c r="AH260" s="3"/>
      <c r="AI260" s="3"/>
      <c r="AJ260" s="3" t="str">
        <f>IFERROR(__xludf.DUMMYFUNCTION("""COMPUTED_VALUE"""),"Chaincast")</f>
        <v>Chaincast</v>
      </c>
      <c r="AK260" s="3" t="str">
        <f>IFERROR(__xludf.DUMMYFUNCTION("""COMPUTED_VALUE"""),"Raise Dead")</f>
        <v>Raise Dead</v>
      </c>
      <c r="AL260" s="3" t="str">
        <f>IFERROR(__xludf.DUMMYFUNCTION("""COMPUTED_VALUE"""),"Darkest Abyss")</f>
        <v>Darkest Abyss</v>
      </c>
      <c r="AM260" s="3" t="str">
        <f>IFERROR(__xludf.DUMMYFUNCTION("""COMPUTED_VALUE"""),"Dimensional Quake")</f>
        <v>Dimensional Quake</v>
      </c>
      <c r="AN260" s="3" t="str">
        <f>IFERROR(__xludf.DUMMYFUNCTION("""COMPUTED_VALUE"""),"Devolve")</f>
        <v>Devolve</v>
      </c>
      <c r="AO260" s="3" t="str">
        <f>IFERROR(__xludf.DUMMYFUNCTION("""COMPUTED_VALUE"""),"Dark Force")</f>
        <v>Dark Force</v>
      </c>
      <c r="AP260" s="3" t="str">
        <f>IFERROR(__xludf.DUMMYFUNCTION("""COMPUTED_VALUE"""),"Mass Destruction")</f>
        <v>Mass Destruction</v>
      </c>
      <c r="AQ260" s="3" t="str">
        <f>IFERROR(__xludf.DUMMYFUNCTION("""COMPUTED_VALUE"""),"Last Gamble")</f>
        <v>Last Gamble</v>
      </c>
      <c r="AR260" s="3" t="str">
        <f>IFERROR(__xludf.DUMMYFUNCTION("""COMPUTED_VALUE"""),"Cancel")</f>
        <v>Cancel</v>
      </c>
      <c r="AS260" s="3"/>
      <c r="AT260" s="3"/>
      <c r="AU260" s="3"/>
      <c r="AV260" s="3"/>
      <c r="AW260" s="3"/>
      <c r="AX260" s="3"/>
      <c r="AY260" s="3"/>
      <c r="AZ260" s="3"/>
      <c r="BA260" s="3"/>
      <c r="BB260" s="3"/>
      <c r="BC260" s="1"/>
      <c r="BD260" s="3">
        <f>IFERROR(__xludf.DUMMYFUNCTION("""COMPUTED_VALUE"""),0.0)</f>
        <v>0</v>
      </c>
      <c r="BE260" s="4">
        <f>IFERROR(__xludf.DUMMYFUNCTION("""COMPUTED_VALUE"""),10.0)</f>
        <v>10</v>
      </c>
      <c r="BF260" s="3" t="str">
        <f>IFERROR(__xludf.DUMMYFUNCTION("""COMPUTED_VALUE"""),"75% chance to be unaffected by any spells affecting this mob.
A Dark Calling II: +10 can be added to this mobs rolls.")</f>
        <v>75% chance to be unaffected by any spells affecting this mob.
A Dark Calling II: +10 can be added to this mobs rolls.</v>
      </c>
      <c r="BG260" s="3" t="str">
        <f>IFERROR(__xludf.DUMMYFUNCTION("""COMPUTED_VALUE"""),"Jungle")</f>
        <v>Jungle</v>
      </c>
      <c r="BH260" s="3" t="str">
        <f>IFERROR(__xludf.DUMMYFUNCTION("""COMPUTED_VALUE"""),"Land Of Spira")</f>
        <v>Land Of Spira</v>
      </c>
      <c r="BI260" s="3"/>
      <c r="BJ260" s="3"/>
      <c r="BK260" s="3"/>
      <c r="BL260" s="3" t="b">
        <f>IFERROR(__xludf.DUMMYFUNCTION("""COMPUTED_VALUE"""),FALSE)</f>
        <v>0</v>
      </c>
      <c r="BM260" s="3"/>
      <c r="BN260" s="3"/>
      <c r="BO260" s="3"/>
      <c r="BP260" s="3"/>
      <c r="BQ260" s="3"/>
      <c r="BR260" s="3"/>
      <c r="BS260" s="3"/>
      <c r="BT260" s="3"/>
      <c r="BU260" s="3"/>
      <c r="BV260" s="3"/>
      <c r="BW260" s="3"/>
    </row>
    <row r="261" ht="15.75" customHeight="1">
      <c r="A261" s="3" t="str">
        <f>IFERROR(__xludf.DUMMYFUNCTION("""COMPUTED_VALUE"""),"The Undead King")</f>
        <v>The Undead King</v>
      </c>
      <c r="B261" s="3">
        <f>IFERROR(__xludf.DUMMYFUNCTION("""COMPUTED_VALUE"""),1.0)</f>
        <v>1</v>
      </c>
      <c r="C261" s="3" t="str">
        <f>IFERROR(__xludf.DUMMYFUNCTION("""COMPUTED_VALUE"""),"Lord Dreadfuls brother")</f>
        <v>Lord Dreadfuls brother</v>
      </c>
      <c r="D261" s="12" t="str">
        <f>IFERROR(__xludf.DUMMYFUNCTION("""COMPUTED_VALUE"""),"Undead")</f>
        <v>Undead</v>
      </c>
      <c r="E261" s="12">
        <f>IFERROR(__xludf.DUMMYFUNCTION("""COMPUTED_VALUE"""),1010.0)</f>
        <v>1010</v>
      </c>
      <c r="F261" s="12">
        <f>IFERROR(__xludf.DUMMYFUNCTION("""COMPUTED_VALUE"""),1010.0)</f>
        <v>1010</v>
      </c>
      <c r="G261" s="12">
        <f>IFERROR(__xludf.DUMMYFUNCTION("""COMPUTED_VALUE"""),1010.0)</f>
        <v>1010</v>
      </c>
      <c r="H261" s="3">
        <f>IFERROR(__xludf.DUMMYFUNCTION("""COMPUTED_VALUE"""),20.0)</f>
        <v>20</v>
      </c>
      <c r="I261" s="3">
        <f>IFERROR(__xludf.DUMMYFUNCTION("""COMPUTED_VALUE"""),0.0)</f>
        <v>0</v>
      </c>
      <c r="J261" s="3">
        <f>IFERROR(__xludf.DUMMYFUNCTION("""COMPUTED_VALUE"""),0.0)</f>
        <v>0</v>
      </c>
      <c r="K261" s="3">
        <f>IFERROR(__xludf.DUMMYFUNCTION("""COMPUTED_VALUE"""),100.0)</f>
        <v>100</v>
      </c>
      <c r="L261" s="3">
        <f>IFERROR(__xludf.DUMMYFUNCTION("""COMPUTED_VALUE"""),100.0)</f>
        <v>100</v>
      </c>
      <c r="M261" s="3" t="str">
        <f>IFERROR(__xludf.DUMMYFUNCTION("""COMPUTED_VALUE"""),"Dark:Immune, Instant Death:Immune, Banishment:Immune, ")</f>
        <v>Dark:Immune, Instant Death:Immune, Banishment:Immune, </v>
      </c>
      <c r="N261" s="3" t="str">
        <f>IFERROR(__xludf.DUMMYFUNCTION("""COMPUTED_VALUE"""),"Light:100, ")</f>
        <v>Light:100, </v>
      </c>
      <c r="O261" s="3"/>
      <c r="P261" s="3"/>
      <c r="Q261" s="3"/>
      <c r="R261" s="3"/>
      <c r="S261" s="3"/>
      <c r="T261" s="3"/>
      <c r="U261" s="3"/>
      <c r="V261" s="3"/>
      <c r="W261" s="3"/>
      <c r="X261" s="3"/>
      <c r="Y261" s="3"/>
      <c r="Z261" s="3"/>
      <c r="AA261" s="3"/>
      <c r="AB261" s="3"/>
      <c r="AC261" s="3"/>
      <c r="AD261" s="3"/>
      <c r="AE261" s="3"/>
      <c r="AF261" s="3"/>
      <c r="AG261" s="3"/>
      <c r="AH261" s="3"/>
      <c r="AI261" s="3"/>
      <c r="AJ261" s="3" t="str">
        <f>IFERROR(__xludf.DUMMYFUNCTION("""COMPUTED_VALUE"""),"Dark Boost")</f>
        <v>Dark Boost</v>
      </c>
      <c r="AK261" s="3" t="str">
        <f>IFERROR(__xludf.DUMMYFUNCTION("""COMPUTED_VALUE"""),"Darkest Abyss")</f>
        <v>Darkest Abyss</v>
      </c>
      <c r="AL261" s="3" t="str">
        <f>IFERROR(__xludf.DUMMYFUNCTION("""COMPUTED_VALUE"""),"Chaos Ward")</f>
        <v>Chaos Ward</v>
      </c>
      <c r="AM261" s="3" t="str">
        <f>IFERROR(__xludf.DUMMYFUNCTION("""COMPUTED_VALUE"""),"Conceal")</f>
        <v>Conceal</v>
      </c>
      <c r="AN261" s="3" t="str">
        <f>IFERROR(__xludf.DUMMYFUNCTION("""COMPUTED_VALUE"""),"Contradiction")</f>
        <v>Contradiction</v>
      </c>
      <c r="AO261" s="3" t="str">
        <f>IFERROR(__xludf.DUMMYFUNCTION("""COMPUTED_VALUE"""),"Celestial Summon")</f>
        <v>Celestial Summon</v>
      </c>
      <c r="AP261" s="3" t="str">
        <f>IFERROR(__xludf.DUMMYFUNCTION("""COMPUTED_VALUE"""),"Mass Destruction")</f>
        <v>Mass Destruction</v>
      </c>
      <c r="AQ261" s="3"/>
      <c r="AR261" s="3"/>
      <c r="AS261" s="3"/>
      <c r="AT261" s="3"/>
      <c r="AU261" s="3"/>
      <c r="AV261" s="3"/>
      <c r="AW261" s="3"/>
      <c r="AX261" s="3"/>
      <c r="AY261" s="3"/>
      <c r="AZ261" s="3"/>
      <c r="BA261" s="3"/>
      <c r="BB261" s="3"/>
      <c r="BC261" s="1"/>
      <c r="BD261" s="3">
        <f>IFERROR(__xludf.DUMMYFUNCTION("""COMPUTED_VALUE"""),0.0)</f>
        <v>0</v>
      </c>
      <c r="BE261" s="4">
        <f>IFERROR(__xludf.DUMMYFUNCTION("""COMPUTED_VALUE"""),20.0)</f>
        <v>20</v>
      </c>
      <c r="BF261" s="3" t="str">
        <f>IFERROR(__xludf.DUMMYFUNCTION("""COMPUTED_VALUE"""),"Undead- Can only be killed by light,fire, or celestial
75% chance to be unaffected by any spells affecting this mob
A Dark Calling II: +10 can be added to this mobs rolls.")</f>
        <v>Undead- Can only be killed by light,fire, or celestial
75% chance to be unaffected by any spells affecting this mob
A Dark Calling II: +10 can be added to this mobs rolls.</v>
      </c>
      <c r="BG261" s="3" t="str">
        <f>IFERROR(__xludf.DUMMYFUNCTION("""COMPUTED_VALUE"""),"All")</f>
        <v>All</v>
      </c>
      <c r="BH261" s="3" t="str">
        <f>IFERROR(__xludf.DUMMYFUNCTION("""COMPUTED_VALUE"""),"Land of Spira")</f>
        <v>Land of Spira</v>
      </c>
      <c r="BI261" s="3"/>
      <c r="BJ261" s="3"/>
      <c r="BK261" s="3"/>
      <c r="BL261" s="3" t="b">
        <f>IFERROR(__xludf.DUMMYFUNCTION("""COMPUTED_VALUE"""),FALSE)</f>
        <v>0</v>
      </c>
      <c r="BM261" s="3"/>
      <c r="BN261" s="3"/>
      <c r="BO261" s="3"/>
      <c r="BP261" s="3"/>
      <c r="BQ261" s="3"/>
      <c r="BR261" s="3"/>
      <c r="BS261" s="3"/>
      <c r="BT261" s="3"/>
      <c r="BU261" s="3"/>
      <c r="BV261" s="3"/>
      <c r="BW261" s="3"/>
    </row>
    <row r="262" ht="15.75" customHeight="1">
      <c r="A262" s="3" t="str">
        <f>IFERROR(__xludf.DUMMYFUNCTION("""COMPUTED_VALUE"""),"Titonium The Destroyer")</f>
        <v>Titonium The Destroyer</v>
      </c>
      <c r="B262" s="3">
        <f>IFERROR(__xludf.DUMMYFUNCTION("""COMPUTED_VALUE"""),1.0)</f>
        <v>1</v>
      </c>
      <c r="C262" s="3"/>
      <c r="D262" s="3" t="str">
        <f>IFERROR(__xludf.DUMMYFUNCTION("""COMPUTED_VALUE"""),"Construct")</f>
        <v>Construct</v>
      </c>
      <c r="E262" s="3">
        <f>IFERROR(__xludf.DUMMYFUNCTION("""COMPUTED_VALUE"""),1010.0)</f>
        <v>1010</v>
      </c>
      <c r="F262" s="12">
        <f>IFERROR(__xludf.DUMMYFUNCTION("""COMPUTED_VALUE"""),1010.0)</f>
        <v>1010</v>
      </c>
      <c r="G262" s="3">
        <f>IFERROR(__xludf.DUMMYFUNCTION("""COMPUTED_VALUE"""),1010.0)</f>
        <v>1010</v>
      </c>
      <c r="H262" s="3">
        <f>IFERROR(__xludf.DUMMYFUNCTION("""COMPUTED_VALUE"""),10.0)</f>
        <v>10</v>
      </c>
      <c r="I262" s="3">
        <f>IFERROR(__xludf.DUMMYFUNCTION("""COMPUTED_VALUE"""),0.0)</f>
        <v>0</v>
      </c>
      <c r="J262" s="3">
        <f>IFERROR(__xludf.DUMMYFUNCTION("""COMPUTED_VALUE"""),0.0)</f>
        <v>0</v>
      </c>
      <c r="K262" s="3">
        <f>IFERROR(__xludf.DUMMYFUNCTION("""COMPUTED_VALUE"""),100.0)</f>
        <v>100</v>
      </c>
      <c r="L262" s="3">
        <f>IFERROR(__xludf.DUMMYFUNCTION("""COMPUTED_VALUE"""),100.0)</f>
        <v>100</v>
      </c>
      <c r="M262" s="3" t="str">
        <f>IFERROR(__xludf.DUMMYFUNCTION("""COMPUTED_VALUE"""),"Instant Death:Immune, ")</f>
        <v>Instant Death:Immune, </v>
      </c>
      <c r="N262" s="3" t="str">
        <f>IFERROR(__xludf.DUMMYFUNCTION("""COMPUTED_VALUE"""),"Fire:100, Water:100, ")</f>
        <v>Fire:100, Water:100, </v>
      </c>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1"/>
      <c r="BD262" s="3">
        <f>IFERROR(__xludf.DUMMYFUNCTION("""COMPUTED_VALUE"""),0.0)</f>
        <v>0</v>
      </c>
      <c r="BE262" s="4">
        <f>IFERROR(__xludf.DUMMYFUNCTION("""COMPUTED_VALUE"""),10.0)</f>
        <v>10</v>
      </c>
      <c r="BF262" s="3"/>
      <c r="BG262" s="3"/>
      <c r="BH262" s="3" t="str">
        <f>IFERROR(__xludf.DUMMYFUNCTION("""COMPUTED_VALUE"""),"Land of Spira")</f>
        <v>Land of Spira</v>
      </c>
      <c r="BI262" s="3"/>
      <c r="BJ262" s="3"/>
      <c r="BK262" s="3"/>
      <c r="BL262" s="3" t="b">
        <f>IFERROR(__xludf.DUMMYFUNCTION("""COMPUTED_VALUE"""),FALSE)</f>
        <v>0</v>
      </c>
      <c r="BM262" s="3"/>
      <c r="BN262" s="3"/>
      <c r="BO262" s="3"/>
      <c r="BP262" s="3"/>
      <c r="BQ262" s="3"/>
      <c r="BR262" s="3"/>
      <c r="BS262" s="3"/>
      <c r="BT262" s="3"/>
      <c r="BU262" s="3"/>
      <c r="BV262" s="3"/>
      <c r="BW262" s="3"/>
    </row>
    <row r="263" ht="15.75" customHeight="1">
      <c r="A263" s="3" t="str">
        <f>IFERROR(__xludf.DUMMYFUNCTION("""COMPUTED_VALUE"""),"Turkey Hydra")</f>
        <v>Turkey Hydra</v>
      </c>
      <c r="B263" s="3">
        <f>IFERROR(__xludf.DUMMYFUNCTION("""COMPUTED_VALUE"""),1.0)</f>
        <v>1</v>
      </c>
      <c r="C263" s="3"/>
      <c r="D263" s="12" t="str">
        <f>IFERROR(__xludf.DUMMYFUNCTION("""COMPUTED_VALUE"""),"Beast")</f>
        <v>Beast</v>
      </c>
      <c r="E263" s="12">
        <f>IFERROR(__xludf.DUMMYFUNCTION("""COMPUTED_VALUE"""),51010.0)</f>
        <v>51010</v>
      </c>
      <c r="F263" s="12">
        <f>IFERROR(__xludf.DUMMYFUNCTION("""COMPUTED_VALUE"""),1010.0)</f>
        <v>1010</v>
      </c>
      <c r="G263" s="12">
        <f>IFERROR(__xludf.DUMMYFUNCTION("""COMPUTED_VALUE"""),1010.0)</f>
        <v>1010</v>
      </c>
      <c r="H263" s="3">
        <f>IFERROR(__xludf.DUMMYFUNCTION("""COMPUTED_VALUE"""),10.0)</f>
        <v>10</v>
      </c>
      <c r="I263" s="3">
        <f>IFERROR(__xludf.DUMMYFUNCTION("""COMPUTED_VALUE"""),0.0)</f>
        <v>0</v>
      </c>
      <c r="J263" s="3">
        <f>IFERROR(__xludf.DUMMYFUNCTION("""COMPUTED_VALUE"""),0.0)</f>
        <v>0</v>
      </c>
      <c r="K263" s="3">
        <f>IFERROR(__xludf.DUMMYFUNCTION("""COMPUTED_VALUE"""),100.0)</f>
        <v>100</v>
      </c>
      <c r="L263" s="3">
        <f>IFERROR(__xludf.DUMMYFUNCTION("""COMPUTED_VALUE"""),100.0)</f>
        <v>100</v>
      </c>
      <c r="M263" s="3" t="str">
        <f>IFERROR(__xludf.DUMMYFUNCTION("""COMPUTED_VALUE"""),"Instant Death:Immune, Banishment:Immune, ")</f>
        <v>Instant Death:Immune, Banishment:Immune, </v>
      </c>
      <c r="N263" s="3" t="str">
        <f>IFERROR(__xludf.DUMMYFUNCTION("""COMPUTED_VALUE"""),"")</f>
        <v/>
      </c>
      <c r="O263" s="3"/>
      <c r="P263" s="3"/>
      <c r="Q263" s="3"/>
      <c r="R263" s="3"/>
      <c r="S263" s="3"/>
      <c r="T263" s="3"/>
      <c r="U263" s="3"/>
      <c r="V263" s="3"/>
      <c r="W263" s="3"/>
      <c r="X263" s="3"/>
      <c r="Y263" s="3"/>
      <c r="Z263" s="3"/>
      <c r="AA263" s="3"/>
      <c r="AB263" s="3"/>
      <c r="AC263" s="3"/>
      <c r="AD263" s="3"/>
      <c r="AE263" s="3"/>
      <c r="AF263" s="3"/>
      <c r="AG263" s="3"/>
      <c r="AH263" s="3"/>
      <c r="AI263" s="3"/>
      <c r="AJ263" s="3" t="str">
        <f>IFERROR(__xludf.DUMMYFUNCTION("""COMPUTED_VALUE"""),"Dive Bomb")</f>
        <v>Dive Bomb</v>
      </c>
      <c r="AK263" s="3" t="str">
        <f>IFERROR(__xludf.DUMMYFUNCTION("""COMPUTED_VALUE"""),"Multishot")</f>
        <v>Multishot</v>
      </c>
      <c r="AL263" s="3" t="str">
        <f>IFERROR(__xludf.DUMMYFUNCTION("""COMPUTED_VALUE"""),"Berserk")</f>
        <v>Berserk</v>
      </c>
      <c r="AM263" s="3" t="str">
        <f>IFERROR(__xludf.DUMMYFUNCTION("""COMPUTED_VALUE"""),"Tri-Blast")</f>
        <v>Tri-Blast</v>
      </c>
      <c r="AN263" s="3" t="str">
        <f>IFERROR(__xludf.DUMMYFUNCTION("""COMPUTED_VALUE"""),"Mass Destruction")</f>
        <v>Mass Destruction</v>
      </c>
      <c r="AO263" s="3" t="str">
        <f>IFERROR(__xludf.DUMMYFUNCTION("""COMPUTED_VALUE"""),"Elemental Storm")</f>
        <v>Elemental Storm</v>
      </c>
      <c r="AP263" s="3"/>
      <c r="AQ263" s="3"/>
      <c r="AR263" s="3"/>
      <c r="AS263" s="3"/>
      <c r="AT263" s="3"/>
      <c r="AU263" s="3"/>
      <c r="AV263" s="3"/>
      <c r="AW263" s="3"/>
      <c r="AX263" s="3"/>
      <c r="AY263" s="3"/>
      <c r="AZ263" s="3"/>
      <c r="BA263" s="3"/>
      <c r="BB263" s="3"/>
      <c r="BC263" s="1"/>
      <c r="BD263" s="3">
        <f>IFERROR(__xludf.DUMMYFUNCTION("""COMPUTED_VALUE"""),0.0)</f>
        <v>0</v>
      </c>
      <c r="BE263" s="4">
        <f>IFERROR(__xludf.DUMMYFUNCTION("""COMPUTED_VALUE"""),10.0)</f>
        <v>10</v>
      </c>
      <c r="BF263" s="3" t="str">
        <f>IFERROR(__xludf.DUMMYFUNCTION("""COMPUTED_VALUE"""),"75% chance this mob will be unaffected by a spell or item effect unless this mob is a companion.
25% chance to double this mobs damage during each of its turns.
+5 can be added to this mobs rolls.
This mob will only drop 1 of each loot drop per player.")</f>
        <v>75% chance this mob will be unaffected by a spell or item effect unless this mob is a companion.
25% chance to double this mobs damage during each of its turns.
+5 can be added to this mobs rolls.
This mob will only drop 1 of each loot drop per player.</v>
      </c>
      <c r="BG263" s="3" t="str">
        <f>IFERROR(__xludf.DUMMYFUNCTION("""COMPUTED_VALUE"""),"All")</f>
        <v>All</v>
      </c>
      <c r="BH263" s="3" t="str">
        <f>IFERROR(__xludf.DUMMYFUNCTION("""COMPUTED_VALUE"""),"Land Of Spira")</f>
        <v>Land Of Spira</v>
      </c>
      <c r="BI263" s="3"/>
      <c r="BJ263" s="3" t="str">
        <f>IFERROR(__xludf.DUMMYFUNCTION("""COMPUTED_VALUE"""),"Thanksgiving Event")</f>
        <v>Thanksgiving Event</v>
      </c>
      <c r="BK263" s="3"/>
      <c r="BL263" s="3" t="b">
        <f>IFERROR(__xludf.DUMMYFUNCTION("""COMPUTED_VALUE"""),FALSE)</f>
        <v>0</v>
      </c>
      <c r="BM263" s="3"/>
      <c r="BN263" s="3"/>
      <c r="BO263" s="3"/>
      <c r="BP263" s="3"/>
      <c r="BQ263" s="3"/>
      <c r="BR263" s="3"/>
      <c r="BS263" s="3"/>
      <c r="BT263" s="3"/>
      <c r="BU263" s="3"/>
      <c r="BV263" s="3"/>
      <c r="BW263" s="3"/>
    </row>
    <row r="264" ht="15.75" customHeight="1">
      <c r="A264" s="3" t="str">
        <f>IFERROR(__xludf.DUMMYFUNCTION("""COMPUTED_VALUE"""),"Twilight Cultist")</f>
        <v>Twilight Cultist</v>
      </c>
      <c r="B264" s="3">
        <f>IFERROR(__xludf.DUMMYFUNCTION("""COMPUTED_VALUE"""),1.0)</f>
        <v>1</v>
      </c>
      <c r="C264" s="3"/>
      <c r="D264" s="12" t="str">
        <f>IFERROR(__xludf.DUMMYFUNCTION("""COMPUTED_VALUE"""),"Humanoid")</f>
        <v>Humanoid</v>
      </c>
      <c r="E264" s="12">
        <f>IFERROR(__xludf.DUMMYFUNCTION("""COMPUTED_VALUE"""),1010.0)</f>
        <v>1010</v>
      </c>
      <c r="F264" s="12">
        <f>IFERROR(__xludf.DUMMYFUNCTION("""COMPUTED_VALUE"""),1010.0)</f>
        <v>1010</v>
      </c>
      <c r="G264" s="12">
        <f>IFERROR(__xludf.DUMMYFUNCTION("""COMPUTED_VALUE"""),1010.0)</f>
        <v>1010</v>
      </c>
      <c r="H264" s="3">
        <f>IFERROR(__xludf.DUMMYFUNCTION("""COMPUTED_VALUE"""),10.0)</f>
        <v>10</v>
      </c>
      <c r="I264" s="3">
        <f>IFERROR(__xludf.DUMMYFUNCTION("""COMPUTED_VALUE"""),0.0)</f>
        <v>0</v>
      </c>
      <c r="J264" s="3">
        <f>IFERROR(__xludf.DUMMYFUNCTION("""COMPUTED_VALUE"""),0.0)</f>
        <v>0</v>
      </c>
      <c r="K264" s="3">
        <f>IFERROR(__xludf.DUMMYFUNCTION("""COMPUTED_VALUE"""),100.0)</f>
        <v>100</v>
      </c>
      <c r="L264" s="3">
        <f>IFERROR(__xludf.DUMMYFUNCTION("""COMPUTED_VALUE"""),100.0)</f>
        <v>100</v>
      </c>
      <c r="M264" s="3" t="str">
        <f>IFERROR(__xludf.DUMMYFUNCTION("""COMPUTED_VALUE"""),"Twilight:100, ")</f>
        <v>Twilight:100, </v>
      </c>
      <c r="N264" s="3" t="str">
        <f>IFERROR(__xludf.DUMMYFUNCTION("""COMPUTED_VALUE"""),"")</f>
        <v/>
      </c>
      <c r="O264" s="3"/>
      <c r="P264" s="3"/>
      <c r="Q264" s="3"/>
      <c r="R264" s="3"/>
      <c r="S264" s="3"/>
      <c r="T264" s="3"/>
      <c r="U264" s="3"/>
      <c r="V264" s="3"/>
      <c r="W264" s="3"/>
      <c r="X264" s="3"/>
      <c r="Y264" s="3"/>
      <c r="Z264" s="3"/>
      <c r="AA264" s="3"/>
      <c r="AB264" s="3"/>
      <c r="AC264" s="3"/>
      <c r="AD264" s="3"/>
      <c r="AE264" s="3"/>
      <c r="AF264" s="3"/>
      <c r="AG264" s="3"/>
      <c r="AH264" s="3"/>
      <c r="AI264" s="3"/>
      <c r="AJ264" s="3" t="str">
        <f>IFERROR(__xludf.DUMMYFUNCTION("""COMPUTED_VALUE"""),"Twilight Masquerade")</f>
        <v>Twilight Masquerade</v>
      </c>
      <c r="AK264" s="3" t="str">
        <f>IFERROR(__xludf.DUMMYFUNCTION("""COMPUTED_VALUE"""),"Choir of 1000 Voices")</f>
        <v>Choir of 1000 Voices</v>
      </c>
      <c r="AL264" s="3" t="str">
        <f>IFERROR(__xludf.DUMMYFUNCTION("""COMPUTED_VALUE"""),"Darkest Abyss")</f>
        <v>Darkest Abyss</v>
      </c>
      <c r="AM264" s="3" t="str">
        <f>IFERROR(__xludf.DUMMYFUNCTION("""COMPUTED_VALUE"""),"Conceal")</f>
        <v>Conceal</v>
      </c>
      <c r="AN264" s="3" t="str">
        <f>IFERROR(__xludf.DUMMYFUNCTION("""COMPUTED_VALUE"""),"Obliterating Light of Blindness")</f>
        <v>Obliterating Light of Blindness</v>
      </c>
      <c r="AO264" s="3" t="str">
        <f>IFERROR(__xludf.DUMMYFUNCTION("""COMPUTED_VALUE"""),"Revive")</f>
        <v>Revive</v>
      </c>
      <c r="AP264" s="3" t="str">
        <f>IFERROR(__xludf.DUMMYFUNCTION("""COMPUTED_VALUE"""),"Multishot")</f>
        <v>Multishot</v>
      </c>
      <c r="AQ264" s="3" t="str">
        <f>IFERROR(__xludf.DUMMYFUNCTION("""COMPUTED_VALUE"""),"Chaincast")</f>
        <v>Chaincast</v>
      </c>
      <c r="AR264" s="3" t="str">
        <f>IFERROR(__xludf.DUMMYFUNCTION("""COMPUTED_VALUE"""),"Cancel")</f>
        <v>Cancel</v>
      </c>
      <c r="AS264" s="3"/>
      <c r="AT264" s="3"/>
      <c r="AU264" s="3"/>
      <c r="AV264" s="3"/>
      <c r="AW264" s="3"/>
      <c r="AX264" s="3"/>
      <c r="AY264" s="3"/>
      <c r="AZ264" s="3"/>
      <c r="BA264" s="3"/>
      <c r="BB264" s="3"/>
      <c r="BC264" s="1"/>
      <c r="BD264" s="3">
        <f>IFERROR(__xludf.DUMMYFUNCTION("""COMPUTED_VALUE"""),0.0)</f>
        <v>0</v>
      </c>
      <c r="BE264" s="4">
        <f>IFERROR(__xludf.DUMMYFUNCTION("""COMPUTED_VALUE"""),10.0)</f>
        <v>10</v>
      </c>
      <c r="BF264" s="3" t="str">
        <f>IFERROR(__xludf.DUMMYFUNCTION("""COMPUTED_VALUE"""),"Twilight Blessing: +5 can be added to this mobs rolls.
25% chance to inflict the target that killed this mob with a random non-permanent curse.")</f>
        <v>Twilight Blessing: +5 can be added to this mobs rolls.
25% chance to inflict the target that killed this mob with a random non-permanent curse.</v>
      </c>
      <c r="BG264" s="3" t="str">
        <f>IFERROR(__xludf.DUMMYFUNCTION("""COMPUTED_VALUE"""),"All")</f>
        <v>All</v>
      </c>
      <c r="BH264" s="3" t="str">
        <f>IFERROR(__xludf.DUMMYFUNCTION("""COMPUTED_VALUE"""),"Halloween Kingdom")</f>
        <v>Halloween Kingdom</v>
      </c>
      <c r="BI264" s="3"/>
      <c r="BJ264" s="3"/>
      <c r="BK264" s="3"/>
      <c r="BL264" s="3" t="b">
        <f>IFERROR(__xludf.DUMMYFUNCTION("""COMPUTED_VALUE"""),FALSE)</f>
        <v>0</v>
      </c>
      <c r="BM264" s="3"/>
      <c r="BN264" s="3"/>
      <c r="BO264" s="3"/>
      <c r="BP264" s="3"/>
      <c r="BQ264" s="3"/>
      <c r="BR264" s="3"/>
      <c r="BS264" s="3"/>
      <c r="BT264" s="3"/>
      <c r="BU264" s="3"/>
      <c r="BV264" s="3"/>
      <c r="BW264" s="3"/>
    </row>
    <row r="265" ht="15.75" customHeight="1">
      <c r="A265" s="3" t="str">
        <f>IFERROR(__xludf.DUMMYFUNCTION("""COMPUTED_VALUE"""),"Twilight Lord")</f>
        <v>Twilight Lord</v>
      </c>
      <c r="B265" s="3">
        <f>IFERROR(__xludf.DUMMYFUNCTION("""COMPUTED_VALUE"""),1.0)</f>
        <v>1</v>
      </c>
      <c r="C265" s="3"/>
      <c r="D265" s="12" t="str">
        <f>IFERROR(__xludf.DUMMYFUNCTION("""COMPUTED_VALUE"""),"Heavenly")</f>
        <v>Heavenly</v>
      </c>
      <c r="E265" s="12">
        <f>IFERROR(__xludf.DUMMYFUNCTION("""COMPUTED_VALUE"""),1010.0)</f>
        <v>1010</v>
      </c>
      <c r="F265" s="12">
        <f>IFERROR(__xludf.DUMMYFUNCTION("""COMPUTED_VALUE"""),1010.0)</f>
        <v>1010</v>
      </c>
      <c r="G265" s="12">
        <f>IFERROR(__xludf.DUMMYFUNCTION("""COMPUTED_VALUE"""),1010.0)</f>
        <v>1010</v>
      </c>
      <c r="H265" s="3">
        <f>IFERROR(__xludf.DUMMYFUNCTION("""COMPUTED_VALUE"""),10.0)</f>
        <v>10</v>
      </c>
      <c r="I265" s="3">
        <f>IFERROR(__xludf.DUMMYFUNCTION("""COMPUTED_VALUE"""),0.0)</f>
        <v>0</v>
      </c>
      <c r="J265" s="3">
        <f>IFERROR(__xludf.DUMMYFUNCTION("""COMPUTED_VALUE"""),0.0)</f>
        <v>0</v>
      </c>
      <c r="K265" s="3">
        <f>IFERROR(__xludf.DUMMYFUNCTION("""COMPUTED_VALUE"""),100.0)</f>
        <v>100</v>
      </c>
      <c r="L265" s="3">
        <f>IFERROR(__xludf.DUMMYFUNCTION("""COMPUTED_VALUE"""),100.0)</f>
        <v>100</v>
      </c>
      <c r="M265" s="3" t="str">
        <f>IFERROR(__xludf.DUMMYFUNCTION("""COMPUTED_VALUE"""),"Instant Death:Immune, Banishment:Immune, ")</f>
        <v>Instant Death:Immune, Banishment:Immune, </v>
      </c>
      <c r="N265" s="3" t="str">
        <f>IFERROR(__xludf.DUMMYFUNCTION("""COMPUTED_VALUE"""),"")</f>
        <v/>
      </c>
      <c r="O265" s="3"/>
      <c r="P265" s="3"/>
      <c r="Q265" s="3"/>
      <c r="R265" s="3"/>
      <c r="S265" s="3"/>
      <c r="T265" s="3"/>
      <c r="U265" s="3"/>
      <c r="V265" s="3"/>
      <c r="W265" s="3"/>
      <c r="X265" s="3"/>
      <c r="Y265" s="3"/>
      <c r="Z265" s="3"/>
      <c r="AA265" s="3"/>
      <c r="AB265" s="3"/>
      <c r="AC265" s="3"/>
      <c r="AD265" s="3"/>
      <c r="AE265" s="3"/>
      <c r="AF265" s="3"/>
      <c r="AG265" s="3"/>
      <c r="AH265" s="3"/>
      <c r="AI265" s="3"/>
      <c r="AJ265" s="3" t="str">
        <f>IFERROR(__xludf.DUMMYFUNCTION("""COMPUTED_VALUE"""),"Chaincast")</f>
        <v>Chaincast</v>
      </c>
      <c r="AK265" s="3" t="str">
        <f>IFERROR(__xludf.DUMMYFUNCTION("""COMPUTED_VALUE"""),"Twilight Masquerade")</f>
        <v>Twilight Masquerade</v>
      </c>
      <c r="AL265" s="3" t="str">
        <f>IFERROR(__xludf.DUMMYFUNCTION("""COMPUTED_VALUE"""),"Danse Macabre")</f>
        <v>Danse Macabre</v>
      </c>
      <c r="AM265" s="3" t="str">
        <f>IFERROR(__xludf.DUMMYFUNCTION("""COMPUTED_VALUE"""),"Stasis Madness")</f>
        <v>Stasis Madness</v>
      </c>
      <c r="AN265" s="3" t="str">
        <f>IFERROR(__xludf.DUMMYFUNCTION("""COMPUTED_VALUE"""),"Stasis Tsunami")</f>
        <v>Stasis Tsunami</v>
      </c>
      <c r="AO265" s="3" t="str">
        <f>IFERROR(__xludf.DUMMYFUNCTION("""COMPUTED_VALUE"""),"Darkest Abyss")</f>
        <v>Darkest Abyss</v>
      </c>
      <c r="AP265" s="3" t="str">
        <f>IFERROR(__xludf.DUMMYFUNCTION("""COMPUTED_VALUE"""),"Dark Curse")</f>
        <v>Dark Curse</v>
      </c>
      <c r="AQ265" s="3" t="str">
        <f>IFERROR(__xludf.DUMMYFUNCTION("""COMPUTED_VALUE"""),"Dimensional Quake")</f>
        <v>Dimensional Quake</v>
      </c>
      <c r="AR265" s="3" t="str">
        <f>IFERROR(__xludf.DUMMYFUNCTION("""COMPUTED_VALUE"""),"Dimension Portal")</f>
        <v>Dimension Portal</v>
      </c>
      <c r="AS265" s="3" t="str">
        <f>IFERROR(__xludf.DUMMYFUNCTION("""COMPUTED_VALUE"""),"Countdown")</f>
        <v>Countdown</v>
      </c>
      <c r="AT265" s="3" t="str">
        <f>IFERROR(__xludf.DUMMYFUNCTION("""COMPUTED_VALUE"""),"Mass Destruction")</f>
        <v>Mass Destruction</v>
      </c>
      <c r="AU265" s="3" t="str">
        <f>IFERROR(__xludf.DUMMYFUNCTION("""COMPUTED_VALUE"""),"Celestial Increase II")</f>
        <v>Celestial Increase II</v>
      </c>
      <c r="AV265" s="3" t="str">
        <f>IFERROR(__xludf.DUMMYFUNCTION("""COMPUTED_VALUE"""),"Multishot")</f>
        <v>Multishot</v>
      </c>
      <c r="AW265" s="3"/>
      <c r="AX265" s="3"/>
      <c r="AY265" s="3"/>
      <c r="AZ265" s="3"/>
      <c r="BA265" s="3"/>
      <c r="BB265" s="3"/>
      <c r="BC265" s="1"/>
      <c r="BD265" s="3">
        <f>IFERROR(__xludf.DUMMYFUNCTION("""COMPUTED_VALUE"""),0.0)</f>
        <v>0</v>
      </c>
      <c r="BE265" s="4">
        <f>IFERROR(__xludf.DUMMYFUNCTION("""COMPUTED_VALUE"""),10.0)</f>
        <v>10</v>
      </c>
      <c r="BF265" s="3" t="str">
        <f>IFERROR(__xludf.DUMMYFUNCTION("""COMPUTED_VALUE"""),"75% chance to be unaffected by any spells affecting this mob
Twilight Blessing II: +10 can be added to this mobs rolls..""")</f>
        <v>75% chance to be unaffected by any spells affecting this mob
Twilight Blessing II: +10 can be added to this mobs rolls.."</v>
      </c>
      <c r="BG265" s="3" t="str">
        <f>IFERROR(__xludf.DUMMYFUNCTION("""COMPUTED_VALUE"""),"All")</f>
        <v>All</v>
      </c>
      <c r="BH265" s="3" t="str">
        <f>IFERROR(__xludf.DUMMYFUNCTION("""COMPUTED_VALUE"""),"Halloween Kingdom")</f>
        <v>Halloween Kingdom</v>
      </c>
      <c r="BI265" s="3"/>
      <c r="BJ265" s="3"/>
      <c r="BK265" s="3"/>
      <c r="BL265" s="3" t="b">
        <f>IFERROR(__xludf.DUMMYFUNCTION("""COMPUTED_VALUE"""),FALSE)</f>
        <v>0</v>
      </c>
      <c r="BM265" s="3"/>
      <c r="BN265" s="3"/>
      <c r="BO265" s="3"/>
      <c r="BP265" s="3"/>
      <c r="BQ265" s="3"/>
      <c r="BR265" s="3"/>
      <c r="BS265" s="3"/>
      <c r="BT265" s="3"/>
      <c r="BU265" s="3"/>
      <c r="BV265" s="3"/>
      <c r="BW265" s="3"/>
    </row>
    <row r="266" ht="15.75" customHeight="1">
      <c r="A266" s="3" t="str">
        <f>IFERROR(__xludf.DUMMYFUNCTION("""COMPUTED_VALUE"""),"Twilight Priest")</f>
        <v>Twilight Priest</v>
      </c>
      <c r="B266" s="3">
        <f>IFERROR(__xludf.DUMMYFUNCTION("""COMPUTED_VALUE"""),1.0)</f>
        <v>1</v>
      </c>
      <c r="C266" s="3"/>
      <c r="D266" s="12" t="str">
        <f>IFERROR(__xludf.DUMMYFUNCTION("""COMPUTED_VALUE"""),"Humanoid")</f>
        <v>Humanoid</v>
      </c>
      <c r="E266" s="12">
        <f>IFERROR(__xludf.DUMMYFUNCTION("""COMPUTED_VALUE"""),1010.0)</f>
        <v>1010</v>
      </c>
      <c r="F266" s="12">
        <f>IFERROR(__xludf.DUMMYFUNCTION("""COMPUTED_VALUE"""),1010.0)</f>
        <v>1010</v>
      </c>
      <c r="G266" s="12">
        <f>IFERROR(__xludf.DUMMYFUNCTION("""COMPUTED_VALUE"""),1010.0)</f>
        <v>1010</v>
      </c>
      <c r="H266" s="3">
        <f>IFERROR(__xludf.DUMMYFUNCTION("""COMPUTED_VALUE"""),10.0)</f>
        <v>10</v>
      </c>
      <c r="I266" s="3">
        <f>IFERROR(__xludf.DUMMYFUNCTION("""COMPUTED_VALUE"""),0.0)</f>
        <v>0</v>
      </c>
      <c r="J266" s="3">
        <f>IFERROR(__xludf.DUMMYFUNCTION("""COMPUTED_VALUE"""),0.0)</f>
        <v>0</v>
      </c>
      <c r="K266" s="3">
        <f>IFERROR(__xludf.DUMMYFUNCTION("""COMPUTED_VALUE"""),100.0)</f>
        <v>100</v>
      </c>
      <c r="L266" s="3">
        <f>IFERROR(__xludf.DUMMYFUNCTION("""COMPUTED_VALUE"""),100.0)</f>
        <v>100</v>
      </c>
      <c r="M266" s="3"/>
      <c r="N266" s="3"/>
      <c r="O266" s="3"/>
      <c r="P266" s="3"/>
      <c r="Q266" s="3"/>
      <c r="R266" s="3"/>
      <c r="S266" s="3"/>
      <c r="T266" s="3"/>
      <c r="U266" s="3"/>
      <c r="V266" s="3"/>
      <c r="W266" s="3"/>
      <c r="X266" s="3"/>
      <c r="Y266" s="3"/>
      <c r="Z266" s="3"/>
      <c r="AA266" s="3"/>
      <c r="AB266" s="3"/>
      <c r="AC266" s="3"/>
      <c r="AD266" s="3"/>
      <c r="AE266" s="3"/>
      <c r="AF266" s="3"/>
      <c r="AG266" s="3"/>
      <c r="AH266" s="3"/>
      <c r="AI266" s="3"/>
      <c r="AJ266" s="3" t="str">
        <f>IFERROR(__xludf.DUMMYFUNCTION("""COMPUTED_VALUE"""),"Twilight Masquerade")</f>
        <v>Twilight Masquerade</v>
      </c>
      <c r="AK266" s="3" t="str">
        <f>IFERROR(__xludf.DUMMYFUNCTION("""COMPUTED_VALUE"""),"The Setting Sun")</f>
        <v>The Setting Sun</v>
      </c>
      <c r="AL266" s="3" t="str">
        <f>IFERROR(__xludf.DUMMYFUNCTION("""COMPUTED_VALUE"""),"Stasis Madness")</f>
        <v>Stasis Madness</v>
      </c>
      <c r="AM266" s="3" t="str">
        <f>IFERROR(__xludf.DUMMYFUNCTION("""COMPUTED_VALUE"""),"Stasis Tsunami")</f>
        <v>Stasis Tsunami</v>
      </c>
      <c r="AN266" s="3" t="str">
        <f>IFERROR(__xludf.DUMMYFUNCTION("""COMPUTED_VALUE"""),"Darkest Abyss")</f>
        <v>Darkest Abyss</v>
      </c>
      <c r="AO266" s="3" t="str">
        <f>IFERROR(__xludf.DUMMYFUNCTION("""COMPUTED_VALUE"""),"Conceal")</f>
        <v>Conceal</v>
      </c>
      <c r="AP266" s="3" t="str">
        <f>IFERROR(__xludf.DUMMYFUNCTION("""COMPUTED_VALUE"""),"Obliterating Light of Blindness")</f>
        <v>Obliterating Light of Blindness</v>
      </c>
      <c r="AQ266" s="3" t="str">
        <f>IFERROR(__xludf.DUMMYFUNCTION("""COMPUTED_VALUE"""),"Revive")</f>
        <v>Revive</v>
      </c>
      <c r="AR266" s="3" t="str">
        <f>IFERROR(__xludf.DUMMYFUNCTION("""COMPUTED_VALUE"""),"Celestial Wrath")</f>
        <v>Celestial Wrath</v>
      </c>
      <c r="AS266" s="3" t="str">
        <f>IFERROR(__xludf.DUMMYFUNCTION("""COMPUTED_VALUE"""),"Countdown")</f>
        <v>Countdown</v>
      </c>
      <c r="AT266" s="3" t="str">
        <f>IFERROR(__xludf.DUMMYFUNCTION("""COMPUTED_VALUE"""),"Multishot")</f>
        <v>Multishot</v>
      </c>
      <c r="AU266" s="3" t="str">
        <f>IFERROR(__xludf.DUMMYFUNCTION("""COMPUTED_VALUE"""),"Cancel")</f>
        <v>Cancel</v>
      </c>
      <c r="AV266" s="3" t="str">
        <f>IFERROR(__xludf.DUMMYFUNCTION("""COMPUTED_VALUE"""),"Choir of 1000 Voices")</f>
        <v>Choir of 1000 Voices</v>
      </c>
      <c r="AW266" s="3"/>
      <c r="AX266" s="3"/>
      <c r="AY266" s="3"/>
      <c r="AZ266" s="3"/>
      <c r="BA266" s="3"/>
      <c r="BB266" s="3"/>
      <c r="BC266" s="1"/>
      <c r="BD266" s="3">
        <f>IFERROR(__xludf.DUMMYFUNCTION("""COMPUTED_VALUE"""),0.0)</f>
        <v>0</v>
      </c>
      <c r="BE266" s="4">
        <f>IFERROR(__xludf.DUMMYFUNCTION("""COMPUTED_VALUE"""),10.0)</f>
        <v>10</v>
      </c>
      <c r="BF266" s="3" t="str">
        <f>IFERROR(__xludf.DUMMYFUNCTION("""COMPUTED_VALUE"""),"75% chance to be unaffected by any spells affecting this mob or it's allies.
Twilight Blessing II: +10 can be added to this mobs rolls.")</f>
        <v>75% chance to be unaffected by any spells affecting this mob or it's allies.
Twilight Blessing II: +10 can be added to this mobs rolls.</v>
      </c>
      <c r="BG266" s="3" t="str">
        <f>IFERROR(__xludf.DUMMYFUNCTION("""COMPUTED_VALUE"""),"All")</f>
        <v>All</v>
      </c>
      <c r="BH266" s="3" t="str">
        <f>IFERROR(__xludf.DUMMYFUNCTION("""COMPUTED_VALUE"""),"Halloween Kingdom")</f>
        <v>Halloween Kingdom</v>
      </c>
      <c r="BI266" s="3"/>
      <c r="BJ266" s="3"/>
      <c r="BK266" s="3"/>
      <c r="BL266" s="3" t="b">
        <f>IFERROR(__xludf.DUMMYFUNCTION("""COMPUTED_VALUE"""),FALSE)</f>
        <v>0</v>
      </c>
      <c r="BM266" s="3"/>
      <c r="BN266" s="3"/>
      <c r="BO266" s="3"/>
      <c r="BP266" s="3"/>
      <c r="BQ266" s="3"/>
      <c r="BR266" s="3"/>
      <c r="BS266" s="3"/>
      <c r="BT266" s="3"/>
      <c r="BU266" s="3"/>
      <c r="BV266" s="3"/>
      <c r="BW266" s="3"/>
    </row>
    <row r="267" ht="15.75" customHeight="1">
      <c r="A267" s="3" t="str">
        <f>IFERROR(__xludf.DUMMYFUNCTION("""COMPUTED_VALUE"""),"Twilight Shadow")</f>
        <v>Twilight Shadow</v>
      </c>
      <c r="B267" s="3">
        <f>IFERROR(__xludf.DUMMYFUNCTION("""COMPUTED_VALUE"""),1.0)</f>
        <v>1</v>
      </c>
      <c r="C267" s="3"/>
      <c r="D267" s="12" t="str">
        <f>IFERROR(__xludf.DUMMYFUNCTION("""COMPUTED_VALUE"""),"Spirit")</f>
        <v>Spirit</v>
      </c>
      <c r="E267" s="12">
        <f>IFERROR(__xludf.DUMMYFUNCTION("""COMPUTED_VALUE"""),1010.0)</f>
        <v>1010</v>
      </c>
      <c r="F267" s="12">
        <f>IFERROR(__xludf.DUMMYFUNCTION("""COMPUTED_VALUE"""),1010.0)</f>
        <v>1010</v>
      </c>
      <c r="G267" s="12">
        <f>IFERROR(__xludf.DUMMYFUNCTION("""COMPUTED_VALUE"""),1010.0)</f>
        <v>1010</v>
      </c>
      <c r="H267" s="3">
        <f>IFERROR(__xludf.DUMMYFUNCTION("""COMPUTED_VALUE"""),10.0)</f>
        <v>10</v>
      </c>
      <c r="I267" s="3">
        <f>IFERROR(__xludf.DUMMYFUNCTION("""COMPUTED_VALUE"""),0.0)</f>
        <v>0</v>
      </c>
      <c r="J267" s="3">
        <f>IFERROR(__xludf.DUMMYFUNCTION("""COMPUTED_VALUE"""),0.0)</f>
        <v>0</v>
      </c>
      <c r="K267" s="3">
        <f>IFERROR(__xludf.DUMMYFUNCTION("""COMPUTED_VALUE"""),100.0)</f>
        <v>100</v>
      </c>
      <c r="L267" s="3">
        <f>IFERROR(__xludf.DUMMYFUNCTION("""COMPUTED_VALUE"""),100.0)</f>
        <v>100</v>
      </c>
      <c r="M267" s="3" t="str">
        <f>IFERROR(__xludf.DUMMYFUNCTION("""COMPUTED_VALUE"""),"Dark:Immune, Twilight:Immune, ")</f>
        <v>Dark:Immune, Twilight:Immune, </v>
      </c>
      <c r="N267" s="3" t="str">
        <f>IFERROR(__xludf.DUMMYFUNCTION("""COMPUTED_VALUE"""),"Light:100, ")</f>
        <v>Light:100, </v>
      </c>
      <c r="O267" s="3"/>
      <c r="P267" s="3"/>
      <c r="Q267" s="3"/>
      <c r="R267" s="3"/>
      <c r="S267" s="3"/>
      <c r="T267" s="3"/>
      <c r="U267" s="3"/>
      <c r="V267" s="3"/>
      <c r="W267" s="3"/>
      <c r="X267" s="3"/>
      <c r="Y267" s="3"/>
      <c r="Z267" s="3"/>
      <c r="AA267" s="3"/>
      <c r="AB267" s="3"/>
      <c r="AC267" s="3"/>
      <c r="AD267" s="3"/>
      <c r="AE267" s="3"/>
      <c r="AF267" s="3"/>
      <c r="AG267" s="3"/>
      <c r="AH267" s="3"/>
      <c r="AI267" s="3"/>
      <c r="AJ267" s="3" t="str">
        <f>IFERROR(__xludf.DUMMYFUNCTION("""COMPUTED_VALUE"""),"Lash of Twilight")</f>
        <v>Lash of Twilight</v>
      </c>
      <c r="AK267" s="3" t="str">
        <f>IFERROR(__xludf.DUMMYFUNCTION("""COMPUTED_VALUE"""),"Searing Twilight")</f>
        <v>Searing Twilight</v>
      </c>
      <c r="AL267" s="3" t="str">
        <f>IFERROR(__xludf.DUMMYFUNCTION("""COMPUTED_VALUE"""),"The Setting Sun")</f>
        <v>The Setting Sun</v>
      </c>
      <c r="AM267" s="3" t="str">
        <f>IFERROR(__xludf.DUMMYFUNCTION("""COMPUTED_VALUE"""),"Danse Macabre")</f>
        <v>Danse Macabre</v>
      </c>
      <c r="AN267" s="3"/>
      <c r="AO267" s="3"/>
      <c r="AP267" s="3"/>
      <c r="AQ267" s="3"/>
      <c r="AR267" s="3"/>
      <c r="AS267" s="3"/>
      <c r="AT267" s="3"/>
      <c r="AU267" s="3"/>
      <c r="AV267" s="3"/>
      <c r="AW267" s="3"/>
      <c r="AX267" s="3"/>
      <c r="AY267" s="3"/>
      <c r="AZ267" s="3"/>
      <c r="BA267" s="3"/>
      <c r="BB267" s="3"/>
      <c r="BC267" s="1"/>
      <c r="BD267" s="3">
        <f>IFERROR(__xludf.DUMMYFUNCTION("""COMPUTED_VALUE"""),0.0)</f>
        <v>0</v>
      </c>
      <c r="BE267" s="4">
        <f>IFERROR(__xludf.DUMMYFUNCTION("""COMPUTED_VALUE"""),10.0)</f>
        <v>10</v>
      </c>
      <c r="BF267" s="3"/>
      <c r="BG267" s="3" t="str">
        <f>IFERROR(__xludf.DUMMYFUNCTION("""COMPUTED_VALUE"""),"All")</f>
        <v>All</v>
      </c>
      <c r="BH267" s="3" t="str">
        <f>IFERROR(__xludf.DUMMYFUNCTION("""COMPUTED_VALUE"""),"Land Of Spira")</f>
        <v>Land Of Spira</v>
      </c>
      <c r="BI267" s="3"/>
      <c r="BJ267" s="3"/>
      <c r="BK267" s="3"/>
      <c r="BL267" s="3" t="b">
        <f>IFERROR(__xludf.DUMMYFUNCTION("""COMPUTED_VALUE"""),FALSE)</f>
        <v>0</v>
      </c>
      <c r="BM267" s="3"/>
      <c r="BN267" s="3"/>
      <c r="BO267" s="3"/>
      <c r="BP267" s="3"/>
      <c r="BQ267" s="3"/>
      <c r="BR267" s="3"/>
      <c r="BS267" s="3"/>
      <c r="BT267" s="3"/>
      <c r="BU267" s="3"/>
      <c r="BV267" s="3"/>
      <c r="BW267" s="3"/>
    </row>
    <row r="268" ht="15.75" customHeight="1">
      <c r="A268" s="3" t="str">
        <f>IFERROR(__xludf.DUMMYFUNCTION("""COMPUTED_VALUE"""),"Twilight Soldier")</f>
        <v>Twilight Soldier</v>
      </c>
      <c r="B268" s="3">
        <f>IFERROR(__xludf.DUMMYFUNCTION("""COMPUTED_VALUE"""),1.0)</f>
        <v>1</v>
      </c>
      <c r="C268" s="3"/>
      <c r="D268" s="12" t="str">
        <f>IFERROR(__xludf.DUMMYFUNCTION("""COMPUTED_VALUE"""),"Humanoid")</f>
        <v>Humanoid</v>
      </c>
      <c r="E268" s="12">
        <f>IFERROR(__xludf.DUMMYFUNCTION("""COMPUTED_VALUE"""),1010.0)</f>
        <v>1010</v>
      </c>
      <c r="F268" s="12">
        <f>IFERROR(__xludf.DUMMYFUNCTION("""COMPUTED_VALUE"""),1010.0)</f>
        <v>1010</v>
      </c>
      <c r="G268" s="12">
        <f>IFERROR(__xludf.DUMMYFUNCTION("""COMPUTED_VALUE"""),1010.0)</f>
        <v>1010</v>
      </c>
      <c r="H268" s="3">
        <f>IFERROR(__xludf.DUMMYFUNCTION("""COMPUTED_VALUE"""),10.0)</f>
        <v>10</v>
      </c>
      <c r="I268" s="3">
        <f>IFERROR(__xludf.DUMMYFUNCTION("""COMPUTED_VALUE"""),0.0)</f>
        <v>0</v>
      </c>
      <c r="J268" s="3">
        <f>IFERROR(__xludf.DUMMYFUNCTION("""COMPUTED_VALUE"""),0.0)</f>
        <v>0</v>
      </c>
      <c r="K268" s="3">
        <f>IFERROR(__xludf.DUMMYFUNCTION("""COMPUTED_VALUE"""),100.0)</f>
        <v>100</v>
      </c>
      <c r="L268" s="3">
        <f>IFERROR(__xludf.DUMMYFUNCTION("""COMPUTED_VALUE"""),100.0)</f>
        <v>100</v>
      </c>
      <c r="M268" s="3" t="str">
        <f>IFERROR(__xludf.DUMMYFUNCTION("""COMPUTED_VALUE"""),"Twilight:Immune, ")</f>
        <v>Twilight:Immune, </v>
      </c>
      <c r="N268" s="3" t="str">
        <f>IFERROR(__xludf.DUMMYFUNCTION("""COMPUTED_VALUE"""),"")</f>
        <v/>
      </c>
      <c r="O268" s="3"/>
      <c r="P268" s="3"/>
      <c r="Q268" s="3"/>
      <c r="R268" s="3"/>
      <c r="S268" s="3"/>
      <c r="T268" s="3"/>
      <c r="U268" s="3"/>
      <c r="V268" s="3"/>
      <c r="W268" s="3"/>
      <c r="X268" s="3"/>
      <c r="Y268" s="3"/>
      <c r="Z268" s="3"/>
      <c r="AA268" s="3"/>
      <c r="AB268" s="3"/>
      <c r="AC268" s="3"/>
      <c r="AD268" s="3"/>
      <c r="AE268" s="3"/>
      <c r="AF268" s="3"/>
      <c r="AG268" s="3"/>
      <c r="AH268" s="3"/>
      <c r="AI268" s="3"/>
      <c r="AJ268" s="3" t="str">
        <f>IFERROR(__xludf.DUMMYFUNCTION("""COMPUTED_VALUE"""),"The Setting Sun")</f>
        <v>The Setting Sun</v>
      </c>
      <c r="AK268" s="3" t="str">
        <f>IFERROR(__xludf.DUMMYFUNCTION("""COMPUTED_VALUE"""),"Twilight Masquerade")</f>
        <v>Twilight Masquerade</v>
      </c>
      <c r="AL268" s="3" t="str">
        <f>IFERROR(__xludf.DUMMYFUNCTION("""COMPUTED_VALUE"""),"Danse Macabre")</f>
        <v>Danse Macabre</v>
      </c>
      <c r="AM268" s="3" t="str">
        <f>IFERROR(__xludf.DUMMYFUNCTION("""COMPUTED_VALUE"""),"Arrest")</f>
        <v>Arrest</v>
      </c>
      <c r="AN268" s="3"/>
      <c r="AO268" s="3"/>
      <c r="AP268" s="3"/>
      <c r="AQ268" s="3"/>
      <c r="AR268" s="3"/>
      <c r="AS268" s="3"/>
      <c r="AT268" s="3"/>
      <c r="AU268" s="3"/>
      <c r="AV268" s="3"/>
      <c r="AW268" s="3"/>
      <c r="AX268" s="3"/>
      <c r="AY268" s="3"/>
      <c r="AZ268" s="3"/>
      <c r="BA268" s="3"/>
      <c r="BB268" s="3"/>
      <c r="BC268" s="1"/>
      <c r="BD268" s="3">
        <f>IFERROR(__xludf.DUMMYFUNCTION("""COMPUTED_VALUE"""),0.0)</f>
        <v>0</v>
      </c>
      <c r="BE268" s="4">
        <f>IFERROR(__xludf.DUMMYFUNCTION("""COMPUTED_VALUE"""),10.0)</f>
        <v>10</v>
      </c>
      <c r="BF268" s="3"/>
      <c r="BG268" s="3" t="str">
        <f>IFERROR(__xludf.DUMMYFUNCTION("""COMPUTED_VALUE"""),"All")</f>
        <v>All</v>
      </c>
      <c r="BH268" s="3" t="str">
        <f>IFERROR(__xludf.DUMMYFUNCTION("""COMPUTED_VALUE"""),"Halloween Kingdom")</f>
        <v>Halloween Kingdom</v>
      </c>
      <c r="BI268" s="3"/>
      <c r="BJ268" s="3"/>
      <c r="BK268" s="3"/>
      <c r="BL268" s="3" t="b">
        <f>IFERROR(__xludf.DUMMYFUNCTION("""COMPUTED_VALUE"""),FALSE)</f>
        <v>0</v>
      </c>
      <c r="BM268" s="3"/>
      <c r="BN268" s="3"/>
      <c r="BO268" s="3"/>
      <c r="BP268" s="3"/>
      <c r="BQ268" s="3"/>
      <c r="BR268" s="3"/>
      <c r="BS268" s="3"/>
      <c r="BT268" s="3"/>
      <c r="BU268" s="3"/>
      <c r="BV268" s="3"/>
      <c r="BW268" s="3"/>
    </row>
    <row r="269" ht="15.75" customHeight="1">
      <c r="A269" s="3" t="str">
        <f>IFERROR(__xludf.DUMMYFUNCTION("""COMPUTED_VALUE"""),"Undead Dragon")</f>
        <v>Undead Dragon</v>
      </c>
      <c r="B269" s="3">
        <f>IFERROR(__xludf.DUMMYFUNCTION("""COMPUTED_VALUE"""),1.0)</f>
        <v>1</v>
      </c>
      <c r="C269" s="3"/>
      <c r="D269" s="12" t="str">
        <f>IFERROR(__xludf.DUMMYFUNCTION("""COMPUTED_VALUE"""),"Draconic")</f>
        <v>Draconic</v>
      </c>
      <c r="E269" s="12">
        <f>IFERROR(__xludf.DUMMYFUNCTION("""COMPUTED_VALUE"""),31010.0)</f>
        <v>31010</v>
      </c>
      <c r="F269" s="12">
        <f>IFERROR(__xludf.DUMMYFUNCTION("""COMPUTED_VALUE"""),31010.0)</f>
        <v>31010</v>
      </c>
      <c r="G269" s="12">
        <f>IFERROR(__xludf.DUMMYFUNCTION("""COMPUTED_VALUE"""),31010.0)</f>
        <v>31010</v>
      </c>
      <c r="H269" s="3">
        <f>IFERROR(__xludf.DUMMYFUNCTION("""COMPUTED_VALUE"""),10.0)</f>
        <v>10</v>
      </c>
      <c r="I269" s="3">
        <f>IFERROR(__xludf.DUMMYFUNCTION("""COMPUTED_VALUE"""),0.0)</f>
        <v>0</v>
      </c>
      <c r="J269" s="3">
        <f>IFERROR(__xludf.DUMMYFUNCTION("""COMPUTED_VALUE"""),0.0)</f>
        <v>0</v>
      </c>
      <c r="K269" s="3">
        <f>IFERROR(__xludf.DUMMYFUNCTION("""COMPUTED_VALUE"""),100.0)</f>
        <v>100</v>
      </c>
      <c r="L269" s="3">
        <f>IFERROR(__xludf.DUMMYFUNCTION("""COMPUTED_VALUE"""),100.0)</f>
        <v>100</v>
      </c>
      <c r="M269" s="3" t="str">
        <f>IFERROR(__xludf.DUMMYFUNCTION("""COMPUTED_VALUE"""),"Dark:Immune, Instant Death:Immune, Banishment:Immune, ")</f>
        <v>Dark:Immune, Instant Death:Immune, Banishment:Immune, </v>
      </c>
      <c r="N269" s="3" t="str">
        <f>IFERROR(__xludf.DUMMYFUNCTION("""COMPUTED_VALUE"""),"Fire:100, Light:100, ")</f>
        <v>Fire:100, Light:100, </v>
      </c>
      <c r="O269" s="3"/>
      <c r="P269" s="3"/>
      <c r="Q269" s="3"/>
      <c r="R269" s="3"/>
      <c r="S269" s="3"/>
      <c r="T269" s="3"/>
      <c r="U269" s="3"/>
      <c r="V269" s="3"/>
      <c r="W269" s="3"/>
      <c r="X269" s="3"/>
      <c r="Y269" s="3"/>
      <c r="Z269" s="3"/>
      <c r="AA269" s="3"/>
      <c r="AB269" s="3"/>
      <c r="AC269" s="3"/>
      <c r="AD269" s="3"/>
      <c r="AE269" s="3"/>
      <c r="AF269" s="3"/>
      <c r="AG269" s="3"/>
      <c r="AH269" s="3"/>
      <c r="AI269" s="3"/>
      <c r="AJ269" s="3" t="str">
        <f>IFERROR(__xludf.DUMMYFUNCTION("""COMPUTED_VALUE"""),"Dragon's Breath")</f>
        <v>Dragon's Breath</v>
      </c>
      <c r="AK269" s="3" t="str">
        <f>IFERROR(__xludf.DUMMYFUNCTION("""COMPUTED_VALUE"""),"Bite")</f>
        <v>Bite</v>
      </c>
      <c r="AL269" s="3" t="str">
        <f>IFERROR(__xludf.DUMMYFUNCTION("""COMPUTED_VALUE"""),"Tail Smash")</f>
        <v>Tail Smash</v>
      </c>
      <c r="AM269" s="3" t="str">
        <f>IFERROR(__xludf.DUMMYFUNCTION("""COMPUTED_VALUE"""),"Claws")</f>
        <v>Claws</v>
      </c>
      <c r="AN269" s="3" t="str">
        <f>IFERROR(__xludf.DUMMYFUNCTION("""COMPUTED_VALUE"""),"Berserk")</f>
        <v>Berserk</v>
      </c>
      <c r="AO269" s="3" t="str">
        <f>IFERROR(__xludf.DUMMYFUNCTION("""COMPUTED_VALUE"""),"Multishot")</f>
        <v>Multishot</v>
      </c>
      <c r="AP269" s="3" t="str">
        <f>IFERROR(__xludf.DUMMYFUNCTION("""COMPUTED_VALUE"""),"Draconic Scream")</f>
        <v>Draconic Scream</v>
      </c>
      <c r="AQ269" s="3" t="str">
        <f>IFERROR(__xludf.DUMMYFUNCTION("""COMPUTED_VALUE"""),"Dark Curse")</f>
        <v>Dark Curse</v>
      </c>
      <c r="AR269" s="3" t="str">
        <f>IFERROR(__xludf.DUMMYFUNCTION("""COMPUTED_VALUE"""),"Dark Bolt")</f>
        <v>Dark Bolt</v>
      </c>
      <c r="AS269" s="3" t="str">
        <f>IFERROR(__xludf.DUMMYFUNCTION("""COMPUTED_VALUE"""),"Darkest Abyss")</f>
        <v>Darkest Abyss</v>
      </c>
      <c r="AT269" s="3" t="str">
        <f>IFERROR(__xludf.DUMMYFUNCTION("""COMPUTED_VALUE"""),"Celestial Wrath")</f>
        <v>Celestial Wrath</v>
      </c>
      <c r="AU269" s="3"/>
      <c r="AV269" s="3"/>
      <c r="AW269" s="3"/>
      <c r="AX269" s="3"/>
      <c r="AY269" s="3"/>
      <c r="AZ269" s="3"/>
      <c r="BA269" s="3"/>
      <c r="BB269" s="3"/>
      <c r="BC269" s="1"/>
      <c r="BD269" s="3">
        <f>IFERROR(__xludf.DUMMYFUNCTION("""COMPUTED_VALUE"""),0.0)</f>
        <v>0</v>
      </c>
      <c r="BE269" s="4">
        <f>IFERROR(__xludf.DUMMYFUNCTION("""COMPUTED_VALUE"""),10.0)</f>
        <v>10</v>
      </c>
      <c r="BF269" s="3" t="str">
        <f>IFERROR(__xludf.DUMMYFUNCTION("""COMPUTED_VALUE"""),"25% chance to be unaffected by any spells affecting this mob
Dragons Luck: +5 can be added to this mobs d20 rolls.
Undead - Can only be killed by light,fire, or celestial.")</f>
        <v>25% chance to be unaffected by any spells affecting this mob
Dragons Luck: +5 can be added to this mobs d20 rolls.
Undead - Can only be killed by light,fire, or celestial.</v>
      </c>
      <c r="BG269" s="3" t="str">
        <f>IFERROR(__xludf.DUMMYFUNCTION("""COMPUTED_VALUE"""),"All")</f>
        <v>All</v>
      </c>
      <c r="BH269" s="3" t="str">
        <f>IFERROR(__xludf.DUMMYFUNCTION("""COMPUTED_VALUE"""),"Dragonscale Island")</f>
        <v>Dragonscale Island</v>
      </c>
      <c r="BI269" s="3"/>
      <c r="BJ269" s="3"/>
      <c r="BK269" s="3"/>
      <c r="BL269" s="3" t="b">
        <f>IFERROR(__xludf.DUMMYFUNCTION("""COMPUTED_VALUE"""),FALSE)</f>
        <v>0</v>
      </c>
      <c r="BM269" s="3"/>
      <c r="BN269" s="3"/>
      <c r="BO269" s="3"/>
      <c r="BP269" s="3"/>
      <c r="BQ269" s="3"/>
      <c r="BR269" s="3"/>
      <c r="BS269" s="3"/>
      <c r="BT269" s="3"/>
      <c r="BU269" s="3"/>
      <c r="BV269" s="3"/>
      <c r="BW269" s="3"/>
    </row>
    <row r="270" ht="15.75" customHeight="1">
      <c r="A270" s="3" t="str">
        <f>IFERROR(__xludf.DUMMYFUNCTION("""COMPUTED_VALUE"""),"Vampire")</f>
        <v>Vampire</v>
      </c>
      <c r="B270" s="3">
        <f>IFERROR(__xludf.DUMMYFUNCTION("""COMPUTED_VALUE"""),1.0)</f>
        <v>1</v>
      </c>
      <c r="C270" s="3"/>
      <c r="D270" s="12" t="str">
        <f>IFERROR(__xludf.DUMMYFUNCTION("""COMPUTED_VALUE"""),"Undead")</f>
        <v>Undead</v>
      </c>
      <c r="E270" s="12">
        <f>IFERROR(__xludf.DUMMYFUNCTION("""COMPUTED_VALUE"""),1010.0)</f>
        <v>1010</v>
      </c>
      <c r="F270" s="12">
        <f>IFERROR(__xludf.DUMMYFUNCTION("""COMPUTED_VALUE"""),1010.0)</f>
        <v>1010</v>
      </c>
      <c r="G270" s="12">
        <f>IFERROR(__xludf.DUMMYFUNCTION("""COMPUTED_VALUE"""),1010.0)</f>
        <v>1010</v>
      </c>
      <c r="H270" s="3">
        <f>IFERROR(__xludf.DUMMYFUNCTION("""COMPUTED_VALUE"""),10.0)</f>
        <v>10</v>
      </c>
      <c r="I270" s="3">
        <f>IFERROR(__xludf.DUMMYFUNCTION("""COMPUTED_VALUE"""),0.0)</f>
        <v>0</v>
      </c>
      <c r="J270" s="3">
        <f>IFERROR(__xludf.DUMMYFUNCTION("""COMPUTED_VALUE"""),0.0)</f>
        <v>0</v>
      </c>
      <c r="K270" s="3">
        <f>IFERROR(__xludf.DUMMYFUNCTION("""COMPUTED_VALUE"""),100.0)</f>
        <v>100</v>
      </c>
      <c r="L270" s="3">
        <f>IFERROR(__xludf.DUMMYFUNCTION("""COMPUTED_VALUE"""),100.0)</f>
        <v>100</v>
      </c>
      <c r="M270" s="3" t="str">
        <f>IFERROR(__xludf.DUMMYFUNCTION("""COMPUTED_VALUE"""),"Dark:Immune, Blood:Immune, ")</f>
        <v>Dark:Immune, Blood:Immune, </v>
      </c>
      <c r="N270" s="3" t="str">
        <f>IFERROR(__xludf.DUMMYFUNCTION("""COMPUTED_VALUE"""),"Fire:100, Light:100, ")</f>
        <v>Fire:100, Light:100, </v>
      </c>
      <c r="O270" s="3"/>
      <c r="P270" s="3"/>
      <c r="Q270" s="3"/>
      <c r="R270" s="3"/>
      <c r="S270" s="3"/>
      <c r="T270" s="3"/>
      <c r="U270" s="3"/>
      <c r="V270" s="3"/>
      <c r="W270" s="3" t="str">
        <f>IFERROR(__xludf.DUMMYFUNCTION("""COMPUTED_VALUE"""),"Sword of the Vampire’s Lust")</f>
        <v>Sword of the Vampire’s Lust</v>
      </c>
      <c r="X270" s="3"/>
      <c r="Y270" s="3"/>
      <c r="Z270" s="3"/>
      <c r="AA270" s="3"/>
      <c r="AB270" s="3"/>
      <c r="AC270" s="3"/>
      <c r="AD270" s="3"/>
      <c r="AE270" s="3"/>
      <c r="AF270" s="3"/>
      <c r="AG270" s="3"/>
      <c r="AH270" s="3"/>
      <c r="AI270" s="3"/>
      <c r="AJ270" s="3" t="str">
        <f>IFERROR(__xludf.DUMMYFUNCTION("""COMPUTED_VALUE"""),"Dark Boost")</f>
        <v>Dark Boost</v>
      </c>
      <c r="AK270" s="3" t="str">
        <f>IFERROR(__xludf.DUMMYFUNCTION("""COMPUTED_VALUE"""),"Chaotic Shadow Force")</f>
        <v>Chaotic Shadow Force</v>
      </c>
      <c r="AL270" s="3" t="str">
        <f>IFERROR(__xludf.DUMMYFUNCTION("""COMPUTED_VALUE"""),"Creeping Darkness")</f>
        <v>Creeping Darkness</v>
      </c>
      <c r="AM270" s="3" t="str">
        <f>IFERROR(__xludf.DUMMYFUNCTION("""COMPUTED_VALUE"""),"Dark Curse")</f>
        <v>Dark Curse</v>
      </c>
      <c r="AN270" s="3" t="str">
        <f>IFERROR(__xludf.DUMMYFUNCTION("""COMPUTED_VALUE"""),"Blood Geyser")</f>
        <v>Blood Geyser</v>
      </c>
      <c r="AO270" s="3" t="str">
        <f>IFERROR(__xludf.DUMMYFUNCTION("""COMPUTED_VALUE"""),"Blood Siphon")</f>
        <v>Blood Siphon</v>
      </c>
      <c r="AP270" s="3" t="str">
        <f>IFERROR(__xludf.DUMMYFUNCTION("""COMPUTED_VALUE"""),"Undead Bite")</f>
        <v>Undead Bite</v>
      </c>
      <c r="AQ270" s="3"/>
      <c r="AR270" s="3"/>
      <c r="AS270" s="3"/>
      <c r="AT270" s="3"/>
      <c r="AU270" s="3"/>
      <c r="AV270" s="3"/>
      <c r="AW270" s="3"/>
      <c r="AX270" s="3"/>
      <c r="AY270" s="3"/>
      <c r="AZ270" s="3"/>
      <c r="BA270" s="3"/>
      <c r="BB270" s="3"/>
      <c r="BC270" s="1"/>
      <c r="BD270" s="3">
        <f>IFERROR(__xludf.DUMMYFUNCTION("""COMPUTED_VALUE"""),0.0)</f>
        <v>0</v>
      </c>
      <c r="BE270" s="4">
        <f>IFERROR(__xludf.DUMMYFUNCTION("""COMPUTED_VALUE"""),10.0)</f>
        <v>10</v>
      </c>
      <c r="BF270" s="3"/>
      <c r="BG270" s="3" t="str">
        <f>IFERROR(__xludf.DUMMYFUNCTION("""COMPUTED_VALUE"""),"All")</f>
        <v>All</v>
      </c>
      <c r="BH270" s="3" t="str">
        <f>IFERROR(__xludf.DUMMYFUNCTION("""COMPUTED_VALUE"""),"Land of Spira")</f>
        <v>Land of Spira</v>
      </c>
      <c r="BI270" s="3"/>
      <c r="BJ270" s="3"/>
      <c r="BK270" s="3"/>
      <c r="BL270" s="3" t="b">
        <f>IFERROR(__xludf.DUMMYFUNCTION("""COMPUTED_VALUE"""),FALSE)</f>
        <v>0</v>
      </c>
      <c r="BM270" s="3"/>
      <c r="BN270" s="3"/>
      <c r="BO270" s="3"/>
      <c r="BP270" s="3"/>
      <c r="BQ270" s="3"/>
      <c r="BR270" s="3"/>
      <c r="BS270" s="3"/>
      <c r="BT270" s="3"/>
      <c r="BU270" s="3"/>
      <c r="BV270" s="3"/>
      <c r="BW270" s="3"/>
    </row>
    <row r="271" ht="15.75" customHeight="1">
      <c r="A271" s="3" t="str">
        <f>IFERROR(__xludf.DUMMYFUNCTION("""COMPUTED_VALUE"""),"Vampire King")</f>
        <v>Vampire King</v>
      </c>
      <c r="B271" s="3">
        <f>IFERROR(__xludf.DUMMYFUNCTION("""COMPUTED_VALUE"""),1.0)</f>
        <v>1</v>
      </c>
      <c r="C271" s="3"/>
      <c r="D271" s="12" t="str">
        <f>IFERROR(__xludf.DUMMYFUNCTION("""COMPUTED_VALUE"""),"Undead")</f>
        <v>Undead</v>
      </c>
      <c r="E271" s="12">
        <f>IFERROR(__xludf.DUMMYFUNCTION("""COMPUTED_VALUE"""),1010.0)</f>
        <v>1010</v>
      </c>
      <c r="F271" s="12">
        <f>IFERROR(__xludf.DUMMYFUNCTION("""COMPUTED_VALUE"""),1010.0)</f>
        <v>1010</v>
      </c>
      <c r="G271" s="12">
        <f>IFERROR(__xludf.DUMMYFUNCTION("""COMPUTED_VALUE"""),1010.0)</f>
        <v>1010</v>
      </c>
      <c r="H271" s="3">
        <f>IFERROR(__xludf.DUMMYFUNCTION("""COMPUTED_VALUE"""),10.0)</f>
        <v>10</v>
      </c>
      <c r="I271" s="3">
        <f>IFERROR(__xludf.DUMMYFUNCTION("""COMPUTED_VALUE"""),0.0)</f>
        <v>0</v>
      </c>
      <c r="J271" s="3">
        <f>IFERROR(__xludf.DUMMYFUNCTION("""COMPUTED_VALUE"""),0.0)</f>
        <v>0</v>
      </c>
      <c r="K271" s="3">
        <f>IFERROR(__xludf.DUMMYFUNCTION("""COMPUTED_VALUE"""),100.0)</f>
        <v>100</v>
      </c>
      <c r="L271" s="3">
        <f>IFERROR(__xludf.DUMMYFUNCTION("""COMPUTED_VALUE"""),100.0)</f>
        <v>100</v>
      </c>
      <c r="M271" s="3" t="str">
        <f>IFERROR(__xludf.DUMMYFUNCTION("""COMPUTED_VALUE"""),"Dark:Immune, Blood:Immune, Instant Death:Immune, Banishment:Immune, ")</f>
        <v>Dark:Immune, Blood:Immune, Instant Death:Immune, Banishment:Immune, </v>
      </c>
      <c r="N271" s="3" t="str">
        <f>IFERROR(__xludf.DUMMYFUNCTION("""COMPUTED_VALUE"""),"Fire:100, Light:100, ")</f>
        <v>Fire:100, Light:100, </v>
      </c>
      <c r="O271" s="3"/>
      <c r="P271" s="3"/>
      <c r="Q271" s="3"/>
      <c r="R271" s="3"/>
      <c r="S271" s="3"/>
      <c r="T271" s="3"/>
      <c r="U271" s="3"/>
      <c r="V271" s="3"/>
      <c r="W271" s="3" t="str">
        <f>IFERROR(__xludf.DUMMYFUNCTION("""COMPUTED_VALUE"""),"Sword of the Vampire’s Lust")</f>
        <v>Sword of the Vampire’s Lust</v>
      </c>
      <c r="X271" s="3"/>
      <c r="Y271" s="3"/>
      <c r="Z271" s="3"/>
      <c r="AA271" s="3"/>
      <c r="AB271" s="3"/>
      <c r="AC271" s="3"/>
      <c r="AD271" s="3"/>
      <c r="AE271" s="3"/>
      <c r="AF271" s="3"/>
      <c r="AG271" s="3"/>
      <c r="AH271" s="3"/>
      <c r="AI271" s="3"/>
      <c r="AJ271" s="3" t="str">
        <f>IFERROR(__xludf.DUMMYFUNCTION("""COMPUTED_VALUE"""),"Chaincast")</f>
        <v>Chaincast</v>
      </c>
      <c r="AK271" s="3" t="str">
        <f>IFERROR(__xludf.DUMMYFUNCTION("""COMPUTED_VALUE"""),"Arrest")</f>
        <v>Arrest</v>
      </c>
      <c r="AL271" s="3" t="str">
        <f>IFERROR(__xludf.DUMMYFUNCTION("""COMPUTED_VALUE"""),"Damage With A Cost.")</f>
        <v>Damage With A Cost.</v>
      </c>
      <c r="AM271" s="3" t="str">
        <f>IFERROR(__xludf.DUMMYFUNCTION("""COMPUTED_VALUE"""),"Swallow")</f>
        <v>Swallow</v>
      </c>
      <c r="AN271" s="3" t="str">
        <f>IFERROR(__xludf.DUMMYFUNCTION("""COMPUTED_VALUE"""),"Blood Geyser")</f>
        <v>Blood Geyser</v>
      </c>
      <c r="AO271" s="3" t="str">
        <f>IFERROR(__xludf.DUMMYFUNCTION("""COMPUTED_VALUE"""),"Dimensional Quake")</f>
        <v>Dimensional Quake</v>
      </c>
      <c r="AP271" s="3" t="str">
        <f>IFERROR(__xludf.DUMMYFUNCTION("""COMPUTED_VALUE"""),"Chaotic Implosion")</f>
        <v>Chaotic Implosion</v>
      </c>
      <c r="AQ271" s="3" t="str">
        <f>IFERROR(__xludf.DUMMYFUNCTION("""COMPUTED_VALUE"""),"Darkest Abyss")</f>
        <v>Darkest Abyss</v>
      </c>
      <c r="AR271" s="3" t="str">
        <f>IFERROR(__xludf.DUMMYFUNCTION("""COMPUTED_VALUE"""),"Dark Curse")</f>
        <v>Dark Curse</v>
      </c>
      <c r="AS271" s="3" t="str">
        <f>IFERROR(__xludf.DUMMYFUNCTION("""COMPUTED_VALUE"""),"Undead Bite")</f>
        <v>Undead Bite</v>
      </c>
      <c r="AT271" s="3" t="str">
        <f>IFERROR(__xludf.DUMMYFUNCTION("""COMPUTED_VALUE"""),"Mass Destruction")</f>
        <v>Mass Destruction</v>
      </c>
      <c r="AU271" s="3" t="str">
        <f>IFERROR(__xludf.DUMMYFUNCTION("""COMPUTED_VALUE"""),"Celestial Increase II")</f>
        <v>Celestial Increase II</v>
      </c>
      <c r="AV271" s="3"/>
      <c r="AW271" s="3"/>
      <c r="AX271" s="3"/>
      <c r="AY271" s="3"/>
      <c r="AZ271" s="3"/>
      <c r="BA271" s="3"/>
      <c r="BB271" s="3"/>
      <c r="BC271" s="1"/>
      <c r="BD271" s="3">
        <f>IFERROR(__xludf.DUMMYFUNCTION("""COMPUTED_VALUE"""),0.0)</f>
        <v>0</v>
      </c>
      <c r="BE271" s="4">
        <f>IFERROR(__xludf.DUMMYFUNCTION("""COMPUTED_VALUE"""),10.0)</f>
        <v>10</v>
      </c>
      <c r="BF271"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Undead: will live on 1 hp unless hit with light, fire, or celestial.")</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Undead: will live on 1 hp unless hit with light, fire, or celestial.</v>
      </c>
      <c r="BG271" s="3" t="str">
        <f>IFERROR(__xludf.DUMMYFUNCTION("""COMPUTED_VALUE"""),"Dungeon")</f>
        <v>Dungeon</v>
      </c>
      <c r="BH271" s="3" t="str">
        <f>IFERROR(__xludf.DUMMYFUNCTION("""COMPUTED_VALUE"""),"Land Of Spira")</f>
        <v>Land Of Spira</v>
      </c>
      <c r="BI271" s="3"/>
      <c r="BJ271" s="3"/>
      <c r="BK271" s="3"/>
      <c r="BL271" s="3" t="b">
        <f>IFERROR(__xludf.DUMMYFUNCTION("""COMPUTED_VALUE"""),FALSE)</f>
        <v>0</v>
      </c>
      <c r="BM271" s="3"/>
      <c r="BN271" s="3"/>
      <c r="BO271" s="3"/>
      <c r="BP271" s="3"/>
      <c r="BQ271" s="3"/>
      <c r="BR271" s="3"/>
      <c r="BS271" s="3"/>
      <c r="BT271" s="3"/>
      <c r="BU271" s="3"/>
      <c r="BV271" s="3"/>
      <c r="BW271" s="3"/>
    </row>
    <row r="272" ht="15.75" customHeight="1">
      <c r="A272" s="3" t="str">
        <f>IFERROR(__xludf.DUMMYFUNCTION("""COMPUTED_VALUE"""),"Vampire Lord")</f>
        <v>Vampire Lord</v>
      </c>
      <c r="B272" s="3">
        <f>IFERROR(__xludf.DUMMYFUNCTION("""COMPUTED_VALUE"""),1.0)</f>
        <v>1</v>
      </c>
      <c r="C272" s="3"/>
      <c r="D272" s="12" t="str">
        <f>IFERROR(__xludf.DUMMYFUNCTION("""COMPUTED_VALUE"""),"Undead")</f>
        <v>Undead</v>
      </c>
      <c r="E272" s="12">
        <f>IFERROR(__xludf.DUMMYFUNCTION("""COMPUTED_VALUE"""),1010.0)</f>
        <v>1010</v>
      </c>
      <c r="F272" s="12">
        <f>IFERROR(__xludf.DUMMYFUNCTION("""COMPUTED_VALUE"""),1010.0)</f>
        <v>1010</v>
      </c>
      <c r="G272" s="12">
        <f>IFERROR(__xludf.DUMMYFUNCTION("""COMPUTED_VALUE"""),1010.0)</f>
        <v>1010</v>
      </c>
      <c r="H272" s="3">
        <f>IFERROR(__xludf.DUMMYFUNCTION("""COMPUTED_VALUE"""),10.0)</f>
        <v>10</v>
      </c>
      <c r="I272" s="3">
        <f>IFERROR(__xludf.DUMMYFUNCTION("""COMPUTED_VALUE"""),0.0)</f>
        <v>0</v>
      </c>
      <c r="J272" s="3">
        <f>IFERROR(__xludf.DUMMYFUNCTION("""COMPUTED_VALUE"""),0.0)</f>
        <v>0</v>
      </c>
      <c r="K272" s="3">
        <f>IFERROR(__xludf.DUMMYFUNCTION("""COMPUTED_VALUE"""),100.0)</f>
        <v>100</v>
      </c>
      <c r="L272" s="3"/>
      <c r="M272" s="3"/>
      <c r="N272" s="3"/>
      <c r="O272" s="3"/>
      <c r="P272" s="3"/>
      <c r="Q272" s="3"/>
      <c r="R272" s="3"/>
      <c r="S272" s="3"/>
      <c r="T272" s="3"/>
      <c r="U272" s="3"/>
      <c r="V272" s="3"/>
      <c r="W272" s="3" t="str">
        <f>IFERROR(__xludf.DUMMYFUNCTION("""COMPUTED_VALUE"""),"Sword of the Vampire’s Lust")</f>
        <v>Sword of the Vampire’s Lust</v>
      </c>
      <c r="X272" s="3"/>
      <c r="Y272" s="3"/>
      <c r="Z272" s="3"/>
      <c r="AA272" s="3"/>
      <c r="AB272" s="3"/>
      <c r="AC272" s="3"/>
      <c r="AD272" s="3"/>
      <c r="AE272" s="3"/>
      <c r="AF272" s="3"/>
      <c r="AG272" s="3"/>
      <c r="AH272" s="3"/>
      <c r="AI272" s="3"/>
      <c r="AJ272" s="3" t="str">
        <f>IFERROR(__xludf.DUMMYFUNCTION("""COMPUTED_VALUE"""),"Arrest")</f>
        <v>Arrest</v>
      </c>
      <c r="AK272" s="3" t="str">
        <f>IFERROR(__xludf.DUMMYFUNCTION("""COMPUTED_VALUE"""),"Damage With A Cost.")</f>
        <v>Damage With A Cost.</v>
      </c>
      <c r="AL272" s="3" t="str">
        <f>IFERROR(__xludf.DUMMYFUNCTION("""COMPUTED_VALUE"""),"Swallow")</f>
        <v>Swallow</v>
      </c>
      <c r="AM272" s="3" t="str">
        <f>IFERROR(__xludf.DUMMYFUNCTION("""COMPUTED_VALUE"""),"Blood Geyser")</f>
        <v>Blood Geyser</v>
      </c>
      <c r="AN272" s="3" t="str">
        <f>IFERROR(__xludf.DUMMYFUNCTION("""COMPUTED_VALUE"""),"Darkest Abyss")</f>
        <v>Darkest Abyss</v>
      </c>
      <c r="AO272" s="3" t="str">
        <f>IFERROR(__xludf.DUMMYFUNCTION("""COMPUTED_VALUE"""),"Dark Curse")</f>
        <v>Dark Curse</v>
      </c>
      <c r="AP272" s="3" t="str">
        <f>IFERROR(__xludf.DUMMYFUNCTION("""COMPUTED_VALUE"""),"Undead Bite")</f>
        <v>Undead Bite</v>
      </c>
      <c r="AQ272" s="3" t="str">
        <f>IFERROR(__xludf.DUMMYFUNCTION("""COMPUTED_VALUE"""),"Celestial Wrath")</f>
        <v>Celestial Wrath</v>
      </c>
      <c r="AR272" s="3"/>
      <c r="AS272" s="3"/>
      <c r="AT272" s="3"/>
      <c r="AU272" s="3"/>
      <c r="AV272" s="3"/>
      <c r="AW272" s="3"/>
      <c r="AX272" s="3"/>
      <c r="AY272" s="3"/>
      <c r="AZ272" s="3"/>
      <c r="BA272" s="3"/>
      <c r="BB272" s="3"/>
      <c r="BC272" s="1"/>
      <c r="BD272" s="3">
        <f>IFERROR(__xludf.DUMMYFUNCTION("""COMPUTED_VALUE"""),0.0)</f>
        <v>0</v>
      </c>
      <c r="BE272" s="4">
        <f>IFERROR(__xludf.DUMMYFUNCTION("""COMPUTED_VALUE"""),10.0)</f>
        <v>10</v>
      </c>
      <c r="BF272" s="3" t="str">
        <f>IFERROR(__xludf.DUMMYFUNCTION("""COMPUTED_VALUE"""),"Trick or Treat: All players roll a d20 at the begining of battle; The players that roll a 10 or lower half their perks except constitution until end of battle, Players that roll a 20 or higher double their  perks except constitution until the end of battl"&amp;"e.
Hollows Guidance: +5 can be added to this mobs rolls.
Undead - will live on 1 hp unless hit with light, fire, or celestial.")</f>
        <v>Trick or Treat: All players roll a d20 at the begining of battle; The players that roll a 10 or lower half their perks except constitution until end of battle, Players that roll a 20 or higher double their  perks except constitution until the end of battle.
Hollows Guidance: +5 can be added to this mobs rolls.
Undead - will live on 1 hp unless hit with light, fire, or celestial.</v>
      </c>
      <c r="BG272" s="3" t="str">
        <f>IFERROR(__xludf.DUMMYFUNCTION("""COMPUTED_VALUE"""),"All")</f>
        <v>All</v>
      </c>
      <c r="BH272" s="3" t="str">
        <f>IFERROR(__xludf.DUMMYFUNCTION("""COMPUTED_VALUE"""),"Land of Spira")</f>
        <v>Land of Spira</v>
      </c>
      <c r="BI272" s="3"/>
      <c r="BJ272" s="3"/>
      <c r="BK272" s="3"/>
      <c r="BL272" s="3" t="b">
        <f>IFERROR(__xludf.DUMMYFUNCTION("""COMPUTED_VALUE"""),FALSE)</f>
        <v>0</v>
      </c>
      <c r="BM272" s="3"/>
      <c r="BN272" s="3"/>
      <c r="BO272" s="3"/>
      <c r="BP272" s="3"/>
      <c r="BQ272" s="3"/>
      <c r="BR272" s="3"/>
      <c r="BS272" s="3"/>
      <c r="BT272" s="3"/>
      <c r="BU272" s="3"/>
      <c r="BV272" s="3"/>
      <c r="BW272" s="3"/>
    </row>
    <row r="273" ht="15.75" customHeight="1">
      <c r="A273" s="3" t="str">
        <f>IFERROR(__xludf.DUMMYFUNCTION("""COMPUTED_VALUE"""),"Vampire Soldier")</f>
        <v>Vampire Soldier</v>
      </c>
      <c r="B273" s="3">
        <f>IFERROR(__xludf.DUMMYFUNCTION("""COMPUTED_VALUE"""),1.0)</f>
        <v>1</v>
      </c>
      <c r="C273" s="3"/>
      <c r="D273" s="12" t="str">
        <f>IFERROR(__xludf.DUMMYFUNCTION("""COMPUTED_VALUE"""),"Undead")</f>
        <v>Undead</v>
      </c>
      <c r="E273" s="12">
        <f>IFERROR(__xludf.DUMMYFUNCTION("""COMPUTED_VALUE"""),1010.0)</f>
        <v>1010</v>
      </c>
      <c r="F273" s="12">
        <f>IFERROR(__xludf.DUMMYFUNCTION("""COMPUTED_VALUE"""),1010.0)</f>
        <v>1010</v>
      </c>
      <c r="G273" s="12">
        <f>IFERROR(__xludf.DUMMYFUNCTION("""COMPUTED_VALUE"""),1010.0)</f>
        <v>1010</v>
      </c>
      <c r="H273" s="3">
        <f>IFERROR(__xludf.DUMMYFUNCTION("""COMPUTED_VALUE"""),10.0)</f>
        <v>10</v>
      </c>
      <c r="I273" s="3">
        <f>IFERROR(__xludf.DUMMYFUNCTION("""COMPUTED_VALUE"""),0.0)</f>
        <v>0</v>
      </c>
      <c r="J273" s="3">
        <f>IFERROR(__xludf.DUMMYFUNCTION("""COMPUTED_VALUE"""),0.0)</f>
        <v>0</v>
      </c>
      <c r="K273" s="3">
        <f>IFERROR(__xludf.DUMMYFUNCTION("""COMPUTED_VALUE"""),100.0)</f>
        <v>100</v>
      </c>
      <c r="L273" s="3">
        <f>IFERROR(__xludf.DUMMYFUNCTION("""COMPUTED_VALUE"""),100.0)</f>
        <v>100</v>
      </c>
      <c r="M273" s="3" t="str">
        <f>IFERROR(__xludf.DUMMYFUNCTION("""COMPUTED_VALUE"""),"Dark:Immune, Chaos:Immune, Blood:Immune, ")</f>
        <v>Dark:Immune, Chaos:Immune, Blood:Immune, </v>
      </c>
      <c r="N273" s="3" t="str">
        <f>IFERROR(__xludf.DUMMYFUNCTION("""COMPUTED_VALUE"""),"Fire:100, Light:100, ")</f>
        <v>Fire:100, Light:100, </v>
      </c>
      <c r="O273" s="3"/>
      <c r="P273" s="3"/>
      <c r="Q273" s="3"/>
      <c r="R273" s="3"/>
      <c r="S273" s="3"/>
      <c r="T273" s="3"/>
      <c r="U273" s="3"/>
      <c r="V273" s="3"/>
      <c r="W273" s="3" t="str">
        <f>IFERROR(__xludf.DUMMYFUNCTION("""COMPUTED_VALUE"""),"Sword of the Vampire’s Lust")</f>
        <v>Sword of the Vampire’s Lust</v>
      </c>
      <c r="X273" s="3"/>
      <c r="Y273" s="3"/>
      <c r="Z273" s="3"/>
      <c r="AA273" s="3"/>
      <c r="AB273" s="3"/>
      <c r="AC273" s="3"/>
      <c r="AD273" s="3"/>
      <c r="AE273" s="3"/>
      <c r="AF273" s="3"/>
      <c r="AG273" s="3"/>
      <c r="AH273" s="3"/>
      <c r="AI273" s="3"/>
      <c r="AJ273" s="3" t="str">
        <f>IFERROR(__xludf.DUMMYFUNCTION("""COMPUTED_VALUE"""),"Undead Bite")</f>
        <v>Undead Bite</v>
      </c>
      <c r="AK273" s="3" t="str">
        <f>IFERROR(__xludf.DUMMYFUNCTION("""COMPUTED_VALUE"""),"Blood Geyser")</f>
        <v>Blood Geyser</v>
      </c>
      <c r="AL273" s="3" t="str">
        <f>IFERROR(__xludf.DUMMYFUNCTION("""COMPUTED_VALUE"""),"Damage With A Cost.")</f>
        <v>Damage With A Cost.</v>
      </c>
      <c r="AM273" s="3" t="str">
        <f>IFERROR(__xludf.DUMMYFUNCTION("""COMPUTED_VALUE"""),"Berserk")</f>
        <v>Berserk</v>
      </c>
      <c r="AN273" s="3" t="str">
        <f>IFERROR(__xludf.DUMMYFUNCTION("""COMPUTED_VALUE"""),"Celestial Wrath")</f>
        <v>Celestial Wrath</v>
      </c>
      <c r="AO273" s="3"/>
      <c r="AP273" s="3"/>
      <c r="AQ273" s="3"/>
      <c r="AR273" s="3"/>
      <c r="AS273" s="3"/>
      <c r="AT273" s="3"/>
      <c r="AU273" s="3"/>
      <c r="AV273" s="3"/>
      <c r="AW273" s="3"/>
      <c r="AX273" s="3"/>
      <c r="AY273" s="3"/>
      <c r="AZ273" s="3"/>
      <c r="BA273" s="3"/>
      <c r="BB273" s="3"/>
      <c r="BC273" s="1"/>
      <c r="BD273" s="3">
        <f>IFERROR(__xludf.DUMMYFUNCTION("""COMPUTED_VALUE"""),0.0)</f>
        <v>0</v>
      </c>
      <c r="BE273" s="4">
        <f>IFERROR(__xludf.DUMMYFUNCTION("""COMPUTED_VALUE"""),10.0)</f>
        <v>10</v>
      </c>
      <c r="BF273" s="3" t="str">
        <f>IFERROR(__xludf.DUMMYFUNCTION("""COMPUTED_VALUE"""),"A Dark Calling: +5 can be added to this mobs rolls.
Undead- Can only be killed by light,fire, or celestial")</f>
        <v>A Dark Calling: +5 can be added to this mobs rolls.
Undead- Can only be killed by light,fire, or celestial</v>
      </c>
      <c r="BG273" s="3" t="str">
        <f>IFERROR(__xludf.DUMMYFUNCTION("""COMPUTED_VALUE"""),"All")</f>
        <v>All</v>
      </c>
      <c r="BH273" s="3" t="str">
        <f>IFERROR(__xludf.DUMMYFUNCTION("""COMPUTED_VALUE"""),"Abstara")</f>
        <v>Abstara</v>
      </c>
      <c r="BI273" s="3"/>
      <c r="BJ273" s="3"/>
      <c r="BK273" s="3"/>
      <c r="BL273" s="3" t="b">
        <f>IFERROR(__xludf.DUMMYFUNCTION("""COMPUTED_VALUE"""),FALSE)</f>
        <v>0</v>
      </c>
      <c r="BM273" s="3"/>
      <c r="BN273" s="3"/>
      <c r="BO273" s="3"/>
      <c r="BP273" s="3"/>
      <c r="BQ273" s="3"/>
      <c r="BR273" s="3"/>
      <c r="BS273" s="3"/>
      <c r="BT273" s="3"/>
      <c r="BU273" s="3"/>
      <c r="BV273" s="3"/>
      <c r="BW273" s="3"/>
    </row>
    <row r="274" ht="15.75" customHeight="1">
      <c r="A274" s="3" t="str">
        <f>IFERROR(__xludf.DUMMYFUNCTION("""COMPUTED_VALUE"""),"Volcanic Lava Dragon")</f>
        <v>Volcanic Lava Dragon</v>
      </c>
      <c r="B274" s="3">
        <f>IFERROR(__xludf.DUMMYFUNCTION("""COMPUTED_VALUE"""),1.0)</f>
        <v>1</v>
      </c>
      <c r="C274" s="3"/>
      <c r="D274" s="12" t="str">
        <f>IFERROR(__xludf.DUMMYFUNCTION("""COMPUTED_VALUE"""),"Draconic")</f>
        <v>Draconic</v>
      </c>
      <c r="E274" s="12">
        <f>IFERROR(__xludf.DUMMYFUNCTION("""COMPUTED_VALUE"""),1010.0)</f>
        <v>1010</v>
      </c>
      <c r="F274" s="12">
        <f>IFERROR(__xludf.DUMMYFUNCTION("""COMPUTED_VALUE"""),1010.0)</f>
        <v>1010</v>
      </c>
      <c r="G274" s="12">
        <f>IFERROR(__xludf.DUMMYFUNCTION("""COMPUTED_VALUE"""),1010.0)</f>
        <v>1010</v>
      </c>
      <c r="H274" s="3">
        <f>IFERROR(__xludf.DUMMYFUNCTION("""COMPUTED_VALUE"""),10.0)</f>
        <v>10</v>
      </c>
      <c r="I274" s="3">
        <f>IFERROR(__xludf.DUMMYFUNCTION("""COMPUTED_VALUE"""),0.0)</f>
        <v>0</v>
      </c>
      <c r="J274" s="3">
        <f>IFERROR(__xludf.DUMMYFUNCTION("""COMPUTED_VALUE"""),0.0)</f>
        <v>0</v>
      </c>
      <c r="K274" s="3">
        <f>IFERROR(__xludf.DUMMYFUNCTION("""COMPUTED_VALUE"""),100.0)</f>
        <v>100</v>
      </c>
      <c r="L274" s="3">
        <f>IFERROR(__xludf.DUMMYFUNCTION("""COMPUTED_VALUE"""),100.0)</f>
        <v>100</v>
      </c>
      <c r="M274" s="3" t="str">
        <f>IFERROR(__xludf.DUMMYFUNCTION("""COMPUTED_VALUE"""),"Fire:Immune, Instant Death:Immune, Banishment:Immune, ")</f>
        <v>Fire:Immune, Instant Death:Immune, Banishment:Immune, </v>
      </c>
      <c r="N274" s="3" t="str">
        <f>IFERROR(__xludf.DUMMYFUNCTION("""COMPUTED_VALUE"""),"Water:100, ")</f>
        <v>Water:100, </v>
      </c>
      <c r="O274" s="3"/>
      <c r="P274" s="3"/>
      <c r="Q274" s="3"/>
      <c r="R274" s="3"/>
      <c r="S274" s="3"/>
      <c r="T274" s="3"/>
      <c r="U274" s="3"/>
      <c r="V274" s="3"/>
      <c r="W274" s="3"/>
      <c r="X274" s="3"/>
      <c r="Y274" s="3"/>
      <c r="Z274" s="3"/>
      <c r="AA274" s="3"/>
      <c r="AB274" s="3"/>
      <c r="AC274" s="3"/>
      <c r="AD274" s="3"/>
      <c r="AE274" s="3"/>
      <c r="AF274" s="3"/>
      <c r="AG274" s="3"/>
      <c r="AH274" s="3"/>
      <c r="AI274" s="3"/>
      <c r="AJ274" s="3" t="str">
        <f>IFERROR(__xludf.DUMMYFUNCTION("""COMPUTED_VALUE"""),"Volcanic Rain")</f>
        <v>Volcanic Rain</v>
      </c>
      <c r="AK274" s="3" t="str">
        <f>IFERROR(__xludf.DUMMYFUNCTION("""COMPUTED_VALUE"""),"Mass Ignition")</f>
        <v>Mass Ignition</v>
      </c>
      <c r="AL274" s="3" t="str">
        <f>IFERROR(__xludf.DUMMYFUNCTION("""COMPUTED_VALUE"""),"Flame Sanctuary")</f>
        <v>Flame Sanctuary</v>
      </c>
      <c r="AM274" s="3" t="str">
        <f>IFERROR(__xludf.DUMMYFUNCTION("""COMPUTED_VALUE"""),"Claws")</f>
        <v>Claws</v>
      </c>
      <c r="AN274" s="3" t="str">
        <f>IFERROR(__xludf.DUMMYFUNCTION("""COMPUTED_VALUE"""),"Darkness Ablaze")</f>
        <v>Darkness Ablaze</v>
      </c>
      <c r="AO274" s="3" t="str">
        <f>IFERROR(__xludf.DUMMYFUNCTION("""COMPUTED_VALUE"""),"Darkest Abyss")</f>
        <v>Darkest Abyss</v>
      </c>
      <c r="AP274" s="3" t="str">
        <f>IFERROR(__xludf.DUMMYFUNCTION("""COMPUTED_VALUE"""),"Celestial Wrath")</f>
        <v>Celestial Wrath</v>
      </c>
      <c r="AQ274" s="3" t="str">
        <f>IFERROR(__xludf.DUMMYFUNCTION("""COMPUTED_VALUE"""),"Max Focus")</f>
        <v>Max Focus</v>
      </c>
      <c r="AR274" s="3" t="str">
        <f>IFERROR(__xludf.DUMMYFUNCTION("""COMPUTED_VALUE"""),"Dragon's Breath")</f>
        <v>Dragon's Breath</v>
      </c>
      <c r="AS274" s="3" t="str">
        <f>IFERROR(__xludf.DUMMYFUNCTION("""COMPUTED_VALUE"""),"Dive Bomb")</f>
        <v>Dive Bomb</v>
      </c>
      <c r="AT274" s="3"/>
      <c r="AU274" s="3"/>
      <c r="AV274" s="3"/>
      <c r="AW274" s="3"/>
      <c r="AX274" s="3"/>
      <c r="AY274" s="3"/>
      <c r="AZ274" s="3"/>
      <c r="BA274" s="3"/>
      <c r="BB274" s="3"/>
      <c r="BC274" s="1"/>
      <c r="BD274" s="3">
        <f>IFERROR(__xludf.DUMMYFUNCTION("""COMPUTED_VALUE"""),0.0)</f>
        <v>0</v>
      </c>
      <c r="BE274" s="4">
        <f>IFERROR(__xludf.DUMMYFUNCTION("""COMPUTED_VALUE"""),10.0)</f>
        <v>10</v>
      </c>
      <c r="BF274" s="3" t="str">
        <f>IFERROR(__xludf.DUMMYFUNCTION("""COMPUTED_VALUE"""),"25% chance to be unaffected by any spells affecting this mob
Dragons Luck II: +10 can be added to the casters d20 rolls.")</f>
        <v>25% chance to be unaffected by any spells affecting this mob
Dragons Luck II: +10 can be added to the casters d20 rolls.</v>
      </c>
      <c r="BG274" s="3" t="str">
        <f>IFERROR(__xludf.DUMMYFUNCTION("""COMPUTED_VALUE"""),"All")</f>
        <v>All</v>
      </c>
      <c r="BH274" s="3" t="str">
        <f>IFERROR(__xludf.DUMMYFUNCTION("""COMPUTED_VALUE"""),"Abstara")</f>
        <v>Abstara</v>
      </c>
      <c r="BI274" s="3"/>
      <c r="BJ274" s="3"/>
      <c r="BK274" s="3"/>
      <c r="BL274" s="3" t="b">
        <f>IFERROR(__xludf.DUMMYFUNCTION("""COMPUTED_VALUE"""),FALSE)</f>
        <v>0</v>
      </c>
      <c r="BM274" s="3"/>
      <c r="BN274" s="3"/>
      <c r="BO274" s="3"/>
      <c r="BP274" s="3"/>
      <c r="BQ274" s="3"/>
      <c r="BR274" s="3"/>
      <c r="BS274" s="3"/>
      <c r="BT274" s="3"/>
      <c r="BU274" s="3"/>
      <c r="BV274" s="3"/>
      <c r="BW274" s="3"/>
    </row>
    <row r="275" ht="15.75" customHeight="1">
      <c r="A275" s="3" t="str">
        <f>IFERROR(__xludf.DUMMYFUNCTION("""COMPUTED_VALUE"""),"Volcanic Serpent")</f>
        <v>Volcanic Serpent</v>
      </c>
      <c r="B275" s="3">
        <f>IFERROR(__xludf.DUMMYFUNCTION("""COMPUTED_VALUE"""),1.0)</f>
        <v>1</v>
      </c>
      <c r="C275" s="3"/>
      <c r="D275" s="12" t="str">
        <f>IFERROR(__xludf.DUMMYFUNCTION("""COMPUTED_VALUE"""),"Beast")</f>
        <v>Beast</v>
      </c>
      <c r="E275" s="12">
        <f>IFERROR(__xludf.DUMMYFUNCTION("""COMPUTED_VALUE"""),1010.0)</f>
        <v>1010</v>
      </c>
      <c r="F275" s="12">
        <f>IFERROR(__xludf.DUMMYFUNCTION("""COMPUTED_VALUE"""),1010.0)</f>
        <v>1010</v>
      </c>
      <c r="G275" s="12">
        <f>IFERROR(__xludf.DUMMYFUNCTION("""COMPUTED_VALUE"""),1010.0)</f>
        <v>1010</v>
      </c>
      <c r="H275" s="3">
        <f>IFERROR(__xludf.DUMMYFUNCTION("""COMPUTED_VALUE"""),10.0)</f>
        <v>10</v>
      </c>
      <c r="I275" s="3">
        <f>IFERROR(__xludf.DUMMYFUNCTION("""COMPUTED_VALUE"""),0.0)</f>
        <v>0</v>
      </c>
      <c r="J275" s="3">
        <f>IFERROR(__xludf.DUMMYFUNCTION("""COMPUTED_VALUE"""),0.0)</f>
        <v>0</v>
      </c>
      <c r="K275" s="3">
        <f>IFERROR(__xludf.DUMMYFUNCTION("""COMPUTED_VALUE"""),100.0)</f>
        <v>100</v>
      </c>
      <c r="L275" s="3">
        <f>IFERROR(__xludf.DUMMYFUNCTION("""COMPUTED_VALUE"""),100.0)</f>
        <v>100</v>
      </c>
      <c r="M275" s="3" t="str">
        <f>IFERROR(__xludf.DUMMYFUNCTION("""COMPUTED_VALUE"""),"Fire:Immune, Instant Death:Immune, Banishment:Immune, ")</f>
        <v>Fire:Immune, Instant Death:Immune, Banishment:Immune, </v>
      </c>
      <c r="N275" s="3" t="str">
        <f>IFERROR(__xludf.DUMMYFUNCTION("""COMPUTED_VALUE"""),"Water:100, ")</f>
        <v>Water:100, </v>
      </c>
      <c r="O275" s="3"/>
      <c r="P275" s="3"/>
      <c r="Q275" s="3"/>
      <c r="R275" s="3"/>
      <c r="S275" s="3"/>
      <c r="T275" s="3"/>
      <c r="U275" s="3"/>
      <c r="V275" s="3"/>
      <c r="W275" s="3"/>
      <c r="X275" s="3"/>
      <c r="Y275" s="3"/>
      <c r="Z275" s="3"/>
      <c r="AA275" s="3"/>
      <c r="AB275" s="3"/>
      <c r="AC275" s="3"/>
      <c r="AD275" s="3"/>
      <c r="AE275" s="3"/>
      <c r="AF275" s="3"/>
      <c r="AG275" s="3"/>
      <c r="AH275" s="3"/>
      <c r="AI275" s="3"/>
      <c r="AJ275" s="3" t="str">
        <f>IFERROR(__xludf.DUMMYFUNCTION("""COMPUTED_VALUE"""),"Volcanic Rain")</f>
        <v>Volcanic Rain</v>
      </c>
      <c r="AK275" s="3" t="str">
        <f>IFERROR(__xludf.DUMMYFUNCTION("""COMPUTED_VALUE"""),"Mass Ignition")</f>
        <v>Mass Ignition</v>
      </c>
      <c r="AL275" s="3" t="str">
        <f>IFERROR(__xludf.DUMMYFUNCTION("""COMPUTED_VALUE"""),"Disruption")</f>
        <v>Disruption</v>
      </c>
      <c r="AM275" s="3" t="str">
        <f>IFERROR(__xludf.DUMMYFUNCTION("""COMPUTED_VALUE"""),"Dimensional Quake")</f>
        <v>Dimensional Quake</v>
      </c>
      <c r="AN275" s="3" t="str">
        <f>IFERROR(__xludf.DUMMYFUNCTION("""COMPUTED_VALUE"""),"Darkest Abyss")</f>
        <v>Darkest Abyss</v>
      </c>
      <c r="AO275" s="3" t="str">
        <f>IFERROR(__xludf.DUMMYFUNCTION("""COMPUTED_VALUE"""),"Conceal")</f>
        <v>Conceal</v>
      </c>
      <c r="AP275" s="3" t="str">
        <f>IFERROR(__xludf.DUMMYFUNCTION("""COMPUTED_VALUE"""),"Chaincast")</f>
        <v>Chaincast</v>
      </c>
      <c r="AQ275" s="3" t="str">
        <f>IFERROR(__xludf.DUMMYFUNCTION("""COMPUTED_VALUE"""),"Mass Destruction")</f>
        <v>Mass Destruction</v>
      </c>
      <c r="AR275" s="3"/>
      <c r="AS275" s="3"/>
      <c r="AT275" s="3"/>
      <c r="AU275" s="3"/>
      <c r="AV275" s="3"/>
      <c r="AW275" s="3"/>
      <c r="AX275" s="3"/>
      <c r="AY275" s="3"/>
      <c r="AZ275" s="3"/>
      <c r="BA275" s="3"/>
      <c r="BB275" s="3"/>
      <c r="BC275" s="1"/>
      <c r="BD275" s="3">
        <f>IFERROR(__xludf.DUMMYFUNCTION("""COMPUTED_VALUE"""),0.0)</f>
        <v>0</v>
      </c>
      <c r="BE275" s="4">
        <f>IFERROR(__xludf.DUMMYFUNCTION("""COMPUTED_VALUE"""),10.0)</f>
        <v>10</v>
      </c>
      <c r="BF275" s="3" t="str">
        <f>IFERROR(__xludf.DUMMYFUNCTION("""COMPUTED_VALUE"""),"75% chance to be unaffected by any spells affecting this mob
Serpents Luck II: plus 10 can be added to this mobs d20 rolls.")</f>
        <v>75% chance to be unaffected by any spells affecting this mob
Serpents Luck II: plus 10 can be added to this mobs d20 rolls.</v>
      </c>
      <c r="BG275" s="3" t="str">
        <f>IFERROR(__xludf.DUMMYFUNCTION("""COMPUTED_VALUE"""),"All")</f>
        <v>All</v>
      </c>
      <c r="BH275" s="3" t="str">
        <f>IFERROR(__xludf.DUMMYFUNCTION("""COMPUTED_VALUE"""),"Abstara")</f>
        <v>Abstara</v>
      </c>
      <c r="BI275" s="3"/>
      <c r="BJ275" s="3"/>
      <c r="BK275" s="3"/>
      <c r="BL275" s="3" t="b">
        <f>IFERROR(__xludf.DUMMYFUNCTION("""COMPUTED_VALUE"""),FALSE)</f>
        <v>0</v>
      </c>
      <c r="BM275" s="3"/>
      <c r="BN275" s="3"/>
      <c r="BO275" s="3"/>
      <c r="BP275" s="3"/>
      <c r="BQ275" s="3"/>
      <c r="BR275" s="3"/>
      <c r="BS275" s="3"/>
      <c r="BT275" s="3"/>
      <c r="BU275" s="3"/>
      <c r="BV275" s="3"/>
      <c r="BW275" s="3"/>
    </row>
    <row r="276" ht="15.75" customHeight="1">
      <c r="A276" s="3"/>
      <c r="B276" s="3">
        <f>IFERROR(__xludf.DUMMYFUNCTION("""COMPUTED_VALUE"""),1.0)</f>
        <v>1</v>
      </c>
      <c r="C276" s="3"/>
      <c r="D276" s="3" t="str">
        <f>IFERROR(__xludf.DUMMYFUNCTION("""COMPUTED_VALUE"""),"Draconic")</f>
        <v>Draconic</v>
      </c>
      <c r="E276" s="3">
        <f>IFERROR(__xludf.DUMMYFUNCTION("""COMPUTED_VALUE"""),1010.0)</f>
        <v>1010</v>
      </c>
      <c r="F276" s="12">
        <f>IFERROR(__xludf.DUMMYFUNCTION("""COMPUTED_VALUE"""),1010.0)</f>
        <v>1010</v>
      </c>
      <c r="G276" s="3">
        <f>IFERROR(__xludf.DUMMYFUNCTION("""COMPUTED_VALUE"""),1010.0)</f>
        <v>1010</v>
      </c>
      <c r="H276" s="3">
        <f>IFERROR(__xludf.DUMMYFUNCTION("""COMPUTED_VALUE"""),10.0)</f>
        <v>10</v>
      </c>
      <c r="I276" s="3">
        <f>IFERROR(__xludf.DUMMYFUNCTION("""COMPUTED_VALUE"""),0.0)</f>
        <v>0</v>
      </c>
      <c r="J276" s="3">
        <f>IFERROR(__xludf.DUMMYFUNCTION("""COMPUTED_VALUE"""),0.0)</f>
        <v>0</v>
      </c>
      <c r="K276" s="3">
        <f>IFERROR(__xludf.DUMMYFUNCTION("""COMPUTED_VALUE"""),100.0)</f>
        <v>100</v>
      </c>
      <c r="L276" s="3">
        <f>IFERROR(__xludf.DUMMYFUNCTION("""COMPUTED_VALUE"""),100.0)</f>
        <v>100</v>
      </c>
      <c r="M276" s="3" t="str">
        <f>IFERROR(__xludf.DUMMYFUNCTION("""COMPUTED_VALUE"""),"Fire:100, Nature:Immune, Instant Death:Immune, ")</f>
        <v>Fire:100, Nature:Immune, Instant Death:Immune, </v>
      </c>
      <c r="N276" s="3" t="str">
        <f>IFERROR(__xludf.DUMMYFUNCTION("""COMPUTED_VALUE"""),"Water:100, ")</f>
        <v>Water:100, </v>
      </c>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1"/>
      <c r="BD276" s="3">
        <f>IFERROR(__xludf.DUMMYFUNCTION("""COMPUTED_VALUE"""),0.0)</f>
        <v>0</v>
      </c>
      <c r="BE276" s="4">
        <f>IFERROR(__xludf.DUMMYFUNCTION("""COMPUTED_VALUE"""),10.0)</f>
        <v>10</v>
      </c>
      <c r="BF276" s="3"/>
      <c r="BG276" s="3"/>
      <c r="BH276" s="3"/>
      <c r="BI276" s="3"/>
      <c r="BJ276" s="3"/>
      <c r="BK276" s="3"/>
      <c r="BL276" s="3" t="b">
        <f>IFERROR(__xludf.DUMMYFUNCTION("""COMPUTED_VALUE"""),FALSE)</f>
        <v>0</v>
      </c>
      <c r="BM276" s="3"/>
      <c r="BN276" s="3"/>
      <c r="BO276" s="3"/>
      <c r="BP276" s="3"/>
      <c r="BQ276" s="3"/>
      <c r="BR276" s="3"/>
      <c r="BS276" s="3"/>
      <c r="BT276" s="3"/>
      <c r="BU276" s="3"/>
      <c r="BV276" s="3"/>
      <c r="BW276" s="3"/>
    </row>
    <row r="277" ht="15.75" customHeight="1">
      <c r="A277" s="3" t="str">
        <f>IFERROR(__xludf.DUMMYFUNCTION("""COMPUTED_VALUE"""),"Voodoo Shameness")</f>
        <v>Voodoo Shameness</v>
      </c>
      <c r="B277" s="3">
        <f>IFERROR(__xludf.DUMMYFUNCTION("""COMPUTED_VALUE"""),1.0)</f>
        <v>1</v>
      </c>
      <c r="C277" s="3"/>
      <c r="D277" s="12" t="str">
        <f>IFERROR(__xludf.DUMMYFUNCTION("""COMPUTED_VALUE"""),"Humanoid")</f>
        <v>Humanoid</v>
      </c>
      <c r="E277" s="12">
        <f>IFERROR(__xludf.DUMMYFUNCTION("""COMPUTED_VALUE"""),1010.0)</f>
        <v>1010</v>
      </c>
      <c r="F277" s="12">
        <f>IFERROR(__xludf.DUMMYFUNCTION("""COMPUTED_VALUE"""),1010.0)</f>
        <v>1010</v>
      </c>
      <c r="G277" s="12">
        <f>IFERROR(__xludf.DUMMYFUNCTION("""COMPUTED_VALUE"""),1010.0)</f>
        <v>1010</v>
      </c>
      <c r="H277" s="3">
        <f>IFERROR(__xludf.DUMMYFUNCTION("""COMPUTED_VALUE"""),10.0)</f>
        <v>10</v>
      </c>
      <c r="I277" s="3">
        <f>IFERROR(__xludf.DUMMYFUNCTION("""COMPUTED_VALUE"""),0.0)</f>
        <v>0</v>
      </c>
      <c r="J277" s="3">
        <f>IFERROR(__xludf.DUMMYFUNCTION("""COMPUTED_VALUE"""),0.0)</f>
        <v>0</v>
      </c>
      <c r="K277" s="3">
        <f>IFERROR(__xludf.DUMMYFUNCTION("""COMPUTED_VALUE"""),100.0)</f>
        <v>100</v>
      </c>
      <c r="L277" s="3">
        <f>IFERROR(__xludf.DUMMYFUNCTION("""COMPUTED_VALUE"""),100.0)</f>
        <v>100</v>
      </c>
      <c r="M277" s="3" t="str">
        <f>IFERROR(__xludf.DUMMYFUNCTION("""COMPUTED_VALUE"""),"Light:100, Order:100, Zen:100, ")</f>
        <v>Light:100, Order:100, Zen:100, </v>
      </c>
      <c r="N277" s="3" t="str">
        <f>IFERROR(__xludf.DUMMYFUNCTION("""COMPUTED_VALUE"""),"Light:100, Order:100, Zen:100, ")</f>
        <v>Light:100, Order:100, Zen:100, </v>
      </c>
      <c r="O277" s="3"/>
      <c r="P277" s="3"/>
      <c r="Q277" s="3"/>
      <c r="R277" s="3"/>
      <c r="S277" s="3"/>
      <c r="T277" s="3"/>
      <c r="U277" s="3"/>
      <c r="V277" s="3"/>
      <c r="W277" s="3"/>
      <c r="X277" s="3"/>
      <c r="Y277" s="3"/>
      <c r="Z277" s="3"/>
      <c r="AA277" s="3"/>
      <c r="AB277" s="3"/>
      <c r="AC277" s="3"/>
      <c r="AD277" s="3"/>
      <c r="AE277" s="3"/>
      <c r="AF277" s="3"/>
      <c r="AG277" s="3"/>
      <c r="AH277" s="3"/>
      <c r="AI277" s="3"/>
      <c r="AJ277" s="3" t="str">
        <f>IFERROR(__xludf.DUMMYFUNCTION("""COMPUTED_VALUE"""),"Hex with bad luck")</f>
        <v>Hex with bad luck</v>
      </c>
      <c r="AK277" s="3" t="str">
        <f>IFERROR(__xludf.DUMMYFUNCTION("""COMPUTED_VALUE"""),"End the voodoo contract")</f>
        <v>End the voodoo contract</v>
      </c>
      <c r="AL277" s="3" t="str">
        <f>IFERROR(__xludf.DUMMYFUNCTION("""COMPUTED_VALUE"""),"Chaos Beam")</f>
        <v>Chaos Beam</v>
      </c>
      <c r="AM277" s="3"/>
      <c r="AN277" s="3"/>
      <c r="AO277" s="3"/>
      <c r="AP277" s="3"/>
      <c r="AQ277" s="3"/>
      <c r="AR277" s="3"/>
      <c r="AS277" s="3"/>
      <c r="AT277" s="3"/>
      <c r="AU277" s="3"/>
      <c r="AV277" s="3"/>
      <c r="AW277" s="3"/>
      <c r="AX277" s="3"/>
      <c r="AY277" s="3"/>
      <c r="AZ277" s="3"/>
      <c r="BA277" s="3"/>
      <c r="BB277" s="3"/>
      <c r="BC277" s="1"/>
      <c r="BD277" s="3">
        <f>IFERROR(__xludf.DUMMYFUNCTION("""COMPUTED_VALUE"""),0.0)</f>
        <v>0</v>
      </c>
      <c r="BE277" s="4">
        <f>IFERROR(__xludf.DUMMYFUNCTION("""COMPUTED_VALUE"""),10.0)</f>
        <v>10</v>
      </c>
      <c r="BF277" s="3"/>
      <c r="BG277" s="3" t="str">
        <f>IFERROR(__xludf.DUMMYFUNCTION("""COMPUTED_VALUE"""),"All")</f>
        <v>All</v>
      </c>
      <c r="BH277" s="3" t="str">
        <f>IFERROR(__xludf.DUMMYFUNCTION("""COMPUTED_VALUE"""),"Land of Spira")</f>
        <v>Land of Spira</v>
      </c>
      <c r="BI277" s="3"/>
      <c r="BJ277" s="3"/>
      <c r="BK277" s="3"/>
      <c r="BL277" s="3" t="b">
        <f>IFERROR(__xludf.DUMMYFUNCTION("""COMPUTED_VALUE"""),FALSE)</f>
        <v>0</v>
      </c>
      <c r="BM277" s="3"/>
      <c r="BN277" s="3"/>
      <c r="BO277" s="3"/>
      <c r="BP277" s="3"/>
      <c r="BQ277" s="3"/>
      <c r="BR277" s="3"/>
      <c r="BS277" s="3"/>
      <c r="BT277" s="3"/>
      <c r="BU277" s="3"/>
      <c r="BV277" s="3"/>
      <c r="BW277" s="3"/>
    </row>
    <row r="278" ht="15.75" customHeight="1">
      <c r="A278" s="3" t="str">
        <f>IFERROR(__xludf.DUMMYFUNCTION("""COMPUTED_VALUE"""),"Wandering Pumpkin")</f>
        <v>Wandering Pumpkin</v>
      </c>
      <c r="B278" s="3">
        <f>IFERROR(__xludf.DUMMYFUNCTION("""COMPUTED_VALUE"""),1.0)</f>
        <v>1</v>
      </c>
      <c r="C278" s="3"/>
      <c r="D278" s="3" t="str">
        <f>IFERROR(__xludf.DUMMYFUNCTION("""COMPUTED_VALUE"""),"Spirit")</f>
        <v>Spirit</v>
      </c>
      <c r="E278" s="3">
        <f>IFERROR(__xludf.DUMMYFUNCTION("""COMPUTED_VALUE"""),1010.0)</f>
        <v>1010</v>
      </c>
      <c r="F278" s="12">
        <f>IFERROR(__xludf.DUMMYFUNCTION("""COMPUTED_VALUE"""),1010.0)</f>
        <v>1010</v>
      </c>
      <c r="G278" s="3">
        <f>IFERROR(__xludf.DUMMYFUNCTION("""COMPUTED_VALUE"""),1010.0)</f>
        <v>1010</v>
      </c>
      <c r="H278" s="3">
        <f>IFERROR(__xludf.DUMMYFUNCTION("""COMPUTED_VALUE"""),10.0)</f>
        <v>10</v>
      </c>
      <c r="I278" s="3">
        <f>IFERROR(__xludf.DUMMYFUNCTION("""COMPUTED_VALUE"""),0.0)</f>
        <v>0</v>
      </c>
      <c r="J278" s="3">
        <f>IFERROR(__xludf.DUMMYFUNCTION("""COMPUTED_VALUE"""),0.0)</f>
        <v>0</v>
      </c>
      <c r="K278" s="3">
        <f>IFERROR(__xludf.DUMMYFUNCTION("""COMPUTED_VALUE"""),100.0)</f>
        <v>100</v>
      </c>
      <c r="L278" s="3">
        <f>IFERROR(__xludf.DUMMYFUNCTION("""COMPUTED_VALUE"""),100.0)</f>
        <v>100</v>
      </c>
      <c r="M278" s="3"/>
      <c r="N278" s="3"/>
      <c r="O278" s="3"/>
      <c r="P278" s="3"/>
      <c r="Q278" s="3"/>
      <c r="R278" s="3"/>
      <c r="S278" s="3"/>
      <c r="T278" s="3"/>
      <c r="U278" s="3"/>
      <c r="V278" s="3"/>
      <c r="W278" s="3"/>
      <c r="X278" s="3"/>
      <c r="Y278" s="3"/>
      <c r="Z278" s="3"/>
      <c r="AA278" s="3"/>
      <c r="AB278" s="3"/>
      <c r="AC278" s="3"/>
      <c r="AD278" s="3"/>
      <c r="AE278" s="3"/>
      <c r="AF278" s="3"/>
      <c r="AG278" s="3"/>
      <c r="AH278" s="3"/>
      <c r="AI278" s="3"/>
      <c r="AJ278" s="3" t="str">
        <f>IFERROR(__xludf.DUMMYFUNCTION("""COMPUTED_VALUE"""),"Conceal")</f>
        <v>Conceal</v>
      </c>
      <c r="AK278" s="3" t="str">
        <f>IFERROR(__xludf.DUMMYFUNCTION("""COMPUTED_VALUE"""),"Darkest Abyss")</f>
        <v>Darkest Abyss</v>
      </c>
      <c r="AL278" s="3" t="str">
        <f>IFERROR(__xludf.DUMMYFUNCTION("""COMPUTED_VALUE"""),"Possession")</f>
        <v>Possession</v>
      </c>
      <c r="AM278" s="3" t="str">
        <f>IFERROR(__xludf.DUMMYFUNCTION("""COMPUTED_VALUE"""),"Soul Trap")</f>
        <v>Soul Trap</v>
      </c>
      <c r="AN278" s="3" t="str">
        <f>IFERROR(__xludf.DUMMYFUNCTION("""COMPUTED_VALUE"""),"Meteor Shower")</f>
        <v>Meteor Shower</v>
      </c>
      <c r="AO278" s="3" t="str">
        <f>IFERROR(__xludf.DUMMYFUNCTION("""COMPUTED_VALUE"""),"Flame Thrower")</f>
        <v>Flame Thrower</v>
      </c>
      <c r="AP278" s="3"/>
      <c r="AQ278" s="3"/>
      <c r="AR278" s="3"/>
      <c r="AS278" s="3"/>
      <c r="AT278" s="3"/>
      <c r="AU278" s="3"/>
      <c r="AV278" s="3"/>
      <c r="AW278" s="3"/>
      <c r="AX278" s="3"/>
      <c r="AY278" s="3"/>
      <c r="AZ278" s="3"/>
      <c r="BA278" s="3"/>
      <c r="BB278" s="3"/>
      <c r="BC278" s="1"/>
      <c r="BD278" s="3">
        <f>IFERROR(__xludf.DUMMYFUNCTION("""COMPUTED_VALUE"""),0.0)</f>
        <v>0</v>
      </c>
      <c r="BE278" s="4">
        <f>IFERROR(__xludf.DUMMYFUNCTION("""COMPUTED_VALUE"""),10.0)</f>
        <v>10</v>
      </c>
      <c r="BF278" s="3" t="str">
        <f>IFERROR(__xludf.DUMMYFUNCTION("""COMPUTED_VALUE"""),"A Dark Calling: +5 can be added to this mobs rolls.
Peek A Boo:  All players roll a d20 at the begining of battle; The players that roll a 10 or lower cannot perform their turn order for the first round of the battle, Players that roll a 20 or higher get"&amp;" two actions during their turn order for the first round of battle.")</f>
        <v>A Dark Calling: +5 can be added to this mobs rolls.
Peek A Boo:  All players roll a d20 at the begining of battle; The players that roll a 10 or lower cannot perform their turn order for the first round of the battle, Players that roll a 20 or higher get two actions during their turn order for the first round of battle.</v>
      </c>
      <c r="BG278" s="3" t="str">
        <f>IFERROR(__xludf.DUMMYFUNCTION("""COMPUTED_VALUE"""),"All")</f>
        <v>All</v>
      </c>
      <c r="BH278" s="3" t="str">
        <f>IFERROR(__xludf.DUMMYFUNCTION("""COMPUTED_VALUE"""),"Halloween Kingdom")</f>
        <v>Halloween Kingdom</v>
      </c>
      <c r="BI278" s="3"/>
      <c r="BJ278" s="3"/>
      <c r="BK278" s="3"/>
      <c r="BL278" s="3" t="b">
        <f>IFERROR(__xludf.DUMMYFUNCTION("""COMPUTED_VALUE"""),FALSE)</f>
        <v>0</v>
      </c>
      <c r="BM278" s="3"/>
      <c r="BN278" s="3"/>
      <c r="BO278" s="3"/>
      <c r="BP278" s="3"/>
      <c r="BQ278" s="3"/>
      <c r="BR278" s="3"/>
      <c r="BS278" s="3"/>
      <c r="BT278" s="3"/>
      <c r="BU278" s="3"/>
      <c r="BV278" s="3"/>
      <c r="BW278" s="3"/>
    </row>
    <row r="279" ht="15.75" customHeight="1">
      <c r="A279" s="3" t="str">
        <f>IFERROR(__xludf.DUMMYFUNCTION("""COMPUTED_VALUE"""),"Werewolf")</f>
        <v>Werewolf</v>
      </c>
      <c r="B279" s="3">
        <f>IFERROR(__xludf.DUMMYFUNCTION("""COMPUTED_VALUE"""),1.0)</f>
        <v>1</v>
      </c>
      <c r="C279" s="3"/>
      <c r="D279" s="12" t="str">
        <f>IFERROR(__xludf.DUMMYFUNCTION("""COMPUTED_VALUE"""),"Humanoid")</f>
        <v>Humanoid</v>
      </c>
      <c r="E279" s="12">
        <f>IFERROR(__xludf.DUMMYFUNCTION("""COMPUTED_VALUE"""),1010.0)</f>
        <v>1010</v>
      </c>
      <c r="F279" s="12">
        <f>IFERROR(__xludf.DUMMYFUNCTION("""COMPUTED_VALUE"""),1010.0)</f>
        <v>1010</v>
      </c>
      <c r="G279" s="12">
        <f>IFERROR(__xludf.DUMMYFUNCTION("""COMPUTED_VALUE"""),1010.0)</f>
        <v>1010</v>
      </c>
      <c r="H279" s="3">
        <f>IFERROR(__xludf.DUMMYFUNCTION("""COMPUTED_VALUE"""),10.0)</f>
        <v>10</v>
      </c>
      <c r="I279" s="3">
        <f>IFERROR(__xludf.DUMMYFUNCTION("""COMPUTED_VALUE"""),0.0)</f>
        <v>0</v>
      </c>
      <c r="J279" s="3">
        <f>IFERROR(__xludf.DUMMYFUNCTION("""COMPUTED_VALUE"""),0.0)</f>
        <v>0</v>
      </c>
      <c r="K279" s="3">
        <f>IFERROR(__xludf.DUMMYFUNCTION("""COMPUTED_VALUE"""),100.0)</f>
        <v>100</v>
      </c>
      <c r="L279" s="3">
        <f>IFERROR(__xludf.DUMMYFUNCTION("""COMPUTED_VALUE"""),100.0)</f>
        <v>100</v>
      </c>
      <c r="M279" s="3" t="str">
        <f>IFERROR(__xludf.DUMMYFUNCTION("""COMPUTED_VALUE"""),"Dark:Immune, Blood:Immune, ")</f>
        <v>Dark:Immune, Blood:Immune, </v>
      </c>
      <c r="N279" s="3" t="str">
        <f>IFERROR(__xludf.DUMMYFUNCTION("""COMPUTED_VALUE"""),"Fire:100, Light:100, ")</f>
        <v>Fire:100, Light:100, </v>
      </c>
      <c r="O279" s="3"/>
      <c r="P279" s="3"/>
      <c r="Q279" s="3"/>
      <c r="R279" s="3"/>
      <c r="S279" s="3"/>
      <c r="T279" s="3"/>
      <c r="U279" s="3"/>
      <c r="V279" s="3"/>
      <c r="W279" s="3"/>
      <c r="X279" s="3"/>
      <c r="Y279" s="3"/>
      <c r="Z279" s="3"/>
      <c r="AA279" s="3"/>
      <c r="AB279" s="3"/>
      <c r="AC279" s="3"/>
      <c r="AD279" s="3"/>
      <c r="AE279" s="3"/>
      <c r="AF279" s="3"/>
      <c r="AG279" s="3"/>
      <c r="AH279" s="3"/>
      <c r="AI279" s="3"/>
      <c r="AJ279" s="3" t="str">
        <f>IFERROR(__xludf.DUMMYFUNCTION("""COMPUTED_VALUE"""),"Werewolf Bite")</f>
        <v>Werewolf Bite</v>
      </c>
      <c r="AK279" s="3" t="str">
        <f>IFERROR(__xludf.DUMMYFUNCTION("""COMPUTED_VALUE"""),"Darkest Abyss")</f>
        <v>Darkest Abyss</v>
      </c>
      <c r="AL279" s="3" t="str">
        <f>IFERROR(__xludf.DUMMYFUNCTION("""COMPUTED_VALUE"""),"Dark Curse")</f>
        <v>Dark Curse</v>
      </c>
      <c r="AM279" s="3" t="str">
        <f>IFERROR(__xludf.DUMMYFUNCTION("""COMPUTED_VALUE"""),"Blood Geyser")</f>
        <v>Blood Geyser</v>
      </c>
      <c r="AN279" s="3" t="str">
        <f>IFERROR(__xludf.DUMMYFUNCTION("""COMPUTED_VALUE"""),"Swallow")</f>
        <v>Swallow</v>
      </c>
      <c r="AO279" s="3"/>
      <c r="AP279" s="3"/>
      <c r="AQ279" s="3"/>
      <c r="AR279" s="3"/>
      <c r="AS279" s="3"/>
      <c r="AT279" s="3"/>
      <c r="AU279" s="3"/>
      <c r="AV279" s="3"/>
      <c r="AW279" s="3"/>
      <c r="AX279" s="3"/>
      <c r="AY279" s="3"/>
      <c r="AZ279" s="3"/>
      <c r="BA279" s="3"/>
      <c r="BB279" s="3"/>
      <c r="BC279" s="1"/>
      <c r="BD279" s="3">
        <f>IFERROR(__xludf.DUMMYFUNCTION("""COMPUTED_VALUE"""),0.0)</f>
        <v>0</v>
      </c>
      <c r="BE279" s="4">
        <f>IFERROR(__xludf.DUMMYFUNCTION("""COMPUTED_VALUE"""),10.0)</f>
        <v>10</v>
      </c>
      <c r="BF279" s="3" t="str">
        <f>IFERROR(__xludf.DUMMYFUNCTION("""COMPUTED_VALUE"""),"A Dark Calling: +5 to turn order roll for this mob.
This Mob Rolls a d20 at the beginning of battle and each of it's turns, 10 or lower = Normal-Form, 11 or higher = Were-Form. Your stats are all doubled except, Constitution, charisma, and wisdom. Roll a"&amp;" d20 each round, 10 or lower = Return to your normal form, 11 or higher = stay in Were-Form. This ability lasts until the end of battle.")</f>
        <v>A Dark Calling: +5 to turn order roll for this mob.
This Mob Rolls a d20 at the beginning of battle and each of it's turns, 10 or lower = Normal-Form, 11 or higher = Were-Form. Your stats are all doubled except, Constitution, charisma, and wisdom. Roll a d20 each round, 10 or lower = Return to your normal form, 11 or higher = stay in Were-Form. This ability lasts until the end of battle.</v>
      </c>
      <c r="BG279" s="3" t="str">
        <f>IFERROR(__xludf.DUMMYFUNCTION("""COMPUTED_VALUE"""),"All")</f>
        <v>All</v>
      </c>
      <c r="BH279" s="3" t="str">
        <f>IFERROR(__xludf.DUMMYFUNCTION("""COMPUTED_VALUE"""),"Land Of Spira")</f>
        <v>Land Of Spira</v>
      </c>
      <c r="BI279" s="3"/>
      <c r="BJ279" s="3"/>
      <c r="BK279" s="3"/>
      <c r="BL279" s="3" t="b">
        <f>IFERROR(__xludf.DUMMYFUNCTION("""COMPUTED_VALUE"""),FALSE)</f>
        <v>0</v>
      </c>
      <c r="BM279" s="3"/>
      <c r="BN279" s="3"/>
      <c r="BO279" s="3"/>
      <c r="BP279" s="3"/>
      <c r="BQ279" s="3"/>
      <c r="BR279" s="3"/>
      <c r="BS279" s="3"/>
      <c r="BT279" s="3"/>
      <c r="BU279" s="3"/>
      <c r="BV279" s="3"/>
      <c r="BW279" s="3"/>
    </row>
    <row r="280" ht="15.75" customHeight="1">
      <c r="A280" s="3" t="str">
        <f>IFERROR(__xludf.DUMMYFUNCTION("""COMPUTED_VALUE"""),"Werewolf King")</f>
        <v>Werewolf King</v>
      </c>
      <c r="B280" s="3">
        <f>IFERROR(__xludf.DUMMYFUNCTION("""COMPUTED_VALUE"""),1.0)</f>
        <v>1</v>
      </c>
      <c r="C280" s="3"/>
      <c r="D280" s="12" t="str">
        <f>IFERROR(__xludf.DUMMYFUNCTION("""COMPUTED_VALUE"""),"Humanoid")</f>
        <v>Humanoid</v>
      </c>
      <c r="E280" s="12">
        <f>IFERROR(__xludf.DUMMYFUNCTION("""COMPUTED_VALUE"""),1010.0)</f>
        <v>1010</v>
      </c>
      <c r="F280" s="12">
        <f>IFERROR(__xludf.DUMMYFUNCTION("""COMPUTED_VALUE"""),1010.0)</f>
        <v>1010</v>
      </c>
      <c r="G280" s="12">
        <f>IFERROR(__xludf.DUMMYFUNCTION("""COMPUTED_VALUE"""),1010.0)</f>
        <v>1010</v>
      </c>
      <c r="H280" s="3">
        <f>IFERROR(__xludf.DUMMYFUNCTION("""COMPUTED_VALUE"""),20.0)</f>
        <v>20</v>
      </c>
      <c r="I280" s="3">
        <f>IFERROR(__xludf.DUMMYFUNCTION("""COMPUTED_VALUE"""),0.0)</f>
        <v>0</v>
      </c>
      <c r="J280" s="3">
        <f>IFERROR(__xludf.DUMMYFUNCTION("""COMPUTED_VALUE"""),0.0)</f>
        <v>0</v>
      </c>
      <c r="K280" s="3">
        <f>IFERROR(__xludf.DUMMYFUNCTION("""COMPUTED_VALUE"""),100.0)</f>
        <v>100</v>
      </c>
      <c r="L280" s="3">
        <f>IFERROR(__xludf.DUMMYFUNCTION("""COMPUTED_VALUE"""),100.0)</f>
        <v>100</v>
      </c>
      <c r="M280" s="3"/>
      <c r="N280" s="3"/>
      <c r="O280" s="3"/>
      <c r="P280" s="3"/>
      <c r="Q280" s="3"/>
      <c r="R280" s="3"/>
      <c r="S280" s="3"/>
      <c r="T280" s="3"/>
      <c r="U280" s="3"/>
      <c r="V280" s="3"/>
      <c r="W280" s="3"/>
      <c r="X280" s="3"/>
      <c r="Y280" s="3"/>
      <c r="Z280" s="3"/>
      <c r="AA280" s="3"/>
      <c r="AB280" s="3"/>
      <c r="AC280" s="3"/>
      <c r="AD280" s="3"/>
      <c r="AE280" s="3"/>
      <c r="AF280" s="3"/>
      <c r="AG280" s="3"/>
      <c r="AH280" s="3"/>
      <c r="AI280" s="3"/>
      <c r="AJ280" s="3" t="str">
        <f>IFERROR(__xludf.DUMMYFUNCTION("""COMPUTED_VALUE"""),"Chaincast")</f>
        <v>Chaincast</v>
      </c>
      <c r="AK280" s="3" t="str">
        <f>IFERROR(__xludf.DUMMYFUNCTION("""COMPUTED_VALUE"""),"Arrest")</f>
        <v>Arrest</v>
      </c>
      <c r="AL280" s="3" t="str">
        <f>IFERROR(__xludf.DUMMYFUNCTION("""COMPUTED_VALUE"""),"Werewolf Bite")</f>
        <v>Werewolf Bite</v>
      </c>
      <c r="AM280" s="3" t="str">
        <f>IFERROR(__xludf.DUMMYFUNCTION("""COMPUTED_VALUE"""),"Darkest Abyss")</f>
        <v>Darkest Abyss</v>
      </c>
      <c r="AN280" s="3" t="str">
        <f>IFERROR(__xludf.DUMMYFUNCTION("""COMPUTED_VALUE"""),"Dark Curse")</f>
        <v>Dark Curse</v>
      </c>
      <c r="AO280" s="3" t="str">
        <f>IFERROR(__xludf.DUMMYFUNCTION("""COMPUTED_VALUE"""),"Blood Geyser")</f>
        <v>Blood Geyser</v>
      </c>
      <c r="AP280" s="3" t="str">
        <f>IFERROR(__xludf.DUMMYFUNCTION("""COMPUTED_VALUE"""),"Swallow")</f>
        <v>Swallow</v>
      </c>
      <c r="AQ280" s="3" t="str">
        <f>IFERROR(__xludf.DUMMYFUNCTION("""COMPUTED_VALUE"""),"Mass Destruction")</f>
        <v>Mass Destruction</v>
      </c>
      <c r="AR280" s="3"/>
      <c r="AS280" s="3"/>
      <c r="AT280" s="3"/>
      <c r="AU280" s="3"/>
      <c r="AV280" s="3"/>
      <c r="AW280" s="3"/>
      <c r="AX280" s="3"/>
      <c r="AY280" s="3"/>
      <c r="AZ280" s="3"/>
      <c r="BA280" s="3"/>
      <c r="BB280" s="3"/>
      <c r="BC280" s="1"/>
      <c r="BD280" s="3">
        <f>IFERROR(__xludf.DUMMYFUNCTION("""COMPUTED_VALUE"""),0.0)</f>
        <v>0</v>
      </c>
      <c r="BE280" s="4">
        <f>IFERROR(__xludf.DUMMYFUNCTION("""COMPUTED_VALUE"""),20.0)</f>
        <v>20</v>
      </c>
      <c r="BF280"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This Mob Rolls a d20 at the beginning of battle and each of it's turns, 10 or lower = Normal-Form, 11 or higher ="&amp;" Were-Form. Your stats are all doubled except, Constitution, charisma, and wisdom. Roll a d20 each round, 10 or lower = Return to your normal form, 11 or higher = stay in Were-Form. This ability lasts until the end of battle.")</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This Mob Rolls a d20 at the beginning of battle and each of it's turns, 10 or lower = Normal-Form, 11 or higher = Were-Form. Your stats are all doubled except, Constitution, charisma, and wisdom. Roll a d20 each round, 10 or lower = Return to your normal form, 11 or higher = stay in Were-Form. This ability lasts until the end of battle.</v>
      </c>
      <c r="BG280" s="3" t="str">
        <f>IFERROR(__xludf.DUMMYFUNCTION("""COMPUTED_VALUE"""),"All")</f>
        <v>All</v>
      </c>
      <c r="BH280" s="3" t="str">
        <f>IFERROR(__xludf.DUMMYFUNCTION("""COMPUTED_VALUE"""),"Halloween Kingdom")</f>
        <v>Halloween Kingdom</v>
      </c>
      <c r="BI280" s="3"/>
      <c r="BJ280" s="3"/>
      <c r="BK280" s="3"/>
      <c r="BL280" s="3" t="b">
        <f>IFERROR(__xludf.DUMMYFUNCTION("""COMPUTED_VALUE"""),FALSE)</f>
        <v>0</v>
      </c>
      <c r="BM280" s="3"/>
      <c r="BN280" s="3"/>
      <c r="BO280" s="3"/>
      <c r="BP280" s="3"/>
      <c r="BQ280" s="3"/>
      <c r="BR280" s="3"/>
      <c r="BS280" s="3"/>
      <c r="BT280" s="3"/>
      <c r="BU280" s="3"/>
      <c r="BV280" s="3"/>
      <c r="BW280" s="3"/>
    </row>
    <row r="281" ht="15.75" customHeight="1">
      <c r="A281" s="3" t="str">
        <f>IFERROR(__xludf.DUMMYFUNCTION("""COMPUTED_VALUE"""),"White Soul")</f>
        <v>White Soul</v>
      </c>
      <c r="B281" s="3">
        <f>IFERROR(__xludf.DUMMYFUNCTION("""COMPUTED_VALUE"""),1.0)</f>
        <v>1</v>
      </c>
      <c r="C281" s="3"/>
      <c r="D281" s="12" t="str">
        <f>IFERROR(__xludf.DUMMYFUNCTION("""COMPUTED_VALUE"""),"Spirit")</f>
        <v>Spirit</v>
      </c>
      <c r="E281" s="12">
        <f>IFERROR(__xludf.DUMMYFUNCTION("""COMPUTED_VALUE"""),1010.0)</f>
        <v>1010</v>
      </c>
      <c r="F281" s="12">
        <f>IFERROR(__xludf.DUMMYFUNCTION("""COMPUTED_VALUE"""),1010.0)</f>
        <v>1010</v>
      </c>
      <c r="G281" s="12">
        <f>IFERROR(__xludf.DUMMYFUNCTION("""COMPUTED_VALUE"""),1010.0)</f>
        <v>1010</v>
      </c>
      <c r="H281" s="3">
        <f>IFERROR(__xludf.DUMMYFUNCTION("""COMPUTED_VALUE"""),10.0)</f>
        <v>10</v>
      </c>
      <c r="I281" s="3">
        <f>IFERROR(__xludf.DUMMYFUNCTION("""COMPUTED_VALUE"""),0.0)</f>
        <v>0</v>
      </c>
      <c r="J281" s="3">
        <f>IFERROR(__xludf.DUMMYFUNCTION("""COMPUTED_VALUE"""),0.0)</f>
        <v>0</v>
      </c>
      <c r="K281" s="3">
        <f>IFERROR(__xludf.DUMMYFUNCTION("""COMPUTED_VALUE"""),100.0)</f>
        <v>100</v>
      </c>
      <c r="L281" s="3">
        <f>IFERROR(__xludf.DUMMYFUNCTION("""COMPUTED_VALUE"""),100.0)</f>
        <v>100</v>
      </c>
      <c r="M281" s="3" t="str">
        <f>IFERROR(__xludf.DUMMYFUNCTION("""COMPUTED_VALUE"""),"Light:100, Spirit:Immune, ")</f>
        <v>Light:100, Spirit:Immune, </v>
      </c>
      <c r="N281" s="3" t="str">
        <f>IFERROR(__xludf.DUMMYFUNCTION("""COMPUTED_VALUE"""),"")</f>
        <v/>
      </c>
      <c r="O281" s="3"/>
      <c r="P281" s="3"/>
      <c r="Q281" s="3"/>
      <c r="R281" s="3"/>
      <c r="S281" s="3"/>
      <c r="T281" s="3"/>
      <c r="U281" s="3"/>
      <c r="V281" s="3"/>
      <c r="W281" s="3"/>
      <c r="X281" s="3"/>
      <c r="Y281" s="3"/>
      <c r="Z281" s="3"/>
      <c r="AA281" s="3"/>
      <c r="AB281" s="3"/>
      <c r="AC281" s="3"/>
      <c r="AD281" s="3"/>
      <c r="AE281" s="3"/>
      <c r="AF281" s="3"/>
      <c r="AG281" s="3"/>
      <c r="AH281" s="3"/>
      <c r="AI281" s="3"/>
      <c r="AJ281" s="3" t="str">
        <f>IFERROR(__xludf.DUMMYFUNCTION("""COMPUTED_VALUE"""),"A Deal With The Spirit World")</f>
        <v>A Deal With The Spirit World</v>
      </c>
      <c r="AK281" s="3" t="str">
        <f>IFERROR(__xludf.DUMMYFUNCTION("""COMPUTED_VALUE"""),"Final Blast")</f>
        <v>Final Blast</v>
      </c>
      <c r="AL281" s="3" t="str">
        <f>IFERROR(__xludf.DUMMYFUNCTION("""COMPUTED_VALUE"""),"Soul Shot")</f>
        <v>Soul Shot</v>
      </c>
      <c r="AM281" s="3" t="str">
        <f>IFERROR(__xludf.DUMMYFUNCTION("""COMPUTED_VALUE"""),"Final Rest")</f>
        <v>Final Rest</v>
      </c>
      <c r="AN281" s="3" t="str">
        <f>IFERROR(__xludf.DUMMYFUNCTION("""COMPUTED_VALUE"""),"Soul Trap")</f>
        <v>Soul Trap</v>
      </c>
      <c r="AO281" s="3" t="str">
        <f>IFERROR(__xludf.DUMMYFUNCTION("""COMPUTED_VALUE"""),"Possession")</f>
        <v>Possession</v>
      </c>
      <c r="AP281" s="3" t="str">
        <f>IFERROR(__xludf.DUMMYFUNCTION("""COMPUTED_VALUE"""),"Confuse")</f>
        <v>Confuse</v>
      </c>
      <c r="AQ281" s="3"/>
      <c r="AR281" s="3"/>
      <c r="AS281" s="3"/>
      <c r="AT281" s="3"/>
      <c r="AU281" s="3"/>
      <c r="AV281" s="3"/>
      <c r="AW281" s="3"/>
      <c r="AX281" s="3"/>
      <c r="AY281" s="3"/>
      <c r="AZ281" s="3"/>
      <c r="BA281" s="3"/>
      <c r="BB281" s="3"/>
      <c r="BC281" s="1"/>
      <c r="BD281" s="3">
        <f>IFERROR(__xludf.DUMMYFUNCTION("""COMPUTED_VALUE"""),0.0)</f>
        <v>0</v>
      </c>
      <c r="BE281" s="4">
        <f>IFERROR(__xludf.DUMMYFUNCTION("""COMPUTED_VALUE"""),10.0)</f>
        <v>10</v>
      </c>
      <c r="BF281" s="3" t="str">
        <f>IFERROR(__xludf.DUMMYFUNCTION("""COMPUTED_VALUE"""),"The Gray Spirit: After 1 round a brown token will appear in battle, after another round if the token is still there, a giant explosion will occur causing all enemies to take Poison 10,000 for 3 rounds.
Undead- Can only be killed by light,fire, or celesti"&amp;"al")</f>
        <v>The Gray Spirit: After 1 round a brown token will appear in battle, after another round if the token is still there, a giant explosion will occur causing all enemies to take Poison 10,000 for 3 rounds.
Undead- Can only be killed by light,fire, or celestial</v>
      </c>
      <c r="BG281" s="3" t="str">
        <f>IFERROR(__xludf.DUMMYFUNCTION("""COMPUTED_VALUE"""),"All")</f>
        <v>All</v>
      </c>
      <c r="BH281" s="3" t="str">
        <f>IFERROR(__xludf.DUMMYFUNCTION("""COMPUTED_VALUE"""),"Abstara")</f>
        <v>Abstara</v>
      </c>
      <c r="BI281" s="3"/>
      <c r="BJ281" s="3"/>
      <c r="BK281" s="3"/>
      <c r="BL281" s="3" t="b">
        <f>IFERROR(__xludf.DUMMYFUNCTION("""COMPUTED_VALUE"""),FALSE)</f>
        <v>0</v>
      </c>
      <c r="BM281" s="3"/>
      <c r="BN281" s="3"/>
      <c r="BO281" s="3"/>
      <c r="BP281" s="3"/>
      <c r="BQ281" s="3"/>
      <c r="BR281" s="3"/>
      <c r="BS281" s="3"/>
      <c r="BT281" s="3"/>
      <c r="BU281" s="3"/>
      <c r="BV281" s="3"/>
      <c r="BW281" s="3"/>
    </row>
    <row r="282" ht="15.75" customHeight="1">
      <c r="A282" s="3" t="str">
        <f>IFERROR(__xludf.DUMMYFUNCTION("""COMPUTED_VALUE"""),"Witch")</f>
        <v>Witch</v>
      </c>
      <c r="B282" s="3">
        <f>IFERROR(__xludf.DUMMYFUNCTION("""COMPUTED_VALUE"""),1.0)</f>
        <v>1</v>
      </c>
      <c r="C282" s="3"/>
      <c r="D282" s="12" t="str">
        <f>IFERROR(__xludf.DUMMYFUNCTION("""COMPUTED_VALUE"""),"Humanoid")</f>
        <v>Humanoid</v>
      </c>
      <c r="E282" s="12">
        <f>IFERROR(__xludf.DUMMYFUNCTION("""COMPUTED_VALUE"""),1010.0)</f>
        <v>1010</v>
      </c>
      <c r="F282" s="12">
        <f>IFERROR(__xludf.DUMMYFUNCTION("""COMPUTED_VALUE"""),1010.0)</f>
        <v>1010</v>
      </c>
      <c r="G282" s="12">
        <f>IFERROR(__xludf.DUMMYFUNCTION("""COMPUTED_VALUE"""),1010.0)</f>
        <v>1010</v>
      </c>
      <c r="H282" s="3">
        <f>IFERROR(__xludf.DUMMYFUNCTION("""COMPUTED_VALUE"""),10.0)</f>
        <v>10</v>
      </c>
      <c r="I282" s="3">
        <f>IFERROR(__xludf.DUMMYFUNCTION("""COMPUTED_VALUE"""),0.0)</f>
        <v>0</v>
      </c>
      <c r="J282" s="3">
        <f>IFERROR(__xludf.DUMMYFUNCTION("""COMPUTED_VALUE"""),0.0)</f>
        <v>0</v>
      </c>
      <c r="K282" s="3">
        <f>IFERROR(__xludf.DUMMYFUNCTION("""COMPUTED_VALUE"""),100.0)</f>
        <v>100</v>
      </c>
      <c r="L282" s="3">
        <f>IFERROR(__xludf.DUMMYFUNCTION("""COMPUTED_VALUE"""),100.0)</f>
        <v>100</v>
      </c>
      <c r="M282" s="3" t="str">
        <f>IFERROR(__xludf.DUMMYFUNCTION("""COMPUTED_VALUE"""),"Dark:100, Chaos:100, ")</f>
        <v>Dark:100, Chaos:100, </v>
      </c>
      <c r="N282" s="3" t="str">
        <f>IFERROR(__xludf.DUMMYFUNCTION("""COMPUTED_VALUE"""),"Light:100, Order:100, ")</f>
        <v>Light:100, Order:100, </v>
      </c>
      <c r="O282" s="3"/>
      <c r="P282" s="3"/>
      <c r="Q282" s="3"/>
      <c r="R282" s="3"/>
      <c r="S282" s="3"/>
      <c r="T282" s="3"/>
      <c r="U282" s="3"/>
      <c r="V282" s="3"/>
      <c r="W282" s="3"/>
      <c r="X282" s="3"/>
      <c r="Y282" s="3"/>
      <c r="Z282" s="3"/>
      <c r="AA282" s="3"/>
      <c r="AB282" s="3"/>
      <c r="AC282" s="3"/>
      <c r="AD282" s="3"/>
      <c r="AE282" s="3"/>
      <c r="AF282" s="3"/>
      <c r="AG282" s="3"/>
      <c r="AH282" s="3"/>
      <c r="AI282" s="3"/>
      <c r="AJ282" s="3" t="str">
        <f>IFERROR(__xludf.DUMMYFUNCTION("""COMPUTED_VALUE"""),"Nature ward")</f>
        <v>Nature ward</v>
      </c>
      <c r="AK282" s="3" t="str">
        <f>IFERROR(__xludf.DUMMYFUNCTION("""COMPUTED_VALUE"""),"Vine Hold")</f>
        <v>Vine Hold</v>
      </c>
      <c r="AL282" s="3" t="str">
        <f>IFERROR(__xludf.DUMMYFUNCTION("""COMPUTED_VALUE"""),"Hex with bad luck")</f>
        <v>Hex with bad luck</v>
      </c>
      <c r="AM282" s="3" t="str">
        <f>IFERROR(__xludf.DUMMYFUNCTION("""COMPUTED_VALUE"""),"Shadow")</f>
        <v>Shadow</v>
      </c>
      <c r="AN282" s="3" t="str">
        <f>IFERROR(__xludf.DUMMYFUNCTION("""COMPUTED_VALUE"""),"Chaos Beam")</f>
        <v>Chaos Beam</v>
      </c>
      <c r="AO282" s="3"/>
      <c r="AP282" s="3"/>
      <c r="AQ282" s="3"/>
      <c r="AR282" s="3"/>
      <c r="AS282" s="3"/>
      <c r="AT282" s="3"/>
      <c r="AU282" s="3"/>
      <c r="AV282" s="3"/>
      <c r="AW282" s="3"/>
      <c r="AX282" s="3"/>
      <c r="AY282" s="3"/>
      <c r="AZ282" s="3"/>
      <c r="BA282" s="3"/>
      <c r="BB282" s="3"/>
      <c r="BC282" s="1"/>
      <c r="BD282" s="3">
        <f>IFERROR(__xludf.DUMMYFUNCTION("""COMPUTED_VALUE"""),0.0)</f>
        <v>0</v>
      </c>
      <c r="BE282" s="4">
        <f>IFERROR(__xludf.DUMMYFUNCTION("""COMPUTED_VALUE"""),10.0)</f>
        <v>10</v>
      </c>
      <c r="BF282" s="3" t="str">
        <f>IFERROR(__xludf.DUMMYFUNCTION("""COMPUTED_VALUE"""),"25% chance to inflict the target that killed this mob with a random non-permanent disease.")</f>
        <v>25% chance to inflict the target that killed this mob with a random non-permanent disease.</v>
      </c>
      <c r="BG282" s="3" t="str">
        <f>IFERROR(__xludf.DUMMYFUNCTION("""COMPUTED_VALUE"""),"All")</f>
        <v>All</v>
      </c>
      <c r="BH282" s="3" t="str">
        <f>IFERROR(__xludf.DUMMYFUNCTION("""COMPUTED_VALUE"""),"Land of Spira")</f>
        <v>Land of Spira</v>
      </c>
      <c r="BI282" s="3"/>
      <c r="BJ282" s="3"/>
      <c r="BK282" s="3"/>
      <c r="BL282" s="3" t="b">
        <f>IFERROR(__xludf.DUMMYFUNCTION("""COMPUTED_VALUE"""),FALSE)</f>
        <v>0</v>
      </c>
      <c r="BM282" s="3"/>
      <c r="BN282" s="3"/>
      <c r="BO282" s="3"/>
      <c r="BP282" s="3"/>
      <c r="BQ282" s="3"/>
      <c r="BR282" s="3"/>
      <c r="BS282" s="3"/>
      <c r="BT282" s="3"/>
      <c r="BU282" s="3"/>
      <c r="BV282" s="3"/>
      <c r="BW282" s="3"/>
    </row>
    <row r="283" ht="15.75" customHeight="1">
      <c r="A283" s="3" t="str">
        <f>IFERROR(__xludf.DUMMYFUNCTION("""COMPUTED_VALUE"""),"Yellow Soul")</f>
        <v>Yellow Soul</v>
      </c>
      <c r="B283" s="3">
        <f>IFERROR(__xludf.DUMMYFUNCTION("""COMPUTED_VALUE"""),1.0)</f>
        <v>1</v>
      </c>
      <c r="C283" s="3"/>
      <c r="D283" s="12" t="str">
        <f>IFERROR(__xludf.DUMMYFUNCTION("""COMPUTED_VALUE"""),"Spirit")</f>
        <v>Spirit</v>
      </c>
      <c r="E283" s="12">
        <f>IFERROR(__xludf.DUMMYFUNCTION("""COMPUTED_VALUE"""),1010.0)</f>
        <v>1010</v>
      </c>
      <c r="F283" s="12">
        <f>IFERROR(__xludf.DUMMYFUNCTION("""COMPUTED_VALUE"""),1010.0)</f>
        <v>1010</v>
      </c>
      <c r="G283" s="12">
        <f>IFERROR(__xludf.DUMMYFUNCTION("""COMPUTED_VALUE"""),1010.0)</f>
        <v>1010</v>
      </c>
      <c r="H283" s="3">
        <f>IFERROR(__xludf.DUMMYFUNCTION("""COMPUTED_VALUE"""),10.0)</f>
        <v>10</v>
      </c>
      <c r="I283" s="3">
        <f>IFERROR(__xludf.DUMMYFUNCTION("""COMPUTED_VALUE"""),0.0)</f>
        <v>0</v>
      </c>
      <c r="J283" s="3">
        <f>IFERROR(__xludf.DUMMYFUNCTION("""COMPUTED_VALUE"""),0.0)</f>
        <v>0</v>
      </c>
      <c r="K283" s="3">
        <f>IFERROR(__xludf.DUMMYFUNCTION("""COMPUTED_VALUE"""),100.0)</f>
        <v>100</v>
      </c>
      <c r="L283" s="3">
        <f>IFERROR(__xludf.DUMMYFUNCTION("""COMPUTED_VALUE"""),100.0)</f>
        <v>100</v>
      </c>
      <c r="M283" s="3" t="str">
        <f>IFERROR(__xludf.DUMMYFUNCTION("""COMPUTED_VALUE"""),"Light:Immune, Spirit:Immune, Order:Immune, ")</f>
        <v>Light:Immune, Spirit:Immune, Order:Immune, </v>
      </c>
      <c r="N283" s="3" t="str">
        <f>IFERROR(__xludf.DUMMYFUNCTION("""COMPUTED_VALUE"""),"")</f>
        <v/>
      </c>
      <c r="O283" s="3"/>
      <c r="P283" s="3"/>
      <c r="Q283" s="3"/>
      <c r="R283" s="3"/>
      <c r="S283" s="3"/>
      <c r="T283" s="3"/>
      <c r="U283" s="3"/>
      <c r="V283" s="3"/>
      <c r="W283" s="3"/>
      <c r="X283" s="3"/>
      <c r="Y283" s="3"/>
      <c r="Z283" s="3"/>
      <c r="AA283" s="3"/>
      <c r="AB283" s="3"/>
      <c r="AC283" s="3"/>
      <c r="AD283" s="3"/>
      <c r="AE283" s="3"/>
      <c r="AF283" s="3"/>
      <c r="AG283" s="3"/>
      <c r="AH283" s="3"/>
      <c r="AI283" s="3"/>
      <c r="AJ283" s="3" t="str">
        <f>IFERROR(__xludf.DUMMYFUNCTION("""COMPUTED_VALUE"""),"A Deal With The Spirit World")</f>
        <v>A Deal With The Spirit World</v>
      </c>
      <c r="AK283" s="3" t="str">
        <f>IFERROR(__xludf.DUMMYFUNCTION("""COMPUTED_VALUE"""),"Final Blast")</f>
        <v>Final Blast</v>
      </c>
      <c r="AL283" s="3" t="str">
        <f>IFERROR(__xludf.DUMMYFUNCTION("""COMPUTED_VALUE"""),"Soul Shot")</f>
        <v>Soul Shot</v>
      </c>
      <c r="AM283" s="3" t="str">
        <f>IFERROR(__xludf.DUMMYFUNCTION("""COMPUTED_VALUE"""),"Final Rest")</f>
        <v>Final Rest</v>
      </c>
      <c r="AN283" s="3" t="str">
        <f>IFERROR(__xludf.DUMMYFUNCTION("""COMPUTED_VALUE"""),"Soul Trap")</f>
        <v>Soul Trap</v>
      </c>
      <c r="AO283" s="3" t="str">
        <f>IFERROR(__xludf.DUMMYFUNCTION("""COMPUTED_VALUE"""),"Possession")</f>
        <v>Possession</v>
      </c>
      <c r="AP283" s="3" t="str">
        <f>IFERROR(__xludf.DUMMYFUNCTION("""COMPUTED_VALUE"""),"Confuse")</f>
        <v>Confuse</v>
      </c>
      <c r="AQ283" s="3"/>
      <c r="AR283" s="3"/>
      <c r="AS283" s="3"/>
      <c r="AT283" s="3"/>
      <c r="AU283" s="3"/>
      <c r="AV283" s="3"/>
      <c r="AW283" s="3"/>
      <c r="AX283" s="3"/>
      <c r="AY283" s="3"/>
      <c r="AZ283" s="3"/>
      <c r="BA283" s="3"/>
      <c r="BB283" s="3"/>
      <c r="BC283" s="1"/>
      <c r="BD283" s="3">
        <f>IFERROR(__xludf.DUMMYFUNCTION("""COMPUTED_VALUE"""),0.0)</f>
        <v>0</v>
      </c>
      <c r="BE283" s="4">
        <f>IFERROR(__xludf.DUMMYFUNCTION("""COMPUTED_VALUE"""),10.0)</f>
        <v>10</v>
      </c>
      <c r="BF283" s="3" t="str">
        <f>IFERROR(__xludf.DUMMYFUNCTION("""COMPUTED_VALUE"""),"The Gray Spirit: After 1 round a brown token will appear in battle, after another round if the token is still there, a giant explosion will occur causing all enemies to take Poison 10,000 for 3 rounds.
Undead- Can only be killed by light,fire, or celesti"&amp;"al")</f>
        <v>The Gray Spirit: After 1 round a brown token will appear in battle, after another round if the token is still there, a giant explosion will occur causing all enemies to take Poison 10,000 for 3 rounds.
Undead- Can only be killed by light,fire, or celestial</v>
      </c>
      <c r="BG283" s="3" t="str">
        <f>IFERROR(__xludf.DUMMYFUNCTION("""COMPUTED_VALUE"""),"All")</f>
        <v>All</v>
      </c>
      <c r="BH283" s="3" t="str">
        <f>IFERROR(__xludf.DUMMYFUNCTION("""COMPUTED_VALUE"""),"Abstara")</f>
        <v>Abstara</v>
      </c>
      <c r="BI283" s="3"/>
      <c r="BJ283" s="3"/>
      <c r="BK283" s="3"/>
      <c r="BL283" s="3" t="b">
        <f>IFERROR(__xludf.DUMMYFUNCTION("""COMPUTED_VALUE"""),FALSE)</f>
        <v>0</v>
      </c>
      <c r="BM283" s="3"/>
      <c r="BN283" s="3"/>
      <c r="BO283" s="3"/>
      <c r="BP283" s="3"/>
      <c r="BQ283" s="3"/>
      <c r="BR283" s="3"/>
      <c r="BS283" s="3"/>
      <c r="BT283" s="3"/>
      <c r="BU283" s="3"/>
      <c r="BV283" s="3"/>
      <c r="BW283" s="3"/>
    </row>
    <row r="284" ht="15.75" customHeight="1">
      <c r="A284" s="3" t="str">
        <f>IFERROR(__xludf.DUMMYFUNCTION("""COMPUTED_VALUE"""),"Zombie")</f>
        <v>Zombie</v>
      </c>
      <c r="B284" s="3">
        <f>IFERROR(__xludf.DUMMYFUNCTION("""COMPUTED_VALUE"""),1.0)</f>
        <v>1</v>
      </c>
      <c r="C284" s="3"/>
      <c r="D284" s="12" t="str">
        <f>IFERROR(__xludf.DUMMYFUNCTION("""COMPUTED_VALUE"""),"Undead")</f>
        <v>Undead</v>
      </c>
      <c r="E284" s="12">
        <f>IFERROR(__xludf.DUMMYFUNCTION("""COMPUTED_VALUE"""),1010.0)</f>
        <v>1010</v>
      </c>
      <c r="F284" s="12">
        <f>IFERROR(__xludf.DUMMYFUNCTION("""COMPUTED_VALUE"""),1010.0)</f>
        <v>1010</v>
      </c>
      <c r="G284" s="12">
        <f>IFERROR(__xludf.DUMMYFUNCTION("""COMPUTED_VALUE"""),1010.0)</f>
        <v>1010</v>
      </c>
      <c r="H284" s="3">
        <f>IFERROR(__xludf.DUMMYFUNCTION("""COMPUTED_VALUE"""),10.0)</f>
        <v>10</v>
      </c>
      <c r="I284" s="3">
        <f>IFERROR(__xludf.DUMMYFUNCTION("""COMPUTED_VALUE"""),0.0)</f>
        <v>0</v>
      </c>
      <c r="J284" s="3">
        <f>IFERROR(__xludf.DUMMYFUNCTION("""COMPUTED_VALUE"""),0.0)</f>
        <v>0</v>
      </c>
      <c r="K284" s="3">
        <f>IFERROR(__xludf.DUMMYFUNCTION("""COMPUTED_VALUE"""),100.0)</f>
        <v>100</v>
      </c>
      <c r="L284" s="3">
        <f>IFERROR(__xludf.DUMMYFUNCTION("""COMPUTED_VALUE"""),100.0)</f>
        <v>100</v>
      </c>
      <c r="M284" s="3" t="str">
        <f>IFERROR(__xludf.DUMMYFUNCTION("""COMPUTED_VALUE"""),"Dark:100, ")</f>
        <v>Dark:100, </v>
      </c>
      <c r="N284" s="3" t="str">
        <f>IFERROR(__xludf.DUMMYFUNCTION("""COMPUTED_VALUE"""),"Light:100, ")</f>
        <v>Light:100, </v>
      </c>
      <c r="O284" s="3"/>
      <c r="P284" s="3"/>
      <c r="Q284" s="3"/>
      <c r="R284" s="3"/>
      <c r="S284" s="3"/>
      <c r="T284" s="3"/>
      <c r="U284" s="3"/>
      <c r="V284" s="3" t="str">
        <f>IFERROR(__xludf.DUMMYFUNCTION("""COMPUTED_VALUE"""),"Diseased Rapier")</f>
        <v>Diseased Rapier</v>
      </c>
      <c r="W284" s="3" t="str">
        <f>IFERROR(__xludf.DUMMYFUNCTION("""COMPUTED_VALUE"""),"Rusted Halberd")</f>
        <v>Rusted Halberd</v>
      </c>
      <c r="X284" s="3"/>
      <c r="Y284" s="3"/>
      <c r="Z284" s="3"/>
      <c r="AA284" s="3"/>
      <c r="AB284" s="3"/>
      <c r="AC284" s="3"/>
      <c r="AD284" s="3"/>
      <c r="AE284" s="3"/>
      <c r="AF284" s="3"/>
      <c r="AG284" s="3"/>
      <c r="AH284" s="3"/>
      <c r="AI284" s="3"/>
      <c r="AJ284" s="3" t="str">
        <f>IFERROR(__xludf.DUMMYFUNCTION("""COMPUTED_VALUE"""),"Dark Curse")</f>
        <v>Dark Curse</v>
      </c>
      <c r="AK284" s="3" t="str">
        <f>IFERROR(__xludf.DUMMYFUNCTION("""COMPUTED_VALUE"""),"Dark Bolt")</f>
        <v>Dark Bolt</v>
      </c>
      <c r="AL284" s="3" t="str">
        <f>IFERROR(__xludf.DUMMYFUNCTION("""COMPUTED_VALUE"""),"Undead Bite")</f>
        <v>Undead Bite</v>
      </c>
      <c r="AM284" s="3" t="str">
        <f>IFERROR(__xludf.DUMMYFUNCTION("""COMPUTED_VALUE"""),"Berserk")</f>
        <v>Berserk</v>
      </c>
      <c r="AN284" s="3"/>
      <c r="AO284" s="3"/>
      <c r="AP284" s="3"/>
      <c r="AQ284" s="3"/>
      <c r="AR284" s="3"/>
      <c r="AS284" s="3"/>
      <c r="AT284" s="3"/>
      <c r="AU284" s="3"/>
      <c r="AV284" s="3"/>
      <c r="AW284" s="3"/>
      <c r="AX284" s="3"/>
      <c r="AY284" s="3"/>
      <c r="AZ284" s="3"/>
      <c r="BA284" s="3"/>
      <c r="BB284" s="3"/>
      <c r="BC284" s="1"/>
      <c r="BD284" s="3">
        <f>IFERROR(__xludf.DUMMYFUNCTION("""COMPUTED_VALUE"""),0.0)</f>
        <v>0</v>
      </c>
      <c r="BE284" s="4">
        <f>IFERROR(__xludf.DUMMYFUNCTION("""COMPUTED_VALUE"""),10.0)</f>
        <v>10</v>
      </c>
      <c r="BF284" s="3"/>
      <c r="BG284" s="3" t="str">
        <f>IFERROR(__xludf.DUMMYFUNCTION("""COMPUTED_VALUE"""),"All")</f>
        <v>All</v>
      </c>
      <c r="BH284" s="3" t="str">
        <f>IFERROR(__xludf.DUMMYFUNCTION("""COMPUTED_VALUE"""),"Land of Spira")</f>
        <v>Land of Spira</v>
      </c>
      <c r="BI284" s="3"/>
      <c r="BJ284" s="3"/>
      <c r="BK284" s="3"/>
      <c r="BL284" s="3" t="b">
        <f>IFERROR(__xludf.DUMMYFUNCTION("""COMPUTED_VALUE"""),FALSE)</f>
        <v>0</v>
      </c>
      <c r="BM284" s="3"/>
      <c r="BN284" s="3"/>
      <c r="BO284" s="3"/>
      <c r="BP284" s="3"/>
      <c r="BQ284" s="3"/>
      <c r="BR284" s="3"/>
      <c r="BS284" s="3"/>
      <c r="BT284" s="3"/>
      <c r="BU284" s="3"/>
      <c r="BV284" s="3"/>
      <c r="BW284" s="3"/>
    </row>
    <row r="285" ht="15.75" customHeight="1">
      <c r="A285" s="3" t="str">
        <f>IFERROR(__xludf.DUMMYFUNCTION("""COMPUTED_VALUE"""),"Zombie Whale Shark")</f>
        <v>Zombie Whale Shark</v>
      </c>
      <c r="B285" s="3">
        <f>IFERROR(__xludf.DUMMYFUNCTION("""COMPUTED_VALUE"""),1.0)</f>
        <v>1</v>
      </c>
      <c r="C285" s="3"/>
      <c r="D285" s="12" t="str">
        <f>IFERROR(__xludf.DUMMYFUNCTION("""COMPUTED_VALUE"""),"Undead")</f>
        <v>Undead</v>
      </c>
      <c r="E285" s="12">
        <f>IFERROR(__xludf.DUMMYFUNCTION("""COMPUTED_VALUE"""),1010.0)</f>
        <v>1010</v>
      </c>
      <c r="F285" s="12">
        <f>IFERROR(__xludf.DUMMYFUNCTION("""COMPUTED_VALUE"""),1010.0)</f>
        <v>1010</v>
      </c>
      <c r="G285" s="12">
        <f>IFERROR(__xludf.DUMMYFUNCTION("""COMPUTED_VALUE"""),1010.0)</f>
        <v>1010</v>
      </c>
      <c r="H285" s="3">
        <f>IFERROR(__xludf.DUMMYFUNCTION("""COMPUTED_VALUE"""),10.0)</f>
        <v>10</v>
      </c>
      <c r="I285" s="3">
        <f>IFERROR(__xludf.DUMMYFUNCTION("""COMPUTED_VALUE"""),0.0)</f>
        <v>0</v>
      </c>
      <c r="J285" s="3">
        <f>IFERROR(__xludf.DUMMYFUNCTION("""COMPUTED_VALUE"""),0.0)</f>
        <v>0</v>
      </c>
      <c r="K285" s="3">
        <f>IFERROR(__xludf.DUMMYFUNCTION("""COMPUTED_VALUE"""),100.0)</f>
        <v>100</v>
      </c>
      <c r="L285" s="3">
        <f>IFERROR(__xludf.DUMMYFUNCTION("""COMPUTED_VALUE"""),100.0)</f>
        <v>100</v>
      </c>
      <c r="M285" s="3" t="str">
        <f>IFERROR(__xludf.DUMMYFUNCTION("""COMPUTED_VALUE"""),"Fire:Immune, Water:Immune, Dark:Immune, ")</f>
        <v>Fire:Immune, Water:Immune, Dark:Immune, </v>
      </c>
      <c r="N285" s="3" t="str">
        <f>IFERROR(__xludf.DUMMYFUNCTION("""COMPUTED_VALUE"""),"Light:100, ")</f>
        <v>Light:100, </v>
      </c>
      <c r="O285" s="3"/>
      <c r="P285" s="3"/>
      <c r="Q285" s="3"/>
      <c r="R285" s="3"/>
      <c r="S285" s="3"/>
      <c r="T285" s="3"/>
      <c r="U285" s="3"/>
      <c r="V285" s="3"/>
      <c r="W285" s="3"/>
      <c r="X285" s="3"/>
      <c r="Y285" s="3"/>
      <c r="Z285" s="3"/>
      <c r="AA285" s="3"/>
      <c r="AB285" s="3"/>
      <c r="AC285" s="3"/>
      <c r="AD285" s="3"/>
      <c r="AE285" s="3"/>
      <c r="AF285" s="3"/>
      <c r="AG285" s="3"/>
      <c r="AH285" s="3"/>
      <c r="AI285" s="3"/>
      <c r="AJ285" s="3" t="str">
        <f>IFERROR(__xludf.DUMMYFUNCTION("""COMPUTED_VALUE"""),"Crashing Waves")</f>
        <v>Crashing Waves</v>
      </c>
      <c r="AK285" s="3" t="str">
        <f>IFERROR(__xludf.DUMMYFUNCTION("""COMPUTED_VALUE"""),"Undead Bite")</f>
        <v>Undead Bite</v>
      </c>
      <c r="AL285" s="3" t="str">
        <f>IFERROR(__xludf.DUMMYFUNCTION("""COMPUTED_VALUE"""),"Quench")</f>
        <v>Quench</v>
      </c>
      <c r="AM285" s="3" t="str">
        <f>IFERROR(__xludf.DUMMYFUNCTION("""COMPUTED_VALUE"""),"Torrential Downpour")</f>
        <v>Torrential Downpour</v>
      </c>
      <c r="AN285" s="3" t="str">
        <f>IFERROR(__xludf.DUMMYFUNCTION("""COMPUTED_VALUE"""),"Geyser")</f>
        <v>Geyser</v>
      </c>
      <c r="AO285" s="3"/>
      <c r="AP285" s="3"/>
      <c r="AQ285" s="3"/>
      <c r="AR285" s="3"/>
      <c r="AS285" s="3"/>
      <c r="AT285" s="3"/>
      <c r="AU285" s="3"/>
      <c r="AV285" s="3"/>
      <c r="AW285" s="3"/>
      <c r="AX285" s="3"/>
      <c r="AY285" s="3"/>
      <c r="AZ285" s="3"/>
      <c r="BA285" s="3"/>
      <c r="BB285" s="3"/>
      <c r="BC285" s="1"/>
      <c r="BD285" s="3">
        <f>IFERROR(__xludf.DUMMYFUNCTION("""COMPUTED_VALUE"""),0.0)</f>
        <v>0</v>
      </c>
      <c r="BE285" s="4">
        <f>IFERROR(__xludf.DUMMYFUNCTION("""COMPUTED_VALUE"""),10.0)</f>
        <v>10</v>
      </c>
      <c r="BF285" s="3"/>
      <c r="BG285" s="3" t="str">
        <f>IFERROR(__xludf.DUMMYFUNCTION("""COMPUTED_VALUE"""),"Ocean")</f>
        <v>Ocean</v>
      </c>
      <c r="BH285" s="3" t="str">
        <f>IFERROR(__xludf.DUMMYFUNCTION("""COMPUTED_VALUE"""),"Land of Spira")</f>
        <v>Land of Spira</v>
      </c>
      <c r="BI285" s="3"/>
      <c r="BJ285" s="3"/>
      <c r="BK285" s="3"/>
      <c r="BL285" s="3" t="b">
        <f>IFERROR(__xludf.DUMMYFUNCTION("""COMPUTED_VALUE"""),FALSE)</f>
        <v>0</v>
      </c>
      <c r="BM285" s="3"/>
      <c r="BN285" s="3"/>
      <c r="BO285" s="3"/>
      <c r="BP285" s="3"/>
      <c r="BQ285" s="3"/>
      <c r="BR285" s="3"/>
      <c r="BS285" s="3"/>
      <c r="BT285" s="3"/>
      <c r="BU285" s="3"/>
      <c r="BV285" s="3"/>
      <c r="BW285" s="3"/>
    </row>
    <row r="286" ht="15.75" customHeight="1">
      <c r="A286" s="3" t="str">
        <f>IFERROR(__xludf.DUMMYFUNCTION("""COMPUTED_VALUE"""),"Pirate")</f>
        <v>Pirate</v>
      </c>
      <c r="B286" s="3">
        <f>IFERROR(__xludf.DUMMYFUNCTION("""COMPUTED_VALUE"""),1.0)</f>
        <v>1</v>
      </c>
      <c r="C286" s="3"/>
      <c r="D286" s="3" t="str">
        <f>IFERROR(__xludf.DUMMYFUNCTION("""COMPUTED_VALUE"""),"Humanoid")</f>
        <v>Humanoid</v>
      </c>
      <c r="E286" s="3">
        <f>IFERROR(__xludf.DUMMYFUNCTION("""COMPUTED_VALUE"""),1010.0)</f>
        <v>1010</v>
      </c>
      <c r="F286" s="12">
        <f>IFERROR(__xludf.DUMMYFUNCTION("""COMPUTED_VALUE"""),1010.0)</f>
        <v>1010</v>
      </c>
      <c r="G286" s="12">
        <f>IFERROR(__xludf.DUMMYFUNCTION("""COMPUTED_VALUE"""),71010.0)</f>
        <v>71010</v>
      </c>
      <c r="H286" s="3">
        <f>IFERROR(__xludf.DUMMYFUNCTION("""COMPUTED_VALUE"""),10.0)</f>
        <v>10</v>
      </c>
      <c r="I286" s="3">
        <f>IFERROR(__xludf.DUMMYFUNCTION("""COMPUTED_VALUE"""),0.0)</f>
        <v>0</v>
      </c>
      <c r="J286" s="3">
        <f>IFERROR(__xludf.DUMMYFUNCTION("""COMPUTED_VALUE"""),0.0)</f>
        <v>0</v>
      </c>
      <c r="K286" s="3">
        <f>IFERROR(__xludf.DUMMYFUNCTION("""COMPUTED_VALUE"""),100.0)</f>
        <v>100</v>
      </c>
      <c r="L286" s="3">
        <f>IFERROR(__xludf.DUMMYFUNCTION("""COMPUTED_VALUE"""),100.0)</f>
        <v>100</v>
      </c>
      <c r="M286" s="3" t="str">
        <f>IFERROR(__xludf.DUMMYFUNCTION("""COMPUTED_VALUE"""),"Physical:Immune, ")</f>
        <v>Physical:Immune, </v>
      </c>
      <c r="N286" s="3" t="str">
        <f>IFERROR(__xludf.DUMMYFUNCTION("""COMPUTED_VALUE"""),"")</f>
        <v/>
      </c>
      <c r="O286" s="3" t="str">
        <f>IFERROR(__xludf.DUMMYFUNCTION("""COMPUTED_VALUE"""),"Feathered Hat of Roguish ""Justice""")</f>
        <v>Feathered Hat of Roguish "Justice"</v>
      </c>
      <c r="P286" s="3" t="str">
        <f>IFERROR(__xludf.DUMMYFUNCTION("""COMPUTED_VALUE"""),"Amulet of the Goddess of Theft")</f>
        <v>Amulet of the Goddess of Theft</v>
      </c>
      <c r="Q286" s="3"/>
      <c r="R286" s="3"/>
      <c r="S286" s="3" t="str">
        <f>IFERROR(__xludf.DUMMYFUNCTION("""COMPUTED_VALUE"""),"Cape of Misdeed")</f>
        <v>Cape of Misdeed</v>
      </c>
      <c r="T286" s="3" t="str">
        <f>IFERROR(__xludf.DUMMYFUNCTION("""COMPUTED_VALUE"""),"Doublet of Debauchery")</f>
        <v>Doublet of Debauchery</v>
      </c>
      <c r="U286" s="3" t="str">
        <f>IFERROR(__xludf.DUMMYFUNCTION("""COMPUTED_VALUE"""),"Bracers of Dastardly Deflection")</f>
        <v>Bracers of Dastardly Deflection</v>
      </c>
      <c r="V286" s="3" t="str">
        <f>IFERROR(__xludf.DUMMYFUNCTION("""COMPUTED_VALUE"""),"Fingerless Glove of Anonymity")</f>
        <v>Fingerless Glove of Anonymity</v>
      </c>
      <c r="W286" s="3" t="str">
        <f>IFERROR(__xludf.DUMMYFUNCTION("""COMPUTED_VALUE"""),"Revolver")</f>
        <v>Revolver</v>
      </c>
      <c r="X286" s="3"/>
      <c r="Y286" s="3"/>
      <c r="Z286" s="3"/>
      <c r="AA286" s="3"/>
      <c r="AB286" s="3"/>
      <c r="AC286" s="3"/>
      <c r="AD286" s="3"/>
      <c r="AE286" s="3"/>
      <c r="AF286" s="3"/>
      <c r="AG286" s="3"/>
      <c r="AH286" s="3" t="str">
        <f>IFERROR(__xludf.DUMMYFUNCTION("""COMPUTED_VALUE"""),"Tights of Fabulous Thievery")</f>
        <v>Tights of Fabulous Thievery</v>
      </c>
      <c r="AI286" s="3" t="str">
        <f>IFERROR(__xludf.DUMMYFUNCTION("""COMPUTED_VALUE"""),"Leather Boots of Softstep")</f>
        <v>Leather Boots of Softstep</v>
      </c>
      <c r="AJ286" s="3" t="str">
        <f>IFERROR(__xludf.DUMMYFUNCTION("""COMPUTED_VALUE"""),"Crashing Waves")</f>
        <v>Crashing Waves</v>
      </c>
      <c r="AK286" s="3" t="str">
        <f>IFERROR(__xludf.DUMMYFUNCTION("""COMPUTED_VALUE"""),"Punch")</f>
        <v>Punch</v>
      </c>
      <c r="AL286" s="3" t="str">
        <f>IFERROR(__xludf.DUMMYFUNCTION("""COMPUTED_VALUE"""),"Confiscate")</f>
        <v>Confiscate</v>
      </c>
      <c r="AM286" s="3" t="str">
        <f>IFERROR(__xludf.DUMMYFUNCTION("""COMPUTED_VALUE"""),"Berserk")</f>
        <v>Berserk</v>
      </c>
      <c r="AN286" s="3" t="str">
        <f>IFERROR(__xludf.DUMMYFUNCTION("""COMPUTED_VALUE"""),"Geyser")</f>
        <v>Geyser</v>
      </c>
      <c r="AO286" s="3"/>
      <c r="AP286" s="3"/>
      <c r="AQ286" s="3"/>
      <c r="AR286" s="3"/>
      <c r="AS286" s="3"/>
      <c r="AT286" s="3"/>
      <c r="AU286" s="3"/>
      <c r="AV286" s="3"/>
      <c r="AW286" s="3"/>
      <c r="AX286" s="3"/>
      <c r="AY286" s="3"/>
      <c r="AZ286" s="3"/>
      <c r="BA286" s="3"/>
      <c r="BB286" s="3"/>
      <c r="BC286" s="1"/>
      <c r="BD286" s="3">
        <f>IFERROR(__xludf.DUMMYFUNCTION("""COMPUTED_VALUE"""),0.0)</f>
        <v>0</v>
      </c>
      <c r="BE286" s="4">
        <f>IFERROR(__xludf.DUMMYFUNCTION("""COMPUTED_VALUE"""),10.0)</f>
        <v>10</v>
      </c>
      <c r="BF286" s="3" t="str">
        <f>IFERROR(__xludf.DUMMYFUNCTION("""COMPUTED_VALUE"""),"Pirates Luck I: +5 can be added to this mobs d20 rolls.")</f>
        <v>Pirates Luck I: +5 can be added to this mobs d20 rolls.</v>
      </c>
      <c r="BG286" s="3" t="str">
        <f>IFERROR(__xludf.DUMMYFUNCTION("""COMPUTED_VALUE"""),"All")</f>
        <v>All</v>
      </c>
      <c r="BH286" s="3" t="str">
        <f>IFERROR(__xludf.DUMMYFUNCTION("""COMPUTED_VALUE"""),"Land of Spira")</f>
        <v>Land of Spira</v>
      </c>
      <c r="BI286" s="3"/>
      <c r="BJ286" s="3"/>
      <c r="BK286" s="3"/>
      <c r="BL286" s="3" t="b">
        <f>IFERROR(__xludf.DUMMYFUNCTION("""COMPUTED_VALUE"""),FALSE)</f>
        <v>0</v>
      </c>
      <c r="BM286" s="3"/>
      <c r="BN286" s="3"/>
      <c r="BO286" s="3"/>
      <c r="BP286" s="3"/>
      <c r="BQ286" s="3"/>
      <c r="BR286" s="3"/>
      <c r="BS286" s="3"/>
      <c r="BT286" s="3"/>
      <c r="BU286" s="3"/>
      <c r="BV286" s="3"/>
      <c r="BW286" s="3"/>
    </row>
    <row r="287" ht="15.75" customHeight="1">
      <c r="A287" s="3" t="str">
        <f>IFERROR(__xludf.DUMMYFUNCTION("""COMPUTED_VALUE"""),"Pirate Captain")</f>
        <v>Pirate Captain</v>
      </c>
      <c r="B287" s="3">
        <f>IFERROR(__xludf.DUMMYFUNCTION("""COMPUTED_VALUE"""),1.0)</f>
        <v>1</v>
      </c>
      <c r="C287" s="3"/>
      <c r="D287" s="3" t="str">
        <f>IFERROR(__xludf.DUMMYFUNCTION("""COMPUTED_VALUE"""),"Humanoid")</f>
        <v>Humanoid</v>
      </c>
      <c r="E287" s="12">
        <f>IFERROR(__xludf.DUMMYFUNCTION("""COMPUTED_VALUE"""),1010.0)</f>
        <v>1010</v>
      </c>
      <c r="F287" s="12">
        <f>IFERROR(__xludf.DUMMYFUNCTION("""COMPUTED_VALUE"""),1010.0)</f>
        <v>1010</v>
      </c>
      <c r="G287" s="12">
        <f>IFERROR(__xludf.DUMMYFUNCTION("""COMPUTED_VALUE"""),1010.0)</f>
        <v>1010</v>
      </c>
      <c r="H287" s="3">
        <f>IFERROR(__xludf.DUMMYFUNCTION("""COMPUTED_VALUE"""),10.0)</f>
        <v>10</v>
      </c>
      <c r="I287" s="3">
        <f>IFERROR(__xludf.DUMMYFUNCTION("""COMPUTED_VALUE"""),0.0)</f>
        <v>0</v>
      </c>
      <c r="J287" s="3">
        <f>IFERROR(__xludf.DUMMYFUNCTION("""COMPUTED_VALUE"""),0.0)</f>
        <v>0</v>
      </c>
      <c r="K287" s="3">
        <f>IFERROR(__xludf.DUMMYFUNCTION("""COMPUTED_VALUE"""),100.0)</f>
        <v>100</v>
      </c>
      <c r="L287" s="3">
        <f>IFERROR(__xludf.DUMMYFUNCTION("""COMPUTED_VALUE"""),100.0)</f>
        <v>100</v>
      </c>
      <c r="M287" s="3" t="str">
        <f>IFERROR(__xludf.DUMMYFUNCTION("""COMPUTED_VALUE"""),"Water:Immune, Storm:Immune, Physical:Immune, Instant Death:Immune, Banishment:Immune, ")</f>
        <v>Water:Immune, Storm:Immune, Physical:Immune, Instant Death:Immune, Banishment:Immune, </v>
      </c>
      <c r="N287" s="3" t="str">
        <f>IFERROR(__xludf.DUMMYFUNCTION("""COMPUTED_VALUE"""),"Order:100, Nature:100, ")</f>
        <v>Order:100, Nature:100, </v>
      </c>
      <c r="O287" s="3" t="str">
        <f>IFERROR(__xludf.DUMMYFUNCTION("""COMPUTED_VALUE"""),"Feathered Hat of Roguish ""Justice""")</f>
        <v>Feathered Hat of Roguish "Justice"</v>
      </c>
      <c r="P287" s="3" t="str">
        <f>IFERROR(__xludf.DUMMYFUNCTION("""COMPUTED_VALUE"""),"Black Crystal Necklace of Luck")</f>
        <v>Black Crystal Necklace of Luck</v>
      </c>
      <c r="Q287" s="3"/>
      <c r="R287" s="3"/>
      <c r="S287" s="3" t="str">
        <f>IFERROR(__xludf.DUMMYFUNCTION("""COMPUTED_VALUE"""),"Cape of Misdeed")</f>
        <v>Cape of Misdeed</v>
      </c>
      <c r="T287" s="3" t="str">
        <f>IFERROR(__xludf.DUMMYFUNCTION("""COMPUTED_VALUE"""),"Doublet of Debauchery")</f>
        <v>Doublet of Debauchery</v>
      </c>
      <c r="U287" s="3" t="str">
        <f>IFERROR(__xludf.DUMMYFUNCTION("""COMPUTED_VALUE"""),"Bracers of Dastardly Deflection")</f>
        <v>Bracers of Dastardly Deflection</v>
      </c>
      <c r="V287" s="3" t="str">
        <f>IFERROR(__xludf.DUMMYFUNCTION("""COMPUTED_VALUE"""),"Fingerless Glove of Anonymity")</f>
        <v>Fingerless Glove of Anonymity</v>
      </c>
      <c r="W287" s="3" t="str">
        <f>IFERROR(__xludf.DUMMYFUNCTION("""COMPUTED_VALUE"""),"Sword of Bad Luck")</f>
        <v>Sword of Bad Luck</v>
      </c>
      <c r="X287" s="3"/>
      <c r="Y287" s="3"/>
      <c r="Z287" s="3"/>
      <c r="AA287" s="3"/>
      <c r="AB287" s="3"/>
      <c r="AC287" s="3"/>
      <c r="AD287" s="3"/>
      <c r="AE287" s="3"/>
      <c r="AF287" s="3"/>
      <c r="AG287" s="3"/>
      <c r="AH287" s="3" t="str">
        <f>IFERROR(__xludf.DUMMYFUNCTION("""COMPUTED_VALUE"""),"Tights of Fabulous Thievery")</f>
        <v>Tights of Fabulous Thievery</v>
      </c>
      <c r="AI287" s="3" t="str">
        <f>IFERROR(__xludf.DUMMYFUNCTION("""COMPUTED_VALUE"""),"Shoes of Water Walking")</f>
        <v>Shoes of Water Walking</v>
      </c>
      <c r="AJ287" s="3" t="str">
        <f>IFERROR(__xludf.DUMMYFUNCTION("""COMPUTED_VALUE"""),"Chaincast")</f>
        <v>Chaincast</v>
      </c>
      <c r="AK287" s="3" t="str">
        <f>IFERROR(__xludf.DUMMYFUNCTION("""COMPUTED_VALUE"""),"Arrest")</f>
        <v>Arrest</v>
      </c>
      <c r="AL287" s="3" t="str">
        <f>IFERROR(__xludf.DUMMYFUNCTION("""COMPUTED_VALUE"""),"Berserk")</f>
        <v>Berserk</v>
      </c>
      <c r="AM287" s="3" t="str">
        <f>IFERROR(__xludf.DUMMYFUNCTION("""COMPUTED_VALUE"""),"Gust of Wind")</f>
        <v>Gust of Wind</v>
      </c>
      <c r="AN287" s="3" t="str">
        <f>IFERROR(__xludf.DUMMYFUNCTION("""COMPUTED_VALUE"""),"Tornado")</f>
        <v>Tornado</v>
      </c>
      <c r="AO287" s="3" t="str">
        <f>IFERROR(__xludf.DUMMYFUNCTION("""COMPUTED_VALUE"""),"Freezing Fog")</f>
        <v>Freezing Fog</v>
      </c>
      <c r="AP287" s="3" t="str">
        <f>IFERROR(__xludf.DUMMYFUNCTION("""COMPUTED_VALUE"""),"Thunderstorm")</f>
        <v>Thunderstorm</v>
      </c>
      <c r="AQ287" s="3" t="str">
        <f>IFERROR(__xludf.DUMMYFUNCTION("""COMPUTED_VALUE"""),"Crashing Waves")</f>
        <v>Crashing Waves</v>
      </c>
      <c r="AR287" s="3" t="str">
        <f>IFERROR(__xludf.DUMMYFUNCTION("""COMPUTED_VALUE"""),"Geyser (Enhanced)")</f>
        <v>Geyser (Enhanced)</v>
      </c>
      <c r="AS287" s="3" t="str">
        <f>IFERROR(__xludf.DUMMYFUNCTION("""COMPUTED_VALUE"""),"Go For The Vitals")</f>
        <v>Go For The Vitals</v>
      </c>
      <c r="AT287" s="3" t="str">
        <f>IFERROR(__xludf.DUMMYFUNCTION("""COMPUTED_VALUE"""),"Multishot")</f>
        <v>Multishot</v>
      </c>
      <c r="AU287" s="3" t="str">
        <f>IFERROR(__xludf.DUMMYFUNCTION("""COMPUTED_VALUE"""),"Cannon Bombardment")</f>
        <v>Cannon Bombardment</v>
      </c>
      <c r="AV287" s="3" t="str">
        <f>IFERROR(__xludf.DUMMYFUNCTION("""COMPUTED_VALUE"""),"Cancel")</f>
        <v>Cancel</v>
      </c>
      <c r="AW287" s="3" t="str">
        <f>IFERROR(__xludf.DUMMYFUNCTION("""COMPUTED_VALUE"""),"Conceal")</f>
        <v>Conceal</v>
      </c>
      <c r="AX287" s="3" t="str">
        <f>IFERROR(__xludf.DUMMYFUNCTION("""COMPUTED_VALUE"""),"Chains of Shadow")</f>
        <v>Chains of Shadow</v>
      </c>
      <c r="AY287" s="3" t="str">
        <f>IFERROR(__xludf.DUMMYFUNCTION("""COMPUTED_VALUE"""),"Mass Destruction")</f>
        <v>Mass Destruction</v>
      </c>
      <c r="AZ287" s="3"/>
      <c r="BA287" s="3"/>
      <c r="BB287" s="3"/>
      <c r="BC287" s="1"/>
      <c r="BD287" s="3">
        <f>IFERROR(__xludf.DUMMYFUNCTION("""COMPUTED_VALUE"""),0.0)</f>
        <v>0</v>
      </c>
      <c r="BE287" s="4">
        <f>IFERROR(__xludf.DUMMYFUNCTION("""COMPUTED_VALUE"""),10.0)</f>
        <v>10</v>
      </c>
      <c r="BF287" s="3" t="str">
        <f>IFERROR(__xludf.DUMMYFUNCTION("""COMPUTED_VALUE"""),"75% chance to be unaffected by any spells affecting this mob
Pirates Luck II: +10 can be added to this mobs d20 rolls.
Items cannot be stolen from this mob.")</f>
        <v>75% chance to be unaffected by any spells affecting this mob
Pirates Luck II: +10 can be added to this mobs d20 rolls.
Items cannot be stolen from this mob.</v>
      </c>
      <c r="BG287" s="3" t="str">
        <f>IFERROR(__xludf.DUMMYFUNCTION("""COMPUTED_VALUE"""),"All")</f>
        <v>All</v>
      </c>
      <c r="BH287" s="3" t="str">
        <f>IFERROR(__xludf.DUMMYFUNCTION("""COMPUTED_VALUE"""),"Land of Spira")</f>
        <v>Land of Spira</v>
      </c>
      <c r="BI287" s="3"/>
      <c r="BJ287" s="3"/>
      <c r="BK287" s="3"/>
      <c r="BL287" s="3" t="b">
        <f>IFERROR(__xludf.DUMMYFUNCTION("""COMPUTED_VALUE"""),FALSE)</f>
        <v>0</v>
      </c>
      <c r="BM287" s="3"/>
      <c r="BN287" s="3"/>
      <c r="BO287" s="3"/>
      <c r="BP287" s="3"/>
      <c r="BQ287" s="3"/>
      <c r="BR287" s="3"/>
      <c r="BS287" s="3"/>
      <c r="BT287" s="3"/>
      <c r="BU287" s="3"/>
      <c r="BV287" s="3"/>
      <c r="BW287" s="3"/>
    </row>
    <row r="288" ht="15.75" customHeight="1">
      <c r="A288" s="3" t="str">
        <f>IFERROR(__xludf.DUMMYFUNCTION("""COMPUTED_VALUE"""),"The Crystal King")</f>
        <v>The Crystal King</v>
      </c>
      <c r="B288" s="3">
        <f>IFERROR(__xludf.DUMMYFUNCTION("""COMPUTED_VALUE"""),1.0)</f>
        <v>1</v>
      </c>
      <c r="C288" s="3"/>
      <c r="D288" s="3" t="str">
        <f>IFERROR(__xludf.DUMMYFUNCTION("""COMPUTED_VALUE"""),"Construct")</f>
        <v>Construct</v>
      </c>
      <c r="E288" s="3">
        <f>IFERROR(__xludf.DUMMYFUNCTION("""COMPUTED_VALUE"""),1010.0)</f>
        <v>1010</v>
      </c>
      <c r="F288" s="12">
        <f>IFERROR(__xludf.DUMMYFUNCTION("""COMPUTED_VALUE"""),1010.0)</f>
        <v>1010</v>
      </c>
      <c r="G288" s="3">
        <f>IFERROR(__xludf.DUMMYFUNCTION("""COMPUTED_VALUE"""),1010.0)</f>
        <v>1010</v>
      </c>
      <c r="H288" s="3">
        <f>IFERROR(__xludf.DUMMYFUNCTION("""COMPUTED_VALUE"""),20.0)</f>
        <v>20</v>
      </c>
      <c r="I288" s="3">
        <f>IFERROR(__xludf.DUMMYFUNCTION("""COMPUTED_VALUE"""),0.0)</f>
        <v>0</v>
      </c>
      <c r="J288" s="3">
        <f>IFERROR(__xludf.DUMMYFUNCTION("""COMPUTED_VALUE"""),0.0)</f>
        <v>0</v>
      </c>
      <c r="K288" s="3">
        <f>IFERROR(__xludf.DUMMYFUNCTION("""COMPUTED_VALUE"""),100.0)</f>
        <v>100</v>
      </c>
      <c r="L288" s="3">
        <f>IFERROR(__xludf.DUMMYFUNCTION("""COMPUTED_VALUE"""),100.0)</f>
        <v>100</v>
      </c>
      <c r="M288" s="3" t="str">
        <f>IFERROR(__xludf.DUMMYFUNCTION("""COMPUTED_VALUE"""),"Fire:100, Earth:Immune, Instant Death:Immune, Banishment:Immune, Natural:100, ")</f>
        <v>Fire:100, Earth:Immune, Instant Death:Immune, Banishment:Immune, Natural:100, </v>
      </c>
      <c r="N288" s="3" t="str">
        <f>IFERROR(__xludf.DUMMYFUNCTION("""COMPUTED_VALUE"""),"Storm:100, ")</f>
        <v>Storm:100, </v>
      </c>
      <c r="O288" s="3" t="str">
        <f>IFERROR(__xludf.DUMMYFUNCTION("""COMPUTED_VALUE"""),"Crystal Forged Helmet")</f>
        <v>Crystal Forged Helmet</v>
      </c>
      <c r="P288" s="3" t="str">
        <f>IFERROR(__xludf.DUMMYFUNCTION("""COMPUTED_VALUE"""),"Black Crystal Necklace of Luck")</f>
        <v>Black Crystal Necklace of Luck</v>
      </c>
      <c r="Q288" s="3" t="str">
        <f>IFERROR(__xludf.DUMMYFUNCTION("""COMPUTED_VALUE"""),"Crystal Healing Amulet")</f>
        <v>Crystal Healing Amulet</v>
      </c>
      <c r="R288" s="3"/>
      <c r="S288" s="3" t="str">
        <f>IFERROR(__xludf.DUMMYFUNCTION("""COMPUTED_VALUE"""),"Crystal Forged Pauldrons")</f>
        <v>Crystal Forged Pauldrons</v>
      </c>
      <c r="T288" s="3" t="str">
        <f>IFERROR(__xludf.DUMMYFUNCTION("""COMPUTED_VALUE"""),"Crystal Forged Chestplate")</f>
        <v>Crystal Forged Chestplate</v>
      </c>
      <c r="U288" s="3" t="str">
        <f>IFERROR(__xludf.DUMMYFUNCTION("""COMPUTED_VALUE"""),"Crystal Forged Vambraces")</f>
        <v>Crystal Forged Vambraces</v>
      </c>
      <c r="V288" s="3" t="str">
        <f>IFERROR(__xludf.DUMMYFUNCTION("""COMPUTED_VALUE"""),"Crystal Longsword")</f>
        <v>Crystal Longsword</v>
      </c>
      <c r="W288" s="3" t="str">
        <f>IFERROR(__xludf.DUMMYFUNCTION("""COMPUTED_VALUE"""),"Sword of The Crystal King")</f>
        <v>Sword of The Crystal King</v>
      </c>
      <c r="X288" s="3" t="str">
        <f>IFERROR(__xludf.DUMMYFUNCTION("""COMPUTED_VALUE"""),"Crystal Ring")</f>
        <v>Crystal Ring</v>
      </c>
      <c r="Y288" s="3"/>
      <c r="Z288" s="3"/>
      <c r="AA288" s="3"/>
      <c r="AB288" s="3"/>
      <c r="AC288" s="3"/>
      <c r="AD288" s="3"/>
      <c r="AE288" s="3"/>
      <c r="AF288" s="3"/>
      <c r="AG288" s="3"/>
      <c r="AH288" s="3" t="str">
        <f>IFERROR(__xludf.DUMMYFUNCTION("""COMPUTED_VALUE"""),"Crystal Forged Greaves")</f>
        <v>Crystal Forged Greaves</v>
      </c>
      <c r="AI288" s="3" t="str">
        <f>IFERROR(__xludf.DUMMYFUNCTION("""COMPUTED_VALUE"""),"Crystal Forged Boots")</f>
        <v>Crystal Forged Boots</v>
      </c>
      <c r="AJ288" s="3" t="str">
        <f>IFERROR(__xludf.DUMMYFUNCTION("""COMPUTED_VALUE"""),"Arrest")</f>
        <v>Arrest</v>
      </c>
      <c r="AK288" s="3" t="str">
        <f>IFERROR(__xludf.DUMMYFUNCTION("""COMPUTED_VALUE"""),"Mass Destruction")</f>
        <v>Mass Destruction</v>
      </c>
      <c r="AL288" s="3" t="str">
        <f>IFERROR(__xludf.DUMMYFUNCTION("""COMPUTED_VALUE"""),"Molten Ruby Spikes")</f>
        <v>Molten Ruby Spikes</v>
      </c>
      <c r="AM288" s="3" t="str">
        <f>IFERROR(__xludf.DUMMYFUNCTION("""COMPUTED_VALUE"""),"Energizing Emerald Pulse")</f>
        <v>Energizing Emerald Pulse</v>
      </c>
      <c r="AN288" s="3" t="str">
        <f>IFERROR(__xludf.DUMMYFUNCTION("""COMPUTED_VALUE"""),"Searing Saphire Strike")</f>
        <v>Searing Saphire Strike</v>
      </c>
      <c r="AO288" s="3" t="str">
        <f>IFERROR(__xludf.DUMMYFUNCTION("""COMPUTED_VALUE"""),"Lunar Ward")</f>
        <v>Lunar Ward</v>
      </c>
      <c r="AP288" s="3" t="str">
        <f>IFERROR(__xludf.DUMMYFUNCTION("""COMPUTED_VALUE"""),"Solar Ward")</f>
        <v>Solar Ward</v>
      </c>
      <c r="AQ288" s="3"/>
      <c r="AR288" s="3"/>
      <c r="AS288" s="3"/>
      <c r="AT288" s="3"/>
      <c r="AU288" s="3"/>
      <c r="AV288" s="3"/>
      <c r="AW288" s="3"/>
      <c r="AX288" s="3"/>
      <c r="AY288" s="3"/>
      <c r="AZ288" s="3"/>
      <c r="BA288" s="3"/>
      <c r="BB288" s="3"/>
      <c r="BC288" s="1"/>
      <c r="BD288" s="3">
        <f>IFERROR(__xludf.DUMMYFUNCTION("""COMPUTED_VALUE"""),0.0)</f>
        <v>0</v>
      </c>
      <c r="BE288" s="4">
        <f>IFERROR(__xludf.DUMMYFUNCTION("""COMPUTED_VALUE"""),20.0)</f>
        <v>20</v>
      </c>
      <c r="BF288" s="3" t="str">
        <f>IFERROR(__xludf.DUMMYFUNCTION("""COMPUTED_VALUE"""),"Kings Protection: At the end of very round a random guard will appear to help the Crystal King in battle.
Kings Protection II: Items/Equipment cannot be removed from this mob.
Kings Royal Luck: Can add +10 to d20 rolls.
75% chance to be unaffected by a"&amp;"ny spells affecting this mob")</f>
        <v>Kings Protection: At the end of very round a random guard will appear to help the Crystal King in battle.
Kings Protection II: Items/Equipment cannot be removed from this mob.
Kings Royal Luck: Can add +10 to d20 rolls.
75% chance to be unaffected by any spells affecting this mob</v>
      </c>
      <c r="BG288" s="3" t="str">
        <f>IFERROR(__xludf.DUMMYFUNCTION("""COMPUTED_VALUE"""),"City/Town")</f>
        <v>City/Town</v>
      </c>
      <c r="BH288" s="3" t="str">
        <f>IFERROR(__xludf.DUMMYFUNCTION("""COMPUTED_VALUE"""),"Land of Spira")</f>
        <v>Land of Spira</v>
      </c>
      <c r="BI288" s="3"/>
      <c r="BJ288" s="3"/>
      <c r="BK288" s="3"/>
      <c r="BL288" s="3" t="b">
        <f>IFERROR(__xludf.DUMMYFUNCTION("""COMPUTED_VALUE"""),FALSE)</f>
        <v>0</v>
      </c>
      <c r="BM288" s="3"/>
      <c r="BN288" s="3"/>
      <c r="BO288" s="3"/>
      <c r="BP288" s="3"/>
      <c r="BQ288" s="3"/>
      <c r="BR288" s="3"/>
      <c r="BS288" s="3"/>
      <c r="BT288" s="3"/>
      <c r="BU288" s="3"/>
      <c r="BV288" s="3"/>
      <c r="BW288" s="3"/>
    </row>
    <row r="289" ht="15.75" customHeight="1">
      <c r="A289" s="3" t="str">
        <f>IFERROR(__xludf.DUMMYFUNCTION("""COMPUTED_VALUE"""),"Mekanian Soldier")</f>
        <v>Mekanian Soldier</v>
      </c>
      <c r="B289" s="3">
        <f>IFERROR(__xludf.DUMMYFUNCTION("""COMPUTED_VALUE"""),1.0)</f>
        <v>1</v>
      </c>
      <c r="C289" s="3"/>
      <c r="D289" s="3" t="str">
        <f>IFERROR(__xludf.DUMMYFUNCTION("""COMPUTED_VALUE"""),"Construct")</f>
        <v>Construct</v>
      </c>
      <c r="E289" s="3">
        <f>IFERROR(__xludf.DUMMYFUNCTION("""COMPUTED_VALUE"""),1010.0)</f>
        <v>1010</v>
      </c>
      <c r="F289" s="12">
        <f>IFERROR(__xludf.DUMMYFUNCTION("""COMPUTED_VALUE"""),1010.0)</f>
        <v>1010</v>
      </c>
      <c r="G289" s="3">
        <f>IFERROR(__xludf.DUMMYFUNCTION("""COMPUTED_VALUE"""),1010.0)</f>
        <v>1010</v>
      </c>
      <c r="H289" s="3">
        <f>IFERROR(__xludf.DUMMYFUNCTION("""COMPUTED_VALUE"""),10.0)</f>
        <v>10</v>
      </c>
      <c r="I289" s="3">
        <f>IFERROR(__xludf.DUMMYFUNCTION("""COMPUTED_VALUE"""),0.0)</f>
        <v>0</v>
      </c>
      <c r="J289" s="3">
        <f>IFERROR(__xludf.DUMMYFUNCTION("""COMPUTED_VALUE"""),0.0)</f>
        <v>0</v>
      </c>
      <c r="K289" s="3">
        <f>IFERROR(__xludf.DUMMYFUNCTION("""COMPUTED_VALUE"""),100.0)</f>
        <v>100</v>
      </c>
      <c r="L289" s="3">
        <f>IFERROR(__xludf.DUMMYFUNCTION("""COMPUTED_VALUE"""),100.0)</f>
        <v>100</v>
      </c>
      <c r="M289" s="3" t="str">
        <f>IFERROR(__xludf.DUMMYFUNCTION("""COMPUTED_VALUE"""),"Fire:Immune, ")</f>
        <v>Fire:Immune, </v>
      </c>
      <c r="N289" s="3" t="str">
        <f>IFERROR(__xludf.DUMMYFUNCTION("""COMPUTED_VALUE"""),"Water:100, Storm:100, ")</f>
        <v>Water:100, Storm:100, </v>
      </c>
      <c r="O289" s="3"/>
      <c r="P289" s="3"/>
      <c r="Q289" s="3"/>
      <c r="R289" s="3"/>
      <c r="S289" s="3"/>
      <c r="T289" s="3"/>
      <c r="U289" s="3"/>
      <c r="V289" s="3"/>
      <c r="W289" s="3" t="str">
        <f>IFERROR(__xludf.DUMMYFUNCTION("""COMPUTED_VALUE"""),"Lazer Infused Railgun")</f>
        <v>Lazer Infused Railgun</v>
      </c>
      <c r="X289" s="3"/>
      <c r="Y289" s="3"/>
      <c r="Z289" s="3"/>
      <c r="AA289" s="3"/>
      <c r="AB289" s="3"/>
      <c r="AC289" s="3"/>
      <c r="AD289" s="3"/>
      <c r="AE289" s="3"/>
      <c r="AF289" s="3"/>
      <c r="AG289" s="3"/>
      <c r="AH289" s="3"/>
      <c r="AI289" s="3"/>
      <c r="AJ289" s="3" t="str">
        <f>IFERROR(__xludf.DUMMYFUNCTION("""COMPUTED_VALUE"""),"Arrest")</f>
        <v>Arrest</v>
      </c>
      <c r="AK289" s="3" t="str">
        <f>IFERROR(__xludf.DUMMYFUNCTION("""COMPUTED_VALUE"""),"Fire Bolt")</f>
        <v>Fire Bolt</v>
      </c>
      <c r="AL289" s="3" t="str">
        <f>IFERROR(__xludf.DUMMYFUNCTION("""COMPUTED_VALUE"""),"Flame Thrower")</f>
        <v>Flame Thrower</v>
      </c>
      <c r="AM289" s="3" t="str">
        <f>IFERROR(__xludf.DUMMYFUNCTION("""COMPUTED_VALUE"""),"Go for the vitals")</f>
        <v>Go for the vitals</v>
      </c>
      <c r="AN289" s="3" t="str">
        <f>IFERROR(__xludf.DUMMYFUNCTION("""COMPUTED_VALUE"""),"Double Strike")</f>
        <v>Double Strike</v>
      </c>
      <c r="AO289" s="3" t="str">
        <f>IFERROR(__xludf.DUMMYFUNCTION("""COMPUTED_VALUE"""),"Berserk")</f>
        <v>Berserk</v>
      </c>
      <c r="AP289" s="3" t="str">
        <f>IFERROR(__xludf.DUMMYFUNCTION("""COMPUTED_VALUE"""),"Overcharge")</f>
        <v>Overcharge</v>
      </c>
      <c r="AQ289" s="3" t="str">
        <f>IFERROR(__xludf.DUMMYFUNCTION("""COMPUTED_VALUE"""),"Recharge")</f>
        <v>Recharge</v>
      </c>
      <c r="AR289" s="3" t="str">
        <f>IFERROR(__xludf.DUMMYFUNCTION("""COMPUTED_VALUE"""),"Cooldown")</f>
        <v>Cooldown</v>
      </c>
      <c r="AS289" s="3"/>
      <c r="AT289" s="3"/>
      <c r="AU289" s="3"/>
      <c r="AV289" s="3"/>
      <c r="AW289" s="3"/>
      <c r="AX289" s="3"/>
      <c r="AY289" s="3"/>
      <c r="AZ289" s="3"/>
      <c r="BA289" s="3"/>
      <c r="BB289" s="3"/>
      <c r="BC289" s="1"/>
      <c r="BD289" s="3">
        <f>IFERROR(__xludf.DUMMYFUNCTION("""COMPUTED_VALUE"""),0.0)</f>
        <v>0</v>
      </c>
      <c r="BE289" s="4">
        <f>IFERROR(__xludf.DUMMYFUNCTION("""COMPUTED_VALUE"""),10.0)</f>
        <v>10</v>
      </c>
      <c r="BF289" s="3" t="str">
        <f>IFERROR(__xludf.DUMMYFUNCTION("""COMPUTED_VALUE"""),"X4 damage towards weapons. ")</f>
        <v>X4 damage towards weapons. </v>
      </c>
      <c r="BG289" s="3" t="str">
        <f>IFERROR(__xludf.DUMMYFUNCTION("""COMPUTED_VALUE"""),"All")</f>
        <v>All</v>
      </c>
      <c r="BH289" s="3" t="str">
        <f>IFERROR(__xludf.DUMMYFUNCTION("""COMPUTED_VALUE"""),"Land of Spira")</f>
        <v>Land of Spira</v>
      </c>
      <c r="BI289" s="3"/>
      <c r="BJ289" s="3"/>
      <c r="BK289" s="3"/>
      <c r="BL289" s="3" t="b">
        <f>IFERROR(__xludf.DUMMYFUNCTION("""COMPUTED_VALUE"""),FALSE)</f>
        <v>0</v>
      </c>
      <c r="BM289" s="3"/>
      <c r="BN289" s="3"/>
      <c r="BO289" s="3"/>
      <c r="BP289" s="3"/>
      <c r="BQ289" s="3"/>
      <c r="BR289" s="3"/>
      <c r="BS289" s="3"/>
      <c r="BT289" s="3"/>
      <c r="BU289" s="3"/>
      <c r="BV289" s="3"/>
      <c r="BW289" s="3"/>
    </row>
    <row r="290" ht="15.75" customHeight="1">
      <c r="A290" s="3" t="str">
        <f>IFERROR(__xludf.DUMMYFUNCTION("""COMPUTED_VALUE"""),"Mekanian Knight")</f>
        <v>Mekanian Knight</v>
      </c>
      <c r="B290" s="3">
        <f>IFERROR(__xludf.DUMMYFUNCTION("""COMPUTED_VALUE"""),1.0)</f>
        <v>1</v>
      </c>
      <c r="C290" s="3"/>
      <c r="D290" s="3" t="str">
        <f>IFERROR(__xludf.DUMMYFUNCTION("""COMPUTED_VALUE"""),"Construct")</f>
        <v>Construct</v>
      </c>
      <c r="E290" s="3">
        <f>IFERROR(__xludf.DUMMYFUNCTION("""COMPUTED_VALUE"""),1010.0)</f>
        <v>1010</v>
      </c>
      <c r="F290" s="12">
        <f>IFERROR(__xludf.DUMMYFUNCTION("""COMPUTED_VALUE"""),1010.0)</f>
        <v>1010</v>
      </c>
      <c r="G290" s="3">
        <f>IFERROR(__xludf.DUMMYFUNCTION("""COMPUTED_VALUE"""),1010.0)</f>
        <v>1010</v>
      </c>
      <c r="H290" s="3">
        <f>IFERROR(__xludf.DUMMYFUNCTION("""COMPUTED_VALUE"""),10.0)</f>
        <v>10</v>
      </c>
      <c r="I290" s="3">
        <f>IFERROR(__xludf.DUMMYFUNCTION("""COMPUTED_VALUE"""),0.0)</f>
        <v>0</v>
      </c>
      <c r="J290" s="3">
        <f>IFERROR(__xludf.DUMMYFUNCTION("""COMPUTED_VALUE"""),0.0)</f>
        <v>0</v>
      </c>
      <c r="K290" s="3">
        <f>IFERROR(__xludf.DUMMYFUNCTION("""COMPUTED_VALUE"""),100.0)</f>
        <v>100</v>
      </c>
      <c r="L290" s="3">
        <f>IFERROR(__xludf.DUMMYFUNCTION("""COMPUTED_VALUE"""),100.0)</f>
        <v>100</v>
      </c>
      <c r="M290" s="3" t="str">
        <f>IFERROR(__xludf.DUMMYFUNCTION("""COMPUTED_VALUE"""),"Storm:Immune, Spirit:Immune, Blood:Immune, Instant Death:Immune, ")</f>
        <v>Storm:Immune, Spirit:Immune, Blood:Immune, Instant Death:Immune, </v>
      </c>
      <c r="N290" s="3" t="str">
        <f>IFERROR(__xludf.DUMMYFUNCTION("""COMPUTED_VALUE"""),"Fire:100, Water:100, Nature:100, ")</f>
        <v>Fire:100, Water:100, Nature:100, </v>
      </c>
      <c r="O290" s="3"/>
      <c r="P290" s="3"/>
      <c r="Q290" s="3"/>
      <c r="R290" s="3"/>
      <c r="S290" s="3"/>
      <c r="T290" s="3"/>
      <c r="U290" s="3"/>
      <c r="V290" s="3"/>
      <c r="W290" s="3" t="str">
        <f>IFERROR(__xludf.DUMMYFUNCTION("""COMPUTED_VALUE"""),"Lazer Infused Railgun")</f>
        <v>Lazer Infused Railgun</v>
      </c>
      <c r="X290" s="3"/>
      <c r="Y290" s="3"/>
      <c r="Z290" s="3"/>
      <c r="AA290" s="3"/>
      <c r="AB290" s="3"/>
      <c r="AC290" s="3"/>
      <c r="AD290" s="3"/>
      <c r="AE290" s="3"/>
      <c r="AF290" s="3"/>
      <c r="AG290" s="3"/>
      <c r="AH290" s="3"/>
      <c r="AI290" s="3"/>
      <c r="AJ290" s="3" t="str">
        <f>IFERROR(__xludf.DUMMYFUNCTION("""COMPUTED_VALUE"""),"Arrest")</f>
        <v>Arrest</v>
      </c>
      <c r="AK290" s="3" t="str">
        <f>IFERROR(__xludf.DUMMYFUNCTION("""COMPUTED_VALUE"""),"Fire Bolt")</f>
        <v>Fire Bolt</v>
      </c>
      <c r="AL290" s="3" t="str">
        <f>IFERROR(__xludf.DUMMYFUNCTION("""COMPUTED_VALUE"""),"Flame Thrower")</f>
        <v>Flame Thrower</v>
      </c>
      <c r="AM290" s="3" t="str">
        <f>IFERROR(__xludf.DUMMYFUNCTION("""COMPUTED_VALUE"""),"Go for the vitals")</f>
        <v>Go for the vitals</v>
      </c>
      <c r="AN290" s="3" t="str">
        <f>IFERROR(__xludf.DUMMYFUNCTION("""COMPUTED_VALUE"""),"Double Strike")</f>
        <v>Double Strike</v>
      </c>
      <c r="AO290" s="3" t="str">
        <f>IFERROR(__xludf.DUMMYFUNCTION("""COMPUTED_VALUE"""),"Berserk")</f>
        <v>Berserk</v>
      </c>
      <c r="AP290" s="3" t="str">
        <f>IFERROR(__xludf.DUMMYFUNCTION("""COMPUTED_VALUE"""),"Celestial Wave")</f>
        <v>Celestial Wave</v>
      </c>
      <c r="AQ290" s="3" t="str">
        <f>IFERROR(__xludf.DUMMYFUNCTION("""COMPUTED_VALUE"""),"Overcharge")</f>
        <v>Overcharge</v>
      </c>
      <c r="AR290" s="3" t="str">
        <f>IFERROR(__xludf.DUMMYFUNCTION("""COMPUTED_VALUE"""),"Recharge")</f>
        <v>Recharge</v>
      </c>
      <c r="AS290" s="3" t="str">
        <f>IFERROR(__xludf.DUMMYFUNCTION("""COMPUTED_VALUE"""),"Cooldown")</f>
        <v>Cooldown</v>
      </c>
      <c r="AT290" s="3"/>
      <c r="AU290" s="3"/>
      <c r="AV290" s="3"/>
      <c r="AW290" s="3"/>
      <c r="AX290" s="3"/>
      <c r="AY290" s="3"/>
      <c r="AZ290" s="3"/>
      <c r="BA290" s="3"/>
      <c r="BB290" s="3"/>
      <c r="BC290" s="1"/>
      <c r="BD290" s="3">
        <f>IFERROR(__xludf.DUMMYFUNCTION("""COMPUTED_VALUE"""),0.0)</f>
        <v>0</v>
      </c>
      <c r="BE290" s="4">
        <f>IFERROR(__xludf.DUMMYFUNCTION("""COMPUTED_VALUE"""),10.0)</f>
        <v>10</v>
      </c>
      <c r="BF290" s="3" t="str">
        <f>IFERROR(__xludf.DUMMYFUNCTION("""COMPUTED_VALUE"""),"X6 damage towards weapons. ")</f>
        <v>X6 damage towards weapons. </v>
      </c>
      <c r="BG290" s="3" t="str">
        <f>IFERROR(__xludf.DUMMYFUNCTION("""COMPUTED_VALUE"""),"All")</f>
        <v>All</v>
      </c>
      <c r="BH290" s="3" t="str">
        <f>IFERROR(__xludf.DUMMYFUNCTION("""COMPUTED_VALUE"""),"Land of Spira")</f>
        <v>Land of Spira</v>
      </c>
      <c r="BI290" s="3"/>
      <c r="BJ290" s="3"/>
      <c r="BK290" s="3"/>
      <c r="BL290" s="3" t="b">
        <f>IFERROR(__xludf.DUMMYFUNCTION("""COMPUTED_VALUE"""),FALSE)</f>
        <v>0</v>
      </c>
      <c r="BM290" s="3"/>
      <c r="BN290" s="3"/>
      <c r="BO290" s="3"/>
      <c r="BP290" s="3"/>
      <c r="BQ290" s="3"/>
      <c r="BR290" s="3"/>
      <c r="BS290" s="3"/>
      <c r="BT290" s="3"/>
      <c r="BU290" s="3"/>
      <c r="BV290" s="3"/>
      <c r="BW290" s="3"/>
    </row>
    <row r="291" ht="15.75" customHeight="1">
      <c r="A291" s="3" t="str">
        <f>IFERROR(__xludf.DUMMYFUNCTION("""COMPUTED_VALUE"""),"Mekanian ")</f>
        <v>Mekanian </v>
      </c>
      <c r="B291" s="3">
        <f>IFERROR(__xludf.DUMMYFUNCTION("""COMPUTED_VALUE"""),1.0)</f>
        <v>1</v>
      </c>
      <c r="C291" s="3"/>
      <c r="D291" s="3" t="str">
        <f>IFERROR(__xludf.DUMMYFUNCTION("""COMPUTED_VALUE"""),"Construct")</f>
        <v>Construct</v>
      </c>
      <c r="E291" s="3">
        <f>IFERROR(__xludf.DUMMYFUNCTION("""COMPUTED_VALUE"""),1010.0)</f>
        <v>1010</v>
      </c>
      <c r="F291" s="12">
        <f>IFERROR(__xludf.DUMMYFUNCTION("""COMPUTED_VALUE"""),1010.0)</f>
        <v>1010</v>
      </c>
      <c r="G291" s="3">
        <f>IFERROR(__xludf.DUMMYFUNCTION("""COMPUTED_VALUE"""),1010.0)</f>
        <v>1010</v>
      </c>
      <c r="H291" s="3">
        <f>IFERROR(__xludf.DUMMYFUNCTION("""COMPUTED_VALUE"""),10.0)</f>
        <v>10</v>
      </c>
      <c r="I291" s="3">
        <f>IFERROR(__xludf.DUMMYFUNCTION("""COMPUTED_VALUE"""),0.0)</f>
        <v>0</v>
      </c>
      <c r="J291" s="3">
        <f>IFERROR(__xludf.DUMMYFUNCTION("""COMPUTED_VALUE"""),0.0)</f>
        <v>0</v>
      </c>
      <c r="K291" s="3">
        <f>IFERROR(__xludf.DUMMYFUNCTION("""COMPUTED_VALUE"""),100.0)</f>
        <v>100</v>
      </c>
      <c r="L291" s="3">
        <f>IFERROR(__xludf.DUMMYFUNCTION("""COMPUTED_VALUE"""),100.0)</f>
        <v>100</v>
      </c>
      <c r="M291" s="3" t="str">
        <f>IFERROR(__xludf.DUMMYFUNCTION("""COMPUTED_VALUE"""),"Fire:Immune, ")</f>
        <v>Fire:Immune, </v>
      </c>
      <c r="N291" s="3" t="str">
        <f>IFERROR(__xludf.DUMMYFUNCTION("""COMPUTED_VALUE"""),"Water:100, Storm:100, ")</f>
        <v>Water:100, Storm:100, </v>
      </c>
      <c r="O291" s="3"/>
      <c r="P291" s="3"/>
      <c r="Q291" s="3"/>
      <c r="R291" s="3"/>
      <c r="S291" s="3"/>
      <c r="T291" s="3"/>
      <c r="U291" s="3"/>
      <c r="V291" s="3"/>
      <c r="W291" s="3" t="str">
        <f>IFERROR(__xludf.DUMMYFUNCTION("""COMPUTED_VALUE"""),"Lazer Infused Sword")</f>
        <v>Lazer Infused Sword</v>
      </c>
      <c r="X291" s="3"/>
      <c r="Y291" s="3"/>
      <c r="Z291" s="3"/>
      <c r="AA291" s="3"/>
      <c r="AB291" s="3"/>
      <c r="AC291" s="3"/>
      <c r="AD291" s="3"/>
      <c r="AE291" s="3"/>
      <c r="AF291" s="3"/>
      <c r="AG291" s="3"/>
      <c r="AH291" s="3"/>
      <c r="AI291" s="3"/>
      <c r="AJ291" s="3" t="str">
        <f>IFERROR(__xludf.DUMMYFUNCTION("""COMPUTED_VALUE"""),"Fire Bolt")</f>
        <v>Fire Bolt</v>
      </c>
      <c r="AK291" s="3" t="str">
        <f>IFERROR(__xludf.DUMMYFUNCTION("""COMPUTED_VALUE"""),"Flame Thrower")</f>
        <v>Flame Thrower</v>
      </c>
      <c r="AL291" s="3" t="str">
        <f>IFERROR(__xludf.DUMMYFUNCTION("""COMPUTED_VALUE"""),"Go for the vitals")</f>
        <v>Go for the vitals</v>
      </c>
      <c r="AM291" s="3" t="str">
        <f>IFERROR(__xludf.DUMMYFUNCTION("""COMPUTED_VALUE"""),"Double Strike")</f>
        <v>Double Strike</v>
      </c>
      <c r="AN291" s="3" t="str">
        <f>IFERROR(__xludf.DUMMYFUNCTION("""COMPUTED_VALUE"""),"Berserk")</f>
        <v>Berserk</v>
      </c>
      <c r="AO291" s="3" t="str">
        <f>IFERROR(__xludf.DUMMYFUNCTION("""COMPUTED_VALUE"""),"Overcharge")</f>
        <v>Overcharge</v>
      </c>
      <c r="AP291" s="3" t="str">
        <f>IFERROR(__xludf.DUMMYFUNCTION("""COMPUTED_VALUE"""),"Recharge")</f>
        <v>Recharge</v>
      </c>
      <c r="AQ291" s="3" t="str">
        <f>IFERROR(__xludf.DUMMYFUNCTION("""COMPUTED_VALUE"""),"Cooldown")</f>
        <v>Cooldown</v>
      </c>
      <c r="AR291" s="3"/>
      <c r="AS291" s="3"/>
      <c r="AT291" s="3"/>
      <c r="AU291" s="3"/>
      <c r="AV291" s="3"/>
      <c r="AW291" s="3"/>
      <c r="AX291" s="3"/>
      <c r="AY291" s="3"/>
      <c r="AZ291" s="3"/>
      <c r="BA291" s="3"/>
      <c r="BB291" s="3"/>
      <c r="BC291" s="1"/>
      <c r="BD291" s="3">
        <f>IFERROR(__xludf.DUMMYFUNCTION("""COMPUTED_VALUE"""),0.0)</f>
        <v>0</v>
      </c>
      <c r="BE291" s="4">
        <f>IFERROR(__xludf.DUMMYFUNCTION("""COMPUTED_VALUE"""),10.0)</f>
        <v>10</v>
      </c>
      <c r="BF291" s="3" t="str">
        <f>IFERROR(__xludf.DUMMYFUNCTION("""COMPUTED_VALUE"""),"X2 damage towards weapons. ")</f>
        <v>X2 damage towards weapons. </v>
      </c>
      <c r="BG291" s="3" t="str">
        <f>IFERROR(__xludf.DUMMYFUNCTION("""COMPUTED_VALUE"""),"All")</f>
        <v>All</v>
      </c>
      <c r="BH291" s="3" t="str">
        <f>IFERROR(__xludf.DUMMYFUNCTION("""COMPUTED_VALUE"""),"Land of Spira")</f>
        <v>Land of Spira</v>
      </c>
      <c r="BI291" s="3"/>
      <c r="BJ291" s="3"/>
      <c r="BK291" s="3"/>
      <c r="BL291" s="3" t="b">
        <f>IFERROR(__xludf.DUMMYFUNCTION("""COMPUTED_VALUE"""),FALSE)</f>
        <v>0</v>
      </c>
      <c r="BM291" s="3"/>
      <c r="BN291" s="3"/>
      <c r="BO291" s="3"/>
      <c r="BP291" s="3"/>
      <c r="BQ291" s="3"/>
      <c r="BR291" s="3"/>
      <c r="BS291" s="3"/>
      <c r="BT291" s="3"/>
      <c r="BU291" s="3"/>
      <c r="BV291" s="3"/>
      <c r="BW291" s="3"/>
    </row>
    <row r="292" ht="15.75" customHeight="1">
      <c r="A292" s="3" t="str">
        <f>IFERROR(__xludf.DUMMYFUNCTION("""COMPUTED_VALUE"""),"Water Elemental")</f>
        <v>Water Elemental</v>
      </c>
      <c r="B292" s="3">
        <f>IFERROR(__xludf.DUMMYFUNCTION("""COMPUTED_VALUE"""),1.0)</f>
        <v>1</v>
      </c>
      <c r="C292" s="3"/>
      <c r="D292" s="3" t="str">
        <f>IFERROR(__xludf.DUMMYFUNCTION("""COMPUTED_VALUE"""),"Spirit")</f>
        <v>Spirit</v>
      </c>
      <c r="E292" s="3">
        <f>IFERROR(__xludf.DUMMYFUNCTION("""COMPUTED_VALUE"""),1010.0)</f>
        <v>1010</v>
      </c>
      <c r="F292" s="12">
        <f>IFERROR(__xludf.DUMMYFUNCTION("""COMPUTED_VALUE"""),1010.0)</f>
        <v>1010</v>
      </c>
      <c r="G292" s="3">
        <f>IFERROR(__xludf.DUMMYFUNCTION("""COMPUTED_VALUE"""),1010.0)</f>
        <v>1010</v>
      </c>
      <c r="H292" s="3">
        <f>IFERROR(__xludf.DUMMYFUNCTION("""COMPUTED_VALUE"""),10.0)</f>
        <v>10</v>
      </c>
      <c r="I292" s="3">
        <f>IFERROR(__xludf.DUMMYFUNCTION("""COMPUTED_VALUE"""),0.0)</f>
        <v>0</v>
      </c>
      <c r="J292" s="3">
        <f>IFERROR(__xludf.DUMMYFUNCTION("""COMPUTED_VALUE"""),0.0)</f>
        <v>0</v>
      </c>
      <c r="K292" s="3">
        <f>IFERROR(__xludf.DUMMYFUNCTION("""COMPUTED_VALUE"""),100.0)</f>
        <v>100</v>
      </c>
      <c r="L292" s="3">
        <f>IFERROR(__xludf.DUMMYFUNCTION("""COMPUTED_VALUE"""),100.0)</f>
        <v>100</v>
      </c>
      <c r="M292" s="3" t="str">
        <f>IFERROR(__xludf.DUMMYFUNCTION("""COMPUTED_VALUE"""),"Fire:100, Water:Immune, Blood:Immune, Instant Death:Immune, ")</f>
        <v>Fire:100, Water:Immune, Blood:Immune, Instant Death:Immune, </v>
      </c>
      <c r="N292" s="3" t="str">
        <f>IFERROR(__xludf.DUMMYFUNCTION("""COMPUTED_VALUE"""),"Nature:100, ")</f>
        <v>Nature:100, </v>
      </c>
      <c r="O292" s="3"/>
      <c r="P292" s="3"/>
      <c r="Q292" s="3"/>
      <c r="R292" s="3"/>
      <c r="S292" s="3"/>
      <c r="T292" s="3"/>
      <c r="U292" s="3"/>
      <c r="V292" s="3"/>
      <c r="W292" s="3"/>
      <c r="X292" s="3"/>
      <c r="Y292" s="3"/>
      <c r="Z292" s="3"/>
      <c r="AA292" s="3"/>
      <c r="AB292" s="3"/>
      <c r="AC292" s="3"/>
      <c r="AD292" s="3"/>
      <c r="AE292" s="3"/>
      <c r="AF292" s="3"/>
      <c r="AG292" s="3"/>
      <c r="AH292" s="3"/>
      <c r="AI292" s="3"/>
      <c r="AJ292" s="3" t="str">
        <f>IFERROR(__xludf.DUMMYFUNCTION("""COMPUTED_VALUE"""),"Freezing Fog")</f>
        <v>Freezing Fog</v>
      </c>
      <c r="AK292" s="3" t="str">
        <f>IFERROR(__xludf.DUMMYFUNCTION("""COMPUTED_VALUE"""),"Crashing Waves (Enhanced)")</f>
        <v>Crashing Waves (Enhanced)</v>
      </c>
      <c r="AL292" s="3" t="str">
        <f>IFERROR(__xludf.DUMMYFUNCTION("""COMPUTED_VALUE"""),"Torrential Downpour")</f>
        <v>Torrential Downpour</v>
      </c>
      <c r="AM292" s="3" t="str">
        <f>IFERROR(__xludf.DUMMYFUNCTION("""COMPUTED_VALUE"""),"Rain Storm")</f>
        <v>Rain Storm</v>
      </c>
      <c r="AN292" s="3" t="str">
        <f>IFERROR(__xludf.DUMMYFUNCTION("""COMPUTED_VALUE"""),"Stun Wave")</f>
        <v>Stun Wave</v>
      </c>
      <c r="AO292" s="3" t="str">
        <f>IFERROR(__xludf.DUMMYFUNCTION("""COMPUTED_VALUE"""),"Mass Destruction")</f>
        <v>Mass Destruction</v>
      </c>
      <c r="AP292" s="3"/>
      <c r="AQ292" s="3"/>
      <c r="AR292" s="3"/>
      <c r="AS292" s="3"/>
      <c r="AT292" s="3"/>
      <c r="AU292" s="3"/>
      <c r="AV292" s="3"/>
      <c r="AW292" s="3"/>
      <c r="AX292" s="3"/>
      <c r="AY292" s="3"/>
      <c r="AZ292" s="3"/>
      <c r="BA292" s="3"/>
      <c r="BB292" s="3"/>
      <c r="BC292" s="1"/>
      <c r="BD292" s="3">
        <f>IFERROR(__xludf.DUMMYFUNCTION("""COMPUTED_VALUE"""),0.0)</f>
        <v>0</v>
      </c>
      <c r="BE292" s="4">
        <f>IFERROR(__xludf.DUMMYFUNCTION("""COMPUTED_VALUE"""),10.0)</f>
        <v>10</v>
      </c>
      <c r="BF292" s="3" t="str">
        <f>IFERROR(__xludf.DUMMYFUNCTION("""COMPUTED_VALUE"""),"Water Gun: Water damage dealt by this mob gives sp back to this mob equal to the damage dealt.
Water Elemental: X6 additional Water Damage.
")</f>
        <v>Water Gun: Water damage dealt by this mob gives sp back to this mob equal to the damage dealt.
Water Elemental: X6 additional Water Damage.
</v>
      </c>
      <c r="BG292" s="3" t="str">
        <f>IFERROR(__xludf.DUMMYFUNCTION("""COMPUTED_VALUE"""),"All")</f>
        <v>All</v>
      </c>
      <c r="BH292" s="3" t="str">
        <f>IFERROR(__xludf.DUMMYFUNCTION("""COMPUTED_VALUE"""),"Dragonscale Island")</f>
        <v>Dragonscale Island</v>
      </c>
      <c r="BI292" s="3"/>
      <c r="BJ292" s="3"/>
      <c r="BK292" s="3"/>
      <c r="BL292" s="3" t="b">
        <f>IFERROR(__xludf.DUMMYFUNCTION("""COMPUTED_VALUE"""),FALSE)</f>
        <v>0</v>
      </c>
      <c r="BM292" s="3"/>
      <c r="BN292" s="3"/>
      <c r="BO292" s="3"/>
      <c r="BP292" s="3"/>
      <c r="BQ292" s="3"/>
      <c r="BR292" s="3"/>
      <c r="BS292" s="3"/>
      <c r="BT292" s="3"/>
      <c r="BU292" s="3"/>
      <c r="BV292" s="3"/>
      <c r="BW292" s="3"/>
    </row>
    <row r="293" ht="15.75" customHeight="1">
      <c r="A293" s="3" t="str">
        <f>IFERROR(__xludf.DUMMYFUNCTION("""COMPUTED_VALUE"""),"Armored Car")</f>
        <v>Armored Car</v>
      </c>
      <c r="B293" s="3">
        <f>IFERROR(__xludf.DUMMYFUNCTION("""COMPUTED_VALUE"""),1.0)</f>
        <v>1</v>
      </c>
      <c r="C293" s="3"/>
      <c r="D293" s="3" t="str">
        <f>IFERROR(__xludf.DUMMYFUNCTION("""COMPUTED_VALUE"""),"Construct")</f>
        <v>Construct</v>
      </c>
      <c r="E293" s="3">
        <f>IFERROR(__xludf.DUMMYFUNCTION("""COMPUTED_VALUE"""),1010.0)</f>
        <v>1010</v>
      </c>
      <c r="F293" s="12">
        <f>IFERROR(__xludf.DUMMYFUNCTION("""COMPUTED_VALUE"""),1010.0)</f>
        <v>1010</v>
      </c>
      <c r="G293" s="3">
        <f>IFERROR(__xludf.DUMMYFUNCTION("""COMPUTED_VALUE"""),1010.0)</f>
        <v>1010</v>
      </c>
      <c r="H293" s="3">
        <f>IFERROR(__xludf.DUMMYFUNCTION("""COMPUTED_VALUE"""),10.0)</f>
        <v>10</v>
      </c>
      <c r="I293" s="3">
        <f>IFERROR(__xludf.DUMMYFUNCTION("""COMPUTED_VALUE"""),0.0)</f>
        <v>0</v>
      </c>
      <c r="J293" s="3">
        <f>IFERROR(__xludf.DUMMYFUNCTION("""COMPUTED_VALUE"""),0.0)</f>
        <v>0</v>
      </c>
      <c r="K293" s="3">
        <f>IFERROR(__xludf.DUMMYFUNCTION("""COMPUTED_VALUE"""),100.0)</f>
        <v>100</v>
      </c>
      <c r="L293" s="3">
        <f>IFERROR(__xludf.DUMMYFUNCTION("""COMPUTED_VALUE"""),100.0)</f>
        <v>100</v>
      </c>
      <c r="M293" s="3" t="str">
        <f>IFERROR(__xludf.DUMMYFUNCTION("""COMPUTED_VALUE"""),"Natural:Immune, ")</f>
        <v>Natural:Immune, </v>
      </c>
      <c r="N293" s="3" t="str">
        <f>IFERROR(__xludf.DUMMYFUNCTION("""COMPUTED_VALUE"""),"Spirit:100, ")</f>
        <v>Spirit:100, </v>
      </c>
      <c r="O293" s="3" t="str">
        <f>IFERROR(__xludf.DUMMYFUNCTION("""COMPUTED_VALUE"""),"Roof Mounted Turret")</f>
        <v>Roof Mounted Turret</v>
      </c>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1"/>
      <c r="BD293" s="3">
        <f>IFERROR(__xludf.DUMMYFUNCTION("""COMPUTED_VALUE"""),0.0)</f>
        <v>0</v>
      </c>
      <c r="BE293" s="4">
        <f>IFERROR(__xludf.DUMMYFUNCTION("""COMPUTED_VALUE"""),10.0)</f>
        <v>10</v>
      </c>
      <c r="BF293" s="3" t="str">
        <f>IFERROR(__xludf.DUMMYFUNCTION("""COMPUTED_VALUE"""),"Bullet Proof: Immune to Bullets
Energy Savior II: Deduct d20 days from your current journey.
Up to 5 party members can travel in this mount.")</f>
        <v>Bullet Proof: Immune to Bullets
Energy Savior II: Deduct d20 days from your current journey.
Up to 5 party members can travel in this mount.</v>
      </c>
      <c r="BG293" s="3" t="str">
        <f>IFERROR(__xludf.DUMMYFUNCTION("""COMPUTED_VALUE"""),"All")</f>
        <v>All</v>
      </c>
      <c r="BH293" s="3" t="str">
        <f>IFERROR(__xludf.DUMMYFUNCTION("""COMPUTED_VALUE"""),"Land of Spira")</f>
        <v>Land of Spira</v>
      </c>
      <c r="BI293" s="3"/>
      <c r="BJ293" s="3"/>
      <c r="BK293" s="3">
        <f>IFERROR(__xludf.DUMMYFUNCTION("""COMPUTED_VALUE"""),1000.0)</f>
        <v>1000</v>
      </c>
      <c r="BL293" s="3" t="b">
        <f>IFERROR(__xludf.DUMMYFUNCTION("""COMPUTED_VALUE"""),TRUE)</f>
        <v>1</v>
      </c>
      <c r="BM293" s="3" t="str">
        <f>IFERROR(__xludf.DUMMYFUNCTION("""COMPUTED_VALUE"""),"Car")</f>
        <v>Car</v>
      </c>
      <c r="BN293" s="3"/>
      <c r="BO293" s="3"/>
      <c r="BP293" s="3"/>
      <c r="BQ293" s="3"/>
      <c r="BR293" s="3"/>
      <c r="BS293" s="3"/>
      <c r="BT293" s="3"/>
      <c r="BU293" s="3"/>
      <c r="BV293" s="3"/>
      <c r="BW293" s="3"/>
    </row>
    <row r="294" ht="15.75" customHeight="1">
      <c r="A294" s="3" t="str">
        <f>IFERROR(__xludf.DUMMYFUNCTION("""COMPUTED_VALUE"""),"Tank")</f>
        <v>Tank</v>
      </c>
      <c r="B294" s="3">
        <f>IFERROR(__xludf.DUMMYFUNCTION("""COMPUTED_VALUE"""),1.0)</f>
        <v>1</v>
      </c>
      <c r="C294" s="3"/>
      <c r="D294" s="3" t="str">
        <f>IFERROR(__xludf.DUMMYFUNCTION("""COMPUTED_VALUE"""),"Construct")</f>
        <v>Construct</v>
      </c>
      <c r="E294" s="3">
        <f>IFERROR(__xludf.DUMMYFUNCTION("""COMPUTED_VALUE"""),1010.0)</f>
        <v>1010</v>
      </c>
      <c r="F294" s="12">
        <f>IFERROR(__xludf.DUMMYFUNCTION("""COMPUTED_VALUE"""),1010.0)</f>
        <v>1010</v>
      </c>
      <c r="G294" s="3">
        <f>IFERROR(__xludf.DUMMYFUNCTION("""COMPUTED_VALUE"""),1010.0)</f>
        <v>1010</v>
      </c>
      <c r="H294" s="3">
        <f>IFERROR(__xludf.DUMMYFUNCTION("""COMPUTED_VALUE"""),10.0)</f>
        <v>10</v>
      </c>
      <c r="I294" s="3">
        <f>IFERROR(__xludf.DUMMYFUNCTION("""COMPUTED_VALUE"""),0.0)</f>
        <v>0</v>
      </c>
      <c r="J294" s="3">
        <f>IFERROR(__xludf.DUMMYFUNCTION("""COMPUTED_VALUE"""),0.0)</f>
        <v>0</v>
      </c>
      <c r="K294" s="3">
        <f>IFERROR(__xludf.DUMMYFUNCTION("""COMPUTED_VALUE"""),100.0)</f>
        <v>100</v>
      </c>
      <c r="L294" s="3">
        <f>IFERROR(__xludf.DUMMYFUNCTION("""COMPUTED_VALUE"""),100.0)</f>
        <v>100</v>
      </c>
      <c r="M294" s="3" t="str">
        <f>IFERROR(__xludf.DUMMYFUNCTION("""COMPUTED_VALUE"""),"Natural:Immune, ")</f>
        <v>Natural:Immune, </v>
      </c>
      <c r="N294" s="3" t="str">
        <f>IFERROR(__xludf.DUMMYFUNCTION("""COMPUTED_VALUE"""),"Spirit:100, ")</f>
        <v>Spirit:100, </v>
      </c>
      <c r="O294" s="3" t="str">
        <f>IFERROR(__xludf.DUMMYFUNCTION("""COMPUTED_VALUE"""),"Missile Turret (car)")</f>
        <v>Missile Turret (car)</v>
      </c>
      <c r="P294" s="3"/>
      <c r="Q294" s="3"/>
      <c r="R294" s="3"/>
      <c r="S294" s="3"/>
      <c r="T294" s="3"/>
      <c r="U294" s="3"/>
      <c r="V294" s="3"/>
      <c r="W294" s="3"/>
      <c r="X294" s="3"/>
      <c r="Y294" s="3"/>
      <c r="Z294" s="3"/>
      <c r="AA294" s="3"/>
      <c r="AB294" s="3"/>
      <c r="AC294" s="3"/>
      <c r="AD294" s="3"/>
      <c r="AE294" s="3"/>
      <c r="AF294" s="3"/>
      <c r="AG294" s="3"/>
      <c r="AH294" s="3"/>
      <c r="AI294" s="3"/>
      <c r="AJ294" s="3" t="str">
        <f>IFERROR(__xludf.DUMMYFUNCTION("""COMPUTED_VALUE"""),"Vehicular Ward")</f>
        <v>Vehicular Ward</v>
      </c>
      <c r="AK294" s="3"/>
      <c r="AL294" s="3"/>
      <c r="AM294" s="3"/>
      <c r="AN294" s="3"/>
      <c r="AO294" s="3"/>
      <c r="AP294" s="3"/>
      <c r="AQ294" s="3"/>
      <c r="AR294" s="3"/>
      <c r="AS294" s="3"/>
      <c r="AT294" s="3"/>
      <c r="AU294" s="3"/>
      <c r="AV294" s="3"/>
      <c r="AW294" s="3"/>
      <c r="AX294" s="3"/>
      <c r="AY294" s="3"/>
      <c r="AZ294" s="3"/>
      <c r="BA294" s="3"/>
      <c r="BB294" s="3"/>
      <c r="BC294" s="1"/>
      <c r="BD294" s="3">
        <f>IFERROR(__xludf.DUMMYFUNCTION("""COMPUTED_VALUE"""),0.0)</f>
        <v>0</v>
      </c>
      <c r="BE294" s="4">
        <f>IFERROR(__xludf.DUMMYFUNCTION("""COMPUTED_VALUE"""),10.0)</f>
        <v>10</v>
      </c>
      <c r="BF294" s="3" t="str">
        <f>IFERROR(__xludf.DUMMYFUNCTION("""COMPUTED_VALUE"""),"Energy Savior I: Deduct d10 days from your current journey.
Up to 3 party members can travel in this mount.")</f>
        <v>Energy Savior I: Deduct d10 days from your current journey.
Up to 3 party members can travel in this mount.</v>
      </c>
      <c r="BG294" s="3" t="str">
        <f>IFERROR(__xludf.DUMMYFUNCTION("""COMPUTED_VALUE"""),"All")</f>
        <v>All</v>
      </c>
      <c r="BH294" s="3" t="str">
        <f>IFERROR(__xludf.DUMMYFUNCTION("""COMPUTED_VALUE"""),"Land of Spira")</f>
        <v>Land of Spira</v>
      </c>
      <c r="BI294" s="3"/>
      <c r="BJ294" s="3"/>
      <c r="BK294" s="3">
        <f>IFERROR(__xludf.DUMMYFUNCTION("""COMPUTED_VALUE"""),500.0)</f>
        <v>500</v>
      </c>
      <c r="BL294" s="3" t="b">
        <f>IFERROR(__xludf.DUMMYFUNCTION("""COMPUTED_VALUE"""),TRUE)</f>
        <v>1</v>
      </c>
      <c r="BM294" s="3" t="str">
        <f>IFERROR(__xludf.DUMMYFUNCTION("""COMPUTED_VALUE"""),"Car")</f>
        <v>Car</v>
      </c>
      <c r="BN294" s="3"/>
      <c r="BO294" s="3"/>
      <c r="BP294" s="3"/>
      <c r="BQ294" s="3"/>
      <c r="BR294" s="3"/>
      <c r="BS294" s="3"/>
      <c r="BT294" s="3"/>
      <c r="BU294" s="3"/>
      <c r="BV294" s="3"/>
      <c r="BW294" s="3"/>
    </row>
    <row r="295" ht="15.75" customHeight="1">
      <c r="A295" s="3" t="str">
        <f>IFERROR(__xludf.DUMMYFUNCTION("""COMPUTED_VALUE"""),"ATV")</f>
        <v>ATV</v>
      </c>
      <c r="B295" s="3">
        <f>IFERROR(__xludf.DUMMYFUNCTION("""COMPUTED_VALUE"""),1.0)</f>
        <v>1</v>
      </c>
      <c r="C295" s="3"/>
      <c r="D295" s="3" t="str">
        <f>IFERROR(__xludf.DUMMYFUNCTION("""COMPUTED_VALUE"""),"Construct")</f>
        <v>Construct</v>
      </c>
      <c r="E295" s="3">
        <f>IFERROR(__xludf.DUMMYFUNCTION("""COMPUTED_VALUE"""),1010.0)</f>
        <v>1010</v>
      </c>
      <c r="F295" s="12">
        <f>IFERROR(__xludf.DUMMYFUNCTION("""COMPUTED_VALUE"""),1010.0)</f>
        <v>1010</v>
      </c>
      <c r="G295" s="3">
        <f>IFERROR(__xludf.DUMMYFUNCTION("""COMPUTED_VALUE"""),1010.0)</f>
        <v>1010</v>
      </c>
      <c r="H295" s="3">
        <f>IFERROR(__xludf.DUMMYFUNCTION("""COMPUTED_VALUE"""),10.0)</f>
        <v>10</v>
      </c>
      <c r="I295" s="3">
        <f>IFERROR(__xludf.DUMMYFUNCTION("""COMPUTED_VALUE"""),0.0)</f>
        <v>0</v>
      </c>
      <c r="J295" s="3">
        <f>IFERROR(__xludf.DUMMYFUNCTION("""COMPUTED_VALUE"""),0.0)</f>
        <v>0</v>
      </c>
      <c r="K295" s="3">
        <f>IFERROR(__xludf.DUMMYFUNCTION("""COMPUTED_VALUE"""),100.0)</f>
        <v>100</v>
      </c>
      <c r="L295" s="3">
        <f>IFERROR(__xludf.DUMMYFUNCTION("""COMPUTED_VALUE"""),100.0)</f>
        <v>100</v>
      </c>
      <c r="M295" s="3" t="str">
        <f>IFERROR(__xludf.DUMMYFUNCTION("""COMPUTED_VALUE"""),"Natural:Immune, ")</f>
        <v>Natural:Immune, </v>
      </c>
      <c r="N295" s="3" t="str">
        <f>IFERROR(__xludf.DUMMYFUNCTION("""COMPUTED_VALUE"""),"Spirit:100, ")</f>
        <v>Spirit:100, </v>
      </c>
      <c r="O295" s="3"/>
      <c r="P295" s="3"/>
      <c r="Q295" s="3"/>
      <c r="R295" s="3"/>
      <c r="S295" s="3"/>
      <c r="T295" s="3"/>
      <c r="U295" s="3"/>
      <c r="V295" s="3"/>
      <c r="W295" s="3"/>
      <c r="X295" s="3"/>
      <c r="Y295" s="3"/>
      <c r="Z295" s="3"/>
      <c r="AA295" s="3"/>
      <c r="AB295" s="3"/>
      <c r="AC295" s="3"/>
      <c r="AD295" s="3"/>
      <c r="AE295" s="3"/>
      <c r="AF295" s="3"/>
      <c r="AG295" s="3"/>
      <c r="AH295" s="3"/>
      <c r="AI295" s="3"/>
      <c r="AJ295" s="3" t="str">
        <f>IFERROR(__xludf.DUMMYFUNCTION("""COMPUTED_VALUE"""),"Hit and Run")</f>
        <v>Hit and Run</v>
      </c>
      <c r="AK295" s="3"/>
      <c r="AL295" s="3"/>
      <c r="AM295" s="3"/>
      <c r="AN295" s="3"/>
      <c r="AO295" s="3"/>
      <c r="AP295" s="3"/>
      <c r="AQ295" s="3"/>
      <c r="AR295" s="3"/>
      <c r="AS295" s="3"/>
      <c r="AT295" s="3"/>
      <c r="AU295" s="3"/>
      <c r="AV295" s="3"/>
      <c r="AW295" s="3"/>
      <c r="AX295" s="3"/>
      <c r="AY295" s="3"/>
      <c r="AZ295" s="3"/>
      <c r="BA295" s="3"/>
      <c r="BB295" s="3"/>
      <c r="BC295" s="1"/>
      <c r="BD295" s="3">
        <f>IFERROR(__xludf.DUMMYFUNCTION("""COMPUTED_VALUE"""),0.0)</f>
        <v>0</v>
      </c>
      <c r="BE295" s="4">
        <f>IFERROR(__xludf.DUMMYFUNCTION("""COMPUTED_VALUE"""),10.0)</f>
        <v>10</v>
      </c>
      <c r="BF295" s="3" t="str">
        <f>IFERROR(__xludf.DUMMYFUNCTION("""COMPUTED_VALUE"""),"Get Away: 50% Chance to flee from battle without fail.
Energy Savior I: Deduct d10 days from your current journey.
Up to 2 party members can travel in this mount.")</f>
        <v>Get Away: 50% Chance to flee from battle without fail.
Energy Savior I: Deduct d10 days from your current journey.
Up to 2 party members can travel in this mount.</v>
      </c>
      <c r="BG295" s="3" t="str">
        <f>IFERROR(__xludf.DUMMYFUNCTION("""COMPUTED_VALUE"""),"City/Town")</f>
        <v>City/Town</v>
      </c>
      <c r="BH295" s="3" t="str">
        <f>IFERROR(__xludf.DUMMYFUNCTION("""COMPUTED_VALUE"""),"Land of Spira")</f>
        <v>Land of Spira</v>
      </c>
      <c r="BI295" s="3"/>
      <c r="BJ295" s="3"/>
      <c r="BK295" s="3">
        <f>IFERROR(__xludf.DUMMYFUNCTION("""COMPUTED_VALUE"""),200.0)</f>
        <v>200</v>
      </c>
      <c r="BL295" s="3" t="b">
        <f>IFERROR(__xludf.DUMMYFUNCTION("""COMPUTED_VALUE"""),TRUE)</f>
        <v>1</v>
      </c>
      <c r="BM295" s="3" t="str">
        <f>IFERROR(__xludf.DUMMYFUNCTION("""COMPUTED_VALUE"""),"Car")</f>
        <v>Car</v>
      </c>
      <c r="BN295" s="3"/>
      <c r="BO295" s="3"/>
      <c r="BP295" s="3"/>
      <c r="BQ295" s="3"/>
      <c r="BR295" s="3"/>
      <c r="BS295" s="3"/>
      <c r="BT295" s="3"/>
      <c r="BU295" s="3"/>
      <c r="BV295" s="3"/>
      <c r="BW295" s="3"/>
    </row>
    <row r="296" ht="15.75" customHeight="1">
      <c r="A296" s="3" t="str">
        <f>IFERROR(__xludf.DUMMYFUNCTION("""COMPUTED_VALUE"""),"Battleship")</f>
        <v>Battleship</v>
      </c>
      <c r="B296" s="3">
        <f>IFERROR(__xludf.DUMMYFUNCTION("""COMPUTED_VALUE"""),1.0)</f>
        <v>1</v>
      </c>
      <c r="C296" s="3"/>
      <c r="D296" s="3" t="str">
        <f>IFERROR(__xludf.DUMMYFUNCTION("""COMPUTED_VALUE"""),"Construct")</f>
        <v>Construct</v>
      </c>
      <c r="E296" s="3">
        <f>IFERROR(__xludf.DUMMYFUNCTION("""COMPUTED_VALUE"""),1010.0)</f>
        <v>1010</v>
      </c>
      <c r="F296" s="12">
        <f>IFERROR(__xludf.DUMMYFUNCTION("""COMPUTED_VALUE"""),1010.0)</f>
        <v>1010</v>
      </c>
      <c r="G296" s="3">
        <f>IFERROR(__xludf.DUMMYFUNCTION("""COMPUTED_VALUE"""),1010.0)</f>
        <v>1010</v>
      </c>
      <c r="H296" s="3">
        <f>IFERROR(__xludf.DUMMYFUNCTION("""COMPUTED_VALUE"""),10.0)</f>
        <v>10</v>
      </c>
      <c r="I296" s="3">
        <f>IFERROR(__xludf.DUMMYFUNCTION("""COMPUTED_VALUE"""),0.0)</f>
        <v>0</v>
      </c>
      <c r="J296" s="3">
        <f>IFERROR(__xludf.DUMMYFUNCTION("""COMPUTED_VALUE"""),0.0)</f>
        <v>0</v>
      </c>
      <c r="K296" s="3">
        <f>IFERROR(__xludf.DUMMYFUNCTION("""COMPUTED_VALUE"""),100.0)</f>
        <v>100</v>
      </c>
      <c r="L296" s="3">
        <f>IFERROR(__xludf.DUMMYFUNCTION("""COMPUTED_VALUE"""),100.0)</f>
        <v>100</v>
      </c>
      <c r="M296" s="3" t="str">
        <f>IFERROR(__xludf.DUMMYFUNCTION("""COMPUTED_VALUE"""),"Natural:Immune, ")</f>
        <v>Natural:Immune, </v>
      </c>
      <c r="N296" s="3" t="str">
        <f>IFERROR(__xludf.DUMMYFUNCTION("""COMPUTED_VALUE"""),"Spirit:100, ")</f>
        <v>Spirit:100, </v>
      </c>
      <c r="O296" s="3" t="str">
        <f>IFERROR(__xludf.DUMMYFUNCTION("""COMPUTED_VALUE"""),"Lazer Infused Cannon")</f>
        <v>Lazer Infused Cannon</v>
      </c>
      <c r="P296" s="3" t="str">
        <f>IFERROR(__xludf.DUMMYFUNCTION("""COMPUTED_VALUE"""),".50 Caliber Machine Gun (car)")</f>
        <v>.50 Caliber Machine Gun (car)</v>
      </c>
      <c r="Q296" s="3" t="str">
        <f>IFERROR(__xludf.DUMMYFUNCTION("""COMPUTED_VALUE"""),"Missile Turret (boat)")</f>
        <v>Missile Turret (boat)</v>
      </c>
      <c r="R296" s="3"/>
      <c r="S296" s="3"/>
      <c r="T296" s="3"/>
      <c r="U296" s="3"/>
      <c r="V296" s="3"/>
      <c r="W296" s="3"/>
      <c r="X296" s="3"/>
      <c r="Y296" s="3"/>
      <c r="Z296" s="3"/>
      <c r="AA296" s="3"/>
      <c r="AB296" s="3"/>
      <c r="AC296" s="3"/>
      <c r="AD296" s="3"/>
      <c r="AE296" s="3"/>
      <c r="AF296" s="3"/>
      <c r="AG296" s="3"/>
      <c r="AH296" s="3"/>
      <c r="AI296" s="3"/>
      <c r="AJ296" s="3" t="str">
        <f>IFERROR(__xludf.DUMMYFUNCTION("""COMPUTED_VALUE"""),"Radar")</f>
        <v>Radar</v>
      </c>
      <c r="AK296" s="3" t="str">
        <f>IFERROR(__xludf.DUMMYFUNCTION("""COMPUTED_VALUE"""),"Sonar")</f>
        <v>Sonar</v>
      </c>
      <c r="AL296" s="3" t="str">
        <f>IFERROR(__xludf.DUMMYFUNCTION("""COMPUTED_VALUE"""),"Vehicular Ward")</f>
        <v>Vehicular Ward</v>
      </c>
      <c r="AM296" s="3"/>
      <c r="AN296" s="3"/>
      <c r="AO296" s="3"/>
      <c r="AP296" s="3"/>
      <c r="AQ296" s="3"/>
      <c r="AR296" s="3"/>
      <c r="AS296" s="3"/>
      <c r="AT296" s="3"/>
      <c r="AU296" s="3"/>
      <c r="AV296" s="3"/>
      <c r="AW296" s="3"/>
      <c r="AX296" s="3"/>
      <c r="AY296" s="3"/>
      <c r="AZ296" s="3"/>
      <c r="BA296" s="3"/>
      <c r="BB296" s="3"/>
      <c r="BC296" s="1"/>
      <c r="BD296" s="3">
        <f>IFERROR(__xludf.DUMMYFUNCTION("""COMPUTED_VALUE"""),0.0)</f>
        <v>0</v>
      </c>
      <c r="BE296" s="4">
        <f>IFERROR(__xludf.DUMMYFUNCTION("""COMPUTED_VALUE"""),10.0)</f>
        <v>10</v>
      </c>
      <c r="BF296" s="3" t="str">
        <f>IFERROR(__xludf.DUMMYFUNCTION("""COMPUTED_VALUE"""),"Energy Savior I: Deduct d20 days from your current journey.
Self Destruct Sequence II: If not owned by a player this boat will have a 75% chance to self destruct when it is the last enemy alive in battle damaging all enemies equal to this boats HP*10.
U"&amp;"p to 10 party members can travel in this mount.
Full Rest: Fully restores hunger, thirst, and energy when on this mount.")</f>
        <v>Energy Savior I: Deduct d20 days from your current journey.
Self Destruct Sequence II: If not owned by a player this boat will have a 75% chance to self destruct when it is the last enemy alive in battle damaging all enemies equal to this boats HP*10.
Up to 10 party members can travel in this mount.
Full Rest: Fully restores hunger, thirst, and energy when on this mount.</v>
      </c>
      <c r="BG296" s="3" t="str">
        <f>IFERROR(__xludf.DUMMYFUNCTION("""COMPUTED_VALUE"""),"Ocean")</f>
        <v>Ocean</v>
      </c>
      <c r="BH296" s="3" t="str">
        <f>IFERROR(__xludf.DUMMYFUNCTION("""COMPUTED_VALUE"""),"Land of Spira")</f>
        <v>Land of Spira</v>
      </c>
      <c r="BI296" s="3"/>
      <c r="BJ296" s="3"/>
      <c r="BK296" s="3">
        <f>IFERROR(__xludf.DUMMYFUNCTION("""COMPUTED_VALUE"""),5000.0)</f>
        <v>5000</v>
      </c>
      <c r="BL296" s="3" t="b">
        <f>IFERROR(__xludf.DUMMYFUNCTION("""COMPUTED_VALUE"""),TRUE)</f>
        <v>1</v>
      </c>
      <c r="BM296" s="3" t="str">
        <f>IFERROR(__xludf.DUMMYFUNCTION("""COMPUTED_VALUE"""),"Boat")</f>
        <v>Boat</v>
      </c>
      <c r="BN296" s="3"/>
      <c r="BO296" s="3"/>
      <c r="BP296" s="3"/>
      <c r="BQ296" s="3"/>
      <c r="BR296" s="3"/>
      <c r="BS296" s="3"/>
      <c r="BT296" s="3"/>
      <c r="BU296" s="3"/>
      <c r="BV296" s="3"/>
      <c r="BW296" s="3"/>
    </row>
    <row r="297" ht="15.75" customHeight="1">
      <c r="A297" s="3" t="str">
        <f>IFERROR(__xludf.DUMMYFUNCTION("""COMPUTED_VALUE"""),"Galleon")</f>
        <v>Galleon</v>
      </c>
      <c r="B297" s="3">
        <f>IFERROR(__xludf.DUMMYFUNCTION("""COMPUTED_VALUE"""),1.0)</f>
        <v>1</v>
      </c>
      <c r="C297" s="3"/>
      <c r="D297" s="3" t="str">
        <f>IFERROR(__xludf.DUMMYFUNCTION("""COMPUTED_VALUE"""),"Construct")</f>
        <v>Construct</v>
      </c>
      <c r="E297" s="3">
        <f>IFERROR(__xludf.DUMMYFUNCTION("""COMPUTED_VALUE"""),1010.0)</f>
        <v>1010</v>
      </c>
      <c r="F297" s="12">
        <f>IFERROR(__xludf.DUMMYFUNCTION("""COMPUTED_VALUE"""),1010.0)</f>
        <v>1010</v>
      </c>
      <c r="G297" s="3">
        <f>IFERROR(__xludf.DUMMYFUNCTION("""COMPUTED_VALUE"""),1010.0)</f>
        <v>1010</v>
      </c>
      <c r="H297" s="3">
        <f>IFERROR(__xludf.DUMMYFUNCTION("""COMPUTED_VALUE"""),10.0)</f>
        <v>10</v>
      </c>
      <c r="I297" s="3">
        <f>IFERROR(__xludf.DUMMYFUNCTION("""COMPUTED_VALUE"""),0.0)</f>
        <v>0</v>
      </c>
      <c r="J297" s="3">
        <f>IFERROR(__xludf.DUMMYFUNCTION("""COMPUTED_VALUE"""),0.0)</f>
        <v>0</v>
      </c>
      <c r="K297" s="3">
        <f>IFERROR(__xludf.DUMMYFUNCTION("""COMPUTED_VALUE"""),100.0)</f>
        <v>100</v>
      </c>
      <c r="L297" s="3">
        <f>IFERROR(__xludf.DUMMYFUNCTION("""COMPUTED_VALUE"""),100.0)</f>
        <v>100</v>
      </c>
      <c r="M297" s="3" t="str">
        <f>IFERROR(__xludf.DUMMYFUNCTION("""COMPUTED_VALUE"""),"Natural:Immune, ")</f>
        <v>Natural:Immune, </v>
      </c>
      <c r="N297" s="3" t="str">
        <f>IFERROR(__xludf.DUMMYFUNCTION("""COMPUTED_VALUE"""),"Spirit:100, ")</f>
        <v>Spirit:100, </v>
      </c>
      <c r="O297" s="3" t="str">
        <f>IFERROR(__xludf.DUMMYFUNCTION("""COMPUTED_VALUE"""),"Fireball Cannon")</f>
        <v>Fireball Cannon</v>
      </c>
      <c r="P297" s="3" t="str">
        <f>IFERROR(__xludf.DUMMYFUNCTION("""COMPUTED_VALUE"""),"Fireball Cannon")</f>
        <v>Fireball Cannon</v>
      </c>
      <c r="Q297" s="3" t="str">
        <f>IFERROR(__xludf.DUMMYFUNCTION("""COMPUTED_VALUE"""),"Harpoon Gun")</f>
        <v>Harpoon Gun</v>
      </c>
      <c r="R297" s="3" t="str">
        <f>IFERROR(__xludf.DUMMYFUNCTION("""COMPUTED_VALUE"""),"Harpoon Gun")</f>
        <v>Harpoon Gun</v>
      </c>
      <c r="S297" s="3"/>
      <c r="T297" s="3"/>
      <c r="U297" s="3"/>
      <c r="V297" s="3"/>
      <c r="W297" s="3"/>
      <c r="X297" s="3"/>
      <c r="Y297" s="3"/>
      <c r="Z297" s="3"/>
      <c r="AA297" s="3"/>
      <c r="AB297" s="3"/>
      <c r="AC297" s="3"/>
      <c r="AD297" s="3"/>
      <c r="AE297" s="3"/>
      <c r="AF297" s="3"/>
      <c r="AG297" s="3"/>
      <c r="AH297" s="3"/>
      <c r="AI297" s="3"/>
      <c r="AJ297" s="3" t="str">
        <f>IFERROR(__xludf.DUMMYFUNCTION("""COMPUTED_VALUE"""),"Cannon Bombardment")</f>
        <v>Cannon Bombardment</v>
      </c>
      <c r="AK297" s="3"/>
      <c r="AL297" s="3"/>
      <c r="AM297" s="3"/>
      <c r="AN297" s="3"/>
      <c r="AO297" s="3"/>
      <c r="AP297" s="3"/>
      <c r="AQ297" s="3"/>
      <c r="AR297" s="3"/>
      <c r="AS297" s="3"/>
      <c r="AT297" s="3"/>
      <c r="AU297" s="3"/>
      <c r="AV297" s="3"/>
      <c r="AW297" s="3"/>
      <c r="AX297" s="3"/>
      <c r="AY297" s="3"/>
      <c r="AZ297" s="3"/>
      <c r="BA297" s="3"/>
      <c r="BB297" s="3"/>
      <c r="BC297" s="1"/>
      <c r="BD297" s="3">
        <f>IFERROR(__xludf.DUMMYFUNCTION("""COMPUTED_VALUE"""),0.0)</f>
        <v>0</v>
      </c>
      <c r="BE297" s="4">
        <f>IFERROR(__xludf.DUMMYFUNCTION("""COMPUTED_VALUE"""),10.0)</f>
        <v>10</v>
      </c>
      <c r="BF297" s="3" t="str">
        <f>IFERROR(__xludf.DUMMYFUNCTION("""COMPUTED_VALUE"""),"Windy Day I: Deduct d10 days from your current journey.
Does not require Fuel.
Up to 8 party members can travel in this mount.")</f>
        <v>Windy Day I: Deduct d10 days from your current journey.
Does not require Fuel.
Up to 8 party members can travel in this mount.</v>
      </c>
      <c r="BG297" s="3" t="str">
        <f>IFERROR(__xludf.DUMMYFUNCTION("""COMPUTED_VALUE"""),"Ocean")</f>
        <v>Ocean</v>
      </c>
      <c r="BH297" s="3" t="str">
        <f>IFERROR(__xludf.DUMMYFUNCTION("""COMPUTED_VALUE"""),"Land of Spira")</f>
        <v>Land of Spira</v>
      </c>
      <c r="BI297" s="3"/>
      <c r="BJ297" s="3"/>
      <c r="BK297" s="3">
        <f>IFERROR(__xludf.DUMMYFUNCTION("""COMPUTED_VALUE"""),0.0)</f>
        <v>0</v>
      </c>
      <c r="BL297" s="3" t="b">
        <f>IFERROR(__xludf.DUMMYFUNCTION("""COMPUTED_VALUE"""),TRUE)</f>
        <v>1</v>
      </c>
      <c r="BM297" s="3" t="str">
        <f>IFERROR(__xludf.DUMMYFUNCTION("""COMPUTED_VALUE"""),"Boat")</f>
        <v>Boat</v>
      </c>
      <c r="BN297" s="3"/>
      <c r="BO297" s="3"/>
      <c r="BP297" s="3"/>
      <c r="BQ297" s="3"/>
      <c r="BR297" s="3"/>
      <c r="BS297" s="3"/>
      <c r="BT297" s="3"/>
      <c r="BU297" s="3"/>
      <c r="BV297" s="3"/>
      <c r="BW297" s="3"/>
    </row>
    <row r="298" ht="15.75" customHeight="1">
      <c r="A298" s="3" t="str">
        <f>IFERROR(__xludf.DUMMYFUNCTION("""COMPUTED_VALUE"""),"Submarine")</f>
        <v>Submarine</v>
      </c>
      <c r="B298" s="3">
        <f>IFERROR(__xludf.DUMMYFUNCTION("""COMPUTED_VALUE"""),1.0)</f>
        <v>1</v>
      </c>
      <c r="C298" s="3"/>
      <c r="D298" s="3" t="str">
        <f>IFERROR(__xludf.DUMMYFUNCTION("""COMPUTED_VALUE"""),"Construct")</f>
        <v>Construct</v>
      </c>
      <c r="E298" s="3">
        <f>IFERROR(__xludf.DUMMYFUNCTION("""COMPUTED_VALUE"""),1010.0)</f>
        <v>1010</v>
      </c>
      <c r="F298" s="12">
        <f>IFERROR(__xludf.DUMMYFUNCTION("""COMPUTED_VALUE"""),1010.0)</f>
        <v>1010</v>
      </c>
      <c r="G298" s="3">
        <f>IFERROR(__xludf.DUMMYFUNCTION("""COMPUTED_VALUE"""),1010.0)</f>
        <v>1010</v>
      </c>
      <c r="H298" s="3">
        <f>IFERROR(__xludf.DUMMYFUNCTION("""COMPUTED_VALUE"""),10.0)</f>
        <v>10</v>
      </c>
      <c r="I298" s="3">
        <f>IFERROR(__xludf.DUMMYFUNCTION("""COMPUTED_VALUE"""),0.0)</f>
        <v>0</v>
      </c>
      <c r="J298" s="3">
        <f>IFERROR(__xludf.DUMMYFUNCTION("""COMPUTED_VALUE"""),0.0)</f>
        <v>0</v>
      </c>
      <c r="K298" s="3">
        <f>IFERROR(__xludf.DUMMYFUNCTION("""COMPUTED_VALUE"""),100.0)</f>
        <v>100</v>
      </c>
      <c r="L298" s="3">
        <f>IFERROR(__xludf.DUMMYFUNCTION("""COMPUTED_VALUE"""),100.0)</f>
        <v>100</v>
      </c>
      <c r="M298" s="3" t="str">
        <f>IFERROR(__xludf.DUMMYFUNCTION("""COMPUTED_VALUE"""),"Natural:Immune, ")</f>
        <v>Natural:Immune, </v>
      </c>
      <c r="N298" s="3" t="str">
        <f>IFERROR(__xludf.DUMMYFUNCTION("""COMPUTED_VALUE"""),"Spirit:100, ")</f>
        <v>Spirit:100, </v>
      </c>
      <c r="O298" s="3" t="str">
        <f>IFERROR(__xludf.DUMMYFUNCTION("""COMPUTED_VALUE"""),"Torpedo Launcher")</f>
        <v>Torpedo Launcher</v>
      </c>
      <c r="P298" s="3" t="str">
        <f>IFERROR(__xludf.DUMMYFUNCTION("""COMPUTED_VALUE"""),"Torpedo Launcher")</f>
        <v>Torpedo Launcher</v>
      </c>
      <c r="Q298" s="3"/>
      <c r="R298" s="3"/>
      <c r="S298" s="3"/>
      <c r="T298" s="3"/>
      <c r="U298" s="3"/>
      <c r="V298" s="3"/>
      <c r="W298" s="3"/>
      <c r="X298" s="3"/>
      <c r="Y298" s="3"/>
      <c r="Z298" s="3"/>
      <c r="AA298" s="3"/>
      <c r="AB298" s="3"/>
      <c r="AC298" s="3"/>
      <c r="AD298" s="3"/>
      <c r="AE298" s="3"/>
      <c r="AF298" s="3"/>
      <c r="AG298" s="3"/>
      <c r="AH298" s="3"/>
      <c r="AI298" s="3"/>
      <c r="AJ298" s="3" t="str">
        <f>IFERROR(__xludf.DUMMYFUNCTION("""COMPUTED_VALUE"""),"Sonar")</f>
        <v>Sonar</v>
      </c>
      <c r="AK298" s="3" t="str">
        <f>IFERROR(__xludf.DUMMYFUNCTION("""COMPUTED_VALUE"""),"Radar")</f>
        <v>Radar</v>
      </c>
      <c r="AL298" s="3" t="str">
        <f>IFERROR(__xludf.DUMMYFUNCTION("""COMPUTED_VALUE"""),"Vehicular Cloak")</f>
        <v>Vehicular Cloak</v>
      </c>
      <c r="AM298" s="3"/>
      <c r="AN298" s="3"/>
      <c r="AO298" s="3"/>
      <c r="AP298" s="3"/>
      <c r="AQ298" s="3"/>
      <c r="AR298" s="3"/>
      <c r="AS298" s="3"/>
      <c r="AT298" s="3"/>
      <c r="AU298" s="3"/>
      <c r="AV298" s="3"/>
      <c r="AW298" s="3"/>
      <c r="AX298" s="3"/>
      <c r="AY298" s="3"/>
      <c r="AZ298" s="3"/>
      <c r="BA298" s="3"/>
      <c r="BB298" s="3"/>
      <c r="BC298" s="1"/>
      <c r="BD298" s="3">
        <f>IFERROR(__xludf.DUMMYFUNCTION("""COMPUTED_VALUE"""),0.0)</f>
        <v>0</v>
      </c>
      <c r="BE298" s="4">
        <f>IFERROR(__xludf.DUMMYFUNCTION("""COMPUTED_VALUE"""),10.0)</f>
        <v>10</v>
      </c>
      <c r="BF298" s="3" t="str">
        <f>IFERROR(__xludf.DUMMYFUNCTION("""COMPUTED_VALUE"""),"Energy Savior II: Deduct d20 days from your current journey.
Up to 4 party members can travel in this mount.")</f>
        <v>Energy Savior II: Deduct d20 days from your current journey.
Up to 4 party members can travel in this mount.</v>
      </c>
      <c r="BG298" s="3" t="str">
        <f>IFERROR(__xludf.DUMMYFUNCTION("""COMPUTED_VALUE"""),"Ocean")</f>
        <v>Ocean</v>
      </c>
      <c r="BH298" s="3" t="str">
        <f>IFERROR(__xludf.DUMMYFUNCTION("""COMPUTED_VALUE"""),"Land of Spira")</f>
        <v>Land of Spira</v>
      </c>
      <c r="BI298" s="3"/>
      <c r="BJ298" s="3"/>
      <c r="BK298" s="3">
        <f>IFERROR(__xludf.DUMMYFUNCTION("""COMPUTED_VALUE"""),1000.0)</f>
        <v>1000</v>
      </c>
      <c r="BL298" s="3" t="b">
        <f>IFERROR(__xludf.DUMMYFUNCTION("""COMPUTED_VALUE"""),TRUE)</f>
        <v>1</v>
      </c>
      <c r="BM298" s="3" t="str">
        <f>IFERROR(__xludf.DUMMYFUNCTION("""COMPUTED_VALUE"""),"Boat")</f>
        <v>Boat</v>
      </c>
      <c r="BN298" s="3"/>
      <c r="BO298" s="3"/>
      <c r="BP298" s="3"/>
      <c r="BQ298" s="3"/>
      <c r="BR298" s="3"/>
      <c r="BS298" s="3"/>
      <c r="BT298" s="3"/>
      <c r="BU298" s="3"/>
      <c r="BV298" s="3"/>
      <c r="BW298" s="3"/>
    </row>
    <row r="299" ht="15.75" customHeight="1">
      <c r="A299" s="3" t="str">
        <f>IFERROR(__xludf.DUMMYFUNCTION("""COMPUTED_VALUE"""),"Scarecrow Lord")</f>
        <v>Scarecrow Lord</v>
      </c>
      <c r="B299" s="3">
        <f>IFERROR(__xludf.DUMMYFUNCTION("""COMPUTED_VALUE"""),1.0)</f>
        <v>1</v>
      </c>
      <c r="C299" s="3"/>
      <c r="D299" s="3" t="str">
        <f>IFERROR(__xludf.DUMMYFUNCTION("""COMPUTED_VALUE"""),"Undead")</f>
        <v>Undead</v>
      </c>
      <c r="E299" s="3">
        <f>IFERROR(__xludf.DUMMYFUNCTION("""COMPUTED_VALUE"""),1010.0)</f>
        <v>1010</v>
      </c>
      <c r="F299" s="12">
        <f>IFERROR(__xludf.DUMMYFUNCTION("""COMPUTED_VALUE"""),1010.0)</f>
        <v>1010</v>
      </c>
      <c r="G299" s="3">
        <f>IFERROR(__xludf.DUMMYFUNCTION("""COMPUTED_VALUE"""),1010.0)</f>
        <v>1010</v>
      </c>
      <c r="H299" s="3">
        <f>IFERROR(__xludf.DUMMYFUNCTION("""COMPUTED_VALUE"""),20.0)</f>
        <v>20</v>
      </c>
      <c r="I299" s="3">
        <f>IFERROR(__xludf.DUMMYFUNCTION("""COMPUTED_VALUE"""),0.0)</f>
        <v>0</v>
      </c>
      <c r="J299" s="3">
        <f>IFERROR(__xludf.DUMMYFUNCTION("""COMPUTED_VALUE"""),0.0)</f>
        <v>0</v>
      </c>
      <c r="K299" s="3">
        <f>IFERROR(__xludf.DUMMYFUNCTION("""COMPUTED_VALUE"""),100.0)</f>
        <v>100</v>
      </c>
      <c r="L299" s="3">
        <f>IFERROR(__xludf.DUMMYFUNCTION("""COMPUTED_VALUE"""),100.0)</f>
        <v>100</v>
      </c>
      <c r="M299" s="3" t="str">
        <f>IFERROR(__xludf.DUMMYFUNCTION("""COMPUTED_VALUE"""),"Dark:Immune, Spirit:Immune, Instant Death:Immune, ")</f>
        <v>Dark:Immune, Spirit:Immune, Instant Death:Immune, </v>
      </c>
      <c r="N299" s="3" t="str">
        <f>IFERROR(__xludf.DUMMYFUNCTION("""COMPUTED_VALUE"""),"")</f>
        <v/>
      </c>
      <c r="O299" s="3"/>
      <c r="P299" s="3"/>
      <c r="Q299" s="3"/>
      <c r="R299" s="3"/>
      <c r="S299" s="3"/>
      <c r="T299" s="3"/>
      <c r="U299" s="3"/>
      <c r="V299" s="3"/>
      <c r="W299" s="3"/>
      <c r="X299" s="3"/>
      <c r="Y299" s="3"/>
      <c r="Z299" s="3"/>
      <c r="AA299" s="3"/>
      <c r="AB299" s="3"/>
      <c r="AC299" s="3"/>
      <c r="AD299" s="3"/>
      <c r="AE299" s="3"/>
      <c r="AF299" s="3"/>
      <c r="AG299" s="3"/>
      <c r="AH299" s="3"/>
      <c r="AI299" s="3"/>
      <c r="AJ299" s="3" t="str">
        <f>IFERROR(__xludf.DUMMYFUNCTION("""COMPUTED_VALUE"""),"Chaincast")</f>
        <v>Chaincast</v>
      </c>
      <c r="AK299" s="3" t="str">
        <f>IFERROR(__xludf.DUMMYFUNCTION("""COMPUTED_VALUE"""),"Taunt")</f>
        <v>Taunt</v>
      </c>
      <c r="AL299" s="3" t="str">
        <f>IFERROR(__xludf.DUMMYFUNCTION("""COMPUTED_VALUE"""),"Flame Thrower")</f>
        <v>Flame Thrower</v>
      </c>
      <c r="AM299" s="3" t="str">
        <f>IFERROR(__xludf.DUMMYFUNCTION("""COMPUTED_VALUE"""),"Solar Storm")</f>
        <v>Solar Storm</v>
      </c>
      <c r="AN299" s="3" t="str">
        <f>IFERROR(__xludf.DUMMYFUNCTION("""COMPUTED_VALUE"""),"Devolve")</f>
        <v>Devolve</v>
      </c>
      <c r="AO299" s="3" t="str">
        <f>IFERROR(__xludf.DUMMYFUNCTION("""COMPUTED_VALUE"""),"Dark Curse")</f>
        <v>Dark Curse</v>
      </c>
      <c r="AP299" s="3" t="str">
        <f>IFERROR(__xludf.DUMMYFUNCTION("""COMPUTED_VALUE"""),"Chaos Ward")</f>
        <v>Chaos Ward</v>
      </c>
      <c r="AQ299" s="3" t="str">
        <f>IFERROR(__xludf.DUMMYFUNCTION("""COMPUTED_VALUE"""),"Dimensional Quake")</f>
        <v>Dimensional Quake</v>
      </c>
      <c r="AR299" s="3" t="str">
        <f>IFERROR(__xludf.DUMMYFUNCTION("""COMPUTED_VALUE"""),"Dimension Portal")</f>
        <v>Dimension Portal</v>
      </c>
      <c r="AS299" s="3" t="str">
        <f>IFERROR(__xludf.DUMMYFUNCTION("""COMPUTED_VALUE"""),"Multishot")</f>
        <v>Multishot</v>
      </c>
      <c r="AT299" s="3" t="str">
        <f>IFERROR(__xludf.DUMMYFUNCTION("""COMPUTED_VALUE"""),"Berserk")</f>
        <v>Berserk</v>
      </c>
      <c r="AU299" s="3" t="str">
        <f>IFERROR(__xludf.DUMMYFUNCTION("""COMPUTED_VALUE"""),"Mass Destruction")</f>
        <v>Mass Destruction</v>
      </c>
      <c r="AV299" s="3"/>
      <c r="AW299" s="3"/>
      <c r="AX299" s="3"/>
      <c r="AY299" s="3"/>
      <c r="AZ299" s="3"/>
      <c r="BA299" s="3"/>
      <c r="BB299" s="3"/>
      <c r="BC299" s="1"/>
      <c r="BD299" s="3">
        <f>IFERROR(__xludf.DUMMYFUNCTION("""COMPUTED_VALUE"""),0.0)</f>
        <v>0</v>
      </c>
      <c r="BE299" s="4">
        <f>IFERROR(__xludf.DUMMYFUNCTION("""COMPUTED_VALUE"""),20.0)</f>
        <v>20</v>
      </c>
      <c r="BF299" s="3" t="str">
        <f>IFERROR(__xludf.DUMMYFUNCTION("""COMPUTED_VALUE"""),"Trick or Treat: All players roll a d20 at the begining of battle; The players that roll a 10 or lower half their perks except constitution until end of battle, Players that roll a 20 or higher double their  perks except constitution until the end of battl"&amp;"e.
Revenge of The Haunted: 50% chance to revive after death.
Hollows Guidance II: +10 can be added to this mobs rolls.")</f>
        <v>Trick or Treat: All players roll a d20 at the begining of battle; The players that roll a 10 or lower half their perks except constitution until end of battle, Players that roll a 20 or higher double their  perks except constitution until the end of battle.
Revenge of The Haunted: 50% chance to revive after death.
Hollows Guidance II: +10 can be added to this mobs rolls.</v>
      </c>
      <c r="BG299" s="3" t="str">
        <f>IFERROR(__xludf.DUMMYFUNCTION("""COMPUTED_VALUE"""),"All")</f>
        <v>All</v>
      </c>
      <c r="BH299" s="3" t="str">
        <f>IFERROR(__xludf.DUMMYFUNCTION("""COMPUTED_VALUE"""),"Halloween Kingdom")</f>
        <v>Halloween Kingdom</v>
      </c>
      <c r="BI299" s="3"/>
      <c r="BJ299" s="3" t="str">
        <f>IFERROR(__xludf.DUMMYFUNCTION("""COMPUTED_VALUE"""),"Halloween Kingdom")</f>
        <v>Halloween Kingdom</v>
      </c>
      <c r="BK299" s="3"/>
      <c r="BL299" s="3" t="b">
        <f>IFERROR(__xludf.DUMMYFUNCTION("""COMPUTED_VALUE"""),FALSE)</f>
        <v>0</v>
      </c>
      <c r="BM299" s="3"/>
      <c r="BN299" s="3"/>
      <c r="BO299" s="3"/>
      <c r="BP299" s="3"/>
      <c r="BQ299" s="3"/>
      <c r="BR299" s="3"/>
      <c r="BS299" s="3"/>
      <c r="BT299" s="3"/>
      <c r="BU299" s="3"/>
      <c r="BV299" s="3"/>
      <c r="BW299" s="3"/>
    </row>
    <row r="300" ht="15.75" customHeight="1">
      <c r="A300" s="3" t="str">
        <f>IFERROR(__xludf.DUMMYFUNCTION("""COMPUTED_VALUE"""),"Corrupted King Zorgod")</f>
        <v>Corrupted King Zorgod</v>
      </c>
      <c r="B300" s="3">
        <f>IFERROR(__xludf.DUMMYFUNCTION("""COMPUTED_VALUE"""),1.0)</f>
        <v>1</v>
      </c>
      <c r="C300" s="3"/>
      <c r="D300" s="3" t="str">
        <f>IFERROR(__xludf.DUMMYFUNCTION("""COMPUTED_VALUE"""),"Humanoid")</f>
        <v>Humanoid</v>
      </c>
      <c r="E300" s="3">
        <f>IFERROR(__xludf.DUMMYFUNCTION("""COMPUTED_VALUE"""),1010.0)</f>
        <v>1010</v>
      </c>
      <c r="F300" s="12">
        <f>IFERROR(__xludf.DUMMYFUNCTION("""COMPUTED_VALUE"""),1010.0)</f>
        <v>1010</v>
      </c>
      <c r="G300" s="3">
        <f>IFERROR(__xludf.DUMMYFUNCTION("""COMPUTED_VALUE"""),1010.0)</f>
        <v>1010</v>
      </c>
      <c r="H300" s="3">
        <f>IFERROR(__xludf.DUMMYFUNCTION("""COMPUTED_VALUE"""),10.0)</f>
        <v>10</v>
      </c>
      <c r="I300" s="3">
        <f>IFERROR(__xludf.DUMMYFUNCTION("""COMPUTED_VALUE"""),0.0)</f>
        <v>0</v>
      </c>
      <c r="J300" s="3">
        <f>IFERROR(__xludf.DUMMYFUNCTION("""COMPUTED_VALUE"""),0.0)</f>
        <v>0</v>
      </c>
      <c r="K300" s="3">
        <f>IFERROR(__xludf.DUMMYFUNCTION("""COMPUTED_VALUE"""),100.0)</f>
        <v>100</v>
      </c>
      <c r="L300" s="3">
        <f>IFERROR(__xludf.DUMMYFUNCTION("""COMPUTED_VALUE"""),100.0)</f>
        <v>100</v>
      </c>
      <c r="M300" s="3" t="str">
        <f>IFERROR(__xludf.DUMMYFUNCTION("""COMPUTED_VALUE"""),"Dark:Immune, Instant Death:Immune, ")</f>
        <v>Dark:Immune, Instant Death:Immune, </v>
      </c>
      <c r="N300" s="3" t="str">
        <f>IFERROR(__xludf.DUMMYFUNCTION("""COMPUTED_VALUE"""),"Light:100, ")</f>
        <v>Light:100, </v>
      </c>
      <c r="O300" s="3"/>
      <c r="P300" s="3"/>
      <c r="Q300" s="3"/>
      <c r="R300" s="3"/>
      <c r="S300" s="3"/>
      <c r="T300" s="3"/>
      <c r="U300" s="3"/>
      <c r="V300" s="3"/>
      <c r="W300" s="3" t="str">
        <f>IFERROR(__xludf.DUMMYFUNCTION("""COMPUTED_VALUE"""),"Twilight Sword")</f>
        <v>Twilight Sword</v>
      </c>
      <c r="X300" s="3"/>
      <c r="Y300" s="3"/>
      <c r="Z300" s="3"/>
      <c r="AA300" s="3"/>
      <c r="AB300" s="3"/>
      <c r="AC300" s="3"/>
      <c r="AD300" s="3"/>
      <c r="AE300" s="3"/>
      <c r="AF300" s="3"/>
      <c r="AG300" s="3"/>
      <c r="AH300" s="3"/>
      <c r="AI300" s="3"/>
      <c r="AJ300" s="3" t="str">
        <f>IFERROR(__xludf.DUMMYFUNCTION("""COMPUTED_VALUE"""),"Chaincast")</f>
        <v>Chaincast</v>
      </c>
      <c r="AK300" s="3" t="str">
        <f>IFERROR(__xludf.DUMMYFUNCTION("""COMPUTED_VALUE"""),"Chanting Destruction")</f>
        <v>Chanting Destruction</v>
      </c>
      <c r="AL300" s="3" t="str">
        <f>IFERROR(__xludf.DUMMYFUNCTION("""COMPUTED_VALUE"""),"Berserk")</f>
        <v>Berserk</v>
      </c>
      <c r="AM300" s="3" t="str">
        <f>IFERROR(__xludf.DUMMYFUNCTION("""COMPUTED_VALUE"""),"Twilight Masquerade")</f>
        <v>Twilight Masquerade</v>
      </c>
      <c r="AN300" s="3" t="str">
        <f>IFERROR(__xludf.DUMMYFUNCTION("""COMPUTED_VALUE"""),"Mass Ignition")</f>
        <v>Mass Ignition</v>
      </c>
      <c r="AO300" s="3" t="str">
        <f>IFERROR(__xludf.DUMMYFUNCTION("""COMPUTED_VALUE"""),"Stasis Madness")</f>
        <v>Stasis Madness</v>
      </c>
      <c r="AP300" s="3" t="str">
        <f>IFERROR(__xludf.DUMMYFUNCTION("""COMPUTED_VALUE"""),"Stasis Tsunami")</f>
        <v>Stasis Tsunami</v>
      </c>
      <c r="AQ300" s="3" t="str">
        <f>IFERROR(__xludf.DUMMYFUNCTION("""COMPUTED_VALUE"""),"Stasis Meteor Shower")</f>
        <v>Stasis Meteor Shower</v>
      </c>
      <c r="AR300" s="3" t="str">
        <f>IFERROR(__xludf.DUMMYFUNCTION("""COMPUTED_VALUE"""),"Obliterating Light of Blindness")</f>
        <v>Obliterating Light of Blindness</v>
      </c>
      <c r="AS300" s="3" t="str">
        <f>IFERROR(__xludf.DUMMYFUNCTION("""COMPUTED_VALUE"""),"Mass Destruction")</f>
        <v>Mass Destruction</v>
      </c>
      <c r="AT300" s="3" t="str">
        <f>IFERROR(__xludf.DUMMYFUNCTION("""COMPUTED_VALUE"""),"Cancel")</f>
        <v>Cancel</v>
      </c>
      <c r="AU300" s="3"/>
      <c r="AV300" s="3"/>
      <c r="AW300" s="3"/>
      <c r="AX300" s="3"/>
      <c r="AY300" s="3"/>
      <c r="AZ300" s="3"/>
      <c r="BA300" s="3"/>
      <c r="BB300" s="3"/>
      <c r="BC300" s="1"/>
      <c r="BD300" s="3">
        <f>IFERROR(__xludf.DUMMYFUNCTION("""COMPUTED_VALUE"""),0.0)</f>
        <v>0</v>
      </c>
      <c r="BE300" s="4">
        <f>IFERROR(__xludf.DUMMYFUNCTION("""COMPUTED_VALUE"""),10.0)</f>
        <v>10</v>
      </c>
      <c r="BF300" s="3" t="str">
        <f>IFERROR(__xludf.DUMMYFUNCTION("""COMPUTED_VALUE"""),"75% chance to be unaffected by any spells affecting this mob
Twilight Blessing II: +10 can be added to this mobs rolls..""")</f>
        <v>75% chance to be unaffected by any spells affecting this mob
Twilight Blessing II: +10 can be added to this mobs rolls.."</v>
      </c>
      <c r="BG300" s="3" t="str">
        <f>IFERROR(__xludf.DUMMYFUNCTION("""COMPUTED_VALUE"""),"All")</f>
        <v>All</v>
      </c>
      <c r="BH300" s="3" t="str">
        <f>IFERROR(__xludf.DUMMYFUNCTION("""COMPUTED_VALUE"""),"Halloween Kingdom")</f>
        <v>Halloween Kingdom</v>
      </c>
      <c r="BI300" s="3"/>
      <c r="BJ300" s="3" t="str">
        <f>IFERROR(__xludf.DUMMYFUNCTION("""COMPUTED_VALUE"""),"Halloween Kingdom")</f>
        <v>Halloween Kingdom</v>
      </c>
      <c r="BK300" s="3"/>
      <c r="BL300" s="3" t="b">
        <f>IFERROR(__xludf.DUMMYFUNCTION("""COMPUTED_VALUE"""),FALSE)</f>
        <v>0</v>
      </c>
      <c r="BM300" s="3"/>
      <c r="BN300" s="3"/>
      <c r="BO300" s="3"/>
      <c r="BP300" s="3"/>
      <c r="BQ300" s="3"/>
      <c r="BR300" s="3"/>
      <c r="BS300" s="3"/>
      <c r="BT300" s="3"/>
      <c r="BU300" s="3"/>
      <c r="BV300" s="3"/>
      <c r="BW300" s="3"/>
    </row>
    <row r="301" ht="15.75" customHeight="1">
      <c r="A301" s="3" t="str">
        <f>IFERROR(__xludf.DUMMYFUNCTION("""COMPUTED_VALUE"""),"Vermouth The Sea Monkey King")</f>
        <v>Vermouth The Sea Monkey King</v>
      </c>
      <c r="B301" s="3">
        <f>IFERROR(__xludf.DUMMYFUNCTION("""COMPUTED_VALUE"""),1.0)</f>
        <v>1</v>
      </c>
      <c r="C301" s="3"/>
      <c r="D301" s="3" t="str">
        <f>IFERROR(__xludf.DUMMYFUNCTION("""COMPUTED_VALUE"""),"Humanoid")</f>
        <v>Humanoid</v>
      </c>
      <c r="E301" s="3">
        <f>IFERROR(__xludf.DUMMYFUNCTION("""COMPUTED_VALUE"""),1010.0)</f>
        <v>1010</v>
      </c>
      <c r="F301" s="12">
        <f>IFERROR(__xludf.DUMMYFUNCTION("""COMPUTED_VALUE"""),1010.0)</f>
        <v>1010</v>
      </c>
      <c r="G301" s="3">
        <f>IFERROR(__xludf.DUMMYFUNCTION("""COMPUTED_VALUE"""),1010.0)</f>
        <v>1010</v>
      </c>
      <c r="H301" s="3">
        <f>IFERROR(__xludf.DUMMYFUNCTION("""COMPUTED_VALUE"""),10.0)</f>
        <v>10</v>
      </c>
      <c r="I301" s="3">
        <f>IFERROR(__xludf.DUMMYFUNCTION("""COMPUTED_VALUE"""),0.0)</f>
        <v>0</v>
      </c>
      <c r="J301" s="3">
        <f>IFERROR(__xludf.DUMMYFUNCTION("""COMPUTED_VALUE"""),0.0)</f>
        <v>0</v>
      </c>
      <c r="K301" s="3">
        <f>IFERROR(__xludf.DUMMYFUNCTION("""COMPUTED_VALUE"""),100.0)</f>
        <v>100</v>
      </c>
      <c r="L301" s="3">
        <f>IFERROR(__xludf.DUMMYFUNCTION("""COMPUTED_VALUE"""),100.0)</f>
        <v>100</v>
      </c>
      <c r="M301" s="3" t="str">
        <f>IFERROR(__xludf.DUMMYFUNCTION("""COMPUTED_VALUE"""),"Fire:Immune, Water:Immune, Instant Death:Immune, Banishment:Immune, ")</f>
        <v>Fire:Immune, Water:Immune, Instant Death:Immune, Banishment:Immune, </v>
      </c>
      <c r="N301" s="3" t="str">
        <f>IFERROR(__xludf.DUMMYFUNCTION("""COMPUTED_VALUE"""),"Nature:100, ")</f>
        <v>Nature:100, </v>
      </c>
      <c r="O301" s="3" t="str">
        <f>IFERROR(__xludf.DUMMYFUNCTION("""COMPUTED_VALUE"""),"Vermouth's Crown of Tides")</f>
        <v>Vermouth's Crown of Tides</v>
      </c>
      <c r="P301" s="3"/>
      <c r="Q301" s="3"/>
      <c r="R301" s="3"/>
      <c r="S301" s="3"/>
      <c r="T301" s="3"/>
      <c r="U301" s="3"/>
      <c r="V301" s="3"/>
      <c r="W301" s="3"/>
      <c r="X301" s="3"/>
      <c r="Y301" s="3"/>
      <c r="Z301" s="3"/>
      <c r="AA301" s="3"/>
      <c r="AB301" s="3"/>
      <c r="AC301" s="3"/>
      <c r="AD301" s="3"/>
      <c r="AE301" s="3"/>
      <c r="AF301" s="3"/>
      <c r="AG301" s="3"/>
      <c r="AH301" s="3"/>
      <c r="AI301" s="3"/>
      <c r="AJ301" s="3" t="str">
        <f>IFERROR(__xludf.DUMMYFUNCTION("""COMPUTED_VALUE"""),"Chaincast")</f>
        <v>Chaincast</v>
      </c>
      <c r="AK301" s="3" t="str">
        <f>IFERROR(__xludf.DUMMYFUNCTION("""COMPUTED_VALUE"""),"Crashing Waves")</f>
        <v>Crashing Waves</v>
      </c>
      <c r="AL301" s="3" t="str">
        <f>IFERROR(__xludf.DUMMYFUNCTION("""COMPUTED_VALUE"""),"Torrential Downpour")</f>
        <v>Torrential Downpour</v>
      </c>
      <c r="AM301" s="3" t="str">
        <f>IFERROR(__xludf.DUMMYFUNCTION("""COMPUTED_VALUE"""),"Geyser (Enhanced)")</f>
        <v>Geyser (Enhanced)</v>
      </c>
      <c r="AN301" s="3" t="str">
        <f>IFERROR(__xludf.DUMMYFUNCTION("""COMPUTED_VALUE"""),"Multishot")</f>
        <v>Multishot</v>
      </c>
      <c r="AO301" s="3" t="str">
        <f>IFERROR(__xludf.DUMMYFUNCTION("""COMPUTED_VALUE"""),"Berserk")</f>
        <v>Berserk</v>
      </c>
      <c r="AP301" s="3" t="str">
        <f>IFERROR(__xludf.DUMMYFUNCTION("""COMPUTED_VALUE"""),"Mass Destruction")</f>
        <v>Mass Destruction</v>
      </c>
      <c r="AQ301" s="3"/>
      <c r="AR301" s="3"/>
      <c r="AS301" s="3"/>
      <c r="AT301" s="3"/>
      <c r="AU301" s="3"/>
      <c r="AV301" s="3"/>
      <c r="AW301" s="3"/>
      <c r="AX301" s="3"/>
      <c r="AY301" s="3"/>
      <c r="AZ301" s="3"/>
      <c r="BA301" s="3"/>
      <c r="BB301" s="3"/>
      <c r="BC301" s="1"/>
      <c r="BD301" s="3">
        <f>IFERROR(__xludf.DUMMYFUNCTION("""COMPUTED_VALUE"""),0.0)</f>
        <v>0</v>
      </c>
      <c r="BE301" s="4">
        <f>IFERROR(__xludf.DUMMYFUNCTION("""COMPUTED_VALUE"""),10.0)</f>
        <v>10</v>
      </c>
      <c r="BF301" s="3" t="str">
        <f>IFERROR(__xludf.DUMMYFUNCTION("""COMPUTED_VALUE"""),"75% chance to be unaffected by any spells affecting this mob
Luck of the Sea II: +10 can be added to this mobs rolls.")</f>
        <v>75% chance to be unaffected by any spells affecting this mob
Luck of the Sea II: +10 can be added to this mobs rolls.</v>
      </c>
      <c r="BG301" s="3" t="str">
        <f>IFERROR(__xludf.DUMMYFUNCTION("""COMPUTED_VALUE"""),"Dungeon")</f>
        <v>Dungeon</v>
      </c>
      <c r="BH301" s="3" t="str">
        <f>IFERROR(__xludf.DUMMYFUNCTION("""COMPUTED_VALUE"""),"Land of Spira")</f>
        <v>Land of Spira</v>
      </c>
      <c r="BI301" s="3"/>
      <c r="BJ301" s="3"/>
      <c r="BK301" s="3"/>
      <c r="BL301" s="3" t="b">
        <f>IFERROR(__xludf.DUMMYFUNCTION("""COMPUTED_VALUE"""),FALSE)</f>
        <v>0</v>
      </c>
      <c r="BM301" s="3"/>
      <c r="BN301" s="3"/>
      <c r="BO301" s="3"/>
      <c r="BP301" s="3"/>
      <c r="BQ301" s="3"/>
      <c r="BR301" s="3"/>
      <c r="BS301" s="3"/>
      <c r="BT301" s="3"/>
      <c r="BU301" s="3"/>
      <c r="BV301" s="3"/>
      <c r="BW301" s="3"/>
    </row>
    <row r="302" ht="15.75" customHeight="1">
      <c r="A302" s="3" t="str">
        <f>IFERROR(__xludf.DUMMYFUNCTION("""COMPUTED_VALUE"""),"Vermouth's Guard")</f>
        <v>Vermouth's Guard</v>
      </c>
      <c r="B302" s="3">
        <f>IFERROR(__xludf.DUMMYFUNCTION("""COMPUTED_VALUE"""),1.0)</f>
        <v>1</v>
      </c>
      <c r="C302" s="3"/>
      <c r="D302" s="3" t="str">
        <f>IFERROR(__xludf.DUMMYFUNCTION("""COMPUTED_VALUE"""),"Beast")</f>
        <v>Beast</v>
      </c>
      <c r="E302" s="3">
        <f>IFERROR(__xludf.DUMMYFUNCTION("""COMPUTED_VALUE"""),1010.0)</f>
        <v>1010</v>
      </c>
      <c r="F302" s="12">
        <f>IFERROR(__xludf.DUMMYFUNCTION("""COMPUTED_VALUE"""),1010.0)</f>
        <v>1010</v>
      </c>
      <c r="G302" s="3">
        <f>IFERROR(__xludf.DUMMYFUNCTION("""COMPUTED_VALUE"""),1010.0)</f>
        <v>1010</v>
      </c>
      <c r="H302" s="3">
        <f>IFERROR(__xludf.DUMMYFUNCTION("""COMPUTED_VALUE"""),15.0)</f>
        <v>15</v>
      </c>
      <c r="I302" s="3">
        <f>IFERROR(__xludf.DUMMYFUNCTION("""COMPUTED_VALUE"""),15.0)</f>
        <v>15</v>
      </c>
      <c r="J302" s="3">
        <f>IFERROR(__xludf.DUMMYFUNCTION("""COMPUTED_VALUE"""),0.0)</f>
        <v>0</v>
      </c>
      <c r="K302" s="3">
        <f>IFERROR(__xludf.DUMMYFUNCTION("""COMPUTED_VALUE"""),100.0)</f>
        <v>100</v>
      </c>
      <c r="L302" s="3">
        <f>IFERROR(__xludf.DUMMYFUNCTION("""COMPUTED_VALUE"""),100.0)</f>
        <v>100</v>
      </c>
      <c r="M302" s="3" t="str">
        <f>IFERROR(__xludf.DUMMYFUNCTION("""COMPUTED_VALUE"""),"#REF!")</f>
        <v>#REF!</v>
      </c>
      <c r="N302" s="3" t="str">
        <f>IFERROR(__xludf.DUMMYFUNCTION("""COMPUTED_VALUE"""),"#REF!")</f>
        <v>#REF!</v>
      </c>
      <c r="O302" s="3"/>
      <c r="P302" s="3"/>
      <c r="Q302" s="3"/>
      <c r="R302" s="3"/>
      <c r="S302" s="3"/>
      <c r="T302" s="3"/>
      <c r="U302" s="3"/>
      <c r="V302" s="3"/>
      <c r="W302" s="3"/>
      <c r="X302" s="3"/>
      <c r="Y302" s="3"/>
      <c r="Z302" s="3"/>
      <c r="AA302" s="3"/>
      <c r="AB302" s="3"/>
      <c r="AC302" s="3"/>
      <c r="AD302" s="3"/>
      <c r="AE302" s="3"/>
      <c r="AF302" s="3"/>
      <c r="AG302" s="3"/>
      <c r="AH302" s="3"/>
      <c r="AI302" s="3"/>
      <c r="AJ302" s="3" t="str">
        <f>IFERROR(__xludf.DUMMYFUNCTION("""COMPUTED_VALUE"""),"Water Beam")</f>
        <v>Water Beam</v>
      </c>
      <c r="AK302" s="3" t="str">
        <f>IFERROR(__xludf.DUMMYFUNCTION("""COMPUTED_VALUE"""),"Arrest")</f>
        <v>Arrest</v>
      </c>
      <c r="AL302" s="3" t="str">
        <f>IFERROR(__xludf.DUMMYFUNCTION("""COMPUTED_VALUE"""),"Crashing Waves")</f>
        <v>Crashing Waves</v>
      </c>
      <c r="AM302" s="3" t="str">
        <f>IFERROR(__xludf.DUMMYFUNCTION("""COMPUTED_VALUE"""),"Torrential Downpour")</f>
        <v>Torrential Downpour</v>
      </c>
      <c r="AN302" s="3" t="str">
        <f>IFERROR(__xludf.DUMMYFUNCTION("""COMPUTED_VALUE"""),"Waveless Echo")</f>
        <v>Waveless Echo</v>
      </c>
      <c r="AO302" s="3" t="str">
        <f>IFERROR(__xludf.DUMMYFUNCTION("""COMPUTED_VALUE"""),"Celestial Wrath")</f>
        <v>Celestial Wrath</v>
      </c>
      <c r="AP302" s="3"/>
      <c r="AQ302" s="3"/>
      <c r="AR302" s="3"/>
      <c r="AS302" s="3"/>
      <c r="AT302" s="3"/>
      <c r="AU302" s="3"/>
      <c r="AV302" s="3"/>
      <c r="AW302" s="3"/>
      <c r="AX302" s="3"/>
      <c r="AY302" s="3"/>
      <c r="AZ302" s="3"/>
      <c r="BA302" s="3"/>
      <c r="BB302" s="3"/>
      <c r="BC302" s="1"/>
      <c r="BD302" s="3">
        <f>IFERROR(__xludf.DUMMYFUNCTION("""COMPUTED_VALUE"""),15.0)</f>
        <v>15</v>
      </c>
      <c r="BE302" s="4">
        <f>IFERROR(__xludf.DUMMYFUNCTION("""COMPUTED_VALUE"""),15.0)</f>
        <v>15</v>
      </c>
      <c r="BF302" s="3" t="str">
        <f>IFERROR(__xludf.DUMMYFUNCTION("""COMPUTED_VALUE"""),"50% chance to be unaffected by any spells affecting this mob
50% chance to dodge any attack without fail.
Luck of the Sea: +5 can be added to this mobs rolls.")</f>
        <v>50% chance to be unaffected by any spells affecting this mob
50% chance to dodge any attack without fail.
Luck of the Sea: +5 can be added to this mobs rolls.</v>
      </c>
      <c r="BG302" s="3" t="str">
        <f>IFERROR(__xludf.DUMMYFUNCTION("""COMPUTED_VALUE"""),"Dungeon")</f>
        <v>Dungeon</v>
      </c>
      <c r="BH302" s="3" t="str">
        <f>IFERROR(__xludf.DUMMYFUNCTION("""COMPUTED_VALUE"""),"Land of Spira")</f>
        <v>Land of Spira</v>
      </c>
      <c r="BI302" s="3"/>
      <c r="BJ302" s="3"/>
      <c r="BK302" s="3"/>
      <c r="BL302" s="3" t="b">
        <f>IFERROR(__xludf.DUMMYFUNCTION("""COMPUTED_VALUE"""),FALSE)</f>
        <v>0</v>
      </c>
      <c r="BM302" s="3"/>
      <c r="BN302" s="3"/>
      <c r="BO302" s="3"/>
      <c r="BP302" s="3"/>
      <c r="BQ302" s="3"/>
      <c r="BR302" s="3"/>
      <c r="BS302" s="3"/>
      <c r="BT302" s="3"/>
      <c r="BU302" s="3"/>
      <c r="BV302" s="3"/>
      <c r="BW302" s="3"/>
    </row>
    <row r="303" ht="15.75" customHeight="1">
      <c r="A303" s="3" t="str">
        <f>IFERROR(__xludf.DUMMYFUNCTION("""COMPUTED_VALUE"""),"Bashe The Cursed Sepent")</f>
        <v>Bashe The Cursed Sepent</v>
      </c>
      <c r="B303" s="3">
        <f>IFERROR(__xludf.DUMMYFUNCTION("""COMPUTED_VALUE"""),1.0)</f>
        <v>1</v>
      </c>
      <c r="C303" s="3"/>
      <c r="D303" s="3" t="str">
        <f>IFERROR(__xludf.DUMMYFUNCTION("""COMPUTED_VALUE"""),"Demonic")</f>
        <v>Demonic</v>
      </c>
      <c r="E303" s="3">
        <f>IFERROR(__xludf.DUMMYFUNCTION("""COMPUTED_VALUE"""),1010.0)</f>
        <v>1010</v>
      </c>
      <c r="F303" s="12">
        <f>IFERROR(__xludf.DUMMYFUNCTION("""COMPUTED_VALUE"""),1010.0)</f>
        <v>1010</v>
      </c>
      <c r="G303" s="3">
        <f>IFERROR(__xludf.DUMMYFUNCTION("""COMPUTED_VALUE"""),1010.0)</f>
        <v>1010</v>
      </c>
      <c r="H303" s="3">
        <f>IFERROR(__xludf.DUMMYFUNCTION("""COMPUTED_VALUE"""),20.0)</f>
        <v>20</v>
      </c>
      <c r="I303" s="3">
        <f>IFERROR(__xludf.DUMMYFUNCTION("""COMPUTED_VALUE"""),0.0)</f>
        <v>0</v>
      </c>
      <c r="J303" s="3">
        <f>IFERROR(__xludf.DUMMYFUNCTION("""COMPUTED_VALUE"""),0.0)</f>
        <v>0</v>
      </c>
      <c r="K303" s="3">
        <f>IFERROR(__xludf.DUMMYFUNCTION("""COMPUTED_VALUE"""),100.0)</f>
        <v>100</v>
      </c>
      <c r="L303" s="3">
        <f>IFERROR(__xludf.DUMMYFUNCTION("""COMPUTED_VALUE"""),100.0)</f>
        <v>100</v>
      </c>
      <c r="M303" s="3" t="str">
        <f>IFERROR(__xludf.DUMMYFUNCTION("""COMPUTED_VALUE"""),"Fire:Immune, Water:Immune, ")</f>
        <v>Fire:Immune, Water:Immune, </v>
      </c>
      <c r="N303" s="3" t="str">
        <f>IFERROR(__xludf.DUMMYFUNCTION("""COMPUTED_VALUE"""),"Nature:100, ")</f>
        <v>Nature:100, </v>
      </c>
      <c r="O303" s="3"/>
      <c r="P303" s="3"/>
      <c r="Q303" s="3"/>
      <c r="R303" s="3"/>
      <c r="S303" s="3"/>
      <c r="T303" s="3"/>
      <c r="U303" s="3"/>
      <c r="V303" s="3"/>
      <c r="W303" s="3"/>
      <c r="X303" s="3"/>
      <c r="Y303" s="3"/>
      <c r="Z303" s="3"/>
      <c r="AA303" s="3"/>
      <c r="AB303" s="3"/>
      <c r="AC303" s="3"/>
      <c r="AD303" s="3"/>
      <c r="AE303" s="3"/>
      <c r="AF303" s="3"/>
      <c r="AG303" s="3"/>
      <c r="AH303" s="3"/>
      <c r="AI303" s="3"/>
      <c r="AJ303" s="3" t="str">
        <f>IFERROR(__xludf.DUMMYFUNCTION("""COMPUTED_VALUE"""),"The World Tree")</f>
        <v>The World Tree</v>
      </c>
      <c r="AK303" s="3" t="str">
        <f>IFERROR(__xludf.DUMMYFUNCTION("""COMPUTED_VALUE"""),"Vine Hold")</f>
        <v>Vine Hold</v>
      </c>
      <c r="AL303" s="3" t="str">
        <f>IFERROR(__xludf.DUMMYFUNCTION("""COMPUTED_VALUE"""),"Thorn Bush")</f>
        <v>Thorn Bush</v>
      </c>
      <c r="AM303" s="3" t="str">
        <f>IFERROR(__xludf.DUMMYFUNCTION("""COMPUTED_VALUE"""),"Voodoo Meteor Shower")</f>
        <v>Voodoo Meteor Shower</v>
      </c>
      <c r="AN303" s="3" t="str">
        <f>IFERROR(__xludf.DUMMYFUNCTION("""COMPUTED_VALUE"""),"Last Gamble")</f>
        <v>Last Gamble</v>
      </c>
      <c r="AO303" s="3" t="str">
        <f>IFERROR(__xludf.DUMMYFUNCTION("""COMPUTED_VALUE"""),"Darkest Abyss")</f>
        <v>Darkest Abyss</v>
      </c>
      <c r="AP303" s="3" t="str">
        <f>IFERROR(__xludf.DUMMYFUNCTION("""COMPUTED_VALUE"""),"Dark Force")</f>
        <v>Dark Force</v>
      </c>
      <c r="AQ303" s="3" t="str">
        <f>IFERROR(__xludf.DUMMYFUNCTION("""COMPUTED_VALUE"""),"Chaincast")</f>
        <v>Chaincast</v>
      </c>
      <c r="AR303" s="3" t="str">
        <f>IFERROR(__xludf.DUMMYFUNCTION("""COMPUTED_VALUE"""),"Multishot")</f>
        <v>Multishot</v>
      </c>
      <c r="AS303" s="3" t="str">
        <f>IFERROR(__xludf.DUMMYFUNCTION("""COMPUTED_VALUE"""),"Mass Destruction")</f>
        <v>Mass Destruction</v>
      </c>
      <c r="AT303" s="3" t="str">
        <f>IFERROR(__xludf.DUMMYFUNCTION("""COMPUTED_VALUE"""),"Cancel")</f>
        <v>Cancel</v>
      </c>
      <c r="AU303" s="3" t="str">
        <f>IFERROR(__xludf.DUMMYFUNCTION("""COMPUTED_VALUE"""),"Berserk")</f>
        <v>Berserk</v>
      </c>
      <c r="AV303" s="3"/>
      <c r="AW303" s="3"/>
      <c r="AX303" s="3"/>
      <c r="AY303" s="3"/>
      <c r="AZ303" s="3"/>
      <c r="BA303" s="3"/>
      <c r="BB303" s="3"/>
      <c r="BC303" s="1"/>
      <c r="BD303" s="3">
        <f>IFERROR(__xludf.DUMMYFUNCTION("""COMPUTED_VALUE"""),0.0)</f>
        <v>0</v>
      </c>
      <c r="BE303" s="4">
        <f>IFERROR(__xludf.DUMMYFUNCTION("""COMPUTED_VALUE"""),20.0)</f>
        <v>20</v>
      </c>
      <c r="BF303" s="3" t="str">
        <f>IFERROR(__xludf.DUMMYFUNCTION("""COMPUTED_VALUE"""),"75% chance to be unaffected by any spells affecting this mob
Serpents Luck II:  +10 can be added to the casters d20 rolls.
Serpents Curse of Fiji: Percentage Rolls will automatically fail for the enemies of this mob.")</f>
        <v>75% chance to be unaffected by any spells affecting this mob
Serpents Luck II:  +10 can be added to the casters d20 rolls.
Serpents Curse of Fiji: Percentage Rolls will automatically fail for the enemies of this mob.</v>
      </c>
      <c r="BG303" s="3" t="str">
        <f>IFERROR(__xludf.DUMMYFUNCTION("""COMPUTED_VALUE"""),"Dungeon")</f>
        <v>Dungeon</v>
      </c>
      <c r="BH303" s="3" t="str">
        <f>IFERROR(__xludf.DUMMYFUNCTION("""COMPUTED_VALUE"""),"Land of Spira")</f>
        <v>Land of Spira</v>
      </c>
      <c r="BI303" s="3"/>
      <c r="BJ303" s="3"/>
      <c r="BK303" s="3"/>
      <c r="BL303" s="3" t="b">
        <f>IFERROR(__xludf.DUMMYFUNCTION("""COMPUTED_VALUE"""),FALSE)</f>
        <v>0</v>
      </c>
      <c r="BM303" s="3"/>
      <c r="BN303" s="3"/>
      <c r="BO303" s="3"/>
      <c r="BP303" s="3"/>
      <c r="BQ303" s="3"/>
      <c r="BR303" s="3"/>
      <c r="BS303" s="3"/>
      <c r="BT303" s="3"/>
      <c r="BU303" s="3"/>
      <c r="BV303" s="3"/>
      <c r="BW303" s="3"/>
    </row>
    <row r="304" ht="15.75" customHeight="1">
      <c r="A304" s="3" t="str">
        <f>IFERROR(__xludf.DUMMYFUNCTION("""COMPUTED_VALUE"""),"Grash, The Oni of Fiji")</f>
        <v>Grash, The Oni of Fiji</v>
      </c>
      <c r="B304" s="3">
        <f>IFERROR(__xludf.DUMMYFUNCTION("""COMPUTED_VALUE"""),1.0)</f>
        <v>1</v>
      </c>
      <c r="C304" s="3" t="str">
        <f>IFERROR(__xludf.DUMMYFUNCTION("""COMPUTED_VALUE"""),"A demon guardian of Fiji, Eternally pissed off at nothing in particular")</f>
        <v>A demon guardian of Fiji, Eternally pissed off at nothing in particular</v>
      </c>
      <c r="D304" s="3" t="str">
        <f>IFERROR(__xludf.DUMMYFUNCTION("""COMPUTED_VALUE"""),"Demonic")</f>
        <v>Demonic</v>
      </c>
      <c r="E304" s="3">
        <f>IFERROR(__xludf.DUMMYFUNCTION("""COMPUTED_VALUE"""),1010.0)</f>
        <v>1010</v>
      </c>
      <c r="F304" s="12">
        <f>IFERROR(__xludf.DUMMYFUNCTION("""COMPUTED_VALUE"""),1010.0)</f>
        <v>1010</v>
      </c>
      <c r="G304" s="3">
        <f>IFERROR(__xludf.DUMMYFUNCTION("""COMPUTED_VALUE"""),1010.0)</f>
        <v>1010</v>
      </c>
      <c r="H304" s="3">
        <f>IFERROR(__xludf.DUMMYFUNCTION("""COMPUTED_VALUE"""),15.0)</f>
        <v>15</v>
      </c>
      <c r="I304" s="3">
        <f>IFERROR(__xludf.DUMMYFUNCTION("""COMPUTED_VALUE"""),0.0)</f>
        <v>0</v>
      </c>
      <c r="J304" s="3">
        <f>IFERROR(__xludf.DUMMYFUNCTION("""COMPUTED_VALUE"""),0.0)</f>
        <v>0</v>
      </c>
      <c r="K304" s="3">
        <f>IFERROR(__xludf.DUMMYFUNCTION("""COMPUTED_VALUE"""),100.0)</f>
        <v>100</v>
      </c>
      <c r="L304" s="3">
        <f>IFERROR(__xludf.DUMMYFUNCTION("""COMPUTED_VALUE"""),100.0)</f>
        <v>100</v>
      </c>
      <c r="M304" s="3" t="str">
        <f>IFERROR(__xludf.DUMMYFUNCTION("""COMPUTED_VALUE"""),"Fire:Immune, Dark:100, Ranged:Immune, Voodoo:Immune, Zen:Immune, Instant Death:Immune, Banishment:Immune, ")</f>
        <v>Fire:Immune, Dark:100, Ranged:Immune, Voodoo:Immune, Zen:Immune, Instant Death:Immune, Banishment:Immune, </v>
      </c>
      <c r="N304" s="3" t="str">
        <f>IFERROR(__xludf.DUMMYFUNCTION("""COMPUTED_VALUE"""),"Light:100, Order:100, Physical:100, ")</f>
        <v>Light:100, Order:100, Physical:100, </v>
      </c>
      <c r="O304" s="3" t="str">
        <f>IFERROR(__xludf.DUMMYFUNCTION("""COMPUTED_VALUE"""),"Ancient Oni Mask")</f>
        <v>Ancient Oni Mask</v>
      </c>
      <c r="P304" s="3" t="str">
        <f>IFERROR(__xludf.DUMMYFUNCTION("""COMPUTED_VALUE"""),"Black Crystal Necklace of Luck")</f>
        <v>Black Crystal Necklace of Luck</v>
      </c>
      <c r="Q304" s="3"/>
      <c r="R304" s="3"/>
      <c r="S304" s="3" t="str">
        <f>IFERROR(__xludf.DUMMYFUNCTION("""COMPUTED_VALUE"""),"Ancient Oni Pauldrons")</f>
        <v>Ancient Oni Pauldrons</v>
      </c>
      <c r="T304" s="3" t="str">
        <f>IFERROR(__xludf.DUMMYFUNCTION("""COMPUTED_VALUE"""),"Ancient Oni Chestplate")</f>
        <v>Ancient Oni Chestplate</v>
      </c>
      <c r="U304" s="3" t="str">
        <f>IFERROR(__xludf.DUMMYFUNCTION("""COMPUTED_VALUE"""),"Ancient Oni Vambraces")</f>
        <v>Ancient Oni Vambraces</v>
      </c>
      <c r="V304" s="3" t="str">
        <f>IFERROR(__xludf.DUMMYFUNCTION("""COMPUTED_VALUE"""),"Ancient Oni Katana")</f>
        <v>Ancient Oni Katana</v>
      </c>
      <c r="W304" s="3" t="str">
        <f>IFERROR(__xludf.DUMMYFUNCTION("""COMPUTED_VALUE"""),"Shining Katana")</f>
        <v>Shining Katana</v>
      </c>
      <c r="X304" s="3"/>
      <c r="Y304" s="3"/>
      <c r="Z304" s="3"/>
      <c r="AA304" s="3"/>
      <c r="AB304" s="3"/>
      <c r="AC304" s="3"/>
      <c r="AD304" s="3"/>
      <c r="AE304" s="3"/>
      <c r="AF304" s="3"/>
      <c r="AG304" s="3"/>
      <c r="AH304" s="3" t="str">
        <f>IFERROR(__xludf.DUMMYFUNCTION("""COMPUTED_VALUE"""),"Ancient Oni Greaves")</f>
        <v>Ancient Oni Greaves</v>
      </c>
      <c r="AI304" s="3" t="str">
        <f>IFERROR(__xludf.DUMMYFUNCTION("""COMPUTED_VALUE"""),"Ancient Oni Boots")</f>
        <v>Ancient Oni Boots</v>
      </c>
      <c r="AJ304" s="3" t="str">
        <f>IFERROR(__xludf.DUMMYFUNCTION("""COMPUTED_VALUE"""),"Berserk")</f>
        <v>Berserk</v>
      </c>
      <c r="AK304" s="3" t="str">
        <f>IFERROR(__xludf.DUMMYFUNCTION("""COMPUTED_VALUE"""),"The All Knowing Eye")</f>
        <v>The All Knowing Eye</v>
      </c>
      <c r="AL304" s="3" t="str">
        <f>IFERROR(__xludf.DUMMYFUNCTION("""COMPUTED_VALUE"""),"Max Focus")</f>
        <v>Max Focus</v>
      </c>
      <c r="AM304" s="3" t="str">
        <f>IFERROR(__xludf.DUMMYFUNCTION("""COMPUTED_VALUE"""),"FlashStep")</f>
        <v>FlashStep</v>
      </c>
      <c r="AN304" s="3" t="str">
        <f>IFERROR(__xludf.DUMMYFUNCTION("""COMPUTED_VALUE"""),"End The Voodoo Contract")</f>
        <v>End The Voodoo Contract</v>
      </c>
      <c r="AO304" s="3" t="str">
        <f>IFERROR(__xludf.DUMMYFUNCTION("""COMPUTED_VALUE"""),"Voodoo Meteor Shower")</f>
        <v>Voodoo Meteor Shower</v>
      </c>
      <c r="AP304" s="3" t="str">
        <f>IFERROR(__xludf.DUMMYFUNCTION("""COMPUTED_VALUE"""),"Multi-Magic")</f>
        <v>Multi-Magic</v>
      </c>
      <c r="AQ304" s="3" t="str">
        <f>IFERROR(__xludf.DUMMYFUNCTION("""COMPUTED_VALUE"""),"Stand in")</f>
        <v>Stand in</v>
      </c>
      <c r="AR304" s="3" t="str">
        <f>IFERROR(__xludf.DUMMYFUNCTION("""COMPUTED_VALUE"""),"Chaincast")</f>
        <v>Chaincast</v>
      </c>
      <c r="AS304" s="3" t="str">
        <f>IFERROR(__xludf.DUMMYFUNCTION("""COMPUTED_VALUE"""),"Mass Destruction")</f>
        <v>Mass Destruction</v>
      </c>
      <c r="AT304" s="3" t="str">
        <f>IFERROR(__xludf.DUMMYFUNCTION("""COMPUTED_VALUE"""),"Grash's Smashing Success")</f>
        <v>Grash's Smashing Success</v>
      </c>
      <c r="AU304" s="3"/>
      <c r="AV304" s="3"/>
      <c r="AW304" s="3"/>
      <c r="AX304" s="3"/>
      <c r="AY304" s="3"/>
      <c r="AZ304" s="3"/>
      <c r="BA304" s="3"/>
      <c r="BB304" s="3"/>
      <c r="BC304" s="1"/>
      <c r="BD304" s="3">
        <f>IFERROR(__xludf.DUMMYFUNCTION("""COMPUTED_VALUE"""),0.0)</f>
        <v>0</v>
      </c>
      <c r="BE304" s="4">
        <f>IFERROR(__xludf.DUMMYFUNCTION("""COMPUTED_VALUE"""),15.0)</f>
        <v>15</v>
      </c>
      <c r="BF304" s="3" t="str">
        <f>IFERROR(__xludf.DUMMYFUNCTION("""COMPUTED_VALUE"""),"50% chance to be unaffected by any spells affecting this mob.
50% chance to dodge any attack without fail.
Cursed Speed II: +10 can be added to this mob's rolls
Oni's Rage: When attacking with a weapon this mob can choose to attack two targets in one t"&amp;"urn with a weapon(s) only.
Items can not be stolen from this mob")</f>
        <v>50% chance to be unaffected by any spells affecting this mob.
50% chance to dodge any attack without fail.
Cursed Speed II: +10 can be added to this mob's rolls
Oni's Rage: When attacking with a weapon this mob can choose to attack two targets in one turn with a weapon(s) only.
Items can not be stolen from this mob</v>
      </c>
      <c r="BG304" s="3" t="str">
        <f>IFERROR(__xludf.DUMMYFUNCTION("""COMPUTED_VALUE"""),"Dungeon")</f>
        <v>Dungeon</v>
      </c>
      <c r="BH304" s="3" t="str">
        <f>IFERROR(__xludf.DUMMYFUNCTION("""COMPUTED_VALUE"""),"Land of Spira")</f>
        <v>Land of Spira</v>
      </c>
      <c r="BI304" s="3"/>
      <c r="BJ304" s="3"/>
      <c r="BK304" s="3"/>
      <c r="BL304" s="3" t="b">
        <f>IFERROR(__xludf.DUMMYFUNCTION("""COMPUTED_VALUE"""),FALSE)</f>
        <v>0</v>
      </c>
      <c r="BM304" s="3"/>
      <c r="BN304" s="3"/>
      <c r="BO304" s="3"/>
      <c r="BP304" s="3"/>
      <c r="BQ304" s="3"/>
      <c r="BR304" s="3"/>
      <c r="BS304" s="3"/>
      <c r="BT304" s="3"/>
      <c r="BU304" s="3"/>
      <c r="BV304" s="3"/>
      <c r="BW304" s="3"/>
    </row>
    <row r="305" ht="15.75" customHeight="1">
      <c r="A305" s="3" t="str">
        <f>IFERROR(__xludf.DUMMYFUNCTION("""COMPUTED_VALUE"""),"The Black Tortoise ")</f>
        <v>The Black Tortoise </v>
      </c>
      <c r="B305" s="3">
        <f>IFERROR(__xludf.DUMMYFUNCTION("""COMPUTED_VALUE"""),1.0)</f>
        <v>1</v>
      </c>
      <c r="C305" s="3" t="str">
        <f>IFERROR(__xludf.DUMMYFUNCTION("""COMPUTED_VALUE"""),"A mythological creature, usually depicted as a turtle-and-snake.")</f>
        <v>A mythological creature, usually depicted as a turtle-and-snake.</v>
      </c>
      <c r="D305" s="3" t="str">
        <f>IFERROR(__xludf.DUMMYFUNCTION("""COMPUTED_VALUE"""),"Beast")</f>
        <v>Beast</v>
      </c>
      <c r="E305" s="3">
        <f>IFERROR(__xludf.DUMMYFUNCTION("""COMPUTED_VALUE"""),1010.0)</f>
        <v>1010</v>
      </c>
      <c r="F305" s="12">
        <f>IFERROR(__xludf.DUMMYFUNCTION("""COMPUTED_VALUE"""),1010.0)</f>
        <v>1010</v>
      </c>
      <c r="G305" s="3">
        <f>IFERROR(__xludf.DUMMYFUNCTION("""COMPUTED_VALUE"""),1010.0)</f>
        <v>1010</v>
      </c>
      <c r="H305" s="3">
        <f>IFERROR(__xludf.DUMMYFUNCTION("""COMPUTED_VALUE"""),10.0)</f>
        <v>10</v>
      </c>
      <c r="I305" s="3">
        <f>IFERROR(__xludf.DUMMYFUNCTION("""COMPUTED_VALUE"""),0.0)</f>
        <v>0</v>
      </c>
      <c r="J305" s="3">
        <f>IFERROR(__xludf.DUMMYFUNCTION("""COMPUTED_VALUE"""),0.0)</f>
        <v>0</v>
      </c>
      <c r="K305" s="3">
        <f>IFERROR(__xludf.DUMMYFUNCTION("""COMPUTED_VALUE"""),100.0)</f>
        <v>100</v>
      </c>
      <c r="L305" s="3">
        <f>IFERROR(__xludf.DUMMYFUNCTION("""COMPUTED_VALUE"""),100.0)</f>
        <v>100</v>
      </c>
      <c r="M305" s="3" t="str">
        <f>IFERROR(__xludf.DUMMYFUNCTION("""COMPUTED_VALUE"""),"Dark:Immune, Voodoo:Immune, Instant Death:Immune, Banishment:Immune, ")</f>
        <v>Dark:Immune, Voodoo:Immune, Instant Death:Immune, Banishment:Immune, </v>
      </c>
      <c r="N305" s="3" t="str">
        <f>IFERROR(__xludf.DUMMYFUNCTION("""COMPUTED_VALUE"""),"Light:100, Order:100, ")</f>
        <v>Light:100, Order:100, </v>
      </c>
      <c r="O305" s="3"/>
      <c r="P305" s="3"/>
      <c r="Q305" s="3"/>
      <c r="R305" s="3"/>
      <c r="S305" s="3"/>
      <c r="T305" s="3" t="str">
        <f>IFERROR(__xludf.DUMMYFUNCTION("""COMPUTED_VALUE"""),"Reinforced Tortoise Shell")</f>
        <v>Reinforced Tortoise Shell</v>
      </c>
      <c r="U305" s="3"/>
      <c r="V305" s="3"/>
      <c r="W305" s="3" t="str">
        <f>IFERROR(__xludf.DUMMYFUNCTION("""COMPUTED_VALUE"""),"Tortoise Shell Shield")</f>
        <v>Tortoise Shell Shield</v>
      </c>
      <c r="X305" s="3"/>
      <c r="Y305" s="3"/>
      <c r="Z305" s="3"/>
      <c r="AA305" s="3"/>
      <c r="AB305" s="3"/>
      <c r="AC305" s="3"/>
      <c r="AD305" s="3"/>
      <c r="AE305" s="3"/>
      <c r="AF305" s="3"/>
      <c r="AG305" s="3"/>
      <c r="AH305" s="3"/>
      <c r="AI305" s="3"/>
      <c r="AJ305" s="3" t="str">
        <f>IFERROR(__xludf.DUMMYFUNCTION("""COMPUTED_VALUE"""),"Bite")</f>
        <v>Bite</v>
      </c>
      <c r="AK305" s="3" t="str">
        <f>IFERROR(__xludf.DUMMYFUNCTION("""COMPUTED_VALUE"""),"Darkest Abyss")</f>
        <v>Darkest Abyss</v>
      </c>
      <c r="AL305" s="3" t="str">
        <f>IFERROR(__xludf.DUMMYFUNCTION("""COMPUTED_VALUE"""),"Dark Curse")</f>
        <v>Dark Curse</v>
      </c>
      <c r="AM305" s="3" t="str">
        <f>IFERROR(__xludf.DUMMYFUNCTION("""COMPUTED_VALUE"""),"Voodoo Meteor Shower")</f>
        <v>Voodoo Meteor Shower</v>
      </c>
      <c r="AN305" s="3" t="str">
        <f>IFERROR(__xludf.DUMMYFUNCTION("""COMPUTED_VALUE"""),"Last Gamble")</f>
        <v>Last Gamble</v>
      </c>
      <c r="AO305" s="3" t="str">
        <f>IFERROR(__xludf.DUMMYFUNCTION("""COMPUTED_VALUE"""),"Multi-Magic")</f>
        <v>Multi-Magic</v>
      </c>
      <c r="AP305" s="3" t="str">
        <f>IFERROR(__xludf.DUMMYFUNCTION("""COMPUTED_VALUE"""),"Berserk")</f>
        <v>Berserk</v>
      </c>
      <c r="AQ305" s="3" t="str">
        <f>IFERROR(__xludf.DUMMYFUNCTION("""COMPUTED_VALUE"""),"Celestial Wrath")</f>
        <v>Celestial Wrath</v>
      </c>
      <c r="AR305" s="3"/>
      <c r="AS305" s="3"/>
      <c r="AT305" s="3"/>
      <c r="AU305" s="3"/>
      <c r="AV305" s="3"/>
      <c r="AW305" s="3"/>
      <c r="AX305" s="3"/>
      <c r="AY305" s="3"/>
      <c r="AZ305" s="3"/>
      <c r="BA305" s="3"/>
      <c r="BB305" s="3"/>
      <c r="BC305" s="1"/>
      <c r="BD305" s="3">
        <f>IFERROR(__xludf.DUMMYFUNCTION("""COMPUTED_VALUE"""),0.0)</f>
        <v>0</v>
      </c>
      <c r="BE305" s="4">
        <f>IFERROR(__xludf.DUMMYFUNCTION("""COMPUTED_VALUE"""),10.0)</f>
        <v>10</v>
      </c>
      <c r="BF305" s="3" t="str">
        <f>IFERROR(__xludf.DUMMYFUNCTION("""COMPUTED_VALUE"""),"50% chance to be unaffected by any spells affecting this mob.
Bashe's Luck: +5 can be added to this mob's rolls
Max Defense: X4 defense for this mob at all times.
Items can not be stolen from this mob")</f>
        <v>50% chance to be unaffected by any spells affecting this mob.
Bashe's Luck: +5 can be added to this mob's rolls
Max Defense: X4 defense for this mob at all times.
Items can not be stolen from this mob</v>
      </c>
      <c r="BG305" s="3" t="str">
        <f>IFERROR(__xludf.DUMMYFUNCTION("""COMPUTED_VALUE"""),"Dungeon")</f>
        <v>Dungeon</v>
      </c>
      <c r="BH305" s="3" t="str">
        <f>IFERROR(__xludf.DUMMYFUNCTION("""COMPUTED_VALUE"""),"Land of Spira")</f>
        <v>Land of Spira</v>
      </c>
      <c r="BI305" s="3"/>
      <c r="BJ305" s="3"/>
      <c r="BK305" s="3"/>
      <c r="BL305" s="3" t="b">
        <f>IFERROR(__xludf.DUMMYFUNCTION("""COMPUTED_VALUE"""),FALSE)</f>
        <v>0</v>
      </c>
      <c r="BM305" s="3"/>
      <c r="BN305" s="3"/>
      <c r="BO305" s="3"/>
      <c r="BP305" s="3"/>
      <c r="BQ305" s="3"/>
      <c r="BR305" s="3"/>
      <c r="BS305" s="3"/>
      <c r="BT305" s="3"/>
      <c r="BU305" s="3"/>
      <c r="BV305" s="3"/>
      <c r="BW305" s="3"/>
    </row>
    <row r="306" ht="15.75" customHeight="1">
      <c r="A306" s="3" t="str">
        <f>IFERROR(__xludf.DUMMYFUNCTION("""COMPUTED_VALUE"""),"Ninja of Bashe")</f>
        <v>Ninja of Bashe</v>
      </c>
      <c r="B306" s="3">
        <f>IFERROR(__xludf.DUMMYFUNCTION("""COMPUTED_VALUE"""),1.0)</f>
        <v>1</v>
      </c>
      <c r="C306" s="3"/>
      <c r="D306" s="3" t="str">
        <f>IFERROR(__xludf.DUMMYFUNCTION("""COMPUTED_VALUE"""),"Humanoid")</f>
        <v>Humanoid</v>
      </c>
      <c r="E306" s="3">
        <f>IFERROR(__xludf.DUMMYFUNCTION("""COMPUTED_VALUE"""),1010.0)</f>
        <v>1010</v>
      </c>
      <c r="F306" s="12">
        <f>IFERROR(__xludf.DUMMYFUNCTION("""COMPUTED_VALUE"""),1010.0)</f>
        <v>1010</v>
      </c>
      <c r="G306" s="3">
        <f>IFERROR(__xludf.DUMMYFUNCTION("""COMPUTED_VALUE"""),1010.0)</f>
        <v>1010</v>
      </c>
      <c r="H306" s="3">
        <f>IFERROR(__xludf.DUMMYFUNCTION("""COMPUTED_VALUE"""),20.0)</f>
        <v>20</v>
      </c>
      <c r="I306" s="3">
        <f>IFERROR(__xludf.DUMMYFUNCTION("""COMPUTED_VALUE"""),0.0)</f>
        <v>0</v>
      </c>
      <c r="J306" s="3">
        <f>IFERROR(__xludf.DUMMYFUNCTION("""COMPUTED_VALUE"""),0.0)</f>
        <v>0</v>
      </c>
      <c r="K306" s="3">
        <f>IFERROR(__xludf.DUMMYFUNCTION("""COMPUTED_VALUE"""),100.0)</f>
        <v>100</v>
      </c>
      <c r="L306" s="3">
        <f>IFERROR(__xludf.DUMMYFUNCTION("""COMPUTED_VALUE"""),100.0)</f>
        <v>100</v>
      </c>
      <c r="M306" s="3" t="str">
        <f>IFERROR(__xludf.DUMMYFUNCTION("""COMPUTED_VALUE"""),"Dark:100, Chaos:100, Voodoo:Immune, Instant Death:Immune, ")</f>
        <v>Dark:100, Chaos:100, Voodoo:Immune, Instant Death:Immune, </v>
      </c>
      <c r="N306" s="3" t="str">
        <f>IFERROR(__xludf.DUMMYFUNCTION("""COMPUTED_VALUE"""),"")</f>
        <v/>
      </c>
      <c r="O306" s="3"/>
      <c r="P306" s="3"/>
      <c r="Q306" s="3"/>
      <c r="R306" s="3"/>
      <c r="S306" s="3"/>
      <c r="T306" s="3" t="str">
        <f>IFERROR(__xludf.DUMMYFUNCTION("""COMPUTED_VALUE"""),"Masking Cloak")</f>
        <v>Masking Cloak</v>
      </c>
      <c r="U306" s="3"/>
      <c r="V306" s="3" t="str">
        <f>IFERROR(__xludf.DUMMYFUNCTION("""COMPUTED_VALUE"""),"Blood Katana")</f>
        <v>Blood Katana</v>
      </c>
      <c r="W306" s="3" t="str">
        <f>IFERROR(__xludf.DUMMYFUNCTION("""COMPUTED_VALUE"""),"Shuriken")</f>
        <v>Shuriken</v>
      </c>
      <c r="X306" s="3" t="str">
        <f>IFERROR(__xludf.DUMMYFUNCTION("""COMPUTED_VALUE"""),"Ring of Darkness")</f>
        <v>Ring of Darkness</v>
      </c>
      <c r="Y306" s="3"/>
      <c r="Z306" s="3"/>
      <c r="AA306" s="3"/>
      <c r="AB306" s="3"/>
      <c r="AC306" s="3"/>
      <c r="AD306" s="3"/>
      <c r="AE306" s="3"/>
      <c r="AF306" s="3"/>
      <c r="AG306" s="3"/>
      <c r="AH306" s="3"/>
      <c r="AI306" s="3"/>
      <c r="AJ306" s="3" t="str">
        <f>IFERROR(__xludf.DUMMYFUNCTION("""COMPUTED_VALUE"""),"Dark Curse")</f>
        <v>Dark Curse</v>
      </c>
      <c r="AK306" s="3" t="str">
        <f>IFERROR(__xludf.DUMMYFUNCTION("""COMPUTED_VALUE"""),"Dark Force")</f>
        <v>Dark Force</v>
      </c>
      <c r="AL306" s="3" t="str">
        <f>IFERROR(__xludf.DUMMYFUNCTION("""COMPUTED_VALUE"""),"Devolve")</f>
        <v>Devolve</v>
      </c>
      <c r="AM306" s="3" t="str">
        <f>IFERROR(__xludf.DUMMYFUNCTION("""COMPUTED_VALUE"""),"Bloody Alliance")</f>
        <v>Bloody Alliance</v>
      </c>
      <c r="AN306" s="3" t="str">
        <f>IFERROR(__xludf.DUMMYFUNCTION("""COMPUTED_VALUE"""),"Damage With A Cost.")</f>
        <v>Damage With A Cost.</v>
      </c>
      <c r="AO306" s="3" t="str">
        <f>IFERROR(__xludf.DUMMYFUNCTION("""COMPUTED_VALUE"""),"Pick Pocket")</f>
        <v>Pick Pocket</v>
      </c>
      <c r="AP306" s="3" t="str">
        <f>IFERROR(__xludf.DUMMYFUNCTION("""COMPUTED_VALUE"""),"Conceal")</f>
        <v>Conceal</v>
      </c>
      <c r="AQ306" s="3"/>
      <c r="AR306" s="3"/>
      <c r="AS306" s="3"/>
      <c r="AT306" s="3"/>
      <c r="AU306" s="3"/>
      <c r="AV306" s="3"/>
      <c r="AW306" s="3"/>
      <c r="AX306" s="3"/>
      <c r="AY306" s="3"/>
      <c r="AZ306" s="3"/>
      <c r="BA306" s="3"/>
      <c r="BB306" s="3"/>
      <c r="BC306" s="1"/>
      <c r="BD306" s="3">
        <f>IFERROR(__xludf.DUMMYFUNCTION("""COMPUTED_VALUE"""),0.0)</f>
        <v>0</v>
      </c>
      <c r="BE306" s="4">
        <f>IFERROR(__xludf.DUMMYFUNCTION("""COMPUTED_VALUE"""),20.0)</f>
        <v>20</v>
      </c>
      <c r="BF306" s="3" t="str">
        <f>IFERROR(__xludf.DUMMYFUNCTION("""COMPUTED_VALUE"""),"A Dark Calling: +5 can be added to this mobs rolls.
This mob can roll a d40 when fleeing.
+5 to mobility and evasion.
50% chance to instantly kill a target when attacking them.")</f>
        <v>A Dark Calling: +5 can be added to this mobs rolls.
This mob can roll a d40 when fleeing.
+5 to mobility and evasion.
50% chance to instantly kill a target when attacking them.</v>
      </c>
      <c r="BG306" s="3" t="str">
        <f>IFERROR(__xludf.DUMMYFUNCTION("""COMPUTED_VALUE"""),"All")</f>
        <v>All</v>
      </c>
      <c r="BH306" s="3" t="str">
        <f>IFERROR(__xludf.DUMMYFUNCTION("""COMPUTED_VALUE"""),"Land of Spira")</f>
        <v>Land of Spira</v>
      </c>
      <c r="BI306" s="3"/>
      <c r="BJ306" s="3"/>
      <c r="BK306" s="3"/>
      <c r="BL306" s="3" t="b">
        <f>IFERROR(__xludf.DUMMYFUNCTION("""COMPUTED_VALUE"""),FALSE)</f>
        <v>0</v>
      </c>
      <c r="BM306" s="3"/>
      <c r="BN306" s="3"/>
      <c r="BO306" s="3"/>
      <c r="BP306" s="3"/>
      <c r="BQ306" s="3"/>
      <c r="BR306" s="3"/>
      <c r="BS306" s="3"/>
      <c r="BT306" s="3"/>
      <c r="BU306" s="3"/>
      <c r="BV306" s="3"/>
      <c r="BW306" s="3"/>
    </row>
    <row r="307" ht="15.75" customHeight="1">
      <c r="A307" s="3" t="str">
        <f>IFERROR(__xludf.DUMMYFUNCTION("""COMPUTED_VALUE"""),"PyroShell")</f>
        <v>PyroShell</v>
      </c>
      <c r="B307" s="3">
        <f>IFERROR(__xludf.DUMMYFUNCTION("""COMPUTED_VALUE"""),1.0)</f>
        <v>1</v>
      </c>
      <c r="C307" s="3"/>
      <c r="D307" s="3" t="str">
        <f>IFERROR(__xludf.DUMMYFUNCTION("""COMPUTED_VALUE"""),"Beast")</f>
        <v>Beast</v>
      </c>
      <c r="E307" s="3">
        <f>IFERROR(__xludf.DUMMYFUNCTION("""COMPUTED_VALUE"""),1010.0)</f>
        <v>1010</v>
      </c>
      <c r="F307" s="12">
        <f>IFERROR(__xludf.DUMMYFUNCTION("""COMPUTED_VALUE"""),1010.0)</f>
        <v>1010</v>
      </c>
      <c r="G307" s="3">
        <f>IFERROR(__xludf.DUMMYFUNCTION("""COMPUTED_VALUE"""),1010.0)</f>
        <v>1010</v>
      </c>
      <c r="H307" s="3">
        <f>IFERROR(__xludf.DUMMYFUNCTION("""COMPUTED_VALUE"""),10.0)</f>
        <v>10</v>
      </c>
      <c r="I307" s="3">
        <f>IFERROR(__xludf.DUMMYFUNCTION("""COMPUTED_VALUE"""),0.0)</f>
        <v>0</v>
      </c>
      <c r="J307" s="3">
        <f>IFERROR(__xludf.DUMMYFUNCTION("""COMPUTED_VALUE"""),0.0)</f>
        <v>0</v>
      </c>
      <c r="K307" s="3">
        <f>IFERROR(__xludf.DUMMYFUNCTION("""COMPUTED_VALUE"""),100.0)</f>
        <v>100</v>
      </c>
      <c r="L307" s="3">
        <f>IFERROR(__xludf.DUMMYFUNCTION("""COMPUTED_VALUE"""),100.0)</f>
        <v>100</v>
      </c>
      <c r="M307" s="3" t="str">
        <f>IFERROR(__xludf.DUMMYFUNCTION("""COMPUTED_VALUE"""),"Fire:Immune, Instant Death:Immune, Banishment:Immune, ")</f>
        <v>Fire:Immune, Instant Death:Immune, Banishment:Immune, </v>
      </c>
      <c r="N307" s="3" t="str">
        <f>IFERROR(__xludf.DUMMYFUNCTION("""COMPUTED_VALUE"""),"Water:100, Earth:100, ")</f>
        <v>Water:100, Earth:100, </v>
      </c>
      <c r="O307" s="3"/>
      <c r="P307" s="3"/>
      <c r="Q307" s="3"/>
      <c r="R307" s="3"/>
      <c r="S307" s="3"/>
      <c r="T307" s="3"/>
      <c r="U307" s="3"/>
      <c r="V307" s="3"/>
      <c r="W307" s="3"/>
      <c r="X307" s="3"/>
      <c r="Y307" s="3"/>
      <c r="Z307" s="3"/>
      <c r="AA307" s="3"/>
      <c r="AB307" s="3"/>
      <c r="AC307" s="3"/>
      <c r="AD307" s="3"/>
      <c r="AE307" s="3"/>
      <c r="AF307" s="3"/>
      <c r="AG307" s="3"/>
      <c r="AH307" s="3"/>
      <c r="AI307" s="3"/>
      <c r="AJ307" s="3" t="str">
        <f>IFERROR(__xludf.DUMMYFUNCTION("""COMPUTED_VALUE"""),"Volcanic Rain")</f>
        <v>Volcanic Rain</v>
      </c>
      <c r="AK307" s="3" t="str">
        <f>IFERROR(__xludf.DUMMYFUNCTION("""COMPUTED_VALUE"""),"Mass Ignition")</f>
        <v>Mass Ignition</v>
      </c>
      <c r="AL307" s="3" t="str">
        <f>IFERROR(__xludf.DUMMYFUNCTION("""COMPUTED_VALUE"""),"Flame Sanctuary")</f>
        <v>Flame Sanctuary</v>
      </c>
      <c r="AM307" s="3" t="str">
        <f>IFERROR(__xludf.DUMMYFUNCTION("""COMPUTED_VALUE"""),"Solar Storm")</f>
        <v>Solar Storm</v>
      </c>
      <c r="AN307" s="3" t="str">
        <f>IFERROR(__xludf.DUMMYFUNCTION("""COMPUTED_VALUE"""),"Solar Ward")</f>
        <v>Solar Ward</v>
      </c>
      <c r="AO307" s="3" t="str">
        <f>IFERROR(__xludf.DUMMYFUNCTION("""COMPUTED_VALUE"""),"Mass Destruction")</f>
        <v>Mass Destruction</v>
      </c>
      <c r="AP307" s="3" t="str">
        <f>IFERROR(__xludf.DUMMYFUNCTION("""COMPUTED_VALUE"""),"Berserk")</f>
        <v>Berserk</v>
      </c>
      <c r="AQ307" s="3"/>
      <c r="AR307" s="3"/>
      <c r="AS307" s="3"/>
      <c r="AT307" s="3"/>
      <c r="AU307" s="3"/>
      <c r="AV307" s="3"/>
      <c r="AW307" s="3"/>
      <c r="AX307" s="3"/>
      <c r="AY307" s="3"/>
      <c r="AZ307" s="3"/>
      <c r="BA307" s="3"/>
      <c r="BB307" s="3"/>
      <c r="BC307" s="1"/>
      <c r="BD307" s="3">
        <f>IFERROR(__xludf.DUMMYFUNCTION("""COMPUTED_VALUE"""),0.0)</f>
        <v>0</v>
      </c>
      <c r="BE307" s="4">
        <f>IFERROR(__xludf.DUMMYFUNCTION("""COMPUTED_VALUE"""),10.0)</f>
        <v>10</v>
      </c>
      <c r="BF307" s="3" t="str">
        <f>IFERROR(__xludf.DUMMYFUNCTION("""COMPUTED_VALUE"""),"75% chance to be unaffected by any spells affecting this mob
Luck of the Sea II: +10 can be added to this mobs rolls.
This mob has X4 Defense at all times.")</f>
        <v>75% chance to be unaffected by any spells affecting this mob
Luck of the Sea II: +10 can be added to this mobs rolls.
This mob has X4 Defense at all times.</v>
      </c>
      <c r="BG307" s="3" t="str">
        <f>IFERROR(__xludf.DUMMYFUNCTION("""COMPUTED_VALUE"""),"Dungeon")</f>
        <v>Dungeon</v>
      </c>
      <c r="BH307" s="3" t="str">
        <f>IFERROR(__xludf.DUMMYFUNCTION("""COMPUTED_VALUE"""),"Abstara")</f>
        <v>Abstara</v>
      </c>
      <c r="BI307" s="3"/>
      <c r="BJ307" s="3"/>
      <c r="BK307" s="3"/>
      <c r="BL307" s="3" t="b">
        <f>IFERROR(__xludf.DUMMYFUNCTION("""COMPUTED_VALUE"""),FALSE)</f>
        <v>0</v>
      </c>
      <c r="BM307" s="3"/>
      <c r="BN307" s="3"/>
      <c r="BO307" s="3"/>
      <c r="BP307" s="3"/>
      <c r="BQ307" s="3"/>
      <c r="BR307" s="3"/>
      <c r="BS307" s="3"/>
      <c r="BT307" s="3"/>
      <c r="BU307" s="3"/>
      <c r="BV307" s="3"/>
      <c r="BW307" s="3"/>
    </row>
    <row r="308" ht="15.75" customHeight="1">
      <c r="A308" s="3" t="str">
        <f>IFERROR(__xludf.DUMMYFUNCTION("""COMPUTED_VALUE"""),"Dragonscale Guard (Tier III)")</f>
        <v>Dragonscale Guard (Tier III)</v>
      </c>
      <c r="B308" s="3">
        <f>IFERROR(__xludf.DUMMYFUNCTION("""COMPUTED_VALUE"""),1.0)</f>
        <v>1</v>
      </c>
      <c r="C308" s="3" t="str">
        <f>IFERROR(__xludf.DUMMYFUNCTION("""COMPUTED_VALUE"""),"Self-appointed pesky little shi*s of Spira that will stop at nothing to arrest you and make sure you serve your trial. Now embracing their true form as a bunch of fucking lizards.
multiplier 18X Order and Light
4x def")</f>
        <v>Self-appointed pesky little shi*s of Spira that will stop at nothing to arrest you and make sure you serve your trial. Now embracing their true form as a bunch of fucking lizards.
multiplier 18X Order and Light
4x def</v>
      </c>
      <c r="D308" s="12" t="str">
        <f>IFERROR(__xludf.DUMMYFUNCTION("""COMPUTED_VALUE"""),"Draconic")</f>
        <v>Draconic</v>
      </c>
      <c r="E308" s="12">
        <f>IFERROR(__xludf.DUMMYFUNCTION("""COMPUTED_VALUE"""),1010.0)</f>
        <v>1010</v>
      </c>
      <c r="F308" s="12">
        <f>IFERROR(__xludf.DUMMYFUNCTION("""COMPUTED_VALUE"""),1010.0)</f>
        <v>1010</v>
      </c>
      <c r="G308" s="12">
        <f>IFERROR(__xludf.DUMMYFUNCTION("""COMPUTED_VALUE"""),123010.0)</f>
        <v>123010</v>
      </c>
      <c r="H308" s="3">
        <f>IFERROR(__xludf.DUMMYFUNCTION("""COMPUTED_VALUE"""),20.0)</f>
        <v>20</v>
      </c>
      <c r="I308" s="3">
        <f>IFERROR(__xludf.DUMMYFUNCTION("""COMPUTED_VALUE"""),20.0)</f>
        <v>20</v>
      </c>
      <c r="J308" s="3">
        <f>IFERROR(__xludf.DUMMYFUNCTION("""COMPUTED_VALUE"""),0.0)</f>
        <v>0</v>
      </c>
      <c r="K308" s="3">
        <f>IFERROR(__xludf.DUMMYFUNCTION("""COMPUTED_VALUE"""),100.0)</f>
        <v>100</v>
      </c>
      <c r="L308" s="3">
        <f>IFERROR(__xludf.DUMMYFUNCTION("""COMPUTED_VALUE"""),100.0)</f>
        <v>100</v>
      </c>
      <c r="M308" s="3" t="str">
        <f>IFERROR(__xludf.DUMMYFUNCTION("""COMPUTED_VALUE"""),"Light:Immune, Dark:100, Order:Immune, Celestial:Immune, Instant Death:Immune, Banishment:Immune, ")</f>
        <v>Light:Immune, Dark:100, Order:Immune, Celestial:Immune, Instant Death:Immune, Banishment:Immune, </v>
      </c>
      <c r="N308" s="3" t="str">
        <f>IFERROR(__xludf.DUMMYFUNCTION("""COMPUTED_VALUE"""),"")</f>
        <v/>
      </c>
      <c r="O308" s="3" t="str">
        <f>IFERROR(__xludf.DUMMYFUNCTION("""COMPUTED_VALUE"""),"DragonScale Royal Helm")</f>
        <v>DragonScale Royal Helm</v>
      </c>
      <c r="P308" s="3" t="str">
        <f>IFERROR(__xludf.DUMMYFUNCTION("""COMPUTED_VALUE"""),"WyvernTail Pendent")</f>
        <v>WyvernTail Pendent</v>
      </c>
      <c r="Q308" s="3"/>
      <c r="R308" s="3"/>
      <c r="S308" s="3" t="str">
        <f>IFERROR(__xludf.DUMMYFUNCTION("""COMPUTED_VALUE"""),"DragonScale Royal Pauldrons")</f>
        <v>DragonScale Royal Pauldrons</v>
      </c>
      <c r="T308" s="3" t="str">
        <f>IFERROR(__xludf.DUMMYFUNCTION("""COMPUTED_VALUE"""),"DragonScale Royal Chestplate")</f>
        <v>DragonScale Royal Chestplate</v>
      </c>
      <c r="U308" s="3" t="str">
        <f>IFERROR(__xludf.DUMMYFUNCTION("""COMPUTED_VALUE"""),"DragonScale Royal Vambraces")</f>
        <v>DragonScale Royal Vambraces</v>
      </c>
      <c r="V308" s="3"/>
      <c r="W308" s="3" t="str">
        <f>IFERROR(__xludf.DUMMYFUNCTION("""COMPUTED_VALUE"""),"BLADE! OF! JUSTICE!!!!")</f>
        <v>BLADE! OF! JUSTICE!!!!</v>
      </c>
      <c r="X308" s="3" t="str">
        <f>IFERROR(__xludf.DUMMYFUNCTION("""COMPUTED_VALUE"""),"WyvernTail Ring")</f>
        <v>WyvernTail Ring</v>
      </c>
      <c r="Y308" s="3"/>
      <c r="Z308" s="3"/>
      <c r="AA308" s="3"/>
      <c r="AB308" s="3"/>
      <c r="AC308" s="3"/>
      <c r="AD308" s="3"/>
      <c r="AE308" s="3"/>
      <c r="AF308" s="3"/>
      <c r="AG308" s="3"/>
      <c r="AH308" s="3" t="str">
        <f>IFERROR(__xludf.DUMMYFUNCTION("""COMPUTED_VALUE"""),"DragonScale Royal Greaves")</f>
        <v>DragonScale Royal Greaves</v>
      </c>
      <c r="AI308" s="3" t="str">
        <f>IFERROR(__xludf.DUMMYFUNCTION("""COMPUTED_VALUE"""),"DragonScale Royal Boots")</f>
        <v>DragonScale Royal Boots</v>
      </c>
      <c r="AJ308" s="3" t="str">
        <f>IFERROR(__xludf.DUMMYFUNCTION("""COMPUTED_VALUE"""),"Guard Call (Mob)")</f>
        <v>Guard Call (Mob)</v>
      </c>
      <c r="AK308" s="3" t="str">
        <f>IFERROR(__xludf.DUMMYFUNCTION("""COMPUTED_VALUE"""),"Arrest")</f>
        <v>Arrest</v>
      </c>
      <c r="AL308" s="3" t="str">
        <f>IFERROR(__xludf.DUMMYFUNCTION("""COMPUTED_VALUE"""),"Obliterating Light of Blindness")</f>
        <v>Obliterating Light of Blindness</v>
      </c>
      <c r="AM308" s="3" t="str">
        <f>IFERROR(__xludf.DUMMYFUNCTION("""COMPUTED_VALUE"""),"Aggressive Chomp")</f>
        <v>Aggressive Chomp</v>
      </c>
      <c r="AN308" s="3" t="str">
        <f>IFERROR(__xludf.DUMMYFUNCTION("""COMPUTED_VALUE"""),"Lock On")</f>
        <v>Lock On</v>
      </c>
      <c r="AO308" s="3" t="str">
        <f>IFERROR(__xludf.DUMMYFUNCTION("""COMPUTED_VALUE"""),"Neutralize")</f>
        <v>Neutralize</v>
      </c>
      <c r="AP308" s="3" t="str">
        <f>IFERROR(__xludf.DUMMYFUNCTION("""COMPUTED_VALUE"""),"Claws")</f>
        <v>Claws</v>
      </c>
      <c r="AQ308" s="3" t="str">
        <f>IFERROR(__xludf.DUMMYFUNCTION("""COMPUTED_VALUE"""),"Cancel")</f>
        <v>Cancel</v>
      </c>
      <c r="AR308" s="3" t="str">
        <f>IFERROR(__xludf.DUMMYFUNCTION("""COMPUTED_VALUE"""),"Confiscate")</f>
        <v>Confiscate</v>
      </c>
      <c r="AS308" s="3" t="str">
        <f>IFERROR(__xludf.DUMMYFUNCTION("""COMPUTED_VALUE"""),"Instant Regeneration")</f>
        <v>Instant Regeneration</v>
      </c>
      <c r="AT308" s="3" t="str">
        <f>IFERROR(__xludf.DUMMYFUNCTION("""COMPUTED_VALUE"""),"Berserk")</f>
        <v>Berserk</v>
      </c>
      <c r="AU308" s="3" t="str">
        <f>IFERROR(__xludf.DUMMYFUNCTION("""COMPUTED_VALUE"""),"Multi Ward")</f>
        <v>Multi Ward</v>
      </c>
      <c r="AV308" s="3" t="str">
        <f>IFERROR(__xludf.DUMMYFUNCTION("""COMPUTED_VALUE"""),"Teleport")</f>
        <v>Teleport</v>
      </c>
      <c r="AW308" s="3" t="str">
        <f>IFERROR(__xludf.DUMMYFUNCTION("""COMPUTED_VALUE"""),"Mass Destruction")</f>
        <v>Mass Destruction</v>
      </c>
      <c r="AX308" s="3" t="str">
        <f>IFERROR(__xludf.DUMMYFUNCTION("""COMPUTED_VALUE"""),"Chaincast")</f>
        <v>Chaincast</v>
      </c>
      <c r="AY308" s="3" t="str">
        <f>IFERROR(__xludf.DUMMYFUNCTION("""COMPUTED_VALUE"""),"Dragon's Breath")</f>
        <v>Dragon's Breath</v>
      </c>
      <c r="AZ308" s="3"/>
      <c r="BA308" s="3"/>
      <c r="BB308" s="3"/>
      <c r="BC308" s="1"/>
      <c r="BD308" s="3">
        <f>IFERROR(__xludf.DUMMYFUNCTION("""COMPUTED_VALUE"""),20.0)</f>
        <v>20</v>
      </c>
      <c r="BE308" s="4">
        <f>IFERROR(__xludf.DUMMYFUNCTION("""COMPUTED_VALUE"""),20.0)</f>
        <v>20</v>
      </c>
      <c r="BF308" s="3" t="str">
        <f>IFERROR(__xludf.DUMMYFUNCTION("""COMPUTED_VALUE"""),"75% chance to be unaffected by any spells affecting this mob
75% chance to dodge any attack without fail.
75% chance to be unaffected by an item affecting this mob.
Royal Dragons Luck: Plus 10 can be added to the caster's d20 roll, if the enemy gets a "&amp;"higher roll then the caster the enemy must roll again once more.
Royal Awakening: When the caster dies 2 Dragonscale Guards (Tier II) will be summoned.
Items cannot be taken from this mob.
Immune to Freezing")</f>
        <v>75% chance to be unaffected by any spells affecting this mob
75% chance to dodge any attack without fail.
75% chance to be unaffected by an item affecting this mob.
Royal Dragons Luck: Plus 10 can be added to the caster's d20 roll, if the enemy gets a higher roll then the caster the enemy must roll again once more.
Royal Awakening: When the caster dies 2 Dragonscale Guards (Tier II) will be summoned.
Items cannot be taken from this mob.
Immune to Freezing</v>
      </c>
      <c r="BG308" s="3" t="str">
        <f>IFERROR(__xludf.DUMMYFUNCTION("""COMPUTED_VALUE"""),"All")</f>
        <v>All</v>
      </c>
      <c r="BH308" s="3" t="str">
        <f>IFERROR(__xludf.DUMMYFUNCTION("""COMPUTED_VALUE"""),"Dragonscale Island")</f>
        <v>Dragonscale Island</v>
      </c>
      <c r="BI308" s="3"/>
      <c r="BJ308" s="3"/>
      <c r="BK308" s="3"/>
      <c r="BL308" s="3" t="b">
        <f>IFERROR(__xludf.DUMMYFUNCTION("""COMPUTED_VALUE"""),FALSE)</f>
        <v>0</v>
      </c>
      <c r="BM308" s="3"/>
      <c r="BN308" s="3"/>
      <c r="BO308" s="3"/>
      <c r="BP308" s="3"/>
      <c r="BQ308" s="3"/>
      <c r="BR308" s="3"/>
      <c r="BS308" s="3"/>
      <c r="BT308" s="3"/>
      <c r="BU308" s="3"/>
      <c r="BV308" s="3"/>
      <c r="BW308" s="3"/>
    </row>
    <row r="309" ht="15.75" customHeight="1">
      <c r="A309" s="3" t="str">
        <f>IFERROR(__xludf.DUMMYFUNCTION("""COMPUTED_VALUE"""),"Dragonscale Guard (Tier II)")</f>
        <v>Dragonscale Guard (Tier II)</v>
      </c>
      <c r="B309" s="3">
        <f>IFERROR(__xludf.DUMMYFUNCTION("""COMPUTED_VALUE"""),1.0)</f>
        <v>1</v>
      </c>
      <c r="C309" s="3" t="str">
        <f>IFERROR(__xludf.DUMMYFUNCTION("""COMPUTED_VALUE"""),"Self-appointed pesky little shi*s of Spira that will stop at nothing to arrest you and make sure you serve your trial. Now embracing their true form as a bunch of fucking lizards.
multiplier 18X Order and Light
4x def")</f>
        <v>Self-appointed pesky little shi*s of Spira that will stop at nothing to arrest you and make sure you serve your trial. Now embracing their true form as a bunch of fucking lizards.
multiplier 18X Order and Light
4x def</v>
      </c>
      <c r="D309" s="12" t="str">
        <f>IFERROR(__xludf.DUMMYFUNCTION("""COMPUTED_VALUE"""),"Draconic")</f>
        <v>Draconic</v>
      </c>
      <c r="E309" s="12">
        <f>IFERROR(__xludf.DUMMYFUNCTION("""COMPUTED_VALUE"""),1010.0)</f>
        <v>1010</v>
      </c>
      <c r="F309" s="12">
        <f>IFERROR(__xludf.DUMMYFUNCTION("""COMPUTED_VALUE"""),1010.0)</f>
        <v>1010</v>
      </c>
      <c r="G309" s="12">
        <f>IFERROR(__xludf.DUMMYFUNCTION("""COMPUTED_VALUE"""),123010.0)</f>
        <v>123010</v>
      </c>
      <c r="H309" s="3">
        <f>IFERROR(__xludf.DUMMYFUNCTION("""COMPUTED_VALUE"""),15.0)</f>
        <v>15</v>
      </c>
      <c r="I309" s="3">
        <f>IFERROR(__xludf.DUMMYFUNCTION("""COMPUTED_VALUE"""),15.0)</f>
        <v>15</v>
      </c>
      <c r="J309" s="3">
        <f>IFERROR(__xludf.DUMMYFUNCTION("""COMPUTED_VALUE"""),0.0)</f>
        <v>0</v>
      </c>
      <c r="K309" s="3">
        <f>IFERROR(__xludf.DUMMYFUNCTION("""COMPUTED_VALUE"""),100.0)</f>
        <v>100</v>
      </c>
      <c r="L309" s="3">
        <f>IFERROR(__xludf.DUMMYFUNCTION("""COMPUTED_VALUE"""),100.0)</f>
        <v>100</v>
      </c>
      <c r="M309" s="3" t="str">
        <f>IFERROR(__xludf.DUMMYFUNCTION("""COMPUTED_VALUE"""),"Light:Immune, Dark:100, Order:Immune, Instant Death:Immune, ")</f>
        <v>Light:Immune, Dark:100, Order:Immune, Instant Death:Immune, </v>
      </c>
      <c r="N309" s="3" t="str">
        <f>IFERROR(__xludf.DUMMYFUNCTION("""COMPUTED_VALUE"""),"")</f>
        <v/>
      </c>
      <c r="O309" s="3" t="str">
        <f>IFERROR(__xludf.DUMMYFUNCTION("""COMPUTED_VALUE"""),"DragonScale Royal Helm")</f>
        <v>DragonScale Royal Helm</v>
      </c>
      <c r="P309" s="3" t="str">
        <f>IFERROR(__xludf.DUMMYFUNCTION("""COMPUTED_VALUE"""),"WyvernTail Pendent")</f>
        <v>WyvernTail Pendent</v>
      </c>
      <c r="Q309" s="3"/>
      <c r="R309" s="3"/>
      <c r="S309" s="3" t="str">
        <f>IFERROR(__xludf.DUMMYFUNCTION("""COMPUTED_VALUE"""),"DragonScale Royal Pauldrons")</f>
        <v>DragonScale Royal Pauldrons</v>
      </c>
      <c r="T309" s="3" t="str">
        <f>IFERROR(__xludf.DUMMYFUNCTION("""COMPUTED_VALUE"""),"DragonScale Royal Chestplate")</f>
        <v>DragonScale Royal Chestplate</v>
      </c>
      <c r="U309" s="3" t="str">
        <f>IFERROR(__xludf.DUMMYFUNCTION("""COMPUTED_VALUE"""),"DragonScale Royal Vambraces")</f>
        <v>DragonScale Royal Vambraces</v>
      </c>
      <c r="V309" s="3"/>
      <c r="W309" s="3" t="str">
        <f>IFERROR(__xludf.DUMMYFUNCTION("""COMPUTED_VALUE"""),"BLADE! OF! JUSTICE!!!!")</f>
        <v>BLADE! OF! JUSTICE!!!!</v>
      </c>
      <c r="X309" s="3" t="str">
        <f>IFERROR(__xludf.DUMMYFUNCTION("""COMPUTED_VALUE"""),"WyvernTail Ring")</f>
        <v>WyvernTail Ring</v>
      </c>
      <c r="Y309" s="3"/>
      <c r="Z309" s="3"/>
      <c r="AA309" s="3"/>
      <c r="AB309" s="3"/>
      <c r="AC309" s="3"/>
      <c r="AD309" s="3"/>
      <c r="AE309" s="3"/>
      <c r="AF309" s="3"/>
      <c r="AG309" s="3"/>
      <c r="AH309" s="3" t="str">
        <f>IFERROR(__xludf.DUMMYFUNCTION("""COMPUTED_VALUE"""),"DragonScale Royal Greaves")</f>
        <v>DragonScale Royal Greaves</v>
      </c>
      <c r="AI309" s="3" t="str">
        <f>IFERROR(__xludf.DUMMYFUNCTION("""COMPUTED_VALUE"""),"DragonScale Royal Boots")</f>
        <v>DragonScale Royal Boots</v>
      </c>
      <c r="AJ309" s="3" t="str">
        <f>IFERROR(__xludf.DUMMYFUNCTION("""COMPUTED_VALUE"""),"Guard Call (Mob)")</f>
        <v>Guard Call (Mob)</v>
      </c>
      <c r="AK309" s="3" t="str">
        <f>IFERROR(__xludf.DUMMYFUNCTION("""COMPUTED_VALUE"""),"Arrest")</f>
        <v>Arrest</v>
      </c>
      <c r="AL309" s="3" t="str">
        <f>IFERROR(__xludf.DUMMYFUNCTION("""COMPUTED_VALUE"""),"Obliterating Light of Blindness")</f>
        <v>Obliterating Light of Blindness</v>
      </c>
      <c r="AM309" s="3" t="str">
        <f>IFERROR(__xludf.DUMMYFUNCTION("""COMPUTED_VALUE"""),"Aggressive Chomp")</f>
        <v>Aggressive Chomp</v>
      </c>
      <c r="AN309" s="3" t="str">
        <f>IFERROR(__xludf.DUMMYFUNCTION("""COMPUTED_VALUE"""),"Lock On")</f>
        <v>Lock On</v>
      </c>
      <c r="AO309" s="3" t="str">
        <f>IFERROR(__xludf.DUMMYFUNCTION("""COMPUTED_VALUE"""),"Neutralize")</f>
        <v>Neutralize</v>
      </c>
      <c r="AP309" s="3" t="str">
        <f>IFERROR(__xludf.DUMMYFUNCTION("""COMPUTED_VALUE"""),"Claws")</f>
        <v>Claws</v>
      </c>
      <c r="AQ309" s="3" t="str">
        <f>IFERROR(__xludf.DUMMYFUNCTION("""COMPUTED_VALUE"""),"Cancel")</f>
        <v>Cancel</v>
      </c>
      <c r="AR309" s="3" t="str">
        <f>IFERROR(__xludf.DUMMYFUNCTION("""COMPUTED_VALUE"""),"Confiscate")</f>
        <v>Confiscate</v>
      </c>
      <c r="AS309" s="3" t="str">
        <f>IFERROR(__xludf.DUMMYFUNCTION("""COMPUTED_VALUE"""),"Instant Regeneration")</f>
        <v>Instant Regeneration</v>
      </c>
      <c r="AT309" s="3" t="str">
        <f>IFERROR(__xludf.DUMMYFUNCTION("""COMPUTED_VALUE"""),"Berserk")</f>
        <v>Berserk</v>
      </c>
      <c r="AU309" s="3" t="str">
        <f>IFERROR(__xludf.DUMMYFUNCTION("""COMPUTED_VALUE"""),"Multi Ward")</f>
        <v>Multi Ward</v>
      </c>
      <c r="AV309" s="3" t="str">
        <f>IFERROR(__xludf.DUMMYFUNCTION("""COMPUTED_VALUE"""),"Teleport")</f>
        <v>Teleport</v>
      </c>
      <c r="AW309" s="3" t="str">
        <f>IFERROR(__xludf.DUMMYFUNCTION("""COMPUTED_VALUE"""),"Mass Destruction")</f>
        <v>Mass Destruction</v>
      </c>
      <c r="AX309" s="3" t="str">
        <f>IFERROR(__xludf.DUMMYFUNCTION("""COMPUTED_VALUE"""),"Chaincast")</f>
        <v>Chaincast</v>
      </c>
      <c r="AY309" s="3" t="str">
        <f>IFERROR(__xludf.DUMMYFUNCTION("""COMPUTED_VALUE"""),"Dragon's Breath")</f>
        <v>Dragon's Breath</v>
      </c>
      <c r="AZ309" s="3"/>
      <c r="BA309" s="3"/>
      <c r="BB309" s="3"/>
      <c r="BC309" s="1"/>
      <c r="BD309" s="3">
        <f>IFERROR(__xludf.DUMMYFUNCTION("""COMPUTED_VALUE"""),15.0)</f>
        <v>15</v>
      </c>
      <c r="BE309" s="4">
        <f>IFERROR(__xludf.DUMMYFUNCTION("""COMPUTED_VALUE"""),15.0)</f>
        <v>15</v>
      </c>
      <c r="BF309" s="3" t="str">
        <f>IFERROR(__xludf.DUMMYFUNCTION("""COMPUTED_VALUE"""),"50% chance to dodge any attack without fail.
50% chance to be unaffected by any spells affecting this mob.
50% chance to be unaffected by an item affecting this mob.
Royal Dragons Beckoning: 10 can be added to the casters d20 roll.
Items cannot be tak"&amp;"en from this mob.
Immune to Freezing")</f>
        <v>50% chance to dodge any attack without fail.
50% chance to be unaffected by any spells affecting this mob.
50% chance to be unaffected by an item affecting this mob.
Royal Dragons Beckoning: 10 can be added to the casters d20 roll.
Items cannot be taken from this mob.
Immune to Freezing</v>
      </c>
      <c r="BG309" s="3" t="str">
        <f>IFERROR(__xludf.DUMMYFUNCTION("""COMPUTED_VALUE"""),"All")</f>
        <v>All</v>
      </c>
      <c r="BH309" s="3" t="str">
        <f>IFERROR(__xludf.DUMMYFUNCTION("""COMPUTED_VALUE"""),"Dragonscale Island")</f>
        <v>Dragonscale Island</v>
      </c>
      <c r="BI309" s="3"/>
      <c r="BJ309" s="3"/>
      <c r="BK309" s="3"/>
      <c r="BL309" s="3" t="b">
        <f>IFERROR(__xludf.DUMMYFUNCTION("""COMPUTED_VALUE"""),FALSE)</f>
        <v>0</v>
      </c>
      <c r="BM309" s="3"/>
      <c r="BN309" s="3"/>
      <c r="BO309" s="3"/>
      <c r="BP309" s="3"/>
      <c r="BQ309" s="3"/>
      <c r="BR309" s="3"/>
      <c r="BS309" s="3"/>
      <c r="BT309" s="3"/>
      <c r="BU309" s="3"/>
      <c r="BV309" s="3"/>
      <c r="BW309" s="3"/>
    </row>
    <row r="310" ht="15.75" customHeight="1">
      <c r="A310" s="3" t="str">
        <f>IFERROR(__xludf.DUMMYFUNCTION("""COMPUTED_VALUE"""),"Dragonscale Guard (Tier I)")</f>
        <v>Dragonscale Guard (Tier I)</v>
      </c>
      <c r="B310" s="3">
        <f>IFERROR(__xludf.DUMMYFUNCTION("""COMPUTED_VALUE"""),1.0)</f>
        <v>1</v>
      </c>
      <c r="C310" s="3" t="str">
        <f>IFERROR(__xludf.DUMMYFUNCTION("""COMPUTED_VALUE"""),"Self-appointed pesky little shi*s of Spira that will stop at nothing to arrest you and make sure you serve your trial. Now embracing their true form as a bunch of fucking lizards.
multiplier 18X Order and Light
4x def")</f>
        <v>Self-appointed pesky little shi*s of Spira that will stop at nothing to arrest you and make sure you serve your trial. Now embracing their true form as a bunch of fucking lizards.
multiplier 18X Order and Light
4x def</v>
      </c>
      <c r="D310" s="12" t="str">
        <f>IFERROR(__xludf.DUMMYFUNCTION("""COMPUTED_VALUE"""),"Draconic")</f>
        <v>Draconic</v>
      </c>
      <c r="E310" s="12">
        <f>IFERROR(__xludf.DUMMYFUNCTION("""COMPUTED_VALUE"""),1010.0)</f>
        <v>1010</v>
      </c>
      <c r="F310" s="12">
        <f>IFERROR(__xludf.DUMMYFUNCTION("""COMPUTED_VALUE"""),1010.0)</f>
        <v>1010</v>
      </c>
      <c r="G310" s="12">
        <f>IFERROR(__xludf.DUMMYFUNCTION("""COMPUTED_VALUE"""),123010.0)</f>
        <v>123010</v>
      </c>
      <c r="H310" s="3">
        <f>IFERROR(__xludf.DUMMYFUNCTION("""COMPUTED_VALUE"""),10.0)</f>
        <v>10</v>
      </c>
      <c r="I310" s="3">
        <f>IFERROR(__xludf.DUMMYFUNCTION("""COMPUTED_VALUE"""),10.0)</f>
        <v>10</v>
      </c>
      <c r="J310" s="3">
        <f>IFERROR(__xludf.DUMMYFUNCTION("""COMPUTED_VALUE"""),0.0)</f>
        <v>0</v>
      </c>
      <c r="K310" s="3">
        <f>IFERROR(__xludf.DUMMYFUNCTION("""COMPUTED_VALUE"""),100.0)</f>
        <v>100</v>
      </c>
      <c r="L310" s="3">
        <f>IFERROR(__xludf.DUMMYFUNCTION("""COMPUTED_VALUE"""),100.0)</f>
        <v>100</v>
      </c>
      <c r="M310" s="3" t="str">
        <f>IFERROR(__xludf.DUMMYFUNCTION("""COMPUTED_VALUE"""),"Light:Immune, Dark:100, Order:Immune, Instant Death:Immune, ")</f>
        <v>Light:Immune, Dark:100, Order:Immune, Instant Death:Immune, </v>
      </c>
      <c r="N310" s="3" t="str">
        <f>IFERROR(__xludf.DUMMYFUNCTION("""COMPUTED_VALUE"""),"")</f>
        <v/>
      </c>
      <c r="O310" s="3" t="str">
        <f>IFERROR(__xludf.DUMMYFUNCTION("""COMPUTED_VALUE"""),"DragonScale Royal Helm")</f>
        <v>DragonScale Royal Helm</v>
      </c>
      <c r="P310" s="3" t="str">
        <f>IFERROR(__xludf.DUMMYFUNCTION("""COMPUTED_VALUE"""),"WyvernTail Pendent")</f>
        <v>WyvernTail Pendent</v>
      </c>
      <c r="Q310" s="3"/>
      <c r="R310" s="3"/>
      <c r="S310" s="3" t="str">
        <f>IFERROR(__xludf.DUMMYFUNCTION("""COMPUTED_VALUE"""),"DragonScale Royal Pauldrons")</f>
        <v>DragonScale Royal Pauldrons</v>
      </c>
      <c r="T310" s="3" t="str">
        <f>IFERROR(__xludf.DUMMYFUNCTION("""COMPUTED_VALUE"""),"DragonScale Royal Chestplate")</f>
        <v>DragonScale Royal Chestplate</v>
      </c>
      <c r="U310" s="3" t="str">
        <f>IFERROR(__xludf.DUMMYFUNCTION("""COMPUTED_VALUE"""),"DragonScale Royal Vambraces")</f>
        <v>DragonScale Royal Vambraces</v>
      </c>
      <c r="V310" s="3"/>
      <c r="W310" s="3" t="str">
        <f>IFERROR(__xludf.DUMMYFUNCTION("""COMPUTED_VALUE"""),"BLADE! OF! JUSTICE!!!!")</f>
        <v>BLADE! OF! JUSTICE!!!!</v>
      </c>
      <c r="X310" s="3" t="str">
        <f>IFERROR(__xludf.DUMMYFUNCTION("""COMPUTED_VALUE"""),"WyvernTail Ring")</f>
        <v>WyvernTail Ring</v>
      </c>
      <c r="Y310" s="3"/>
      <c r="Z310" s="3"/>
      <c r="AA310" s="3"/>
      <c r="AB310" s="3"/>
      <c r="AC310" s="3"/>
      <c r="AD310" s="3"/>
      <c r="AE310" s="3"/>
      <c r="AF310" s="3"/>
      <c r="AG310" s="3"/>
      <c r="AH310" s="3" t="str">
        <f>IFERROR(__xludf.DUMMYFUNCTION("""COMPUTED_VALUE"""),"DragonScale Royal Greaves")</f>
        <v>DragonScale Royal Greaves</v>
      </c>
      <c r="AI310" s="3" t="str">
        <f>IFERROR(__xludf.DUMMYFUNCTION("""COMPUTED_VALUE"""),"DragonScale Royal Boots")</f>
        <v>DragonScale Royal Boots</v>
      </c>
      <c r="AJ310" s="3" t="str">
        <f>IFERROR(__xludf.DUMMYFUNCTION("""COMPUTED_VALUE"""),"Guard Call (Mob)")</f>
        <v>Guard Call (Mob)</v>
      </c>
      <c r="AK310" s="3" t="str">
        <f>IFERROR(__xludf.DUMMYFUNCTION("""COMPUTED_VALUE"""),"Arrest")</f>
        <v>Arrest</v>
      </c>
      <c r="AL310" s="3" t="str">
        <f>IFERROR(__xludf.DUMMYFUNCTION("""COMPUTED_VALUE"""),"Obliterating Light of Blindness")</f>
        <v>Obliterating Light of Blindness</v>
      </c>
      <c r="AM310" s="3" t="str">
        <f>IFERROR(__xludf.DUMMYFUNCTION("""COMPUTED_VALUE"""),"Aggressive Chomp")</f>
        <v>Aggressive Chomp</v>
      </c>
      <c r="AN310" s="3" t="str">
        <f>IFERROR(__xludf.DUMMYFUNCTION("""COMPUTED_VALUE"""),"Lock On")</f>
        <v>Lock On</v>
      </c>
      <c r="AO310" s="3" t="str">
        <f>IFERROR(__xludf.DUMMYFUNCTION("""COMPUTED_VALUE"""),"Neutralize")</f>
        <v>Neutralize</v>
      </c>
      <c r="AP310" s="3" t="str">
        <f>IFERROR(__xludf.DUMMYFUNCTION("""COMPUTED_VALUE"""),"Claws")</f>
        <v>Claws</v>
      </c>
      <c r="AQ310" s="3" t="str">
        <f>IFERROR(__xludf.DUMMYFUNCTION("""COMPUTED_VALUE"""),"Cancel")</f>
        <v>Cancel</v>
      </c>
      <c r="AR310" s="3" t="str">
        <f>IFERROR(__xludf.DUMMYFUNCTION("""COMPUTED_VALUE"""),"Confiscate")</f>
        <v>Confiscate</v>
      </c>
      <c r="AS310" s="3" t="str">
        <f>IFERROR(__xludf.DUMMYFUNCTION("""COMPUTED_VALUE"""),"Instant Regeneration")</f>
        <v>Instant Regeneration</v>
      </c>
      <c r="AT310" s="3" t="str">
        <f>IFERROR(__xludf.DUMMYFUNCTION("""COMPUTED_VALUE"""),"Berserk")</f>
        <v>Berserk</v>
      </c>
      <c r="AU310" s="3" t="str">
        <f>IFERROR(__xludf.DUMMYFUNCTION("""COMPUTED_VALUE"""),"Multi Ward")</f>
        <v>Multi Ward</v>
      </c>
      <c r="AV310" s="3" t="str">
        <f>IFERROR(__xludf.DUMMYFUNCTION("""COMPUTED_VALUE"""),"Teleport")</f>
        <v>Teleport</v>
      </c>
      <c r="AW310" s="3" t="str">
        <f>IFERROR(__xludf.DUMMYFUNCTION("""COMPUTED_VALUE"""),"Mass Destruction")</f>
        <v>Mass Destruction</v>
      </c>
      <c r="AX310" s="3" t="str">
        <f>IFERROR(__xludf.DUMMYFUNCTION("""COMPUTED_VALUE"""),"Chaincast")</f>
        <v>Chaincast</v>
      </c>
      <c r="AY310" s="3" t="str">
        <f>IFERROR(__xludf.DUMMYFUNCTION("""COMPUTED_VALUE"""),"Dragon's Breath")</f>
        <v>Dragon's Breath</v>
      </c>
      <c r="AZ310" s="3"/>
      <c r="BA310" s="3"/>
      <c r="BB310" s="3"/>
      <c r="BC310" s="1"/>
      <c r="BD310" s="3">
        <f>IFERROR(__xludf.DUMMYFUNCTION("""COMPUTED_VALUE"""),10.0)</f>
        <v>10</v>
      </c>
      <c r="BE310" s="4">
        <f>IFERROR(__xludf.DUMMYFUNCTION("""COMPUTED_VALUE"""),10.0)</f>
        <v>10</v>
      </c>
      <c r="BF310" s="3" t="str">
        <f>IFERROR(__xludf.DUMMYFUNCTION("""COMPUTED_VALUE"""),"25% chance to dodge any attack without fail.
25% chance to be unaffected by any spells affecting this mob.
25% chance to be unaffected by an item affecting this mob.
Dragons Reinforcement: 5 can be added to the casters d20 roll.
Items cannot be taken "&amp;"from this mob.
Immune to Freezing")</f>
        <v>25% chance to dodge any attack without fail.
25% chance to be unaffected by any spells affecting this mob.
25% chance to be unaffected by an item affecting this mob.
Dragons Reinforcement: 5 can be added to the casters d20 roll.
Items cannot be taken from this mob.
Immune to Freezing</v>
      </c>
      <c r="BG310" s="3" t="str">
        <f>IFERROR(__xludf.DUMMYFUNCTION("""COMPUTED_VALUE"""),"All")</f>
        <v>All</v>
      </c>
      <c r="BH310" s="3" t="str">
        <f>IFERROR(__xludf.DUMMYFUNCTION("""COMPUTED_VALUE"""),"Dragonscale Island")</f>
        <v>Dragonscale Island</v>
      </c>
      <c r="BI310" s="3"/>
      <c r="BJ310" s="3"/>
      <c r="BK310" s="3"/>
      <c r="BL310" s="3" t="b">
        <f>IFERROR(__xludf.DUMMYFUNCTION("""COMPUTED_VALUE"""),FALSE)</f>
        <v>0</v>
      </c>
      <c r="BM310" s="3"/>
      <c r="BN310" s="3"/>
      <c r="BO310" s="3"/>
      <c r="BP310" s="3"/>
      <c r="BQ310" s="3"/>
      <c r="BR310" s="3"/>
      <c r="BS310" s="3"/>
      <c r="BT310" s="3"/>
      <c r="BU310" s="3"/>
      <c r="BV310" s="3"/>
      <c r="BW310" s="3"/>
    </row>
    <row r="311" ht="15.75" customHeight="1">
      <c r="A311" s="3" t="str">
        <f>IFERROR(__xludf.DUMMYFUNCTION("""COMPUTED_VALUE"""),"Abstara Guard (Tier IIl)")</f>
        <v>Abstara Guard (Tier IIl)</v>
      </c>
      <c r="B311" s="3">
        <f>IFERROR(__xludf.DUMMYFUNCTION("""COMPUTED_VALUE"""),1.0)</f>
        <v>1</v>
      </c>
      <c r="C311" s="3"/>
      <c r="D311" s="3" t="str">
        <f>IFERROR(__xludf.DUMMYFUNCTION("""COMPUTED_VALUE"""),"Demonic")</f>
        <v>Demonic</v>
      </c>
      <c r="E311" s="3">
        <f>IFERROR(__xludf.DUMMYFUNCTION("""COMPUTED_VALUE"""),1010.0)</f>
        <v>1010</v>
      </c>
      <c r="F311" s="12">
        <f>IFERROR(__xludf.DUMMYFUNCTION("""COMPUTED_VALUE"""),1010.0)</f>
        <v>1010</v>
      </c>
      <c r="G311" s="3">
        <f>IFERROR(__xludf.DUMMYFUNCTION("""COMPUTED_VALUE"""),1010.0)</f>
        <v>1010</v>
      </c>
      <c r="H311" s="3">
        <f>IFERROR(__xludf.DUMMYFUNCTION("""COMPUTED_VALUE"""),20.0)</f>
        <v>20</v>
      </c>
      <c r="I311" s="3">
        <f>IFERROR(__xludf.DUMMYFUNCTION("""COMPUTED_VALUE"""),20.0)</f>
        <v>20</v>
      </c>
      <c r="J311" s="3">
        <f>IFERROR(__xludf.DUMMYFUNCTION("""COMPUTED_VALUE"""),0.0)</f>
        <v>0</v>
      </c>
      <c r="K311" s="3">
        <f>IFERROR(__xludf.DUMMYFUNCTION("""COMPUTED_VALUE"""),100.0)</f>
        <v>100</v>
      </c>
      <c r="L311" s="3">
        <f>IFERROR(__xludf.DUMMYFUNCTION("""COMPUTED_VALUE"""),100.0)</f>
        <v>100</v>
      </c>
      <c r="M311" s="3" t="str">
        <f>IFERROR(__xludf.DUMMYFUNCTION("""COMPUTED_VALUE"""),"Fire:100, Dark:Immune, Chaos:Immune, Voodoo:Immune, Blood:Immune, Instant Death:Immune, Banishment:Immune, ")</f>
        <v>Fire:100, Dark:Immune, Chaos:Immune, Voodoo:Immune, Blood:Immune, Instant Death:Immune, Banishment:Immune, </v>
      </c>
      <c r="N311" s="3" t="str">
        <f>IFERROR(__xludf.DUMMYFUNCTION("""COMPUTED_VALUE"""),"Light:100, Order:100, ")</f>
        <v>Light:100, Order:100, </v>
      </c>
      <c r="O311" s="3" t="str">
        <f>IFERROR(__xludf.DUMMYFUNCTION("""COMPUTED_VALUE"""),"Abstara Royal Helm")</f>
        <v>Abstara Royal Helm</v>
      </c>
      <c r="P311" s="3" t="str">
        <f>IFERROR(__xludf.DUMMYFUNCTION("""COMPUTED_VALUE"""),"Necklace Of Shards")</f>
        <v>Necklace Of Shards</v>
      </c>
      <c r="Q311" s="3"/>
      <c r="R311" s="3"/>
      <c r="S311" s="3" t="str">
        <f>IFERROR(__xludf.DUMMYFUNCTION("""COMPUTED_VALUE"""),"Abstara Royal Pauldrons")</f>
        <v>Abstara Royal Pauldrons</v>
      </c>
      <c r="T311" s="3" t="str">
        <f>IFERROR(__xludf.DUMMYFUNCTION("""COMPUTED_VALUE"""),"Abstara Royal Chestplate")</f>
        <v>Abstara Royal Chestplate</v>
      </c>
      <c r="U311" s="3" t="str">
        <f>IFERROR(__xludf.DUMMYFUNCTION("""COMPUTED_VALUE"""),"Abstara Royal Vambraces")</f>
        <v>Abstara Royal Vambraces</v>
      </c>
      <c r="V311" s="3"/>
      <c r="W311" s="3" t="str">
        <f>IFERROR(__xludf.DUMMYFUNCTION("""COMPUTED_VALUE"""),"Grand Hellfire Sword")</f>
        <v>Grand Hellfire Sword</v>
      </c>
      <c r="X311" s="3" t="str">
        <f>IFERROR(__xludf.DUMMYFUNCTION("""COMPUTED_VALUE"""),"Ring of Darkness")</f>
        <v>Ring of Darkness</v>
      </c>
      <c r="Y311" s="3" t="str">
        <f>IFERROR(__xludf.DUMMYFUNCTION("""COMPUTED_VALUE"""),"Ring of Pure Chaos")</f>
        <v>Ring of Pure Chaos</v>
      </c>
      <c r="Z311" s="3"/>
      <c r="AA311" s="3"/>
      <c r="AB311" s="3"/>
      <c r="AC311" s="3"/>
      <c r="AD311" s="3"/>
      <c r="AE311" s="3"/>
      <c r="AF311" s="3"/>
      <c r="AG311" s="3"/>
      <c r="AH311" s="3" t="str">
        <f>IFERROR(__xludf.DUMMYFUNCTION("""COMPUTED_VALUE"""),"Abstara Royal Greaves")</f>
        <v>Abstara Royal Greaves</v>
      </c>
      <c r="AI311" s="3" t="str">
        <f>IFERROR(__xludf.DUMMYFUNCTION("""COMPUTED_VALUE"""),"Abstara Royal Boots")</f>
        <v>Abstara Royal Boots</v>
      </c>
      <c r="AJ311" s="3" t="str">
        <f>IFERROR(__xludf.DUMMYFUNCTION("""COMPUTED_VALUE"""),"Chaincast")</f>
        <v>Chaincast</v>
      </c>
      <c r="AK311" s="3" t="str">
        <f>IFERROR(__xludf.DUMMYFUNCTION("""COMPUTED_VALUE"""),"Guard Call (Mob)")</f>
        <v>Guard Call (Mob)</v>
      </c>
      <c r="AL311" s="3" t="str">
        <f>IFERROR(__xludf.DUMMYFUNCTION("""COMPUTED_VALUE"""),"Arrest II")</f>
        <v>Arrest II</v>
      </c>
      <c r="AM311" s="3" t="str">
        <f>IFERROR(__xludf.DUMMYFUNCTION("""COMPUTED_VALUE"""),"Meteor Shower")</f>
        <v>Meteor Shower</v>
      </c>
      <c r="AN311" s="3" t="str">
        <f>IFERROR(__xludf.DUMMYFUNCTION("""COMPUTED_VALUE"""),"Volcanic Rain")</f>
        <v>Volcanic Rain</v>
      </c>
      <c r="AO311" s="3" t="str">
        <f>IFERROR(__xludf.DUMMYFUNCTION("""COMPUTED_VALUE"""),"Solar Storm")</f>
        <v>Solar Storm</v>
      </c>
      <c r="AP311" s="3" t="str">
        <f>IFERROR(__xludf.DUMMYFUNCTION("""COMPUTED_VALUE"""),"Sunny Day")</f>
        <v>Sunny Day</v>
      </c>
      <c r="AQ311" s="3" t="str">
        <f>IFERROR(__xludf.DUMMYFUNCTION("""COMPUTED_VALUE"""),"Doom Impulse")</f>
        <v>Doom Impulse</v>
      </c>
      <c r="AR311" s="3" t="str">
        <f>IFERROR(__xludf.DUMMYFUNCTION("""COMPUTED_VALUE"""),"Shatter")</f>
        <v>Shatter</v>
      </c>
      <c r="AS311" s="3" t="str">
        <f>IFERROR(__xludf.DUMMYFUNCTION("""COMPUTED_VALUE"""),"Dimensional Quake")</f>
        <v>Dimensional Quake</v>
      </c>
      <c r="AT311" s="3" t="str">
        <f>IFERROR(__xludf.DUMMYFUNCTION("""COMPUTED_VALUE"""),"Darkest Abyss")</f>
        <v>Darkest Abyss</v>
      </c>
      <c r="AU311" s="3" t="str">
        <f>IFERROR(__xludf.DUMMYFUNCTION("""COMPUTED_VALUE"""),"Raise Dead")</f>
        <v>Raise Dead</v>
      </c>
      <c r="AV311" s="3" t="str">
        <f>IFERROR(__xludf.DUMMYFUNCTION("""COMPUTED_VALUE"""),"Last Gamble")</f>
        <v>Last Gamble</v>
      </c>
      <c r="AW311" s="3" t="str">
        <f>IFERROR(__xludf.DUMMYFUNCTION("""COMPUTED_VALUE"""),"Voodoo Meteor Shower")</f>
        <v>Voodoo Meteor Shower</v>
      </c>
      <c r="AX311" s="3" t="str">
        <f>IFERROR(__xludf.DUMMYFUNCTION("""COMPUTED_VALUE"""),"Multi-Magic")</f>
        <v>Multi-Magic</v>
      </c>
      <c r="AY311" s="3" t="str">
        <f>IFERROR(__xludf.DUMMYFUNCTION("""COMPUTED_VALUE"""),"Berserk")</f>
        <v>Berserk</v>
      </c>
      <c r="AZ311" s="3" t="str">
        <f>IFERROR(__xludf.DUMMYFUNCTION("""COMPUTED_VALUE"""),"Confiscate (Enhanced)")</f>
        <v>Confiscate (Enhanced)</v>
      </c>
      <c r="BA311" s="3" t="str">
        <f>IFERROR(__xludf.DUMMYFUNCTION("""COMPUTED_VALUE"""),"Enrage")</f>
        <v>Enrage</v>
      </c>
      <c r="BB311" s="3" t="str">
        <f>IFERROR(__xludf.DUMMYFUNCTION("""COMPUTED_VALUE"""),"Mass Destruction")</f>
        <v>Mass Destruction</v>
      </c>
      <c r="BC311" s="1" t="str">
        <f>IFERROR(__xludf.DUMMYFUNCTION("""COMPUTED_VALUE"""),"Vaporize")</f>
        <v>Vaporize</v>
      </c>
      <c r="BD311" s="3">
        <f>IFERROR(__xludf.DUMMYFUNCTION("""COMPUTED_VALUE"""),20.0)</f>
        <v>20</v>
      </c>
      <c r="BE311" s="4">
        <f>IFERROR(__xludf.DUMMYFUNCTION("""COMPUTED_VALUE"""),20.0)</f>
        <v>20</v>
      </c>
      <c r="BF311" s="3" t="str">
        <f>IFERROR(__xludf.DUMMYFUNCTION("""COMPUTED_VALUE"""),"85% chance to be unaffected by any spells affecting this mob.
85% chance to dodge any attack without fail.
85% chance to be unaffected by an item affecting this mob.
Royal Guards Beckoning III: Plus 10 can be added to the caster's d20 roll, if the enem"&amp;"y gets a higher roll then the caster the enemy must roll again. This ability can be applied twice during turn order and twice per turn in battle.
Royal Awakening III: When the caster dies 4 Abstara Guards (Tier II) will be summoned.
Items cannot be take"&amp;"n from this mob.
Immune to Freezing")</f>
        <v>85% chance to be unaffected by any spells affecting this mob.
85% chance to dodge any attack without fail.
85% chance to be unaffected by an item affecting this mob.
Royal Guards Beckoning III: Plus 10 can be added to the caster's d20 roll, if the enemy gets a higher roll then the caster the enemy must roll again. This ability can be applied twice during turn order and twice per turn in battle.
Royal Awakening III: When the caster dies 4 Abstara Guards (Tier II) will be summoned.
Items cannot be taken from this mob.
Immune to Freezing</v>
      </c>
      <c r="BG311" s="3" t="str">
        <f>IFERROR(__xludf.DUMMYFUNCTION("""COMPUTED_VALUE"""),"All")</f>
        <v>All</v>
      </c>
      <c r="BH311" s="3" t="str">
        <f>IFERROR(__xludf.DUMMYFUNCTION("""COMPUTED_VALUE"""),"Abstara")</f>
        <v>Abstara</v>
      </c>
      <c r="BI311" s="3"/>
      <c r="BJ311" s="3"/>
      <c r="BK311" s="3"/>
      <c r="BL311" s="3" t="b">
        <f>IFERROR(__xludf.DUMMYFUNCTION("""COMPUTED_VALUE"""),FALSE)</f>
        <v>0</v>
      </c>
      <c r="BM311" s="3"/>
      <c r="BN311" s="3"/>
      <c r="BO311" s="3"/>
      <c r="BP311" s="3"/>
      <c r="BQ311" s="3"/>
      <c r="BR311" s="3"/>
      <c r="BS311" s="3"/>
      <c r="BT311" s="3"/>
      <c r="BU311" s="3"/>
      <c r="BV311" s="3"/>
      <c r="BW311" s="3"/>
    </row>
    <row r="312" ht="15.75" customHeight="1">
      <c r="A312" s="3" t="str">
        <f>IFERROR(__xludf.DUMMYFUNCTION("""COMPUTED_VALUE"""),"Abstara Guard (Tier II)")</f>
        <v>Abstara Guard (Tier II)</v>
      </c>
      <c r="B312" s="3">
        <f>IFERROR(__xludf.DUMMYFUNCTION("""COMPUTED_VALUE"""),1.0)</f>
        <v>1</v>
      </c>
      <c r="C312" s="3"/>
      <c r="D312" s="3" t="str">
        <f>IFERROR(__xludf.DUMMYFUNCTION("""COMPUTED_VALUE"""),"Demonic")</f>
        <v>Demonic</v>
      </c>
      <c r="E312" s="3">
        <f>IFERROR(__xludf.DUMMYFUNCTION("""COMPUTED_VALUE"""),1010.0)</f>
        <v>1010</v>
      </c>
      <c r="F312" s="12">
        <f>IFERROR(__xludf.DUMMYFUNCTION("""COMPUTED_VALUE"""),1010.0)</f>
        <v>1010</v>
      </c>
      <c r="G312" s="3">
        <f>IFERROR(__xludf.DUMMYFUNCTION("""COMPUTED_VALUE"""),1010.0)</f>
        <v>1010</v>
      </c>
      <c r="H312" s="3">
        <f>IFERROR(__xludf.DUMMYFUNCTION("""COMPUTED_VALUE"""),15.0)</f>
        <v>15</v>
      </c>
      <c r="I312" s="3">
        <f>IFERROR(__xludf.DUMMYFUNCTION("""COMPUTED_VALUE"""),15.0)</f>
        <v>15</v>
      </c>
      <c r="J312" s="3">
        <f>IFERROR(__xludf.DUMMYFUNCTION("""COMPUTED_VALUE"""),0.0)</f>
        <v>0</v>
      </c>
      <c r="K312" s="3">
        <f>IFERROR(__xludf.DUMMYFUNCTION("""COMPUTED_VALUE"""),100.0)</f>
        <v>100</v>
      </c>
      <c r="L312" s="3">
        <f>IFERROR(__xludf.DUMMYFUNCTION("""COMPUTED_VALUE"""),100.0)</f>
        <v>100</v>
      </c>
      <c r="M312" s="3" t="str">
        <f>IFERROR(__xludf.DUMMYFUNCTION("""COMPUTED_VALUE"""),"Fire:100, Dark:Immune, Chaos:Immune, Voodoo:Immune, Blood:Immune, Instant Death:Immune, Banishment:Immune, ")</f>
        <v>Fire:100, Dark:Immune, Chaos:Immune, Voodoo:Immune, Blood:Immune, Instant Death:Immune, Banishment:Immune, </v>
      </c>
      <c r="N312" s="3" t="str">
        <f>IFERROR(__xludf.DUMMYFUNCTION("""COMPUTED_VALUE"""),"Light:100, Order:100, ")</f>
        <v>Light:100, Order:100, </v>
      </c>
      <c r="O312" s="3" t="str">
        <f>IFERROR(__xludf.DUMMYFUNCTION("""COMPUTED_VALUE"""),"Abstara Royal Helm")</f>
        <v>Abstara Royal Helm</v>
      </c>
      <c r="P312" s="3" t="str">
        <f>IFERROR(__xludf.DUMMYFUNCTION("""COMPUTED_VALUE"""),"Necklace Of Shards")</f>
        <v>Necklace Of Shards</v>
      </c>
      <c r="Q312" s="3"/>
      <c r="R312" s="3"/>
      <c r="S312" s="3" t="str">
        <f>IFERROR(__xludf.DUMMYFUNCTION("""COMPUTED_VALUE"""),"Abstara Royal Pauldrons")</f>
        <v>Abstara Royal Pauldrons</v>
      </c>
      <c r="T312" s="3" t="str">
        <f>IFERROR(__xludf.DUMMYFUNCTION("""COMPUTED_VALUE"""),"Abstara Royal Chestplate")</f>
        <v>Abstara Royal Chestplate</v>
      </c>
      <c r="U312" s="3" t="str">
        <f>IFERROR(__xludf.DUMMYFUNCTION("""COMPUTED_VALUE"""),"Abstara Royal Vambraces")</f>
        <v>Abstara Royal Vambraces</v>
      </c>
      <c r="V312" s="3"/>
      <c r="W312" s="3" t="str">
        <f>IFERROR(__xludf.DUMMYFUNCTION("""COMPUTED_VALUE"""),"Grand Hellfire Sword")</f>
        <v>Grand Hellfire Sword</v>
      </c>
      <c r="X312" s="3" t="str">
        <f>IFERROR(__xludf.DUMMYFUNCTION("""COMPUTED_VALUE"""),"Ring of Darkness")</f>
        <v>Ring of Darkness</v>
      </c>
      <c r="Y312" s="3" t="str">
        <f>IFERROR(__xludf.DUMMYFUNCTION("""COMPUTED_VALUE"""),"Ring of Pure Chaos")</f>
        <v>Ring of Pure Chaos</v>
      </c>
      <c r="Z312" s="3"/>
      <c r="AA312" s="3"/>
      <c r="AB312" s="3"/>
      <c r="AC312" s="3"/>
      <c r="AD312" s="3"/>
      <c r="AE312" s="3"/>
      <c r="AF312" s="3"/>
      <c r="AG312" s="3"/>
      <c r="AH312" s="3" t="str">
        <f>IFERROR(__xludf.DUMMYFUNCTION("""COMPUTED_VALUE"""),"Abstara Royal Greaves")</f>
        <v>Abstara Royal Greaves</v>
      </c>
      <c r="AI312" s="3" t="str">
        <f>IFERROR(__xludf.DUMMYFUNCTION("""COMPUTED_VALUE"""),"Abstara Royal Boots")</f>
        <v>Abstara Royal Boots</v>
      </c>
      <c r="AJ312" s="3" t="str">
        <f>IFERROR(__xludf.DUMMYFUNCTION("""COMPUTED_VALUE"""),"Chaincast")</f>
        <v>Chaincast</v>
      </c>
      <c r="AK312" s="3" t="str">
        <f>IFERROR(__xludf.DUMMYFUNCTION("""COMPUTED_VALUE"""),"Guard Call (Mob)")</f>
        <v>Guard Call (Mob)</v>
      </c>
      <c r="AL312" s="3" t="str">
        <f>IFERROR(__xludf.DUMMYFUNCTION("""COMPUTED_VALUE"""),"Arrest II")</f>
        <v>Arrest II</v>
      </c>
      <c r="AM312" s="3" t="str">
        <f>IFERROR(__xludf.DUMMYFUNCTION("""COMPUTED_VALUE"""),"Meteor Shower")</f>
        <v>Meteor Shower</v>
      </c>
      <c r="AN312" s="3" t="str">
        <f>IFERROR(__xludf.DUMMYFUNCTION("""COMPUTED_VALUE"""),"Volcanic Rain")</f>
        <v>Volcanic Rain</v>
      </c>
      <c r="AO312" s="3" t="str">
        <f>IFERROR(__xludf.DUMMYFUNCTION("""COMPUTED_VALUE"""),"Solar Storm")</f>
        <v>Solar Storm</v>
      </c>
      <c r="AP312" s="3" t="str">
        <f>IFERROR(__xludf.DUMMYFUNCTION("""COMPUTED_VALUE"""),"Sunny Day")</f>
        <v>Sunny Day</v>
      </c>
      <c r="AQ312" s="3" t="str">
        <f>IFERROR(__xludf.DUMMYFUNCTION("""COMPUTED_VALUE"""),"Doom Impulse")</f>
        <v>Doom Impulse</v>
      </c>
      <c r="AR312" s="3" t="str">
        <f>IFERROR(__xludf.DUMMYFUNCTION("""COMPUTED_VALUE"""),"Shatter")</f>
        <v>Shatter</v>
      </c>
      <c r="AS312" s="3" t="str">
        <f>IFERROR(__xludf.DUMMYFUNCTION("""COMPUTED_VALUE"""),"Dimensional Quake")</f>
        <v>Dimensional Quake</v>
      </c>
      <c r="AT312" s="3" t="str">
        <f>IFERROR(__xludf.DUMMYFUNCTION("""COMPUTED_VALUE"""),"Darkest Abyss")</f>
        <v>Darkest Abyss</v>
      </c>
      <c r="AU312" s="3" t="str">
        <f>IFERROR(__xludf.DUMMYFUNCTION("""COMPUTED_VALUE"""),"Raise Dead")</f>
        <v>Raise Dead</v>
      </c>
      <c r="AV312" s="3" t="str">
        <f>IFERROR(__xludf.DUMMYFUNCTION("""COMPUTED_VALUE"""),"Last Gamble")</f>
        <v>Last Gamble</v>
      </c>
      <c r="AW312" s="3" t="str">
        <f>IFERROR(__xludf.DUMMYFUNCTION("""COMPUTED_VALUE"""),"Voodoo Meteor Shower")</f>
        <v>Voodoo Meteor Shower</v>
      </c>
      <c r="AX312" s="3" t="str">
        <f>IFERROR(__xludf.DUMMYFUNCTION("""COMPUTED_VALUE"""),"Multi-Magic")</f>
        <v>Multi-Magic</v>
      </c>
      <c r="AY312" s="3" t="str">
        <f>IFERROR(__xludf.DUMMYFUNCTION("""COMPUTED_VALUE"""),"Berserk")</f>
        <v>Berserk</v>
      </c>
      <c r="AZ312" s="3" t="str">
        <f>IFERROR(__xludf.DUMMYFUNCTION("""COMPUTED_VALUE"""),"Confiscate (Enhanced)")</f>
        <v>Confiscate (Enhanced)</v>
      </c>
      <c r="BA312" s="3" t="str">
        <f>IFERROR(__xludf.DUMMYFUNCTION("""COMPUTED_VALUE"""),"Enrage")</f>
        <v>Enrage</v>
      </c>
      <c r="BB312" s="3" t="str">
        <f>IFERROR(__xludf.DUMMYFUNCTION("""COMPUTED_VALUE"""),"Mass Destruction")</f>
        <v>Mass Destruction</v>
      </c>
      <c r="BC312" s="1" t="str">
        <f>IFERROR(__xludf.DUMMYFUNCTION("""COMPUTED_VALUE"""),"Vaporize")</f>
        <v>Vaporize</v>
      </c>
      <c r="BD312" s="3">
        <f>IFERROR(__xludf.DUMMYFUNCTION("""COMPUTED_VALUE"""),15.0)</f>
        <v>15</v>
      </c>
      <c r="BE312" s="4">
        <f>IFERROR(__xludf.DUMMYFUNCTION("""COMPUTED_VALUE"""),15.0)</f>
        <v>15</v>
      </c>
      <c r="BF312" s="3" t="str">
        <f>IFERROR(__xludf.DUMMYFUNCTION("""COMPUTED_VALUE"""),"75% chance to be unaffected by any spells affecting this mob.
75% chance to dodge any attack without fail.
75% chance to be unaffected by an item affecting this mob.
Royal Guards Beckoning II: Plus 10 can be added to the caster's d20 roll, if the enemy"&amp;" gets a higher roll then the caster the enemy must roll again once more.
Royal Awakening II: When the caster dies 4 Abstara Guards (Major) will be summoned.
Items cannot be taken from this mob.
Immune to Freezing")</f>
        <v>75% chance to be unaffected by any spells affecting this mob.
75% chance to dodge any attack without fail.
75% chance to be unaffected by an item affecting this mob.
Royal Guards Beckoning II: Plus 10 can be added to the caster's d20 roll, if the enemy gets a higher roll then the caster the enemy must roll again once more.
Royal Awakening II: When the caster dies 4 Abstara Guards (Major) will be summoned.
Items cannot be taken from this mob.
Immune to Freezing</v>
      </c>
      <c r="BG312" s="3" t="str">
        <f>IFERROR(__xludf.DUMMYFUNCTION("""COMPUTED_VALUE"""),"All")</f>
        <v>All</v>
      </c>
      <c r="BH312" s="3" t="str">
        <f>IFERROR(__xludf.DUMMYFUNCTION("""COMPUTED_VALUE"""),"Abstara")</f>
        <v>Abstara</v>
      </c>
      <c r="BI312" s="3"/>
      <c r="BJ312" s="3"/>
      <c r="BK312" s="3"/>
      <c r="BL312" s="3" t="b">
        <f>IFERROR(__xludf.DUMMYFUNCTION("""COMPUTED_VALUE"""),FALSE)</f>
        <v>0</v>
      </c>
      <c r="BM312" s="3"/>
      <c r="BN312" s="3"/>
      <c r="BO312" s="3"/>
      <c r="BP312" s="3"/>
      <c r="BQ312" s="3"/>
      <c r="BR312" s="3"/>
      <c r="BS312" s="3"/>
      <c r="BT312" s="3"/>
      <c r="BU312" s="3"/>
      <c r="BV312" s="3"/>
      <c r="BW312" s="3"/>
    </row>
    <row r="313" ht="15.75" customHeight="1">
      <c r="A313" s="3" t="str">
        <f>IFERROR(__xludf.DUMMYFUNCTION("""COMPUTED_VALUE"""),"Abstara  Guard (Tier l)")</f>
        <v>Abstara  Guard (Tier l)</v>
      </c>
      <c r="B313" s="3">
        <f>IFERROR(__xludf.DUMMYFUNCTION("""COMPUTED_VALUE"""),1.0)</f>
        <v>1</v>
      </c>
      <c r="C313" s="3"/>
      <c r="D313" s="3" t="str">
        <f>IFERROR(__xludf.DUMMYFUNCTION("""COMPUTED_VALUE"""),"Demonic")</f>
        <v>Demonic</v>
      </c>
      <c r="E313" s="3">
        <f>IFERROR(__xludf.DUMMYFUNCTION("""COMPUTED_VALUE"""),1010.0)</f>
        <v>1010</v>
      </c>
      <c r="F313" s="12">
        <f>IFERROR(__xludf.DUMMYFUNCTION("""COMPUTED_VALUE"""),1010.0)</f>
        <v>1010</v>
      </c>
      <c r="G313" s="3">
        <f>IFERROR(__xludf.DUMMYFUNCTION("""COMPUTED_VALUE"""),1010.0)</f>
        <v>1010</v>
      </c>
      <c r="H313" s="3">
        <f>IFERROR(__xludf.DUMMYFUNCTION("""COMPUTED_VALUE"""),15.0)</f>
        <v>15</v>
      </c>
      <c r="I313" s="3">
        <f>IFERROR(__xludf.DUMMYFUNCTION("""COMPUTED_VALUE"""),10.0)</f>
        <v>10</v>
      </c>
      <c r="J313" s="3">
        <f>IFERROR(__xludf.DUMMYFUNCTION("""COMPUTED_VALUE"""),0.0)</f>
        <v>0</v>
      </c>
      <c r="K313" s="3">
        <f>IFERROR(__xludf.DUMMYFUNCTION("""COMPUTED_VALUE"""),100.0)</f>
        <v>100</v>
      </c>
      <c r="L313" s="3">
        <f>IFERROR(__xludf.DUMMYFUNCTION("""COMPUTED_VALUE"""),100.0)</f>
        <v>100</v>
      </c>
      <c r="M313" s="3" t="str">
        <f>IFERROR(__xludf.DUMMYFUNCTION("""COMPUTED_VALUE"""),"Fire:100, Dark:Immune, Chaos:Immune, Voodoo:Immune, Blood:Immune, Instant Death:Immune, Banishment:Immune, ")</f>
        <v>Fire:100, Dark:Immune, Chaos:Immune, Voodoo:Immune, Blood:Immune, Instant Death:Immune, Banishment:Immune, </v>
      </c>
      <c r="N313" s="3" t="str">
        <f>IFERROR(__xludf.DUMMYFUNCTION("""COMPUTED_VALUE"""),"Light:100, Order:100, ")</f>
        <v>Light:100, Order:100, </v>
      </c>
      <c r="O313" s="3" t="str">
        <f>IFERROR(__xludf.DUMMYFUNCTION("""COMPUTED_VALUE"""),"Abstara Royal Helm")</f>
        <v>Abstara Royal Helm</v>
      </c>
      <c r="P313" s="3" t="str">
        <f>IFERROR(__xludf.DUMMYFUNCTION("""COMPUTED_VALUE"""),"Necklace Of Shards")</f>
        <v>Necklace Of Shards</v>
      </c>
      <c r="Q313" s="3"/>
      <c r="R313" s="3"/>
      <c r="S313" s="3" t="str">
        <f>IFERROR(__xludf.DUMMYFUNCTION("""COMPUTED_VALUE"""),"Abstara Royal Pauldrons")</f>
        <v>Abstara Royal Pauldrons</v>
      </c>
      <c r="T313" s="3" t="str">
        <f>IFERROR(__xludf.DUMMYFUNCTION("""COMPUTED_VALUE"""),"Abstara Royal Chestplate")</f>
        <v>Abstara Royal Chestplate</v>
      </c>
      <c r="U313" s="3" t="str">
        <f>IFERROR(__xludf.DUMMYFUNCTION("""COMPUTED_VALUE"""),"Abstara Royal Vambraces")</f>
        <v>Abstara Royal Vambraces</v>
      </c>
      <c r="V313" s="3"/>
      <c r="W313" s="3" t="str">
        <f>IFERROR(__xludf.DUMMYFUNCTION("""COMPUTED_VALUE"""),"Grand Hellfire Sword")</f>
        <v>Grand Hellfire Sword</v>
      </c>
      <c r="X313" s="3" t="str">
        <f>IFERROR(__xludf.DUMMYFUNCTION("""COMPUTED_VALUE"""),"Ring of Darkness")</f>
        <v>Ring of Darkness</v>
      </c>
      <c r="Y313" s="3" t="str">
        <f>IFERROR(__xludf.DUMMYFUNCTION("""COMPUTED_VALUE"""),"Ring of Pure Chaos")</f>
        <v>Ring of Pure Chaos</v>
      </c>
      <c r="Z313" s="3"/>
      <c r="AA313" s="3"/>
      <c r="AB313" s="3"/>
      <c r="AC313" s="3"/>
      <c r="AD313" s="3"/>
      <c r="AE313" s="3"/>
      <c r="AF313" s="3"/>
      <c r="AG313" s="3"/>
      <c r="AH313" s="3" t="str">
        <f>IFERROR(__xludf.DUMMYFUNCTION("""COMPUTED_VALUE"""),"Abstara Royal Greaves")</f>
        <v>Abstara Royal Greaves</v>
      </c>
      <c r="AI313" s="3" t="str">
        <f>IFERROR(__xludf.DUMMYFUNCTION("""COMPUTED_VALUE"""),"Abstara Royal Boots")</f>
        <v>Abstara Royal Boots</v>
      </c>
      <c r="AJ313" s="3" t="str">
        <f>IFERROR(__xludf.DUMMYFUNCTION("""COMPUTED_VALUE"""),"Chaincast")</f>
        <v>Chaincast</v>
      </c>
      <c r="AK313" s="3" t="str">
        <f>IFERROR(__xludf.DUMMYFUNCTION("""COMPUTED_VALUE"""),"Guard Call (Mob)")</f>
        <v>Guard Call (Mob)</v>
      </c>
      <c r="AL313" s="3" t="str">
        <f>IFERROR(__xludf.DUMMYFUNCTION("""COMPUTED_VALUE"""),"Arrest II")</f>
        <v>Arrest II</v>
      </c>
      <c r="AM313" s="3" t="str">
        <f>IFERROR(__xludf.DUMMYFUNCTION("""COMPUTED_VALUE"""),"Meteor Shower")</f>
        <v>Meteor Shower</v>
      </c>
      <c r="AN313" s="3" t="str">
        <f>IFERROR(__xludf.DUMMYFUNCTION("""COMPUTED_VALUE"""),"Volcanic Rain")</f>
        <v>Volcanic Rain</v>
      </c>
      <c r="AO313" s="3" t="str">
        <f>IFERROR(__xludf.DUMMYFUNCTION("""COMPUTED_VALUE"""),"Solar Storm")</f>
        <v>Solar Storm</v>
      </c>
      <c r="AP313" s="3" t="str">
        <f>IFERROR(__xludf.DUMMYFUNCTION("""COMPUTED_VALUE"""),"Sunny Day")</f>
        <v>Sunny Day</v>
      </c>
      <c r="AQ313" s="3" t="str">
        <f>IFERROR(__xludf.DUMMYFUNCTION("""COMPUTED_VALUE"""),"Doom Impulse")</f>
        <v>Doom Impulse</v>
      </c>
      <c r="AR313" s="3" t="str">
        <f>IFERROR(__xludf.DUMMYFUNCTION("""COMPUTED_VALUE"""),"Shatter")</f>
        <v>Shatter</v>
      </c>
      <c r="AS313" s="3" t="str">
        <f>IFERROR(__xludf.DUMMYFUNCTION("""COMPUTED_VALUE"""),"Dimensional Quake")</f>
        <v>Dimensional Quake</v>
      </c>
      <c r="AT313" s="3" t="str">
        <f>IFERROR(__xludf.DUMMYFUNCTION("""COMPUTED_VALUE"""),"Darkest Abyss")</f>
        <v>Darkest Abyss</v>
      </c>
      <c r="AU313" s="3" t="str">
        <f>IFERROR(__xludf.DUMMYFUNCTION("""COMPUTED_VALUE"""),"Raise Dead")</f>
        <v>Raise Dead</v>
      </c>
      <c r="AV313" s="3" t="str">
        <f>IFERROR(__xludf.DUMMYFUNCTION("""COMPUTED_VALUE"""),"Last Gamble")</f>
        <v>Last Gamble</v>
      </c>
      <c r="AW313" s="3" t="str">
        <f>IFERROR(__xludf.DUMMYFUNCTION("""COMPUTED_VALUE"""),"Voodoo Meteor Shower")</f>
        <v>Voodoo Meteor Shower</v>
      </c>
      <c r="AX313" s="3" t="str">
        <f>IFERROR(__xludf.DUMMYFUNCTION("""COMPUTED_VALUE"""),"Multi-Magic")</f>
        <v>Multi-Magic</v>
      </c>
      <c r="AY313" s="3" t="str">
        <f>IFERROR(__xludf.DUMMYFUNCTION("""COMPUTED_VALUE"""),"Berserk")</f>
        <v>Berserk</v>
      </c>
      <c r="AZ313" s="3" t="str">
        <f>IFERROR(__xludf.DUMMYFUNCTION("""COMPUTED_VALUE"""),"Confiscate (Enhanced)")</f>
        <v>Confiscate (Enhanced)</v>
      </c>
      <c r="BA313" s="3" t="str">
        <f>IFERROR(__xludf.DUMMYFUNCTION("""COMPUTED_VALUE"""),"Enrage")</f>
        <v>Enrage</v>
      </c>
      <c r="BB313" s="3" t="str">
        <f>IFERROR(__xludf.DUMMYFUNCTION("""COMPUTED_VALUE"""),"Mass Destruction")</f>
        <v>Mass Destruction</v>
      </c>
      <c r="BC313" s="1" t="str">
        <f>IFERROR(__xludf.DUMMYFUNCTION("""COMPUTED_VALUE"""),"Vaporize")</f>
        <v>Vaporize</v>
      </c>
      <c r="BD313" s="3">
        <f>IFERROR(__xludf.DUMMYFUNCTION("""COMPUTED_VALUE"""),10.0)</f>
        <v>10</v>
      </c>
      <c r="BE313" s="4">
        <f>IFERROR(__xludf.DUMMYFUNCTION("""COMPUTED_VALUE"""),15.0)</f>
        <v>15</v>
      </c>
      <c r="BF313" s="3" t="str">
        <f>IFERROR(__xludf.DUMMYFUNCTION("""COMPUTED_VALUE"""),"25% chance to dodge any attack without fail.
25% chance to be unaffected by any spells affecting this mob.
25% chance to be unaffected by an item affecting this mob.
Guards Reinforcement II: Plus 10 can be added to the casters d20 roll.
Items cannot b"&amp;"e taken from this mob.
Immune to Freezing")</f>
        <v>25% chance to dodge any attack without fail.
25% chance to be unaffected by any spells affecting this mob.
25% chance to be unaffected by an item affecting this mob.
Guards Reinforcement II: Plus 10 can be added to the casters d20 roll.
Items cannot be taken from this mob.
Immune to Freezing</v>
      </c>
      <c r="BG313" s="3" t="str">
        <f>IFERROR(__xludf.DUMMYFUNCTION("""COMPUTED_VALUE"""),"All")</f>
        <v>All</v>
      </c>
      <c r="BH313" s="3" t="str">
        <f>IFERROR(__xludf.DUMMYFUNCTION("""COMPUTED_VALUE"""),"Abstara")</f>
        <v>Abstara</v>
      </c>
      <c r="BI313" s="3"/>
      <c r="BJ313" s="3"/>
      <c r="BK313" s="3"/>
      <c r="BL313" s="3" t="b">
        <f>IFERROR(__xludf.DUMMYFUNCTION("""COMPUTED_VALUE"""),FALSE)</f>
        <v>0</v>
      </c>
      <c r="BM313" s="3"/>
      <c r="BN313" s="3"/>
      <c r="BO313" s="3"/>
      <c r="BP313" s="3"/>
      <c r="BQ313" s="3"/>
      <c r="BR313" s="3"/>
      <c r="BS313" s="3"/>
      <c r="BT313" s="3"/>
      <c r="BU313" s="3"/>
      <c r="BV313" s="3"/>
      <c r="BW313" s="3"/>
    </row>
    <row r="314" ht="15.75" customHeight="1">
      <c r="A314" s="3" t="str">
        <f>IFERROR(__xludf.DUMMYFUNCTION("""COMPUTED_VALUE"""),"Crystal Colossus")</f>
        <v>Crystal Colossus</v>
      </c>
      <c r="B314" s="3">
        <f>IFERROR(__xludf.DUMMYFUNCTION("""COMPUTED_VALUE"""),1.0)</f>
        <v>1</v>
      </c>
      <c r="C314" s="3"/>
      <c r="D314" s="3" t="str">
        <f>IFERROR(__xludf.DUMMYFUNCTION("""COMPUTED_VALUE"""),"Construct")</f>
        <v>Construct</v>
      </c>
      <c r="E314" s="3">
        <f>IFERROR(__xludf.DUMMYFUNCTION("""COMPUTED_VALUE"""),1010.0)</f>
        <v>1010</v>
      </c>
      <c r="F314" s="12">
        <f>IFERROR(__xludf.DUMMYFUNCTION("""COMPUTED_VALUE"""),1010.0)</f>
        <v>1010</v>
      </c>
      <c r="G314" s="3">
        <f>IFERROR(__xludf.DUMMYFUNCTION("""COMPUTED_VALUE"""),1010.0)</f>
        <v>1010</v>
      </c>
      <c r="H314" s="3">
        <f>IFERROR(__xludf.DUMMYFUNCTION("""COMPUTED_VALUE"""),10.0)</f>
        <v>10</v>
      </c>
      <c r="I314" s="3">
        <f>IFERROR(__xludf.DUMMYFUNCTION("""COMPUTED_VALUE"""),0.0)</f>
        <v>0</v>
      </c>
      <c r="J314" s="3">
        <f>IFERROR(__xludf.DUMMYFUNCTION("""COMPUTED_VALUE"""),0.0)</f>
        <v>0</v>
      </c>
      <c r="K314" s="3">
        <f>IFERROR(__xludf.DUMMYFUNCTION("""COMPUTED_VALUE"""),100.0)</f>
        <v>100</v>
      </c>
      <c r="L314" s="3">
        <f>IFERROR(__xludf.DUMMYFUNCTION("""COMPUTED_VALUE"""),100.0)</f>
        <v>100</v>
      </c>
      <c r="M314" s="3" t="str">
        <f>IFERROR(__xludf.DUMMYFUNCTION("""COMPUTED_VALUE"""),"Instant Death:Immune, Banishment:Immune, ")</f>
        <v>Instant Death:Immune, Banishment:Immune, </v>
      </c>
      <c r="N314" s="3" t="str">
        <f>IFERROR(__xludf.DUMMYFUNCTION("""COMPUTED_VALUE"""),"")</f>
        <v/>
      </c>
      <c r="O314" s="3" t="str">
        <f>IFERROR(__xludf.DUMMYFUNCTION("""COMPUTED_VALUE"""),"Crystal Forged Helmet")</f>
        <v>Crystal Forged Helmet</v>
      </c>
      <c r="P314" s="3" t="str">
        <f>IFERROR(__xludf.DUMMYFUNCTION("""COMPUTED_VALUE"""),"Black Crystal Necklace of Luck")</f>
        <v>Black Crystal Necklace of Luck</v>
      </c>
      <c r="Q314" s="3" t="str">
        <f>IFERROR(__xludf.DUMMYFUNCTION("""COMPUTED_VALUE"""),"Crystal Healing Amulet")</f>
        <v>Crystal Healing Amulet</v>
      </c>
      <c r="R314" s="3"/>
      <c r="S314" s="3" t="str">
        <f>IFERROR(__xludf.DUMMYFUNCTION("""COMPUTED_VALUE"""),"Crystal Forged Pauldrons")</f>
        <v>Crystal Forged Pauldrons</v>
      </c>
      <c r="T314" s="3" t="str">
        <f>IFERROR(__xludf.DUMMYFUNCTION("""COMPUTED_VALUE"""),"Crystal Forged Chestplate")</f>
        <v>Crystal Forged Chestplate</v>
      </c>
      <c r="U314" s="3" t="str">
        <f>IFERROR(__xludf.DUMMYFUNCTION("""COMPUTED_VALUE"""),"Crystal Forged Vambraces")</f>
        <v>Crystal Forged Vambraces</v>
      </c>
      <c r="V314" s="3" t="str">
        <f>IFERROR(__xludf.DUMMYFUNCTION("""COMPUTED_VALUE"""),"Crystal Longsword")</f>
        <v>Crystal Longsword</v>
      </c>
      <c r="W314" s="3"/>
      <c r="X314" s="3" t="str">
        <f>IFERROR(__xludf.DUMMYFUNCTION("""COMPUTED_VALUE"""),"Crystal Ring")</f>
        <v>Crystal Ring</v>
      </c>
      <c r="Y314" s="3"/>
      <c r="Z314" s="3"/>
      <c r="AA314" s="3"/>
      <c r="AB314" s="3"/>
      <c r="AC314" s="3"/>
      <c r="AD314" s="3"/>
      <c r="AE314" s="3"/>
      <c r="AF314" s="3"/>
      <c r="AG314" s="3"/>
      <c r="AH314" s="3"/>
      <c r="AI314" s="3"/>
      <c r="AJ314" s="3" t="str">
        <f>IFERROR(__xludf.DUMMYFUNCTION("""COMPUTED_VALUE"""),"Energizing Emerald Pulse")</f>
        <v>Energizing Emerald Pulse</v>
      </c>
      <c r="AK314" s="3" t="str">
        <f>IFERROR(__xludf.DUMMYFUNCTION("""COMPUTED_VALUE"""),"Searing Saphire Strike")</f>
        <v>Searing Saphire Strike</v>
      </c>
      <c r="AL314" s="3" t="str">
        <f>IFERROR(__xludf.DUMMYFUNCTION("""COMPUTED_VALUE"""),"Molten Ruby Spikes")</f>
        <v>Molten Ruby Spikes</v>
      </c>
      <c r="AM314" s="3" t="str">
        <f>IFERROR(__xludf.DUMMYFUNCTION("""COMPUTED_VALUE"""),"Chaincast")</f>
        <v>Chaincast</v>
      </c>
      <c r="AN314" s="3" t="str">
        <f>IFERROR(__xludf.DUMMYFUNCTION("""COMPUTED_VALUE"""),"Berserk")</f>
        <v>Berserk</v>
      </c>
      <c r="AO314" s="3" t="str">
        <f>IFERROR(__xludf.DUMMYFUNCTION("""COMPUTED_VALUE"""),"Mass Destruction")</f>
        <v>Mass Destruction</v>
      </c>
      <c r="AP314" s="3" t="str">
        <f>IFERROR(__xludf.DUMMYFUNCTION("""COMPUTED_VALUE"""),"Cancel")</f>
        <v>Cancel</v>
      </c>
      <c r="AQ314" s="3"/>
      <c r="AR314" s="3"/>
      <c r="AS314" s="3"/>
      <c r="AT314" s="3"/>
      <c r="AU314" s="3"/>
      <c r="AV314" s="3"/>
      <c r="AW314" s="3"/>
      <c r="AX314" s="3"/>
      <c r="AY314" s="3"/>
      <c r="AZ314" s="3"/>
      <c r="BA314" s="3"/>
      <c r="BB314" s="3"/>
      <c r="BC314" s="1"/>
      <c r="BD314" s="3">
        <f>IFERROR(__xludf.DUMMYFUNCTION("""COMPUTED_VALUE"""),0.0)</f>
        <v>0</v>
      </c>
      <c r="BE314" s="4">
        <f>IFERROR(__xludf.DUMMYFUNCTION("""COMPUTED_VALUE"""),10.0)</f>
        <v>10</v>
      </c>
      <c r="BF314" s="3" t="str">
        <f>IFERROR(__xludf.DUMMYFUNCTION("""COMPUTED_VALUE"""),"75% chance to be unaffected by any spells affecting this mob
Forged in Crystals II: +10 can be added to this mobs rolls.")</f>
        <v>75% chance to be unaffected by any spells affecting this mob
Forged in Crystals II: +10 can be added to this mobs rolls.</v>
      </c>
      <c r="BG314" s="3" t="str">
        <f>IFERROR(__xludf.DUMMYFUNCTION("""COMPUTED_VALUE"""),"City/Town")</f>
        <v>City/Town</v>
      </c>
      <c r="BH314" s="3" t="str">
        <f>IFERROR(__xludf.DUMMYFUNCTION("""COMPUTED_VALUE"""),"Land of Spira")</f>
        <v>Land of Spira</v>
      </c>
      <c r="BI314" s="3"/>
      <c r="BJ314" s="3"/>
      <c r="BK314" s="3"/>
      <c r="BL314" s="3" t="b">
        <f>IFERROR(__xludf.DUMMYFUNCTION("""COMPUTED_VALUE"""),FALSE)</f>
        <v>0</v>
      </c>
      <c r="BM314" s="3"/>
      <c r="BN314" s="3"/>
      <c r="BO314" s="3"/>
      <c r="BP314" s="3"/>
      <c r="BQ314" s="3"/>
      <c r="BR314" s="3"/>
      <c r="BS314" s="3"/>
      <c r="BT314" s="3"/>
      <c r="BU314" s="3"/>
      <c r="BV314" s="3"/>
      <c r="BW314" s="3"/>
    </row>
    <row r="315" ht="15.75" customHeight="1">
      <c r="A315" s="1" t="str">
        <f>IFERROR(__xludf.DUMMYFUNCTION("""COMPUTED_VALUE"""),"The Great Storm Kaiju")</f>
        <v>The Great Storm Kaiju</v>
      </c>
      <c r="B315" s="1">
        <f>IFERROR(__xludf.DUMMYFUNCTION("""COMPUTED_VALUE"""),1.0)</f>
        <v>1</v>
      </c>
      <c r="C315" s="1" t="str">
        <f>IFERROR(__xludf.DUMMYFUNCTION("""COMPUTED_VALUE"""),"This behemoth of a creature is the living incarnate of the word ""natural disater"" being untamable by man or myth it roams the world wreaking havoc where ever it treads.")</f>
        <v>This behemoth of a creature is the living incarnate of the word "natural disater" being untamable by man or myth it roams the world wreaking havoc where ever it treads.</v>
      </c>
      <c r="D315" s="1" t="str">
        <f>IFERROR(__xludf.DUMMYFUNCTION("""COMPUTED_VALUE"""),"Giant")</f>
        <v>Giant</v>
      </c>
      <c r="E315" s="1">
        <f>IFERROR(__xludf.DUMMYFUNCTION("""COMPUTED_VALUE"""),1010.0)</f>
        <v>1010</v>
      </c>
      <c r="F315" s="7">
        <f>IFERROR(__xludf.DUMMYFUNCTION("""COMPUTED_VALUE"""),1010.0)</f>
        <v>1010</v>
      </c>
      <c r="G315" s="1">
        <f>IFERROR(__xludf.DUMMYFUNCTION("""COMPUTED_VALUE"""),50010.0)</f>
        <v>50010</v>
      </c>
      <c r="H315" s="1">
        <f>IFERROR(__xludf.DUMMYFUNCTION("""COMPUTED_VALUE"""),10.0)</f>
        <v>10</v>
      </c>
      <c r="I315" s="1">
        <f>IFERROR(__xludf.DUMMYFUNCTION("""COMPUTED_VALUE"""),0.0)</f>
        <v>0</v>
      </c>
      <c r="J315" s="1">
        <f>IFERROR(__xludf.DUMMYFUNCTION("""COMPUTED_VALUE"""),0.0)</f>
        <v>0</v>
      </c>
      <c r="K315" s="1">
        <f>IFERROR(__xludf.DUMMYFUNCTION("""COMPUTED_VALUE"""),100.0)</f>
        <v>100</v>
      </c>
      <c r="L315" s="1">
        <f>IFERROR(__xludf.DUMMYFUNCTION("""COMPUTED_VALUE"""),100.0)</f>
        <v>100</v>
      </c>
      <c r="M315" s="1" t="str">
        <f>IFERROR(__xludf.DUMMYFUNCTION("""COMPUTED_VALUE"""),"Fire:Immune, Water:Immune, Storm:Immune, Earth:Immune, Nature:Immune, Instant Death:Immune, Banishment:Immune, ")</f>
        <v>Fire:Immune, Water:Immune, Storm:Immune, Earth:Immune, Nature:Immune, Instant Death:Immune, Banishment:Immune, </v>
      </c>
      <c r="N315" s="1" t="str">
        <f>IFERROR(__xludf.DUMMYFUNCTION("""COMPUTED_VALUE"""),"")</f>
        <v/>
      </c>
      <c r="O315" s="1"/>
      <c r="P315" s="1"/>
      <c r="Q315" s="1"/>
      <c r="R315" s="1"/>
      <c r="S315" s="1"/>
      <c r="T315" s="1" t="str">
        <f>IFERROR(__xludf.DUMMYFUNCTION("""COMPUTED_VALUE"""),"Reinforced Tortoise Shell")</f>
        <v>Reinforced Tortoise Shell</v>
      </c>
      <c r="U315" s="1"/>
      <c r="V315" s="1"/>
      <c r="W315" s="1" t="str">
        <f>IFERROR(__xludf.DUMMYFUNCTION("""COMPUTED_VALUE"""),"Tortoise Shell Shield")</f>
        <v>Tortoise Shell Shield</v>
      </c>
      <c r="X315" s="1"/>
      <c r="Y315" s="1"/>
      <c r="Z315" s="1"/>
      <c r="AA315" s="1"/>
      <c r="AB315" s="1"/>
      <c r="AC315" s="1"/>
      <c r="AD315" s="1"/>
      <c r="AE315" s="1"/>
      <c r="AF315" s="1"/>
      <c r="AG315" s="1"/>
      <c r="AH315" s="1"/>
      <c r="AI315" s="1"/>
      <c r="AJ315" s="1" t="str">
        <f>IFERROR(__xludf.DUMMYFUNCTION("""COMPUTED_VALUE"""),"Roaring Frost Winds")</f>
        <v>Roaring Frost Winds</v>
      </c>
      <c r="AK315" s="1" t="str">
        <f>IFERROR(__xludf.DUMMYFUNCTION("""COMPUTED_VALUE"""),"Torrential Downpour")</f>
        <v>Torrential Downpour</v>
      </c>
      <c r="AL315" s="1" t="str">
        <f>IFERROR(__xludf.DUMMYFUNCTION("""COMPUTED_VALUE"""),"Vaporize")</f>
        <v>Vaporize</v>
      </c>
      <c r="AM315" s="1" t="str">
        <f>IFERROR(__xludf.DUMMYFUNCTION("""COMPUTED_VALUE"""),"Earthquake")</f>
        <v>Earthquake</v>
      </c>
      <c r="AN315" s="1" t="str">
        <f>IFERROR(__xludf.DUMMYFUNCTION("""COMPUTED_VALUE"""),"Hurricane")</f>
        <v>Hurricane</v>
      </c>
      <c r="AO315" s="1" t="str">
        <f>IFERROR(__xludf.DUMMYFUNCTION("""COMPUTED_VALUE"""),"Crashing Waves")</f>
        <v>Crashing Waves</v>
      </c>
      <c r="AP315" s="1" t="str">
        <f>IFERROR(__xludf.DUMMYFUNCTION("""COMPUTED_VALUE"""),"Freezing Fog")</f>
        <v>Freezing Fog</v>
      </c>
      <c r="AQ315" s="1" t="str">
        <f>IFERROR(__xludf.DUMMYFUNCTION("""COMPUTED_VALUE"""),"Sandstorm")</f>
        <v>Sandstorm</v>
      </c>
      <c r="AR315" s="1" t="str">
        <f>IFERROR(__xludf.DUMMYFUNCTION("""COMPUTED_VALUE"""),"Elemental Storm")</f>
        <v>Elemental Storm</v>
      </c>
      <c r="AS315" s="1" t="str">
        <f>IFERROR(__xludf.DUMMYFUNCTION("""COMPUTED_VALUE"""),"Multishot")</f>
        <v>Multishot</v>
      </c>
      <c r="AT315" s="1" t="str">
        <f>IFERROR(__xludf.DUMMYFUNCTION("""COMPUTED_VALUE"""),"Berserk")</f>
        <v>Berserk</v>
      </c>
      <c r="AU315" s="1" t="str">
        <f>IFERROR(__xludf.DUMMYFUNCTION("""COMPUTED_VALUE"""),"Chaincast")</f>
        <v>Chaincast</v>
      </c>
      <c r="AV315" s="1" t="str">
        <f>IFERROR(__xludf.DUMMYFUNCTION("""COMPUTED_VALUE"""),"Volcanic Rain")</f>
        <v>Volcanic Rain</v>
      </c>
      <c r="AW315" s="1" t="str">
        <f>IFERROR(__xludf.DUMMYFUNCTION("""COMPUTED_VALUE"""),"Meteor Shower")</f>
        <v>Meteor Shower</v>
      </c>
      <c r="AX315" s="1" t="str">
        <f>IFERROR(__xludf.DUMMYFUNCTION("""COMPUTED_VALUE"""),"Sunny Day")</f>
        <v>Sunny Day</v>
      </c>
      <c r="AY315" s="1" t="str">
        <f>IFERROR(__xludf.DUMMYFUNCTION("""COMPUTED_VALUE"""),"Black Hole")</f>
        <v>Black Hole</v>
      </c>
      <c r="AZ315" s="1" t="str">
        <f>IFERROR(__xludf.DUMMYFUNCTION("""COMPUTED_VALUE"""),"Full Impact")</f>
        <v>Full Impact</v>
      </c>
      <c r="BA315" s="1" t="str">
        <f>IFERROR(__xludf.DUMMYFUNCTION("""COMPUTED_VALUE"""),"Aggressive Chomp")</f>
        <v>Aggressive Chomp</v>
      </c>
      <c r="BB315" s="1"/>
      <c r="BC315" s="1"/>
      <c r="BD315" s="1">
        <f>IFERROR(__xludf.DUMMYFUNCTION("""COMPUTED_VALUE"""),0.0)</f>
        <v>0</v>
      </c>
      <c r="BE315" s="9">
        <f>IFERROR(__xludf.DUMMYFUNCTION("""COMPUTED_VALUE"""),10.0)</f>
        <v>10</v>
      </c>
      <c r="BF315" s="1" t="str">
        <f>IFERROR(__xludf.DUMMYFUNCTION("""COMPUTED_VALUE"""),"75% chance to be unaffected by any spells affecting this mob
Natural Radiance: +10 can be added to this mobs rolls.
X4 additional damage towards cannot avoid attacks for everyone.
X8 additional defense for self at all times.")</f>
        <v>75% chance to be unaffected by any spells affecting this mob
Natural Radiance: +10 can be added to this mobs rolls.
X4 additional damage towards cannot avoid attacks for everyone.
X8 additional defense for self at all times.</v>
      </c>
      <c r="BG315" s="1" t="str">
        <f>IFERROR(__xludf.DUMMYFUNCTION("""COMPUTED_VALUE"""),"All")</f>
        <v>All</v>
      </c>
      <c r="BH315" s="1" t="str">
        <f>IFERROR(__xludf.DUMMYFUNCTION("""COMPUTED_VALUE"""),"Land of Spira")</f>
        <v>Land of Spira</v>
      </c>
      <c r="BI315" s="1"/>
      <c r="BJ315" s="1"/>
      <c r="BK315" s="1"/>
      <c r="BL315" s="1" t="b">
        <f>IFERROR(__xludf.DUMMYFUNCTION("""COMPUTED_VALUE"""),FALSE)</f>
        <v>0</v>
      </c>
      <c r="BM315" s="1"/>
      <c r="BN315" s="1"/>
      <c r="BO315" s="1"/>
      <c r="BP315" s="1"/>
      <c r="BQ315" s="1"/>
    </row>
    <row r="316" ht="15.75" customHeight="1">
      <c r="A316" s="1" t="str">
        <f>IFERROR(__xludf.DUMMYFUNCTION("""COMPUTED_VALUE"""),"Gaia, Goddess of Earth")</f>
        <v>Gaia, Goddess of Earth</v>
      </c>
      <c r="B316" s="1">
        <f>IFERROR(__xludf.DUMMYFUNCTION("""COMPUTED_VALUE"""),1.0)</f>
        <v>1</v>
      </c>
      <c r="C316" s="1" t="str">
        <f>IFERROR(__xludf.DUMMYFUNCTION("""COMPUTED_VALUE"""),"The Ancient goddess of the earth element and the one who grants this magic and her priests strength. Primary Element is earth.")</f>
        <v>The Ancient goddess of the earth element and the one who grants this magic and her priests strength. Primary Element is earth.</v>
      </c>
      <c r="D316" s="1" t="str">
        <f>IFERROR(__xludf.DUMMYFUNCTION("""COMPUTED_VALUE"""),"God")</f>
        <v>God</v>
      </c>
      <c r="E316" s="1">
        <f>IFERROR(__xludf.DUMMYFUNCTION("""COMPUTED_VALUE"""),1010.0)</f>
        <v>1010</v>
      </c>
      <c r="F316" s="7">
        <f>IFERROR(__xludf.DUMMYFUNCTION("""COMPUTED_VALUE"""),1010.0)</f>
        <v>1010</v>
      </c>
      <c r="G316" s="1">
        <f>IFERROR(__xludf.DUMMYFUNCTION("""COMPUTED_VALUE"""),201010.0)</f>
        <v>201010</v>
      </c>
      <c r="H316" s="1">
        <f>IFERROR(__xludf.DUMMYFUNCTION("""COMPUTED_VALUE"""),10.0)</f>
        <v>10</v>
      </c>
      <c r="I316" s="1">
        <f>IFERROR(__xludf.DUMMYFUNCTION("""COMPUTED_VALUE"""),0.0)</f>
        <v>0</v>
      </c>
      <c r="J316" s="1">
        <f>IFERROR(__xludf.DUMMYFUNCTION("""COMPUTED_VALUE"""),0.0)</f>
        <v>0</v>
      </c>
      <c r="K316" s="1">
        <f>IFERROR(__xludf.DUMMYFUNCTION("""COMPUTED_VALUE"""),100.0)</f>
        <v>100</v>
      </c>
      <c r="L316" s="1">
        <f>IFERROR(__xludf.DUMMYFUNCTION("""COMPUTED_VALUE"""),100.0)</f>
        <v>100</v>
      </c>
      <c r="M316" s="1" t="str">
        <f>IFERROR(__xludf.DUMMYFUNCTION("""COMPUTED_VALUE"""),"Fire:Immune, Earth:Immune, Dark:100, Chaos:100, Nature:Immune, Celestial:100, Instant Death:Immune, Banishment:Immune, ")</f>
        <v>Fire:Immune, Earth:Immune, Dark:100, Chaos:100, Nature:Immune, Celestial:100, Instant Death:Immune, Banishment:Immune, </v>
      </c>
      <c r="N316" s="1" t="str">
        <f>IFERROR(__xludf.DUMMYFUNCTION("""COMPUTED_VALUE"""),"Water:100, Storm:100, Dark:100, Chaos:100, Time:100, ")</f>
        <v>Water:100, Storm:100, Dark:100, Chaos:100, Time:100, </v>
      </c>
      <c r="O316" s="1" t="str">
        <f>IFERROR(__xludf.DUMMYFUNCTION("""COMPUTED_VALUE"""),"Gaia's Helmet of Earthen Fortitude")</f>
        <v>Gaia's Helmet of Earthen Fortitude</v>
      </c>
      <c r="P316" s="1" t="str">
        <f>IFERROR(__xludf.DUMMYFUNCTION("""COMPUTED_VALUE"""),"Gaia's Pendant")</f>
        <v>Gaia's Pendant</v>
      </c>
      <c r="Q316" s="1"/>
      <c r="R316" s="1"/>
      <c r="S316" s="1"/>
      <c r="T316" s="1" t="str">
        <f>IFERROR(__xludf.DUMMYFUNCTION("""COMPUTED_VALUE"""),"Gaia's Chestpiece")</f>
        <v>Gaia's Chestpiece</v>
      </c>
      <c r="U316" s="1" t="str">
        <f>IFERROR(__xludf.DUMMYFUNCTION("""COMPUTED_VALUE"""),"Gaia's Gloves")</f>
        <v>Gaia's Gloves</v>
      </c>
      <c r="V316" s="1"/>
      <c r="W316" s="1" t="str">
        <f>IFERROR(__xludf.DUMMYFUNCTION("""COMPUTED_VALUE"""),"Gaia's Rock Hammer")</f>
        <v>Gaia's Rock Hammer</v>
      </c>
      <c r="X316" s="1" t="str">
        <f>IFERROR(__xludf.DUMMYFUNCTION("""COMPUTED_VALUE"""),"Gaia's Ring")</f>
        <v>Gaia's Ring</v>
      </c>
      <c r="Y316" s="1"/>
      <c r="Z316" s="1"/>
      <c r="AA316" s="1"/>
      <c r="AB316" s="1"/>
      <c r="AC316" s="1"/>
      <c r="AD316" s="1"/>
      <c r="AE316" s="1"/>
      <c r="AF316" s="1"/>
      <c r="AG316" s="1"/>
      <c r="AH316" s="1" t="str">
        <f>IFERROR(__xludf.DUMMYFUNCTION("""COMPUTED_VALUE"""),"Gaia's Gaiters")</f>
        <v>Gaia's Gaiters</v>
      </c>
      <c r="AI316" s="1" t="str">
        <f>IFERROR(__xludf.DUMMYFUNCTION("""COMPUTED_VALUE"""),"Gaia's Sandals of Earthen Fortitude")</f>
        <v>Gaia's Sandals of Earthen Fortitude</v>
      </c>
      <c r="AJ316" s="1" t="str">
        <f>IFERROR(__xludf.DUMMYFUNCTION("""COMPUTED_VALUE"""),"Earthquake")</f>
        <v>Earthquake</v>
      </c>
      <c r="AK316" s="1" t="str">
        <f>IFERROR(__xludf.DUMMYFUNCTION("""COMPUTED_VALUE"""),"Breaking Earth")</f>
        <v>Breaking Earth</v>
      </c>
      <c r="AL316" s="1" t="str">
        <f>IFERROR(__xludf.DUMMYFUNCTION("""COMPUTED_VALUE"""),"Landslide")</f>
        <v>Landslide</v>
      </c>
      <c r="AM316" s="1" t="str">
        <f>IFERROR(__xludf.DUMMYFUNCTION("""COMPUTED_VALUE"""),"Mountain Formation")</f>
        <v>Mountain Formation</v>
      </c>
      <c r="AN316" s="1" t="str">
        <f>IFERROR(__xludf.DUMMYFUNCTION("""COMPUTED_VALUE"""),"Rock Cycle")</f>
        <v>Rock Cycle</v>
      </c>
      <c r="AO316" s="1" t="str">
        <f>IFERROR(__xludf.DUMMYFUNCTION("""COMPUTED_VALUE"""),"Sandstorm")</f>
        <v>Sandstorm</v>
      </c>
      <c r="AP316" s="1" t="str">
        <f>IFERROR(__xludf.DUMMYFUNCTION("""COMPUTED_VALUE"""),"Call of Gaia")</f>
        <v>Call of Gaia</v>
      </c>
      <c r="AQ316" s="1" t="str">
        <f>IFERROR(__xludf.DUMMYFUNCTION("""COMPUTED_VALUE"""),"The World Tree")</f>
        <v>The World Tree</v>
      </c>
      <c r="AR316" s="1" t="str">
        <f>IFERROR(__xludf.DUMMYFUNCTION("""COMPUTED_VALUE"""),"Tower Of The Forest")</f>
        <v>Tower Of The Forest</v>
      </c>
      <c r="AS316" s="1" t="str">
        <f>IFERROR(__xludf.DUMMYFUNCTION("""COMPUTED_VALUE"""),"Alliance Guard")</f>
        <v>Alliance Guard</v>
      </c>
      <c r="AT316" s="1" t="str">
        <f>IFERROR(__xludf.DUMMYFUNCTION("""COMPUTED_VALUE"""),"Mass Destruction")</f>
        <v>Mass Destruction</v>
      </c>
      <c r="AU316" s="1" t="str">
        <f>IFERROR(__xludf.DUMMYFUNCTION("""COMPUTED_VALUE"""),"Cancel")</f>
        <v>Cancel</v>
      </c>
      <c r="AV316" s="1" t="str">
        <f>IFERROR(__xludf.DUMMYFUNCTION("""COMPUTED_VALUE"""),"Neutralize")</f>
        <v>Neutralize</v>
      </c>
      <c r="AW316" s="1" t="str">
        <f>IFERROR(__xludf.DUMMYFUNCTION("""COMPUTED_VALUE"""),"[Element] Swing")</f>
        <v>[Element] Swing</v>
      </c>
      <c r="AX316" s="1" t="str">
        <f>IFERROR(__xludf.DUMMYFUNCTION("""COMPUTED_VALUE"""),"Multishot")</f>
        <v>Multishot</v>
      </c>
      <c r="AY316" s="1" t="str">
        <f>IFERROR(__xludf.DUMMYFUNCTION("""COMPUTED_VALUE"""),"Chaincast")</f>
        <v>Chaincast</v>
      </c>
      <c r="AZ316" s="1" t="str">
        <f>IFERROR(__xludf.DUMMYFUNCTION("""COMPUTED_VALUE"""),"Tower Of Gods")</f>
        <v>Tower Of Gods</v>
      </c>
      <c r="BA316" s="1" t="str">
        <f>IFERROR(__xludf.DUMMYFUNCTION("""COMPUTED_VALUE"""),"Arrest")</f>
        <v>Arrest</v>
      </c>
      <c r="BB316" s="1"/>
      <c r="BC316" s="1"/>
      <c r="BD316" s="1">
        <f>IFERROR(__xludf.DUMMYFUNCTION("""COMPUTED_VALUE"""),0.0)</f>
        <v>0</v>
      </c>
      <c r="BE316" s="9">
        <f>IFERROR(__xludf.DUMMYFUNCTION("""COMPUTED_VALUE"""),10.0)</f>
        <v>10</v>
      </c>
      <c r="BF316" s="1" t="str">
        <f>IFERROR(__xludf.DUMMYFUNCTION("""COMPUTED_VALUE"""),"Gaia's Intellect: +10 can be added to this mobs rolls.
Item's cannot taken from this mob.
Godly Authority: Upon being defeated this mob will return to battle with full health and sp (can only be used once)")</f>
        <v>Gaia's Intellect: +10 can be added to this mobs rolls.
Item's cannot taken from this mob.
Godly Authority: Upon being defeated this mob will return to battle with full health and sp (can only be used once)</v>
      </c>
      <c r="BG316" s="1" t="str">
        <f>IFERROR(__xludf.DUMMYFUNCTION("""COMPUTED_VALUE"""),"Dungeon")</f>
        <v>Dungeon</v>
      </c>
      <c r="BH316" s="1" t="str">
        <f>IFERROR(__xludf.DUMMYFUNCTION("""COMPUTED_VALUE"""),"Land of Spira")</f>
        <v>Land of Spira</v>
      </c>
      <c r="BI316" s="1"/>
      <c r="BJ316" s="1"/>
      <c r="BK316" s="1"/>
      <c r="BL316" s="1" t="b">
        <f>IFERROR(__xludf.DUMMYFUNCTION("""COMPUTED_VALUE"""),FALSE)</f>
        <v>0</v>
      </c>
      <c r="BM316" s="1"/>
      <c r="BN316" s="1"/>
      <c r="BO316" s="1"/>
      <c r="BP316" s="1"/>
      <c r="BQ316" s="1"/>
    </row>
    <row r="317" ht="15.75" customHeight="1">
      <c r="A317" s="1" t="str">
        <f>IFERROR(__xludf.DUMMYFUNCTION("""COMPUTED_VALUE"""),"Bahamut, Beast of the Endless Void (First Phase)")</f>
        <v>Bahamut, Beast of the Endless Void (First Phase)</v>
      </c>
      <c r="B317" s="1">
        <f>IFERROR(__xludf.DUMMYFUNCTION("""COMPUTED_VALUE"""),1.0)</f>
        <v>1</v>
      </c>
      <c r="C317" s="1" t="str">
        <f>IFERROR(__xludf.DUMMYFUNCTION("""COMPUTED_VALUE"""),"The beast sealed within the void, a being of uncontrolled power and rage never to be unleashed.")</f>
        <v>The beast sealed within the void, a being of uncontrolled power and rage never to be unleashed.</v>
      </c>
      <c r="D317" s="7" t="str">
        <f>IFERROR(__xludf.DUMMYFUNCTION("""COMPUTED_VALUE"""),"God")</f>
        <v>God</v>
      </c>
      <c r="E317" s="7">
        <f>IFERROR(__xludf.DUMMYFUNCTION("""COMPUTED_VALUE"""),220010.0)</f>
        <v>220010</v>
      </c>
      <c r="F317" s="7">
        <f>IFERROR(__xludf.DUMMYFUNCTION("""COMPUTED_VALUE"""),1010.0)</f>
        <v>1010</v>
      </c>
      <c r="G317" s="1">
        <f>IFERROR(__xludf.DUMMYFUNCTION("""COMPUTED_VALUE"""),100010.0)</f>
        <v>100010</v>
      </c>
      <c r="H317" s="1">
        <f>IFERROR(__xludf.DUMMYFUNCTION("""COMPUTED_VALUE"""),10.0)</f>
        <v>10</v>
      </c>
      <c r="I317" s="1">
        <f>IFERROR(__xludf.DUMMYFUNCTION("""COMPUTED_VALUE"""),0.0)</f>
        <v>0</v>
      </c>
      <c r="J317" s="1">
        <f>IFERROR(__xludf.DUMMYFUNCTION("""COMPUTED_VALUE"""),0.0)</f>
        <v>0</v>
      </c>
      <c r="K317" s="1">
        <f>IFERROR(__xludf.DUMMYFUNCTION("""COMPUTED_VALUE"""),1800100.0)</f>
        <v>1800100</v>
      </c>
      <c r="L317" s="1">
        <f>IFERROR(__xludf.DUMMYFUNCTION("""COMPUTED_VALUE"""),100.0)</f>
        <v>100</v>
      </c>
      <c r="M317" s="1" t="str">
        <f>IFERROR(__xludf.DUMMYFUNCTION("""COMPUTED_VALUE"""),"Fire:Immune, Water:Immune, Storm:Immune, Earth:Immune, Light:250, Dark:250, Spirit:250, Chaos:250, Physical:Immune, Melee:Immune, Ranged:Immune, Stasis:250, Twilight:250, Voodoo:250, Blood:Immune, Astral:Immune, Celestial:Immune, Instant Death:Immune, Ban"&amp;"ishment:Immune, ")</f>
        <v>Fire:Immune, Water:Immune, Storm:Immune, Earth:Immune, Light:250, Dark:250, Spirit:250, Chaos:250, Physical:Immune, Melee:Immune, Ranged:Immune, Stasis:250, Twilight:250, Voodoo:250, Blood:Immune, Astral:Immune, Celestial:Immune, Instant Death:Immune, Banishment:Immune, </v>
      </c>
      <c r="N317" s="1" t="str">
        <f>IFERROR(__xludf.DUMMYFUNCTION("""COMPUTED_VALUE"""),"Order:50, Zen:50, Time:50, ")</f>
        <v>Order:50, Zen:50, Time:50, </v>
      </c>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f>IFERROR(__xludf.DUMMYFUNCTION("""COMPUTED_VALUE"""),0.0)</f>
        <v>0</v>
      </c>
      <c r="BE317" s="9">
        <f>IFERROR(__xludf.DUMMYFUNCTION("""COMPUTED_VALUE"""),10.0)</f>
        <v>10</v>
      </c>
      <c r="BF317" s="1"/>
      <c r="BG317" s="1" t="str">
        <f>IFERROR(__xludf.DUMMYFUNCTION("""COMPUTED_VALUE"""),"Void")</f>
        <v>Void</v>
      </c>
      <c r="BH317" s="1" t="str">
        <f>IFERROR(__xludf.DUMMYFUNCTION("""COMPUTED_VALUE"""),"Solreach")</f>
        <v>Solreach</v>
      </c>
      <c r="BI317" s="1"/>
      <c r="BJ317" s="1"/>
      <c r="BK317" s="1"/>
      <c r="BL317" s="1" t="b">
        <f>IFERROR(__xludf.DUMMYFUNCTION("""COMPUTED_VALUE"""),FALSE)</f>
        <v>0</v>
      </c>
      <c r="BM317" s="1"/>
      <c r="BN317" s="1"/>
      <c r="BO317" s="1"/>
      <c r="BP317" s="1"/>
      <c r="BQ317" s="1"/>
    </row>
    <row r="318" ht="15.75" customHeight="1">
      <c r="A318" s="1" t="str">
        <f>IFERROR(__xludf.DUMMYFUNCTION("""COMPUTED_VALUE"""),"Orgroth - The Volcanic Guardian of Fire Tiki Mountain")</f>
        <v>Orgroth - The Volcanic Guardian of Fire Tiki Mountain</v>
      </c>
      <c r="B318" s="1">
        <f>IFERROR(__xludf.DUMMYFUNCTION("""COMPUTED_VALUE"""),1.0)</f>
        <v>1</v>
      </c>
      <c r="C318" s="1" t="str">
        <f>IFERROR(__xludf.DUMMYFUNCTION("""COMPUTED_VALUE"""),"Long ago, before Fire Tiki Fortress and the land of Spira were established, Orgroth was just a small elemental spirit dwelling in the depths of the Earth.")</f>
        <v>Long ago, before Fire Tiki Fortress and the land of Spira were established, Orgroth was just a small elemental spirit dwelling in the depths of the Earth.</v>
      </c>
      <c r="D318" s="1" t="str">
        <f>IFERROR(__xludf.DUMMYFUNCTION("""COMPUTED_VALUE"""),"Giant")</f>
        <v>Giant</v>
      </c>
      <c r="E318" s="1">
        <f>IFERROR(__xludf.DUMMYFUNCTION("""COMPUTED_VALUE"""),1010.0)</f>
        <v>1010</v>
      </c>
      <c r="F318" s="7">
        <f>IFERROR(__xludf.DUMMYFUNCTION("""COMPUTED_VALUE"""),1010.0)</f>
        <v>1010</v>
      </c>
      <c r="G318" s="1">
        <f>IFERROR(__xludf.DUMMYFUNCTION("""COMPUTED_VALUE"""),1010.0)</f>
        <v>1010</v>
      </c>
      <c r="H318" s="1">
        <f>IFERROR(__xludf.DUMMYFUNCTION("""COMPUTED_VALUE"""),10.0)</f>
        <v>10</v>
      </c>
      <c r="I318" s="1">
        <f>IFERROR(__xludf.DUMMYFUNCTION("""COMPUTED_VALUE"""),0.0)</f>
        <v>0</v>
      </c>
      <c r="J318" s="1">
        <f>IFERROR(__xludf.DUMMYFUNCTION("""COMPUTED_VALUE"""),0.0)</f>
        <v>0</v>
      </c>
      <c r="K318" s="1">
        <f>IFERROR(__xludf.DUMMYFUNCTION("""COMPUTED_VALUE"""),100.0)</f>
        <v>100</v>
      </c>
      <c r="L318" s="1">
        <f>IFERROR(__xludf.DUMMYFUNCTION("""COMPUTED_VALUE"""),100.0)</f>
        <v>100</v>
      </c>
      <c r="M318" s="1" t="str">
        <f>IFERROR(__xludf.DUMMYFUNCTION("""COMPUTED_VALUE"""),"Fire:Immune, Earth:Immune, Chaos:250, Instant Death:Immune, Banishment:Immune, ")</f>
        <v>Fire:Immune, Earth:Immune, Chaos:250, Instant Death:Immune, Banishment:Immune, </v>
      </c>
      <c r="N318" s="1" t="str">
        <f>IFERROR(__xludf.DUMMYFUNCTION("""COMPUTED_VALUE"""),"Water:100, Storm:100, ")</f>
        <v>Water:100, Storm:100, </v>
      </c>
      <c r="O318" s="1"/>
      <c r="P318" s="1"/>
      <c r="Q318" s="1"/>
      <c r="R318" s="1"/>
      <c r="S318" s="1"/>
      <c r="T318" s="1"/>
      <c r="U318" s="1"/>
      <c r="V318" s="1"/>
      <c r="W318" s="1"/>
      <c r="X318" s="1"/>
      <c r="Y318" s="1"/>
      <c r="Z318" s="1"/>
      <c r="AA318" s="1"/>
      <c r="AB318" s="1"/>
      <c r="AC318" s="1"/>
      <c r="AD318" s="1"/>
      <c r="AE318" s="1"/>
      <c r="AF318" s="1"/>
      <c r="AG318" s="1"/>
      <c r="AH318" s="1"/>
      <c r="AI318" s="1"/>
      <c r="AJ318" s="1" t="str">
        <f>IFERROR(__xludf.DUMMYFUNCTION("""COMPUTED_VALUE"""),"Volcanic Rain")</f>
        <v>Volcanic Rain</v>
      </c>
      <c r="AK318" s="1" t="str">
        <f>IFERROR(__xludf.DUMMYFUNCTION("""COMPUTED_VALUE"""),"Meteor Shower")</f>
        <v>Meteor Shower</v>
      </c>
      <c r="AL318" s="1" t="str">
        <f>IFERROR(__xludf.DUMMYFUNCTION("""COMPUTED_VALUE"""),"Flame Thrower")</f>
        <v>Flame Thrower</v>
      </c>
      <c r="AM318" s="1" t="str">
        <f>IFERROR(__xludf.DUMMYFUNCTION("""COMPUTED_VALUE"""),"Flame Sanctuary")</f>
        <v>Flame Sanctuary</v>
      </c>
      <c r="AN318" s="1" t="str">
        <f>IFERROR(__xludf.DUMMYFUNCTION("""COMPUTED_VALUE"""),"Earthquake")</f>
        <v>Earthquake</v>
      </c>
      <c r="AO318" s="1" t="str">
        <f>IFERROR(__xludf.DUMMYFUNCTION("""COMPUTED_VALUE"""),"Sandstorm")</f>
        <v>Sandstorm</v>
      </c>
      <c r="AP318" s="1" t="str">
        <f>IFERROR(__xludf.DUMMYFUNCTION("""COMPUTED_VALUE"""),"Berserk")</f>
        <v>Berserk</v>
      </c>
      <c r="AQ318" s="1" t="str">
        <f>IFERROR(__xludf.DUMMYFUNCTION("""COMPUTED_VALUE"""),"Multishot")</f>
        <v>Multishot</v>
      </c>
      <c r="AR318" s="1" t="str">
        <f>IFERROR(__xludf.DUMMYFUNCTION("""COMPUTED_VALUE"""),"Mass Destruction")</f>
        <v>Mass Destruction</v>
      </c>
      <c r="AS318" s="1" t="str">
        <f>IFERROR(__xludf.DUMMYFUNCTION("""COMPUTED_VALUE"""),"Chaincast")</f>
        <v>Chaincast</v>
      </c>
      <c r="AT318" s="1" t="str">
        <f>IFERROR(__xludf.DUMMYFUNCTION("""COMPUTED_VALUE"""),"Earth Punch")</f>
        <v>Earth Punch</v>
      </c>
      <c r="AU318" s="1" t="str">
        <f>IFERROR(__xludf.DUMMYFUNCTION("""COMPUTED_VALUE"""),"Bite")</f>
        <v>Bite</v>
      </c>
      <c r="AV318" s="1" t="str">
        <f>IFERROR(__xludf.DUMMYFUNCTION("""COMPUTED_VALUE"""),"Volcanic Claws")</f>
        <v>Volcanic Claws</v>
      </c>
      <c r="AW318" s="1"/>
      <c r="AX318" s="1"/>
      <c r="AY318" s="1"/>
      <c r="AZ318" s="1"/>
      <c r="BA318" s="1"/>
      <c r="BB318" s="1"/>
      <c r="BC318" s="1"/>
      <c r="BD318" s="1">
        <f>IFERROR(__xludf.DUMMYFUNCTION("""COMPUTED_VALUE"""),0.0)</f>
        <v>0</v>
      </c>
      <c r="BE318" s="9">
        <f>IFERROR(__xludf.DUMMYFUNCTION("""COMPUTED_VALUE"""),10.0)</f>
        <v>10</v>
      </c>
      <c r="BF318" s="1" t="str">
        <f>IFERROR(__xludf.DUMMYFUNCTION("""COMPUTED_VALUE"""),"50% chance to be unaffected by any spells affecting this mob
Orgroth's Wrath: +5 can be added to this mobs rolls.
Immune to Freezing.")</f>
        <v>50% chance to be unaffected by any spells affecting this mob
Orgroth's Wrath: +5 can be added to this mobs rolls.
Immune to Freezing.</v>
      </c>
      <c r="BG318" s="1" t="str">
        <f>IFERROR(__xludf.DUMMYFUNCTION("""COMPUTED_VALUE"""),"Dungeon")</f>
        <v>Dungeon</v>
      </c>
      <c r="BH318" s="1" t="str">
        <f>IFERROR(__xludf.DUMMYFUNCTION("""COMPUTED_VALUE"""),"Land of Spira")</f>
        <v>Land of Spira</v>
      </c>
      <c r="BI318" s="1"/>
      <c r="BJ318" s="1"/>
      <c r="BK318" s="1"/>
      <c r="BL318" s="1" t="b">
        <f>IFERROR(__xludf.DUMMYFUNCTION("""COMPUTED_VALUE"""),FALSE)</f>
        <v>0</v>
      </c>
      <c r="BM318" s="1"/>
      <c r="BN318" s="1"/>
      <c r="BO318" s="1"/>
      <c r="BP318" s="1"/>
      <c r="BQ318" s="1"/>
    </row>
    <row r="319" ht="15.75" customHeight="1">
      <c r="A319" s="1" t="str">
        <f>IFERROR(__xludf.DUMMYFUNCTION("""COMPUTED_VALUE"""),"Zor - The Volcanic Golem")</f>
        <v>Zor - The Volcanic Golem</v>
      </c>
      <c r="B319" s="1">
        <f>IFERROR(__xludf.DUMMYFUNCTION("""COMPUTED_VALUE"""),1.0)</f>
        <v>1</v>
      </c>
      <c r="C319" s="1" t="str">
        <f>IFERROR(__xludf.DUMMYFUNCTION("""COMPUTED_VALUE"""),"Zor was not born but rather forged by the ancient Fire Tiki shamans, who harnessed the elemental power of the volcano to create a guardian that would protect their fortress.")</f>
        <v>Zor was not born but rather forged by the ancient Fire Tiki shamans, who harnessed the elemental power of the volcano to create a guardian that would protect their fortress.</v>
      </c>
      <c r="D319" s="1" t="str">
        <f>IFERROR(__xludf.DUMMYFUNCTION("""COMPUTED_VALUE"""),"Construct")</f>
        <v>Construct</v>
      </c>
      <c r="E319" s="1">
        <f>IFERROR(__xludf.DUMMYFUNCTION("""COMPUTED_VALUE"""),1010.0)</f>
        <v>1010</v>
      </c>
      <c r="F319" s="7">
        <f>IFERROR(__xludf.DUMMYFUNCTION("""COMPUTED_VALUE"""),1010.0)</f>
        <v>1010</v>
      </c>
      <c r="G319" s="1">
        <f>IFERROR(__xludf.DUMMYFUNCTION("""COMPUTED_VALUE"""),1010.0)</f>
        <v>1010</v>
      </c>
      <c r="H319" s="1">
        <f>IFERROR(__xludf.DUMMYFUNCTION("""COMPUTED_VALUE"""),10.0)</f>
        <v>10</v>
      </c>
      <c r="I319" s="1">
        <f>IFERROR(__xludf.DUMMYFUNCTION("""COMPUTED_VALUE"""),0.0)</f>
        <v>0</v>
      </c>
      <c r="J319" s="1">
        <f>IFERROR(__xludf.DUMMYFUNCTION("""COMPUTED_VALUE"""),0.0)</f>
        <v>0</v>
      </c>
      <c r="K319" s="1">
        <f>IFERROR(__xludf.DUMMYFUNCTION("""COMPUTED_VALUE"""),100.0)</f>
        <v>100</v>
      </c>
      <c r="L319" s="1">
        <f>IFERROR(__xludf.DUMMYFUNCTION("""COMPUTED_VALUE"""),100.0)</f>
        <v>100</v>
      </c>
      <c r="M319" s="1" t="str">
        <f>IFERROR(__xludf.DUMMYFUNCTION("""COMPUTED_VALUE"""),"Fire:Immune, Earth:Immune, Instant Death:Immune, Banishment:Immune, ")</f>
        <v>Fire:Immune, Earth:Immune, Instant Death:Immune, Banishment:Immune, </v>
      </c>
      <c r="N319" s="1" t="str">
        <f>IFERROR(__xludf.DUMMYFUNCTION("""COMPUTED_VALUE"""),"Water:100, Storm:100, ")</f>
        <v>Water:100, Storm:100, </v>
      </c>
      <c r="O319" s="1"/>
      <c r="P319" s="1"/>
      <c r="Q319" s="1"/>
      <c r="R319" s="1"/>
      <c r="S319" s="1"/>
      <c r="T319" s="1"/>
      <c r="U319" s="1"/>
      <c r="V319" s="1"/>
      <c r="W319" s="1"/>
      <c r="X319" s="1"/>
      <c r="Y319" s="1"/>
      <c r="Z319" s="1"/>
      <c r="AA319" s="1"/>
      <c r="AB319" s="1"/>
      <c r="AC319" s="1"/>
      <c r="AD319" s="1"/>
      <c r="AE319" s="1"/>
      <c r="AF319" s="1"/>
      <c r="AG319" s="1"/>
      <c r="AH319" s="1"/>
      <c r="AI319" s="1"/>
      <c r="AJ319" s="1" t="str">
        <f>IFERROR(__xludf.DUMMYFUNCTION("""COMPUTED_VALUE"""),"Earth Punch")</f>
        <v>Earth Punch</v>
      </c>
      <c r="AK319" s="1" t="str">
        <f>IFERROR(__xludf.DUMMYFUNCTION("""COMPUTED_VALUE"""),"Earthquake")</f>
        <v>Earthquake</v>
      </c>
      <c r="AL319" s="1" t="str">
        <f>IFERROR(__xludf.DUMMYFUNCTION("""COMPUTED_VALUE"""),"Ancient Monolith Of Earth")</f>
        <v>Ancient Monolith Of Earth</v>
      </c>
      <c r="AM319" s="1" t="str">
        <f>IFERROR(__xludf.DUMMYFUNCTION("""COMPUTED_VALUE"""),"Mountain Formation")</f>
        <v>Mountain Formation</v>
      </c>
      <c r="AN319" s="1" t="str">
        <f>IFERROR(__xludf.DUMMYFUNCTION("""COMPUTED_VALUE"""),"Flame Sanctuary")</f>
        <v>Flame Sanctuary</v>
      </c>
      <c r="AO319" s="1" t="str">
        <f>IFERROR(__xludf.DUMMYFUNCTION("""COMPUTED_VALUE"""),"Meteor Shower")</f>
        <v>Meteor Shower</v>
      </c>
      <c r="AP319" s="1" t="str">
        <f>IFERROR(__xludf.DUMMYFUNCTION("""COMPUTED_VALUE"""),"Volcanic Rain")</f>
        <v>Volcanic Rain</v>
      </c>
      <c r="AQ319" s="1" t="str">
        <f>IFERROR(__xludf.DUMMYFUNCTION("""COMPUTED_VALUE"""),"Berserk")</f>
        <v>Berserk</v>
      </c>
      <c r="AR319" s="1" t="str">
        <f>IFERROR(__xludf.DUMMYFUNCTION("""COMPUTED_VALUE"""),"Multishot")</f>
        <v>Multishot</v>
      </c>
      <c r="AS319" s="1"/>
      <c r="AT319" s="1"/>
      <c r="AU319" s="1"/>
      <c r="AV319" s="1"/>
      <c r="AW319" s="1"/>
      <c r="AX319" s="1"/>
      <c r="AY319" s="1"/>
      <c r="AZ319" s="1"/>
      <c r="BA319" s="1"/>
      <c r="BB319" s="1"/>
      <c r="BC319" s="1"/>
      <c r="BD319" s="1">
        <f>IFERROR(__xludf.DUMMYFUNCTION("""COMPUTED_VALUE"""),0.0)</f>
        <v>0</v>
      </c>
      <c r="BE319" s="9">
        <f>IFERROR(__xludf.DUMMYFUNCTION("""COMPUTED_VALUE"""),10.0)</f>
        <v>10</v>
      </c>
      <c r="BF319" s="1" t="str">
        <f>IFERROR(__xludf.DUMMYFUNCTION("""COMPUTED_VALUE"""),"25% chance to be unaffected by any spells affecting this mob
Zor's Wrath: +5 can be added to this mobs rolls.
Radiant Golem Defense II: Target is protected by all damage for the first 3 rounds of battle + increases fire damage by X4 for this mob only.
"&amp;"Immune to Freezing.")</f>
        <v>25% chance to be unaffected by any spells affecting this mob
Zor's Wrath: +5 can be added to this mobs rolls.
Radiant Golem Defense II: Target is protected by all damage for the first 3 rounds of battle + increases fire damage by X4 for this mob only.
Immune to Freezing.</v>
      </c>
      <c r="BG319" s="1" t="str">
        <f>IFERROR(__xludf.DUMMYFUNCTION("""COMPUTED_VALUE"""),"Dungeon")</f>
        <v>Dungeon</v>
      </c>
      <c r="BH319" s="1" t="str">
        <f>IFERROR(__xludf.DUMMYFUNCTION("""COMPUTED_VALUE"""),"Land of Spira")</f>
        <v>Land of Spira</v>
      </c>
      <c r="BI319" s="1"/>
      <c r="BJ319" s="1"/>
      <c r="BK319" s="1"/>
      <c r="BL319" s="1" t="b">
        <f>IFERROR(__xludf.DUMMYFUNCTION("""COMPUTED_VALUE"""),FALSE)</f>
        <v>0</v>
      </c>
      <c r="BM319" s="1"/>
      <c r="BN319" s="1"/>
      <c r="BO319" s="1"/>
      <c r="BP319" s="1"/>
      <c r="BQ319" s="1"/>
    </row>
    <row r="320" ht="15.75" customHeight="1">
      <c r="A320" s="1" t="str">
        <f>IFERROR(__xludf.DUMMYFUNCTION("""COMPUTED_VALUE"""),"Gaia's Paladins")</f>
        <v>Gaia's Paladins</v>
      </c>
      <c r="B320" s="1">
        <f>IFERROR(__xludf.DUMMYFUNCTION("""COMPUTED_VALUE"""),1.0)</f>
        <v>1</v>
      </c>
      <c r="C320" s="1" t="str">
        <f>IFERROR(__xludf.DUMMYFUNCTION("""COMPUTED_VALUE"""),"A pesky Guard of Spira Pledged to defend their Goddess till' their final breathe, whether defending her is right or not.")</f>
        <v>A pesky Guard of Spira Pledged to defend their Goddess till' their final breathe, whether defending her is right or not.</v>
      </c>
      <c r="D320" s="1" t="str">
        <f>IFERROR(__xludf.DUMMYFUNCTION("""COMPUTED_VALUE"""),"Humanoid")</f>
        <v>Humanoid</v>
      </c>
      <c r="E320" s="1">
        <f>IFERROR(__xludf.DUMMYFUNCTION("""COMPUTED_VALUE"""),510.0)</f>
        <v>510</v>
      </c>
      <c r="F320" s="7">
        <f>IFERROR(__xludf.DUMMYFUNCTION("""COMPUTED_VALUE"""),510.0)</f>
        <v>510</v>
      </c>
      <c r="G320" s="1">
        <f>IFERROR(__xludf.DUMMYFUNCTION("""COMPUTED_VALUE"""),151010.0)</f>
        <v>151010</v>
      </c>
      <c r="H320" s="1">
        <f>IFERROR(__xludf.DUMMYFUNCTION("""COMPUTED_VALUE"""),15.0)</f>
        <v>15</v>
      </c>
      <c r="I320" s="1">
        <f>IFERROR(__xludf.DUMMYFUNCTION("""COMPUTED_VALUE"""),0.0)</f>
        <v>0</v>
      </c>
      <c r="J320" s="1">
        <f>IFERROR(__xludf.DUMMYFUNCTION("""COMPUTED_VALUE"""),0.0)</f>
        <v>0</v>
      </c>
      <c r="K320" s="1">
        <f>IFERROR(__xludf.DUMMYFUNCTION("""COMPUTED_VALUE"""),100.0)</f>
        <v>100</v>
      </c>
      <c r="L320" s="1">
        <f>IFERROR(__xludf.DUMMYFUNCTION("""COMPUTED_VALUE"""),100.0)</f>
        <v>100</v>
      </c>
      <c r="M320" s="1" t="str">
        <f>IFERROR(__xludf.DUMMYFUNCTION("""COMPUTED_VALUE"""),"Earth:Immune, Dark:250, Nature:100, Celestial:100, Instant Death:Immune, ")</f>
        <v>Earth:Immune, Dark:250, Nature:100, Celestial:100, Instant Death:Immune, </v>
      </c>
      <c r="N320" s="1" t="str">
        <f>IFERROR(__xludf.DUMMYFUNCTION("""COMPUTED_VALUE"""),"Fire:100, Water:100, ")</f>
        <v>Fire:100, Water:100, </v>
      </c>
      <c r="O320" s="1" t="str">
        <f>IFERROR(__xludf.DUMMYFUNCTION("""COMPUTED_VALUE"""),"Paladin of Gaia's Bucket helm of Tenacity")</f>
        <v>Paladin of Gaia's Bucket helm of Tenacity</v>
      </c>
      <c r="P320" s="1" t="str">
        <f>IFERROR(__xludf.DUMMYFUNCTION("""COMPUTED_VALUE"""),"Paladin of Gaia's Emerald Pendant")</f>
        <v>Paladin of Gaia's Emerald Pendant</v>
      </c>
      <c r="Q320" s="1"/>
      <c r="R320" s="1"/>
      <c r="S320" s="1" t="str">
        <f>IFERROR(__xludf.DUMMYFUNCTION("""COMPUTED_VALUE"""),"Paladin of Gaia's Stone Pauldrons")</f>
        <v>Paladin of Gaia's Stone Pauldrons</v>
      </c>
      <c r="T320" s="1" t="str">
        <f>IFERROR(__xludf.DUMMYFUNCTION("""COMPUTED_VALUE"""),"Paladin of Gaia's Emblazoned Chestpiece")</f>
        <v>Paladin of Gaia's Emblazoned Chestpiece</v>
      </c>
      <c r="U320" s="1" t="str">
        <f>IFERROR(__xludf.DUMMYFUNCTION("""COMPUTED_VALUE"""),"Paladin of Gaia's Vambraces")</f>
        <v>Paladin of Gaia's Vambraces</v>
      </c>
      <c r="V320" s="1" t="str">
        <f>IFERROR(__xludf.DUMMYFUNCTION("""COMPUTED_VALUE"""),"Gaia's Rock Hammer")</f>
        <v>Gaia's Rock Hammer</v>
      </c>
      <c r="W320" s="1" t="str">
        <f>IFERROR(__xludf.DUMMYFUNCTION("""COMPUTED_VALUE"""),"Gaian Champion's Shield")</f>
        <v>Gaian Champion's Shield</v>
      </c>
      <c r="X320" s="1" t="str">
        <f>IFERROR(__xludf.DUMMYFUNCTION("""COMPUTED_VALUE"""),"Paladin of Gaia's Ruby Ring")</f>
        <v>Paladin of Gaia's Ruby Ring</v>
      </c>
      <c r="Y320" s="1"/>
      <c r="Z320" s="1"/>
      <c r="AA320" s="1"/>
      <c r="AB320" s="1"/>
      <c r="AC320" s="1"/>
      <c r="AD320" s="1"/>
      <c r="AE320" s="1"/>
      <c r="AF320" s="1"/>
      <c r="AG320" s="1"/>
      <c r="AH320" s="1" t="str">
        <f>IFERROR(__xludf.DUMMYFUNCTION("""COMPUTED_VALUE"""),"Paladin of Gaia's Plate Chausses")</f>
        <v>Paladin of Gaia's Plate Chausses</v>
      </c>
      <c r="AI320" s="1" t="str">
        <f>IFERROR(__xludf.DUMMYFUNCTION("""COMPUTED_VALUE"""),"Paladin of Gaia's Sabatons")</f>
        <v>Paladin of Gaia's Sabatons</v>
      </c>
      <c r="AJ320" s="1" t="str">
        <f>IFERROR(__xludf.DUMMYFUNCTION("""COMPUTED_VALUE"""),"Alliance Guard")</f>
        <v>Alliance Guard</v>
      </c>
      <c r="AK320" s="1" t="str">
        <f>IFERROR(__xludf.DUMMYFUNCTION("""COMPUTED_VALUE"""),"Protection")</f>
        <v>Protection</v>
      </c>
      <c r="AL320" s="1" t="str">
        <f>IFERROR(__xludf.DUMMYFUNCTION("""COMPUTED_VALUE"""),"Strong Ward")</f>
        <v>Strong Ward</v>
      </c>
      <c r="AM320" s="1" t="str">
        <f>IFERROR(__xludf.DUMMYFUNCTION("""COMPUTED_VALUE"""),"[Element] Swing")</f>
        <v>[Element] Swing</v>
      </c>
      <c r="AN320" s="1" t="str">
        <f>IFERROR(__xludf.DUMMYFUNCTION("""COMPUTED_VALUE"""),"Disease Control")</f>
        <v>Disease Control</v>
      </c>
      <c r="AO320" s="1" t="str">
        <f>IFERROR(__xludf.DUMMYFUNCTION("""COMPUTED_VALUE"""),"Light Ray")</f>
        <v>Light Ray</v>
      </c>
      <c r="AP320" s="1" t="str">
        <f>IFERROR(__xludf.DUMMYFUNCTION("""COMPUTED_VALUE"""),"Taunt")</f>
        <v>Taunt</v>
      </c>
      <c r="AQ320" s="1" t="str">
        <f>IFERROR(__xludf.DUMMYFUNCTION("""COMPUTED_VALUE"""),"Parry")</f>
        <v>Parry</v>
      </c>
      <c r="AR320" s="1" t="str">
        <f>IFERROR(__xludf.DUMMYFUNCTION("""COMPUTED_VALUE"""),"Arrest")</f>
        <v>Arrest</v>
      </c>
      <c r="AS320" s="1" t="str">
        <f>IFERROR(__xludf.DUMMYFUNCTION("""COMPUTED_VALUE"""),"Cancel")</f>
        <v>Cancel</v>
      </c>
      <c r="AT320" s="1"/>
      <c r="AU320" s="1"/>
      <c r="AV320" s="1"/>
      <c r="AW320" s="1"/>
      <c r="AX320" s="1"/>
      <c r="AY320" s="1"/>
      <c r="AZ320" s="1"/>
      <c r="BA320" s="1"/>
      <c r="BB320" s="1"/>
      <c r="BC320" s="1"/>
      <c r="BD320" s="1">
        <f>IFERROR(__xludf.DUMMYFUNCTION("""COMPUTED_VALUE"""),0.0)</f>
        <v>0</v>
      </c>
      <c r="BE320" s="9">
        <f>IFERROR(__xludf.DUMMYFUNCTION("""COMPUTED_VALUE"""),15.0)</f>
        <v>15</v>
      </c>
      <c r="BF320" s="1" t="str">
        <f>IFERROR(__xludf.DUMMYFUNCTION("""COMPUTED_VALUE"""),"Gaia's Blessing I: +5 can be added to this mob's rolls
Earth Paladin's Piety I: When this mob takes damage from an earth attack this mob will heal equal to half the damage it took.
Gaia's Nature: Once every 3 rounds upon an Ally taking an attack or affe"&amp;"ct you can choose to take the attack or affect instead. When redirected at you the attack deals half damage or halve teh time for the affect (rounding down)
Paladin of the Earth: X4 Earth damage, Take half damage from weapon attacks, and X2 defense to se"&amp;"lf and all allies.")</f>
        <v>Gaia's Blessing I: +5 can be added to this mob's rolls
Earth Paladin's Piety I: When this mob takes damage from an earth attack this mob will heal equal to half the damage it took.
Gaia's Nature: Once every 3 rounds upon an Ally taking an attack or affect you can choose to take the attack or affect instead. When redirected at you the attack deals half damage or halve teh time for the affect (rounding down)
Paladin of the Earth: X4 Earth damage, Take half damage from weapon attacks, and X2 defense to self and all allies.</v>
      </c>
      <c r="BG320" s="1" t="str">
        <f>IFERROR(__xludf.DUMMYFUNCTION("""COMPUTED_VALUE"""),"Desert")</f>
        <v>Desert</v>
      </c>
      <c r="BH320" s="1" t="str">
        <f>IFERROR(__xludf.DUMMYFUNCTION("""COMPUTED_VALUE"""),"Land of Spira")</f>
        <v>Land of Spira</v>
      </c>
      <c r="BI320" s="1"/>
      <c r="BJ320" s="1"/>
      <c r="BK320" s="1"/>
      <c r="BL320" s="1" t="b">
        <f>IFERROR(__xludf.DUMMYFUNCTION("""COMPUTED_VALUE"""),FALSE)</f>
        <v>0</v>
      </c>
      <c r="BM320" s="1"/>
      <c r="BN320" s="1"/>
      <c r="BO320" s="1"/>
      <c r="BP320" s="1"/>
      <c r="BQ320" s="1"/>
    </row>
    <row r="321" ht="15.75" customHeight="1">
      <c r="A321" s="1" t="str">
        <f>IFERROR(__xludf.DUMMYFUNCTION("""COMPUTED_VALUE"""),"Talthos - The Towering Kaiju")</f>
        <v>Talthos - The Towering Kaiju</v>
      </c>
      <c r="B321" s="1">
        <f>IFERROR(__xludf.DUMMYFUNCTION("""COMPUTED_VALUE"""),1.0)</f>
        <v>1</v>
      </c>
      <c r="C321" s="1" t="str">
        <f>IFERROR(__xludf.DUMMYFUNCTION("""COMPUTED_VALUE"""),"Unlike how the Fire Tiki shamans' controlled creation of Zor, and Orgroth, Talthos was an uncontrollable force of nature. For centuries, he roamed the bowels of the volcano, bringing chaos and destruction wherever he ventured. His presence was both feared"&amp;" and revered by the people of Spira, who believed that Talthos embodied the capricious wrath of the mountain.")</f>
        <v>Unlike how the Fire Tiki shamans' controlled creation of Zor, and Orgroth, Talthos was an uncontrollable force of nature. For centuries, he roamed the bowels of the volcano, bringing chaos and destruction wherever he ventured. His presence was both feared and revered by the people of Spira, who believed that Talthos embodied the capricious wrath of the mountain.</v>
      </c>
      <c r="D321" s="1" t="str">
        <f>IFERROR(__xludf.DUMMYFUNCTION("""COMPUTED_VALUE"""),"Giant")</f>
        <v>Giant</v>
      </c>
      <c r="E321" s="1">
        <f>IFERROR(__xludf.DUMMYFUNCTION("""COMPUTED_VALUE"""),1010.0)</f>
        <v>1010</v>
      </c>
      <c r="F321" s="7">
        <f>IFERROR(__xludf.DUMMYFUNCTION("""COMPUTED_VALUE"""),1010.0)</f>
        <v>1010</v>
      </c>
      <c r="G321" s="1">
        <f>IFERROR(__xludf.DUMMYFUNCTION("""COMPUTED_VALUE"""),1010.0)</f>
        <v>1010</v>
      </c>
      <c r="H321" s="1">
        <f>IFERROR(__xludf.DUMMYFUNCTION("""COMPUTED_VALUE"""),10.0)</f>
        <v>10</v>
      </c>
      <c r="I321" s="1">
        <f>IFERROR(__xludf.DUMMYFUNCTION("""COMPUTED_VALUE"""),0.0)</f>
        <v>0</v>
      </c>
      <c r="J321" s="1">
        <f>IFERROR(__xludf.DUMMYFUNCTION("""COMPUTED_VALUE"""),0.0)</f>
        <v>0</v>
      </c>
      <c r="K321" s="1">
        <f>IFERROR(__xludf.DUMMYFUNCTION("""COMPUTED_VALUE"""),100.0)</f>
        <v>100</v>
      </c>
      <c r="L321" s="1">
        <f>IFERROR(__xludf.DUMMYFUNCTION("""COMPUTED_VALUE"""),100.0)</f>
        <v>100</v>
      </c>
      <c r="M321" s="1" t="str">
        <f>IFERROR(__xludf.DUMMYFUNCTION("""COMPUTED_VALUE"""),"Fire:Immune, Earth:Immune, Instant Death:Immune, Banishment:Immune, ")</f>
        <v>Fire:Immune, Earth:Immune, Instant Death:Immune, Banishment:Immune, </v>
      </c>
      <c r="N321" s="1" t="str">
        <f>IFERROR(__xludf.DUMMYFUNCTION("""COMPUTED_VALUE"""),"Water:100, Storm:100, ")</f>
        <v>Water:100, Storm:100, </v>
      </c>
      <c r="O321" s="1"/>
      <c r="P321" s="1"/>
      <c r="Q321" s="1"/>
      <c r="R321" s="1"/>
      <c r="S321" s="1"/>
      <c r="T321" s="1"/>
      <c r="U321" s="1"/>
      <c r="V321" s="1"/>
      <c r="W321" s="1"/>
      <c r="X321" s="1"/>
      <c r="Y321" s="1"/>
      <c r="Z321" s="1"/>
      <c r="AA321" s="1"/>
      <c r="AB321" s="1"/>
      <c r="AC321" s="1"/>
      <c r="AD321" s="1"/>
      <c r="AE321" s="1"/>
      <c r="AF321" s="1"/>
      <c r="AG321" s="1"/>
      <c r="AH321" s="1"/>
      <c r="AI321" s="1"/>
      <c r="AJ321" s="1" t="str">
        <f>IFERROR(__xludf.DUMMYFUNCTION("""COMPUTED_VALUE"""),"Meteor Shower")</f>
        <v>Meteor Shower</v>
      </c>
      <c r="AK321" s="1" t="str">
        <f>IFERROR(__xludf.DUMMYFUNCTION("""COMPUTED_VALUE"""),"Volcanic Rain")</f>
        <v>Volcanic Rain</v>
      </c>
      <c r="AL321" s="1" t="str">
        <f>IFERROR(__xludf.DUMMYFUNCTION("""COMPUTED_VALUE"""),"Solar Storm")</f>
        <v>Solar Storm</v>
      </c>
      <c r="AM321" s="1" t="str">
        <f>IFERROR(__xludf.DUMMYFUNCTION("""COMPUTED_VALUE"""),"Flame Sanctuary")</f>
        <v>Flame Sanctuary</v>
      </c>
      <c r="AN321" s="1" t="str">
        <f>IFERROR(__xludf.DUMMYFUNCTION("""COMPUTED_VALUE"""),"Earthquake")</f>
        <v>Earthquake</v>
      </c>
      <c r="AO321" s="1" t="str">
        <f>IFERROR(__xludf.DUMMYFUNCTION("""COMPUTED_VALUE"""),"Mud Wave")</f>
        <v>Mud Wave</v>
      </c>
      <c r="AP321" s="1" t="str">
        <f>IFERROR(__xludf.DUMMYFUNCTION("""COMPUTED_VALUE"""),"Earth Punch")</f>
        <v>Earth Punch</v>
      </c>
      <c r="AQ321" s="1" t="str">
        <f>IFERROR(__xludf.DUMMYFUNCTION("""COMPUTED_VALUE"""),"Mass Destruction")</f>
        <v>Mass Destruction</v>
      </c>
      <c r="AR321" s="1" t="str">
        <f>IFERROR(__xludf.DUMMYFUNCTION("""COMPUTED_VALUE"""),"Berserk")</f>
        <v>Berserk</v>
      </c>
      <c r="AS321" s="1" t="str">
        <f>IFERROR(__xludf.DUMMYFUNCTION("""COMPUTED_VALUE"""),"Multishot")</f>
        <v>Multishot</v>
      </c>
      <c r="AT321" s="1" t="str">
        <f>IFERROR(__xludf.DUMMYFUNCTION("""COMPUTED_VALUE"""),"Chaincast")</f>
        <v>Chaincast</v>
      </c>
      <c r="AU321" s="1" t="str">
        <f>IFERROR(__xludf.DUMMYFUNCTION("""COMPUTED_VALUE"""),"Cancel")</f>
        <v>Cancel</v>
      </c>
      <c r="AV321" s="1"/>
      <c r="AW321" s="1"/>
      <c r="AX321" s="1"/>
      <c r="AY321" s="1"/>
      <c r="AZ321" s="1"/>
      <c r="BA321" s="1"/>
      <c r="BB321" s="1"/>
      <c r="BC321" s="1"/>
      <c r="BD321" s="1">
        <f>IFERROR(__xludf.DUMMYFUNCTION("""COMPUTED_VALUE"""),0.0)</f>
        <v>0</v>
      </c>
      <c r="BE321" s="9">
        <f>IFERROR(__xludf.DUMMYFUNCTION("""COMPUTED_VALUE"""),10.0)</f>
        <v>10</v>
      </c>
      <c r="BF321" s="1" t="str">
        <f>IFERROR(__xludf.DUMMYFUNCTION("""COMPUTED_VALUE"""),"75% chance to be unaffected by any spells affecting this mob
Talthos's Wrath: +10 can be added to this mobs rolls.
Immune to Freezing.")</f>
        <v>75% chance to be unaffected by any spells affecting this mob
Talthos's Wrath: +10 can be added to this mobs rolls.
Immune to Freezing.</v>
      </c>
      <c r="BG321" s="1" t="str">
        <f>IFERROR(__xludf.DUMMYFUNCTION("""COMPUTED_VALUE"""),"Dungeon")</f>
        <v>Dungeon</v>
      </c>
      <c r="BH321" s="1" t="str">
        <f>IFERROR(__xludf.DUMMYFUNCTION("""COMPUTED_VALUE"""),"Land of Spira")</f>
        <v>Land of Spira</v>
      </c>
      <c r="BI321" s="1"/>
      <c r="BJ321" s="1"/>
      <c r="BK321" s="1"/>
      <c r="BL321" s="1" t="b">
        <f>IFERROR(__xludf.DUMMYFUNCTION("""COMPUTED_VALUE"""),FALSE)</f>
        <v>0</v>
      </c>
      <c r="BM321" s="1"/>
      <c r="BN321" s="1"/>
      <c r="BO321" s="1"/>
      <c r="BP321" s="1"/>
      <c r="BQ321" s="1"/>
    </row>
    <row r="322" ht="15.75" customHeight="1">
      <c r="A322" s="1" t="str">
        <f>IFERROR(__xludf.DUMMYFUNCTION("""COMPUTED_VALUE"""),"Cloudius - The Smoke Elemental")</f>
        <v>Cloudius - The Smoke Elemental</v>
      </c>
      <c r="B322" s="1">
        <f>IFERROR(__xludf.DUMMYFUNCTION("""COMPUTED_VALUE"""),1.0)</f>
        <v>1</v>
      </c>
      <c r="C322" s="1" t="str">
        <f>IFERROR(__xludf.DUMMYFUNCTION("""COMPUTED_VALUE"""),"It is said that during a particularly cataclysmic volcanic eruption, a powerful shaman ventured deep into the volcanic heart, attempting to communicate with the elemental forces at play. In doing so, he unintentionally fused his essence with the swirling,"&amp;" smoky plumes of the volcano.")</f>
        <v>It is said that during a particularly cataclysmic volcanic eruption, a powerful shaman ventured deep into the volcanic heart, attempting to communicate with the elemental forces at play. In doing so, he unintentionally fused his essence with the swirling, smoky plumes of the volcano.</v>
      </c>
      <c r="D322" s="1" t="str">
        <f>IFERROR(__xludf.DUMMYFUNCTION("""COMPUTED_VALUE"""),"Spirit")</f>
        <v>Spirit</v>
      </c>
      <c r="E322" s="1">
        <f>IFERROR(__xludf.DUMMYFUNCTION("""COMPUTED_VALUE"""),1010.0)</f>
        <v>1010</v>
      </c>
      <c r="F322" s="7">
        <f>IFERROR(__xludf.DUMMYFUNCTION("""COMPUTED_VALUE"""),1010.0)</f>
        <v>1010</v>
      </c>
      <c r="G322" s="1">
        <f>IFERROR(__xludf.DUMMYFUNCTION("""COMPUTED_VALUE"""),1010.0)</f>
        <v>1010</v>
      </c>
      <c r="H322" s="1">
        <f>IFERROR(__xludf.DUMMYFUNCTION("""COMPUTED_VALUE"""),10.0)</f>
        <v>10</v>
      </c>
      <c r="I322" s="1">
        <f>IFERROR(__xludf.DUMMYFUNCTION("""COMPUTED_VALUE"""),0.0)</f>
        <v>0</v>
      </c>
      <c r="J322" s="1">
        <f>IFERROR(__xludf.DUMMYFUNCTION("""COMPUTED_VALUE"""),0.0)</f>
        <v>0</v>
      </c>
      <c r="K322" s="1">
        <f>IFERROR(__xludf.DUMMYFUNCTION("""COMPUTED_VALUE"""),100.0)</f>
        <v>100</v>
      </c>
      <c r="L322" s="1">
        <f>IFERROR(__xludf.DUMMYFUNCTION("""COMPUTED_VALUE"""),100.0)</f>
        <v>100</v>
      </c>
      <c r="M322" s="1" t="str">
        <f>IFERROR(__xludf.DUMMYFUNCTION("""COMPUTED_VALUE"""),"Fire:Immune, Earth:Immune, Blood:Immune, Celestial:100, Instant Death:Immune, Banishment:Immune, ")</f>
        <v>Fire:Immune, Earth:Immune, Blood:Immune, Celestial:100, Instant Death:Immune, Banishment:Immune, </v>
      </c>
      <c r="N322" s="1" t="str">
        <f>IFERROR(__xludf.DUMMYFUNCTION("""COMPUTED_VALUE"""),"Water:100, Storm:100, ")</f>
        <v>Water:100, Storm:100, </v>
      </c>
      <c r="O322" s="1"/>
      <c r="P322" s="1"/>
      <c r="Q322" s="1"/>
      <c r="R322" s="1"/>
      <c r="S322" s="1"/>
      <c r="T322" s="1"/>
      <c r="U322" s="1"/>
      <c r="V322" s="1"/>
      <c r="W322" s="1"/>
      <c r="X322" s="1"/>
      <c r="Y322" s="1"/>
      <c r="Z322" s="1"/>
      <c r="AA322" s="1"/>
      <c r="AB322" s="1"/>
      <c r="AC322" s="1"/>
      <c r="AD322" s="1"/>
      <c r="AE322" s="1"/>
      <c r="AF322" s="1"/>
      <c r="AG322" s="1"/>
      <c r="AH322" s="1"/>
      <c r="AI322" s="1"/>
      <c r="AJ322" s="1" t="str">
        <f>IFERROR(__xludf.DUMMYFUNCTION("""COMPUTED_VALUE"""),"Meteor Shower")</f>
        <v>Meteor Shower</v>
      </c>
      <c r="AK322" s="1" t="str">
        <f>IFERROR(__xludf.DUMMYFUNCTION("""COMPUTED_VALUE"""),"Volcanic Rain")</f>
        <v>Volcanic Rain</v>
      </c>
      <c r="AL322" s="1" t="str">
        <f>IFERROR(__xludf.DUMMYFUNCTION("""COMPUTED_VALUE"""),"Flame Sanctuary")</f>
        <v>Flame Sanctuary</v>
      </c>
      <c r="AM322" s="1" t="str">
        <f>IFERROR(__xludf.DUMMYFUNCTION("""COMPUTED_VALUE"""),"Sandstorm")</f>
        <v>Sandstorm</v>
      </c>
      <c r="AN322" s="1" t="str">
        <f>IFERROR(__xludf.DUMMYFUNCTION("""COMPUTED_VALUE"""),"Earthquake")</f>
        <v>Earthquake</v>
      </c>
      <c r="AO322" s="1" t="str">
        <f>IFERROR(__xludf.DUMMYFUNCTION("""COMPUTED_VALUE"""),"Devolve")</f>
        <v>Devolve</v>
      </c>
      <c r="AP322" s="1" t="str">
        <f>IFERROR(__xludf.DUMMYFUNCTION("""COMPUTED_VALUE"""),"Darkness Ablaze")</f>
        <v>Darkness Ablaze</v>
      </c>
      <c r="AQ322" s="1" t="str">
        <f>IFERROR(__xludf.DUMMYFUNCTION("""COMPUTED_VALUE"""),"Mass Destruction")</f>
        <v>Mass Destruction</v>
      </c>
      <c r="AR322" s="1" t="str">
        <f>IFERROR(__xludf.DUMMYFUNCTION("""COMPUTED_VALUE"""),"Berserk")</f>
        <v>Berserk</v>
      </c>
      <c r="AS322" s="1" t="str">
        <f>IFERROR(__xludf.DUMMYFUNCTION("""COMPUTED_VALUE"""),"Multishot")</f>
        <v>Multishot</v>
      </c>
      <c r="AT322" s="1" t="str">
        <f>IFERROR(__xludf.DUMMYFUNCTION("""COMPUTED_VALUE"""),"Chaincast")</f>
        <v>Chaincast</v>
      </c>
      <c r="AU322" s="1" t="str">
        <f>IFERROR(__xludf.DUMMYFUNCTION("""COMPUTED_VALUE"""),"Cancel")</f>
        <v>Cancel</v>
      </c>
      <c r="AV322" s="1" t="str">
        <f>IFERROR(__xludf.DUMMYFUNCTION("""COMPUTED_VALUE"""),"Light Ray")</f>
        <v>Light Ray</v>
      </c>
      <c r="AW322" s="1"/>
      <c r="AX322" s="1"/>
      <c r="AY322" s="1"/>
      <c r="AZ322" s="1"/>
      <c r="BA322" s="1"/>
      <c r="BB322" s="1"/>
      <c r="BC322" s="1"/>
      <c r="BD322" s="1">
        <f>IFERROR(__xludf.DUMMYFUNCTION("""COMPUTED_VALUE"""),0.0)</f>
        <v>0</v>
      </c>
      <c r="BE322" s="9">
        <f>IFERROR(__xludf.DUMMYFUNCTION("""COMPUTED_VALUE"""),10.0)</f>
        <v>10</v>
      </c>
      <c r="BF322" s="1" t="str">
        <f>IFERROR(__xludf.DUMMYFUNCTION("""COMPUTED_VALUE"""),"75% chance to be unaffected by any spells affecting this mob
Cloudius's Wrath: +10 can be added to this mobs rolls.
Blinding Smoke: Blindness 3 to all enemies for the first 3 rounds of battle.
Immune to Freezing.")</f>
        <v>75% chance to be unaffected by any spells affecting this mob
Cloudius's Wrath: +10 can be added to this mobs rolls.
Blinding Smoke: Blindness 3 to all enemies for the first 3 rounds of battle.
Immune to Freezing.</v>
      </c>
      <c r="BG322" s="1" t="str">
        <f>IFERROR(__xludf.DUMMYFUNCTION("""COMPUTED_VALUE"""),"Dungeon")</f>
        <v>Dungeon</v>
      </c>
      <c r="BH322" s="1" t="str">
        <f>IFERROR(__xludf.DUMMYFUNCTION("""COMPUTED_VALUE"""),"Land of Spira")</f>
        <v>Land of Spira</v>
      </c>
      <c r="BI322" s="1"/>
      <c r="BJ322" s="1"/>
      <c r="BK322" s="1"/>
      <c r="BL322" s="1" t="b">
        <f>IFERROR(__xludf.DUMMYFUNCTION("""COMPUTED_VALUE"""),FALSE)</f>
        <v>0</v>
      </c>
      <c r="BM322" s="1"/>
      <c r="BN322" s="1"/>
      <c r="BO322" s="1"/>
      <c r="BP322" s="1"/>
      <c r="BQ322" s="1"/>
    </row>
    <row r="323" ht="15.75" customHeight="1">
      <c r="A323" s="1" t="str">
        <f>IFERROR(__xludf.DUMMYFUNCTION("""COMPUTED_VALUE"""),"Grisaia - The Head Paladin of Gaia")</f>
        <v>Grisaia - The Head Paladin of Gaia</v>
      </c>
      <c r="B323" s="1">
        <f>IFERROR(__xludf.DUMMYFUNCTION("""COMPUTED_VALUE"""),1.0)</f>
        <v>1</v>
      </c>
      <c r="C323" s="1" t="str">
        <f>IFERROR(__xludf.DUMMYFUNCTION("""COMPUTED_VALUE"""),"The head paladin of Gaia who gave his soul to stand by his goddess for all time to come.")</f>
        <v>The head paladin of Gaia who gave his soul to stand by his goddess for all time to come.</v>
      </c>
      <c r="D323" s="1" t="str">
        <f>IFERROR(__xludf.DUMMYFUNCTION("""COMPUTED_VALUE"""),"Heavenly")</f>
        <v>Heavenly</v>
      </c>
      <c r="E323" s="1">
        <f>IFERROR(__xludf.DUMMYFUNCTION("""COMPUTED_VALUE"""),1010.0)</f>
        <v>1010</v>
      </c>
      <c r="F323" s="7">
        <f>IFERROR(__xludf.DUMMYFUNCTION("""COMPUTED_VALUE"""),1010.0)</f>
        <v>1010</v>
      </c>
      <c r="G323" s="1">
        <f>IFERROR(__xludf.DUMMYFUNCTION("""COMPUTED_VALUE"""),151010.0)</f>
        <v>151010</v>
      </c>
      <c r="H323" s="1">
        <f>IFERROR(__xludf.DUMMYFUNCTION("""COMPUTED_VALUE"""),15.0)</f>
        <v>15</v>
      </c>
      <c r="I323" s="1">
        <f>IFERROR(__xludf.DUMMYFUNCTION("""COMPUTED_VALUE"""),0.0)</f>
        <v>0</v>
      </c>
      <c r="J323" s="1">
        <f>IFERROR(__xludf.DUMMYFUNCTION("""COMPUTED_VALUE"""),0.0)</f>
        <v>0</v>
      </c>
      <c r="K323" s="1">
        <f>IFERROR(__xludf.DUMMYFUNCTION("""COMPUTED_VALUE"""),100.0)</f>
        <v>100</v>
      </c>
      <c r="L323" s="1">
        <f>IFERROR(__xludf.DUMMYFUNCTION("""COMPUTED_VALUE"""),100.0)</f>
        <v>100</v>
      </c>
      <c r="M323" s="1" t="str">
        <f>IFERROR(__xludf.DUMMYFUNCTION("""COMPUTED_VALUE"""),"Earth:Immune, Dark:250, Chaos:250, Nature:Immune, Physical:100, Melee:100, Ranged:100, Instant Death:Immune, Banishment:Immune, ")</f>
        <v>Earth:Immune, Dark:250, Chaos:250, Nature:Immune, Physical:100, Melee:100, Ranged:100, Instant Death:Immune, Banishment:Immune, </v>
      </c>
      <c r="N323" s="1" t="str">
        <f>IFERROR(__xludf.DUMMYFUNCTION("""COMPUTED_VALUE"""),"Fire:50, Water:50, ")</f>
        <v>Fire:50, Water:50, </v>
      </c>
      <c r="O323" s="1" t="str">
        <f>IFERROR(__xludf.DUMMYFUNCTION("""COMPUTED_VALUE"""),"Paladin of Gaia's Bucket helm of Tenacity")</f>
        <v>Paladin of Gaia's Bucket helm of Tenacity</v>
      </c>
      <c r="P323" s="1" t="str">
        <f>IFERROR(__xludf.DUMMYFUNCTION("""COMPUTED_VALUE"""),"Paladin of Gaia's Emerald Pendant")</f>
        <v>Paladin of Gaia's Emerald Pendant</v>
      </c>
      <c r="Q323" s="1"/>
      <c r="R323" s="1"/>
      <c r="S323" s="1" t="str">
        <f>IFERROR(__xludf.DUMMYFUNCTION("""COMPUTED_VALUE"""),"Paladin of Gaia's Stone Pauldrons")</f>
        <v>Paladin of Gaia's Stone Pauldrons</v>
      </c>
      <c r="T323" s="1" t="str">
        <f>IFERROR(__xludf.DUMMYFUNCTION("""COMPUTED_VALUE"""),"Paladin of Gaia's Emblazoned Chestpiece")</f>
        <v>Paladin of Gaia's Emblazoned Chestpiece</v>
      </c>
      <c r="U323" s="1" t="str">
        <f>IFERROR(__xludf.DUMMYFUNCTION("""COMPUTED_VALUE"""),"Paladin of Gaia's Vambraces")</f>
        <v>Paladin of Gaia's Vambraces</v>
      </c>
      <c r="V323" s="1" t="str">
        <f>IFERROR(__xludf.DUMMYFUNCTION("""COMPUTED_VALUE"""),"Gaian Champion's Shield")</f>
        <v>Gaian Champion's Shield</v>
      </c>
      <c r="W323" s="1" t="str">
        <f>IFERROR(__xludf.DUMMYFUNCTION("""COMPUTED_VALUE"""),"Great Stone Gargoyle Sword")</f>
        <v>Great Stone Gargoyle Sword</v>
      </c>
      <c r="X323" s="1" t="str">
        <f>IFERROR(__xludf.DUMMYFUNCTION("""COMPUTED_VALUE"""),"Paladin of Gaia's Ruby Ring")</f>
        <v>Paladin of Gaia's Ruby Ring</v>
      </c>
      <c r="Y323" s="1"/>
      <c r="Z323" s="1"/>
      <c r="AA323" s="1"/>
      <c r="AB323" s="1"/>
      <c r="AC323" s="1"/>
      <c r="AD323" s="1"/>
      <c r="AE323" s="1"/>
      <c r="AF323" s="1"/>
      <c r="AG323" s="1"/>
      <c r="AH323" s="1" t="str">
        <f>IFERROR(__xludf.DUMMYFUNCTION("""COMPUTED_VALUE"""),"Paladin of Gaia's Plate Chausses")</f>
        <v>Paladin of Gaia's Plate Chausses</v>
      </c>
      <c r="AI323" s="1" t="str">
        <f>IFERROR(__xludf.DUMMYFUNCTION("""COMPUTED_VALUE"""),"Paladin of Gaia's Sabatons")</f>
        <v>Paladin of Gaia's Sabatons</v>
      </c>
      <c r="AJ323" s="1" t="str">
        <f>IFERROR(__xludf.DUMMYFUNCTION("""COMPUTED_VALUE"""),"Call of Gaia")</f>
        <v>Call of Gaia</v>
      </c>
      <c r="AK323" s="1" t="str">
        <f>IFERROR(__xludf.DUMMYFUNCTION("""COMPUTED_VALUE"""),"Earth Punch")</f>
        <v>Earth Punch</v>
      </c>
      <c r="AL323" s="1" t="str">
        <f>IFERROR(__xludf.DUMMYFUNCTION("""COMPUTED_VALUE"""),"Ancient Monolith Of Earth")</f>
        <v>Ancient Monolith Of Earth</v>
      </c>
      <c r="AM323" s="1" t="str">
        <f>IFERROR(__xludf.DUMMYFUNCTION("""COMPUTED_VALUE"""),"Alliance Guard")</f>
        <v>Alliance Guard</v>
      </c>
      <c r="AN323" s="1" t="str">
        <f>IFERROR(__xludf.DUMMYFUNCTION("""COMPUTED_VALUE"""),"Landslide")</f>
        <v>Landslide</v>
      </c>
      <c r="AO323" s="1" t="str">
        <f>IFERROR(__xludf.DUMMYFUNCTION("""COMPUTED_VALUE"""),"Mud Wave")</f>
        <v>Mud Wave</v>
      </c>
      <c r="AP323" s="1" t="str">
        <f>IFERROR(__xludf.DUMMYFUNCTION("""COMPUTED_VALUE"""),"Sandstorm")</f>
        <v>Sandstorm</v>
      </c>
      <c r="AQ323" s="1" t="str">
        <f>IFERROR(__xludf.DUMMYFUNCTION("""COMPUTED_VALUE"""),"Neutralize")</f>
        <v>Neutralize</v>
      </c>
      <c r="AR323" s="1" t="str">
        <f>IFERROR(__xludf.DUMMYFUNCTION("""COMPUTED_VALUE"""),"Protection")</f>
        <v>Protection</v>
      </c>
      <c r="AS323" s="1" t="str">
        <f>IFERROR(__xludf.DUMMYFUNCTION("""COMPUTED_VALUE"""),"Strong Ward")</f>
        <v>Strong Ward</v>
      </c>
      <c r="AT323" s="1" t="str">
        <f>IFERROR(__xludf.DUMMYFUNCTION("""COMPUTED_VALUE"""),"[Element] Swing")</f>
        <v>[Element] Swing</v>
      </c>
      <c r="AU323" s="1" t="str">
        <f>IFERROR(__xludf.DUMMYFUNCTION("""COMPUTED_VALUE"""),"Celestial Wrath")</f>
        <v>Celestial Wrath</v>
      </c>
      <c r="AV323" s="1" t="str">
        <f>IFERROR(__xludf.DUMMYFUNCTION("""COMPUTED_VALUE"""),"Berserk")</f>
        <v>Berserk</v>
      </c>
      <c r="AW323" s="1" t="str">
        <f>IFERROR(__xludf.DUMMYFUNCTION("""COMPUTED_VALUE"""),"Parry")</f>
        <v>Parry</v>
      </c>
      <c r="AX323" s="1" t="str">
        <f>IFERROR(__xludf.DUMMYFUNCTION("""COMPUTED_VALUE"""),"Taunt")</f>
        <v>Taunt</v>
      </c>
      <c r="AY323" s="1" t="str">
        <f>IFERROR(__xludf.DUMMYFUNCTION("""COMPUTED_VALUE"""),"Arrest")</f>
        <v>Arrest</v>
      </c>
      <c r="AZ323" s="1" t="str">
        <f>IFERROR(__xludf.DUMMYFUNCTION("""COMPUTED_VALUE"""),"Cancel")</f>
        <v>Cancel</v>
      </c>
      <c r="BA323" s="1"/>
      <c r="BB323" s="1"/>
      <c r="BC323" s="1"/>
      <c r="BD323" s="1">
        <f>IFERROR(__xludf.DUMMYFUNCTION("""COMPUTED_VALUE"""),0.0)</f>
        <v>0</v>
      </c>
      <c r="BE323" s="9">
        <f>IFERROR(__xludf.DUMMYFUNCTION("""COMPUTED_VALUE"""),15.0)</f>
        <v>15</v>
      </c>
      <c r="BF323" s="1" t="str">
        <f>IFERROR(__xludf.DUMMYFUNCTION("""COMPUTED_VALUE"""),"Gaia's Blessing II: +10 can be added to this mob's rolls
Earth Paladin's Piety II: When This mob takes earth damage they instead heal for that damage instead.
Paladin's Wrath: Deal X2 damage to any evil aligned targets
Grisaia's Luck: +10% to all perce"&amp;"nt rolls
Gaia's Nature: Once every 3 rounds upon an Ally taking an attack or affect you can choose to take the attack or affect instead. When redirected at you the attack deals half damage or halve teh time for the affect (rounding down)
Paladin of the "&amp;"Earth: X4 Earth damage, Take half damage from weapon attacks, and X2 defense to self and all allies.")</f>
        <v>Gaia's Blessing II: +10 can be added to this mob's rolls
Earth Paladin's Piety II: When This mob takes earth damage they instead heal for that damage instead.
Paladin's Wrath: Deal X2 damage to any evil aligned targets
Grisaia's Luck: +10% to all percent rolls
Gaia's Nature: Once every 3 rounds upon an Ally taking an attack or affect you can choose to take the attack or affect instead. When redirected at you the attack deals half damage or halve teh time for the affect (rounding down)
Paladin of the Earth: X4 Earth damage, Take half damage from weapon attacks, and X2 defense to self and all allies.</v>
      </c>
      <c r="BG323" s="1" t="str">
        <f>IFERROR(__xludf.DUMMYFUNCTION("""COMPUTED_VALUE"""),"Dungeon")</f>
        <v>Dungeon</v>
      </c>
      <c r="BH323" s="1" t="str">
        <f>IFERROR(__xludf.DUMMYFUNCTION("""COMPUTED_VALUE"""),"Land of Spira")</f>
        <v>Land of Spira</v>
      </c>
      <c r="BI323" s="1"/>
      <c r="BJ323" s="1"/>
      <c r="BK323" s="1"/>
      <c r="BL323" s="1" t="b">
        <f>IFERROR(__xludf.DUMMYFUNCTION("""COMPUTED_VALUE"""),FALSE)</f>
        <v>0</v>
      </c>
      <c r="BM323" s="1"/>
      <c r="BN323" s="1"/>
      <c r="BO323" s="1"/>
      <c r="BP323" s="1"/>
      <c r="BQ323" s="1"/>
    </row>
    <row r="324" ht="15.75" customHeight="1">
      <c r="A324" s="1" t="str">
        <f>IFERROR(__xludf.DUMMYFUNCTION("""COMPUTED_VALUE"""),"Earth Golem")</f>
        <v>Earth Golem</v>
      </c>
      <c r="B324" s="1">
        <f>IFERROR(__xludf.DUMMYFUNCTION("""COMPUTED_VALUE"""),1.0)</f>
        <v>1</v>
      </c>
      <c r="C324" s="1" t="str">
        <f>IFERROR(__xludf.DUMMYFUNCTION("""COMPUTED_VALUE"""),"a simple formation of Earth formed into a humanoid shape with a focus on defense.")</f>
        <v>a simple formation of Earth formed into a humanoid shape with a focus on defense.</v>
      </c>
      <c r="D324" s="1" t="str">
        <f>IFERROR(__xludf.DUMMYFUNCTION("""COMPUTED_VALUE"""),"Construct")</f>
        <v>Construct</v>
      </c>
      <c r="E324" s="1">
        <f>IFERROR(__xludf.DUMMYFUNCTION("""COMPUTED_VALUE"""),1010.0)</f>
        <v>1010</v>
      </c>
      <c r="F324" s="7">
        <f>IFERROR(__xludf.DUMMYFUNCTION("""COMPUTED_VALUE"""),1010.0)</f>
        <v>1010</v>
      </c>
      <c r="G324" s="1">
        <f>IFERROR(__xludf.DUMMYFUNCTION("""COMPUTED_VALUE"""),126010.0)</f>
        <v>126010</v>
      </c>
      <c r="H324" s="1">
        <f>IFERROR(__xludf.DUMMYFUNCTION("""COMPUTED_VALUE"""),10.0)</f>
        <v>10</v>
      </c>
      <c r="I324" s="1">
        <f>IFERROR(__xludf.DUMMYFUNCTION("""COMPUTED_VALUE"""),0.0)</f>
        <v>0</v>
      </c>
      <c r="J324" s="1">
        <f>IFERROR(__xludf.DUMMYFUNCTION("""COMPUTED_VALUE"""),0.0)</f>
        <v>0</v>
      </c>
      <c r="K324" s="1">
        <f>IFERROR(__xludf.DUMMYFUNCTION("""COMPUTED_VALUE"""),100.0)</f>
        <v>100</v>
      </c>
      <c r="L324" s="1">
        <f>IFERROR(__xludf.DUMMYFUNCTION("""COMPUTED_VALUE"""),100.0)</f>
        <v>100</v>
      </c>
      <c r="M324" s="1" t="str">
        <f>IFERROR(__xludf.DUMMYFUNCTION("""COMPUTED_VALUE"""),"Earth:Immune, Nature:100, Instant Death:Immune, Banishment:Immune, ")</f>
        <v>Earth:Immune, Nature:100, Instant Death:Immune, Banishment:Immune, </v>
      </c>
      <c r="N324" s="1" t="str">
        <f>IFERROR(__xludf.DUMMYFUNCTION("""COMPUTED_VALUE"""),"Fire:100, Water:100, Delta:100, ")</f>
        <v>Fire:100, Water:100, Delta:100, </v>
      </c>
      <c r="O324" s="1"/>
      <c r="P324" s="1"/>
      <c r="Q324" s="1"/>
      <c r="R324" s="1"/>
      <c r="S324" s="1"/>
      <c r="T324" s="1"/>
      <c r="U324" s="1"/>
      <c r="V324" s="1"/>
      <c r="W324" s="1"/>
      <c r="X324" s="1"/>
      <c r="Y324" s="1"/>
      <c r="Z324" s="1"/>
      <c r="AA324" s="1"/>
      <c r="AB324" s="1"/>
      <c r="AC324" s="1"/>
      <c r="AD324" s="1"/>
      <c r="AE324" s="1"/>
      <c r="AF324" s="1"/>
      <c r="AG324" s="1"/>
      <c r="AH324" s="1"/>
      <c r="AI324" s="1"/>
      <c r="AJ324" s="1" t="str">
        <f>IFERROR(__xludf.DUMMYFUNCTION("""COMPUTED_VALUE"""),"Rock Cycle")</f>
        <v>Rock Cycle</v>
      </c>
      <c r="AK324" s="1" t="str">
        <f>IFERROR(__xludf.DUMMYFUNCTION("""COMPUTED_VALUE"""),"Rock Missiles")</f>
        <v>Rock Missiles</v>
      </c>
      <c r="AL324" s="1" t="str">
        <f>IFERROR(__xludf.DUMMYFUNCTION("""COMPUTED_VALUE"""),"Mountain Formation")</f>
        <v>Mountain Formation</v>
      </c>
      <c r="AM324" s="1"/>
      <c r="AN324" s="1" t="str">
        <f>IFERROR(__xludf.DUMMYFUNCTION("""COMPUTED_VALUE"""),"Sling Stone")</f>
        <v>Sling Stone</v>
      </c>
      <c r="AO324" s="1" t="str">
        <f>IFERROR(__xludf.DUMMYFUNCTION("""COMPUTED_VALUE"""),"Mud Sling")</f>
        <v>Mud Sling</v>
      </c>
      <c r="AP324" s="1" t="str">
        <f>IFERROR(__xludf.DUMMYFUNCTION("""COMPUTED_VALUE"""),"Mud Wave")</f>
        <v>Mud Wave</v>
      </c>
      <c r="AQ324" s="1" t="str">
        <f>IFERROR(__xludf.DUMMYFUNCTION("""COMPUTED_VALUE"""),"Celestial Wrath")</f>
        <v>Celestial Wrath</v>
      </c>
      <c r="AR324" s="1" t="str">
        <f>IFERROR(__xludf.DUMMYFUNCTION("""COMPUTED_VALUE"""),"Multishot")</f>
        <v>Multishot</v>
      </c>
      <c r="AS324" s="1"/>
      <c r="AT324" s="1"/>
      <c r="AU324" s="1"/>
      <c r="AV324" s="1"/>
      <c r="AW324" s="1"/>
      <c r="AX324" s="1"/>
      <c r="AY324" s="1"/>
      <c r="AZ324" s="1"/>
      <c r="BA324" s="1"/>
      <c r="BB324" s="1"/>
      <c r="BC324" s="1"/>
      <c r="BD324" s="1">
        <f>IFERROR(__xludf.DUMMYFUNCTION("""COMPUTED_VALUE"""),0.0)</f>
        <v>0</v>
      </c>
      <c r="BE324" s="9">
        <f>IFERROR(__xludf.DUMMYFUNCTION("""COMPUTED_VALUE"""),10.0)</f>
        <v>10</v>
      </c>
      <c r="BF324" s="1" t="str">
        <f>IFERROR(__xludf.DUMMYFUNCTION("""COMPUTED_VALUE"""),"Earthen Golem Defense II: Target is protected by all damage for the first 3 rounds of battle + increases Earth damage by X4 for this mob only.
Gaia's Blessing I: +5 can be added to this mob's rolls")</f>
        <v>Earthen Golem Defense II: Target is protected by all damage for the first 3 rounds of battle + increases Earth damage by X4 for this mob only.
Gaia's Blessing I: +5 can be added to this mob's rolls</v>
      </c>
      <c r="BG324" s="1" t="str">
        <f>IFERROR(__xludf.DUMMYFUNCTION("""COMPUTED_VALUE"""),"All")</f>
        <v>All</v>
      </c>
      <c r="BH324" s="1" t="str">
        <f>IFERROR(__xludf.DUMMYFUNCTION("""COMPUTED_VALUE"""),"Land of Spira")</f>
        <v>Land of Spira</v>
      </c>
      <c r="BI324" s="1"/>
      <c r="BJ324" s="1"/>
      <c r="BK324" s="7">
        <f>IFERROR(__xludf.DUMMYFUNCTION("""COMPUTED_VALUE"""),500000.0)</f>
        <v>500000</v>
      </c>
      <c r="BL324" s="1" t="b">
        <f>IFERROR(__xludf.DUMMYFUNCTION("""COMPUTED_VALUE"""),FALSE)</f>
        <v>0</v>
      </c>
      <c r="BM324" s="1"/>
      <c r="BN324" s="1"/>
      <c r="BO324" s="1"/>
      <c r="BP324" s="1"/>
      <c r="BQ324" s="1"/>
    </row>
    <row r="325" ht="15.75" customHeight="1">
      <c r="A325" s="1" t="str">
        <f>IFERROR(__xludf.DUMMYFUNCTION("""COMPUTED_VALUE"""),"Crystal Spider")</f>
        <v>Crystal Spider</v>
      </c>
      <c r="B325" s="1">
        <f>IFERROR(__xludf.DUMMYFUNCTION("""COMPUTED_VALUE"""),1.0)</f>
        <v>1</v>
      </c>
      <c r="C325" s="1"/>
      <c r="D325" s="1" t="str">
        <f>IFERROR(__xludf.DUMMYFUNCTION("""COMPUTED_VALUE"""),"Construct")</f>
        <v>Construct</v>
      </c>
      <c r="E325" s="1">
        <f>IFERROR(__xludf.DUMMYFUNCTION("""COMPUTED_VALUE"""),1010.0)</f>
        <v>1010</v>
      </c>
      <c r="F325" s="7">
        <f>IFERROR(__xludf.DUMMYFUNCTION("""COMPUTED_VALUE"""),1010.0)</f>
        <v>1010</v>
      </c>
      <c r="G325" s="1">
        <f>IFERROR(__xludf.DUMMYFUNCTION("""COMPUTED_VALUE"""),1010.0)</f>
        <v>1010</v>
      </c>
      <c r="H325" s="1">
        <f>IFERROR(__xludf.DUMMYFUNCTION("""COMPUTED_VALUE"""),10.0)</f>
        <v>10</v>
      </c>
      <c r="I325" s="1">
        <f>IFERROR(__xludf.DUMMYFUNCTION("""COMPUTED_VALUE"""),0.0)</f>
        <v>0</v>
      </c>
      <c r="J325" s="1">
        <f>IFERROR(__xludf.DUMMYFUNCTION("""COMPUTED_VALUE"""),0.0)</f>
        <v>0</v>
      </c>
      <c r="K325" s="1">
        <f>IFERROR(__xludf.DUMMYFUNCTION("""COMPUTED_VALUE"""),100.0)</f>
        <v>100</v>
      </c>
      <c r="L325" s="1">
        <f>IFERROR(__xludf.DUMMYFUNCTION("""COMPUTED_VALUE"""),100.0)</f>
        <v>100</v>
      </c>
      <c r="M325" s="1" t="str">
        <f>IFERROR(__xludf.DUMMYFUNCTION("""COMPUTED_VALUE"""),"")</f>
        <v/>
      </c>
      <c r="N325" s="1" t="str">
        <f>IFERROR(__xludf.DUMMYFUNCTION("""COMPUTED_VALUE"""),"")</f>
        <v/>
      </c>
      <c r="O325" s="1"/>
      <c r="P325" s="1"/>
      <c r="Q325" s="1"/>
      <c r="R325" s="1"/>
      <c r="S325" s="1"/>
      <c r="T325" s="1"/>
      <c r="U325" s="1"/>
      <c r="V325" s="1"/>
      <c r="W325" s="1"/>
      <c r="X325" s="1"/>
      <c r="Y325" s="1"/>
      <c r="Z325" s="1"/>
      <c r="AA325" s="1"/>
      <c r="AB325" s="1"/>
      <c r="AC325" s="1"/>
      <c r="AD325" s="1"/>
      <c r="AE325" s="1"/>
      <c r="AF325" s="1"/>
      <c r="AG325" s="1"/>
      <c r="AH325" s="1"/>
      <c r="AI325" s="1"/>
      <c r="AJ325" s="1" t="str">
        <f>IFERROR(__xludf.DUMMYFUNCTION("""COMPUTED_VALUE"""),"Energizing Emerald Pulse")</f>
        <v>Energizing Emerald Pulse</v>
      </c>
      <c r="AK325" s="1" t="str">
        <f>IFERROR(__xludf.DUMMYFUNCTION("""COMPUTED_VALUE"""),"Searing Saphire Strike")</f>
        <v>Searing Saphire Strike</v>
      </c>
      <c r="AL325" s="1" t="str">
        <f>IFERROR(__xludf.DUMMYFUNCTION("""COMPUTED_VALUE"""),"Molten Ruby Spikes")</f>
        <v>Molten Ruby Spikes</v>
      </c>
      <c r="AM325" s="1" t="str">
        <f>IFERROR(__xludf.DUMMYFUNCTION("""COMPUTED_VALUE"""),"Berserk")</f>
        <v>Berserk</v>
      </c>
      <c r="AN325" s="1"/>
      <c r="AO325" s="1"/>
      <c r="AP325" s="1"/>
      <c r="AQ325" s="1"/>
      <c r="AR325" s="1"/>
      <c r="AS325" s="1"/>
      <c r="AT325" s="1"/>
      <c r="AU325" s="1"/>
      <c r="AV325" s="1"/>
      <c r="AW325" s="1"/>
      <c r="AX325" s="1"/>
      <c r="AY325" s="1"/>
      <c r="AZ325" s="1"/>
      <c r="BA325" s="1"/>
      <c r="BB325" s="1"/>
      <c r="BC325" s="1"/>
      <c r="BD325" s="1">
        <f>IFERROR(__xludf.DUMMYFUNCTION("""COMPUTED_VALUE"""),0.0)</f>
        <v>0</v>
      </c>
      <c r="BE325" s="9">
        <f>IFERROR(__xludf.DUMMYFUNCTION("""COMPUTED_VALUE"""),10.0)</f>
        <v>10</v>
      </c>
      <c r="BF325" s="1" t="str">
        <f>IFERROR(__xludf.DUMMYFUNCTION("""COMPUTED_VALUE"""),"Spider Senses: +5 to mobility and evasion, +5 can be added to this mobs d20 rolls.")</f>
        <v>Spider Senses: +5 to mobility and evasion, +5 can be added to this mobs d20 rolls.</v>
      </c>
      <c r="BG325" s="1" t="str">
        <f>IFERROR(__xludf.DUMMYFUNCTION("""COMPUTED_VALUE"""),"City/Town")</f>
        <v>City/Town</v>
      </c>
      <c r="BH325" s="1" t="str">
        <f>IFERROR(__xludf.DUMMYFUNCTION("""COMPUTED_VALUE"""),"Land of Spira")</f>
        <v>Land of Spira</v>
      </c>
      <c r="BI325" s="1"/>
      <c r="BJ325" s="1"/>
      <c r="BK325" s="1"/>
      <c r="BL325" s="1" t="b">
        <f>IFERROR(__xludf.DUMMYFUNCTION("""COMPUTED_VALUE"""),FALSE)</f>
        <v>0</v>
      </c>
      <c r="BM325" s="1"/>
      <c r="BN325" s="1"/>
      <c r="BO325" s="1"/>
      <c r="BP325" s="1"/>
      <c r="BQ325" s="1"/>
    </row>
    <row r="326" ht="15.75" customHeight="1">
      <c r="A326" s="1" t="str">
        <f>IFERROR(__xludf.DUMMYFUNCTION("""COMPUTED_VALUE"""),"Hephaestus, The God of The Forge")</f>
        <v>Hephaestus, The God of The Forge</v>
      </c>
      <c r="B326" s="1">
        <f>IFERROR(__xludf.DUMMYFUNCTION("""COMPUTED_VALUE"""),1.0)</f>
        <v>1</v>
      </c>
      <c r="C326" s="1"/>
      <c r="D326" s="1" t="str">
        <f>IFERROR(__xludf.DUMMYFUNCTION("""COMPUTED_VALUE"""),"God")</f>
        <v>God</v>
      </c>
      <c r="E326" s="1">
        <f>IFERROR(__xludf.DUMMYFUNCTION("""COMPUTED_VALUE"""),1010.0)</f>
        <v>1010</v>
      </c>
      <c r="F326" s="7">
        <f>IFERROR(__xludf.DUMMYFUNCTION("""COMPUTED_VALUE"""),1010.0)</f>
        <v>1010</v>
      </c>
      <c r="G326" s="1">
        <f>IFERROR(__xludf.DUMMYFUNCTION("""COMPUTED_VALUE"""),1001010.0)</f>
        <v>1001010</v>
      </c>
      <c r="H326" s="1">
        <f>IFERROR(__xludf.DUMMYFUNCTION("""COMPUTED_VALUE"""),20.0)</f>
        <v>20</v>
      </c>
      <c r="I326" s="1">
        <f>IFERROR(__xludf.DUMMYFUNCTION("""COMPUTED_VALUE"""),0.0)</f>
        <v>0</v>
      </c>
      <c r="J326" s="1">
        <f>IFERROR(__xludf.DUMMYFUNCTION("""COMPUTED_VALUE"""),0.0)</f>
        <v>0</v>
      </c>
      <c r="K326" s="1">
        <f>IFERROR(__xludf.DUMMYFUNCTION("""COMPUTED_VALUE"""),100.0)</f>
        <v>100</v>
      </c>
      <c r="L326" s="1">
        <f>IFERROR(__xludf.DUMMYFUNCTION("""COMPUTED_VALUE"""),100.0)</f>
        <v>100</v>
      </c>
      <c r="M326" s="1" t="str">
        <f>IFERROR(__xludf.DUMMYFUNCTION("""COMPUTED_VALUE"""),"Fire:Immune, Order:250, Chaos:250, Nature:Immune, Celestial:500, Instant Death:Immune, Banishment:Immune, ")</f>
        <v>Fire:Immune, Order:250, Chaos:250, Nature:Immune, Celestial:500, Instant Death:Immune, Banishment:Immune, </v>
      </c>
      <c r="N326" s="1" t="str">
        <f>IFERROR(__xludf.DUMMYFUNCTION("""COMPUTED_VALUE"""),"Water:500, Order:500, ")</f>
        <v>Water:500, Order:500, </v>
      </c>
      <c r="O326" s="1" t="str">
        <f>IFERROR(__xludf.DUMMYFUNCTION("""COMPUTED_VALUE"""),"The Blacksmith's Forged Helmet")</f>
        <v>The Blacksmith's Forged Helmet</v>
      </c>
      <c r="P326" s="1" t="str">
        <f>IFERROR(__xludf.DUMMYFUNCTION("""COMPUTED_VALUE"""),"The Blacksmith's Forged Pendant")</f>
        <v>The Blacksmith's Forged Pendant</v>
      </c>
      <c r="Q326" s="1" t="str">
        <f>IFERROR(__xludf.DUMMYFUNCTION("""COMPUTED_VALUE"""),"Necklace Of Ancient Mountains")</f>
        <v>Necklace Of Ancient Mountains</v>
      </c>
      <c r="R326" s="1"/>
      <c r="S326" s="1" t="str">
        <f>IFERROR(__xludf.DUMMYFUNCTION("""COMPUTED_VALUE"""),"The Blacksmith's Forged Pauldrons")</f>
        <v>The Blacksmith's Forged Pauldrons</v>
      </c>
      <c r="T326" s="1" t="str">
        <f>IFERROR(__xludf.DUMMYFUNCTION("""COMPUTED_VALUE"""),"The Blacksmith's Forged Cuirasses")</f>
        <v>The Blacksmith's Forged Cuirasses</v>
      </c>
      <c r="U326" s="1" t="str">
        <f>IFERROR(__xludf.DUMMYFUNCTION("""COMPUTED_VALUE"""),"The Blacksmith's Forged Vambraces")</f>
        <v>The Blacksmith's Forged Vambraces</v>
      </c>
      <c r="V326" s="1" t="str">
        <f>IFERROR(__xludf.DUMMYFUNCTION("""COMPUTED_VALUE"""),"The Blacksmith's Forged Sword")</f>
        <v>The Blacksmith's Forged Sword</v>
      </c>
      <c r="W326" s="1" t="str">
        <f>IFERROR(__xludf.DUMMYFUNCTION("""COMPUTED_VALUE"""),"The Blacksmith's Forged Battleaxe ")</f>
        <v>The Blacksmith's Forged Battleaxe </v>
      </c>
      <c r="X326" s="1" t="str">
        <f>IFERROR(__xludf.DUMMYFUNCTION("""COMPUTED_VALUE"""),"The Blacksmith's Ring of Green Hatred")</f>
        <v>The Blacksmith's Ring of Green Hatred</v>
      </c>
      <c r="Y326" s="1" t="str">
        <f>IFERROR(__xludf.DUMMYFUNCTION("""COMPUTED_VALUE"""),"The Blacksmith's Forged Ring")</f>
        <v>The Blacksmith's Forged Ring</v>
      </c>
      <c r="Z326" s="1"/>
      <c r="AA326" s="1"/>
      <c r="AB326" s="1"/>
      <c r="AC326" s="1"/>
      <c r="AD326" s="1"/>
      <c r="AE326" s="1"/>
      <c r="AF326" s="1"/>
      <c r="AG326" s="1"/>
      <c r="AH326" s="1" t="str">
        <f>IFERROR(__xludf.DUMMYFUNCTION("""COMPUTED_VALUE"""),"The Blacksmith's Forged Greaves")</f>
        <v>The Blacksmith's Forged Greaves</v>
      </c>
      <c r="AI326" s="1" t="str">
        <f>IFERROR(__xludf.DUMMYFUNCTION("""COMPUTED_VALUE"""),"The Blacksmith's Forged Sabatons")</f>
        <v>The Blacksmith's Forged Sabatons</v>
      </c>
      <c r="AJ326" s="1" t="str">
        <f>IFERROR(__xludf.DUMMYFUNCTION("""COMPUTED_VALUE"""),"Berserk")</f>
        <v>Berserk</v>
      </c>
      <c r="AK326" s="1" t="str">
        <f>IFERROR(__xludf.DUMMYFUNCTION("""COMPUTED_VALUE"""),"Double Strike")</f>
        <v>Double Strike</v>
      </c>
      <c r="AL326" s="1" t="str">
        <f>IFERROR(__xludf.DUMMYFUNCTION("""COMPUTED_VALUE"""),"Melee Shield")</f>
        <v>Melee Shield</v>
      </c>
      <c r="AM326" s="1" t="str">
        <f>IFERROR(__xludf.DUMMYFUNCTION("""COMPUTED_VALUE"""),"Go For The Vitals")</f>
        <v>Go For The Vitals</v>
      </c>
      <c r="AN326" s="1" t="str">
        <f>IFERROR(__xludf.DUMMYFUNCTION("""COMPUTED_VALUE"""),"Enrage")</f>
        <v>Enrage</v>
      </c>
      <c r="AO326" s="1" t="str">
        <f>IFERROR(__xludf.DUMMYFUNCTION("""COMPUTED_VALUE"""),"Hard punch")</f>
        <v>Hard punch</v>
      </c>
      <c r="AP326" s="1" t="str">
        <f>IFERROR(__xludf.DUMMYFUNCTION("""COMPUTED_VALUE"""),"Heighten reflexes")</f>
        <v>Heighten reflexes</v>
      </c>
      <c r="AQ326" s="1" t="str">
        <f>IFERROR(__xludf.DUMMYFUNCTION("""COMPUTED_VALUE"""),"Increase")</f>
        <v>Increase</v>
      </c>
      <c r="AR326" s="1" t="str">
        <f>IFERROR(__xludf.DUMMYFUNCTION("""COMPUTED_VALUE"""),"Lock On")</f>
        <v>Lock On</v>
      </c>
      <c r="AS326" s="1" t="str">
        <f>IFERROR(__xludf.DUMMYFUNCTION("""COMPUTED_VALUE"""),"Multishot")</f>
        <v>Multishot</v>
      </c>
      <c r="AT326" s="1" t="str">
        <f>IFERROR(__xludf.DUMMYFUNCTION("""COMPUTED_VALUE"""),"Bullseye")</f>
        <v>Bullseye</v>
      </c>
      <c r="AU326" s="1" t="str">
        <f>IFERROR(__xludf.DUMMYFUNCTION("""COMPUTED_VALUE"""),"Alliance Guard")</f>
        <v>Alliance Guard</v>
      </c>
      <c r="AV326" s="1" t="str">
        <f>IFERROR(__xludf.DUMMYFUNCTION("""COMPUTED_VALUE"""),"Protection")</f>
        <v>Protection</v>
      </c>
      <c r="AW326" s="1" t="str">
        <f>IFERROR(__xludf.DUMMYFUNCTION("""COMPUTED_VALUE"""),"Cancel")</f>
        <v>Cancel</v>
      </c>
      <c r="AX326" s="1" t="str">
        <f>IFERROR(__xludf.DUMMYFUNCTION("""COMPUTED_VALUE"""),"Parry")</f>
        <v>Parry</v>
      </c>
      <c r="AY326" s="1"/>
      <c r="AZ326" s="1"/>
      <c r="BA326" s="1"/>
      <c r="BB326" s="1"/>
      <c r="BC326" s="1"/>
      <c r="BD326" s="1">
        <f>IFERROR(__xludf.DUMMYFUNCTION("""COMPUTED_VALUE"""),0.0)</f>
        <v>0</v>
      </c>
      <c r="BE326" s="9">
        <f>IFERROR(__xludf.DUMMYFUNCTION("""COMPUTED_VALUE"""),20.0)</f>
        <v>20</v>
      </c>
      <c r="BF326" s="1" t="str">
        <f>IFERROR(__xludf.DUMMYFUNCTION("""COMPUTED_VALUE"""),"Hephaestus' Rage: +10 can be added to this mobs rolls.
Item's cannot taken from this mob.
Godly Authority: Upon being defeated this mob will return to battle with full health and sp (can only be used once)")</f>
        <v>Hephaestus' Rage: +10 can be added to this mobs rolls.
Item's cannot taken from this mob.
Godly Authority: Upon being defeated this mob will return to battle with full health and sp (can only be used once)</v>
      </c>
      <c r="BG326" s="1" t="str">
        <f>IFERROR(__xludf.DUMMYFUNCTION("""COMPUTED_VALUE"""),"City/Town")</f>
        <v>City/Town</v>
      </c>
      <c r="BH326" s="1" t="str">
        <f>IFERROR(__xludf.DUMMYFUNCTION("""COMPUTED_VALUE"""),"Land of Spira")</f>
        <v>Land of Spira</v>
      </c>
      <c r="BI326" s="1"/>
      <c r="BJ326" s="1"/>
      <c r="BK326" s="7">
        <f>IFERROR(__xludf.DUMMYFUNCTION("""COMPUTED_VALUE"""),1.0E9)</f>
        <v>1000000000</v>
      </c>
      <c r="BL326" s="1" t="b">
        <f>IFERROR(__xludf.DUMMYFUNCTION("""COMPUTED_VALUE"""),FALSE)</f>
        <v>0</v>
      </c>
      <c r="BM326" s="1"/>
      <c r="BN326" s="1"/>
      <c r="BO326" s="1"/>
      <c r="BP326" s="1"/>
      <c r="BQ326" s="1"/>
    </row>
    <row r="327" ht="15.75" customHeight="1">
      <c r="A327" s="1" t="str">
        <f>IFERROR(__xludf.DUMMYFUNCTION("""COMPUTED_VALUE"""),"Hades The god of the Underworld")</f>
        <v>Hades The god of the Underworld</v>
      </c>
      <c r="B327" s="1">
        <f>IFERROR(__xludf.DUMMYFUNCTION("""COMPUTED_VALUE"""),1.0)</f>
        <v>1</v>
      </c>
      <c r="C327" s="1"/>
      <c r="D327" s="1" t="str">
        <f>IFERROR(__xludf.DUMMYFUNCTION("""COMPUTED_VALUE"""),"God")</f>
        <v>God</v>
      </c>
      <c r="E327" s="1">
        <f>IFERROR(__xludf.DUMMYFUNCTION("""COMPUTED_VALUE"""),1010.0)</f>
        <v>1010</v>
      </c>
      <c r="F327" s="7">
        <f>IFERROR(__xludf.DUMMYFUNCTION("""COMPUTED_VALUE"""),1010.0)</f>
        <v>1010</v>
      </c>
      <c r="G327" s="1">
        <f>IFERROR(__xludf.DUMMYFUNCTION("""COMPUTED_VALUE"""),1010.0)</f>
        <v>1010</v>
      </c>
      <c r="H327" s="1">
        <f>IFERROR(__xludf.DUMMYFUNCTION("""COMPUTED_VALUE"""),10.0)</f>
        <v>10</v>
      </c>
      <c r="I327" s="1">
        <f>IFERROR(__xludf.DUMMYFUNCTION("""COMPUTED_VALUE"""),0.0)</f>
        <v>0</v>
      </c>
      <c r="J327" s="1">
        <f>IFERROR(__xludf.DUMMYFUNCTION("""COMPUTED_VALUE"""),0.0)</f>
        <v>0</v>
      </c>
      <c r="K327" s="1">
        <f>IFERROR(__xludf.DUMMYFUNCTION("""COMPUTED_VALUE"""),100.0)</f>
        <v>100</v>
      </c>
      <c r="L327" s="1">
        <f>IFERROR(__xludf.DUMMYFUNCTION("""COMPUTED_VALUE"""),100.0)</f>
        <v>100</v>
      </c>
      <c r="M327" s="1" t="str">
        <f>IFERROR(__xludf.DUMMYFUNCTION("""COMPUTED_VALUE"""),"")</f>
        <v/>
      </c>
      <c r="N327" s="1" t="str">
        <f>IFERROR(__xludf.DUMMYFUNCTION("""COMPUTED_VALUE"""),"")</f>
        <v/>
      </c>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f>IFERROR(__xludf.DUMMYFUNCTION("""COMPUTED_VALUE"""),0.0)</f>
        <v>0</v>
      </c>
      <c r="BE327" s="9">
        <f>IFERROR(__xludf.DUMMYFUNCTION("""COMPUTED_VALUE"""),10.0)</f>
        <v>10</v>
      </c>
      <c r="BF327" s="1"/>
      <c r="BG327" s="1" t="str">
        <f>IFERROR(__xludf.DUMMYFUNCTION("""COMPUTED_VALUE"""),"Abstara")</f>
        <v>Abstara</v>
      </c>
      <c r="BH327" s="1" t="str">
        <f>IFERROR(__xludf.DUMMYFUNCTION("""COMPUTED_VALUE"""),"Abstara")</f>
        <v>Abstara</v>
      </c>
      <c r="BI327" s="1"/>
      <c r="BJ327" s="1"/>
      <c r="BK327" s="1"/>
      <c r="BL327" s="1" t="b">
        <f>IFERROR(__xludf.DUMMYFUNCTION("""COMPUTED_VALUE"""),FALSE)</f>
        <v>0</v>
      </c>
      <c r="BM327" s="1"/>
      <c r="BN327" s="1"/>
      <c r="BO327" s="1"/>
      <c r="BP327" s="1"/>
      <c r="BQ327" s="1"/>
    </row>
    <row r="328" ht="15.75" customHeight="1">
      <c r="A328" s="1" t="str">
        <f>IFERROR(__xludf.DUMMYFUNCTION("""COMPUTED_VALUE"""),"Sataniel - Keeper of The Banished")</f>
        <v>Sataniel - Keeper of The Banished</v>
      </c>
      <c r="B328" s="1">
        <f>IFERROR(__xludf.DUMMYFUNCTION("""COMPUTED_VALUE"""),1.0)</f>
        <v>1</v>
      </c>
      <c r="C328" s="1"/>
      <c r="D328" s="1" t="str">
        <f>IFERROR(__xludf.DUMMYFUNCTION("""COMPUTED_VALUE"""),"God")</f>
        <v>God</v>
      </c>
      <c r="E328" s="1">
        <f>IFERROR(__xludf.DUMMYFUNCTION("""COMPUTED_VALUE"""),1010.0)</f>
        <v>1010</v>
      </c>
      <c r="F328" s="7">
        <f>IFERROR(__xludf.DUMMYFUNCTION("""COMPUTED_VALUE"""),1010.0)</f>
        <v>1010</v>
      </c>
      <c r="G328" s="1">
        <f>IFERROR(__xludf.DUMMYFUNCTION("""COMPUTED_VALUE"""),1010.0)</f>
        <v>1010</v>
      </c>
      <c r="H328" s="1">
        <f>IFERROR(__xludf.DUMMYFUNCTION("""COMPUTED_VALUE"""),10.0)</f>
        <v>10</v>
      </c>
      <c r="I328" s="1">
        <f>IFERROR(__xludf.DUMMYFUNCTION("""COMPUTED_VALUE"""),0.0)</f>
        <v>0</v>
      </c>
      <c r="J328" s="1">
        <f>IFERROR(__xludf.DUMMYFUNCTION("""COMPUTED_VALUE"""),0.0)</f>
        <v>0</v>
      </c>
      <c r="K328" s="1">
        <f>IFERROR(__xludf.DUMMYFUNCTION("""COMPUTED_VALUE"""),100.0)</f>
        <v>100</v>
      </c>
      <c r="L328" s="1">
        <f>IFERROR(__xludf.DUMMYFUNCTION("""COMPUTED_VALUE"""),100.0)</f>
        <v>100</v>
      </c>
      <c r="M328" s="1" t="str">
        <f>IFERROR(__xludf.DUMMYFUNCTION("""COMPUTED_VALUE"""),"")</f>
        <v/>
      </c>
      <c r="N328" s="1" t="str">
        <f>IFERROR(__xludf.DUMMYFUNCTION("""COMPUTED_VALUE"""),"")</f>
        <v/>
      </c>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f>IFERROR(__xludf.DUMMYFUNCTION("""COMPUTED_VALUE"""),0.0)</f>
        <v>0</v>
      </c>
      <c r="BE328" s="9">
        <f>IFERROR(__xludf.DUMMYFUNCTION("""COMPUTED_VALUE"""),10.0)</f>
        <v>10</v>
      </c>
      <c r="BF328" s="1"/>
      <c r="BG328" s="1" t="str">
        <f>IFERROR(__xludf.DUMMYFUNCTION("""COMPUTED_VALUE"""),"Abstara")</f>
        <v>Abstara</v>
      </c>
      <c r="BH328" s="1" t="str">
        <f>IFERROR(__xludf.DUMMYFUNCTION("""COMPUTED_VALUE"""),"Abstara")</f>
        <v>Abstara</v>
      </c>
      <c r="BI328" s="1"/>
      <c r="BJ328" s="1"/>
      <c r="BK328" s="1"/>
      <c r="BL328" s="1" t="b">
        <f>IFERROR(__xludf.DUMMYFUNCTION("""COMPUTED_VALUE"""),FALSE)</f>
        <v>0</v>
      </c>
      <c r="BM328" s="1"/>
      <c r="BN328" s="1"/>
      <c r="BO328" s="1"/>
      <c r="BP328" s="1"/>
      <c r="BQ328" s="1"/>
    </row>
    <row r="329" ht="15.75" customHeight="1">
      <c r="A329" s="1" t="str">
        <f>IFERROR(__xludf.DUMMYFUNCTION("""COMPUTED_VALUE"""),"Artemis, Goddess of the Forest (First Phase)")</f>
        <v>Artemis, Goddess of the Forest (First Phase)</v>
      </c>
      <c r="B329" s="1">
        <f>IFERROR(__xludf.DUMMYFUNCTION("""COMPUTED_VALUE"""),1.0)</f>
        <v>1</v>
      </c>
      <c r="C329" s="1" t="str">
        <f>IFERROR(__xludf.DUMMYFUNCTION("""COMPUTED_VALUE"""),"The goddess of Nature and the Guardian of the Forests of Spira.")</f>
        <v>The goddess of Nature and the Guardian of the Forests of Spira.</v>
      </c>
      <c r="D329" s="1" t="str">
        <f>IFERROR(__xludf.DUMMYFUNCTION("""COMPUTED_VALUE"""),"God")</f>
        <v>God</v>
      </c>
      <c r="E329" s="1">
        <f>IFERROR(__xludf.DUMMYFUNCTION("""COMPUTED_VALUE"""),1010.0)</f>
        <v>1010</v>
      </c>
      <c r="F329" s="7">
        <f>IFERROR(__xludf.DUMMYFUNCTION("""COMPUTED_VALUE"""),101010.0)</f>
        <v>101010</v>
      </c>
      <c r="G329" s="1">
        <f>IFERROR(__xludf.DUMMYFUNCTION("""COMPUTED_VALUE"""),651010.0)</f>
        <v>651010</v>
      </c>
      <c r="H329" s="1">
        <f>IFERROR(__xludf.DUMMYFUNCTION("""COMPUTED_VALUE"""),25.0)</f>
        <v>25</v>
      </c>
      <c r="I329" s="1">
        <f>IFERROR(__xludf.DUMMYFUNCTION("""COMPUTED_VALUE"""),0.0)</f>
        <v>0</v>
      </c>
      <c r="J329" s="1">
        <f>IFERROR(__xludf.DUMMYFUNCTION("""COMPUTED_VALUE"""),0.0)</f>
        <v>0</v>
      </c>
      <c r="K329" s="1">
        <f>IFERROR(__xludf.DUMMYFUNCTION("""COMPUTED_VALUE"""),600100.0)</f>
        <v>600100</v>
      </c>
      <c r="L329" s="1">
        <f>IFERROR(__xludf.DUMMYFUNCTION("""COMPUTED_VALUE"""),600100.0)</f>
        <v>600100</v>
      </c>
      <c r="M329" s="1" t="str">
        <f>IFERROR(__xludf.DUMMYFUNCTION("""COMPUTED_VALUE"""),"Water:500, Light:250, Chaos:250, Nature:Immune, Stasis:Immune, Blood:Immune, Celestial:500, Instant Death:Immune, Banishment:Immune, ")</f>
        <v>Water:500, Light:250, Chaos:250, Nature:Immune, Stasis:Immune, Blood:Immune, Celestial:500, Instant Death:Immune, Banishment:Immune, </v>
      </c>
      <c r="N329" s="1" t="str">
        <f>IFERROR(__xludf.DUMMYFUNCTION("""COMPUTED_VALUE"""),"Fire:500, Order:500, Delta:100, ")</f>
        <v>Fire:500, Order:500, Delta:100, </v>
      </c>
      <c r="O329" s="1" t="str">
        <f>IFERROR(__xludf.DUMMYFUNCTION("""COMPUTED_VALUE"""),"Artemis' Crown of The Forest")</f>
        <v>Artemis' Crown of The Forest</v>
      </c>
      <c r="P329" s="1" t="str">
        <f>IFERROR(__xludf.DUMMYFUNCTION("""COMPUTED_VALUE"""),"Artemis' Fang Necklace")</f>
        <v>Artemis' Fang Necklace</v>
      </c>
      <c r="Q329" s="1"/>
      <c r="R329" s="1"/>
      <c r="S329" s="1" t="str">
        <f>IFERROR(__xludf.DUMMYFUNCTION("""COMPUTED_VALUE"""),"Artemis' Divine Quiver")</f>
        <v>Artemis' Divine Quiver</v>
      </c>
      <c r="T329" s="1" t="str">
        <f>IFERROR(__xludf.DUMMYFUNCTION("""COMPUTED_VALUE"""),"Artemis' Toga of Divine Beauty")</f>
        <v>Artemis' Toga of Divine Beauty</v>
      </c>
      <c r="U329" s="1" t="str">
        <f>IFERROR(__xludf.DUMMYFUNCTION("""COMPUTED_VALUE"""),"Artemis' Bracer of The Archer Goddess")</f>
        <v>Artemis' Bracer of The Archer Goddess</v>
      </c>
      <c r="V329" s="1" t="str">
        <f>IFERROR(__xludf.DUMMYFUNCTION("""COMPUTED_VALUE"""),"Artemis' Shield of Divine Grace")</f>
        <v>Artemis' Shield of Divine Grace</v>
      </c>
      <c r="W329" s="1" t="str">
        <f>IFERROR(__xludf.DUMMYFUNCTION("""COMPUTED_VALUE"""),"Artemis' Bow of Divine Wrath")</f>
        <v>Artemis' Bow of Divine Wrath</v>
      </c>
      <c r="X329" s="1" t="str">
        <f>IFERROR(__xludf.DUMMYFUNCTION("""COMPUTED_VALUE"""),"Artemis' Ring")</f>
        <v>Artemis' Ring</v>
      </c>
      <c r="Y329" s="1"/>
      <c r="Z329" s="1"/>
      <c r="AA329" s="1"/>
      <c r="AB329" s="1"/>
      <c r="AC329" s="1"/>
      <c r="AD329" s="1"/>
      <c r="AE329" s="1"/>
      <c r="AF329" s="1"/>
      <c r="AG329" s="1"/>
      <c r="AH329" s="1" t="str">
        <f>IFERROR(__xludf.DUMMYFUNCTION("""COMPUTED_VALUE"""),"Artemis' Leggings of Divine Agility")</f>
        <v>Artemis' Leggings of Divine Agility</v>
      </c>
      <c r="AI329" s="1" t="str">
        <f>IFERROR(__xludf.DUMMYFUNCTION("""COMPUTED_VALUE"""),"Artemis' Sandals of Divine Speed")</f>
        <v>Artemis' Sandals of Divine Speed</v>
      </c>
      <c r="AJ329" s="1" t="str">
        <f>IFERROR(__xludf.DUMMYFUNCTION("""COMPUTED_VALUE"""),"Artemis' Wave")</f>
        <v>Artemis' Wave</v>
      </c>
      <c r="AK329" s="1" t="str">
        <f>IFERROR(__xludf.DUMMYFUNCTION("""COMPUTED_VALUE"""),"Artemis' Godly Grace")</f>
        <v>Artemis' Godly Grace</v>
      </c>
      <c r="AL329" s="1" t="str">
        <f>IFERROR(__xludf.DUMMYFUNCTION("""COMPUTED_VALUE"""),"Artemis'  Force of Nature")</f>
        <v>Artemis'  Force of Nature</v>
      </c>
      <c r="AM329" s="1" t="str">
        <f>IFERROR(__xludf.DUMMYFUNCTION("""COMPUTED_VALUE"""),"The World Tree")</f>
        <v>The World Tree</v>
      </c>
      <c r="AN329" s="1" t="str">
        <f>IFERROR(__xludf.DUMMYFUNCTION("""COMPUTED_VALUE"""),"Entangle")</f>
        <v>Entangle</v>
      </c>
      <c r="AO329" s="1" t="str">
        <f>IFERROR(__xludf.DUMMYFUNCTION("""COMPUTED_VALUE"""),"Call of the Paladin")</f>
        <v>Call of the Paladin</v>
      </c>
      <c r="AP329" s="1" t="str">
        <f>IFERROR(__xludf.DUMMYFUNCTION("""COMPUTED_VALUE"""),"Nature's Light")</f>
        <v>Nature's Light</v>
      </c>
      <c r="AQ329" s="1" t="str">
        <f>IFERROR(__xludf.DUMMYFUNCTION("""COMPUTED_VALUE"""),"Nature's Embrace")</f>
        <v>Nature's Embrace</v>
      </c>
      <c r="AR329" s="1" t="str">
        <f>IFERROR(__xludf.DUMMYFUNCTION("""COMPUTED_VALUE"""),"Barkskin")</f>
        <v>Barkskin</v>
      </c>
      <c r="AS329" s="1" t="str">
        <f>IFERROR(__xludf.DUMMYFUNCTION("""COMPUTED_VALUE"""),"Grace of the Forest")</f>
        <v>Grace of the Forest</v>
      </c>
      <c r="AT329" s="1" t="str">
        <f>IFERROR(__xludf.DUMMYFUNCTION("""COMPUTED_VALUE"""),"Grounds")</f>
        <v>Grounds</v>
      </c>
      <c r="AU329" s="1" t="str">
        <f>IFERROR(__xludf.DUMMYFUNCTION("""COMPUTED_VALUE"""),"Chaincast")</f>
        <v>Chaincast</v>
      </c>
      <c r="AV329" s="1" t="str">
        <f>IFERROR(__xludf.DUMMYFUNCTION("""COMPUTED_VALUE"""),"Multishot")</f>
        <v>Multishot</v>
      </c>
      <c r="AW329" s="1" t="str">
        <f>IFERROR(__xludf.DUMMYFUNCTION("""COMPUTED_VALUE"""),"Mass Destruction")</f>
        <v>Mass Destruction</v>
      </c>
      <c r="AX329" s="1" t="str">
        <f>IFERROR(__xludf.DUMMYFUNCTION("""COMPUTED_VALUE"""),"Tower Of Gods")</f>
        <v>Tower Of Gods</v>
      </c>
      <c r="AY329" s="1" t="str">
        <f>IFERROR(__xludf.DUMMYFUNCTION("""COMPUTED_VALUE"""),"Tower Of The Forest")</f>
        <v>Tower Of The Forest</v>
      </c>
      <c r="AZ329" s="1" t="str">
        <f>IFERROR(__xludf.DUMMYFUNCTION("""COMPUTED_VALUE"""),"Cancel")</f>
        <v>Cancel</v>
      </c>
      <c r="BA329" s="1"/>
      <c r="BB329" s="1"/>
      <c r="BC329" s="1"/>
      <c r="BD329" s="1">
        <f>IFERROR(__xludf.DUMMYFUNCTION("""COMPUTED_VALUE"""),0.0)</f>
        <v>0</v>
      </c>
      <c r="BE329" s="9">
        <f>IFERROR(__xludf.DUMMYFUNCTION("""COMPUTED_VALUE"""),25.0)</f>
        <v>25</v>
      </c>
      <c r="BF329" s="1" t="str">
        <f>IFERROR(__xludf.DUMMYFUNCTION("""COMPUTED_VALUE"""),"Nature's Indifference: (activated on defeat) Aranyani Enters her final form embodying the unfeelingness of Nature and becomes Aranyani, Nature's Wrathful Avatar
Godly 
Artemis'  Unstoppable Force: +10 can be added to this mob's rolls
Items cannot be rem"&amp;"oved from this mob.")</f>
        <v>Nature's Indifference: (activated on defeat) Aranyani Enters her final form embodying the unfeelingness of Nature and becomes Aranyani, Nature's Wrathful Avatar
Godly 
Artemis'  Unstoppable Force: +10 can be added to this mob's rolls
Items cannot be removed from this mob.</v>
      </c>
      <c r="BG329" s="1" t="str">
        <f>IFERROR(__xludf.DUMMYFUNCTION("""COMPUTED_VALUE"""),"Dungeon")</f>
        <v>Dungeon</v>
      </c>
      <c r="BH329" s="1" t="str">
        <f>IFERROR(__xludf.DUMMYFUNCTION("""COMPUTED_VALUE"""),"Land of Spira")</f>
        <v>Land of Spira</v>
      </c>
      <c r="BI329" s="1"/>
      <c r="BJ329" s="1"/>
      <c r="BK329" s="1"/>
      <c r="BL329" s="1" t="b">
        <f>IFERROR(__xludf.DUMMYFUNCTION("""COMPUTED_VALUE"""),FALSE)</f>
        <v>0</v>
      </c>
      <c r="BM329" s="1"/>
      <c r="BN329" s="1"/>
      <c r="BO329" s="1"/>
      <c r="BP329" s="1"/>
      <c r="BQ329" s="1"/>
    </row>
    <row r="330" ht="15.75" customHeight="1">
      <c r="A330" s="1" t="str">
        <f>IFERROR(__xludf.DUMMYFUNCTION("""COMPUTED_VALUE"""),"Artemis, Nature's Wrathful Avatar (Second Phase)")</f>
        <v>Artemis, Nature's Wrathful Avatar (Second Phase)</v>
      </c>
      <c r="B330" s="1">
        <f>IFERROR(__xludf.DUMMYFUNCTION("""COMPUTED_VALUE"""),1.0)</f>
        <v>1</v>
      </c>
      <c r="C330" s="1" t="str">
        <f>IFERROR(__xludf.DUMMYFUNCTION("""COMPUTED_VALUE"""),"The goddess of Nature and the Guardian of the Forests of Spira's second phase, a being of chaos.")</f>
        <v>The goddess of Nature and the Guardian of the Forests of Spira's second phase, a being of chaos.</v>
      </c>
      <c r="D330" s="1" t="str">
        <f>IFERROR(__xludf.DUMMYFUNCTION("""COMPUTED_VALUE"""),"God")</f>
        <v>God</v>
      </c>
      <c r="E330" s="1">
        <f>IFERROR(__xludf.DUMMYFUNCTION("""COMPUTED_VALUE"""),1010.0)</f>
        <v>1010</v>
      </c>
      <c r="F330" s="7">
        <f>IFERROR(__xludf.DUMMYFUNCTION("""COMPUTED_VALUE"""),101010.0)</f>
        <v>101010</v>
      </c>
      <c r="G330" s="1">
        <f>IFERROR(__xludf.DUMMYFUNCTION("""COMPUTED_VALUE"""),651010.0)</f>
        <v>651010</v>
      </c>
      <c r="H330" s="1">
        <f>IFERROR(__xludf.DUMMYFUNCTION("""COMPUTED_VALUE"""),25.0)</f>
        <v>25</v>
      </c>
      <c r="I330" s="1">
        <f>IFERROR(__xludf.DUMMYFUNCTION("""COMPUTED_VALUE"""),0.0)</f>
        <v>0</v>
      </c>
      <c r="J330" s="1">
        <f>IFERROR(__xludf.DUMMYFUNCTION("""COMPUTED_VALUE"""),0.0)</f>
        <v>0</v>
      </c>
      <c r="K330" s="1">
        <f>IFERROR(__xludf.DUMMYFUNCTION("""COMPUTED_VALUE"""),600100.0)</f>
        <v>600100</v>
      </c>
      <c r="L330" s="1">
        <f>IFERROR(__xludf.DUMMYFUNCTION("""COMPUTED_VALUE"""),600100.0)</f>
        <v>600100</v>
      </c>
      <c r="M330" s="1" t="str">
        <f>IFERROR(__xludf.DUMMYFUNCTION("""COMPUTED_VALUE"""),"Water:500, Light:250, Chaos:250, Nature:Immune, Stasis:Immune, Blood:Immune, Celestial:500, Instant Death:Immune, Banishment:Immune, ")</f>
        <v>Water:500, Light:250, Chaos:250, Nature:Immune, Stasis:Immune, Blood:Immune, Celestial:500, Instant Death:Immune, Banishment:Immune, </v>
      </c>
      <c r="N330" s="1" t="str">
        <f>IFERROR(__xludf.DUMMYFUNCTION("""COMPUTED_VALUE"""),"Fire:500, Order:500, Delta:100, ")</f>
        <v>Fire:500, Order:500, Delta:100, </v>
      </c>
      <c r="O330" s="1" t="str">
        <f>IFERROR(__xludf.DUMMYFUNCTION("""COMPUTED_VALUE"""),"Artemis' Crown of The Forest")</f>
        <v>Artemis' Crown of The Forest</v>
      </c>
      <c r="P330" s="1" t="str">
        <f>IFERROR(__xludf.DUMMYFUNCTION("""COMPUTED_VALUE"""),"Artemis' Fang Necklace")</f>
        <v>Artemis' Fang Necklace</v>
      </c>
      <c r="Q330" s="1"/>
      <c r="R330" s="1"/>
      <c r="S330" s="1" t="str">
        <f>IFERROR(__xludf.DUMMYFUNCTION("""COMPUTED_VALUE"""),"Artemis' Divine Quiver")</f>
        <v>Artemis' Divine Quiver</v>
      </c>
      <c r="T330" s="1" t="str">
        <f>IFERROR(__xludf.DUMMYFUNCTION("""COMPUTED_VALUE"""),"Artemis' Toga of Divine Beauty")</f>
        <v>Artemis' Toga of Divine Beauty</v>
      </c>
      <c r="U330" s="1" t="str">
        <f>IFERROR(__xludf.DUMMYFUNCTION("""COMPUTED_VALUE"""),"Artemis' Bracer of The Archer Goddess")</f>
        <v>Artemis' Bracer of The Archer Goddess</v>
      </c>
      <c r="V330" s="1" t="str">
        <f>IFERROR(__xludf.DUMMYFUNCTION("""COMPUTED_VALUE"""),"Artemis' Shield of Divine Grace")</f>
        <v>Artemis' Shield of Divine Grace</v>
      </c>
      <c r="W330" s="1" t="str">
        <f>IFERROR(__xludf.DUMMYFUNCTION("""COMPUTED_VALUE"""),"Artemis' Bow of Divine Wrath")</f>
        <v>Artemis' Bow of Divine Wrath</v>
      </c>
      <c r="X330" s="1" t="str">
        <f>IFERROR(__xludf.DUMMYFUNCTION("""COMPUTED_VALUE"""),"Artemis' Ring")</f>
        <v>Artemis' Ring</v>
      </c>
      <c r="Y330" s="1"/>
      <c r="Z330" s="1"/>
      <c r="AA330" s="1"/>
      <c r="AB330" s="1"/>
      <c r="AC330" s="1"/>
      <c r="AD330" s="1"/>
      <c r="AE330" s="1"/>
      <c r="AF330" s="1"/>
      <c r="AG330" s="1"/>
      <c r="AH330" s="1" t="str">
        <f>IFERROR(__xludf.DUMMYFUNCTION("""COMPUTED_VALUE"""),"Artemis' Leggings of Divine Agility")</f>
        <v>Artemis' Leggings of Divine Agility</v>
      </c>
      <c r="AI330" s="1" t="str">
        <f>IFERROR(__xludf.DUMMYFUNCTION("""COMPUTED_VALUE"""),"Artemis' Sandals of Divine Speed")</f>
        <v>Artemis' Sandals of Divine Speed</v>
      </c>
      <c r="AJ330" s="1" t="str">
        <f>IFERROR(__xludf.DUMMYFUNCTION("""COMPUTED_VALUE"""),"Artemis' Wave")</f>
        <v>Artemis' Wave</v>
      </c>
      <c r="AK330" s="1" t="str">
        <f>IFERROR(__xludf.DUMMYFUNCTION("""COMPUTED_VALUE"""),"Artemis' Godly Grace")</f>
        <v>Artemis' Godly Grace</v>
      </c>
      <c r="AL330" s="1" t="str">
        <f>IFERROR(__xludf.DUMMYFUNCTION("""COMPUTED_VALUE"""),"Artemis'  Force of Nature")</f>
        <v>Artemis'  Force of Nature</v>
      </c>
      <c r="AM330" s="1" t="str">
        <f>IFERROR(__xludf.DUMMYFUNCTION("""COMPUTED_VALUE"""),"World Tree's Unbridled Rage")</f>
        <v>World Tree's Unbridled Rage</v>
      </c>
      <c r="AN330" s="1" t="str">
        <f>IFERROR(__xludf.DUMMYFUNCTION("""COMPUTED_VALUE"""),"The World Tree")</f>
        <v>The World Tree</v>
      </c>
      <c r="AO330" s="1" t="str">
        <f>IFERROR(__xludf.DUMMYFUNCTION("""COMPUTED_VALUE"""),"Entangle")</f>
        <v>Entangle</v>
      </c>
      <c r="AP330" s="1" t="str">
        <f>IFERROR(__xludf.DUMMYFUNCTION("""COMPUTED_VALUE"""),"Call of the Paladin")</f>
        <v>Call of the Paladin</v>
      </c>
      <c r="AQ330" s="1" t="str">
        <f>IFERROR(__xludf.DUMMYFUNCTION("""COMPUTED_VALUE"""),"Nature's Light")</f>
        <v>Nature's Light</v>
      </c>
      <c r="AR330" s="1" t="str">
        <f>IFERROR(__xludf.DUMMYFUNCTION("""COMPUTED_VALUE"""),"Nature's Embrace")</f>
        <v>Nature's Embrace</v>
      </c>
      <c r="AS330" s="1" t="str">
        <f>IFERROR(__xludf.DUMMYFUNCTION("""COMPUTED_VALUE"""),"Barkskin")</f>
        <v>Barkskin</v>
      </c>
      <c r="AT330" s="1" t="str">
        <f>IFERROR(__xludf.DUMMYFUNCTION("""COMPUTED_VALUE"""),"Grace of the Forest")</f>
        <v>Grace of the Forest</v>
      </c>
      <c r="AU330" s="1" t="str">
        <f>IFERROR(__xludf.DUMMYFUNCTION("""COMPUTED_VALUE"""),"Grounds")</f>
        <v>Grounds</v>
      </c>
      <c r="AV330" s="1" t="str">
        <f>IFERROR(__xludf.DUMMYFUNCTION("""COMPUTED_VALUE"""),"Chaincast")</f>
        <v>Chaincast</v>
      </c>
      <c r="AW330" s="1" t="str">
        <f>IFERROR(__xludf.DUMMYFUNCTION("""COMPUTED_VALUE"""),"Multishot")</f>
        <v>Multishot</v>
      </c>
      <c r="AX330" s="1" t="str">
        <f>IFERROR(__xludf.DUMMYFUNCTION("""COMPUTED_VALUE"""),"Mass Destruction")</f>
        <v>Mass Destruction</v>
      </c>
      <c r="AY330" s="1" t="str">
        <f>IFERROR(__xludf.DUMMYFUNCTION("""COMPUTED_VALUE"""),"Tower Of Gods")</f>
        <v>Tower Of Gods</v>
      </c>
      <c r="AZ330" s="1" t="str">
        <f>IFERROR(__xludf.DUMMYFUNCTION("""COMPUTED_VALUE"""),"Tower Of The Forest")</f>
        <v>Tower Of The Forest</v>
      </c>
      <c r="BA330" s="1" t="str">
        <f>IFERROR(__xludf.DUMMYFUNCTION("""COMPUTED_VALUE"""),"Cancel")</f>
        <v>Cancel</v>
      </c>
      <c r="BB330" s="1"/>
      <c r="BC330" s="1"/>
      <c r="BD330" s="1">
        <f>IFERROR(__xludf.DUMMYFUNCTION("""COMPUTED_VALUE"""),0.0)</f>
        <v>0</v>
      </c>
      <c r="BE330" s="9">
        <f>IFERROR(__xludf.DUMMYFUNCTION("""COMPUTED_VALUE"""),25.0)</f>
        <v>25</v>
      </c>
      <c r="BF330" s="1" t="str">
        <f>IFERROR(__xludf.DUMMYFUNCTION("""COMPUTED_VALUE"""),"Godly Authority: Upon being defeated this mob will return to battle with full health and sp (can only be used once)
Artemis' Unstoppable Force: +10 can be added to this mob's rolls
Items cannot be removed from this mob.")</f>
        <v>Godly Authority: Upon being defeated this mob will return to battle with full health and sp (can only be used once)
Artemis' Unstoppable Force: +10 can be added to this mob's rolls
Items cannot be removed from this mob.</v>
      </c>
      <c r="BG330" s="1" t="str">
        <f>IFERROR(__xludf.DUMMYFUNCTION("""COMPUTED_VALUE"""),"Dungeon")</f>
        <v>Dungeon</v>
      </c>
      <c r="BH330" s="1" t="str">
        <f>IFERROR(__xludf.DUMMYFUNCTION("""COMPUTED_VALUE"""),"Land of Spira")</f>
        <v>Land of Spira</v>
      </c>
      <c r="BI330" s="1"/>
      <c r="BJ330" s="1"/>
      <c r="BK330" s="1"/>
      <c r="BL330" s="1" t="b">
        <f>IFERROR(__xludf.DUMMYFUNCTION("""COMPUTED_VALUE"""),FALSE)</f>
        <v>0</v>
      </c>
      <c r="BM330" s="1"/>
      <c r="BN330" s="1"/>
      <c r="BO330" s="1"/>
      <c r="BP330" s="1"/>
      <c r="BQ330" s="1"/>
    </row>
    <row r="331" ht="15.75" customHeight="1">
      <c r="A331" s="1" t="str">
        <f>IFERROR(__xludf.DUMMYFUNCTION("""COMPUTED_VALUE"""),"The Gods' Quiver")</f>
        <v>The Gods' Quiver</v>
      </c>
      <c r="B331" s="1">
        <f>IFERROR(__xludf.DUMMYFUNCTION("""COMPUTED_VALUE"""),1.0)</f>
        <v>1</v>
      </c>
      <c r="C331" s="1" t="str">
        <f>IFERROR(__xludf.DUMMYFUNCTION("""COMPUTED_VALUE"""),"A paladin of Artemis commonly found in shitholes like forest view")</f>
        <v>A paladin of Artemis commonly found in shitholes like forest view</v>
      </c>
      <c r="D331" s="1" t="str">
        <f>IFERROR(__xludf.DUMMYFUNCTION("""COMPUTED_VALUE"""),"Humanoid")</f>
        <v>Humanoid</v>
      </c>
      <c r="E331" s="1">
        <f>IFERROR(__xludf.DUMMYFUNCTION("""COMPUTED_VALUE"""),1010.0)</f>
        <v>1010</v>
      </c>
      <c r="F331" s="7">
        <f>IFERROR(__xludf.DUMMYFUNCTION("""COMPUTED_VALUE"""),51010.0)</f>
        <v>51010</v>
      </c>
      <c r="G331" s="7">
        <f>IFERROR(__xludf.DUMMYFUNCTION("""COMPUTED_VALUE"""),181010.0)</f>
        <v>181010</v>
      </c>
      <c r="H331" s="1">
        <f>IFERROR(__xludf.DUMMYFUNCTION("""COMPUTED_VALUE"""),20.0)</f>
        <v>20</v>
      </c>
      <c r="I331" s="1">
        <f>IFERROR(__xludf.DUMMYFUNCTION("""COMPUTED_VALUE"""),0.0)</f>
        <v>0</v>
      </c>
      <c r="J331" s="1">
        <f>IFERROR(__xludf.DUMMYFUNCTION("""COMPUTED_VALUE"""),0.0)</f>
        <v>0</v>
      </c>
      <c r="K331" s="1">
        <f>IFERROR(__xludf.DUMMYFUNCTION("""COMPUTED_VALUE"""),100.0)</f>
        <v>100</v>
      </c>
      <c r="L331" s="1">
        <f>IFERROR(__xludf.DUMMYFUNCTION("""COMPUTED_VALUE"""),100.0)</f>
        <v>100</v>
      </c>
      <c r="M331" s="1" t="str">
        <f>IFERROR(__xludf.DUMMYFUNCTION("""COMPUTED_VALUE"""),"Water:100, Light:100, Chaos:100, Nature:Immune, Stasis:Immune, Celestial:100, ")</f>
        <v>Water:100, Light:100, Chaos:100, Nature:Immune, Stasis:Immune, Celestial:100, </v>
      </c>
      <c r="N331" s="1" t="str">
        <f>IFERROR(__xludf.DUMMYFUNCTION("""COMPUTED_VALUE"""),"Fire:500, Order:500, Delta:100, ")</f>
        <v>Fire:500, Order:500, Delta:100, </v>
      </c>
      <c r="O331" s="1" t="str">
        <f>IFERROR(__xludf.DUMMYFUNCTION("""COMPUTED_VALUE"""),"Cowl of the Eagle's Sight")</f>
        <v>Cowl of the Eagle's Sight</v>
      </c>
      <c r="P331" s="1" t="str">
        <f>IFERROR(__xludf.DUMMYFUNCTION("""COMPUTED_VALUE"""),"Emerald Amulet of The Forest")</f>
        <v>Emerald Amulet of The Forest</v>
      </c>
      <c r="Q331" s="1"/>
      <c r="R331" s="1"/>
      <c r="S331" s="1" t="str">
        <f>IFERROR(__xludf.DUMMYFUNCTION("""COMPUTED_VALUE"""),"Ailettes of the Forest's Splendor")</f>
        <v>Ailettes of the Forest's Splendor</v>
      </c>
      <c r="T331" s="1" t="str">
        <f>IFERROR(__xludf.DUMMYFUNCTION("""COMPUTED_VALUE"""),"Leather Cuirass of Barkskin")</f>
        <v>Leather Cuirass of Barkskin</v>
      </c>
      <c r="U331" s="1" t="str">
        <f>IFERROR(__xludf.DUMMYFUNCTION("""COMPUTED_VALUE"""),"Bracer of Trueshot")</f>
        <v>Bracer of Trueshot</v>
      </c>
      <c r="V331" s="1" t="str">
        <f>IFERROR(__xludf.DUMMYFUNCTION("""COMPUTED_VALUE"""),"Enchanted Wooden Buckler of The Verdant Forest")</f>
        <v>Enchanted Wooden Buckler of The Verdant Forest</v>
      </c>
      <c r="W331" s="1" t="str">
        <f>IFERROR(__xludf.DUMMYFUNCTION("""COMPUTED_VALUE"""),"The Bow of The Verdant Forest")</f>
        <v>The Bow of The Verdant Forest</v>
      </c>
      <c r="X331" s="1" t="str">
        <f>IFERROR(__xludf.DUMMYFUNCTION("""COMPUTED_VALUE"""),"Emerald Ring of The Forest")</f>
        <v>Emerald Ring of The Forest</v>
      </c>
      <c r="Y331" s="1" t="str">
        <f>IFERROR(__xludf.DUMMYFUNCTION("""COMPUTED_VALUE"""),"Ring o’ Luck and Nature")</f>
        <v>Ring o’ Luck and Nature</v>
      </c>
      <c r="Z331" s="1"/>
      <c r="AA331" s="1"/>
      <c r="AB331" s="1"/>
      <c r="AC331" s="1"/>
      <c r="AD331" s="1"/>
      <c r="AE331" s="1"/>
      <c r="AF331" s="1"/>
      <c r="AG331" s="1"/>
      <c r="AH331" s="1" t="str">
        <f>IFERROR(__xludf.DUMMYFUNCTION("""COMPUTED_VALUE"""),"Greaves of The Verdant Forest")</f>
        <v>Greaves of The Verdant Forest</v>
      </c>
      <c r="AI331" s="1" t="str">
        <f>IFERROR(__xludf.DUMMYFUNCTION("""COMPUTED_VALUE"""),"Boots of The Verdant Forest")</f>
        <v>Boots of The Verdant Forest</v>
      </c>
      <c r="AJ331" s="1" t="str">
        <f>IFERROR(__xludf.DUMMYFUNCTION("""COMPUTED_VALUE"""),"Entangle")</f>
        <v>Entangle</v>
      </c>
      <c r="AK331" s="1" t="str">
        <f>IFERROR(__xludf.DUMMYFUNCTION("""COMPUTED_VALUE"""),"Nature's Light")</f>
        <v>Nature's Light</v>
      </c>
      <c r="AL331" s="1" t="str">
        <f>IFERROR(__xludf.DUMMYFUNCTION("""COMPUTED_VALUE"""),"Barkskin")</f>
        <v>Barkskin</v>
      </c>
      <c r="AM331" s="1" t="str">
        <f>IFERROR(__xludf.DUMMYFUNCTION("""COMPUTED_VALUE"""),"Grace of the Forest")</f>
        <v>Grace of the Forest</v>
      </c>
      <c r="AN331" s="1" t="str">
        <f>IFERROR(__xludf.DUMMYFUNCTION("""COMPUTED_VALUE"""),"Multishot")</f>
        <v>Multishot</v>
      </c>
      <c r="AO331" s="1" t="str">
        <f>IFERROR(__xludf.DUMMYFUNCTION("""COMPUTED_VALUE"""),"Tower Of The Forest")</f>
        <v>Tower Of The Forest</v>
      </c>
      <c r="AP331" s="1" t="str">
        <f>IFERROR(__xludf.DUMMYFUNCTION("""COMPUTED_VALUE"""),"Berserk")</f>
        <v>Berserk</v>
      </c>
      <c r="AQ331" s="1" t="str">
        <f>IFERROR(__xludf.DUMMYFUNCTION("""COMPUTED_VALUE"""),"Thousand Arrows")</f>
        <v>Thousand Arrows</v>
      </c>
      <c r="AR331" s="1" t="str">
        <f>IFERROR(__xludf.DUMMYFUNCTION("""COMPUTED_VALUE"""),"Pinning shot")</f>
        <v>Pinning shot</v>
      </c>
      <c r="AS331" s="1" t="str">
        <f>IFERROR(__xludf.DUMMYFUNCTION("""COMPUTED_VALUE"""),"Good shot")</f>
        <v>Good shot</v>
      </c>
      <c r="AT331" s="1" t="str">
        <f>IFERROR(__xludf.DUMMYFUNCTION("""COMPUTED_VALUE"""),"Bullseye")</f>
        <v>Bullseye</v>
      </c>
      <c r="AU331" s="1" t="str">
        <f>IFERROR(__xludf.DUMMYFUNCTION("""COMPUTED_VALUE"""),"[Element] Shot")</f>
        <v>[Element] Shot</v>
      </c>
      <c r="AV331" s="1" t="str">
        <f>IFERROR(__xludf.DUMMYFUNCTION("""COMPUTED_VALUE"""),"Cancel")</f>
        <v>Cancel</v>
      </c>
      <c r="AW331" s="1" t="str">
        <f>IFERROR(__xludf.DUMMYFUNCTION("""COMPUTED_VALUE"""),"Arrest")</f>
        <v>Arrest</v>
      </c>
      <c r="AX331" s="1"/>
      <c r="AY331" s="1"/>
      <c r="AZ331" s="1"/>
      <c r="BA331" s="1"/>
      <c r="BB331" s="1"/>
      <c r="BC331" s="1"/>
      <c r="BD331" s="1">
        <f>IFERROR(__xludf.DUMMYFUNCTION("""COMPUTED_VALUE"""),0.0)</f>
        <v>0</v>
      </c>
      <c r="BE331" s="9">
        <f>IFERROR(__xludf.DUMMYFUNCTION("""COMPUTED_VALUE"""),15.0)</f>
        <v>15</v>
      </c>
      <c r="BF331" s="1" t="str">
        <f>IFERROR(__xludf.DUMMYFUNCTION("""COMPUTED_VALUE"""),"Aranyani's Blessing I: +5 can be added to this mob's rolls.
This mob can roll 2d20 to flee battle
Artemis'  Nature: When in any sort of natural environment you act under the effects of Haste 
Paladin of The Forest: X4 Nature Damage, and Bow damage, and"&amp;" positive status affects are guaranteed to succeed.
Items cannot be removed from this mob.")</f>
        <v>Aranyani's Blessing I: +5 can be added to this mob's rolls.
This mob can roll 2d20 to flee battle
Artemis'  Nature: When in any sort of natural environment you act under the effects of Haste 
Paladin of The Forest: X4 Nature Damage, and Bow damage, and positive status affects are guaranteed to succeed.
Items cannot be removed from this mob.</v>
      </c>
      <c r="BG331" s="1" t="str">
        <f>IFERROR(__xludf.DUMMYFUNCTION("""COMPUTED_VALUE"""),"Forest")</f>
        <v>Forest</v>
      </c>
      <c r="BH331" s="1" t="str">
        <f>IFERROR(__xludf.DUMMYFUNCTION("""COMPUTED_VALUE"""),"Land of Spira")</f>
        <v>Land of Spira</v>
      </c>
      <c r="BI331" s="1"/>
      <c r="BJ331" s="1"/>
      <c r="BK331" s="1"/>
      <c r="BL331" s="1" t="b">
        <f>IFERROR(__xludf.DUMMYFUNCTION("""COMPUTED_VALUE"""),FALSE)</f>
        <v>0</v>
      </c>
      <c r="BM331" s="1"/>
      <c r="BN331" s="1"/>
      <c r="BO331" s="1"/>
      <c r="BP331" s="1"/>
      <c r="BQ331" s="1"/>
    </row>
    <row r="332" ht="15.75" customHeight="1">
      <c r="A332" s="1" t="str">
        <f>IFERROR(__xludf.DUMMYFUNCTION("""COMPUTED_VALUE"""),"The Forged Ones")</f>
        <v>The Forged Ones</v>
      </c>
      <c r="B332" s="1">
        <f>IFERROR(__xludf.DUMMYFUNCTION("""COMPUTED_VALUE"""),1.0)</f>
        <v>1</v>
      </c>
      <c r="C332" s="1" t="str">
        <f>IFERROR(__xludf.DUMMYFUNCTION("""COMPUTED_VALUE"""),"A mechanical paladin of Hephaestus.")</f>
        <v>A mechanical paladin of Hephaestus.</v>
      </c>
      <c r="D332" s="1" t="str">
        <f>IFERROR(__xludf.DUMMYFUNCTION("""COMPUTED_VALUE"""),"Humanoid")</f>
        <v>Humanoid</v>
      </c>
      <c r="E332" s="1">
        <f>IFERROR(__xludf.DUMMYFUNCTION("""COMPUTED_VALUE"""),1010.0)</f>
        <v>1010</v>
      </c>
      <c r="F332" s="7">
        <f>IFERROR(__xludf.DUMMYFUNCTION("""COMPUTED_VALUE"""),51010.0)</f>
        <v>51010</v>
      </c>
      <c r="G332" s="1">
        <f>IFERROR(__xludf.DUMMYFUNCTION("""COMPUTED_VALUE"""),261010.0)</f>
        <v>261010</v>
      </c>
      <c r="H332" s="1">
        <f>IFERROR(__xludf.DUMMYFUNCTION("""COMPUTED_VALUE"""),15.0)</f>
        <v>15</v>
      </c>
      <c r="I332" s="1">
        <f>IFERROR(__xludf.DUMMYFUNCTION("""COMPUTED_VALUE"""),0.0)</f>
        <v>0</v>
      </c>
      <c r="J332" s="1">
        <f>IFERROR(__xludf.DUMMYFUNCTION("""COMPUTED_VALUE"""),0.0)</f>
        <v>0</v>
      </c>
      <c r="K332" s="1">
        <f>IFERROR(__xludf.DUMMYFUNCTION("""COMPUTED_VALUE"""),100.0)</f>
        <v>100</v>
      </c>
      <c r="L332" s="1">
        <f>IFERROR(__xludf.DUMMYFUNCTION("""COMPUTED_VALUE"""),100.0)</f>
        <v>100</v>
      </c>
      <c r="M332" s="1" t="str">
        <f>IFERROR(__xludf.DUMMYFUNCTION("""COMPUTED_VALUE"""),"Fire:Immune, Order:250, Chaos:250, Celestial:100, Instant Death:Immune, ")</f>
        <v>Fire:Immune, Order:250, Chaos:250, Celestial:100, Instant Death:Immune, </v>
      </c>
      <c r="N332" s="1" t="str">
        <f>IFERROR(__xludf.DUMMYFUNCTION("""COMPUTED_VALUE"""),"Water:500, ")</f>
        <v>Water:500, </v>
      </c>
      <c r="O332" s="1" t="str">
        <f>IFERROR(__xludf.DUMMYFUNCTION("""COMPUTED_VALUE"""),"Forged Paladin's Helm")</f>
        <v>Forged Paladin's Helm</v>
      </c>
      <c r="P332" s="1" t="str">
        <f>IFERROR(__xludf.DUMMYFUNCTION("""COMPUTED_VALUE"""),"Scrap Gorget")</f>
        <v>Scrap Gorget</v>
      </c>
      <c r="Q332" s="1"/>
      <c r="R332" s="1"/>
      <c r="S332" s="1" t="str">
        <f>IFERROR(__xludf.DUMMYFUNCTION("""COMPUTED_VALUE"""),"Forged Paladin's Pauldrons")</f>
        <v>Forged Paladin's Pauldrons</v>
      </c>
      <c r="T332" s="1" t="str">
        <f>IFERROR(__xludf.DUMMYFUNCTION("""COMPUTED_VALUE"""),"Forged Paladin's Plate")</f>
        <v>Forged Paladin's Plate</v>
      </c>
      <c r="U332" s="1" t="str">
        <f>IFERROR(__xludf.DUMMYFUNCTION("""COMPUTED_VALUE"""),"Forged Paladin's Vambraces")</f>
        <v>Forged Paladin's Vambraces</v>
      </c>
      <c r="V332" s="1" t="str">
        <f>IFERROR(__xludf.DUMMYFUNCTION("""COMPUTED_VALUE"""),"Forged Towershield")</f>
        <v>Forged Towershield</v>
      </c>
      <c r="W332" s="1" t="str">
        <f>IFERROR(__xludf.DUMMYFUNCTION("""COMPUTED_VALUE"""),"Forged Firearm")</f>
        <v>Forged Firearm</v>
      </c>
      <c r="X332" s="1" t="str">
        <f>IFERROR(__xludf.DUMMYFUNCTION("""COMPUTED_VALUE"""),"Scrap Ring")</f>
        <v>Scrap Ring</v>
      </c>
      <c r="Y332" s="1"/>
      <c r="Z332" s="1"/>
      <c r="AA332" s="1"/>
      <c r="AB332" s="1"/>
      <c r="AC332" s="1"/>
      <c r="AD332" s="1"/>
      <c r="AE332" s="1"/>
      <c r="AF332" s="1"/>
      <c r="AG332" s="1"/>
      <c r="AH332" s="1" t="str">
        <f>IFERROR(__xludf.DUMMYFUNCTION("""COMPUTED_VALUE"""),"Forged Leg guard")</f>
        <v>Forged Leg guard</v>
      </c>
      <c r="AI332" s="1" t="str">
        <f>IFERROR(__xludf.DUMMYFUNCTION("""COMPUTED_VALUE"""),"Forged Sabatons")</f>
        <v>Forged Sabatons</v>
      </c>
      <c r="AJ332" s="1" t="str">
        <f>IFERROR(__xludf.DUMMYFUNCTION("""COMPUTED_VALUE"""),"Recharge")</f>
        <v>Recharge</v>
      </c>
      <c r="AK332" s="1" t="str">
        <f>IFERROR(__xludf.DUMMYFUNCTION("""COMPUTED_VALUE"""),"Cooldown")</f>
        <v>Cooldown</v>
      </c>
      <c r="AL332" s="1" t="str">
        <f>IFERROR(__xludf.DUMMYFUNCTION("""COMPUTED_VALUE"""),"Overcharge")</f>
        <v>Overcharge</v>
      </c>
      <c r="AM332" s="1" t="str">
        <f>IFERROR(__xludf.DUMMYFUNCTION("""COMPUTED_VALUE"""),"Forged in Fire")</f>
        <v>Forged in Fire</v>
      </c>
      <c r="AN332" s="1" t="str">
        <f>IFERROR(__xludf.DUMMYFUNCTION("""COMPUTED_VALUE"""),"Flame Thrower")</f>
        <v>Flame Thrower</v>
      </c>
      <c r="AO332" s="1" t="str">
        <f>IFERROR(__xludf.DUMMYFUNCTION("""COMPUTED_VALUE"""),"Divine Flame Cloak")</f>
        <v>Divine Flame Cloak</v>
      </c>
      <c r="AP332" s="1" t="str">
        <f>IFERROR(__xludf.DUMMYFUNCTION("""COMPUTED_VALUE"""),"Meteor Shower")</f>
        <v>Meteor Shower</v>
      </c>
      <c r="AQ332" s="1" t="str">
        <f>IFERROR(__xludf.DUMMYFUNCTION("""COMPUTED_VALUE"""),"Flame Sanctuary")</f>
        <v>Flame Sanctuary</v>
      </c>
      <c r="AR332" s="1" t="str">
        <f>IFERROR(__xludf.DUMMYFUNCTION("""COMPUTED_VALUE"""),"[Element] Shot")</f>
        <v>[Element] Shot</v>
      </c>
      <c r="AS332" s="1" t="str">
        <f>IFERROR(__xludf.DUMMYFUNCTION("""COMPUTED_VALUE"""),"Accuracy Boost")</f>
        <v>Accuracy Boost</v>
      </c>
      <c r="AT332" s="1" t="str">
        <f>IFERROR(__xludf.DUMMYFUNCTION("""COMPUTED_VALUE"""),"Bullseye")</f>
        <v>Bullseye</v>
      </c>
      <c r="AU332" s="1" t="str">
        <f>IFERROR(__xludf.DUMMYFUNCTION("""COMPUTED_VALUE"""),"Good shot")</f>
        <v>Good shot</v>
      </c>
      <c r="AV332" s="1" t="str">
        <f>IFERROR(__xludf.DUMMYFUNCTION("""COMPUTED_VALUE"""),"Multishot")</f>
        <v>Multishot</v>
      </c>
      <c r="AW332" s="1" t="str">
        <f>IFERROR(__xludf.DUMMYFUNCTION("""COMPUTED_VALUE"""),"Tower Of Stasis")</f>
        <v>Tower Of Stasis</v>
      </c>
      <c r="AX332" s="1" t="str">
        <f>IFERROR(__xludf.DUMMYFUNCTION("""COMPUTED_VALUE"""),"Cancel")</f>
        <v>Cancel</v>
      </c>
      <c r="AY332" s="1" t="str">
        <f>IFERROR(__xludf.DUMMYFUNCTION("""COMPUTED_VALUE"""),"Arrest")</f>
        <v>Arrest</v>
      </c>
      <c r="AZ332" s="1"/>
      <c r="BA332" s="1"/>
      <c r="BB332" s="1"/>
      <c r="BC332" s="1"/>
      <c r="BD332" s="1">
        <f>IFERROR(__xludf.DUMMYFUNCTION("""COMPUTED_VALUE"""),0.0)</f>
        <v>0</v>
      </c>
      <c r="BE332" s="9">
        <f>IFERROR(__xludf.DUMMYFUNCTION("""COMPUTED_VALUE"""),15.0)</f>
        <v>15</v>
      </c>
      <c r="BF332" s="1" t="str">
        <f>IFERROR(__xludf.DUMMYFUNCTION("""COMPUTED_VALUE"""),"Hephaestus' Blessing I: +5 can be added to this mob's rolls
Hephaestus'  Nature: When Attacking with a firearm You have a 25% chance to deal the damage dealt twice
Paladin of The Forge: X4 Fire Damage and X4 damage dealt by Firearms
Items cannot be rem"&amp;"oved from this mob.
Immune to Freezing.")</f>
        <v>Hephaestus' Blessing I: +5 can be added to this mob's rolls
Hephaestus'  Nature: When Attacking with a firearm You have a 25% chance to deal the damage dealt twice
Paladin of The Forge: X4 Fire Damage and X4 damage dealt by Firearms
Items cannot be removed from this mob.
Immune to Freezing.</v>
      </c>
      <c r="BG332" s="1" t="str">
        <f>IFERROR(__xludf.DUMMYFUNCTION("""COMPUTED_VALUE"""),"Mountain")</f>
        <v>Mountain</v>
      </c>
      <c r="BH332" s="1" t="str">
        <f>IFERROR(__xludf.DUMMYFUNCTION("""COMPUTED_VALUE"""),"Land of Spira")</f>
        <v>Land of Spira</v>
      </c>
      <c r="BI332" s="1"/>
      <c r="BJ332" s="1"/>
      <c r="BK332" s="1"/>
      <c r="BL332" s="1" t="b">
        <f>IFERROR(__xludf.DUMMYFUNCTION("""COMPUTED_VALUE"""),FALSE)</f>
        <v>0</v>
      </c>
      <c r="BM332" s="1"/>
      <c r="BN332" s="1"/>
      <c r="BO332" s="1"/>
      <c r="BP332" s="1"/>
      <c r="BQ332" s="1"/>
    </row>
    <row r="333" ht="15.75" customHeight="1">
      <c r="A333" s="1" t="str">
        <f>IFERROR(__xludf.DUMMYFUNCTION("""COMPUTED_VALUE"""),"Jenos, Head Paladin of Artemis")</f>
        <v>Jenos, Head Paladin of Artemis</v>
      </c>
      <c r="B333" s="1">
        <f>IFERROR(__xludf.DUMMYFUNCTION("""COMPUTED_VALUE"""),1.0)</f>
        <v>1</v>
      </c>
      <c r="C333" s="1" t="str">
        <f>IFERROR(__xludf.DUMMYFUNCTION("""COMPUTED_VALUE"""),"A sacrifice offered to the goddess of Nature before beign taken under her wing.")</f>
        <v>A sacrifice offered to the goddess of Nature before beign taken under her wing.</v>
      </c>
      <c r="D333" s="1" t="str">
        <f>IFERROR(__xludf.DUMMYFUNCTION("""COMPUTED_VALUE"""),"Heavenly")</f>
        <v>Heavenly</v>
      </c>
      <c r="E333" s="1">
        <f>IFERROR(__xludf.DUMMYFUNCTION("""COMPUTED_VALUE"""),1010.0)</f>
        <v>1010</v>
      </c>
      <c r="F333" s="7">
        <f>IFERROR(__xludf.DUMMYFUNCTION("""COMPUTED_VALUE"""),51010.0)</f>
        <v>51010</v>
      </c>
      <c r="G333" s="7">
        <f>IFERROR(__xludf.DUMMYFUNCTION("""COMPUTED_VALUE"""),181010.0)</f>
        <v>181010</v>
      </c>
      <c r="H333" s="1">
        <f>IFERROR(__xludf.DUMMYFUNCTION("""COMPUTED_VALUE"""),30.0)</f>
        <v>30</v>
      </c>
      <c r="I333" s="1">
        <f>IFERROR(__xludf.DUMMYFUNCTION("""COMPUTED_VALUE"""),0.0)</f>
        <v>0</v>
      </c>
      <c r="J333" s="1">
        <f>IFERROR(__xludf.DUMMYFUNCTION("""COMPUTED_VALUE"""),0.0)</f>
        <v>0</v>
      </c>
      <c r="K333" s="1">
        <f>IFERROR(__xludf.DUMMYFUNCTION("""COMPUTED_VALUE"""),100.0)</f>
        <v>100</v>
      </c>
      <c r="L333" s="1">
        <f>IFERROR(__xludf.DUMMYFUNCTION("""COMPUTED_VALUE"""),100.0)</f>
        <v>100</v>
      </c>
      <c r="M333" s="1" t="str">
        <f>IFERROR(__xludf.DUMMYFUNCTION("""COMPUTED_VALUE"""),"Water:250, Light:250, Chaos:250, Nature:Immune, Celestial:250, Instant Death:Immune, Banishment:Immune, ")</f>
        <v>Water:250, Light:250, Chaos:250, Nature:Immune, Celestial:250, Instant Death:Immune, Banishment:Immune, </v>
      </c>
      <c r="N333" s="1" t="str">
        <f>IFERROR(__xludf.DUMMYFUNCTION("""COMPUTED_VALUE"""),"Fire:500, Order:500, Delta:100, ")</f>
        <v>Fire:500, Order:500, Delta:100, </v>
      </c>
      <c r="O333" s="1" t="str">
        <f>IFERROR(__xludf.DUMMYFUNCTION("""COMPUTED_VALUE"""),"Cowl of the Eagle's Sight")</f>
        <v>Cowl of the Eagle's Sight</v>
      </c>
      <c r="P333" s="1" t="str">
        <f>IFERROR(__xludf.DUMMYFUNCTION("""COMPUTED_VALUE"""),"Emerald Amulet of The Forest")</f>
        <v>Emerald Amulet of The Forest</v>
      </c>
      <c r="Q333" s="1"/>
      <c r="R333" s="1"/>
      <c r="S333" s="1" t="str">
        <f>IFERROR(__xludf.DUMMYFUNCTION("""COMPUTED_VALUE"""),"Ailettes of the Forest's Splendor")</f>
        <v>Ailettes of the Forest's Splendor</v>
      </c>
      <c r="T333" s="1" t="str">
        <f>IFERROR(__xludf.DUMMYFUNCTION("""COMPUTED_VALUE"""),"Leather Cuirass of Barkskin")</f>
        <v>Leather Cuirass of Barkskin</v>
      </c>
      <c r="U333" s="1" t="str">
        <f>IFERROR(__xludf.DUMMYFUNCTION("""COMPUTED_VALUE"""),"Bracer of Trueshot")</f>
        <v>Bracer of Trueshot</v>
      </c>
      <c r="V333" s="1" t="str">
        <f>IFERROR(__xludf.DUMMYFUNCTION("""COMPUTED_VALUE"""),"Enchanted Wooden Buckler of The Verdant Forest")</f>
        <v>Enchanted Wooden Buckler of The Verdant Forest</v>
      </c>
      <c r="W333" s="1" t="str">
        <f>IFERROR(__xludf.DUMMYFUNCTION("""COMPUTED_VALUE"""),"The Bow of The Verdant Forest")</f>
        <v>The Bow of The Verdant Forest</v>
      </c>
      <c r="X333" s="1" t="str">
        <f>IFERROR(__xludf.DUMMYFUNCTION("""COMPUTED_VALUE"""),"Emerald Ring of The Forest")</f>
        <v>Emerald Ring of The Forest</v>
      </c>
      <c r="Y333" s="1" t="str">
        <f>IFERROR(__xludf.DUMMYFUNCTION("""COMPUTED_VALUE"""),"Ring o’ Luck and Nature")</f>
        <v>Ring o’ Luck and Nature</v>
      </c>
      <c r="Z333" s="1"/>
      <c r="AA333" s="1"/>
      <c r="AB333" s="1"/>
      <c r="AC333" s="1"/>
      <c r="AD333" s="1"/>
      <c r="AE333" s="1"/>
      <c r="AF333" s="1"/>
      <c r="AG333" s="1"/>
      <c r="AH333" s="1" t="str">
        <f>IFERROR(__xludf.DUMMYFUNCTION("""COMPUTED_VALUE"""),"Greaves of The Verdant Forest")</f>
        <v>Greaves of The Verdant Forest</v>
      </c>
      <c r="AI333" s="1" t="str">
        <f>IFERROR(__xludf.DUMMYFUNCTION("""COMPUTED_VALUE"""),"Boots of The Verdant Forest")</f>
        <v>Boots of The Verdant Forest</v>
      </c>
      <c r="AJ333" s="1" t="str">
        <f>IFERROR(__xludf.DUMMYFUNCTION("""COMPUTED_VALUE"""),"Entangle")</f>
        <v>Entangle</v>
      </c>
      <c r="AK333" s="1" t="str">
        <f>IFERROR(__xludf.DUMMYFUNCTION("""COMPUTED_VALUE"""),"Nature's Light")</f>
        <v>Nature's Light</v>
      </c>
      <c r="AL333" s="1" t="str">
        <f>IFERROR(__xludf.DUMMYFUNCTION("""COMPUTED_VALUE"""),"Barkskin")</f>
        <v>Barkskin</v>
      </c>
      <c r="AM333" s="1" t="str">
        <f>IFERROR(__xludf.DUMMYFUNCTION("""COMPUTED_VALUE"""),"Grace of the Forest")</f>
        <v>Grace of the Forest</v>
      </c>
      <c r="AN333" s="1" t="str">
        <f>IFERROR(__xludf.DUMMYFUNCTION("""COMPUTED_VALUE"""),"Multishot")</f>
        <v>Multishot</v>
      </c>
      <c r="AO333" s="1" t="str">
        <f>IFERROR(__xludf.DUMMYFUNCTION("""COMPUTED_VALUE"""),"Tower Of The Forest")</f>
        <v>Tower Of The Forest</v>
      </c>
      <c r="AP333" s="1" t="str">
        <f>IFERROR(__xludf.DUMMYFUNCTION("""COMPUTED_VALUE"""),"Berserk")</f>
        <v>Berserk</v>
      </c>
      <c r="AQ333" s="1" t="str">
        <f>IFERROR(__xludf.DUMMYFUNCTION("""COMPUTED_VALUE"""),"Thousand Arrows")</f>
        <v>Thousand Arrows</v>
      </c>
      <c r="AR333" s="1" t="str">
        <f>IFERROR(__xludf.DUMMYFUNCTION("""COMPUTED_VALUE"""),"Pinning shot")</f>
        <v>Pinning shot</v>
      </c>
      <c r="AS333" s="1" t="str">
        <f>IFERROR(__xludf.DUMMYFUNCTION("""COMPUTED_VALUE"""),"Good shot")</f>
        <v>Good shot</v>
      </c>
      <c r="AT333" s="1" t="str">
        <f>IFERROR(__xludf.DUMMYFUNCTION("""COMPUTED_VALUE"""),"Bullseye")</f>
        <v>Bullseye</v>
      </c>
      <c r="AU333" s="1" t="str">
        <f>IFERROR(__xludf.DUMMYFUNCTION("""COMPUTED_VALUE"""),"[Element] Shot")</f>
        <v>[Element] Shot</v>
      </c>
      <c r="AV333" s="1" t="str">
        <f>IFERROR(__xludf.DUMMYFUNCTION("""COMPUTED_VALUE"""),"Lock On")</f>
        <v>Lock On</v>
      </c>
      <c r="AW333" s="1" t="str">
        <f>IFERROR(__xludf.DUMMYFUNCTION("""COMPUTED_VALUE"""),"Archer’s Wrath")</f>
        <v>Archer’s Wrath</v>
      </c>
      <c r="AX333" s="1" t="str">
        <f>IFERROR(__xludf.DUMMYFUNCTION("""COMPUTED_VALUE"""),"Mass Destruction")</f>
        <v>Mass Destruction</v>
      </c>
      <c r="AY333" s="1" t="str">
        <f>IFERROR(__xludf.DUMMYFUNCTION("""COMPUTED_VALUE"""),"Cancel")</f>
        <v>Cancel</v>
      </c>
      <c r="AZ333" s="1" t="str">
        <f>IFERROR(__xludf.DUMMYFUNCTION("""COMPUTED_VALUE"""),"Arrest")</f>
        <v>Arrest</v>
      </c>
      <c r="BA333" s="1"/>
      <c r="BB333" s="1"/>
      <c r="BC333" s="1"/>
      <c r="BD333" s="1">
        <f>IFERROR(__xludf.DUMMYFUNCTION("""COMPUTED_VALUE"""),0.0)</f>
        <v>0</v>
      </c>
      <c r="BE333" s="9">
        <f>IFERROR(__xludf.DUMMYFUNCTION("""COMPUTED_VALUE"""),20.0)</f>
        <v>20</v>
      </c>
      <c r="BF333" s="1" t="str">
        <f>IFERROR(__xludf.DUMMYFUNCTION("""COMPUTED_VALUE"""),"Aranyani's Blessing II: +10 can be added to this mob's rolls
This mob can roll 2d20 to flee battle
Artemis'  Nature: When in any sort of natural environment you act under the effects of Haste 
Paladin of The Forest: X4 Nature Damage, and Bow damage, an"&amp;"d positive status affects are guaranteed to succeed.
Items cannot be removed from this mob.")</f>
        <v>Aranyani's Blessing II: +10 can be added to this mob's rolls
This mob can roll 2d20 to flee battle
Artemis'  Nature: When in any sort of natural environment you act under the effects of Haste 
Paladin of The Forest: X4 Nature Damage, and Bow damage, and positive status affects are guaranteed to succeed.
Items cannot be removed from this mob.</v>
      </c>
      <c r="BG333" s="1" t="str">
        <f>IFERROR(__xludf.DUMMYFUNCTION("""COMPUTED_VALUE"""),"Dungeon")</f>
        <v>Dungeon</v>
      </c>
      <c r="BH333" s="1" t="str">
        <f>IFERROR(__xludf.DUMMYFUNCTION("""COMPUTED_VALUE"""),"Land of Spira")</f>
        <v>Land of Spira</v>
      </c>
      <c r="BI333" s="1"/>
      <c r="BJ333" s="1"/>
      <c r="BK333" s="1"/>
      <c r="BL333" s="1" t="b">
        <f>IFERROR(__xludf.DUMMYFUNCTION("""COMPUTED_VALUE"""),FALSE)</f>
        <v>0</v>
      </c>
      <c r="BM333" s="1"/>
      <c r="BN333" s="1"/>
      <c r="BO333" s="1"/>
      <c r="BP333" s="1"/>
      <c r="BQ333" s="1"/>
    </row>
    <row r="334" ht="15.75" customHeight="1">
      <c r="A334" s="1" t="str">
        <f>IFERROR(__xludf.DUMMYFUNCTION("""COMPUTED_VALUE"""),"Trap: Pendulum")</f>
        <v>Trap: Pendulum</v>
      </c>
      <c r="B334" s="1">
        <f>IFERROR(__xludf.DUMMYFUNCTION("""COMPUTED_VALUE"""),1.0)</f>
        <v>1</v>
      </c>
      <c r="C334" s="1" t="str">
        <f>IFERROR(__xludf.DUMMYFUNCTION("""COMPUTED_VALUE"""),"A huge, curved blade mounted on a pendulum.")</f>
        <v>A huge, curved blade mounted on a pendulum.</v>
      </c>
      <c r="D334" s="1" t="str">
        <f>IFERROR(__xludf.DUMMYFUNCTION("""COMPUTED_VALUE"""),"Trap/Puzzle")</f>
        <v>Trap/Puzzle</v>
      </c>
      <c r="E334" s="1">
        <f>IFERROR(__xludf.DUMMYFUNCTION("""COMPUTED_VALUE"""),15010.0)</f>
        <v>15010</v>
      </c>
      <c r="F334" s="7">
        <f>IFERROR(__xludf.DUMMYFUNCTION("""COMPUTED_VALUE"""),1010.0)</f>
        <v>1010</v>
      </c>
      <c r="G334" s="1">
        <f>IFERROR(__xludf.DUMMYFUNCTION("""COMPUTED_VALUE"""),1010.0)</f>
        <v>1010</v>
      </c>
      <c r="H334" s="1">
        <f>IFERROR(__xludf.DUMMYFUNCTION("""COMPUTED_VALUE"""),10.0)</f>
        <v>10</v>
      </c>
      <c r="I334" s="1">
        <f>IFERROR(__xludf.DUMMYFUNCTION("""COMPUTED_VALUE"""),0.0)</f>
        <v>0</v>
      </c>
      <c r="J334" s="1">
        <f>IFERROR(__xludf.DUMMYFUNCTION("""COMPUTED_VALUE"""),0.0)</f>
        <v>0</v>
      </c>
      <c r="K334" s="1">
        <f>IFERROR(__xludf.DUMMYFUNCTION("""COMPUTED_VALUE"""),100.0)</f>
        <v>100</v>
      </c>
      <c r="L334" s="1">
        <f>IFERROR(__xludf.DUMMYFUNCTION("""COMPUTED_VALUE"""),100.0)</f>
        <v>100</v>
      </c>
      <c r="M334" s="1" t="str">
        <f>IFERROR(__xludf.DUMMYFUNCTION("""COMPUTED_VALUE"""),"")</f>
        <v/>
      </c>
      <c r="N334" s="1" t="str">
        <f>IFERROR(__xludf.DUMMYFUNCTION("""COMPUTED_VALUE"""),"")</f>
        <v/>
      </c>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f>IFERROR(__xludf.DUMMYFUNCTION("""COMPUTED_VALUE"""),0.0)</f>
        <v>0</v>
      </c>
      <c r="BE334" s="9">
        <f>IFERROR(__xludf.DUMMYFUNCTION("""COMPUTED_VALUE"""),10.0)</f>
        <v>10</v>
      </c>
      <c r="BF334" s="1" t="str">
        <f>IFERROR(__xludf.DUMMYFUNCTION("""COMPUTED_VALUE"""),"Roll evasion to avoid this trap.
Succeed = Proceed
Fail = Take undefendable  damage.")</f>
        <v>Roll evasion to avoid this trap.
Succeed = Proceed
Fail = Take undefendable  damage.</v>
      </c>
      <c r="BG334" s="1" t="str">
        <f>IFERROR(__xludf.DUMMYFUNCTION("""COMPUTED_VALUE"""),"Dungeon")</f>
        <v>Dungeon</v>
      </c>
      <c r="BH334" s="1" t="str">
        <f>IFERROR(__xludf.DUMMYFUNCTION("""COMPUTED_VALUE"""),"Land of Spira")</f>
        <v>Land of Spira</v>
      </c>
      <c r="BI334" s="1"/>
      <c r="BJ334" s="1"/>
      <c r="BK334" s="1"/>
      <c r="BL334" s="1" t="b">
        <f>IFERROR(__xludf.DUMMYFUNCTION("""COMPUTED_VALUE"""),FALSE)</f>
        <v>0</v>
      </c>
      <c r="BM334" s="1"/>
      <c r="BN334" s="1"/>
      <c r="BO334" s="1"/>
      <c r="BP334" s="1"/>
      <c r="BQ334" s="1"/>
    </row>
    <row r="335" ht="15.75" customHeight="1">
      <c r="A335" s="1" t="str">
        <f>IFERROR(__xludf.DUMMYFUNCTION("""COMPUTED_VALUE"""),"Trap: Moving Saw Blade")</f>
        <v>Trap: Moving Saw Blade</v>
      </c>
      <c r="B335" s="1">
        <f>IFERROR(__xludf.DUMMYFUNCTION("""COMPUTED_VALUE"""),1.0)</f>
        <v>1</v>
      </c>
      <c r="C335" s="1"/>
      <c r="D335" s="1" t="str">
        <f>IFERROR(__xludf.DUMMYFUNCTION("""COMPUTED_VALUE"""),"Trap/Puzzle")</f>
        <v>Trap/Puzzle</v>
      </c>
      <c r="E335" s="1">
        <f>IFERROR(__xludf.DUMMYFUNCTION("""COMPUTED_VALUE"""),11010.0)</f>
        <v>11010</v>
      </c>
      <c r="F335" s="7">
        <f>IFERROR(__xludf.DUMMYFUNCTION("""COMPUTED_VALUE"""),1010.0)</f>
        <v>1010</v>
      </c>
      <c r="G335" s="1">
        <f>IFERROR(__xludf.DUMMYFUNCTION("""COMPUTED_VALUE"""),1010.0)</f>
        <v>1010</v>
      </c>
      <c r="H335" s="1">
        <f>IFERROR(__xludf.DUMMYFUNCTION("""COMPUTED_VALUE"""),10.0)</f>
        <v>10</v>
      </c>
      <c r="I335" s="1">
        <f>IFERROR(__xludf.DUMMYFUNCTION("""COMPUTED_VALUE"""),0.0)</f>
        <v>0</v>
      </c>
      <c r="J335" s="1">
        <f>IFERROR(__xludf.DUMMYFUNCTION("""COMPUTED_VALUE"""),0.0)</f>
        <v>0</v>
      </c>
      <c r="K335" s="1">
        <f>IFERROR(__xludf.DUMMYFUNCTION("""COMPUTED_VALUE"""),100.0)</f>
        <v>100</v>
      </c>
      <c r="L335" s="1">
        <f>IFERROR(__xludf.DUMMYFUNCTION("""COMPUTED_VALUE"""),100.0)</f>
        <v>100</v>
      </c>
      <c r="M335" s="1" t="str">
        <f>IFERROR(__xludf.DUMMYFUNCTION("""COMPUTED_VALUE"""),"")</f>
        <v/>
      </c>
      <c r="N335" s="1" t="str">
        <f>IFERROR(__xludf.DUMMYFUNCTION("""COMPUTED_VALUE"""),"")</f>
        <v/>
      </c>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f>IFERROR(__xludf.DUMMYFUNCTION("""COMPUTED_VALUE"""),0.0)</f>
        <v>0</v>
      </c>
      <c r="BE335" s="9">
        <f>IFERROR(__xludf.DUMMYFUNCTION("""COMPUTED_VALUE"""),10.0)</f>
        <v>10</v>
      </c>
      <c r="BF335" s="1" t="str">
        <f>IFERROR(__xludf.DUMMYFUNCTION("""COMPUTED_VALUE"""),"Roll evasion to avoid this trap.
Succeed = Proceed
Fail = Take undefendable  damage.")</f>
        <v>Roll evasion to avoid this trap.
Succeed = Proceed
Fail = Take undefendable  damage.</v>
      </c>
      <c r="BG335" s="1" t="str">
        <f>IFERROR(__xludf.DUMMYFUNCTION("""COMPUTED_VALUE"""),"Dungeon")</f>
        <v>Dungeon</v>
      </c>
      <c r="BH335" s="1" t="str">
        <f>IFERROR(__xludf.DUMMYFUNCTION("""COMPUTED_VALUE"""),"Land of Spira")</f>
        <v>Land of Spira</v>
      </c>
      <c r="BI335" s="1"/>
      <c r="BJ335" s="1"/>
      <c r="BK335" s="1"/>
      <c r="BL335" s="1" t="b">
        <f>IFERROR(__xludf.DUMMYFUNCTION("""COMPUTED_VALUE"""),FALSE)</f>
        <v>0</v>
      </c>
      <c r="BM335" s="1"/>
      <c r="BN335" s="1"/>
      <c r="BO335" s="1"/>
      <c r="BP335" s="1"/>
      <c r="BQ335" s="1"/>
    </row>
    <row r="336" ht="15.75" customHeight="1">
      <c r="A336" s="1" t="str">
        <f>IFERROR(__xludf.DUMMYFUNCTION("""COMPUTED_VALUE"""),"Trap: Bear Trap")</f>
        <v>Trap: Bear Trap</v>
      </c>
      <c r="B336" s="1">
        <f>IFERROR(__xludf.DUMMYFUNCTION("""COMPUTED_VALUE"""),1.0)</f>
        <v>1</v>
      </c>
      <c r="C336" s="1"/>
      <c r="D336" s="1" t="str">
        <f>IFERROR(__xludf.DUMMYFUNCTION("""COMPUTED_VALUE"""),"Trap/Puzzle")</f>
        <v>Trap/Puzzle</v>
      </c>
      <c r="E336" s="1">
        <f>IFERROR(__xludf.DUMMYFUNCTION("""COMPUTED_VALUE"""),5010.0)</f>
        <v>5010</v>
      </c>
      <c r="F336" s="7">
        <f>IFERROR(__xludf.DUMMYFUNCTION("""COMPUTED_VALUE"""),1010.0)</f>
        <v>1010</v>
      </c>
      <c r="G336" s="1">
        <f>IFERROR(__xludf.DUMMYFUNCTION("""COMPUTED_VALUE"""),1010.0)</f>
        <v>1010</v>
      </c>
      <c r="H336" s="1">
        <f>IFERROR(__xludf.DUMMYFUNCTION("""COMPUTED_VALUE"""),10.0)</f>
        <v>10</v>
      </c>
      <c r="I336" s="1">
        <f>IFERROR(__xludf.DUMMYFUNCTION("""COMPUTED_VALUE"""),0.0)</f>
        <v>0</v>
      </c>
      <c r="J336" s="1">
        <f>IFERROR(__xludf.DUMMYFUNCTION("""COMPUTED_VALUE"""),0.0)</f>
        <v>0</v>
      </c>
      <c r="K336" s="1">
        <f>IFERROR(__xludf.DUMMYFUNCTION("""COMPUTED_VALUE"""),100.0)</f>
        <v>100</v>
      </c>
      <c r="L336" s="1">
        <f>IFERROR(__xludf.DUMMYFUNCTION("""COMPUTED_VALUE"""),100.0)</f>
        <v>100</v>
      </c>
      <c r="M336" s="1" t="str">
        <f>IFERROR(__xludf.DUMMYFUNCTION("""COMPUTED_VALUE"""),"")</f>
        <v/>
      </c>
      <c r="N336" s="1" t="str">
        <f>IFERROR(__xludf.DUMMYFUNCTION("""COMPUTED_VALUE"""),"")</f>
        <v/>
      </c>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f>IFERROR(__xludf.DUMMYFUNCTION("""COMPUTED_VALUE"""),0.0)</f>
        <v>0</v>
      </c>
      <c r="BE336" s="9">
        <f>IFERROR(__xludf.DUMMYFUNCTION("""COMPUTED_VALUE"""),10.0)</f>
        <v>10</v>
      </c>
      <c r="BF336" s="1" t="str">
        <f>IFERROR(__xludf.DUMMYFUNCTION("""COMPUTED_VALUE"""),"Make a wisdom check to see if you detect this trap.
Succeed = Proceed
Fail = Take undefendable  damage.")</f>
        <v>Make a wisdom check to see if you detect this trap.
Succeed = Proceed
Fail = Take undefendable  damage.</v>
      </c>
      <c r="BG336" s="1" t="str">
        <f>IFERROR(__xludf.DUMMYFUNCTION("""COMPUTED_VALUE"""),"All")</f>
        <v>All</v>
      </c>
      <c r="BH336" s="1" t="str">
        <f>IFERROR(__xludf.DUMMYFUNCTION("""COMPUTED_VALUE"""),"Land of Spira")</f>
        <v>Land of Spira</v>
      </c>
      <c r="BI336" s="1"/>
      <c r="BJ336" s="1"/>
      <c r="BK336" s="1"/>
      <c r="BL336" s="1" t="b">
        <f>IFERROR(__xludf.DUMMYFUNCTION("""COMPUTED_VALUE"""),FALSE)</f>
        <v>0</v>
      </c>
      <c r="BM336" s="1"/>
      <c r="BN336" s="1"/>
      <c r="BO336" s="1"/>
      <c r="BP336" s="1"/>
      <c r="BQ336" s="1"/>
    </row>
    <row r="337" ht="15.75" customHeight="1">
      <c r="A337" s="1" t="str">
        <f>IFERROR(__xludf.DUMMYFUNCTION("""COMPUTED_VALUE"""),"Trap: Pitfall")</f>
        <v>Trap: Pitfall</v>
      </c>
      <c r="B337" s="1">
        <f>IFERROR(__xludf.DUMMYFUNCTION("""COMPUTED_VALUE"""),1.0)</f>
        <v>1</v>
      </c>
      <c r="C337" s="1"/>
      <c r="D337" s="1" t="str">
        <f>IFERROR(__xludf.DUMMYFUNCTION("""COMPUTED_VALUE"""),"Trap/Puzzle")</f>
        <v>Trap/Puzzle</v>
      </c>
      <c r="E337" s="1">
        <f>IFERROR(__xludf.DUMMYFUNCTION("""COMPUTED_VALUE"""),1010.0)</f>
        <v>1010</v>
      </c>
      <c r="F337" s="7">
        <f>IFERROR(__xludf.DUMMYFUNCTION("""COMPUTED_VALUE"""),1010.0)</f>
        <v>1010</v>
      </c>
      <c r="G337" s="1">
        <f>IFERROR(__xludf.DUMMYFUNCTION("""COMPUTED_VALUE"""),1010.0)</f>
        <v>1010</v>
      </c>
      <c r="H337" s="1">
        <f>IFERROR(__xludf.DUMMYFUNCTION("""COMPUTED_VALUE"""),10.0)</f>
        <v>10</v>
      </c>
      <c r="I337" s="1">
        <f>IFERROR(__xludf.DUMMYFUNCTION("""COMPUTED_VALUE"""),0.0)</f>
        <v>0</v>
      </c>
      <c r="J337" s="1">
        <f>IFERROR(__xludf.DUMMYFUNCTION("""COMPUTED_VALUE"""),0.0)</f>
        <v>0</v>
      </c>
      <c r="K337" s="1">
        <f>IFERROR(__xludf.DUMMYFUNCTION("""COMPUTED_VALUE"""),100.0)</f>
        <v>100</v>
      </c>
      <c r="L337" s="1">
        <f>IFERROR(__xludf.DUMMYFUNCTION("""COMPUTED_VALUE"""),100.0)</f>
        <v>100</v>
      </c>
      <c r="M337" s="1" t="str">
        <f>IFERROR(__xludf.DUMMYFUNCTION("""COMPUTED_VALUE"""),"")</f>
        <v/>
      </c>
      <c r="N337" s="1" t="str">
        <f>IFERROR(__xludf.DUMMYFUNCTION("""COMPUTED_VALUE"""),"")</f>
        <v/>
      </c>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f>IFERROR(__xludf.DUMMYFUNCTION("""COMPUTED_VALUE"""),0.0)</f>
        <v>0</v>
      </c>
      <c r="BE337" s="9">
        <f>IFERROR(__xludf.DUMMYFUNCTION("""COMPUTED_VALUE"""),10.0)</f>
        <v>10</v>
      </c>
      <c r="BF337" s="1" t="str">
        <f>IFERROR(__xludf.DUMMYFUNCTION("""COMPUTED_VALUE"""),"Make a wisdom check to see if you detect this trap.
Succeed = Proceed
Fail = Take undefendable  damage.")</f>
        <v>Make a wisdom check to see if you detect this trap.
Succeed = Proceed
Fail = Take undefendable  damage.</v>
      </c>
      <c r="BG337" s="1" t="str">
        <f>IFERROR(__xludf.DUMMYFUNCTION("""COMPUTED_VALUE"""),"All")</f>
        <v>All</v>
      </c>
      <c r="BH337" s="1" t="str">
        <f>IFERROR(__xludf.DUMMYFUNCTION("""COMPUTED_VALUE"""),"Land of Spira")</f>
        <v>Land of Spira</v>
      </c>
      <c r="BI337" s="1"/>
      <c r="BJ337" s="1"/>
      <c r="BK337" s="1"/>
      <c r="BL337" s="1" t="b">
        <f>IFERROR(__xludf.DUMMYFUNCTION("""COMPUTED_VALUE"""),FALSE)</f>
        <v>0</v>
      </c>
      <c r="BM337" s="1"/>
      <c r="BN337" s="1"/>
      <c r="BO337" s="1"/>
      <c r="BP337" s="1"/>
      <c r="BQ337" s="1"/>
    </row>
    <row r="338" ht="15.75" customHeight="1">
      <c r="A338" s="1" t="str">
        <f>IFERROR(__xludf.DUMMYFUNCTION("""COMPUTED_VALUE"""),"Trap: Flaming Arrows")</f>
        <v>Trap: Flaming Arrows</v>
      </c>
      <c r="B338" s="1">
        <f>IFERROR(__xludf.DUMMYFUNCTION("""COMPUTED_VALUE"""),1.0)</f>
        <v>1</v>
      </c>
      <c r="C338" s="1"/>
      <c r="D338" s="7" t="str">
        <f>IFERROR(__xludf.DUMMYFUNCTION("""COMPUTED_VALUE"""),"Trap/Puzzle")</f>
        <v>Trap/Puzzle</v>
      </c>
      <c r="E338" s="7">
        <f>IFERROR(__xludf.DUMMYFUNCTION("""COMPUTED_VALUE"""),1010.0)</f>
        <v>1010</v>
      </c>
      <c r="F338" s="7">
        <f>IFERROR(__xludf.DUMMYFUNCTION("""COMPUTED_VALUE"""),5010.0)</f>
        <v>5010</v>
      </c>
      <c r="G338" s="1">
        <f>IFERROR(__xludf.DUMMYFUNCTION("""COMPUTED_VALUE"""),1010.0)</f>
        <v>1010</v>
      </c>
      <c r="H338" s="1">
        <f>IFERROR(__xludf.DUMMYFUNCTION("""COMPUTED_VALUE"""),10.0)</f>
        <v>10</v>
      </c>
      <c r="I338" s="1">
        <f>IFERROR(__xludf.DUMMYFUNCTION("""COMPUTED_VALUE"""),0.0)</f>
        <v>0</v>
      </c>
      <c r="J338" s="1">
        <f>IFERROR(__xludf.DUMMYFUNCTION("""COMPUTED_VALUE"""),0.0)</f>
        <v>0</v>
      </c>
      <c r="K338" s="1">
        <f>IFERROR(__xludf.DUMMYFUNCTION("""COMPUTED_VALUE"""),100.0)</f>
        <v>100</v>
      </c>
      <c r="L338" s="1">
        <f>IFERROR(__xludf.DUMMYFUNCTION("""COMPUTED_VALUE"""),100.0)</f>
        <v>100</v>
      </c>
      <c r="M338" s="1" t="str">
        <f>IFERROR(__xludf.DUMMYFUNCTION("""COMPUTED_VALUE"""),"")</f>
        <v/>
      </c>
      <c r="N338" s="1" t="str">
        <f>IFERROR(__xludf.DUMMYFUNCTION("""COMPUTED_VALUE"""),"")</f>
        <v/>
      </c>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f>IFERROR(__xludf.DUMMYFUNCTION("""COMPUTED_VALUE"""),0.0)</f>
        <v>0</v>
      </c>
      <c r="BE338" s="9">
        <f>IFERROR(__xludf.DUMMYFUNCTION("""COMPUTED_VALUE"""),10.0)</f>
        <v>10</v>
      </c>
      <c r="BF338" s="1" t="str">
        <f>IFERROR(__xludf.DUMMYFUNCTION("""COMPUTED_VALUE"""),"Roll evasion to avoid this trap.
Succeed = Proceed
Fail = Take undefendable fire damage.")</f>
        <v>Roll evasion to avoid this trap.
Succeed = Proceed
Fail = Take undefendable fire damage.</v>
      </c>
      <c r="BG338" s="1" t="str">
        <f>IFERROR(__xludf.DUMMYFUNCTION("""COMPUTED_VALUE"""),"All")</f>
        <v>All</v>
      </c>
      <c r="BH338" s="1" t="str">
        <f>IFERROR(__xludf.DUMMYFUNCTION("""COMPUTED_VALUE"""),"Land of Spira")</f>
        <v>Land of Spira</v>
      </c>
      <c r="BI338" s="1"/>
      <c r="BJ338" s="1"/>
      <c r="BK338" s="1"/>
      <c r="BL338" s="1" t="b">
        <f>IFERROR(__xludf.DUMMYFUNCTION("""COMPUTED_VALUE"""),FALSE)</f>
        <v>0</v>
      </c>
      <c r="BM338" s="1"/>
      <c r="BN338" s="1"/>
      <c r="BO338" s="1"/>
      <c r="BP338" s="1"/>
      <c r="BQ338" s="1"/>
    </row>
    <row r="339" ht="15.75" customHeight="1">
      <c r="A339" s="1" t="str">
        <f>IFERROR(__xludf.DUMMYFUNCTION("""COMPUTED_VALUE"""),"Trap: Bolder")</f>
        <v>Trap: Bolder</v>
      </c>
      <c r="B339" s="1">
        <f>IFERROR(__xludf.DUMMYFUNCTION("""COMPUTED_VALUE"""),1.0)</f>
        <v>1</v>
      </c>
      <c r="C339" s="1"/>
      <c r="D339" s="1" t="str">
        <f>IFERROR(__xludf.DUMMYFUNCTION("""COMPUTED_VALUE"""),"Trap/Puzzle")</f>
        <v>Trap/Puzzle</v>
      </c>
      <c r="E339" s="1">
        <f>IFERROR(__xludf.DUMMYFUNCTION("""COMPUTED_VALUE"""),21010.0)</f>
        <v>21010</v>
      </c>
      <c r="F339" s="7">
        <f>IFERROR(__xludf.DUMMYFUNCTION("""COMPUTED_VALUE"""),1010.0)</f>
        <v>1010</v>
      </c>
      <c r="G339" s="1">
        <f>IFERROR(__xludf.DUMMYFUNCTION("""COMPUTED_VALUE"""),1010.0)</f>
        <v>1010</v>
      </c>
      <c r="H339" s="1">
        <f>IFERROR(__xludf.DUMMYFUNCTION("""COMPUTED_VALUE"""),10.0)</f>
        <v>10</v>
      </c>
      <c r="I339" s="1">
        <f>IFERROR(__xludf.DUMMYFUNCTION("""COMPUTED_VALUE"""),0.0)</f>
        <v>0</v>
      </c>
      <c r="J339" s="1">
        <f>IFERROR(__xludf.DUMMYFUNCTION("""COMPUTED_VALUE"""),0.0)</f>
        <v>0</v>
      </c>
      <c r="K339" s="1">
        <f>IFERROR(__xludf.DUMMYFUNCTION("""COMPUTED_VALUE"""),100.0)</f>
        <v>100</v>
      </c>
      <c r="L339" s="1">
        <f>IFERROR(__xludf.DUMMYFUNCTION("""COMPUTED_VALUE"""),100.0)</f>
        <v>100</v>
      </c>
      <c r="M339" s="1" t="str">
        <f>IFERROR(__xludf.DUMMYFUNCTION("""COMPUTED_VALUE"""),"")</f>
        <v/>
      </c>
      <c r="N339" s="1" t="str">
        <f>IFERROR(__xludf.DUMMYFUNCTION("""COMPUTED_VALUE"""),"")</f>
        <v/>
      </c>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f>IFERROR(__xludf.DUMMYFUNCTION("""COMPUTED_VALUE"""),0.0)</f>
        <v>0</v>
      </c>
      <c r="BE339" s="9">
        <f>IFERROR(__xludf.DUMMYFUNCTION("""COMPUTED_VALUE"""),10.0)</f>
        <v>10</v>
      </c>
      <c r="BF339" s="1" t="str">
        <f>IFERROR(__xludf.DUMMYFUNCTION("""COMPUTED_VALUE"""),"Roll evasion to avoid this trap.
Succeed = Proceed
Fail = Take undefendable damage.")</f>
        <v>Roll evasion to avoid this trap.
Succeed = Proceed
Fail = Take undefendable damage.</v>
      </c>
      <c r="BG339" s="1" t="str">
        <f>IFERROR(__xludf.DUMMYFUNCTION("""COMPUTED_VALUE"""),"All")</f>
        <v>All</v>
      </c>
      <c r="BH339" s="1" t="str">
        <f>IFERROR(__xludf.DUMMYFUNCTION("""COMPUTED_VALUE"""),"Land of Spira")</f>
        <v>Land of Spira</v>
      </c>
      <c r="BI339" s="1"/>
      <c r="BJ339" s="1"/>
      <c r="BK339" s="1"/>
      <c r="BL339" s="1" t="b">
        <f>IFERROR(__xludf.DUMMYFUNCTION("""COMPUTED_VALUE"""),FALSE)</f>
        <v>0</v>
      </c>
      <c r="BM339" s="1"/>
      <c r="BN339" s="1"/>
      <c r="BO339" s="1"/>
      <c r="BP339" s="1"/>
      <c r="BQ339" s="1"/>
    </row>
    <row r="340" ht="15.75" customHeight="1">
      <c r="A340" s="1" t="str">
        <f>IFERROR(__xludf.DUMMYFUNCTION("""COMPUTED_VALUE"""),"Trap: Mimic")</f>
        <v>Trap: Mimic</v>
      </c>
      <c r="B340" s="1">
        <f>IFERROR(__xludf.DUMMYFUNCTION("""COMPUTED_VALUE"""),1.0)</f>
        <v>1</v>
      </c>
      <c r="C340" s="1"/>
      <c r="D340" s="1" t="str">
        <f>IFERROR(__xludf.DUMMYFUNCTION("""COMPUTED_VALUE"""),"Trap/Puzzle")</f>
        <v>Trap/Puzzle</v>
      </c>
      <c r="E340" s="1">
        <f>IFERROR(__xludf.DUMMYFUNCTION("""COMPUTED_VALUE"""),1010.0)</f>
        <v>1010</v>
      </c>
      <c r="F340" s="7">
        <f>IFERROR(__xludf.DUMMYFUNCTION("""COMPUTED_VALUE"""),1010.0)</f>
        <v>1010</v>
      </c>
      <c r="G340" s="1">
        <f>IFERROR(__xludf.DUMMYFUNCTION("""COMPUTED_VALUE"""),1010.0)</f>
        <v>1010</v>
      </c>
      <c r="H340" s="1">
        <f>IFERROR(__xludf.DUMMYFUNCTION("""COMPUTED_VALUE"""),10.0)</f>
        <v>10</v>
      </c>
      <c r="I340" s="1">
        <f>IFERROR(__xludf.DUMMYFUNCTION("""COMPUTED_VALUE"""),0.0)</f>
        <v>0</v>
      </c>
      <c r="J340" s="1">
        <f>IFERROR(__xludf.DUMMYFUNCTION("""COMPUTED_VALUE"""),0.0)</f>
        <v>0</v>
      </c>
      <c r="K340" s="1">
        <f>IFERROR(__xludf.DUMMYFUNCTION("""COMPUTED_VALUE"""),100.0)</f>
        <v>100</v>
      </c>
      <c r="L340" s="1">
        <f>IFERROR(__xludf.DUMMYFUNCTION("""COMPUTED_VALUE"""),100.0)</f>
        <v>100</v>
      </c>
      <c r="M340" s="1" t="str">
        <f>IFERROR(__xludf.DUMMYFUNCTION("""COMPUTED_VALUE"""),"")</f>
        <v/>
      </c>
      <c r="N340" s="1" t="str">
        <f>IFERROR(__xludf.DUMMYFUNCTION("""COMPUTED_VALUE"""),"")</f>
        <v/>
      </c>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f>IFERROR(__xludf.DUMMYFUNCTION("""COMPUTED_VALUE"""),0.0)</f>
        <v>0</v>
      </c>
      <c r="BE340" s="9">
        <f>IFERROR(__xludf.DUMMYFUNCTION("""COMPUTED_VALUE"""),10.0)</f>
        <v>10</v>
      </c>
      <c r="BF340" s="1" t="str">
        <f>IFERROR(__xludf.DUMMYFUNCTION("""COMPUTED_VALUE"""),"Make a wisdom check to see if you detect this trap.
Succeed = Proceed
Fail =  you encounter the Mimic (Mob)")</f>
        <v>Make a wisdom check to see if you detect this trap.
Succeed = Proceed
Fail =  you encounter the Mimic (Mob)</v>
      </c>
      <c r="BG340" s="1" t="str">
        <f>IFERROR(__xludf.DUMMYFUNCTION("""COMPUTED_VALUE"""),"All")</f>
        <v>All</v>
      </c>
      <c r="BH340" s="1" t="str">
        <f>IFERROR(__xludf.DUMMYFUNCTION("""COMPUTED_VALUE"""),"Land of Spira")</f>
        <v>Land of Spira</v>
      </c>
      <c r="BI340" s="1"/>
      <c r="BJ340" s="1"/>
      <c r="BK340" s="1"/>
      <c r="BL340" s="1" t="b">
        <f>IFERROR(__xludf.DUMMYFUNCTION("""COMPUTED_VALUE"""),FALSE)</f>
        <v>0</v>
      </c>
      <c r="BM340" s="1"/>
      <c r="BN340" s="1"/>
      <c r="BO340" s="1"/>
      <c r="BP340" s="1"/>
      <c r="BQ340" s="1"/>
    </row>
    <row r="341" ht="15.75" customHeight="1">
      <c r="A341" s="1" t="str">
        <f>IFERROR(__xludf.DUMMYFUNCTION("""COMPUTED_VALUE"""),"Mimic (Mob)")</f>
        <v>Mimic (Mob)</v>
      </c>
      <c r="B341" s="1">
        <f>IFERROR(__xludf.DUMMYFUNCTION("""COMPUTED_VALUE"""),1.0)</f>
        <v>1</v>
      </c>
      <c r="C341" s="1"/>
      <c r="D341" s="1" t="str">
        <f>IFERROR(__xludf.DUMMYFUNCTION("""COMPUTED_VALUE"""),"Construct")</f>
        <v>Construct</v>
      </c>
      <c r="E341" s="1">
        <f>IFERROR(__xludf.DUMMYFUNCTION("""COMPUTED_VALUE"""),1010.0)</f>
        <v>1010</v>
      </c>
      <c r="F341" s="7">
        <f>IFERROR(__xludf.DUMMYFUNCTION("""COMPUTED_VALUE"""),1010.0)</f>
        <v>1010</v>
      </c>
      <c r="G341" s="1">
        <f>IFERROR(__xludf.DUMMYFUNCTION("""COMPUTED_VALUE"""),1010.0)</f>
        <v>1010</v>
      </c>
      <c r="H341" s="1">
        <f>IFERROR(__xludf.DUMMYFUNCTION("""COMPUTED_VALUE"""),10.0)</f>
        <v>10</v>
      </c>
      <c r="I341" s="1">
        <f>IFERROR(__xludf.DUMMYFUNCTION("""COMPUTED_VALUE"""),0.0)</f>
        <v>0</v>
      </c>
      <c r="J341" s="1">
        <f>IFERROR(__xludf.DUMMYFUNCTION("""COMPUTED_VALUE"""),0.0)</f>
        <v>0</v>
      </c>
      <c r="K341" s="1">
        <f>IFERROR(__xludf.DUMMYFUNCTION("""COMPUTED_VALUE"""),100.0)</f>
        <v>100</v>
      </c>
      <c r="L341" s="1">
        <f>IFERROR(__xludf.DUMMYFUNCTION("""COMPUTED_VALUE"""),100.0)</f>
        <v>100</v>
      </c>
      <c r="M341" s="1" t="str">
        <f>IFERROR(__xludf.DUMMYFUNCTION("""COMPUTED_VALUE"""),"")</f>
        <v/>
      </c>
      <c r="N341" s="1" t="str">
        <f>IFERROR(__xludf.DUMMYFUNCTION("""COMPUTED_VALUE"""),"")</f>
        <v/>
      </c>
      <c r="O341" s="1"/>
      <c r="P341" s="1"/>
      <c r="Q341" s="1"/>
      <c r="R341" s="1"/>
      <c r="S341" s="1"/>
      <c r="T341" s="1"/>
      <c r="U341" s="1"/>
      <c r="V341" s="1"/>
      <c r="W341" s="1"/>
      <c r="X341" s="1"/>
      <c r="Y341" s="1"/>
      <c r="Z341" s="1"/>
      <c r="AA341" s="1"/>
      <c r="AB341" s="1"/>
      <c r="AC341" s="1"/>
      <c r="AD341" s="1"/>
      <c r="AE341" s="1"/>
      <c r="AF341" s="1"/>
      <c r="AG341" s="1"/>
      <c r="AH341" s="1"/>
      <c r="AI341" s="1"/>
      <c r="AJ341" s="1" t="str">
        <f>IFERROR(__xludf.DUMMYFUNCTION("""COMPUTED_VALUE"""),"Absorb Enemy ")</f>
        <v>Absorb Enemy </v>
      </c>
      <c r="AK341" s="1" t="str">
        <f>IFERROR(__xludf.DUMMYFUNCTION("""COMPUTED_VALUE"""),"Absorb")</f>
        <v>Absorb</v>
      </c>
      <c r="AL341" s="1" t="str">
        <f>IFERROR(__xludf.DUMMYFUNCTION("""COMPUTED_VALUE"""),"Berserk")</f>
        <v>Berserk</v>
      </c>
      <c r="AM341" s="1" t="str">
        <f>IFERROR(__xludf.DUMMYFUNCTION("""COMPUTED_VALUE"""),"Distracting Blow")</f>
        <v>Distracting Blow</v>
      </c>
      <c r="AN341" s="1" t="str">
        <f>IFERROR(__xludf.DUMMYFUNCTION("""COMPUTED_VALUE"""),"Tackle")</f>
        <v>Tackle</v>
      </c>
      <c r="AO341" s="1"/>
      <c r="AP341" s="1"/>
      <c r="AQ341" s="1"/>
      <c r="AR341" s="1"/>
      <c r="AS341" s="1"/>
      <c r="AT341" s="1"/>
      <c r="AU341" s="1"/>
      <c r="AV341" s="1"/>
      <c r="AW341" s="1"/>
      <c r="AX341" s="1"/>
      <c r="AY341" s="1"/>
      <c r="AZ341" s="1"/>
      <c r="BA341" s="1"/>
      <c r="BB341" s="1"/>
      <c r="BC341" s="1"/>
      <c r="BD341" s="1">
        <f>IFERROR(__xludf.DUMMYFUNCTION("""COMPUTED_VALUE"""),0.0)</f>
        <v>0</v>
      </c>
      <c r="BE341" s="9">
        <f>IFERROR(__xludf.DUMMYFUNCTION("""COMPUTED_VALUE"""),10.0)</f>
        <v>10</v>
      </c>
      <c r="BF341" s="1" t="str">
        <f>IFERROR(__xludf.DUMMYFUNCTION("""COMPUTED_VALUE"""),"This mob can only be encountered by failing the Mimic Trap.
Intimidating Roll I: +5 can be added to this mobs rolls.
During each players turn, 25% chance to steal half of the turn players gilders.")</f>
        <v>This mob can only be encountered by failing the Mimic Trap.
Intimidating Roll I: +5 can be added to this mobs rolls.
During each players turn, 25% chance to steal half of the turn players gilders.</v>
      </c>
      <c r="BG341" s="1" t="str">
        <f>IFERROR(__xludf.DUMMYFUNCTION("""COMPUTED_VALUE"""),"All")</f>
        <v>All</v>
      </c>
      <c r="BH341" s="1" t="str">
        <f>IFERROR(__xludf.DUMMYFUNCTION("""COMPUTED_VALUE"""),"Land of Spira")</f>
        <v>Land of Spira</v>
      </c>
      <c r="BI341" s="1"/>
      <c r="BJ341" s="1"/>
      <c r="BK341" s="1"/>
      <c r="BL341" s="1" t="b">
        <f>IFERROR(__xludf.DUMMYFUNCTION("""COMPUTED_VALUE"""),FALSE)</f>
        <v>0</v>
      </c>
      <c r="BM341" s="1"/>
      <c r="BN341" s="1"/>
      <c r="BO341" s="1"/>
      <c r="BP341" s="1"/>
      <c r="BQ341" s="1"/>
    </row>
    <row r="342" ht="15.75" customHeight="1">
      <c r="A342" s="1" t="str">
        <f>IFERROR(__xludf.DUMMYFUNCTION("""COMPUTED_VALUE"""),"Puzzle: Floating Underground Sphere")</f>
        <v>Puzzle: Floating Underground Sphere</v>
      </c>
      <c r="B342" s="1">
        <f>IFERROR(__xludf.DUMMYFUNCTION("""COMPUTED_VALUE"""),1.0)</f>
        <v>1</v>
      </c>
      <c r="C342" s="1"/>
      <c r="D342" s="1" t="str">
        <f>IFERROR(__xludf.DUMMYFUNCTION("""COMPUTED_VALUE"""),"Trap/Puzzle")</f>
        <v>Trap/Puzzle</v>
      </c>
      <c r="E342" s="1">
        <f>IFERROR(__xludf.DUMMYFUNCTION("""COMPUTED_VALUE"""),1010.0)</f>
        <v>1010</v>
      </c>
      <c r="F342" s="7">
        <f>IFERROR(__xludf.DUMMYFUNCTION("""COMPUTED_VALUE"""),1010.0)</f>
        <v>1010</v>
      </c>
      <c r="G342" s="1">
        <f>IFERROR(__xludf.DUMMYFUNCTION("""COMPUTED_VALUE"""),1010.0)</f>
        <v>1010</v>
      </c>
      <c r="H342" s="1">
        <f>IFERROR(__xludf.DUMMYFUNCTION("""COMPUTED_VALUE"""),10.0)</f>
        <v>10</v>
      </c>
      <c r="I342" s="1">
        <f>IFERROR(__xludf.DUMMYFUNCTION("""COMPUTED_VALUE"""),0.0)</f>
        <v>0</v>
      </c>
      <c r="J342" s="1">
        <f>IFERROR(__xludf.DUMMYFUNCTION("""COMPUTED_VALUE"""),0.0)</f>
        <v>0</v>
      </c>
      <c r="K342" s="1">
        <f>IFERROR(__xludf.DUMMYFUNCTION("""COMPUTED_VALUE"""),100.0)</f>
        <v>100</v>
      </c>
      <c r="L342" s="1">
        <f>IFERROR(__xludf.DUMMYFUNCTION("""COMPUTED_VALUE"""),100.0)</f>
        <v>100</v>
      </c>
      <c r="M342" s="1" t="str">
        <f>IFERROR(__xludf.DUMMYFUNCTION("""COMPUTED_VALUE"""),"")</f>
        <v/>
      </c>
      <c r="N342" s="1" t="str">
        <f>IFERROR(__xludf.DUMMYFUNCTION("""COMPUTED_VALUE"""),"")</f>
        <v/>
      </c>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f>IFERROR(__xludf.DUMMYFUNCTION("""COMPUTED_VALUE"""),0.0)</f>
        <v>0</v>
      </c>
      <c r="BE342" s="9">
        <f>IFERROR(__xludf.DUMMYFUNCTION("""COMPUTED_VALUE"""),0.0)</f>
        <v>0</v>
      </c>
      <c r="BF342" s="1" t="str">
        <f>IFERROR(__xludf.DUMMYFUNCTION("""COMPUTED_VALUE"""),"Make a wisdom check.
These effects are applied during the next battle:
Succeed = Truesight 1
Fail = Marked 3")</f>
        <v>Make a wisdom check.
These effects are applied during the next battle:
Succeed = Truesight 1
Fail = Marked 3</v>
      </c>
      <c r="BG342" s="1" t="str">
        <f>IFERROR(__xludf.DUMMYFUNCTION("""COMPUTED_VALUE"""),"Dungeon")</f>
        <v>Dungeon</v>
      </c>
      <c r="BH342" s="1" t="str">
        <f>IFERROR(__xludf.DUMMYFUNCTION("""COMPUTED_VALUE"""),"Land of Spira")</f>
        <v>Land of Spira</v>
      </c>
      <c r="BI342" s="1"/>
      <c r="BJ342" s="1"/>
      <c r="BK342" s="1"/>
      <c r="BL342" s="1" t="b">
        <f>IFERROR(__xludf.DUMMYFUNCTION("""COMPUTED_VALUE"""),FALSE)</f>
        <v>0</v>
      </c>
      <c r="BM342" s="1"/>
      <c r="BN342" s="1"/>
      <c r="BO342" s="1"/>
      <c r="BP342" s="1"/>
      <c r="BQ342" s="1"/>
    </row>
    <row r="343" ht="15.75" customHeight="1">
      <c r="A343" s="1" t="str">
        <f>IFERROR(__xludf.DUMMYFUNCTION("""COMPUTED_VALUE"""),"Puzzle: Locked Stone Platform Entrance")</f>
        <v>Puzzle: Locked Stone Platform Entrance</v>
      </c>
      <c r="B343" s="1">
        <f>IFERROR(__xludf.DUMMYFUNCTION("""COMPUTED_VALUE"""),1.0)</f>
        <v>1</v>
      </c>
      <c r="C343" s="1"/>
      <c r="D343" s="1" t="str">
        <f>IFERROR(__xludf.DUMMYFUNCTION("""COMPUTED_VALUE"""),"Trap/Puzzle")</f>
        <v>Trap/Puzzle</v>
      </c>
      <c r="E343" s="1">
        <f>IFERROR(__xludf.DUMMYFUNCTION("""COMPUTED_VALUE"""),1010.0)</f>
        <v>1010</v>
      </c>
      <c r="F343" s="7">
        <f>IFERROR(__xludf.DUMMYFUNCTION("""COMPUTED_VALUE"""),1010.0)</f>
        <v>1010</v>
      </c>
      <c r="G343" s="1">
        <f>IFERROR(__xludf.DUMMYFUNCTION("""COMPUTED_VALUE"""),1010.0)</f>
        <v>1010</v>
      </c>
      <c r="H343" s="1">
        <f>IFERROR(__xludf.DUMMYFUNCTION("""COMPUTED_VALUE"""),10.0)</f>
        <v>10</v>
      </c>
      <c r="I343" s="1">
        <f>IFERROR(__xludf.DUMMYFUNCTION("""COMPUTED_VALUE"""),0.0)</f>
        <v>0</v>
      </c>
      <c r="J343" s="1">
        <f>IFERROR(__xludf.DUMMYFUNCTION("""COMPUTED_VALUE"""),0.0)</f>
        <v>0</v>
      </c>
      <c r="K343" s="1">
        <f>IFERROR(__xludf.DUMMYFUNCTION("""COMPUTED_VALUE"""),100.0)</f>
        <v>100</v>
      </c>
      <c r="L343" s="1">
        <f>IFERROR(__xludf.DUMMYFUNCTION("""COMPUTED_VALUE"""),100.0)</f>
        <v>100</v>
      </c>
      <c r="M343" s="1" t="str">
        <f>IFERROR(__xludf.DUMMYFUNCTION("""COMPUTED_VALUE"""),"")</f>
        <v/>
      </c>
      <c r="N343" s="1" t="str">
        <f>IFERROR(__xludf.DUMMYFUNCTION("""COMPUTED_VALUE"""),"")</f>
        <v/>
      </c>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f>IFERROR(__xludf.DUMMYFUNCTION("""COMPUTED_VALUE"""),0.0)</f>
        <v>0</v>
      </c>
      <c r="BE343" s="9">
        <f>IFERROR(__xludf.DUMMYFUNCTION("""COMPUTED_VALUE"""),0.0)</f>
        <v>0</v>
      </c>
      <c r="BF343" s="1" t="str">
        <f>IFERROR(__xludf.DUMMYFUNCTION("""COMPUTED_VALUE"""),"Make a wisdom check.
Succeed = Unlock entrance and proceed.
Fail = If in a dungeon, Return after 4 days of travel and attempt again. If during travel, add 4 days to your current journey.")</f>
        <v>Make a wisdom check.
Succeed = Unlock entrance and proceed.
Fail = If in a dungeon, Return after 4 days of travel and attempt again. If during travel, add 4 days to your current journey.</v>
      </c>
      <c r="BG343" s="1" t="str">
        <f>IFERROR(__xludf.DUMMYFUNCTION("""COMPUTED_VALUE"""),"Dungeon")</f>
        <v>Dungeon</v>
      </c>
      <c r="BH343" s="1" t="str">
        <f>IFERROR(__xludf.DUMMYFUNCTION("""COMPUTED_VALUE"""),"Land of Spira")</f>
        <v>Land of Spira</v>
      </c>
      <c r="BI343" s="1"/>
      <c r="BJ343" s="1"/>
      <c r="BK343" s="1"/>
      <c r="BL343" s="1" t="b">
        <f>IFERROR(__xludf.DUMMYFUNCTION("""COMPUTED_VALUE"""),FALSE)</f>
        <v>0</v>
      </c>
      <c r="BM343" s="1"/>
      <c r="BN343" s="1"/>
      <c r="BO343" s="1"/>
      <c r="BP343" s="1"/>
      <c r="BQ343" s="1"/>
    </row>
    <row r="344" ht="15.75" customHeight="1">
      <c r="A344" s="1" t="str">
        <f>IFERROR(__xludf.DUMMYFUNCTION("""COMPUTED_VALUE"""),"Puzzle: Mysterious Symbol")</f>
        <v>Puzzle: Mysterious Symbol</v>
      </c>
      <c r="B344" s="1">
        <f>IFERROR(__xludf.DUMMYFUNCTION("""COMPUTED_VALUE"""),1.0)</f>
        <v>1</v>
      </c>
      <c r="C344" s="1"/>
      <c r="D344" s="1" t="str">
        <f>IFERROR(__xludf.DUMMYFUNCTION("""COMPUTED_VALUE"""),"Trap/Puzzle")</f>
        <v>Trap/Puzzle</v>
      </c>
      <c r="E344" s="1">
        <f>IFERROR(__xludf.DUMMYFUNCTION("""COMPUTED_VALUE"""),1010.0)</f>
        <v>1010</v>
      </c>
      <c r="F344" s="7">
        <f>IFERROR(__xludf.DUMMYFUNCTION("""COMPUTED_VALUE"""),1010.0)</f>
        <v>1010</v>
      </c>
      <c r="G344" s="1">
        <f>IFERROR(__xludf.DUMMYFUNCTION("""COMPUTED_VALUE"""),1010.0)</f>
        <v>1010</v>
      </c>
      <c r="H344" s="1">
        <f>IFERROR(__xludf.DUMMYFUNCTION("""COMPUTED_VALUE"""),10.0)</f>
        <v>10</v>
      </c>
      <c r="I344" s="1">
        <f>IFERROR(__xludf.DUMMYFUNCTION("""COMPUTED_VALUE"""),0.0)</f>
        <v>0</v>
      </c>
      <c r="J344" s="1">
        <f>IFERROR(__xludf.DUMMYFUNCTION("""COMPUTED_VALUE"""),0.0)</f>
        <v>0</v>
      </c>
      <c r="K344" s="1">
        <f>IFERROR(__xludf.DUMMYFUNCTION("""COMPUTED_VALUE"""),100.0)</f>
        <v>100</v>
      </c>
      <c r="L344" s="1">
        <f>IFERROR(__xludf.DUMMYFUNCTION("""COMPUTED_VALUE"""),100.0)</f>
        <v>100</v>
      </c>
      <c r="M344" s="1" t="str">
        <f>IFERROR(__xludf.DUMMYFUNCTION("""COMPUTED_VALUE"""),"")</f>
        <v/>
      </c>
      <c r="N344" s="1" t="str">
        <f>IFERROR(__xludf.DUMMYFUNCTION("""COMPUTED_VALUE"""),"")</f>
        <v/>
      </c>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f>IFERROR(__xludf.DUMMYFUNCTION("""COMPUTED_VALUE"""),0.0)</f>
        <v>0</v>
      </c>
      <c r="BE344" s="9">
        <f>IFERROR(__xludf.DUMMYFUNCTION("""COMPUTED_VALUE"""),0.0)</f>
        <v>0</v>
      </c>
      <c r="BF344" s="1" t="str">
        <f>IFERROR(__xludf.DUMMYFUNCTION("""COMPUTED_VALUE"""),"Make a wisdom check.
These effects are applied during the next battle:
Succeed = Incorporeal 2
Fail = Pacified 1")</f>
        <v>Make a wisdom check.
These effects are applied during the next battle:
Succeed = Incorporeal 2
Fail = Pacified 1</v>
      </c>
      <c r="BG344" s="1" t="str">
        <f>IFERROR(__xludf.DUMMYFUNCTION("""COMPUTED_VALUE"""),"Dungeon")</f>
        <v>Dungeon</v>
      </c>
      <c r="BH344" s="1" t="str">
        <f>IFERROR(__xludf.DUMMYFUNCTION("""COMPUTED_VALUE"""),"Land of Spira")</f>
        <v>Land of Spira</v>
      </c>
      <c r="BI344" s="1"/>
      <c r="BJ344" s="1"/>
      <c r="BK344" s="1"/>
      <c r="BL344" s="1" t="b">
        <f>IFERROR(__xludf.DUMMYFUNCTION("""COMPUTED_VALUE"""),FALSE)</f>
        <v>0</v>
      </c>
      <c r="BM344" s="1"/>
      <c r="BN344" s="1"/>
      <c r="BO344" s="1"/>
      <c r="BP344" s="1"/>
      <c r="BQ344" s="1"/>
    </row>
    <row r="345" ht="15.75" customHeight="1">
      <c r="A345" s="1" t="str">
        <f>IFERROR(__xludf.DUMMYFUNCTION("""COMPUTED_VALUE"""),"Puzzle: Ancient Stone Statue")</f>
        <v>Puzzle: Ancient Stone Statue</v>
      </c>
      <c r="B345" s="1">
        <f>IFERROR(__xludf.DUMMYFUNCTION("""COMPUTED_VALUE"""),1.0)</f>
        <v>1</v>
      </c>
      <c r="C345" s="1"/>
      <c r="D345" s="1" t="str">
        <f>IFERROR(__xludf.DUMMYFUNCTION("""COMPUTED_VALUE"""),"Trap/Puzzle")</f>
        <v>Trap/Puzzle</v>
      </c>
      <c r="E345" s="1">
        <f>IFERROR(__xludf.DUMMYFUNCTION("""COMPUTED_VALUE"""),1010.0)</f>
        <v>1010</v>
      </c>
      <c r="F345" s="7">
        <f>IFERROR(__xludf.DUMMYFUNCTION("""COMPUTED_VALUE"""),1010.0)</f>
        <v>1010</v>
      </c>
      <c r="G345" s="1">
        <f>IFERROR(__xludf.DUMMYFUNCTION("""COMPUTED_VALUE"""),1010.0)</f>
        <v>1010</v>
      </c>
      <c r="H345" s="1">
        <f>IFERROR(__xludf.DUMMYFUNCTION("""COMPUTED_VALUE"""),10.0)</f>
        <v>10</v>
      </c>
      <c r="I345" s="1">
        <f>IFERROR(__xludf.DUMMYFUNCTION("""COMPUTED_VALUE"""),0.0)</f>
        <v>0</v>
      </c>
      <c r="J345" s="1">
        <f>IFERROR(__xludf.DUMMYFUNCTION("""COMPUTED_VALUE"""),0.0)</f>
        <v>0</v>
      </c>
      <c r="K345" s="1">
        <f>IFERROR(__xludf.DUMMYFUNCTION("""COMPUTED_VALUE"""),100.0)</f>
        <v>100</v>
      </c>
      <c r="L345" s="1">
        <f>IFERROR(__xludf.DUMMYFUNCTION("""COMPUTED_VALUE"""),100.0)</f>
        <v>100</v>
      </c>
      <c r="M345" s="1" t="str">
        <f>IFERROR(__xludf.DUMMYFUNCTION("""COMPUTED_VALUE"""),"")</f>
        <v/>
      </c>
      <c r="N345" s="1" t="str">
        <f>IFERROR(__xludf.DUMMYFUNCTION("""COMPUTED_VALUE"""),"")</f>
        <v/>
      </c>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f>IFERROR(__xludf.DUMMYFUNCTION("""COMPUTED_VALUE"""),0.0)</f>
        <v>0</v>
      </c>
      <c r="BE345" s="9">
        <f>IFERROR(__xludf.DUMMYFUNCTION("""COMPUTED_VALUE"""),0.0)</f>
        <v>0</v>
      </c>
      <c r="BF345" s="1" t="str">
        <f>IFERROR(__xludf.DUMMYFUNCTION("""COMPUTED_VALUE"""),"Make a wisdom check.
Succeed = Proceed to next area.
Fail = An Acient Stone Guard engages you in battle.")</f>
        <v>Make a wisdom check.
Succeed = Proceed to next area.
Fail = An Acient Stone Guard engages you in battle.</v>
      </c>
      <c r="BG345" s="1" t="str">
        <f>IFERROR(__xludf.DUMMYFUNCTION("""COMPUTED_VALUE"""),"Dungeon")</f>
        <v>Dungeon</v>
      </c>
      <c r="BH345" s="1" t="str">
        <f>IFERROR(__xludf.DUMMYFUNCTION("""COMPUTED_VALUE"""),"Land of Spira")</f>
        <v>Land of Spira</v>
      </c>
      <c r="BI345" s="1"/>
      <c r="BJ345" s="1"/>
      <c r="BK345" s="1"/>
      <c r="BL345" s="1" t="b">
        <f>IFERROR(__xludf.DUMMYFUNCTION("""COMPUTED_VALUE"""),FALSE)</f>
        <v>0</v>
      </c>
      <c r="BM345" s="1"/>
      <c r="BN345" s="1"/>
      <c r="BO345" s="1"/>
      <c r="BP345" s="1"/>
      <c r="BQ345" s="1"/>
    </row>
    <row r="346" ht="15.75" customHeight="1">
      <c r="A346" s="1" t="str">
        <f>IFERROR(__xludf.DUMMYFUNCTION("""COMPUTED_VALUE"""),"Puzzle: The Chosen One")</f>
        <v>Puzzle: The Chosen One</v>
      </c>
      <c r="B346" s="1">
        <f>IFERROR(__xludf.DUMMYFUNCTION("""COMPUTED_VALUE"""),1.0)</f>
        <v>1</v>
      </c>
      <c r="C346" s="1"/>
      <c r="D346" s="1" t="str">
        <f>IFERROR(__xludf.DUMMYFUNCTION("""COMPUTED_VALUE"""),"Trap/Puzzle")</f>
        <v>Trap/Puzzle</v>
      </c>
      <c r="E346" s="1">
        <f>IFERROR(__xludf.DUMMYFUNCTION("""COMPUTED_VALUE"""),1010.0)</f>
        <v>1010</v>
      </c>
      <c r="F346" s="7">
        <f>IFERROR(__xludf.DUMMYFUNCTION("""COMPUTED_VALUE"""),1010.0)</f>
        <v>1010</v>
      </c>
      <c r="G346" s="1">
        <f>IFERROR(__xludf.DUMMYFUNCTION("""COMPUTED_VALUE"""),1010.0)</f>
        <v>1010</v>
      </c>
      <c r="H346" s="1">
        <f>IFERROR(__xludf.DUMMYFUNCTION("""COMPUTED_VALUE"""),10.0)</f>
        <v>10</v>
      </c>
      <c r="I346" s="1">
        <f>IFERROR(__xludf.DUMMYFUNCTION("""COMPUTED_VALUE"""),0.0)</f>
        <v>0</v>
      </c>
      <c r="J346" s="1">
        <f>IFERROR(__xludf.DUMMYFUNCTION("""COMPUTED_VALUE"""),0.0)</f>
        <v>0</v>
      </c>
      <c r="K346" s="1">
        <f>IFERROR(__xludf.DUMMYFUNCTION("""COMPUTED_VALUE"""),100.0)</f>
        <v>100</v>
      </c>
      <c r="L346" s="1">
        <f>IFERROR(__xludf.DUMMYFUNCTION("""COMPUTED_VALUE"""),100.0)</f>
        <v>100</v>
      </c>
      <c r="M346" s="1" t="str">
        <f>IFERROR(__xludf.DUMMYFUNCTION("""COMPUTED_VALUE"""),"")</f>
        <v/>
      </c>
      <c r="N346" s="1" t="str">
        <f>IFERROR(__xludf.DUMMYFUNCTION("""COMPUTED_VALUE"""),"")</f>
        <v/>
      </c>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f>IFERROR(__xludf.DUMMYFUNCTION("""COMPUTED_VALUE"""),5.0)</f>
        <v>5</v>
      </c>
      <c r="BE346" s="9">
        <f>IFERROR(__xludf.DUMMYFUNCTION("""COMPUTED_VALUE"""),0.0)</f>
        <v>0</v>
      </c>
      <c r="BF346" s="1" t="str">
        <f>IFERROR(__xludf.DUMMYFUNCTION("""COMPUTED_VALUE"""),"Make a wisdom check.
These effects are applied during the next battle:
Succeed = Invigorated 3
Fail = Disarm 3")</f>
        <v>Make a wisdom check.
These effects are applied during the next battle:
Succeed = Invigorated 3
Fail = Disarm 3</v>
      </c>
      <c r="BG346" s="1" t="str">
        <f>IFERROR(__xludf.DUMMYFUNCTION("""COMPUTED_VALUE"""),"Dungeon")</f>
        <v>Dungeon</v>
      </c>
      <c r="BH346" s="1" t="str">
        <f>IFERROR(__xludf.DUMMYFUNCTION("""COMPUTED_VALUE"""),"Land of Spira")</f>
        <v>Land of Spira</v>
      </c>
      <c r="BI346" s="1"/>
      <c r="BJ346" s="1"/>
      <c r="BK346" s="1"/>
      <c r="BL346" s="1" t="b">
        <f>IFERROR(__xludf.DUMMYFUNCTION("""COMPUTED_VALUE"""),FALSE)</f>
        <v>0</v>
      </c>
      <c r="BM346" s="1"/>
      <c r="BN346" s="1"/>
      <c r="BO346" s="1"/>
      <c r="BP346" s="1"/>
      <c r="BQ346" s="1"/>
    </row>
    <row r="347" ht="15.75" customHeight="1">
      <c r="A347" s="1" t="str">
        <f>IFERROR(__xludf.DUMMYFUNCTION("""COMPUTED_VALUE"""),"The Ambrosian Paladins")</f>
        <v>The Ambrosian Paladins</v>
      </c>
      <c r="B347" s="1">
        <f>IFERROR(__xludf.DUMMYFUNCTION("""COMPUTED_VALUE"""),1.0)</f>
        <v>1</v>
      </c>
      <c r="C347" s="1" t="str">
        <f>IFERROR(__xludf.DUMMYFUNCTION("""COMPUTED_VALUE"""),"Paladins of Dionysus spreading song and sword across Spira")</f>
        <v>Paladins of Dionysus spreading song and sword across Spira</v>
      </c>
      <c r="D347" s="1" t="str">
        <f>IFERROR(__xludf.DUMMYFUNCTION("""COMPUTED_VALUE"""),"Humanoid")</f>
        <v>Humanoid</v>
      </c>
      <c r="E347" s="1">
        <f>IFERROR(__xludf.DUMMYFUNCTION("""COMPUTED_VALUE"""),1010.0)</f>
        <v>1010</v>
      </c>
      <c r="F347" s="7">
        <f>IFERROR(__xludf.DUMMYFUNCTION("""COMPUTED_VALUE"""),1010.0)</f>
        <v>1010</v>
      </c>
      <c r="G347" s="1">
        <f>IFERROR(__xludf.DUMMYFUNCTION("""COMPUTED_VALUE"""),211010.0)</f>
        <v>211010</v>
      </c>
      <c r="H347" s="1">
        <f>IFERROR(__xludf.DUMMYFUNCTION("""COMPUTED_VALUE"""),35.0)</f>
        <v>35</v>
      </c>
      <c r="I347" s="1">
        <f>IFERROR(__xludf.DUMMYFUNCTION("""COMPUTED_VALUE"""),0.0)</f>
        <v>0</v>
      </c>
      <c r="J347" s="1">
        <f>IFERROR(__xludf.DUMMYFUNCTION("""COMPUTED_VALUE"""),0.0)</f>
        <v>0</v>
      </c>
      <c r="K347" s="1">
        <f>IFERROR(__xludf.DUMMYFUNCTION("""COMPUTED_VALUE"""),100.0)</f>
        <v>100</v>
      </c>
      <c r="L347" s="1">
        <f>IFERROR(__xludf.DUMMYFUNCTION("""COMPUTED_VALUE"""),100.0)</f>
        <v>100</v>
      </c>
      <c r="M347" s="1" t="str">
        <f>IFERROR(__xludf.DUMMYFUNCTION("""COMPUTED_VALUE"""),"Order:100, Chaos:100, ")</f>
        <v>Order:100, Chaos:100, </v>
      </c>
      <c r="N347" s="1" t="str">
        <f>IFERROR(__xludf.DUMMYFUNCTION("""COMPUTED_VALUE"""),"")</f>
        <v/>
      </c>
      <c r="O347" s="1" t="str">
        <f>IFERROR(__xludf.DUMMYFUNCTION("""COMPUTED_VALUE"""),"Minstrel's Cap")</f>
        <v>Minstrel's Cap</v>
      </c>
      <c r="P347" s="1" t="str">
        <f>IFERROR(__xludf.DUMMYFUNCTION("""COMPUTED_VALUE"""),"Wreath of The Party's Fervor")</f>
        <v>Wreath of The Party's Fervor</v>
      </c>
      <c r="Q347" s="1"/>
      <c r="R347" s="1"/>
      <c r="S347" s="1" t="str">
        <f>IFERROR(__xludf.DUMMYFUNCTION("""COMPUTED_VALUE"""),"Minstrel's Cape")</f>
        <v>Minstrel's Cape</v>
      </c>
      <c r="T347" s="1" t="str">
        <f>IFERROR(__xludf.DUMMYFUNCTION("""COMPUTED_VALUE"""),"Minstrel's Doublet")</f>
        <v>Minstrel's Doublet</v>
      </c>
      <c r="U347" s="1" t="str">
        <f>IFERROR(__xludf.DUMMYFUNCTION("""COMPUTED_VALUE"""),"Minstrel's Cuffs")</f>
        <v>Minstrel's Cuffs</v>
      </c>
      <c r="V347" s="1" t="str">
        <f>IFERROR(__xludf.DUMMYFUNCTION("""COMPUTED_VALUE"""),"Wine Stained Buckler With Portable Alcoholism")</f>
        <v>Wine Stained Buckler With Portable Alcoholism</v>
      </c>
      <c r="W347" s="1" t="str">
        <f>IFERROR(__xludf.DUMMYFUNCTION("""COMPUTED_VALUE"""),"Heavenly Lute")</f>
        <v>Heavenly Lute</v>
      </c>
      <c r="X347" s="1" t="str">
        <f>IFERROR(__xludf.DUMMYFUNCTION("""COMPUTED_VALUE"""),"Brass Ring of Blackout Drunkeness")</f>
        <v>Brass Ring of Blackout Drunkeness</v>
      </c>
      <c r="Y347" s="1"/>
      <c r="Z347" s="1"/>
      <c r="AA347" s="1"/>
      <c r="AB347" s="1"/>
      <c r="AC347" s="1"/>
      <c r="AD347" s="1"/>
      <c r="AE347" s="1"/>
      <c r="AF347" s="1"/>
      <c r="AG347" s="1"/>
      <c r="AH347" s="1" t="str">
        <f>IFERROR(__xludf.DUMMYFUNCTION("""COMPUTED_VALUE"""),"Minstrel's Tights")</f>
        <v>Minstrel's Tights</v>
      </c>
      <c r="AI347" s="1" t="str">
        <f>IFERROR(__xludf.DUMMYFUNCTION("""COMPUTED_VALUE"""),"Minstrel's Boots")</f>
        <v>Minstrel's Boots</v>
      </c>
      <c r="AJ347" s="1" t="str">
        <f>IFERROR(__xludf.DUMMYFUNCTION("""COMPUTED_VALUE"""),"Acoustic Slam")</f>
        <v>Acoustic Slam</v>
      </c>
      <c r="AK347" s="1" t="str">
        <f>IFERROR(__xludf.DUMMYFUNCTION("""COMPUTED_VALUE"""),"Amplify")</f>
        <v>Amplify</v>
      </c>
      <c r="AL347" s="1" t="str">
        <f>IFERROR(__xludf.DUMMYFUNCTION("""COMPUTED_VALUE"""),"Chant of Discomfort")</f>
        <v>Chant of Discomfort</v>
      </c>
      <c r="AM347" s="1" t="str">
        <f>IFERROR(__xludf.DUMMYFUNCTION("""COMPUTED_VALUE"""),"Chanting Destruction")</f>
        <v>Chanting Destruction</v>
      </c>
      <c r="AN347" s="1" t="str">
        <f>IFERROR(__xludf.DUMMYFUNCTION("""COMPUTED_VALUE"""),"Choir of 1000 Voices")</f>
        <v>Choir of 1000 Voices</v>
      </c>
      <c r="AO347" s="1" t="str">
        <f>IFERROR(__xludf.DUMMYFUNCTION("""COMPUTED_VALUE"""),"Dreadful's Choir")</f>
        <v>Dreadful's Choir</v>
      </c>
      <c r="AP347" s="1" t="str">
        <f>IFERROR(__xludf.DUMMYFUNCTION("""COMPUTED_VALUE"""),"Healing Melody")</f>
        <v>Healing Melody</v>
      </c>
      <c r="AQ347" s="1" t="str">
        <f>IFERROR(__xludf.DUMMYFUNCTION("""COMPUTED_VALUE"""),"Intimidating Song")</f>
        <v>Intimidating Song</v>
      </c>
      <c r="AR347" s="1" t="str">
        <f>IFERROR(__xludf.DUMMYFUNCTION("""COMPUTED_VALUE"""),"Melodic Push")</f>
        <v>Melodic Push</v>
      </c>
      <c r="AS347" s="1" t="str">
        <f>IFERROR(__xludf.DUMMYFUNCTION("""COMPUTED_VALUE"""),"Thrash Sesh")</f>
        <v>Thrash Sesh</v>
      </c>
      <c r="AT347" s="1" t="str">
        <f>IFERROR(__xludf.DUMMYFUNCTION("""COMPUTED_VALUE"""),"Multi Ward")</f>
        <v>Multi Ward</v>
      </c>
      <c r="AU347" s="1" t="str">
        <f>IFERROR(__xludf.DUMMYFUNCTION("""COMPUTED_VALUE"""),"Celestial Wrath")</f>
        <v>Celestial Wrath</v>
      </c>
      <c r="AV347" s="1" t="str">
        <f>IFERROR(__xludf.DUMMYFUNCTION("""COMPUTED_VALUE"""),"Cancel")</f>
        <v>Cancel</v>
      </c>
      <c r="AW347" s="1" t="str">
        <f>IFERROR(__xludf.DUMMYFUNCTION("""COMPUTED_VALUE"""),"Arrest")</f>
        <v>Arrest</v>
      </c>
      <c r="AX347" s="1"/>
      <c r="AY347" s="1"/>
      <c r="AZ347" s="1"/>
      <c r="BA347" s="1"/>
      <c r="BB347" s="1"/>
      <c r="BC347" s="1"/>
      <c r="BD347" s="1">
        <f>IFERROR(__xludf.DUMMYFUNCTION("""COMPUTED_VALUE"""),0.0)</f>
        <v>0</v>
      </c>
      <c r="BE347" s="9">
        <f>IFERROR(__xludf.DUMMYFUNCTION("""COMPUTED_VALUE"""),25.0)</f>
        <v>25</v>
      </c>
      <c r="BF347" s="1" t="str">
        <f>IFERROR(__xludf.DUMMYFUNCTION("""COMPUTED_VALUE"""),"Blessing of the Party I: X4 Acoustic Damage
Dionysus' Nature: Upon inflciting either yourself or any ally with a buff of any kind you grant that buff to all allies and the inverse debuff to one enemy. Upon drinking any alcoholic Beverages you enter an en"&amp;"raged state dealing X4 damage and acting under the affects of Haste 6.
+5 can be added to this mobs rolls")</f>
        <v>Blessing of the Party I: X4 Acoustic Damage
Dionysus' Nature: Upon inflciting either yourself or any ally with a buff of any kind you grant that buff to all allies and the inverse debuff to one enemy. Upon drinking any alcoholic Beverages you enter an enraged state dealing X4 damage and acting under the affects of Haste 6.
+5 can be added to this mobs rolls</v>
      </c>
      <c r="BG347" s="1" t="str">
        <f>IFERROR(__xludf.DUMMYFUNCTION("""COMPUTED_VALUE"""),"All")</f>
        <v>All</v>
      </c>
      <c r="BH347" s="1" t="str">
        <f>IFERROR(__xludf.DUMMYFUNCTION("""COMPUTED_VALUE"""),"Solreach")</f>
        <v>Solreach</v>
      </c>
      <c r="BI347" s="1"/>
      <c r="BJ347" s="1"/>
      <c r="BK347" s="1"/>
      <c r="BL347" s="1" t="b">
        <f>IFERROR(__xludf.DUMMYFUNCTION("""COMPUTED_VALUE"""),FALSE)</f>
        <v>0</v>
      </c>
      <c r="BM347" s="1"/>
      <c r="BN347" s="1"/>
      <c r="BO347" s="1"/>
      <c r="BP347" s="1"/>
      <c r="BQ347" s="1"/>
    </row>
    <row r="348" ht="15.75" customHeight="1">
      <c r="A348" s="1" t="str">
        <f>IFERROR(__xludf.DUMMYFUNCTION("""COMPUTED_VALUE"""),"Wave Rider Paladins")</f>
        <v>Wave Rider Paladins</v>
      </c>
      <c r="B348" s="1">
        <f>IFERROR(__xludf.DUMMYFUNCTION("""COMPUTED_VALUE"""),1.0)</f>
        <v>1</v>
      </c>
      <c r="C348" s="1" t="str">
        <f>IFERROR(__xludf.DUMMYFUNCTION("""COMPUTED_VALUE"""),"Paladins of Neptune")</f>
        <v>Paladins of Neptune</v>
      </c>
      <c r="D348" s="1" t="str">
        <f>IFERROR(__xludf.DUMMYFUNCTION("""COMPUTED_VALUE"""),"Humanoid")</f>
        <v>Humanoid</v>
      </c>
      <c r="E348" s="1">
        <f>IFERROR(__xludf.DUMMYFUNCTION("""COMPUTED_VALUE"""),1010.0)</f>
        <v>1010</v>
      </c>
      <c r="F348" s="7">
        <f>IFERROR(__xludf.DUMMYFUNCTION("""COMPUTED_VALUE"""),1010.0)</f>
        <v>1010</v>
      </c>
      <c r="G348" s="1">
        <f>IFERROR(__xludf.DUMMYFUNCTION("""COMPUTED_VALUE"""),1010.0)</f>
        <v>1010</v>
      </c>
      <c r="H348" s="1">
        <f>IFERROR(__xludf.DUMMYFUNCTION("""COMPUTED_VALUE"""),25.0)</f>
        <v>25</v>
      </c>
      <c r="I348" s="1">
        <f>IFERROR(__xludf.DUMMYFUNCTION("""COMPUTED_VALUE"""),0.0)</f>
        <v>0</v>
      </c>
      <c r="J348" s="1">
        <f>IFERROR(__xludf.DUMMYFUNCTION("""COMPUTED_VALUE"""),0.0)</f>
        <v>0</v>
      </c>
      <c r="K348" s="1">
        <f>IFERROR(__xludf.DUMMYFUNCTION("""COMPUTED_VALUE"""),100.0)</f>
        <v>100</v>
      </c>
      <c r="L348" s="1">
        <f>IFERROR(__xludf.DUMMYFUNCTION("""COMPUTED_VALUE"""),100.0)</f>
        <v>100</v>
      </c>
      <c r="M348" s="1" t="str">
        <f>IFERROR(__xludf.DUMMYFUNCTION("""COMPUTED_VALUE"""),"Water:Immune, Storm:Immune, Instant Death:Immune, Banishment:Immune, ")</f>
        <v>Water:Immune, Storm:Immune, Instant Death:Immune, Banishment:Immune, </v>
      </c>
      <c r="N348" s="1" t="str">
        <f>IFERROR(__xludf.DUMMYFUNCTION("""COMPUTED_VALUE"""),"Nature:100, ")</f>
        <v>Nature:100, </v>
      </c>
      <c r="O348" s="1" t="str">
        <f>IFERROR(__xludf.DUMMYFUNCTION("""COMPUTED_VALUE"""),"Aquatic Helmet of Atlantis")</f>
        <v>Aquatic Helmet of Atlantis</v>
      </c>
      <c r="P348" s="1"/>
      <c r="Q348" s="1"/>
      <c r="R348" s="1"/>
      <c r="S348" s="1" t="str">
        <f>IFERROR(__xludf.DUMMYFUNCTION("""COMPUTED_VALUE"""),"Aquatic Pauldrons of Atlantis")</f>
        <v>Aquatic Pauldrons of Atlantis</v>
      </c>
      <c r="T348" s="1" t="str">
        <f>IFERROR(__xludf.DUMMYFUNCTION("""COMPUTED_VALUE"""),"Aquatic Chestplate of Atlantis")</f>
        <v>Aquatic Chestplate of Atlantis</v>
      </c>
      <c r="U348" s="1" t="str">
        <f>IFERROR(__xludf.DUMMYFUNCTION("""COMPUTED_VALUE"""),"Aquatic Vambraces of Atlantis")</f>
        <v>Aquatic Vambraces of Atlantis</v>
      </c>
      <c r="V348" s="1"/>
      <c r="W348" s="1" t="str">
        <f>IFERROR(__xludf.DUMMYFUNCTION("""COMPUTED_VALUE"""),"Aquatic Sword of Atlantis")</f>
        <v>Aquatic Sword of Atlantis</v>
      </c>
      <c r="X348" s="1"/>
      <c r="Y348" s="1"/>
      <c r="Z348" s="1"/>
      <c r="AA348" s="1"/>
      <c r="AB348" s="1"/>
      <c r="AC348" s="1"/>
      <c r="AD348" s="1"/>
      <c r="AE348" s="1"/>
      <c r="AF348" s="1"/>
      <c r="AG348" s="1"/>
      <c r="AH348" s="1" t="str">
        <f>IFERROR(__xludf.DUMMYFUNCTION("""COMPUTED_VALUE"""),"Aquatic Greaves of Atlantis")</f>
        <v>Aquatic Greaves of Atlantis</v>
      </c>
      <c r="AI348" s="1" t="str">
        <f>IFERROR(__xludf.DUMMYFUNCTION("""COMPUTED_VALUE"""),"Aquatic Boots of Atlantis")</f>
        <v>Aquatic Boots of Atlantis</v>
      </c>
      <c r="AJ348" s="1" t="str">
        <f>IFERROR(__xludf.DUMMYFUNCTION("""COMPUTED_VALUE"""),"Frostbite")</f>
        <v>Frostbite</v>
      </c>
      <c r="AK348" s="1" t="str">
        <f>IFERROR(__xludf.DUMMYFUNCTION("""COMPUTED_VALUE"""),"Deep Freeze")</f>
        <v>Deep Freeze</v>
      </c>
      <c r="AL348" s="1" t="str">
        <f>IFERROR(__xludf.DUMMYFUNCTION("""COMPUTED_VALUE"""),"Torrential Downpour")</f>
        <v>Torrential Downpour</v>
      </c>
      <c r="AM348" s="1" t="str">
        <f>IFERROR(__xludf.DUMMYFUNCTION("""COMPUTED_VALUE"""),"Crashing Waves")</f>
        <v>Crashing Waves</v>
      </c>
      <c r="AN348" s="1" t="str">
        <f>IFERROR(__xludf.DUMMYFUNCTION("""COMPUTED_VALUE"""),"Berserk")</f>
        <v>Berserk</v>
      </c>
      <c r="AO348" s="1" t="str">
        <f>IFERROR(__xludf.DUMMYFUNCTION("""COMPUTED_VALUE"""),"Celestial Wrath")</f>
        <v>Celestial Wrath</v>
      </c>
      <c r="AP348" s="1" t="str">
        <f>IFERROR(__xludf.DUMMYFUNCTION("""COMPUTED_VALUE"""),"Water Ward")</f>
        <v>Water Ward</v>
      </c>
      <c r="AQ348" s="1" t="str">
        <f>IFERROR(__xludf.DUMMYFUNCTION("""COMPUTED_VALUE"""),"Multishot")</f>
        <v>Multishot</v>
      </c>
      <c r="AR348" s="1" t="str">
        <f>IFERROR(__xludf.DUMMYFUNCTION("""COMPUTED_VALUE"""),"Cancel")</f>
        <v>Cancel</v>
      </c>
      <c r="AS348" s="1" t="str">
        <f>IFERROR(__xludf.DUMMYFUNCTION("""COMPUTED_VALUE"""),"Arrest")</f>
        <v>Arrest</v>
      </c>
      <c r="AT348" s="1"/>
      <c r="AU348" s="1"/>
      <c r="AV348" s="1"/>
      <c r="AW348" s="1"/>
      <c r="AX348" s="1"/>
      <c r="AY348" s="1"/>
      <c r="AZ348" s="1"/>
      <c r="BA348" s="1"/>
      <c r="BB348" s="1"/>
      <c r="BC348" s="1"/>
      <c r="BD348" s="1">
        <f>IFERROR(__xludf.DUMMYFUNCTION("""COMPUTED_VALUE"""),0.0)</f>
        <v>0</v>
      </c>
      <c r="BE348" s="9">
        <f>IFERROR(__xludf.DUMMYFUNCTION("""COMPUTED_VALUE"""),15.0)</f>
        <v>15</v>
      </c>
      <c r="BF348" s="1" t="str">
        <f>IFERROR(__xludf.DUMMYFUNCTION("""COMPUTED_VALUE"""),"Blessing of the Seas I: X4 Water Damage, water Immunity, and gains the effects of ""multi-magic"" on All water Spells X4 Water Damage, water Immunity, and gains the effects of ""multi-magic"" on All water Spells
Release the Kraken:
When near any source o"&amp;"f water roll a d20 at the beginning of battle and each of your turns, 10 or lower = Normal-Form, 11 or higher = Kraken-Form. Your base stats are doubled, you gain +10 Mobility, and you gain Immunity to Fire and Water. Roll a d20 each round, 10 or lower = "&amp;"Return to your normal form, 11 or higher = stay in Kraken-Form. This ability lasts until the end of battle.")</f>
        <v>Blessing of the Seas I: X4 Water Damage, water Immunity, and gains the effects of "multi-magic" on All water Spells X4 Water Damage, water Immunity, and gains the effects of "multi-magic" on All water Spells
Release the Kraken:
When near any source of water roll a d20 at the beginning of battle and each of your turns, 10 or lower = Normal-Form, 11 or higher = Kraken-Form. Your base stats are doubled, you gain +10 Mobility, and you gain Immunity to Fire and Water. Roll a d20 each round, 10 or lower = Return to your normal form, 11 or higher = stay in Kraken-Form. This ability lasts until the end of battle.</v>
      </c>
      <c r="BG348" s="1" t="str">
        <f>IFERROR(__xludf.DUMMYFUNCTION("""COMPUTED_VALUE"""),"All")</f>
        <v>All</v>
      </c>
      <c r="BH348" s="1" t="str">
        <f>IFERROR(__xludf.DUMMYFUNCTION("""COMPUTED_VALUE"""),"Dragonscale Island")</f>
        <v>Dragonscale Island</v>
      </c>
      <c r="BI348" s="1"/>
      <c r="BJ348" s="1"/>
      <c r="BK348" s="1"/>
      <c r="BL348" s="1" t="b">
        <f>IFERROR(__xludf.DUMMYFUNCTION("""COMPUTED_VALUE"""),FALSE)</f>
        <v>0</v>
      </c>
      <c r="BM348" s="1"/>
      <c r="BN348" s="1"/>
      <c r="BO348" s="1"/>
      <c r="BP348" s="1"/>
      <c r="BQ348" s="1"/>
    </row>
    <row r="349" ht="15.75" customHeight="1">
      <c r="A349" s="1" t="str">
        <f>IFERROR(__xludf.DUMMYFUNCTION("""COMPUTED_VALUE"""),"Urchin Swiffer Paladins")</f>
        <v>Urchin Swiffer Paladins</v>
      </c>
      <c r="B349" s="1">
        <f>IFERROR(__xludf.DUMMYFUNCTION("""COMPUTED_VALUE"""),1.0)</f>
        <v>1</v>
      </c>
      <c r="C349" s="1" t="str">
        <f>IFERROR(__xludf.DUMMYFUNCTION("""COMPUTED_VALUE"""),"Paladins of Poseidon")</f>
        <v>Paladins of Poseidon</v>
      </c>
      <c r="D349" s="1" t="str">
        <f>IFERROR(__xludf.DUMMYFUNCTION("""COMPUTED_VALUE"""),"Humanoid")</f>
        <v>Humanoid</v>
      </c>
      <c r="E349" s="1">
        <f>IFERROR(__xludf.DUMMYFUNCTION("""COMPUTED_VALUE"""),1010.0)</f>
        <v>1010</v>
      </c>
      <c r="F349" s="7">
        <f>IFERROR(__xludf.DUMMYFUNCTION("""COMPUTED_VALUE"""),1010.0)</f>
        <v>1010</v>
      </c>
      <c r="G349" s="1">
        <f>IFERROR(__xludf.DUMMYFUNCTION("""COMPUTED_VALUE"""),1010.0)</f>
        <v>1010</v>
      </c>
      <c r="H349" s="1">
        <f>IFERROR(__xludf.DUMMYFUNCTION("""COMPUTED_VALUE"""),25.0)</f>
        <v>25</v>
      </c>
      <c r="I349" s="1">
        <f>IFERROR(__xludf.DUMMYFUNCTION("""COMPUTED_VALUE"""),0.0)</f>
        <v>0</v>
      </c>
      <c r="J349" s="1">
        <f>IFERROR(__xludf.DUMMYFUNCTION("""COMPUTED_VALUE"""),0.0)</f>
        <v>0</v>
      </c>
      <c r="K349" s="1">
        <f>IFERROR(__xludf.DUMMYFUNCTION("""COMPUTED_VALUE"""),100.0)</f>
        <v>100</v>
      </c>
      <c r="L349" s="1">
        <f>IFERROR(__xludf.DUMMYFUNCTION("""COMPUTED_VALUE"""),100.0)</f>
        <v>100</v>
      </c>
      <c r="M349" s="1" t="str">
        <f>IFERROR(__xludf.DUMMYFUNCTION("""COMPUTED_VALUE"""),"Water:Immune, Storm:Immune, Instant Death:Immune, Banishment:Immune, ")</f>
        <v>Water:Immune, Storm:Immune, Instant Death:Immune, Banishment:Immune, </v>
      </c>
      <c r="N349" s="1" t="str">
        <f>IFERROR(__xludf.DUMMYFUNCTION("""COMPUTED_VALUE"""),"Nature:100, ")</f>
        <v>Nature:100, </v>
      </c>
      <c r="O349" s="1" t="str">
        <f>IFERROR(__xludf.DUMMYFUNCTION("""COMPUTED_VALUE"""),"Aquatic Helmet of Atlantis")</f>
        <v>Aquatic Helmet of Atlantis</v>
      </c>
      <c r="P349" s="1"/>
      <c r="Q349" s="1"/>
      <c r="R349" s="1"/>
      <c r="S349" s="1" t="str">
        <f>IFERROR(__xludf.DUMMYFUNCTION("""COMPUTED_VALUE"""),"Aquatic Pauldrons of Atlantis")</f>
        <v>Aquatic Pauldrons of Atlantis</v>
      </c>
      <c r="T349" s="1" t="str">
        <f>IFERROR(__xludf.DUMMYFUNCTION("""COMPUTED_VALUE"""),"Aquatic Chestplate of Atlantis")</f>
        <v>Aquatic Chestplate of Atlantis</v>
      </c>
      <c r="U349" s="1" t="str">
        <f>IFERROR(__xludf.DUMMYFUNCTION("""COMPUTED_VALUE"""),"Aquatic Vambraces of Atlantis")</f>
        <v>Aquatic Vambraces of Atlantis</v>
      </c>
      <c r="V349" s="1"/>
      <c r="W349" s="1" t="str">
        <f>IFERROR(__xludf.DUMMYFUNCTION("""COMPUTED_VALUE"""),"Aquatic Sword of Atlantis")</f>
        <v>Aquatic Sword of Atlantis</v>
      </c>
      <c r="X349" s="1"/>
      <c r="Y349" s="1"/>
      <c r="Z349" s="1"/>
      <c r="AA349" s="1"/>
      <c r="AB349" s="1"/>
      <c r="AC349" s="1"/>
      <c r="AD349" s="1"/>
      <c r="AE349" s="1"/>
      <c r="AF349" s="1"/>
      <c r="AG349" s="1"/>
      <c r="AH349" s="1" t="str">
        <f>IFERROR(__xludf.DUMMYFUNCTION("""COMPUTED_VALUE"""),"Aquatic Greaves of Atlantis")</f>
        <v>Aquatic Greaves of Atlantis</v>
      </c>
      <c r="AI349" s="1" t="str">
        <f>IFERROR(__xludf.DUMMYFUNCTION("""COMPUTED_VALUE"""),"Aquatic Boots of Atlantis")</f>
        <v>Aquatic Boots of Atlantis</v>
      </c>
      <c r="AJ349" s="1" t="str">
        <f>IFERROR(__xludf.DUMMYFUNCTION("""COMPUTED_VALUE"""),"Frostbite")</f>
        <v>Frostbite</v>
      </c>
      <c r="AK349" s="1" t="str">
        <f>IFERROR(__xludf.DUMMYFUNCTION("""COMPUTED_VALUE"""),"Deep Freeze")</f>
        <v>Deep Freeze</v>
      </c>
      <c r="AL349" s="1" t="str">
        <f>IFERROR(__xludf.DUMMYFUNCTION("""COMPUTED_VALUE"""),"Torrential Downpour")</f>
        <v>Torrential Downpour</v>
      </c>
      <c r="AM349" s="1" t="str">
        <f>IFERROR(__xludf.DUMMYFUNCTION("""COMPUTED_VALUE"""),"Crashing Waves")</f>
        <v>Crashing Waves</v>
      </c>
      <c r="AN349" s="1" t="str">
        <f>IFERROR(__xludf.DUMMYFUNCTION("""COMPUTED_VALUE"""),"Berserk")</f>
        <v>Berserk</v>
      </c>
      <c r="AO349" s="1" t="str">
        <f>IFERROR(__xludf.DUMMYFUNCTION("""COMPUTED_VALUE"""),"Celestial Wrath")</f>
        <v>Celestial Wrath</v>
      </c>
      <c r="AP349" s="1" t="str">
        <f>IFERROR(__xludf.DUMMYFUNCTION("""COMPUTED_VALUE"""),"Water Ward")</f>
        <v>Water Ward</v>
      </c>
      <c r="AQ349" s="1" t="str">
        <f>IFERROR(__xludf.DUMMYFUNCTION("""COMPUTED_VALUE"""),"Multishot")</f>
        <v>Multishot</v>
      </c>
      <c r="AR349" s="1" t="str">
        <f>IFERROR(__xludf.DUMMYFUNCTION("""COMPUTED_VALUE"""),"Cancel")</f>
        <v>Cancel</v>
      </c>
      <c r="AS349" s="1" t="str">
        <f>IFERROR(__xludf.DUMMYFUNCTION("""COMPUTED_VALUE"""),"Arrest")</f>
        <v>Arrest</v>
      </c>
      <c r="AT349" s="1"/>
      <c r="AU349" s="1"/>
      <c r="AV349" s="1"/>
      <c r="AW349" s="1"/>
      <c r="AX349" s="1"/>
      <c r="AY349" s="1"/>
      <c r="AZ349" s="1"/>
      <c r="BA349" s="1"/>
      <c r="BB349" s="1"/>
      <c r="BC349" s="1"/>
      <c r="BD349" s="1">
        <f>IFERROR(__xludf.DUMMYFUNCTION("""COMPUTED_VALUE"""),0.0)</f>
        <v>0</v>
      </c>
      <c r="BE349" s="9">
        <f>IFERROR(__xludf.DUMMYFUNCTION("""COMPUTED_VALUE"""),15.0)</f>
        <v>15</v>
      </c>
      <c r="BF349" s="1" t="str">
        <f>IFERROR(__xludf.DUMMYFUNCTION("""COMPUTED_VALUE"""),"Blessing of the Seas I: X4 Water Damage, water Immunity, and gains the effects of ""multi-magic"" on All water Spells X4 Water Damage, water Immunity, and gains the effects of ""multi-magic"" on All water Spells
Release the Kraken:
When near any source o"&amp;"f water roll a d20 at the beginning of battle and each of your turns, 10 or lower = Normal-Form, 11 or higher = Kraken-Form. Your base stats are doubled, you gain +10 Mobility, and you gain Immunity to Fire and Water. Roll a d20 each round, 10 or lower = "&amp;"Return to your normal form, 11 or higher = stay in Kraken-Form. This ability lasts until the end of battle.")</f>
        <v>Blessing of the Seas I: X4 Water Damage, water Immunity, and gains the effects of "multi-magic" on All water Spells X4 Water Damage, water Immunity, and gains the effects of "multi-magic" on All water Spells
Release the Kraken:
When near any source of water roll a d20 at the beginning of battle and each of your turns, 10 or lower = Normal-Form, 11 or higher = Kraken-Form. Your base stats are doubled, you gain +10 Mobility, and you gain Immunity to Fire and Water. Roll a d20 each round, 10 or lower = Return to your normal form, 11 or higher = stay in Kraken-Form. This ability lasts until the end of battle.</v>
      </c>
      <c r="BG349" s="1" t="str">
        <f>IFERROR(__xludf.DUMMYFUNCTION("""COMPUTED_VALUE"""),"All")</f>
        <v>All</v>
      </c>
      <c r="BH349" s="1" t="str">
        <f>IFERROR(__xludf.DUMMYFUNCTION("""COMPUTED_VALUE"""),"Land of Spira")</f>
        <v>Land of Spira</v>
      </c>
      <c r="BI349" s="1"/>
      <c r="BJ349" s="1"/>
      <c r="BK349" s="1"/>
      <c r="BL349" s="1" t="b">
        <f>IFERROR(__xludf.DUMMYFUNCTION("""COMPUTED_VALUE"""),FALSE)</f>
        <v>0</v>
      </c>
      <c r="BM349" s="1"/>
      <c r="BN349" s="1"/>
      <c r="BO349" s="1"/>
      <c r="BP349" s="1"/>
      <c r="BQ349" s="1"/>
    </row>
    <row r="350" ht="15.75" customHeight="1">
      <c r="A350" s="1" t="str">
        <f>IFERROR(__xludf.DUMMYFUNCTION("""COMPUTED_VALUE"""),"Poseidon, God of Tritonoch")</f>
        <v>Poseidon, God of Tritonoch</v>
      </c>
      <c r="B350" s="1">
        <f>IFERROR(__xludf.DUMMYFUNCTION("""COMPUTED_VALUE"""),1.0)</f>
        <v>1</v>
      </c>
      <c r="C350" s="1"/>
      <c r="D350" s="1" t="str">
        <f>IFERROR(__xludf.DUMMYFUNCTION("""COMPUTED_VALUE"""),"God")</f>
        <v>God</v>
      </c>
      <c r="E350" s="1">
        <f>IFERROR(__xludf.DUMMYFUNCTION("""COMPUTED_VALUE"""),1010.0)</f>
        <v>1010</v>
      </c>
      <c r="F350" s="7">
        <f>IFERROR(__xludf.DUMMYFUNCTION("""COMPUTED_VALUE"""),1010.0)</f>
        <v>1010</v>
      </c>
      <c r="G350" s="1">
        <f>IFERROR(__xludf.DUMMYFUNCTION("""COMPUTED_VALUE"""),1010.0)</f>
        <v>1010</v>
      </c>
      <c r="H350" s="1">
        <f>IFERROR(__xludf.DUMMYFUNCTION("""COMPUTED_VALUE"""),25.0)</f>
        <v>25</v>
      </c>
      <c r="I350" s="1">
        <f>IFERROR(__xludf.DUMMYFUNCTION("""COMPUTED_VALUE"""),0.0)</f>
        <v>0</v>
      </c>
      <c r="J350" s="1">
        <f>IFERROR(__xludf.DUMMYFUNCTION("""COMPUTED_VALUE"""),0.0)</f>
        <v>0</v>
      </c>
      <c r="K350" s="1">
        <f>IFERROR(__xludf.DUMMYFUNCTION("""COMPUTED_VALUE"""),100.0)</f>
        <v>100</v>
      </c>
      <c r="L350" s="1">
        <f>IFERROR(__xludf.DUMMYFUNCTION("""COMPUTED_VALUE"""),100.0)</f>
        <v>100</v>
      </c>
      <c r="M350" s="1" t="str">
        <f>IFERROR(__xludf.DUMMYFUNCTION("""COMPUTED_VALUE"""),"")</f>
        <v/>
      </c>
      <c r="N350" s="1" t="str">
        <f>IFERROR(__xludf.DUMMYFUNCTION("""COMPUTED_VALUE"""),"Celestial:100, ")</f>
        <v>Celestial:100, </v>
      </c>
      <c r="O350" s="1"/>
      <c r="P350" s="1"/>
      <c r="Q350" s="1"/>
      <c r="R350" s="1"/>
      <c r="S350" s="1"/>
      <c r="T350" s="1"/>
      <c r="U350" s="1"/>
      <c r="V350" s="1"/>
      <c r="W350" s="1"/>
      <c r="X350" s="1"/>
      <c r="Y350" s="1"/>
      <c r="Z350" s="1"/>
      <c r="AA350" s="1"/>
      <c r="AB350" s="1"/>
      <c r="AC350" s="1"/>
      <c r="AD350" s="1"/>
      <c r="AE350" s="1"/>
      <c r="AF350" s="1"/>
      <c r="AG350" s="1"/>
      <c r="AH350" s="1"/>
      <c r="AI350" s="1"/>
      <c r="AJ350" s="1"/>
      <c r="AK350" s="1"/>
      <c r="AL350" s="1" t="str">
        <f>IFERROR(__xludf.DUMMYFUNCTION("""COMPUTED_VALUE"""),"Torrential Downpour")</f>
        <v>Torrential Downpour</v>
      </c>
      <c r="AM350" s="1" t="str">
        <f>IFERROR(__xludf.DUMMYFUNCTION("""COMPUTED_VALUE"""),"Crashing Waves")</f>
        <v>Crashing Waves</v>
      </c>
      <c r="AN350" s="1" t="str">
        <f>IFERROR(__xludf.DUMMYFUNCTION("""COMPUTED_VALUE"""),"Berserk")</f>
        <v>Berserk</v>
      </c>
      <c r="AO350" s="1" t="str">
        <f>IFERROR(__xludf.DUMMYFUNCTION("""COMPUTED_VALUE"""),"Mass Destruction")</f>
        <v>Mass Destruction</v>
      </c>
      <c r="AP350" s="1" t="str">
        <f>IFERROR(__xludf.DUMMYFUNCTION("""COMPUTED_VALUE"""),"Water Ward")</f>
        <v>Water Ward</v>
      </c>
      <c r="AQ350" s="1" t="str">
        <f>IFERROR(__xludf.DUMMYFUNCTION("""COMPUTED_VALUE"""),"Multishot")</f>
        <v>Multishot</v>
      </c>
      <c r="AR350" s="1" t="str">
        <f>IFERROR(__xludf.DUMMYFUNCTION("""COMPUTED_VALUE"""),"Cancel")</f>
        <v>Cancel</v>
      </c>
      <c r="AS350" s="1"/>
      <c r="AT350" s="1"/>
      <c r="AU350" s="1"/>
      <c r="AV350" s="1"/>
      <c r="AW350" s="1"/>
      <c r="AX350" s="1"/>
      <c r="AY350" s="1"/>
      <c r="AZ350" s="1"/>
      <c r="BA350" s="1"/>
      <c r="BB350" s="1"/>
      <c r="BC350" s="1"/>
      <c r="BD350" s="1">
        <f>IFERROR(__xludf.DUMMYFUNCTION("""COMPUTED_VALUE"""),0.0)</f>
        <v>0</v>
      </c>
      <c r="BE350" s="9">
        <f>IFERROR(__xludf.DUMMYFUNCTION("""COMPUTED_VALUE"""),15.0)</f>
        <v>15</v>
      </c>
      <c r="BF350" s="1"/>
      <c r="BG350" s="1"/>
      <c r="BH350" s="1" t="str">
        <f>IFERROR(__xludf.DUMMYFUNCTION("""COMPUTED_VALUE"""),"Land of Spira")</f>
        <v>Land of Spira</v>
      </c>
      <c r="BI350" s="1"/>
      <c r="BJ350" s="1"/>
      <c r="BK350" s="1"/>
      <c r="BL350" s="1" t="b">
        <f>IFERROR(__xludf.DUMMYFUNCTION("""COMPUTED_VALUE"""),FALSE)</f>
        <v>0</v>
      </c>
      <c r="BM350" s="1"/>
      <c r="BN350" s="1"/>
      <c r="BO350" s="1"/>
      <c r="BP350" s="1"/>
      <c r="BQ350" s="1"/>
    </row>
    <row r="351" ht="15.75" customHeight="1">
      <c r="A351" s="1" t="str">
        <f>IFERROR(__xludf.DUMMYFUNCTION("""COMPUTED_VALUE"""),"Neptune, God of Atlotopia")</f>
        <v>Neptune, God of Atlotopia</v>
      </c>
      <c r="B351" s="1">
        <f>IFERROR(__xludf.DUMMYFUNCTION("""COMPUTED_VALUE"""),1.0)</f>
        <v>1</v>
      </c>
      <c r="C351" s="1"/>
      <c r="D351" s="1" t="str">
        <f>IFERROR(__xludf.DUMMYFUNCTION("""COMPUTED_VALUE"""),"God")</f>
        <v>God</v>
      </c>
      <c r="E351" s="1">
        <f>IFERROR(__xludf.DUMMYFUNCTION("""COMPUTED_VALUE"""),1010.0)</f>
        <v>1010</v>
      </c>
      <c r="F351" s="7">
        <f>IFERROR(__xludf.DUMMYFUNCTION("""COMPUTED_VALUE"""),1010.0)</f>
        <v>1010</v>
      </c>
      <c r="G351" s="1">
        <f>IFERROR(__xludf.DUMMYFUNCTION("""COMPUTED_VALUE"""),1010.0)</f>
        <v>1010</v>
      </c>
      <c r="H351" s="1">
        <f>IFERROR(__xludf.DUMMYFUNCTION("""COMPUTED_VALUE"""),25.0)</f>
        <v>25</v>
      </c>
      <c r="I351" s="1">
        <f>IFERROR(__xludf.DUMMYFUNCTION("""COMPUTED_VALUE"""),0.0)</f>
        <v>0</v>
      </c>
      <c r="J351" s="1">
        <f>IFERROR(__xludf.DUMMYFUNCTION("""COMPUTED_VALUE"""),0.0)</f>
        <v>0</v>
      </c>
      <c r="K351" s="1">
        <f>IFERROR(__xludf.DUMMYFUNCTION("""COMPUTED_VALUE"""),100.0)</f>
        <v>100</v>
      </c>
      <c r="L351" s="1">
        <f>IFERROR(__xludf.DUMMYFUNCTION("""COMPUTED_VALUE"""),100.0)</f>
        <v>100</v>
      </c>
      <c r="M351" s="1" t="str">
        <f>IFERROR(__xludf.DUMMYFUNCTION("""COMPUTED_VALUE"""),"")</f>
        <v/>
      </c>
      <c r="N351" s="1" t="str">
        <f>IFERROR(__xludf.DUMMYFUNCTION("""COMPUTED_VALUE"""),"Celestial:100, ")</f>
        <v>Celestial:100, </v>
      </c>
      <c r="O351" s="1"/>
      <c r="P351" s="1"/>
      <c r="Q351" s="1"/>
      <c r="R351" s="1"/>
      <c r="S351" s="1"/>
      <c r="T351" s="1"/>
      <c r="U351" s="1"/>
      <c r="V351" s="1"/>
      <c r="W351" s="1"/>
      <c r="X351" s="1"/>
      <c r="Y351" s="1"/>
      <c r="Z351" s="1"/>
      <c r="AA351" s="1"/>
      <c r="AB351" s="1"/>
      <c r="AC351" s="1"/>
      <c r="AD351" s="1"/>
      <c r="AE351" s="1"/>
      <c r="AF351" s="1"/>
      <c r="AG351" s="1"/>
      <c r="AH351" s="1"/>
      <c r="AI351" s="1"/>
      <c r="AJ351" s="1"/>
      <c r="AK351" s="1"/>
      <c r="AL351" s="1" t="str">
        <f>IFERROR(__xludf.DUMMYFUNCTION("""COMPUTED_VALUE"""),"Torrential Downpour")</f>
        <v>Torrential Downpour</v>
      </c>
      <c r="AM351" s="1" t="str">
        <f>IFERROR(__xludf.DUMMYFUNCTION("""COMPUTED_VALUE"""),"Crashing Waves")</f>
        <v>Crashing Waves</v>
      </c>
      <c r="AN351" s="1" t="str">
        <f>IFERROR(__xludf.DUMMYFUNCTION("""COMPUTED_VALUE"""),"Berserk")</f>
        <v>Berserk</v>
      </c>
      <c r="AO351" s="1" t="str">
        <f>IFERROR(__xludf.DUMMYFUNCTION("""COMPUTED_VALUE"""),"Mass Destruction")</f>
        <v>Mass Destruction</v>
      </c>
      <c r="AP351" s="1" t="str">
        <f>IFERROR(__xludf.DUMMYFUNCTION("""COMPUTED_VALUE"""),"Water Ward")</f>
        <v>Water Ward</v>
      </c>
      <c r="AQ351" s="1" t="str">
        <f>IFERROR(__xludf.DUMMYFUNCTION("""COMPUTED_VALUE"""),"Multishot")</f>
        <v>Multishot</v>
      </c>
      <c r="AR351" s="1" t="str">
        <f>IFERROR(__xludf.DUMMYFUNCTION("""COMPUTED_VALUE"""),"Cancel")</f>
        <v>Cancel</v>
      </c>
      <c r="AS351" s="1"/>
      <c r="AT351" s="1"/>
      <c r="AU351" s="1"/>
      <c r="AV351" s="1"/>
      <c r="AW351" s="1"/>
      <c r="AX351" s="1"/>
      <c r="AY351" s="1"/>
      <c r="AZ351" s="1"/>
      <c r="BA351" s="1"/>
      <c r="BB351" s="1"/>
      <c r="BC351" s="1"/>
      <c r="BD351" s="1">
        <f>IFERROR(__xludf.DUMMYFUNCTION("""COMPUTED_VALUE"""),0.0)</f>
        <v>0</v>
      </c>
      <c r="BE351" s="9">
        <f>IFERROR(__xludf.DUMMYFUNCTION("""COMPUTED_VALUE"""),15.0)</f>
        <v>15</v>
      </c>
      <c r="BF351" s="1"/>
      <c r="BG351" s="1"/>
      <c r="BH351" s="1" t="str">
        <f>IFERROR(__xludf.DUMMYFUNCTION("""COMPUTED_VALUE"""),"Dragonscale Island")</f>
        <v>Dragonscale Island</v>
      </c>
      <c r="BI351" s="1"/>
      <c r="BJ351" s="1"/>
      <c r="BK351" s="1"/>
      <c r="BL351" s="1" t="b">
        <f>IFERROR(__xludf.DUMMYFUNCTION("""COMPUTED_VALUE"""),FALSE)</f>
        <v>0</v>
      </c>
      <c r="BM351" s="1"/>
      <c r="BN351" s="1"/>
      <c r="BO351" s="1"/>
      <c r="BP351" s="1"/>
      <c r="BQ351" s="1"/>
    </row>
    <row r="352" ht="15.75" customHeight="1">
      <c r="A352" s="1" t="str">
        <f>IFERROR(__xludf.DUMMYFUNCTION("""COMPUTED_VALUE"""),"Dionysus, The Eternal Party")</f>
        <v>Dionysus, The Eternal Party</v>
      </c>
      <c r="B352" s="1">
        <f>IFERROR(__xludf.DUMMYFUNCTION("""COMPUTED_VALUE"""),1.0)</f>
        <v>1</v>
      </c>
      <c r="C352" s="1"/>
      <c r="D352" s="1" t="str">
        <f>IFERROR(__xludf.DUMMYFUNCTION("""COMPUTED_VALUE"""),"God")</f>
        <v>God</v>
      </c>
      <c r="E352" s="1">
        <f>IFERROR(__xludf.DUMMYFUNCTION("""COMPUTED_VALUE"""),1010.0)</f>
        <v>1010</v>
      </c>
      <c r="F352" s="7">
        <f>IFERROR(__xludf.DUMMYFUNCTION("""COMPUTED_VALUE"""),1010.0)</f>
        <v>1010</v>
      </c>
      <c r="G352" s="1">
        <f>IFERROR(__xludf.DUMMYFUNCTION("""COMPUTED_VALUE"""),1010.0)</f>
        <v>1010</v>
      </c>
      <c r="H352" s="1">
        <f>IFERROR(__xludf.DUMMYFUNCTION("""COMPUTED_VALUE"""),35.0)</f>
        <v>35</v>
      </c>
      <c r="I352" s="1">
        <f>IFERROR(__xludf.DUMMYFUNCTION("""COMPUTED_VALUE"""),0.0)</f>
        <v>0</v>
      </c>
      <c r="J352" s="1">
        <f>IFERROR(__xludf.DUMMYFUNCTION("""COMPUTED_VALUE"""),0.0)</f>
        <v>0</v>
      </c>
      <c r="K352" s="1">
        <f>IFERROR(__xludf.DUMMYFUNCTION("""COMPUTED_VALUE"""),100.0)</f>
        <v>100</v>
      </c>
      <c r="L352" s="1">
        <f>IFERROR(__xludf.DUMMYFUNCTION("""COMPUTED_VALUE"""),100.0)</f>
        <v>100</v>
      </c>
      <c r="M352" s="1" t="str">
        <f>IFERROR(__xludf.DUMMYFUNCTION("""COMPUTED_VALUE"""),"")</f>
        <v/>
      </c>
      <c r="N352" s="1" t="str">
        <f>IFERROR(__xludf.DUMMYFUNCTION("""COMPUTED_VALUE"""),"Celestial:100, ")</f>
        <v>Celestial:100, </v>
      </c>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t="str">
        <f>IFERROR(__xludf.DUMMYFUNCTION("""COMPUTED_VALUE"""),"Cancel")</f>
        <v>Cancel</v>
      </c>
      <c r="AS352" s="1"/>
      <c r="AT352" s="1"/>
      <c r="AU352" s="1"/>
      <c r="AV352" s="1"/>
      <c r="AW352" s="1"/>
      <c r="AX352" s="1"/>
      <c r="AY352" s="1"/>
      <c r="AZ352" s="1"/>
      <c r="BA352" s="1"/>
      <c r="BB352" s="1"/>
      <c r="BC352" s="1"/>
      <c r="BD352" s="1">
        <f>IFERROR(__xludf.DUMMYFUNCTION("""COMPUTED_VALUE"""),0.0)</f>
        <v>0</v>
      </c>
      <c r="BE352" s="9">
        <f>IFERROR(__xludf.DUMMYFUNCTION("""COMPUTED_VALUE"""),25.0)</f>
        <v>25</v>
      </c>
      <c r="BF352" s="1"/>
      <c r="BG352" s="1"/>
      <c r="BH352" s="1" t="str">
        <f>IFERROR(__xludf.DUMMYFUNCTION("""COMPUTED_VALUE"""),"Solreach")</f>
        <v>Solreach</v>
      </c>
      <c r="BI352" s="1"/>
      <c r="BJ352" s="1"/>
      <c r="BK352" s="1"/>
      <c r="BL352" s="1" t="b">
        <f>IFERROR(__xludf.DUMMYFUNCTION("""COMPUTED_VALUE"""),FALSE)</f>
        <v>0</v>
      </c>
      <c r="BM352" s="1"/>
      <c r="BN352" s="1"/>
      <c r="BO352" s="1"/>
      <c r="BP352" s="1"/>
      <c r="BQ352" s="1"/>
    </row>
    <row r="353" ht="15.75" customHeight="1">
      <c r="A353" s="1" t="str">
        <f>IFERROR(__xludf.DUMMYFUNCTION("""COMPUTED_VALUE"""),"The Bloodletters")</f>
        <v>The Bloodletters</v>
      </c>
      <c r="B353" s="1">
        <f>IFERROR(__xludf.DUMMYFUNCTION("""COMPUTED_VALUE"""),1.0)</f>
        <v>1</v>
      </c>
      <c r="C353" s="1" t="str">
        <f>IFERROR(__xludf.DUMMYFUNCTION("""COMPUTED_VALUE"""),"Paladins of Satan")</f>
        <v>Paladins of Satan</v>
      </c>
      <c r="D353" s="1" t="str">
        <f>IFERROR(__xludf.DUMMYFUNCTION("""COMPUTED_VALUE"""),"Humanoid")</f>
        <v>Humanoid</v>
      </c>
      <c r="E353" s="1">
        <f>IFERROR(__xludf.DUMMYFUNCTION("""COMPUTED_VALUE"""),1010.0)</f>
        <v>1010</v>
      </c>
      <c r="F353" s="7">
        <f>IFERROR(__xludf.DUMMYFUNCTION("""COMPUTED_VALUE"""),1010.0)</f>
        <v>1010</v>
      </c>
      <c r="G353" s="1">
        <f>IFERROR(__xludf.DUMMYFUNCTION("""COMPUTED_VALUE"""),1010.0)</f>
        <v>1010</v>
      </c>
      <c r="H353" s="1">
        <f>IFERROR(__xludf.DUMMYFUNCTION("""COMPUTED_VALUE"""),25.0)</f>
        <v>25</v>
      </c>
      <c r="I353" s="1">
        <f>IFERROR(__xludf.DUMMYFUNCTION("""COMPUTED_VALUE"""),0.0)</f>
        <v>0</v>
      </c>
      <c r="J353" s="1">
        <f>IFERROR(__xludf.DUMMYFUNCTION("""COMPUTED_VALUE"""),0.0)</f>
        <v>0</v>
      </c>
      <c r="K353" s="1">
        <f>IFERROR(__xludf.DUMMYFUNCTION("""COMPUTED_VALUE"""),100.0)</f>
        <v>100</v>
      </c>
      <c r="L353" s="1">
        <f>IFERROR(__xludf.DUMMYFUNCTION("""COMPUTED_VALUE"""),100.0)</f>
        <v>100</v>
      </c>
      <c r="M353" s="1" t="str">
        <f>IFERROR(__xludf.DUMMYFUNCTION("""COMPUTED_VALUE"""),"Fire:Immune, Dark:Immune, Spirit:Immune, Chaos:Immune, Instant Death:Immune, Banishment:Immune, ")</f>
        <v>Fire:Immune, Dark:Immune, Spirit:Immune, Chaos:Immune, Instant Death:Immune, Banishment:Immune, </v>
      </c>
      <c r="N353" s="1" t="str">
        <f>IFERROR(__xludf.DUMMYFUNCTION("""COMPUTED_VALUE"""),"Light:100, Order:100, Celestial:100, ")</f>
        <v>Light:100, Order:100, Celestial:100, </v>
      </c>
      <c r="O353" s="1"/>
      <c r="P353" s="1"/>
      <c r="Q353" s="1"/>
      <c r="R353" s="1"/>
      <c r="S353" s="1"/>
      <c r="T353" s="1"/>
      <c r="U353" s="1"/>
      <c r="V353" s="1"/>
      <c r="W353" s="1"/>
      <c r="X353" s="1"/>
      <c r="Y353" s="1"/>
      <c r="Z353" s="1"/>
      <c r="AA353" s="1"/>
      <c r="AB353" s="1"/>
      <c r="AC353" s="1"/>
      <c r="AD353" s="1"/>
      <c r="AE353" s="1"/>
      <c r="AF353" s="1"/>
      <c r="AG353" s="1"/>
      <c r="AH353" s="1"/>
      <c r="AI353" s="1"/>
      <c r="AJ353" s="1" t="str">
        <f>IFERROR(__xludf.DUMMYFUNCTION("""COMPUTED_VALUE"""),"Arrest")</f>
        <v>Arrest</v>
      </c>
      <c r="AK353" s="1"/>
      <c r="AL353" s="1"/>
      <c r="AM353" s="1"/>
      <c r="AN353" s="1"/>
      <c r="AO353" s="1"/>
      <c r="AP353" s="1"/>
      <c r="AQ353" s="1"/>
      <c r="AR353" s="1" t="str">
        <f>IFERROR(__xludf.DUMMYFUNCTION("""COMPUTED_VALUE"""),"Cancel")</f>
        <v>Cancel</v>
      </c>
      <c r="AS353" s="1"/>
      <c r="AT353" s="1"/>
      <c r="AU353" s="1"/>
      <c r="AV353" s="1"/>
      <c r="AW353" s="1"/>
      <c r="AX353" s="1"/>
      <c r="AY353" s="1"/>
      <c r="AZ353" s="1"/>
      <c r="BA353" s="1"/>
      <c r="BB353" s="1"/>
      <c r="BC353" s="1"/>
      <c r="BD353" s="1">
        <f>IFERROR(__xludf.DUMMYFUNCTION("""COMPUTED_VALUE"""),0.0)</f>
        <v>0</v>
      </c>
      <c r="BE353" s="9">
        <f>IFERROR(__xludf.DUMMYFUNCTION("""COMPUTED_VALUE"""),20.0)</f>
        <v>20</v>
      </c>
      <c r="BF353" s="1"/>
      <c r="BG353" s="1"/>
      <c r="BH353" s="1" t="str">
        <f>IFERROR(__xludf.DUMMYFUNCTION("""COMPUTED_VALUE"""),"Abstara")</f>
        <v>Abstara</v>
      </c>
      <c r="BI353" s="1"/>
      <c r="BJ353" s="1"/>
      <c r="BK353" s="1"/>
      <c r="BL353" s="1" t="b">
        <f>IFERROR(__xludf.DUMMYFUNCTION("""COMPUTED_VALUE"""),FALSE)</f>
        <v>0</v>
      </c>
      <c r="BM353" s="1"/>
      <c r="BN353" s="1"/>
      <c r="BO353" s="1"/>
      <c r="BP353" s="1"/>
      <c r="BQ353" s="1"/>
    </row>
    <row r="354" ht="15.75" customHeight="1">
      <c r="A354" s="1" t="str">
        <f>IFERROR(__xludf.DUMMYFUNCTION("""COMPUTED_VALUE"""),"The Soulbound Royals")</f>
        <v>The Soulbound Royals</v>
      </c>
      <c r="B354" s="1">
        <f>IFERROR(__xludf.DUMMYFUNCTION("""COMPUTED_VALUE"""),1.0)</f>
        <v>1</v>
      </c>
      <c r="C354" s="1" t="str">
        <f>IFERROR(__xludf.DUMMYFUNCTION("""COMPUTED_VALUE"""),"Paladins of Hades")</f>
        <v>Paladins of Hades</v>
      </c>
      <c r="D354" s="1" t="str">
        <f>IFERROR(__xludf.DUMMYFUNCTION("""COMPUTED_VALUE"""),"Humanoid")</f>
        <v>Humanoid</v>
      </c>
      <c r="E354" s="1">
        <f>IFERROR(__xludf.DUMMYFUNCTION("""COMPUTED_VALUE"""),1010.0)</f>
        <v>1010</v>
      </c>
      <c r="F354" s="7">
        <f>IFERROR(__xludf.DUMMYFUNCTION("""COMPUTED_VALUE"""),1010.0)</f>
        <v>1010</v>
      </c>
      <c r="G354" s="1">
        <f>IFERROR(__xludf.DUMMYFUNCTION("""COMPUTED_VALUE"""),1010.0)</f>
        <v>1010</v>
      </c>
      <c r="H354" s="1">
        <f>IFERROR(__xludf.DUMMYFUNCTION("""COMPUTED_VALUE"""),25.0)</f>
        <v>25</v>
      </c>
      <c r="I354" s="1">
        <f>IFERROR(__xludf.DUMMYFUNCTION("""COMPUTED_VALUE"""),0.0)</f>
        <v>0</v>
      </c>
      <c r="J354" s="1">
        <f>IFERROR(__xludf.DUMMYFUNCTION("""COMPUTED_VALUE"""),0.0)</f>
        <v>0</v>
      </c>
      <c r="K354" s="1">
        <f>IFERROR(__xludf.DUMMYFUNCTION("""COMPUTED_VALUE"""),100.0)</f>
        <v>100</v>
      </c>
      <c r="L354" s="1">
        <f>IFERROR(__xludf.DUMMYFUNCTION("""COMPUTED_VALUE"""),100.0)</f>
        <v>100</v>
      </c>
      <c r="M354" s="1" t="str">
        <f>IFERROR(__xludf.DUMMYFUNCTION("""COMPUTED_VALUE"""),"Fire:Immune, Dark:Immune, Spirit:Immune, Chaos:Immune, Instant Death:Immune, Banishment:Immune, ")</f>
        <v>Fire:Immune, Dark:Immune, Spirit:Immune, Chaos:Immune, Instant Death:Immune, Banishment:Immune, </v>
      </c>
      <c r="N354" s="1" t="str">
        <f>IFERROR(__xludf.DUMMYFUNCTION("""COMPUTED_VALUE"""),"Light:100, Order:100, Celestial:100, ")</f>
        <v>Light:100, Order:100, Celestial:100, </v>
      </c>
      <c r="O354" s="1"/>
      <c r="P354" s="1"/>
      <c r="Q354" s="1"/>
      <c r="R354" s="1"/>
      <c r="S354" s="1"/>
      <c r="T354" s="1"/>
      <c r="U354" s="1"/>
      <c r="V354" s="1"/>
      <c r="W354" s="1"/>
      <c r="X354" s="1"/>
      <c r="Y354" s="1"/>
      <c r="Z354" s="1"/>
      <c r="AA354" s="1"/>
      <c r="AB354" s="1"/>
      <c r="AC354" s="1"/>
      <c r="AD354" s="1"/>
      <c r="AE354" s="1"/>
      <c r="AF354" s="1"/>
      <c r="AG354" s="1"/>
      <c r="AH354" s="1"/>
      <c r="AI354" s="1"/>
      <c r="AJ354" s="1" t="str">
        <f>IFERROR(__xludf.DUMMYFUNCTION("""COMPUTED_VALUE"""),"Arrest")</f>
        <v>Arrest</v>
      </c>
      <c r="AK354" s="1"/>
      <c r="AL354" s="1"/>
      <c r="AM354" s="1"/>
      <c r="AN354" s="1"/>
      <c r="AO354" s="1"/>
      <c r="AP354" s="1"/>
      <c r="AQ354" s="1"/>
      <c r="AR354" s="1" t="str">
        <f>IFERROR(__xludf.DUMMYFUNCTION("""COMPUTED_VALUE"""),"Acoustic Slam")</f>
        <v>Acoustic Slam</v>
      </c>
      <c r="AS354" s="1"/>
      <c r="AT354" s="1"/>
      <c r="AU354" s="1"/>
      <c r="AV354" s="1"/>
      <c r="AW354" s="1"/>
      <c r="AX354" s="1"/>
      <c r="AY354" s="1"/>
      <c r="AZ354" s="1"/>
      <c r="BA354" s="1"/>
      <c r="BB354" s="1"/>
      <c r="BC354" s="1"/>
      <c r="BD354" s="1">
        <f>IFERROR(__xludf.DUMMYFUNCTION("""COMPUTED_VALUE"""),0.0)</f>
        <v>0</v>
      </c>
      <c r="BE354" s="9">
        <f>IFERROR(__xludf.DUMMYFUNCTION("""COMPUTED_VALUE"""),20.0)</f>
        <v>20</v>
      </c>
      <c r="BF354" s="1"/>
      <c r="BG354" s="1"/>
      <c r="BH354" s="1" t="str">
        <f>IFERROR(__xludf.DUMMYFUNCTION("""COMPUTED_VALUE"""),"Solreach")</f>
        <v>Solreach</v>
      </c>
      <c r="BI354" s="1"/>
      <c r="BJ354" s="1"/>
      <c r="BK354" s="1"/>
      <c r="BL354" s="1" t="b">
        <f>IFERROR(__xludf.DUMMYFUNCTION("""COMPUTED_VALUE"""),FALSE)</f>
        <v>0</v>
      </c>
      <c r="BM354" s="1"/>
      <c r="BN354" s="1"/>
      <c r="BO354" s="1"/>
      <c r="BP354" s="1"/>
      <c r="BQ354" s="1"/>
    </row>
    <row r="355" ht="15.75" customHeight="1">
      <c r="A355" s="1" t="str">
        <f>IFERROR(__xludf.DUMMYFUNCTION("""COMPUTED_VALUE"""),"The Exiled One")</f>
        <v>The Exiled One</v>
      </c>
      <c r="B355" s="1">
        <f>IFERROR(__xludf.DUMMYFUNCTION("""COMPUTED_VALUE"""),1.0)</f>
        <v>1</v>
      </c>
      <c r="C355" s="1" t="str">
        <f>IFERROR(__xludf.DUMMYFUNCTION("""COMPUTED_VALUE"""),"Paladins of The Keeper of The Banished")</f>
        <v>Paladins of The Keeper of The Banished</v>
      </c>
      <c r="D355" s="1" t="str">
        <f>IFERROR(__xludf.DUMMYFUNCTION("""COMPUTED_VALUE"""),"Humanoid")</f>
        <v>Humanoid</v>
      </c>
      <c r="E355" s="1">
        <f>IFERROR(__xludf.DUMMYFUNCTION("""COMPUTED_VALUE"""),1010.0)</f>
        <v>1010</v>
      </c>
      <c r="F355" s="7">
        <f>IFERROR(__xludf.DUMMYFUNCTION("""COMPUTED_VALUE"""),1010.0)</f>
        <v>1010</v>
      </c>
      <c r="G355" s="1">
        <f>IFERROR(__xludf.DUMMYFUNCTION("""COMPUTED_VALUE"""),1010.0)</f>
        <v>1010</v>
      </c>
      <c r="H355" s="1">
        <f>IFERROR(__xludf.DUMMYFUNCTION("""COMPUTED_VALUE"""),25.0)</f>
        <v>25</v>
      </c>
      <c r="I355" s="1">
        <f>IFERROR(__xludf.DUMMYFUNCTION("""COMPUTED_VALUE"""),0.0)</f>
        <v>0</v>
      </c>
      <c r="J355" s="1">
        <f>IFERROR(__xludf.DUMMYFUNCTION("""COMPUTED_VALUE"""),0.0)</f>
        <v>0</v>
      </c>
      <c r="K355" s="1">
        <f>IFERROR(__xludf.DUMMYFUNCTION("""COMPUTED_VALUE"""),100.0)</f>
        <v>100</v>
      </c>
      <c r="L355" s="1">
        <f>IFERROR(__xludf.DUMMYFUNCTION("""COMPUTED_VALUE"""),100.0)</f>
        <v>100</v>
      </c>
      <c r="M355" s="1" t="str">
        <f>IFERROR(__xludf.DUMMYFUNCTION("""COMPUTED_VALUE"""),"Instant Death:Immune, Banishment:Immune, ")</f>
        <v>Instant Death:Immune, Banishment:Immune, </v>
      </c>
      <c r="N355" s="1" t="str">
        <f>IFERROR(__xludf.DUMMYFUNCTION("""COMPUTED_VALUE"""),"")</f>
        <v/>
      </c>
      <c r="O355" s="1"/>
      <c r="P355" s="1"/>
      <c r="Q355" s="1"/>
      <c r="R355" s="1"/>
      <c r="S355" s="1"/>
      <c r="T355" s="1"/>
      <c r="U355" s="1"/>
      <c r="V355" s="1"/>
      <c r="W355" s="1"/>
      <c r="X355" s="1"/>
      <c r="Y355" s="1"/>
      <c r="Z355" s="1"/>
      <c r="AA355" s="1"/>
      <c r="AB355" s="1"/>
      <c r="AC355" s="1"/>
      <c r="AD355" s="1"/>
      <c r="AE355" s="1"/>
      <c r="AF355" s="1"/>
      <c r="AG355" s="1"/>
      <c r="AH355" s="1"/>
      <c r="AI355" s="1"/>
      <c r="AJ355" s="1" t="str">
        <f>IFERROR(__xludf.DUMMYFUNCTION("""COMPUTED_VALUE"""),"Arrest")</f>
        <v>Arrest</v>
      </c>
      <c r="AK355" s="1"/>
      <c r="AL355" s="1"/>
      <c r="AM355" s="1"/>
      <c r="AN355" s="1"/>
      <c r="AO355" s="1"/>
      <c r="AP355" s="1"/>
      <c r="AQ355" s="1"/>
      <c r="AR355" s="1"/>
      <c r="AS355" s="1"/>
      <c r="AT355" s="1"/>
      <c r="AU355" s="1"/>
      <c r="AV355" s="1"/>
      <c r="AW355" s="1"/>
      <c r="AX355" s="1"/>
      <c r="AY355" s="1"/>
      <c r="AZ355" s="1"/>
      <c r="BA355" s="1"/>
      <c r="BB355" s="1"/>
      <c r="BC355" s="1"/>
      <c r="BD355" s="1">
        <f>IFERROR(__xludf.DUMMYFUNCTION("""COMPUTED_VALUE"""),0.0)</f>
        <v>0</v>
      </c>
      <c r="BE355" s="9">
        <f>IFERROR(__xludf.DUMMYFUNCTION("""COMPUTED_VALUE"""),20.0)</f>
        <v>20</v>
      </c>
      <c r="BF355" s="1"/>
      <c r="BG355" s="1"/>
      <c r="BH355" s="1" t="str">
        <f>IFERROR(__xludf.DUMMYFUNCTION("""COMPUTED_VALUE"""),"Solreach")</f>
        <v>Solreach</v>
      </c>
      <c r="BI355" s="1"/>
      <c r="BJ355" s="1"/>
      <c r="BK355" s="1"/>
      <c r="BL355" s="1" t="b">
        <f>IFERROR(__xludf.DUMMYFUNCTION("""COMPUTED_VALUE"""),FALSE)</f>
        <v>0</v>
      </c>
      <c r="BM355" s="1"/>
      <c r="BN355" s="1"/>
      <c r="BO355" s="1"/>
      <c r="BP355" s="1"/>
      <c r="BQ355" s="1"/>
    </row>
    <row r="356" ht="15.75" customHeight="1">
      <c r="A356" s="1" t="str">
        <f>IFERROR(__xludf.DUMMYFUNCTION("""COMPUTED_VALUE"""),"The Storm Bloods")</f>
        <v>The Storm Bloods</v>
      </c>
      <c r="B356" s="1">
        <f>IFERROR(__xludf.DUMMYFUNCTION("""COMPUTED_VALUE"""),1.0)</f>
        <v>1</v>
      </c>
      <c r="C356" s="1" t="str">
        <f>IFERROR(__xludf.DUMMYFUNCTION("""COMPUTED_VALUE"""),"Paladins of Thor")</f>
        <v>Paladins of Thor</v>
      </c>
      <c r="D356" s="1" t="str">
        <f>IFERROR(__xludf.DUMMYFUNCTION("""COMPUTED_VALUE"""),"Humanoid")</f>
        <v>Humanoid</v>
      </c>
      <c r="E356" s="1">
        <f>IFERROR(__xludf.DUMMYFUNCTION("""COMPUTED_VALUE"""),1010.0)</f>
        <v>1010</v>
      </c>
      <c r="F356" s="7">
        <f>IFERROR(__xludf.DUMMYFUNCTION("""COMPUTED_VALUE"""),1010.0)</f>
        <v>1010</v>
      </c>
      <c r="G356" s="1">
        <f>IFERROR(__xludf.DUMMYFUNCTION("""COMPUTED_VALUE"""),1010.0)</f>
        <v>1010</v>
      </c>
      <c r="H356" s="1">
        <f>IFERROR(__xludf.DUMMYFUNCTION("""COMPUTED_VALUE"""),35.0)</f>
        <v>35</v>
      </c>
      <c r="I356" s="1">
        <f>IFERROR(__xludf.DUMMYFUNCTION("""COMPUTED_VALUE"""),0.0)</f>
        <v>0</v>
      </c>
      <c r="J356" s="1">
        <f>IFERROR(__xludf.DUMMYFUNCTION("""COMPUTED_VALUE"""),0.0)</f>
        <v>0</v>
      </c>
      <c r="K356" s="1">
        <f>IFERROR(__xludf.DUMMYFUNCTION("""COMPUTED_VALUE"""),100.0)</f>
        <v>100</v>
      </c>
      <c r="L356" s="1">
        <f>IFERROR(__xludf.DUMMYFUNCTION("""COMPUTED_VALUE"""),100.0)</f>
        <v>100</v>
      </c>
      <c r="M356" s="1" t="str">
        <f>IFERROR(__xludf.DUMMYFUNCTION("""COMPUTED_VALUE"""),"")</f>
        <v/>
      </c>
      <c r="N356" s="1" t="str">
        <f>IFERROR(__xludf.DUMMYFUNCTION("""COMPUTED_VALUE"""),"Celestial:100, ")</f>
        <v>Celestial:100, </v>
      </c>
      <c r="O356" s="1"/>
      <c r="P356" s="1"/>
      <c r="Q356" s="1"/>
      <c r="R356" s="1"/>
      <c r="S356" s="1"/>
      <c r="T356" s="1"/>
      <c r="U356" s="1"/>
      <c r="V356" s="1"/>
      <c r="W356" s="1"/>
      <c r="X356" s="1"/>
      <c r="Y356" s="1"/>
      <c r="Z356" s="1"/>
      <c r="AA356" s="1"/>
      <c r="AB356" s="1"/>
      <c r="AC356" s="1"/>
      <c r="AD356" s="1"/>
      <c r="AE356" s="1"/>
      <c r="AF356" s="1"/>
      <c r="AG356" s="1"/>
      <c r="AH356" s="1"/>
      <c r="AI356" s="1"/>
      <c r="AJ356" s="1" t="str">
        <f>IFERROR(__xludf.DUMMYFUNCTION("""COMPUTED_VALUE"""),"Arrest")</f>
        <v>Arrest</v>
      </c>
      <c r="AK356" s="1"/>
      <c r="AL356" s="1"/>
      <c r="AM356" s="1"/>
      <c r="AN356" s="1"/>
      <c r="AO356" s="1"/>
      <c r="AP356" s="1"/>
      <c r="AQ356" s="1"/>
      <c r="AR356" s="1"/>
      <c r="AS356" s="1"/>
      <c r="AT356" s="1"/>
      <c r="AU356" s="1"/>
      <c r="AV356" s="1"/>
      <c r="AW356" s="1"/>
      <c r="AX356" s="1"/>
      <c r="AY356" s="1"/>
      <c r="AZ356" s="1"/>
      <c r="BA356" s="1"/>
      <c r="BB356" s="1"/>
      <c r="BC356" s="1"/>
      <c r="BD356" s="1">
        <f>IFERROR(__xludf.DUMMYFUNCTION("""COMPUTED_VALUE"""),0.0)</f>
        <v>0</v>
      </c>
      <c r="BE356" s="9">
        <f>IFERROR(__xludf.DUMMYFUNCTION("""COMPUTED_VALUE"""),25.0)</f>
        <v>25</v>
      </c>
      <c r="BF356" s="1"/>
      <c r="BG356" s="1"/>
      <c r="BH356" s="1" t="str">
        <f>IFERROR(__xludf.DUMMYFUNCTION("""COMPUTED_VALUE"""),"Land of Spira")</f>
        <v>Land of Spira</v>
      </c>
      <c r="BI356" s="1"/>
      <c r="BJ356" s="1"/>
      <c r="BK356" s="1"/>
      <c r="BL356" s="1" t="b">
        <f>IFERROR(__xludf.DUMMYFUNCTION("""COMPUTED_VALUE"""),FALSE)</f>
        <v>0</v>
      </c>
      <c r="BM356" s="1"/>
      <c r="BN356" s="1"/>
      <c r="BO356" s="1"/>
      <c r="BP356" s="1"/>
      <c r="BQ356" s="1"/>
    </row>
    <row r="357" ht="15.75" customHeight="1">
      <c r="A357" s="1" t="str">
        <f>IFERROR(__xludf.DUMMYFUNCTION("""COMPUTED_VALUE"""),"The Astrologians")</f>
        <v>The Astrologians</v>
      </c>
      <c r="B357" s="1">
        <f>IFERROR(__xludf.DUMMYFUNCTION("""COMPUTED_VALUE"""),1.0)</f>
        <v>1</v>
      </c>
      <c r="C357" s="1" t="str">
        <f>IFERROR(__xludf.DUMMYFUNCTION("""COMPUTED_VALUE"""),"Paladins of Astralis")</f>
        <v>Paladins of Astralis</v>
      </c>
      <c r="D357" s="1" t="str">
        <f>IFERROR(__xludf.DUMMYFUNCTION("""COMPUTED_VALUE"""),"Humanoid")</f>
        <v>Humanoid</v>
      </c>
      <c r="E357" s="1">
        <f>IFERROR(__xludf.DUMMYFUNCTION("""COMPUTED_VALUE"""),1010.0)</f>
        <v>1010</v>
      </c>
      <c r="F357" s="7">
        <f>IFERROR(__xludf.DUMMYFUNCTION("""COMPUTED_VALUE"""),1010.0)</f>
        <v>1010</v>
      </c>
      <c r="G357" s="1">
        <f>IFERROR(__xludf.DUMMYFUNCTION("""COMPUTED_VALUE"""),1010.0)</f>
        <v>1010</v>
      </c>
      <c r="H357" s="1">
        <f>IFERROR(__xludf.DUMMYFUNCTION("""COMPUTED_VALUE"""),35.0)</f>
        <v>35</v>
      </c>
      <c r="I357" s="1">
        <f>IFERROR(__xludf.DUMMYFUNCTION("""COMPUTED_VALUE"""),0.0)</f>
        <v>0</v>
      </c>
      <c r="J357" s="1">
        <f>IFERROR(__xludf.DUMMYFUNCTION("""COMPUTED_VALUE"""),0.0)</f>
        <v>0</v>
      </c>
      <c r="K357" s="1">
        <f>IFERROR(__xludf.DUMMYFUNCTION("""COMPUTED_VALUE"""),100.0)</f>
        <v>100</v>
      </c>
      <c r="L357" s="1">
        <f>IFERROR(__xludf.DUMMYFUNCTION("""COMPUTED_VALUE"""),100.0)</f>
        <v>100</v>
      </c>
      <c r="M357" s="1" t="str">
        <f>IFERROR(__xludf.DUMMYFUNCTION("""COMPUTED_VALUE"""),"")</f>
        <v/>
      </c>
      <c r="N357" s="1" t="str">
        <f>IFERROR(__xludf.DUMMYFUNCTION("""COMPUTED_VALUE"""),"Celestial:100, ")</f>
        <v>Celestial:100, </v>
      </c>
      <c r="O357" s="1"/>
      <c r="P357" s="1"/>
      <c r="Q357" s="1"/>
      <c r="R357" s="1"/>
      <c r="S357" s="1"/>
      <c r="T357" s="1"/>
      <c r="U357" s="1"/>
      <c r="V357" s="1"/>
      <c r="W357" s="1"/>
      <c r="X357" s="1"/>
      <c r="Y357" s="1"/>
      <c r="Z357" s="1"/>
      <c r="AA357" s="1"/>
      <c r="AB357" s="1"/>
      <c r="AC357" s="1"/>
      <c r="AD357" s="1"/>
      <c r="AE357" s="1"/>
      <c r="AF357" s="1"/>
      <c r="AG357" s="1"/>
      <c r="AH357" s="1"/>
      <c r="AI357" s="1"/>
      <c r="AJ357" s="1" t="str">
        <f>IFERROR(__xludf.DUMMYFUNCTION("""COMPUTED_VALUE"""),"Arrest")</f>
        <v>Arrest</v>
      </c>
      <c r="AK357" s="1"/>
      <c r="AL357" s="1"/>
      <c r="AM357" s="1"/>
      <c r="AN357" s="1"/>
      <c r="AO357" s="1"/>
      <c r="AP357" s="1"/>
      <c r="AQ357" s="1"/>
      <c r="AR357" s="1"/>
      <c r="AS357" s="1"/>
      <c r="AT357" s="1"/>
      <c r="AU357" s="1"/>
      <c r="AV357" s="1"/>
      <c r="AW357" s="1"/>
      <c r="AX357" s="1"/>
      <c r="AY357" s="1"/>
      <c r="AZ357" s="1"/>
      <c r="BA357" s="1"/>
      <c r="BB357" s="1"/>
      <c r="BC357" s="1"/>
      <c r="BD357" s="1">
        <f>IFERROR(__xludf.DUMMYFUNCTION("""COMPUTED_VALUE"""),0.0)</f>
        <v>0</v>
      </c>
      <c r="BE357" s="9">
        <f>IFERROR(__xludf.DUMMYFUNCTION("""COMPUTED_VALUE"""),25.0)</f>
        <v>25</v>
      </c>
      <c r="BF357" s="1"/>
      <c r="BG357" s="1"/>
      <c r="BH357" s="1" t="str">
        <f>IFERROR(__xludf.DUMMYFUNCTION("""COMPUTED_VALUE"""),"Solreach")</f>
        <v>Solreach</v>
      </c>
      <c r="BI357" s="1"/>
      <c r="BJ357" s="1"/>
      <c r="BK357" s="1"/>
      <c r="BL357" s="1" t="b">
        <f>IFERROR(__xludf.DUMMYFUNCTION("""COMPUTED_VALUE"""),FALSE)</f>
        <v>0</v>
      </c>
      <c r="BM357" s="1"/>
      <c r="BN357" s="1"/>
      <c r="BO357" s="1"/>
      <c r="BP357" s="1"/>
      <c r="BQ357" s="1"/>
    </row>
    <row r="358" ht="15.75" customHeight="1">
      <c r="A358" s="1" t="str">
        <f>IFERROR(__xludf.DUMMYFUNCTION("""COMPUTED_VALUE"""),"Monk (Abbot)")</f>
        <v>Monk (Abbot)</v>
      </c>
      <c r="B358" s="1">
        <f>IFERROR(__xludf.DUMMYFUNCTION("""COMPUTED_VALUE"""),1.0)</f>
        <v>1</v>
      </c>
      <c r="C358" s="1" t="str">
        <f>IFERROR(__xludf.DUMMYFUNCTION("""COMPUTED_VALUE"""),"Paladins of Elder Monk Kenyu")</f>
        <v>Paladins of Elder Monk Kenyu</v>
      </c>
      <c r="D358" s="1" t="str">
        <f>IFERROR(__xludf.DUMMYFUNCTION("""COMPUTED_VALUE"""),"Humanoid")</f>
        <v>Humanoid</v>
      </c>
      <c r="E358" s="1">
        <f>IFERROR(__xludf.DUMMYFUNCTION("""COMPUTED_VALUE"""),1010.0)</f>
        <v>1010</v>
      </c>
      <c r="F358" s="7">
        <f>IFERROR(__xludf.DUMMYFUNCTION("""COMPUTED_VALUE"""),1010.0)</f>
        <v>1010</v>
      </c>
      <c r="G358" s="1">
        <f>IFERROR(__xludf.DUMMYFUNCTION("""COMPUTED_VALUE"""),1010.0)</f>
        <v>1010</v>
      </c>
      <c r="H358" s="1">
        <f>IFERROR(__xludf.DUMMYFUNCTION("""COMPUTED_VALUE"""),20.0)</f>
        <v>20</v>
      </c>
      <c r="I358" s="1">
        <f>IFERROR(__xludf.DUMMYFUNCTION("""COMPUTED_VALUE"""),0.0)</f>
        <v>0</v>
      </c>
      <c r="J358" s="1">
        <f>IFERROR(__xludf.DUMMYFUNCTION("""COMPUTED_VALUE"""),0.0)</f>
        <v>0</v>
      </c>
      <c r="K358" s="1">
        <f>IFERROR(__xludf.DUMMYFUNCTION("""COMPUTED_VALUE"""),100.0)</f>
        <v>100</v>
      </c>
      <c r="L358" s="1">
        <f>IFERROR(__xludf.DUMMYFUNCTION("""COMPUTED_VALUE"""),100.0)</f>
        <v>100</v>
      </c>
      <c r="M358" s="1" t="str">
        <f>IFERROR(__xludf.DUMMYFUNCTION("""COMPUTED_VALUE"""),"Fire:100, Water:100, Storm:100, Earth:100, Light:100, Dark:100, Spirit:100, Order:100, Chaos:100, Nature:100, Stasis:100, Twilight:100, Voodoo:100, Blood:100, Zen:Immune, Instant Death:Immune, Banishment:Immune, ")</f>
        <v>Fire:100, Water:100, Storm:100, Earth:100, Light:100, Dark:100, Spirit:100, Order:100, Chaos:100, Nature:100, Stasis:100, Twilight:100, Voodoo:100, Blood:100, Zen:Immune, Instant Death:Immune, Banishment:Immune, </v>
      </c>
      <c r="N358" s="1" t="str">
        <f>IFERROR(__xludf.DUMMYFUNCTION("""COMPUTED_VALUE"""),"")</f>
        <v/>
      </c>
      <c r="O358" s="1" t="str">
        <f>IFERROR(__xludf.DUMMYFUNCTION("""COMPUTED_VALUE"""),"Ancient Oni Mask")</f>
        <v>Ancient Oni Mask</v>
      </c>
      <c r="P358" s="1"/>
      <c r="Q358" s="1"/>
      <c r="R358" s="1"/>
      <c r="S358" s="1" t="str">
        <f>IFERROR(__xludf.DUMMYFUNCTION("""COMPUTED_VALUE"""),"Ancient Oni Pauldrons")</f>
        <v>Ancient Oni Pauldrons</v>
      </c>
      <c r="T358" s="1" t="str">
        <f>IFERROR(__xludf.DUMMYFUNCTION("""COMPUTED_VALUE"""),"Ancient Oni Chestplate")</f>
        <v>Ancient Oni Chestplate</v>
      </c>
      <c r="U358" s="1" t="str">
        <f>IFERROR(__xludf.DUMMYFUNCTION("""COMPUTED_VALUE"""),"Ancient Oni Vambraces")</f>
        <v>Ancient Oni Vambraces</v>
      </c>
      <c r="V358" s="1" t="str">
        <f>IFERROR(__xludf.DUMMYFUNCTION("""COMPUTED_VALUE"""),"Ancient Oni Katana")</f>
        <v>Ancient Oni Katana</v>
      </c>
      <c r="W358" s="1"/>
      <c r="X358" s="1"/>
      <c r="Y358" s="1"/>
      <c r="Z358" s="1"/>
      <c r="AA358" s="1"/>
      <c r="AB358" s="1"/>
      <c r="AC358" s="1"/>
      <c r="AD358" s="1"/>
      <c r="AE358" s="1"/>
      <c r="AF358" s="1"/>
      <c r="AG358" s="1"/>
      <c r="AH358" s="1" t="str">
        <f>IFERROR(__xludf.DUMMYFUNCTION("""COMPUTED_VALUE"""),"Ancient Oni Greaves")</f>
        <v>Ancient Oni Greaves</v>
      </c>
      <c r="AI358" s="1" t="str">
        <f>IFERROR(__xludf.DUMMYFUNCTION("""COMPUTED_VALUE"""),"Ancient Oni Boots")</f>
        <v>Ancient Oni Boots</v>
      </c>
      <c r="AJ358" s="1"/>
      <c r="AK358" s="1"/>
      <c r="AL358" s="1"/>
      <c r="AM358" s="1"/>
      <c r="AN358" s="1"/>
      <c r="AO358" s="1"/>
      <c r="AP358" s="1"/>
      <c r="AQ358" s="1"/>
      <c r="AR358" s="1"/>
      <c r="AS358" s="1"/>
      <c r="AT358" s="1"/>
      <c r="AU358" s="1"/>
      <c r="AV358" s="1"/>
      <c r="AW358" s="1"/>
      <c r="AX358" s="1"/>
      <c r="AY358" s="1"/>
      <c r="AZ358" s="1"/>
      <c r="BA358" s="1"/>
      <c r="BB358" s="1"/>
      <c r="BC358" s="1"/>
      <c r="BD358" s="1">
        <f>IFERROR(__xludf.DUMMYFUNCTION("""COMPUTED_VALUE"""),0.0)</f>
        <v>0</v>
      </c>
      <c r="BE358" s="9">
        <f>IFERROR(__xludf.DUMMYFUNCTION("""COMPUTED_VALUE"""),15.0)</f>
        <v>15</v>
      </c>
      <c r="BF358" s="1" t="str">
        <f>IFERROR(__xludf.DUMMYFUNCTION("""COMPUTED_VALUE"""),"Items cannot be stolen from this mob")</f>
        <v>Items cannot be stolen from this mob</v>
      </c>
      <c r="BG358" s="1"/>
      <c r="BH358" s="1" t="str">
        <f>IFERROR(__xludf.DUMMYFUNCTION("""COMPUTED_VALUE"""),"Land of Spira")</f>
        <v>Land of Spira</v>
      </c>
      <c r="BI358" s="1"/>
      <c r="BJ358" s="1"/>
      <c r="BK358" s="1"/>
      <c r="BL358" s="1" t="b">
        <f>IFERROR(__xludf.DUMMYFUNCTION("""COMPUTED_VALUE"""),FALSE)</f>
        <v>0</v>
      </c>
      <c r="BM358" s="1"/>
      <c r="BN358" s="1"/>
      <c r="BO358" s="1"/>
      <c r="BP358" s="1"/>
      <c r="BQ358" s="1"/>
    </row>
    <row r="359" ht="15.75" customHeight="1">
      <c r="A359" s="1" t="str">
        <f>IFERROR(__xludf.DUMMYFUNCTION("""COMPUTED_VALUE"""),"The Harbingers of The Voidwoken (Spira)")</f>
        <v>The Harbingers of The Voidwoken (Spira)</v>
      </c>
      <c r="B359" s="1">
        <f>IFERROR(__xludf.DUMMYFUNCTION("""COMPUTED_VALUE"""),1.0)</f>
        <v>1</v>
      </c>
      <c r="C359" s="1" t="str">
        <f>IFERROR(__xludf.DUMMYFUNCTION("""COMPUTED_VALUE"""),"Paladins of The Void Beast Bahamut.")</f>
        <v>Paladins of The Void Beast Bahamut.</v>
      </c>
      <c r="D359" s="1" t="str">
        <f>IFERROR(__xludf.DUMMYFUNCTION("""COMPUTED_VALUE"""),"Humanoid")</f>
        <v>Humanoid</v>
      </c>
      <c r="E359" s="1">
        <f>IFERROR(__xludf.DUMMYFUNCTION("""COMPUTED_VALUE"""),1010.0)</f>
        <v>1010</v>
      </c>
      <c r="F359" s="7">
        <f>IFERROR(__xludf.DUMMYFUNCTION("""COMPUTED_VALUE"""),1010.0)</f>
        <v>1010</v>
      </c>
      <c r="G359" s="1">
        <f>IFERROR(__xludf.DUMMYFUNCTION("""COMPUTED_VALUE"""),351010.0)</f>
        <v>351010</v>
      </c>
      <c r="H359" s="1">
        <f>IFERROR(__xludf.DUMMYFUNCTION("""COMPUTED_VALUE"""),10.0)</f>
        <v>10</v>
      </c>
      <c r="I359" s="1">
        <f>IFERROR(__xludf.DUMMYFUNCTION("""COMPUTED_VALUE"""),0.0)</f>
        <v>0</v>
      </c>
      <c r="J359" s="1">
        <f>IFERROR(__xludf.DUMMYFUNCTION("""COMPUTED_VALUE"""),0.0)</f>
        <v>0</v>
      </c>
      <c r="K359" s="1">
        <f>IFERROR(__xludf.DUMMYFUNCTION("""COMPUTED_VALUE"""),100.0)</f>
        <v>100</v>
      </c>
      <c r="L359" s="1">
        <f>IFERROR(__xludf.DUMMYFUNCTION("""COMPUTED_VALUE"""),100.0)</f>
        <v>100</v>
      </c>
      <c r="M359" s="1" t="str">
        <f>IFERROR(__xludf.DUMMYFUNCTION("""COMPUTED_VALUE"""),"")</f>
        <v/>
      </c>
      <c r="N359" s="1" t="str">
        <f>IFERROR(__xludf.DUMMYFUNCTION("""COMPUTED_VALUE"""),"Celestial:100, ")</f>
        <v>Celestial:100, </v>
      </c>
      <c r="O359" s="1" t="str">
        <f>IFERROR(__xludf.DUMMYFUNCTION("""COMPUTED_VALUE"""),"Harbingers' Helm of the Unrestrained (Spira)")</f>
        <v>Harbingers' Helm of the Unrestrained (Spira)</v>
      </c>
      <c r="P359" s="1" t="str">
        <f>IFERROR(__xludf.DUMMYFUNCTION("""COMPUTED_VALUE"""),"Harbingers' Resolve (Spira)")</f>
        <v>Harbingers' Resolve (Spira)</v>
      </c>
      <c r="Q359" s="1"/>
      <c r="R359" s="1"/>
      <c r="S359" s="1" t="str">
        <f>IFERROR(__xludf.DUMMYFUNCTION("""COMPUTED_VALUE"""),"Harbingers' Shifting Pauldrons (Spira)")</f>
        <v>Harbingers' Shifting Pauldrons (Spira)</v>
      </c>
      <c r="T359" s="1" t="str">
        <f>IFERROR(__xludf.DUMMYFUNCTION("""COMPUTED_VALUE"""),"Harbingers' Emblazoned Chest of The Encroaching Void (Spira)")</f>
        <v>Harbingers' Emblazoned Chest of The Encroaching Void (Spira)</v>
      </c>
      <c r="U359" s="1" t="str">
        <f>IFERROR(__xludf.DUMMYFUNCTION("""COMPUTED_VALUE"""),"Harbingers' Broken Fettering (Spira)")</f>
        <v>Harbingers' Broken Fettering (Spira)</v>
      </c>
      <c r="V359" s="1" t="str">
        <f>IFERROR(__xludf.DUMMYFUNCTION("""COMPUTED_VALUE"""),"Harbingers' Fist of Iron (Spira)")</f>
        <v>Harbingers' Fist of Iron (Spira)</v>
      </c>
      <c r="W359" s="1" t="str">
        <f>IFERROR(__xludf.DUMMYFUNCTION("""COMPUTED_VALUE"""),"Harbingers' Claw of Steel (Spira)")</f>
        <v>Harbingers' Claw of Steel (Spira)</v>
      </c>
      <c r="X359" s="1" t="str">
        <f>IFERROR(__xludf.DUMMYFUNCTION("""COMPUTED_VALUE"""),"Harbingers' Vow (Spira)")</f>
        <v>Harbingers' Vow (Spira)</v>
      </c>
      <c r="Y359" s="1"/>
      <c r="Z359" s="1"/>
      <c r="AA359" s="1"/>
      <c r="AB359" s="1"/>
      <c r="AC359" s="1"/>
      <c r="AD359" s="1"/>
      <c r="AE359" s="1"/>
      <c r="AF359" s="1"/>
      <c r="AG359" s="1"/>
      <c r="AH359" s="1" t="str">
        <f>IFERROR(__xludf.DUMMYFUNCTION("""COMPUTED_VALUE"""),"Harbingers' Ethereal Chausses (Spira)")</f>
        <v>Harbingers' Ethereal Chausses (Spira)</v>
      </c>
      <c r="AI359" s="1" t="str">
        <f>IFERROR(__xludf.DUMMYFUNCTION("""COMPUTED_VALUE"""),"Harbingers' Spiked Sabatons (Spira)")</f>
        <v>Harbingers' Spiked Sabatons (Spira)</v>
      </c>
      <c r="AJ359" s="1" t="str">
        <f>IFERROR(__xludf.DUMMYFUNCTION("""COMPUTED_VALUE"""),"Chaincast")</f>
        <v>Chaincast</v>
      </c>
      <c r="AK359" s="1" t="str">
        <f>IFERROR(__xludf.DUMMYFUNCTION("""COMPUTED_VALUE"""),"Rapid Delta Punch")</f>
        <v>Rapid Delta Punch</v>
      </c>
      <c r="AL359" s="1" t="str">
        <f>IFERROR(__xludf.DUMMYFUNCTION("""COMPUTED_VALUE"""),"Delta World")</f>
        <v>Delta World</v>
      </c>
      <c r="AM359" s="1" t="str">
        <f>IFERROR(__xludf.DUMMYFUNCTION("""COMPUTED_VALUE"""),"Delta Obelisk")</f>
        <v>Delta Obelisk</v>
      </c>
      <c r="AN359" s="1" t="str">
        <f>IFERROR(__xludf.DUMMYFUNCTION("""COMPUTED_VALUE"""),"Beast In Black")</f>
        <v>Beast In Black</v>
      </c>
      <c r="AO359" s="1" t="str">
        <f>IFERROR(__xludf.DUMMYFUNCTION("""COMPUTED_VALUE"""),"Domain Expansion")</f>
        <v>Domain Expansion</v>
      </c>
      <c r="AP359" s="1" t="str">
        <f>IFERROR(__xludf.DUMMYFUNCTION("""COMPUTED_VALUE"""),"Enrage")</f>
        <v>Enrage</v>
      </c>
      <c r="AQ359" s="1" t="str">
        <f>IFERROR(__xludf.DUMMYFUNCTION("""COMPUTED_VALUE"""),"Arrest")</f>
        <v>Arrest</v>
      </c>
      <c r="AR359" s="1" t="str">
        <f>IFERROR(__xludf.DUMMYFUNCTION("""COMPUTED_VALUE"""),"Charge")</f>
        <v>Charge</v>
      </c>
      <c r="AS359" s="1" t="str">
        <f>IFERROR(__xludf.DUMMYFUNCTION("""COMPUTED_VALUE"""),"Full Impact")</f>
        <v>Full Impact</v>
      </c>
      <c r="AT359" s="1" t="str">
        <f>IFERROR(__xludf.DUMMYFUNCTION("""COMPUTED_VALUE"""),"Increase")</f>
        <v>Increase</v>
      </c>
      <c r="AU359" s="1" t="str">
        <f>IFERROR(__xludf.DUMMYFUNCTION("""COMPUTED_VALUE"""),"Taunt (Mob)")</f>
        <v>Taunt (Mob)</v>
      </c>
      <c r="AV359" s="1" t="str">
        <f>IFERROR(__xludf.DUMMYFUNCTION("""COMPUTED_VALUE"""),"Call of the Paladin")</f>
        <v>Call of the Paladin</v>
      </c>
      <c r="AW359" s="1" t="str">
        <f>IFERROR(__xludf.DUMMYFUNCTION("""COMPUTED_VALUE"""),"Berserk")</f>
        <v>Berserk</v>
      </c>
      <c r="AX359" s="1"/>
      <c r="AY359" s="1"/>
      <c r="AZ359" s="1"/>
      <c r="BA359" s="1"/>
      <c r="BB359" s="1"/>
      <c r="BC359" s="1"/>
      <c r="BD359" s="1">
        <f>IFERROR(__xludf.DUMMYFUNCTION("""COMPUTED_VALUE"""),0.0)</f>
        <v>0</v>
      </c>
      <c r="BE359" s="9">
        <f>IFERROR(__xludf.DUMMYFUNCTION("""COMPUTED_VALUE"""),10.0)</f>
        <v>10</v>
      </c>
      <c r="BF359" s="1" t="str">
        <f>IFERROR(__xludf.DUMMYFUNCTION("""COMPUTED_VALUE"""),"Blessing of War: X4 Astral and Delta Damage
The Insanity of the Void: 
Upon attacking any target with a Natural, Clawed Weapon, or Guantlet attack roll a d20 , 10 or lower = Normal-Form, 11 or higher = Void Beast form. Your base stats are tripled, you ga"&amp;"in +15 Mobility, and you are under the affects of Rampage, and Roll a d20 each round, 10 or lower = Return to your normal form, 11 or higher = stay in Void Beast form. This ability lasts for 3 rounds unless sustained by hitting enemies with Natural, Clawe"&amp;"d attacks, or Guantlet
Break the Chains: mob can add +5 to all rolls")</f>
        <v>Blessing of War: X4 Astral and Delta Damage
The Insanity of the Void: 
Upon attacking any target with a Natural, Clawed Weapon, or Guantlet attack roll a d20 , 10 or lower = Normal-Form, 11 or higher = Void Beast form. Your base stats are tripled, you gain +15 Mobility, and you are under the affects of Rampage, and Roll a d20 each round, 10 or lower = Return to your normal form, 11 or higher = stay in Void Beast form. This ability lasts for 3 rounds unless sustained by hitting enemies with Natural, Clawed attacks, or Guantlet
Break the Chains: mob can add +5 to all rolls</v>
      </c>
      <c r="BG359" s="1" t="str">
        <f>IFERROR(__xludf.DUMMYFUNCTION("""COMPUTED_VALUE"""),"All")</f>
        <v>All</v>
      </c>
      <c r="BH359" s="1" t="str">
        <f>IFERROR(__xludf.DUMMYFUNCTION("""COMPUTED_VALUE"""),"Land of Spira")</f>
        <v>Land of Spira</v>
      </c>
      <c r="BI359" s="1"/>
      <c r="BJ359" s="1"/>
      <c r="BK359" s="1"/>
      <c r="BL359" s="1" t="b">
        <f>IFERROR(__xludf.DUMMYFUNCTION("""COMPUTED_VALUE"""),FALSE)</f>
        <v>0</v>
      </c>
      <c r="BM359" s="1"/>
      <c r="BN359" s="1"/>
      <c r="BO359" s="1"/>
      <c r="BP359" s="1"/>
      <c r="BQ359" s="1"/>
    </row>
    <row r="360" ht="15.75" customHeight="1">
      <c r="A360" s="1" t="str">
        <f>IFERROR(__xludf.DUMMYFUNCTION("""COMPUTED_VALUE"""),"Ninja Trainee (Dragonscale)")</f>
        <v>Ninja Trainee (Dragonscale)</v>
      </c>
      <c r="B360" s="1">
        <f>IFERROR(__xludf.DUMMYFUNCTION("""COMPUTED_VALUE"""),1.0)</f>
        <v>1</v>
      </c>
      <c r="C360" s="1" t="str">
        <f>IFERROR(__xludf.DUMMYFUNCTION("""COMPUTED_VALUE"""),"A newbie Ninja on their first mission, and yet you'll still murder them ruthlessly won't you?")</f>
        <v>A newbie Ninja on their first mission, and yet you'll still murder them ruthlessly won't you?</v>
      </c>
      <c r="D360" s="1" t="str">
        <f>IFERROR(__xludf.DUMMYFUNCTION("""COMPUTED_VALUE"""),"Humanoid")</f>
        <v>Humanoid</v>
      </c>
      <c r="E360" s="1">
        <f>IFERROR(__xludf.DUMMYFUNCTION("""COMPUTED_VALUE"""),1010.0)</f>
        <v>1010</v>
      </c>
      <c r="F360" s="7">
        <f>IFERROR(__xludf.DUMMYFUNCTION("""COMPUTED_VALUE"""),1010.0)</f>
        <v>1010</v>
      </c>
      <c r="G360" s="1">
        <f>IFERROR(__xludf.DUMMYFUNCTION("""COMPUTED_VALUE"""),1010.0)</f>
        <v>1010</v>
      </c>
      <c r="H360" s="1">
        <f>IFERROR(__xludf.DUMMYFUNCTION("""COMPUTED_VALUE"""),15.0)</f>
        <v>15</v>
      </c>
      <c r="I360" s="1">
        <f>IFERROR(__xludf.DUMMYFUNCTION("""COMPUTED_VALUE"""),0.0)</f>
        <v>0</v>
      </c>
      <c r="J360" s="1">
        <f>IFERROR(__xludf.DUMMYFUNCTION("""COMPUTED_VALUE"""),0.0)</f>
        <v>0</v>
      </c>
      <c r="K360" s="1">
        <f>IFERROR(__xludf.DUMMYFUNCTION("""COMPUTED_VALUE"""),100.0)</f>
        <v>100</v>
      </c>
      <c r="L360" s="1">
        <f>IFERROR(__xludf.DUMMYFUNCTION("""COMPUTED_VALUE"""),100.0)</f>
        <v>100</v>
      </c>
      <c r="M360" s="1" t="str">
        <f>IFERROR(__xludf.DUMMYFUNCTION("""COMPUTED_VALUE"""),"Dark:250, Voodoo:250, Blood:250, Instant Death:Immune, ")</f>
        <v>Dark:250, Voodoo:250, Blood:250, Instant Death:Immune, </v>
      </c>
      <c r="N360" s="1" t="str">
        <f>IFERROR(__xludf.DUMMYFUNCTION("""COMPUTED_VALUE"""),"Light:500, Order:500, ")</f>
        <v>Light:500, Order:500, </v>
      </c>
      <c r="O360" s="1" t="str">
        <f>IFERROR(__xludf.DUMMYFUNCTION("""COMPUTED_VALUE"""),"Ninja Initiate's Cowl")</f>
        <v>Ninja Initiate's Cowl</v>
      </c>
      <c r="P360" s="1"/>
      <c r="Q360" s="1"/>
      <c r="R360" s="1"/>
      <c r="S360" s="1" t="str">
        <f>IFERROR(__xludf.DUMMYFUNCTION("""COMPUTED_VALUE"""),"Ninja Initiate's Cape")</f>
        <v>Ninja Initiate's Cape</v>
      </c>
      <c r="T360" s="1" t="str">
        <f>IFERROR(__xludf.DUMMYFUNCTION("""COMPUTED_VALUE"""),"Ninja Initiate's Vest")</f>
        <v>Ninja Initiate's Vest</v>
      </c>
      <c r="U360" s="1" t="str">
        <f>IFERROR(__xludf.DUMMYFUNCTION("""COMPUTED_VALUE"""),"Ninja Initiate's Gloves")</f>
        <v>Ninja Initiate's Gloves</v>
      </c>
      <c r="V360" s="1" t="str">
        <f>IFERROR(__xludf.DUMMYFUNCTION("""COMPUTED_VALUE"""),"Sai")</f>
        <v>Sai</v>
      </c>
      <c r="W360" s="1" t="str">
        <f>IFERROR(__xludf.DUMMYFUNCTION("""COMPUTED_VALUE"""),"Shuriken (Enhanced)")</f>
        <v>Shuriken (Enhanced)</v>
      </c>
      <c r="X360" s="1"/>
      <c r="Y360" s="1"/>
      <c r="Z360" s="1"/>
      <c r="AA360" s="1"/>
      <c r="AB360" s="1"/>
      <c r="AC360" s="1"/>
      <c r="AD360" s="1"/>
      <c r="AE360" s="1"/>
      <c r="AF360" s="1"/>
      <c r="AG360" s="1"/>
      <c r="AH360" s="1" t="str">
        <f>IFERROR(__xludf.DUMMYFUNCTION("""COMPUTED_VALUE"""),"Ninja Initiate's Sarouel")</f>
        <v>Ninja Initiate's Sarouel</v>
      </c>
      <c r="AI360" s="1" t="str">
        <f>IFERROR(__xludf.DUMMYFUNCTION("""COMPUTED_VALUE"""),"Ninja Initiate's Sandals")</f>
        <v>Ninja Initiate's Sandals</v>
      </c>
      <c r="AJ360" s="1" t="str">
        <f>IFERROR(__xludf.DUMMYFUNCTION("""COMPUTED_VALUE"""),"Conceal")</f>
        <v>Conceal</v>
      </c>
      <c r="AK360" s="1" t="str">
        <f>IFERROR(__xludf.DUMMYFUNCTION("""COMPUTED_VALUE"""),"Shadow Strike")</f>
        <v>Shadow Strike</v>
      </c>
      <c r="AL360" s="1" t="str">
        <f>IFERROR(__xludf.DUMMYFUNCTION("""COMPUTED_VALUE"""),"Melee Shield")</f>
        <v>Melee Shield</v>
      </c>
      <c r="AM360" s="1" t="str">
        <f>IFERROR(__xludf.DUMMYFUNCTION("""COMPUTED_VALUE"""),"Go For The Vitals")</f>
        <v>Go For The Vitals</v>
      </c>
      <c r="AN360" s="1" t="str">
        <f>IFERROR(__xludf.DUMMYFUNCTION("""COMPUTED_VALUE"""),"Mutagen")</f>
        <v>Mutagen</v>
      </c>
      <c r="AO360" s="1" t="str">
        <f>IFERROR(__xludf.DUMMYFUNCTION("""COMPUTED_VALUE"""),"Evade")</f>
        <v>Evade</v>
      </c>
      <c r="AP360" s="1"/>
      <c r="AQ360" s="1"/>
      <c r="AR360" s="1"/>
      <c r="AS360" s="1"/>
      <c r="AT360" s="1"/>
      <c r="AU360" s="1"/>
      <c r="AV360" s="1"/>
      <c r="AW360" s="1"/>
      <c r="AX360" s="1"/>
      <c r="AY360" s="1"/>
      <c r="AZ360" s="1"/>
      <c r="BA360" s="1"/>
      <c r="BB360" s="1"/>
      <c r="BC360" s="1"/>
      <c r="BD360" s="1">
        <f>IFERROR(__xludf.DUMMYFUNCTION("""COMPUTED_VALUE"""),0.0)</f>
        <v>0</v>
      </c>
      <c r="BE360" s="9">
        <f>IFERROR(__xludf.DUMMYFUNCTION("""COMPUTED_VALUE"""),15.0)</f>
        <v>15</v>
      </c>
      <c r="BF360" s="1" t="str">
        <f>IFERROR(__xludf.DUMMYFUNCTION("""COMPUTED_VALUE"""),"While being Concealed you act under the effects of Haste and Truesight.
Dragonscale Luck: +5 Can be added to this mobs turn order roll.")</f>
        <v>While being Concealed you act under the effects of Haste and Truesight.
Dragonscale Luck: +5 Can be added to this mobs turn order roll.</v>
      </c>
      <c r="BG360" s="1" t="str">
        <f>IFERROR(__xludf.DUMMYFUNCTION("""COMPUTED_VALUE"""),"All")</f>
        <v>All</v>
      </c>
      <c r="BH360" s="1" t="str">
        <f>IFERROR(__xludf.DUMMYFUNCTION("""COMPUTED_VALUE"""),"Dragonscale Island")</f>
        <v>Dragonscale Island</v>
      </c>
      <c r="BI360" s="1"/>
      <c r="BJ360" s="1"/>
      <c r="BK360" s="1"/>
      <c r="BL360" s="1" t="b">
        <f>IFERROR(__xludf.DUMMYFUNCTION("""COMPUTED_VALUE"""),FALSE)</f>
        <v>0</v>
      </c>
      <c r="BM360" s="1"/>
      <c r="BN360" s="1"/>
      <c r="BO360" s="1"/>
      <c r="BP360" s="1"/>
      <c r="BQ360" s="1"/>
    </row>
    <row r="361" ht="15.75" customHeight="1">
      <c r="A361" s="1" t="str">
        <f>IFERROR(__xludf.DUMMYFUNCTION("""COMPUTED_VALUE"""),"Ninja Ambusher (Dragonscale)")</f>
        <v>Ninja Ambusher (Dragonscale)</v>
      </c>
      <c r="B361" s="1">
        <f>IFERROR(__xludf.DUMMYFUNCTION("""COMPUTED_VALUE"""),1.0)</f>
        <v>1</v>
      </c>
      <c r="C361" s="1" t="str">
        <f>IFERROR(__xludf.DUMMYFUNCTION("""COMPUTED_VALUE"""),"An Intermediate Ninja who decided to follow the path of the shadows to become a master of stealth.")</f>
        <v>An Intermediate Ninja who decided to follow the path of the shadows to become a master of stealth.</v>
      </c>
      <c r="D361" s="1" t="str">
        <f>IFERROR(__xludf.DUMMYFUNCTION("""COMPUTED_VALUE"""),"Humanoid")</f>
        <v>Humanoid</v>
      </c>
      <c r="E361" s="1">
        <f>IFERROR(__xludf.DUMMYFUNCTION("""COMPUTED_VALUE"""),1010.0)</f>
        <v>1010</v>
      </c>
      <c r="F361" s="7">
        <f>IFERROR(__xludf.DUMMYFUNCTION("""COMPUTED_VALUE"""),1010.0)</f>
        <v>1010</v>
      </c>
      <c r="G361" s="1">
        <f>IFERROR(__xludf.DUMMYFUNCTION("""COMPUTED_VALUE"""),876010.0)</f>
        <v>876010</v>
      </c>
      <c r="H361" s="1">
        <f>IFERROR(__xludf.DUMMYFUNCTION("""COMPUTED_VALUE"""),20.0)</f>
        <v>20</v>
      </c>
      <c r="I361" s="1">
        <f>IFERROR(__xludf.DUMMYFUNCTION("""COMPUTED_VALUE"""),0.0)</f>
        <v>0</v>
      </c>
      <c r="J361" s="1">
        <f>IFERROR(__xludf.DUMMYFUNCTION("""COMPUTED_VALUE"""),0.0)</f>
        <v>0</v>
      </c>
      <c r="K361" s="1">
        <f>IFERROR(__xludf.DUMMYFUNCTION("""COMPUTED_VALUE"""),100.0)</f>
        <v>100</v>
      </c>
      <c r="L361" s="1">
        <f>IFERROR(__xludf.DUMMYFUNCTION("""COMPUTED_VALUE"""),100.0)</f>
        <v>100</v>
      </c>
      <c r="M361" s="1" t="str">
        <f>IFERROR(__xludf.DUMMYFUNCTION("""COMPUTED_VALUE"""),"Dark:250, Voodoo:250, Blood:250, Instant Death:Immune, ")</f>
        <v>Dark:250, Voodoo:250, Blood:250, Instant Death:Immune, </v>
      </c>
      <c r="N361" s="1" t="str">
        <f>IFERROR(__xludf.DUMMYFUNCTION("""COMPUTED_VALUE"""),"Light:250, Order:250, ")</f>
        <v>Light:250, Order:250, </v>
      </c>
      <c r="O361" s="1" t="str">
        <f>IFERROR(__xludf.DUMMYFUNCTION("""COMPUTED_VALUE"""),"Ambusher's Cowl")</f>
        <v>Ambusher's Cowl</v>
      </c>
      <c r="P361" s="1"/>
      <c r="Q361" s="1"/>
      <c r="R361" s="1"/>
      <c r="S361" s="1" t="str">
        <f>IFERROR(__xludf.DUMMYFUNCTION("""COMPUTED_VALUE"""),"Ambusher's Cape")</f>
        <v>Ambusher's Cape</v>
      </c>
      <c r="T361" s="1" t="str">
        <f>IFERROR(__xludf.DUMMYFUNCTION("""COMPUTED_VALUE"""),"Ambusher's Vest")</f>
        <v>Ambusher's Vest</v>
      </c>
      <c r="U361" s="1" t="str">
        <f>IFERROR(__xludf.DUMMYFUNCTION("""COMPUTED_VALUE"""),"Ambusher's Gloves")</f>
        <v>Ambusher's Gloves</v>
      </c>
      <c r="V361" s="1" t="str">
        <f>IFERROR(__xludf.DUMMYFUNCTION("""COMPUTED_VALUE"""),"Sai")</f>
        <v>Sai</v>
      </c>
      <c r="W361" s="1" t="str">
        <f>IFERROR(__xludf.DUMMYFUNCTION("""COMPUTED_VALUE"""),"Shuriken (Enhanced)")</f>
        <v>Shuriken (Enhanced)</v>
      </c>
      <c r="X361" s="1" t="str">
        <f>IFERROR(__xludf.DUMMYFUNCTION("""COMPUTED_VALUE"""),"Ring o' Villainy and Voodoo")</f>
        <v>Ring o' Villainy and Voodoo</v>
      </c>
      <c r="Y361" s="1" t="str">
        <f>IFERROR(__xludf.DUMMYFUNCTION("""COMPUTED_VALUE"""),"Ring o' Spite and Blood")</f>
        <v>Ring o' Spite and Blood</v>
      </c>
      <c r="Z361" s="1"/>
      <c r="AA361" s="1"/>
      <c r="AB361" s="1"/>
      <c r="AC361" s="1"/>
      <c r="AD361" s="1"/>
      <c r="AE361" s="1"/>
      <c r="AF361" s="1"/>
      <c r="AG361" s="1"/>
      <c r="AH361" s="1" t="str">
        <f>IFERROR(__xludf.DUMMYFUNCTION("""COMPUTED_VALUE"""),"Ambusher's Sarouel")</f>
        <v>Ambusher's Sarouel</v>
      </c>
      <c r="AI361" s="1" t="str">
        <f>IFERROR(__xludf.DUMMYFUNCTION("""COMPUTED_VALUE"""),"Ambusher's Sandals")</f>
        <v>Ambusher's Sandals</v>
      </c>
      <c r="AJ361" s="1" t="str">
        <f>IFERROR(__xludf.DUMMYFUNCTION("""COMPUTED_VALUE"""),"Conceal")</f>
        <v>Conceal</v>
      </c>
      <c r="AK361" s="1" t="str">
        <f>IFERROR(__xludf.DUMMYFUNCTION("""COMPUTED_VALUE"""),"Shadow Strike")</f>
        <v>Shadow Strike</v>
      </c>
      <c r="AL361" s="1" t="str">
        <f>IFERROR(__xludf.DUMMYFUNCTION("""COMPUTED_VALUE"""),"Melee Shield")</f>
        <v>Melee Shield</v>
      </c>
      <c r="AM361" s="1" t="str">
        <f>IFERROR(__xludf.DUMMYFUNCTION("""COMPUTED_VALUE"""),"Go For The Vitals")</f>
        <v>Go For The Vitals</v>
      </c>
      <c r="AN361" s="1" t="str">
        <f>IFERROR(__xludf.DUMMYFUNCTION("""COMPUTED_VALUE"""),"Mutagen")</f>
        <v>Mutagen</v>
      </c>
      <c r="AO361" s="1" t="str">
        <f>IFERROR(__xludf.DUMMYFUNCTION("""COMPUTED_VALUE"""),"Max Focus")</f>
        <v>Max Focus</v>
      </c>
      <c r="AP361" s="1" t="str">
        <f>IFERROR(__xludf.DUMMYFUNCTION("""COMPUTED_VALUE"""),"Max Evade")</f>
        <v>Max Evade</v>
      </c>
      <c r="AQ361" s="1" t="str">
        <f>IFERROR(__xludf.DUMMYFUNCTION("""COMPUTED_VALUE"""),"Evade")</f>
        <v>Evade</v>
      </c>
      <c r="AR361" s="1" t="str">
        <f>IFERROR(__xludf.DUMMYFUNCTION("""COMPUTED_VALUE"""),"Chains of Shadow")</f>
        <v>Chains of Shadow</v>
      </c>
      <c r="AS361" s="1" t="str">
        <f>IFERROR(__xludf.DUMMYFUNCTION("""COMPUTED_VALUE"""),"Bleeding Catastrophe")</f>
        <v>Bleeding Catastrophe</v>
      </c>
      <c r="AT361" s="1" t="str">
        <f>IFERROR(__xludf.DUMMYFUNCTION("""COMPUTED_VALUE"""),"Bloody Knuckles")</f>
        <v>Bloody Knuckles</v>
      </c>
      <c r="AU361" s="1" t="str">
        <f>IFERROR(__xludf.DUMMYFUNCTION("""COMPUTED_VALUE"""),"Celestial Wrath")</f>
        <v>Celestial Wrath</v>
      </c>
      <c r="AV361" s="1"/>
      <c r="AW361" s="1"/>
      <c r="AX361" s="1"/>
      <c r="AY361" s="1"/>
      <c r="AZ361" s="1"/>
      <c r="BA361" s="1"/>
      <c r="BB361" s="1"/>
      <c r="BC361" s="1"/>
      <c r="BD361" s="1">
        <f>IFERROR(__xludf.DUMMYFUNCTION("""COMPUTED_VALUE"""),0.0)</f>
        <v>0</v>
      </c>
      <c r="BE361" s="9">
        <f>IFERROR(__xludf.DUMMYFUNCTION("""COMPUTED_VALUE"""),25.0)</f>
        <v>25</v>
      </c>
      <c r="BF361" s="1" t="str">
        <f>IFERROR(__xludf.DUMMYFUNCTION("""COMPUTED_VALUE"""),"While being Concealed you act under the effects of Haste and Truesight.
Dragonscale Luck: +5 Can be added to this mobs turn order roll.")</f>
        <v>While being Concealed you act under the effects of Haste and Truesight.
Dragonscale Luck: +5 Can be added to this mobs turn order roll.</v>
      </c>
      <c r="BG361" s="1" t="str">
        <f>IFERROR(__xludf.DUMMYFUNCTION("""COMPUTED_VALUE"""),"All")</f>
        <v>All</v>
      </c>
      <c r="BH361" s="1" t="str">
        <f>IFERROR(__xludf.DUMMYFUNCTION("""COMPUTED_VALUE"""),"Dragonscale Island")</f>
        <v>Dragonscale Island</v>
      </c>
      <c r="BI361" s="1"/>
      <c r="BJ361" s="1"/>
      <c r="BK361" s="1"/>
      <c r="BL361" s="1" t="b">
        <f>IFERROR(__xludf.DUMMYFUNCTION("""COMPUTED_VALUE"""),FALSE)</f>
        <v>0</v>
      </c>
      <c r="BM361" s="1"/>
      <c r="BN361" s="1"/>
      <c r="BO361" s="1"/>
      <c r="BP361" s="1"/>
      <c r="BQ361" s="1"/>
    </row>
    <row r="362" ht="15.75" customHeight="1">
      <c r="A362" s="1" t="str">
        <f>IFERROR(__xludf.DUMMYFUNCTION("""COMPUTED_VALUE"""),"Ninja Poison Master (Dragonscale)")</f>
        <v>Ninja Poison Master (Dragonscale)</v>
      </c>
      <c r="B362" s="1">
        <f>IFERROR(__xludf.DUMMYFUNCTION("""COMPUTED_VALUE"""),1.0)</f>
        <v>1</v>
      </c>
      <c r="C362" s="1" t="str">
        <f>IFERROR(__xludf.DUMMYFUNCTION("""COMPUTED_VALUE"""),"The Great Poison Masters, while not as physically powerful, are at times much more threatening than their Ninja Master counterparts with their thousand poisons designed to waste away their enemies.")</f>
        <v>The Great Poison Masters, while not as physically powerful, are at times much more threatening than their Ninja Master counterparts with their thousand poisons designed to waste away their enemies.</v>
      </c>
      <c r="D362" s="1" t="str">
        <f>IFERROR(__xludf.DUMMYFUNCTION("""COMPUTED_VALUE"""),"Humanoid")</f>
        <v>Humanoid</v>
      </c>
      <c r="E362" s="1">
        <f>IFERROR(__xludf.DUMMYFUNCTION("""COMPUTED_VALUE"""),1010.0)</f>
        <v>1010</v>
      </c>
      <c r="F362" s="7">
        <f>IFERROR(__xludf.DUMMYFUNCTION("""COMPUTED_VALUE"""),1010.0)</f>
        <v>1010</v>
      </c>
      <c r="G362" s="1">
        <f>IFERROR(__xludf.DUMMYFUNCTION("""COMPUTED_VALUE"""),751010.0)</f>
        <v>751010</v>
      </c>
      <c r="H362" s="1">
        <f>IFERROR(__xludf.DUMMYFUNCTION("""COMPUTED_VALUE"""),20.0)</f>
        <v>20</v>
      </c>
      <c r="I362" s="1">
        <f>IFERROR(__xludf.DUMMYFUNCTION("""COMPUTED_VALUE"""),0.0)</f>
        <v>0</v>
      </c>
      <c r="J362" s="1">
        <f>IFERROR(__xludf.DUMMYFUNCTION("""COMPUTED_VALUE"""),0.0)</f>
        <v>0</v>
      </c>
      <c r="K362" s="1">
        <f>IFERROR(__xludf.DUMMYFUNCTION("""COMPUTED_VALUE"""),100.0)</f>
        <v>100</v>
      </c>
      <c r="L362" s="1">
        <f>IFERROR(__xludf.DUMMYFUNCTION("""COMPUTED_VALUE"""),100.0)</f>
        <v>100</v>
      </c>
      <c r="M362" s="1" t="str">
        <f>IFERROR(__xludf.DUMMYFUNCTION("""COMPUTED_VALUE"""),"Dark:250, Voodoo:250, Blood:250, Zen:Immune, Instant Death:Immune, ")</f>
        <v>Dark:250, Voodoo:250, Blood:250, Zen:Immune, Instant Death:Immune, </v>
      </c>
      <c r="N362" s="1" t="str">
        <f>IFERROR(__xludf.DUMMYFUNCTION("""COMPUTED_VALUE"""),"Light:250, Order:250, ")</f>
        <v>Light:250, Order:250, </v>
      </c>
      <c r="O362" s="1" t="str">
        <f>IFERROR(__xludf.DUMMYFUNCTION("""COMPUTED_VALUE"""),"Poison Master's Mask")</f>
        <v>Poison Master's Mask</v>
      </c>
      <c r="P362" s="1"/>
      <c r="Q362" s="1"/>
      <c r="R362" s="1"/>
      <c r="S362" s="1" t="str">
        <f>IFERROR(__xludf.DUMMYFUNCTION("""COMPUTED_VALUE"""),"Poison Master's Cape")</f>
        <v>Poison Master's Cape</v>
      </c>
      <c r="T362" s="1" t="str">
        <f>IFERROR(__xludf.DUMMYFUNCTION("""COMPUTED_VALUE"""),"Poison Master's Robe")</f>
        <v>Poison Master's Robe</v>
      </c>
      <c r="U362" s="1" t="str">
        <f>IFERROR(__xludf.DUMMYFUNCTION("""COMPUTED_VALUE"""),"Poison Master's Heavy Duty Gloves")</f>
        <v>Poison Master's Heavy Duty Gloves</v>
      </c>
      <c r="V362" s="1" t="str">
        <f>IFERROR(__xludf.DUMMYFUNCTION("""COMPUTED_VALUE"""),"Poison Tipped Needle")</f>
        <v>Poison Tipped Needle</v>
      </c>
      <c r="W362" s="1" t="str">
        <f>IFERROR(__xludf.DUMMYFUNCTION("""COMPUTED_VALUE"""),"Poison Dart Gun")</f>
        <v>Poison Dart Gun</v>
      </c>
      <c r="X362" s="1" t="str">
        <f>IFERROR(__xludf.DUMMYFUNCTION("""COMPUTED_VALUE"""),"Ring o’ Luck and Nature")</f>
        <v>Ring o’ Luck and Nature</v>
      </c>
      <c r="Y362" s="1" t="str">
        <f>IFERROR(__xludf.DUMMYFUNCTION("""COMPUTED_VALUE"""),"Ring o' Villainy and Voodoo")</f>
        <v>Ring o' Villainy and Voodoo</v>
      </c>
      <c r="Z362" s="1"/>
      <c r="AA362" s="1"/>
      <c r="AB362" s="1"/>
      <c r="AC362" s="1"/>
      <c r="AD362" s="1"/>
      <c r="AE362" s="1"/>
      <c r="AF362" s="1"/>
      <c r="AG362" s="1"/>
      <c r="AH362" s="1" t="str">
        <f>IFERROR(__xludf.DUMMYFUNCTION("""COMPUTED_VALUE"""),"Poison Master's Sarouel")</f>
        <v>Poison Master's Sarouel</v>
      </c>
      <c r="AI362" s="1" t="str">
        <f>IFERROR(__xludf.DUMMYFUNCTION("""COMPUTED_VALUE"""),"Poison Master's Boots")</f>
        <v>Poison Master's Boots</v>
      </c>
      <c r="AJ362" s="1" t="str">
        <f>IFERROR(__xludf.DUMMYFUNCTION("""COMPUTED_VALUE"""),"Conceal")</f>
        <v>Conceal</v>
      </c>
      <c r="AK362" s="1" t="str">
        <f>IFERROR(__xludf.DUMMYFUNCTION("""COMPUTED_VALUE"""),"Shadow Strike")</f>
        <v>Shadow Strike</v>
      </c>
      <c r="AL362" s="1" t="str">
        <f>IFERROR(__xludf.DUMMYFUNCTION("""COMPUTED_VALUE"""),"Melee Shield")</f>
        <v>Melee Shield</v>
      </c>
      <c r="AM362" s="1" t="str">
        <f>IFERROR(__xludf.DUMMYFUNCTION("""COMPUTED_VALUE"""),"Go For The Vitals")</f>
        <v>Go For The Vitals</v>
      </c>
      <c r="AN362" s="1" t="str">
        <f>IFERROR(__xludf.DUMMYFUNCTION("""COMPUTED_VALUE"""),"Devolve")</f>
        <v>Devolve</v>
      </c>
      <c r="AO362" s="1" t="str">
        <f>IFERROR(__xludf.DUMMYFUNCTION("""COMPUTED_VALUE"""),"Warcrimes")</f>
        <v>Warcrimes</v>
      </c>
      <c r="AP362" s="1" t="str">
        <f>IFERROR(__xludf.DUMMYFUNCTION("""COMPUTED_VALUE"""),"Poison Flask")</f>
        <v>Poison Flask</v>
      </c>
      <c r="AQ362" s="1" t="str">
        <f>IFERROR(__xludf.DUMMYFUNCTION("""COMPUTED_VALUE"""),"1000 Poisons Body")</f>
        <v>1000 Poisons Body</v>
      </c>
      <c r="AR362" s="1" t="str">
        <f>IFERROR(__xludf.DUMMYFUNCTION("""COMPUTED_VALUE"""),"Contagion")</f>
        <v>Contagion</v>
      </c>
      <c r="AS362" s="1" t="str">
        <f>IFERROR(__xludf.DUMMYFUNCTION("""COMPUTED_VALUE"""),"Mutagen")</f>
        <v>Mutagen</v>
      </c>
      <c r="AT362" s="1" t="str">
        <f>IFERROR(__xludf.DUMMYFUNCTION("""COMPUTED_VALUE"""),"Foresight")</f>
        <v>Foresight</v>
      </c>
      <c r="AU362" s="1" t="str">
        <f>IFERROR(__xludf.DUMMYFUNCTION("""COMPUTED_VALUE"""),"Evade")</f>
        <v>Evade</v>
      </c>
      <c r="AV362" s="1" t="str">
        <f>IFERROR(__xludf.DUMMYFUNCTION("""COMPUTED_VALUE"""),"Celestial Wrath")</f>
        <v>Celestial Wrath</v>
      </c>
      <c r="AW362" s="1" t="str">
        <f>IFERROR(__xludf.DUMMYFUNCTION("""COMPUTED_VALUE"""),"Cancel")</f>
        <v>Cancel</v>
      </c>
      <c r="AX362" s="1" t="str">
        <f>IFERROR(__xludf.DUMMYFUNCTION("""COMPUTED_VALUE"""),"Last Chance")</f>
        <v>Last Chance</v>
      </c>
      <c r="AY362" s="1" t="str">
        <f>IFERROR(__xludf.DUMMYFUNCTION("""COMPUTED_VALUE"""),"Confiscate")</f>
        <v>Confiscate</v>
      </c>
      <c r="AZ362" s="1" t="str">
        <f>IFERROR(__xludf.DUMMYFUNCTION("""COMPUTED_VALUE"""),"Chaincast")</f>
        <v>Chaincast</v>
      </c>
      <c r="BA362" s="1"/>
      <c r="BB362" s="1"/>
      <c r="BC362" s="1"/>
      <c r="BD362" s="1">
        <f>IFERROR(__xludf.DUMMYFUNCTION("""COMPUTED_VALUE"""),0.0)</f>
        <v>0</v>
      </c>
      <c r="BE362" s="9">
        <f>IFERROR(__xludf.DUMMYFUNCTION("""COMPUTED_VALUE"""),20.0)</f>
        <v>20</v>
      </c>
      <c r="BF362" s="1" t="str">
        <f>IFERROR(__xludf.DUMMYFUNCTION("""COMPUTED_VALUE"""),"While being Concealed you act under the effects of Haste and Truesight.
Swift Shadow Arts: +10 can be added to this mob's rolls
Items cannot be removed from this mob")</f>
        <v>While being Concealed you act under the effects of Haste and Truesight.
Swift Shadow Arts: +10 can be added to this mob's rolls
Items cannot be removed from this mob</v>
      </c>
      <c r="BG362" s="1" t="str">
        <f>IFERROR(__xludf.DUMMYFUNCTION("""COMPUTED_VALUE"""),"All")</f>
        <v>All</v>
      </c>
      <c r="BH362" s="1" t="str">
        <f>IFERROR(__xludf.DUMMYFUNCTION("""COMPUTED_VALUE"""),"Dragonscale Island")</f>
        <v>Dragonscale Island</v>
      </c>
      <c r="BI362" s="1"/>
      <c r="BJ362" s="1"/>
      <c r="BK362" s="1"/>
      <c r="BL362" s="1" t="b">
        <f>IFERROR(__xludf.DUMMYFUNCTION("""COMPUTED_VALUE"""),FALSE)</f>
        <v>0</v>
      </c>
      <c r="BM362" s="1"/>
      <c r="BN362" s="1"/>
      <c r="BO362" s="1"/>
      <c r="BP362" s="1"/>
      <c r="BQ362" s="1"/>
    </row>
    <row r="363" ht="15.75" customHeight="1">
      <c r="A363" s="1" t="str">
        <f>IFERROR(__xludf.DUMMYFUNCTION("""COMPUTED_VALUE"""),"Ninja Master (Dragonscale)")</f>
        <v>Ninja Master (Dragonscale)</v>
      </c>
      <c r="B363" s="1">
        <f>IFERROR(__xludf.DUMMYFUNCTION("""COMPUTED_VALUE"""),1.0)</f>
        <v>1</v>
      </c>
      <c r="C363" s="1" t="str">
        <f>IFERROR(__xludf.DUMMYFUNCTION("""COMPUTED_VALUE"""),"A great martial master of one of the ninja groups, generally an Elder or other high ranking warrior.")</f>
        <v>A great martial master of one of the ninja groups, generally an Elder or other high ranking warrior.</v>
      </c>
      <c r="D363" s="1" t="str">
        <f>IFERROR(__xludf.DUMMYFUNCTION("""COMPUTED_VALUE"""),"Heavenly")</f>
        <v>Heavenly</v>
      </c>
      <c r="E363" s="1">
        <f>IFERROR(__xludf.DUMMYFUNCTION("""COMPUTED_VALUE"""),1010.0)</f>
        <v>1010</v>
      </c>
      <c r="F363" s="7">
        <f>IFERROR(__xludf.DUMMYFUNCTION("""COMPUTED_VALUE"""),1010.0)</f>
        <v>1010</v>
      </c>
      <c r="G363" s="1">
        <f>IFERROR(__xludf.DUMMYFUNCTION("""COMPUTED_VALUE"""),126010.0)</f>
        <v>126010</v>
      </c>
      <c r="H363" s="1">
        <f>IFERROR(__xludf.DUMMYFUNCTION("""COMPUTED_VALUE"""),25.0)</f>
        <v>25</v>
      </c>
      <c r="I363" s="1">
        <f>IFERROR(__xludf.DUMMYFUNCTION("""COMPUTED_VALUE"""),0.0)</f>
        <v>0</v>
      </c>
      <c r="J363" s="1">
        <f>IFERROR(__xludf.DUMMYFUNCTION("""COMPUTED_VALUE"""),0.0)</f>
        <v>0</v>
      </c>
      <c r="K363" s="1">
        <f>IFERROR(__xludf.DUMMYFUNCTION("""COMPUTED_VALUE"""),100.0)</f>
        <v>100</v>
      </c>
      <c r="L363" s="1">
        <f>IFERROR(__xludf.DUMMYFUNCTION("""COMPUTED_VALUE"""),100.0)</f>
        <v>100</v>
      </c>
      <c r="M363" s="1" t="str">
        <f>IFERROR(__xludf.DUMMYFUNCTION("""COMPUTED_VALUE"""),"Dark:500, Voodoo:Immune, Blood:Immune, Zen:Immune, Instant Death:Immune, Banishment:Immune, ")</f>
        <v>Dark:500, Voodoo:Immune, Blood:Immune, Zen:Immune, Instant Death:Immune, Banishment:Immune, </v>
      </c>
      <c r="N363" s="1" t="str">
        <f>IFERROR(__xludf.DUMMYFUNCTION("""COMPUTED_VALUE"""),"Light:100, Order:100, ")</f>
        <v>Light:100, Order:100, </v>
      </c>
      <c r="O363" s="1" t="str">
        <f>IFERROR(__xludf.DUMMYFUNCTION("""COMPUTED_VALUE"""),"Mask of Creeping Darkness")</f>
        <v>Mask of Creeping Darkness</v>
      </c>
      <c r="P363" s="1"/>
      <c r="Q363" s="1"/>
      <c r="R363" s="1"/>
      <c r="S363" s="1" t="str">
        <f>IFERROR(__xludf.DUMMYFUNCTION("""COMPUTED_VALUE"""),"Cape of Illusion")</f>
        <v>Cape of Illusion</v>
      </c>
      <c r="T363" s="1" t="str">
        <f>IFERROR(__xludf.DUMMYFUNCTION("""COMPUTED_VALUE"""),"Chest of Evershifting Darkness")</f>
        <v>Chest of Evershifting Darkness</v>
      </c>
      <c r="U363" s="1" t="str">
        <f>IFERROR(__xludf.DUMMYFUNCTION("""COMPUTED_VALUE"""),"Silken Gloves of Dexterity")</f>
        <v>Silken Gloves of Dexterity</v>
      </c>
      <c r="V363" s="1" t="str">
        <f>IFERROR(__xludf.DUMMYFUNCTION("""COMPUTED_VALUE"""),"Assassin's Kiss")</f>
        <v>Assassin's Kiss</v>
      </c>
      <c r="W363" s="1" t="str">
        <f>IFERROR(__xludf.DUMMYFUNCTION("""COMPUTED_VALUE"""),"Night's Edge")</f>
        <v>Night's Edge</v>
      </c>
      <c r="X363" s="1" t="str">
        <f>IFERROR(__xludf.DUMMYFUNCTION("""COMPUTED_VALUE"""),"Ring o' Neurodivergance and Spirit")</f>
        <v>Ring o' Neurodivergance and Spirit</v>
      </c>
      <c r="Y363" s="1" t="str">
        <f>IFERROR(__xludf.DUMMYFUNCTION("""COMPUTED_VALUE"""),"Ring o' Villainy and Voodoo")</f>
        <v>Ring o' Villainy and Voodoo</v>
      </c>
      <c r="Z363" s="1" t="str">
        <f>IFERROR(__xludf.DUMMYFUNCTION("""COMPUTED_VALUE"""),"Ring o' Spite and Blood")</f>
        <v>Ring o' Spite and Blood</v>
      </c>
      <c r="AA363" s="1"/>
      <c r="AB363" s="1"/>
      <c r="AC363" s="1"/>
      <c r="AD363" s="1"/>
      <c r="AE363" s="1"/>
      <c r="AF363" s="1"/>
      <c r="AG363" s="1"/>
      <c r="AH363" s="1" t="str">
        <f>IFERROR(__xludf.DUMMYFUNCTION("""COMPUTED_VALUE"""),"Leggings of Swift Death")</f>
        <v>Leggings of Swift Death</v>
      </c>
      <c r="AI363" s="1" t="str">
        <f>IFERROR(__xludf.DUMMYFUNCTION("""COMPUTED_VALUE"""),"Leather Boots of EDGINESS")</f>
        <v>Leather Boots of EDGINESS</v>
      </c>
      <c r="AJ363" s="1" t="str">
        <f>IFERROR(__xludf.DUMMYFUNCTION("""COMPUTED_VALUE"""),"Conceal")</f>
        <v>Conceal</v>
      </c>
      <c r="AK363" s="1" t="str">
        <f>IFERROR(__xludf.DUMMYFUNCTION("""COMPUTED_VALUE"""),"Shadow Strike")</f>
        <v>Shadow Strike</v>
      </c>
      <c r="AL363" s="1" t="str">
        <f>IFERROR(__xludf.DUMMYFUNCTION("""COMPUTED_VALUE"""),"Melee Shield")</f>
        <v>Melee Shield</v>
      </c>
      <c r="AM363" s="1" t="str">
        <f>IFERROR(__xludf.DUMMYFUNCTION("""COMPUTED_VALUE"""),"Go For The Vitals")</f>
        <v>Go For The Vitals</v>
      </c>
      <c r="AN363" s="1" t="str">
        <f>IFERROR(__xludf.DUMMYFUNCTION("""COMPUTED_VALUE"""),"Mutagen")</f>
        <v>Mutagen</v>
      </c>
      <c r="AO363" s="1" t="str">
        <f>IFERROR(__xludf.DUMMYFUNCTION("""COMPUTED_VALUE"""),"Max Focus")</f>
        <v>Max Focus</v>
      </c>
      <c r="AP363" s="1" t="str">
        <f>IFERROR(__xludf.DUMMYFUNCTION("""COMPUTED_VALUE"""),"Max Evade")</f>
        <v>Max Evade</v>
      </c>
      <c r="AQ363" s="1" t="str">
        <f>IFERROR(__xludf.DUMMYFUNCTION("""COMPUTED_VALUE"""),"Foresight")</f>
        <v>Foresight</v>
      </c>
      <c r="AR363" s="1" t="str">
        <f>IFERROR(__xludf.DUMMYFUNCTION("""COMPUTED_VALUE"""),"Evade")</f>
        <v>Evade</v>
      </c>
      <c r="AS363" s="1" t="str">
        <f>IFERROR(__xludf.DUMMYFUNCTION("""COMPUTED_VALUE"""),"Chains of Shadow")</f>
        <v>Chains of Shadow</v>
      </c>
      <c r="AT363" s="1" t="str">
        <f>IFERROR(__xludf.DUMMYFUNCTION("""COMPUTED_VALUE"""),"Celestial Wrath")</f>
        <v>Celestial Wrath</v>
      </c>
      <c r="AU363" s="1" t="str">
        <f>IFERROR(__xludf.DUMMYFUNCTION("""COMPUTED_VALUE"""),"Cancel")</f>
        <v>Cancel</v>
      </c>
      <c r="AV363" s="1" t="str">
        <f>IFERROR(__xludf.DUMMYFUNCTION("""COMPUTED_VALUE"""),"Last Chance")</f>
        <v>Last Chance</v>
      </c>
      <c r="AW363" s="1" t="str">
        <f>IFERROR(__xludf.DUMMYFUNCTION("""COMPUTED_VALUE"""),"Confiscate")</f>
        <v>Confiscate</v>
      </c>
      <c r="AX363" s="1" t="str">
        <f>IFERROR(__xludf.DUMMYFUNCTION("""COMPUTED_VALUE"""),"Chaincast")</f>
        <v>Chaincast</v>
      </c>
      <c r="AY363" s="1"/>
      <c r="AZ363" s="1"/>
      <c r="BA363" s="1"/>
      <c r="BB363" s="1"/>
      <c r="BC363" s="1"/>
      <c r="BD363" s="1">
        <f>IFERROR(__xludf.DUMMYFUNCTION("""COMPUTED_VALUE"""),0.0)</f>
        <v>0</v>
      </c>
      <c r="BE363" s="9">
        <f>IFERROR(__xludf.DUMMYFUNCTION("""COMPUTED_VALUE"""),25.0)</f>
        <v>25</v>
      </c>
      <c r="BF363" s="1" t="str">
        <f>IFERROR(__xludf.DUMMYFUNCTION("""COMPUTED_VALUE"""),"While being Concealed you act under the effects of Haste and Truesight.
Items cannot be stolen from this mob.
Swift Shadow Arts: +10 can be added to this mob's rolls")</f>
        <v>While being Concealed you act under the effects of Haste and Truesight.
Items cannot be stolen from this mob.
Swift Shadow Arts: +10 can be added to this mob's rolls</v>
      </c>
      <c r="BG363" s="1" t="str">
        <f>IFERROR(__xludf.DUMMYFUNCTION("""COMPUTED_VALUE"""),"All")</f>
        <v>All</v>
      </c>
      <c r="BH363" s="1" t="str">
        <f>IFERROR(__xludf.DUMMYFUNCTION("""COMPUTED_VALUE"""),"Dragonscale Island")</f>
        <v>Dragonscale Island</v>
      </c>
      <c r="BI363" s="1"/>
      <c r="BJ363" s="1"/>
      <c r="BK363" s="1"/>
      <c r="BL363" s="1" t="b">
        <f>IFERROR(__xludf.DUMMYFUNCTION("""COMPUTED_VALUE"""),FALSE)</f>
        <v>0</v>
      </c>
      <c r="BM363" s="1"/>
      <c r="BN363" s="1"/>
      <c r="BO363" s="1"/>
      <c r="BP363" s="1"/>
      <c r="BQ363" s="1"/>
    </row>
    <row r="364" ht="15.75" customHeight="1">
      <c r="A364" s="1" t="str">
        <f>IFERROR(__xludf.DUMMYFUNCTION("""COMPUTED_VALUE"""),"Wolf")</f>
        <v>Wolf</v>
      </c>
      <c r="B364" s="1">
        <f>IFERROR(__xludf.DUMMYFUNCTION("""COMPUTED_VALUE"""),1.0)</f>
        <v>1</v>
      </c>
      <c r="C364" s="1" t="str">
        <f>IFERROR(__xludf.DUMMYFUNCTION("""COMPUTED_VALUE"""),"A simple wild beast found in the many forests and plains of spira")</f>
        <v>A simple wild beast found in the many forests and plains of spira</v>
      </c>
      <c r="D364" s="1" t="str">
        <f>IFERROR(__xludf.DUMMYFUNCTION("""COMPUTED_VALUE"""),"Beast")</f>
        <v>Beast</v>
      </c>
      <c r="E364" s="1">
        <f>IFERROR(__xludf.DUMMYFUNCTION("""COMPUTED_VALUE"""),1010.0)</f>
        <v>1010</v>
      </c>
      <c r="F364" s="7">
        <f>IFERROR(__xludf.DUMMYFUNCTION("""COMPUTED_VALUE"""),1010.0)</f>
        <v>1010</v>
      </c>
      <c r="G364" s="1">
        <f>IFERROR(__xludf.DUMMYFUNCTION("""COMPUTED_VALUE"""),1010.0)</f>
        <v>1010</v>
      </c>
      <c r="H364" s="1">
        <f>IFERROR(__xludf.DUMMYFUNCTION("""COMPUTED_VALUE"""),10.0)</f>
        <v>10</v>
      </c>
      <c r="I364" s="1">
        <f>IFERROR(__xludf.DUMMYFUNCTION("""COMPUTED_VALUE"""),0.0)</f>
        <v>0</v>
      </c>
      <c r="J364" s="1">
        <f>IFERROR(__xludf.DUMMYFUNCTION("""COMPUTED_VALUE"""),0.0)</f>
        <v>0</v>
      </c>
      <c r="K364" s="1">
        <f>IFERROR(__xludf.DUMMYFUNCTION("""COMPUTED_VALUE"""),100.0)</f>
        <v>100</v>
      </c>
      <c r="L364" s="1">
        <f>IFERROR(__xludf.DUMMYFUNCTION("""COMPUTED_VALUE"""),100.0)</f>
        <v>100</v>
      </c>
      <c r="M364" s="1" t="str">
        <f>IFERROR(__xludf.DUMMYFUNCTION("""COMPUTED_VALUE"""),"")</f>
        <v/>
      </c>
      <c r="N364" s="1" t="str">
        <f>IFERROR(__xludf.DUMMYFUNCTION("""COMPUTED_VALUE"""),"")</f>
        <v/>
      </c>
      <c r="O364" s="1"/>
      <c r="P364" s="1"/>
      <c r="Q364" s="1"/>
      <c r="R364" s="1"/>
      <c r="S364" s="1"/>
      <c r="T364" s="1"/>
      <c r="U364" s="1"/>
      <c r="V364" s="1"/>
      <c r="W364" s="1"/>
      <c r="X364" s="1"/>
      <c r="Y364" s="1"/>
      <c r="Z364" s="1"/>
      <c r="AA364" s="1"/>
      <c r="AB364" s="1"/>
      <c r="AC364" s="1"/>
      <c r="AD364" s="1"/>
      <c r="AE364" s="1"/>
      <c r="AF364" s="1"/>
      <c r="AG364" s="1"/>
      <c r="AH364" s="1"/>
      <c r="AI364" s="1"/>
      <c r="AJ364" s="1" t="str">
        <f>IFERROR(__xludf.DUMMYFUNCTION("""COMPUTED_VALUE"""),"Bite")</f>
        <v>Bite</v>
      </c>
      <c r="AK364" s="1" t="str">
        <f>IFERROR(__xludf.DUMMYFUNCTION("""COMPUTED_VALUE"""),"Claws")</f>
        <v>Claws</v>
      </c>
      <c r="AL364" s="1" t="str">
        <f>IFERROR(__xludf.DUMMYFUNCTION("""COMPUTED_VALUE"""),"Lunge")</f>
        <v>Lunge</v>
      </c>
      <c r="AM364" s="1"/>
      <c r="AN364" s="1"/>
      <c r="AO364" s="1"/>
      <c r="AP364" s="1"/>
      <c r="AQ364" s="1"/>
      <c r="AR364" s="1"/>
      <c r="AS364" s="1"/>
      <c r="AT364" s="1"/>
      <c r="AU364" s="1"/>
      <c r="AV364" s="1"/>
      <c r="AW364" s="1"/>
      <c r="AX364" s="1"/>
      <c r="AY364" s="1"/>
      <c r="AZ364" s="1"/>
      <c r="BA364" s="1"/>
      <c r="BB364" s="1"/>
      <c r="BC364" s="1"/>
      <c r="BD364" s="1">
        <f>IFERROR(__xludf.DUMMYFUNCTION("""COMPUTED_VALUE"""),0.0)</f>
        <v>0</v>
      </c>
      <c r="BE364" s="9">
        <f>IFERROR(__xludf.DUMMYFUNCTION("""COMPUTED_VALUE"""),10.0)</f>
        <v>10</v>
      </c>
      <c r="BF364" s="1"/>
      <c r="BG364" s="1" t="str">
        <f>IFERROR(__xludf.DUMMYFUNCTION("""COMPUTED_VALUE"""),"All")</f>
        <v>All</v>
      </c>
      <c r="BH364" s="1" t="str">
        <f>IFERROR(__xludf.DUMMYFUNCTION("""COMPUTED_VALUE"""),"Land of Spira")</f>
        <v>Land of Spira</v>
      </c>
      <c r="BI364" s="1"/>
      <c r="BJ364" s="1"/>
      <c r="BK364" s="1"/>
      <c r="BL364" s="1" t="b">
        <f>IFERROR(__xludf.DUMMYFUNCTION("""COMPUTED_VALUE"""),FALSE)</f>
        <v>0</v>
      </c>
      <c r="BM364" s="1"/>
      <c r="BN364" s="1"/>
      <c r="BO364" s="1"/>
      <c r="BP364" s="1"/>
      <c r="BQ364" s="1"/>
    </row>
    <row r="365" ht="15.75" customHeight="1">
      <c r="A365" s="1" t="str">
        <f>IFERROR(__xludf.DUMMYFUNCTION("""COMPUTED_VALUE"""),"Imp")</f>
        <v>Imp</v>
      </c>
      <c r="B365" s="1">
        <f>IFERROR(__xludf.DUMMYFUNCTION("""COMPUTED_VALUE"""),1.0)</f>
        <v>1</v>
      </c>
      <c r="C365" s="1" t="str">
        <f>IFERROR(__xludf.DUMMYFUNCTION("""COMPUTED_VALUE"""),"The lowest variety of devil, incapable of speach")</f>
        <v>The lowest variety of devil, incapable of speach</v>
      </c>
      <c r="D365" s="1" t="str">
        <f>IFERROR(__xludf.DUMMYFUNCTION("""COMPUTED_VALUE"""),"Demonic")</f>
        <v>Demonic</v>
      </c>
      <c r="E365" s="1">
        <f>IFERROR(__xludf.DUMMYFUNCTION("""COMPUTED_VALUE"""),1010.0)</f>
        <v>1010</v>
      </c>
      <c r="F365" s="7">
        <f>IFERROR(__xludf.DUMMYFUNCTION("""COMPUTED_VALUE"""),1010.0)</f>
        <v>1010</v>
      </c>
      <c r="G365" s="1">
        <f>IFERROR(__xludf.DUMMYFUNCTION("""COMPUTED_VALUE"""),1010.0)</f>
        <v>1010</v>
      </c>
      <c r="H365" s="1">
        <f>IFERROR(__xludf.DUMMYFUNCTION("""COMPUTED_VALUE"""),10.0)</f>
        <v>10</v>
      </c>
      <c r="I365" s="1">
        <f>IFERROR(__xludf.DUMMYFUNCTION("""COMPUTED_VALUE"""),0.0)</f>
        <v>0</v>
      </c>
      <c r="J365" s="1">
        <f>IFERROR(__xludf.DUMMYFUNCTION("""COMPUTED_VALUE"""),0.0)</f>
        <v>0</v>
      </c>
      <c r="K365" s="1">
        <f>IFERROR(__xludf.DUMMYFUNCTION("""COMPUTED_VALUE"""),100.0)</f>
        <v>100</v>
      </c>
      <c r="L365" s="1">
        <f>IFERROR(__xludf.DUMMYFUNCTION("""COMPUTED_VALUE"""),100.0)</f>
        <v>100</v>
      </c>
      <c r="M365" s="1" t="str">
        <f>IFERROR(__xludf.DUMMYFUNCTION("""COMPUTED_VALUE"""),"Dark:50, Chaos:50, ")</f>
        <v>Dark:50, Chaos:50, </v>
      </c>
      <c r="N365" s="1" t="str">
        <f>IFERROR(__xludf.DUMMYFUNCTION("""COMPUTED_VALUE"""),"Light:50, Order:50, ")</f>
        <v>Light:50, Order:50, </v>
      </c>
      <c r="O365" s="1"/>
      <c r="P365" s="1"/>
      <c r="Q365" s="1"/>
      <c r="R365" s="1"/>
      <c r="S365" s="1"/>
      <c r="T365" s="1"/>
      <c r="U365" s="1"/>
      <c r="V365" s="1"/>
      <c r="W365" s="1"/>
      <c r="X365" s="1"/>
      <c r="Y365" s="1"/>
      <c r="Z365" s="1"/>
      <c r="AA365" s="1"/>
      <c r="AB365" s="1"/>
      <c r="AC365" s="1"/>
      <c r="AD365" s="1"/>
      <c r="AE365" s="1"/>
      <c r="AF365" s="1"/>
      <c r="AG365" s="1"/>
      <c r="AH365" s="1"/>
      <c r="AI365" s="1"/>
      <c r="AJ365" s="1" t="str">
        <f>IFERROR(__xludf.DUMMYFUNCTION("""COMPUTED_VALUE"""),"Rejuvenate")</f>
        <v>Rejuvenate</v>
      </c>
      <c r="AK365" s="1" t="str">
        <f>IFERROR(__xludf.DUMMYFUNCTION("""COMPUTED_VALUE"""),"Contagion")</f>
        <v>Contagion</v>
      </c>
      <c r="AL365" s="1" t="str">
        <f>IFERROR(__xludf.DUMMYFUNCTION("""COMPUTED_VALUE"""),"Chaos Beam")</f>
        <v>Chaos Beam</v>
      </c>
      <c r="AM365" s="1" t="str">
        <f>IFERROR(__xludf.DUMMYFUNCTION("""COMPUTED_VALUE"""),"Deflect")</f>
        <v>Deflect</v>
      </c>
      <c r="AN365" s="1" t="str">
        <f>IFERROR(__xludf.DUMMYFUNCTION("""COMPUTED_VALUE"""),"Absorb Life")</f>
        <v>Absorb Life</v>
      </c>
      <c r="AO365" s="1" t="str">
        <f>IFERROR(__xludf.DUMMYFUNCTION("""COMPUTED_VALUE"""),"Draconic Scream")</f>
        <v>Draconic Scream</v>
      </c>
      <c r="AP365" s="1" t="str">
        <f>IFERROR(__xludf.DUMMYFUNCTION("""COMPUTED_VALUE"""),"Berserk")</f>
        <v>Berserk</v>
      </c>
      <c r="AQ365" s="1" t="str">
        <f>IFERROR(__xludf.DUMMYFUNCTION("""COMPUTED_VALUE"""),"Bite")</f>
        <v>Bite</v>
      </c>
      <c r="AR365" s="1" t="str">
        <f>IFERROR(__xludf.DUMMYFUNCTION("""COMPUTED_VALUE"""),"Chaotic Implosion")</f>
        <v>Chaotic Implosion</v>
      </c>
      <c r="AS365" s="1"/>
      <c r="AT365" s="1"/>
      <c r="AU365" s="1"/>
      <c r="AV365" s="1"/>
      <c r="AW365" s="1"/>
      <c r="AX365" s="1"/>
      <c r="AY365" s="1"/>
      <c r="AZ365" s="1"/>
      <c r="BA365" s="1"/>
      <c r="BB365" s="1"/>
      <c r="BC365" s="1"/>
      <c r="BD365" s="1">
        <f>IFERROR(__xludf.DUMMYFUNCTION("""COMPUTED_VALUE"""),0.0)</f>
        <v>0</v>
      </c>
      <c r="BE365" s="9">
        <f>IFERROR(__xludf.DUMMYFUNCTION("""COMPUTED_VALUE"""),10.0)</f>
        <v>10</v>
      </c>
      <c r="BF365" s="1"/>
      <c r="BG365" s="1" t="str">
        <f>IFERROR(__xludf.DUMMYFUNCTION("""COMPUTED_VALUE"""),"All")</f>
        <v>All</v>
      </c>
      <c r="BH365" s="1" t="str">
        <f>IFERROR(__xludf.DUMMYFUNCTION("""COMPUTED_VALUE"""),"Land of Spira")</f>
        <v>Land of Spira</v>
      </c>
      <c r="BI365" s="1"/>
      <c r="BJ365" s="1"/>
      <c r="BK365" s="1"/>
      <c r="BL365" s="1" t="b">
        <f>IFERROR(__xludf.DUMMYFUNCTION("""COMPUTED_VALUE"""),FALSE)</f>
        <v>0</v>
      </c>
      <c r="BM365" s="1"/>
      <c r="BN365" s="1"/>
      <c r="BO365" s="1"/>
      <c r="BP365" s="1"/>
      <c r="BQ365" s="1"/>
    </row>
    <row r="366" ht="15.75" customHeight="1">
      <c r="A366" s="1" t="str">
        <f>IFERROR(__xludf.DUMMYFUNCTION("""COMPUTED_VALUE"""),"Fire Wyrm")</f>
        <v>Fire Wyrm</v>
      </c>
      <c r="B366" s="1">
        <f>IFERROR(__xludf.DUMMYFUNCTION("""COMPUTED_VALUE"""),1.0)</f>
        <v>1</v>
      </c>
      <c r="C366" s="1" t="str">
        <f>IFERROR(__xludf.DUMMYFUNCTION("""COMPUTED_VALUE"""),"A small draconic creature, thought to be the young offspring of a dragon yet holds very little draconic power")</f>
        <v>A small draconic creature, thought to be the young offspring of a dragon yet holds very little draconic power</v>
      </c>
      <c r="D366" s="1" t="str">
        <f>IFERROR(__xludf.DUMMYFUNCTION("""COMPUTED_VALUE"""),"Draconic")</f>
        <v>Draconic</v>
      </c>
      <c r="E366" s="1">
        <f>IFERROR(__xludf.DUMMYFUNCTION("""COMPUTED_VALUE"""),1010.0)</f>
        <v>1010</v>
      </c>
      <c r="F366" s="7">
        <f>IFERROR(__xludf.DUMMYFUNCTION("""COMPUTED_VALUE"""),1010.0)</f>
        <v>1010</v>
      </c>
      <c r="G366" s="1">
        <f>IFERROR(__xludf.DUMMYFUNCTION("""COMPUTED_VALUE"""),1010.0)</f>
        <v>1010</v>
      </c>
      <c r="H366" s="1">
        <f>IFERROR(__xludf.DUMMYFUNCTION("""COMPUTED_VALUE"""),10.0)</f>
        <v>10</v>
      </c>
      <c r="I366" s="1">
        <f>IFERROR(__xludf.DUMMYFUNCTION("""COMPUTED_VALUE"""),0.0)</f>
        <v>0</v>
      </c>
      <c r="J366" s="1">
        <f>IFERROR(__xludf.DUMMYFUNCTION("""COMPUTED_VALUE"""),0.0)</f>
        <v>0</v>
      </c>
      <c r="K366" s="1">
        <f>IFERROR(__xludf.DUMMYFUNCTION("""COMPUTED_VALUE"""),100.0)</f>
        <v>100</v>
      </c>
      <c r="L366" s="1">
        <f>IFERROR(__xludf.DUMMYFUNCTION("""COMPUTED_VALUE"""),100.0)</f>
        <v>100</v>
      </c>
      <c r="M366" s="1" t="str">
        <f>IFERROR(__xludf.DUMMYFUNCTION("""COMPUTED_VALUE"""),"")</f>
        <v/>
      </c>
      <c r="N366" s="1" t="str">
        <f>IFERROR(__xludf.DUMMYFUNCTION("""COMPUTED_VALUE"""),"")</f>
        <v/>
      </c>
      <c r="O366" s="1"/>
      <c r="P366" s="1"/>
      <c r="Q366" s="1"/>
      <c r="R366" s="1"/>
      <c r="S366" s="1"/>
      <c r="T366" s="1"/>
      <c r="U366" s="1"/>
      <c r="V366" s="1"/>
      <c r="W366" s="1"/>
      <c r="X366" s="1"/>
      <c r="Y366" s="1"/>
      <c r="Z366" s="1"/>
      <c r="AA366" s="1"/>
      <c r="AB366" s="1"/>
      <c r="AC366" s="1"/>
      <c r="AD366" s="1"/>
      <c r="AE366" s="1"/>
      <c r="AF366" s="1"/>
      <c r="AG366" s="1"/>
      <c r="AH366" s="1"/>
      <c r="AI366" s="1"/>
      <c r="AJ366" s="1" t="str">
        <f>IFERROR(__xludf.DUMMYFUNCTION("""COMPUTED_VALUE"""),"Dragon's Breath")</f>
        <v>Dragon's Breath</v>
      </c>
      <c r="AK366" s="1" t="str">
        <f>IFERROR(__xludf.DUMMYFUNCTION("""COMPUTED_VALUE"""),"Blazing Scratch")</f>
        <v>Blazing Scratch</v>
      </c>
      <c r="AL366" s="1" t="str">
        <f>IFERROR(__xludf.DUMMYFUNCTION("""COMPUTED_VALUE"""),"Inferno")</f>
        <v>Inferno</v>
      </c>
      <c r="AM366" s="1" t="str">
        <f>IFERROR(__xludf.DUMMYFUNCTION("""COMPUTED_VALUE"""),"Draconic Scream")</f>
        <v>Draconic Scream</v>
      </c>
      <c r="AN366" s="1" t="str">
        <f>IFERROR(__xludf.DUMMYFUNCTION("""COMPUTED_VALUE"""),"Berserk")</f>
        <v>Berserk</v>
      </c>
      <c r="AO366" s="1" t="str">
        <f>IFERROR(__xludf.DUMMYFUNCTION("""COMPUTED_VALUE"""),"Bite")</f>
        <v>Bite</v>
      </c>
      <c r="AP366" s="1"/>
      <c r="AQ366" s="1"/>
      <c r="AR366" s="1"/>
      <c r="AS366" s="1"/>
      <c r="AT366" s="1"/>
      <c r="AU366" s="1"/>
      <c r="AV366" s="1"/>
      <c r="AW366" s="1"/>
      <c r="AX366" s="1"/>
      <c r="AY366" s="1"/>
      <c r="AZ366" s="1"/>
      <c r="BA366" s="1"/>
      <c r="BB366" s="1"/>
      <c r="BC366" s="1"/>
      <c r="BD366" s="1">
        <f>IFERROR(__xludf.DUMMYFUNCTION("""COMPUTED_VALUE"""),0.0)</f>
        <v>0</v>
      </c>
      <c r="BE366" s="9">
        <f>IFERROR(__xludf.DUMMYFUNCTION("""COMPUTED_VALUE"""),10.0)</f>
        <v>10</v>
      </c>
      <c r="BF366" s="1" t="str">
        <f>IFERROR(__xludf.DUMMYFUNCTION("""COMPUTED_VALUE"""),"Dragons Luck: +5 can be added to this mobs d20 rolls.")</f>
        <v>Dragons Luck: +5 can be added to this mobs d20 rolls.</v>
      </c>
      <c r="BG366" s="1" t="str">
        <f>IFERROR(__xludf.DUMMYFUNCTION("""COMPUTED_VALUE"""),"All")</f>
        <v>All</v>
      </c>
      <c r="BH366" s="1" t="str">
        <f>IFERROR(__xludf.DUMMYFUNCTION("""COMPUTED_VALUE"""),"Land of Spira")</f>
        <v>Land of Spira</v>
      </c>
      <c r="BI366" s="1"/>
      <c r="BJ366" s="1"/>
      <c r="BK366" s="1"/>
      <c r="BL366" s="1" t="b">
        <f>IFERROR(__xludf.DUMMYFUNCTION("""COMPUTED_VALUE"""),FALSE)</f>
        <v>0</v>
      </c>
      <c r="BM366" s="1"/>
      <c r="BN366" s="1"/>
      <c r="BO366" s="1"/>
      <c r="BP366" s="1"/>
      <c r="BQ366" s="1"/>
    </row>
    <row r="367" ht="15.75" customHeight="1">
      <c r="A367" s="1" t="str">
        <f>IFERROR(__xludf.DUMMYFUNCTION("""COMPUTED_VALUE"""),"Storm Wyrm")</f>
        <v>Storm Wyrm</v>
      </c>
      <c r="B367" s="1">
        <f>IFERROR(__xludf.DUMMYFUNCTION("""COMPUTED_VALUE"""),1.0)</f>
        <v>1</v>
      </c>
      <c r="C367" s="1" t="str">
        <f>IFERROR(__xludf.DUMMYFUNCTION("""COMPUTED_VALUE"""),"A small draconic creature, thought to be the young offspring of a dragon yet holds very little draconic power")</f>
        <v>A small draconic creature, thought to be the young offspring of a dragon yet holds very little draconic power</v>
      </c>
      <c r="D367" s="1" t="str">
        <f>IFERROR(__xludf.DUMMYFUNCTION("""COMPUTED_VALUE"""),"Draconic")</f>
        <v>Draconic</v>
      </c>
      <c r="E367" s="1">
        <f>IFERROR(__xludf.DUMMYFUNCTION("""COMPUTED_VALUE"""),1010.0)</f>
        <v>1010</v>
      </c>
      <c r="F367" s="7">
        <f>IFERROR(__xludf.DUMMYFUNCTION("""COMPUTED_VALUE"""),1010.0)</f>
        <v>1010</v>
      </c>
      <c r="G367" s="1">
        <f>IFERROR(__xludf.DUMMYFUNCTION("""COMPUTED_VALUE"""),1010.0)</f>
        <v>1010</v>
      </c>
      <c r="H367" s="1">
        <f>IFERROR(__xludf.DUMMYFUNCTION("""COMPUTED_VALUE"""),10.0)</f>
        <v>10</v>
      </c>
      <c r="I367" s="1">
        <f>IFERROR(__xludf.DUMMYFUNCTION("""COMPUTED_VALUE"""),0.0)</f>
        <v>0</v>
      </c>
      <c r="J367" s="1">
        <f>IFERROR(__xludf.DUMMYFUNCTION("""COMPUTED_VALUE"""),0.0)</f>
        <v>0</v>
      </c>
      <c r="K367" s="1">
        <f>IFERROR(__xludf.DUMMYFUNCTION("""COMPUTED_VALUE"""),100.0)</f>
        <v>100</v>
      </c>
      <c r="L367" s="1">
        <f>IFERROR(__xludf.DUMMYFUNCTION("""COMPUTED_VALUE"""),100.0)</f>
        <v>100</v>
      </c>
      <c r="M367" s="1" t="str">
        <f>IFERROR(__xludf.DUMMYFUNCTION("""COMPUTED_VALUE"""),"")</f>
        <v/>
      </c>
      <c r="N367" s="1" t="str">
        <f>IFERROR(__xludf.DUMMYFUNCTION("""COMPUTED_VALUE"""),"")</f>
        <v/>
      </c>
      <c r="O367" s="1"/>
      <c r="P367" s="1"/>
      <c r="Q367" s="1"/>
      <c r="R367" s="1"/>
      <c r="S367" s="1"/>
      <c r="T367" s="1"/>
      <c r="U367" s="1"/>
      <c r="V367" s="1"/>
      <c r="W367" s="1"/>
      <c r="X367" s="1"/>
      <c r="Y367" s="1"/>
      <c r="Z367" s="1"/>
      <c r="AA367" s="1"/>
      <c r="AB367" s="1"/>
      <c r="AC367" s="1"/>
      <c r="AD367" s="1"/>
      <c r="AE367" s="1"/>
      <c r="AF367" s="1"/>
      <c r="AG367" s="1"/>
      <c r="AH367" s="1"/>
      <c r="AI367" s="1"/>
      <c r="AJ367" s="1" t="str">
        <f>IFERROR(__xludf.DUMMYFUNCTION("""COMPUTED_VALUE"""),"Dragon's Breath")</f>
        <v>Dragon's Breath</v>
      </c>
      <c r="AK367" s="1" t="str">
        <f>IFERROR(__xludf.DUMMYFUNCTION("""COMPUTED_VALUE"""),"Claws")</f>
        <v>Claws</v>
      </c>
      <c r="AL367" s="1" t="str">
        <f>IFERROR(__xludf.DUMMYFUNCTION("""COMPUTED_VALUE"""),"Cyclone")</f>
        <v>Cyclone</v>
      </c>
      <c r="AM367" s="1" t="str">
        <f>IFERROR(__xludf.DUMMYFUNCTION("""COMPUTED_VALUE"""),"Freezing Fog")</f>
        <v>Freezing Fog</v>
      </c>
      <c r="AN367" s="1" t="str">
        <f>IFERROR(__xludf.DUMMYFUNCTION("""COMPUTED_VALUE"""),"Lightning Strike")</f>
        <v>Lightning Strike</v>
      </c>
      <c r="AO367" s="1" t="str">
        <f>IFERROR(__xludf.DUMMYFUNCTION("""COMPUTED_VALUE"""),"Draconic Scream")</f>
        <v>Draconic Scream</v>
      </c>
      <c r="AP367" s="1" t="str">
        <f>IFERROR(__xludf.DUMMYFUNCTION("""COMPUTED_VALUE"""),"Berserk")</f>
        <v>Berserk</v>
      </c>
      <c r="AQ367" s="1" t="str">
        <f>IFERROR(__xludf.DUMMYFUNCTION("""COMPUTED_VALUE"""),"Bite")</f>
        <v>Bite</v>
      </c>
      <c r="AR367" s="1"/>
      <c r="AS367" s="1"/>
      <c r="AT367" s="1"/>
      <c r="AU367" s="1"/>
      <c r="AV367" s="1"/>
      <c r="AW367" s="1"/>
      <c r="AX367" s="1"/>
      <c r="AY367" s="1"/>
      <c r="AZ367" s="1"/>
      <c r="BA367" s="1"/>
      <c r="BB367" s="1"/>
      <c r="BC367" s="1"/>
      <c r="BD367" s="1">
        <f>IFERROR(__xludf.DUMMYFUNCTION("""COMPUTED_VALUE"""),0.0)</f>
        <v>0</v>
      </c>
      <c r="BE367" s="9">
        <f>IFERROR(__xludf.DUMMYFUNCTION("""COMPUTED_VALUE"""),10.0)</f>
        <v>10</v>
      </c>
      <c r="BF367" s="1" t="str">
        <f>IFERROR(__xludf.DUMMYFUNCTION("""COMPUTED_VALUE"""),"Dragons Luck: +5 can be added to this mobs d20 rolls.")</f>
        <v>Dragons Luck: +5 can be added to this mobs d20 rolls.</v>
      </c>
      <c r="BG367" s="1" t="str">
        <f>IFERROR(__xludf.DUMMYFUNCTION("""COMPUTED_VALUE"""),"All")</f>
        <v>All</v>
      </c>
      <c r="BH367" s="1" t="str">
        <f>IFERROR(__xludf.DUMMYFUNCTION("""COMPUTED_VALUE"""),"Land of Spira")</f>
        <v>Land of Spira</v>
      </c>
      <c r="BI367" s="1"/>
      <c r="BJ367" s="1"/>
      <c r="BK367" s="1"/>
      <c r="BL367" s="1" t="b">
        <f>IFERROR(__xludf.DUMMYFUNCTION("""COMPUTED_VALUE"""),FALSE)</f>
        <v>0</v>
      </c>
      <c r="BM367" s="1"/>
      <c r="BN367" s="1"/>
      <c r="BO367" s="1"/>
      <c r="BP367" s="1"/>
      <c r="BQ367" s="1"/>
    </row>
    <row r="368" ht="15.75" customHeight="1">
      <c r="A368" s="1" t="str">
        <f>IFERROR(__xludf.DUMMYFUNCTION("""COMPUTED_VALUE"""),"Earth Wyrm")</f>
        <v>Earth Wyrm</v>
      </c>
      <c r="B368" s="1">
        <f>IFERROR(__xludf.DUMMYFUNCTION("""COMPUTED_VALUE"""),1.0)</f>
        <v>1</v>
      </c>
      <c r="C368" s="1" t="str">
        <f>IFERROR(__xludf.DUMMYFUNCTION("""COMPUTED_VALUE"""),"A small draconic creature, thought to be the young offspring of a dragon yet holds very little draconic power")</f>
        <v>A small draconic creature, thought to be the young offspring of a dragon yet holds very little draconic power</v>
      </c>
      <c r="D368" s="1" t="str">
        <f>IFERROR(__xludf.DUMMYFUNCTION("""COMPUTED_VALUE"""),"Draconic")</f>
        <v>Draconic</v>
      </c>
      <c r="E368" s="1">
        <f>IFERROR(__xludf.DUMMYFUNCTION("""COMPUTED_VALUE"""),1010.0)</f>
        <v>1010</v>
      </c>
      <c r="F368" s="7">
        <f>IFERROR(__xludf.DUMMYFUNCTION("""COMPUTED_VALUE"""),1010.0)</f>
        <v>1010</v>
      </c>
      <c r="G368" s="1">
        <f>IFERROR(__xludf.DUMMYFUNCTION("""COMPUTED_VALUE"""),1010.0)</f>
        <v>1010</v>
      </c>
      <c r="H368" s="1">
        <f>IFERROR(__xludf.DUMMYFUNCTION("""COMPUTED_VALUE"""),10.0)</f>
        <v>10</v>
      </c>
      <c r="I368" s="1">
        <f>IFERROR(__xludf.DUMMYFUNCTION("""COMPUTED_VALUE"""),0.0)</f>
        <v>0</v>
      </c>
      <c r="J368" s="1">
        <f>IFERROR(__xludf.DUMMYFUNCTION("""COMPUTED_VALUE"""),0.0)</f>
        <v>0</v>
      </c>
      <c r="K368" s="1">
        <f>IFERROR(__xludf.DUMMYFUNCTION("""COMPUTED_VALUE"""),100.0)</f>
        <v>100</v>
      </c>
      <c r="L368" s="1">
        <f>IFERROR(__xludf.DUMMYFUNCTION("""COMPUTED_VALUE"""),100.0)</f>
        <v>100</v>
      </c>
      <c r="M368" s="1" t="str">
        <f>IFERROR(__xludf.DUMMYFUNCTION("""COMPUTED_VALUE"""),"")</f>
        <v/>
      </c>
      <c r="N368" s="1" t="str">
        <f>IFERROR(__xludf.DUMMYFUNCTION("""COMPUTED_VALUE"""),"")</f>
        <v/>
      </c>
      <c r="O368" s="1"/>
      <c r="P368" s="1"/>
      <c r="Q368" s="1"/>
      <c r="R368" s="1"/>
      <c r="S368" s="1"/>
      <c r="T368" s="1"/>
      <c r="U368" s="1"/>
      <c r="V368" s="1"/>
      <c r="W368" s="1"/>
      <c r="X368" s="1"/>
      <c r="Y368" s="1"/>
      <c r="Z368" s="1"/>
      <c r="AA368" s="1"/>
      <c r="AB368" s="1"/>
      <c r="AC368" s="1"/>
      <c r="AD368" s="1"/>
      <c r="AE368" s="1"/>
      <c r="AF368" s="1"/>
      <c r="AG368" s="1"/>
      <c r="AH368" s="1"/>
      <c r="AI368" s="1"/>
      <c r="AJ368" s="1" t="str">
        <f>IFERROR(__xludf.DUMMYFUNCTION("""COMPUTED_VALUE"""),"Dragon's Breath")</f>
        <v>Dragon's Breath</v>
      </c>
      <c r="AK368" s="1" t="str">
        <f>IFERROR(__xludf.DUMMYFUNCTION("""COMPUTED_VALUE"""),"Tremor")</f>
        <v>Tremor</v>
      </c>
      <c r="AL368" s="1" t="str">
        <f>IFERROR(__xludf.DUMMYFUNCTION("""COMPUTED_VALUE"""),"Rock Shot")</f>
        <v>Rock Shot</v>
      </c>
      <c r="AM368" s="1" t="str">
        <f>IFERROR(__xludf.DUMMYFUNCTION("""COMPUTED_VALUE"""),"Mountain Formation")</f>
        <v>Mountain Formation</v>
      </c>
      <c r="AN368" s="1" t="str">
        <f>IFERROR(__xludf.DUMMYFUNCTION("""COMPUTED_VALUE"""),"Claws")</f>
        <v>Claws</v>
      </c>
      <c r="AO368" s="1" t="str">
        <f>IFERROR(__xludf.DUMMYFUNCTION("""COMPUTED_VALUE"""),"Draconic Scream")</f>
        <v>Draconic Scream</v>
      </c>
      <c r="AP368" s="1" t="str">
        <f>IFERROR(__xludf.DUMMYFUNCTION("""COMPUTED_VALUE"""),"Berserk")</f>
        <v>Berserk</v>
      </c>
      <c r="AQ368" s="1" t="str">
        <f>IFERROR(__xludf.DUMMYFUNCTION("""COMPUTED_VALUE"""),"Bite")</f>
        <v>Bite</v>
      </c>
      <c r="AR368" s="1"/>
      <c r="AS368" s="1"/>
      <c r="AT368" s="1"/>
      <c r="AU368" s="1"/>
      <c r="AV368" s="1"/>
      <c r="AW368" s="1"/>
      <c r="AX368" s="1"/>
      <c r="AY368" s="1"/>
      <c r="AZ368" s="1"/>
      <c r="BA368" s="1"/>
      <c r="BB368" s="1"/>
      <c r="BC368" s="1"/>
      <c r="BD368" s="1">
        <f>IFERROR(__xludf.DUMMYFUNCTION("""COMPUTED_VALUE"""),0.0)</f>
        <v>0</v>
      </c>
      <c r="BE368" s="9">
        <f>IFERROR(__xludf.DUMMYFUNCTION("""COMPUTED_VALUE"""),10.0)</f>
        <v>10</v>
      </c>
      <c r="BF368" s="1" t="str">
        <f>IFERROR(__xludf.DUMMYFUNCTION("""COMPUTED_VALUE"""),"Dragons Luck: +5 can be added to this mobs d20 rolls.")</f>
        <v>Dragons Luck: +5 can be added to this mobs d20 rolls.</v>
      </c>
      <c r="BG368" s="1" t="str">
        <f>IFERROR(__xludf.DUMMYFUNCTION("""COMPUTED_VALUE"""),"All")</f>
        <v>All</v>
      </c>
      <c r="BH368" s="1" t="str">
        <f>IFERROR(__xludf.DUMMYFUNCTION("""COMPUTED_VALUE"""),"Land of Spira")</f>
        <v>Land of Spira</v>
      </c>
      <c r="BI368" s="1"/>
      <c r="BJ368" s="1"/>
      <c r="BK368" s="1"/>
      <c r="BL368" s="1" t="b">
        <f>IFERROR(__xludf.DUMMYFUNCTION("""COMPUTED_VALUE"""),FALSE)</f>
        <v>0</v>
      </c>
      <c r="BM368" s="1"/>
      <c r="BN368" s="1"/>
      <c r="BO368" s="1"/>
      <c r="BP368" s="1"/>
      <c r="BQ368" s="1"/>
    </row>
    <row r="369" ht="15.75" customHeight="1">
      <c r="A369" s="1" t="str">
        <f>IFERROR(__xludf.DUMMYFUNCTION("""COMPUTED_VALUE"""),"Water Wyrm")</f>
        <v>Water Wyrm</v>
      </c>
      <c r="B369" s="1">
        <f>IFERROR(__xludf.DUMMYFUNCTION("""COMPUTED_VALUE"""),1.0)</f>
        <v>1</v>
      </c>
      <c r="C369" s="1" t="str">
        <f>IFERROR(__xludf.DUMMYFUNCTION("""COMPUTED_VALUE"""),"A small draconic creature, thought to be the young offspring of a dragon yet holds very little draconic power")</f>
        <v>A small draconic creature, thought to be the young offspring of a dragon yet holds very little draconic power</v>
      </c>
      <c r="D369" s="1" t="str">
        <f>IFERROR(__xludf.DUMMYFUNCTION("""COMPUTED_VALUE"""),"Draconic")</f>
        <v>Draconic</v>
      </c>
      <c r="E369" s="1">
        <f>IFERROR(__xludf.DUMMYFUNCTION("""COMPUTED_VALUE"""),1010.0)</f>
        <v>1010</v>
      </c>
      <c r="F369" s="7">
        <f>IFERROR(__xludf.DUMMYFUNCTION("""COMPUTED_VALUE"""),1010.0)</f>
        <v>1010</v>
      </c>
      <c r="G369" s="1">
        <f>IFERROR(__xludf.DUMMYFUNCTION("""COMPUTED_VALUE"""),1010.0)</f>
        <v>1010</v>
      </c>
      <c r="H369" s="1">
        <f>IFERROR(__xludf.DUMMYFUNCTION("""COMPUTED_VALUE"""),10.0)</f>
        <v>10</v>
      </c>
      <c r="I369" s="1">
        <f>IFERROR(__xludf.DUMMYFUNCTION("""COMPUTED_VALUE"""),0.0)</f>
        <v>0</v>
      </c>
      <c r="J369" s="1">
        <f>IFERROR(__xludf.DUMMYFUNCTION("""COMPUTED_VALUE"""),0.0)</f>
        <v>0</v>
      </c>
      <c r="K369" s="1">
        <f>IFERROR(__xludf.DUMMYFUNCTION("""COMPUTED_VALUE"""),100.0)</f>
        <v>100</v>
      </c>
      <c r="L369" s="1">
        <f>IFERROR(__xludf.DUMMYFUNCTION("""COMPUTED_VALUE"""),100.0)</f>
        <v>100</v>
      </c>
      <c r="M369" s="1" t="str">
        <f>IFERROR(__xludf.DUMMYFUNCTION("""COMPUTED_VALUE"""),"")</f>
        <v/>
      </c>
      <c r="N369" s="1" t="str">
        <f>IFERROR(__xludf.DUMMYFUNCTION("""COMPUTED_VALUE"""),"")</f>
        <v/>
      </c>
      <c r="O369" s="1"/>
      <c r="P369" s="1"/>
      <c r="Q369" s="1"/>
      <c r="R369" s="1"/>
      <c r="S369" s="1"/>
      <c r="T369" s="1"/>
      <c r="U369" s="1"/>
      <c r="V369" s="1"/>
      <c r="W369" s="1"/>
      <c r="X369" s="1"/>
      <c r="Y369" s="1"/>
      <c r="Z369" s="1"/>
      <c r="AA369" s="1"/>
      <c r="AB369" s="1"/>
      <c r="AC369" s="1"/>
      <c r="AD369" s="1"/>
      <c r="AE369" s="1"/>
      <c r="AF369" s="1"/>
      <c r="AG369" s="1"/>
      <c r="AH369" s="1"/>
      <c r="AI369" s="1"/>
      <c r="AJ369" s="1" t="str">
        <f>IFERROR(__xludf.DUMMYFUNCTION("""COMPUTED_VALUE"""),"Dragon's Breath")</f>
        <v>Dragon's Breath</v>
      </c>
      <c r="AK369" s="1" t="str">
        <f>IFERROR(__xludf.DUMMYFUNCTION("""COMPUTED_VALUE"""),"Claws")</f>
        <v>Claws</v>
      </c>
      <c r="AL369" s="1" t="str">
        <f>IFERROR(__xludf.DUMMYFUNCTION("""COMPUTED_VALUE"""),"Aquatic Beam ")</f>
        <v>Aquatic Beam </v>
      </c>
      <c r="AM369" s="1" t="str">
        <f>IFERROR(__xludf.DUMMYFUNCTION("""COMPUTED_VALUE"""),"Geyser")</f>
        <v>Geyser</v>
      </c>
      <c r="AN369" s="1" t="str">
        <f>IFERROR(__xludf.DUMMYFUNCTION("""COMPUTED_VALUE"""),"Berserk")</f>
        <v>Berserk</v>
      </c>
      <c r="AO369" s="1" t="str">
        <f>IFERROR(__xludf.DUMMYFUNCTION("""COMPUTED_VALUE"""),"Bite")</f>
        <v>Bite</v>
      </c>
      <c r="AP369" s="1"/>
      <c r="AQ369" s="1"/>
      <c r="AR369" s="1"/>
      <c r="AS369" s="1"/>
      <c r="AT369" s="1"/>
      <c r="AU369" s="1"/>
      <c r="AV369" s="1"/>
      <c r="AW369" s="1"/>
      <c r="AX369" s="1"/>
      <c r="AY369" s="1"/>
      <c r="AZ369" s="1"/>
      <c r="BA369" s="1"/>
      <c r="BB369" s="1"/>
      <c r="BC369" s="1"/>
      <c r="BD369" s="1">
        <f>IFERROR(__xludf.DUMMYFUNCTION("""COMPUTED_VALUE"""),0.0)</f>
        <v>0</v>
      </c>
      <c r="BE369" s="9">
        <f>IFERROR(__xludf.DUMMYFUNCTION("""COMPUTED_VALUE"""),10.0)</f>
        <v>10</v>
      </c>
      <c r="BF369" s="1" t="str">
        <f>IFERROR(__xludf.DUMMYFUNCTION("""COMPUTED_VALUE"""),"Dragons Luck: +5 can be added to this mobs d20 rolls.")</f>
        <v>Dragons Luck: +5 can be added to this mobs d20 rolls.</v>
      </c>
      <c r="BG369" s="1" t="str">
        <f>IFERROR(__xludf.DUMMYFUNCTION("""COMPUTED_VALUE"""),"All")</f>
        <v>All</v>
      </c>
      <c r="BH369" s="1" t="str">
        <f>IFERROR(__xludf.DUMMYFUNCTION("""COMPUTED_VALUE"""),"Land of Spira")</f>
        <v>Land of Spira</v>
      </c>
      <c r="BI369" s="1"/>
      <c r="BJ369" s="1"/>
      <c r="BK369" s="1"/>
      <c r="BL369" s="1" t="b">
        <f>IFERROR(__xludf.DUMMYFUNCTION("""COMPUTED_VALUE"""),FALSE)</f>
        <v>0</v>
      </c>
      <c r="BM369" s="1"/>
      <c r="BN369" s="1"/>
      <c r="BO369" s="1"/>
      <c r="BP369" s="1"/>
      <c r="BQ369" s="1"/>
    </row>
    <row r="370" ht="15.75" customHeight="1">
      <c r="A370" s="1" t="str">
        <f>IFERROR(__xludf.DUMMYFUNCTION("""COMPUTED_VALUE"""),"Nature Wyrm")</f>
        <v>Nature Wyrm</v>
      </c>
      <c r="B370" s="1">
        <f>IFERROR(__xludf.DUMMYFUNCTION("""COMPUTED_VALUE"""),1.0)</f>
        <v>1</v>
      </c>
      <c r="C370" s="1" t="str">
        <f>IFERROR(__xludf.DUMMYFUNCTION("""COMPUTED_VALUE"""),"A small draconic creature, thought to be the young offspring of a dragon yet holds very little draconic power")</f>
        <v>A small draconic creature, thought to be the young offspring of a dragon yet holds very little draconic power</v>
      </c>
      <c r="D370" s="1" t="str">
        <f>IFERROR(__xludf.DUMMYFUNCTION("""COMPUTED_VALUE"""),"Draconic")</f>
        <v>Draconic</v>
      </c>
      <c r="E370" s="1">
        <f>IFERROR(__xludf.DUMMYFUNCTION("""COMPUTED_VALUE"""),1010.0)</f>
        <v>1010</v>
      </c>
      <c r="F370" s="7">
        <f>IFERROR(__xludf.DUMMYFUNCTION("""COMPUTED_VALUE"""),1010.0)</f>
        <v>1010</v>
      </c>
      <c r="G370" s="1">
        <f>IFERROR(__xludf.DUMMYFUNCTION("""COMPUTED_VALUE"""),1010.0)</f>
        <v>1010</v>
      </c>
      <c r="H370" s="1">
        <f>IFERROR(__xludf.DUMMYFUNCTION("""COMPUTED_VALUE"""),10.0)</f>
        <v>10</v>
      </c>
      <c r="I370" s="1">
        <f>IFERROR(__xludf.DUMMYFUNCTION("""COMPUTED_VALUE"""),0.0)</f>
        <v>0</v>
      </c>
      <c r="J370" s="1">
        <f>IFERROR(__xludf.DUMMYFUNCTION("""COMPUTED_VALUE"""),0.0)</f>
        <v>0</v>
      </c>
      <c r="K370" s="1">
        <f>IFERROR(__xludf.DUMMYFUNCTION("""COMPUTED_VALUE"""),100.0)</f>
        <v>100</v>
      </c>
      <c r="L370" s="1">
        <f>IFERROR(__xludf.DUMMYFUNCTION("""COMPUTED_VALUE"""),100.0)</f>
        <v>100</v>
      </c>
      <c r="M370" s="1" t="str">
        <f>IFERROR(__xludf.DUMMYFUNCTION("""COMPUTED_VALUE"""),"Nature:50, ")</f>
        <v>Nature:50, </v>
      </c>
      <c r="N370" s="1" t="str">
        <f>IFERROR(__xludf.DUMMYFUNCTION("""COMPUTED_VALUE"""),"")</f>
        <v/>
      </c>
      <c r="O370" s="1"/>
      <c r="P370" s="1"/>
      <c r="Q370" s="1"/>
      <c r="R370" s="1"/>
      <c r="S370" s="1"/>
      <c r="T370" s="1"/>
      <c r="U370" s="1"/>
      <c r="V370" s="1"/>
      <c r="W370" s="1"/>
      <c r="X370" s="1"/>
      <c r="Y370" s="1"/>
      <c r="Z370" s="1"/>
      <c r="AA370" s="1"/>
      <c r="AB370" s="1"/>
      <c r="AC370" s="1"/>
      <c r="AD370" s="1"/>
      <c r="AE370" s="1"/>
      <c r="AF370" s="1"/>
      <c r="AG370" s="1"/>
      <c r="AH370" s="1"/>
      <c r="AI370" s="1"/>
      <c r="AJ370" s="1" t="str">
        <f>IFERROR(__xludf.DUMMYFUNCTION("""COMPUTED_VALUE"""),"Dragon's Breath")</f>
        <v>Dragon's Breath</v>
      </c>
      <c r="AK370" s="1" t="str">
        <f>IFERROR(__xludf.DUMMYFUNCTION("""COMPUTED_VALUE"""),"Barkskin")</f>
        <v>Barkskin</v>
      </c>
      <c r="AL370" s="1" t="str">
        <f>IFERROR(__xludf.DUMMYFUNCTION("""COMPUTED_VALUE"""),"[Element] Strike")</f>
        <v>[Element] Strike</v>
      </c>
      <c r="AM370" s="1" t="str">
        <f>IFERROR(__xludf.DUMMYFUNCTION("""COMPUTED_VALUE"""),"Poison Stomp")</f>
        <v>Poison Stomp</v>
      </c>
      <c r="AN370" s="1" t="str">
        <f>IFERROR(__xludf.DUMMYFUNCTION("""COMPUTED_VALUE"""),"Claws")</f>
        <v>Claws</v>
      </c>
      <c r="AO370" s="1" t="str">
        <f>IFERROR(__xludf.DUMMYFUNCTION("""COMPUTED_VALUE"""),"Draconic Scream")</f>
        <v>Draconic Scream</v>
      </c>
      <c r="AP370" s="1" t="str">
        <f>IFERROR(__xludf.DUMMYFUNCTION("""COMPUTED_VALUE"""),"Berserk")</f>
        <v>Berserk</v>
      </c>
      <c r="AQ370" s="1" t="str">
        <f>IFERROR(__xludf.DUMMYFUNCTION("""COMPUTED_VALUE"""),"Bite")</f>
        <v>Bite</v>
      </c>
      <c r="AR370" s="1"/>
      <c r="AS370" s="1"/>
      <c r="AT370" s="1"/>
      <c r="AU370" s="1"/>
      <c r="AV370" s="1"/>
      <c r="AW370" s="1"/>
      <c r="AX370" s="1"/>
      <c r="AY370" s="1"/>
      <c r="AZ370" s="1"/>
      <c r="BA370" s="1"/>
      <c r="BB370" s="1"/>
      <c r="BC370" s="1"/>
      <c r="BD370" s="1">
        <f>IFERROR(__xludf.DUMMYFUNCTION("""COMPUTED_VALUE"""),0.0)</f>
        <v>0</v>
      </c>
      <c r="BE370" s="9">
        <f>IFERROR(__xludf.DUMMYFUNCTION("""COMPUTED_VALUE"""),10.0)</f>
        <v>10</v>
      </c>
      <c r="BF370" s="1" t="str">
        <f>IFERROR(__xludf.DUMMYFUNCTION("""COMPUTED_VALUE"""),"Dragons Luck: +5 can be added to this mobs d20 rolls.")</f>
        <v>Dragons Luck: +5 can be added to this mobs d20 rolls.</v>
      </c>
      <c r="BG370" s="1" t="str">
        <f>IFERROR(__xludf.DUMMYFUNCTION("""COMPUTED_VALUE"""),"All")</f>
        <v>All</v>
      </c>
      <c r="BH370" s="1" t="str">
        <f>IFERROR(__xludf.DUMMYFUNCTION("""COMPUTED_VALUE"""),"Land of Spira")</f>
        <v>Land of Spira</v>
      </c>
      <c r="BI370" s="1"/>
      <c r="BJ370" s="1"/>
      <c r="BK370" s="1"/>
      <c r="BL370" s="1" t="b">
        <f>IFERROR(__xludf.DUMMYFUNCTION("""COMPUTED_VALUE"""),FALSE)</f>
        <v>0</v>
      </c>
      <c r="BM370" s="1"/>
      <c r="BN370" s="1"/>
      <c r="BO370" s="1"/>
      <c r="BP370" s="1"/>
      <c r="BQ370" s="1"/>
    </row>
    <row r="371" ht="15.75" customHeight="1">
      <c r="A371" s="1" t="str">
        <f>IFERROR(__xludf.DUMMYFUNCTION("""COMPUTED_VALUE"""),"Lesser tengu")</f>
        <v>Lesser tengu</v>
      </c>
      <c r="B371" s="1">
        <f>IFERROR(__xludf.DUMMYFUNCTION("""COMPUTED_VALUE"""),1.0)</f>
        <v>1</v>
      </c>
      <c r="C371" s="1" t="str">
        <f>IFERROR(__xludf.DUMMYFUNCTION("""COMPUTED_VALUE"""),"The lowest level heavenly being, found throughout the land of spira as simple guardian spirits")</f>
        <v>The lowest level heavenly being, found throughout the land of spira as simple guardian spirits</v>
      </c>
      <c r="D371" s="1" t="str">
        <f>IFERROR(__xludf.DUMMYFUNCTION("""COMPUTED_VALUE"""),"Heavenly")</f>
        <v>Heavenly</v>
      </c>
      <c r="E371" s="1">
        <f>IFERROR(__xludf.DUMMYFUNCTION("""COMPUTED_VALUE"""),1010.0)</f>
        <v>1010</v>
      </c>
      <c r="F371" s="7">
        <f>IFERROR(__xludf.DUMMYFUNCTION("""COMPUTED_VALUE"""),1010.0)</f>
        <v>1010</v>
      </c>
      <c r="G371" s="1">
        <f>IFERROR(__xludf.DUMMYFUNCTION("""COMPUTED_VALUE"""),1010.0)</f>
        <v>1010</v>
      </c>
      <c r="H371" s="1">
        <f>IFERROR(__xludf.DUMMYFUNCTION("""COMPUTED_VALUE"""),10.0)</f>
        <v>10</v>
      </c>
      <c r="I371" s="1">
        <f>IFERROR(__xludf.DUMMYFUNCTION("""COMPUTED_VALUE"""),0.0)</f>
        <v>0</v>
      </c>
      <c r="J371" s="1">
        <f>IFERROR(__xludf.DUMMYFUNCTION("""COMPUTED_VALUE"""),0.0)</f>
        <v>0</v>
      </c>
      <c r="K371" s="1">
        <f>IFERROR(__xludf.DUMMYFUNCTION("""COMPUTED_VALUE"""),100.0)</f>
        <v>100</v>
      </c>
      <c r="L371" s="1">
        <f>IFERROR(__xludf.DUMMYFUNCTION("""COMPUTED_VALUE"""),100.0)</f>
        <v>100</v>
      </c>
      <c r="M371" s="1" t="str">
        <f>IFERROR(__xludf.DUMMYFUNCTION("""COMPUTED_VALUE"""),"Light:50, Order:50, ")</f>
        <v>Light:50, Order:50, </v>
      </c>
      <c r="N371" s="1" t="str">
        <f>IFERROR(__xludf.DUMMYFUNCTION("""COMPUTED_VALUE"""),"Dark:50, Chaos:50, ")</f>
        <v>Dark:50, Chaos:50, </v>
      </c>
      <c r="O371" s="1"/>
      <c r="P371" s="1"/>
      <c r="Q371" s="1"/>
      <c r="R371" s="1"/>
      <c r="S371" s="1"/>
      <c r="T371" s="1"/>
      <c r="U371" s="1"/>
      <c r="V371" s="1"/>
      <c r="W371" s="1"/>
      <c r="X371" s="1"/>
      <c r="Y371" s="1"/>
      <c r="Z371" s="1"/>
      <c r="AA371" s="1"/>
      <c r="AB371" s="1"/>
      <c r="AC371" s="1"/>
      <c r="AD371" s="1"/>
      <c r="AE371" s="1"/>
      <c r="AF371" s="1"/>
      <c r="AG371" s="1"/>
      <c r="AH371" s="1"/>
      <c r="AI371" s="1"/>
      <c r="AJ371" s="1" t="str">
        <f>IFERROR(__xludf.DUMMYFUNCTION("""COMPUTED_VALUE"""),"Light Ray")</f>
        <v>Light Ray</v>
      </c>
      <c r="AK371" s="1" t="str">
        <f>IFERROR(__xludf.DUMMYFUNCTION("""COMPUTED_VALUE"""),"Flare")</f>
        <v>Flare</v>
      </c>
      <c r="AL371" s="1" t="str">
        <f>IFERROR(__xludf.DUMMYFUNCTION("""COMPUTED_VALUE"""),"Heal")</f>
        <v>Heal</v>
      </c>
      <c r="AM371" s="1" t="str">
        <f>IFERROR(__xludf.DUMMYFUNCTION("""COMPUTED_VALUE"""),"Protection")</f>
        <v>Protection</v>
      </c>
      <c r="AN371" s="1" t="str">
        <f>IFERROR(__xludf.DUMMYFUNCTION("""COMPUTED_VALUE"""),"Cancel")</f>
        <v>Cancel</v>
      </c>
      <c r="AO371" s="1"/>
      <c r="AP371" s="1"/>
      <c r="AQ371" s="1"/>
      <c r="AR371" s="1"/>
      <c r="AS371" s="1"/>
      <c r="AT371" s="1"/>
      <c r="AU371" s="1"/>
      <c r="AV371" s="1"/>
      <c r="AW371" s="1"/>
      <c r="AX371" s="1"/>
      <c r="AY371" s="1"/>
      <c r="AZ371" s="1"/>
      <c r="BA371" s="1"/>
      <c r="BB371" s="1"/>
      <c r="BC371" s="1"/>
      <c r="BD371" s="1">
        <f>IFERROR(__xludf.DUMMYFUNCTION("""COMPUTED_VALUE"""),0.0)</f>
        <v>0</v>
      </c>
      <c r="BE371" s="9">
        <f>IFERROR(__xludf.DUMMYFUNCTION("""COMPUTED_VALUE"""),10.0)</f>
        <v>10</v>
      </c>
      <c r="BF371" s="1"/>
      <c r="BG371" s="1" t="str">
        <f>IFERROR(__xludf.DUMMYFUNCTION("""COMPUTED_VALUE"""),"All")</f>
        <v>All</v>
      </c>
      <c r="BH371" s="1" t="str">
        <f>IFERROR(__xludf.DUMMYFUNCTION("""COMPUTED_VALUE"""),"Land of Spira")</f>
        <v>Land of Spira</v>
      </c>
      <c r="BI371" s="1"/>
      <c r="BJ371" s="1"/>
      <c r="BK371" s="1"/>
      <c r="BL371" s="1" t="b">
        <f>IFERROR(__xludf.DUMMYFUNCTION("""COMPUTED_VALUE"""),FALSE)</f>
        <v>0</v>
      </c>
      <c r="BM371" s="1"/>
      <c r="BN371" s="1"/>
      <c r="BO371" s="1"/>
      <c r="BP371" s="1"/>
      <c r="BQ371" s="1"/>
    </row>
    <row r="372" ht="15.75" customHeight="1">
      <c r="A372" s="1" t="str">
        <f>IFERROR(__xludf.DUMMYFUNCTION("""COMPUTED_VALUE"""),"Master Inugima of the Amphibuki")</f>
        <v>Master Inugima of the Amphibuki</v>
      </c>
      <c r="B372" s="1">
        <f>IFERROR(__xludf.DUMMYFUNCTION("""COMPUTED_VALUE"""),1.0)</f>
        <v>1</v>
      </c>
      <c r="C372" s="1" t="str">
        <f>IFERROR(__xludf.DUMMYFUNCTION("""COMPUTED_VALUE"""),"Upon happening across the shrine of Imphigenia the former goddess of the moon, Inugima was tricked by an illusion casted by one of Neptune's minions that caused him to think that his family were demons sent to kill him. The resulting bloodshed caused a cu"&amp;"rsed blade to be formed from the blood of those who thought they were betrayed by the boy which followed him to this day. The wails in the back of his mind caused him to lose his mind and now he leads the Amphibuki in desperate attempt to find the one who"&amp;" cursed him with this fate.")</f>
        <v>Upon happening across the shrine of Imphigenia the former goddess of the moon, Inugima was tricked by an illusion casted by one of Neptune's minions that caused him to think that his family were demons sent to kill him. The resulting bloodshed caused a cursed blade to be formed from the blood of those who thought they were betrayed by the boy which followed him to this day. The wails in the back of his mind caused him to lose his mind and now he leads the Amphibuki in desperate attempt to find the one who cursed him with this fate.</v>
      </c>
      <c r="D372" s="1" t="str">
        <f>IFERROR(__xludf.DUMMYFUNCTION("""COMPUTED_VALUE"""),"Humanoid")</f>
        <v>Humanoid</v>
      </c>
      <c r="E372" s="1">
        <f>IFERROR(__xludf.DUMMYFUNCTION("""COMPUTED_VALUE"""),1010.0)</f>
        <v>1010</v>
      </c>
      <c r="F372" s="7">
        <f>IFERROR(__xludf.DUMMYFUNCTION("""COMPUTED_VALUE"""),1010.0)</f>
        <v>1010</v>
      </c>
      <c r="G372" s="1">
        <f>IFERROR(__xludf.DUMMYFUNCTION("""COMPUTED_VALUE"""),126010.0)</f>
        <v>126010</v>
      </c>
      <c r="H372" s="1">
        <f>IFERROR(__xludf.DUMMYFUNCTION("""COMPUTED_VALUE"""),35.0)</f>
        <v>35</v>
      </c>
      <c r="I372" s="1">
        <f>IFERROR(__xludf.DUMMYFUNCTION("""COMPUTED_VALUE"""),0.0)</f>
        <v>0</v>
      </c>
      <c r="J372" s="1">
        <f>IFERROR(__xludf.DUMMYFUNCTION("""COMPUTED_VALUE"""),0.0)</f>
        <v>0</v>
      </c>
      <c r="K372" s="1">
        <f>IFERROR(__xludf.DUMMYFUNCTION("""COMPUTED_VALUE"""),100.0)</f>
        <v>100</v>
      </c>
      <c r="L372" s="1">
        <f>IFERROR(__xludf.DUMMYFUNCTION("""COMPUTED_VALUE"""),100.0)</f>
        <v>100</v>
      </c>
      <c r="M372" s="1" t="str">
        <f>IFERROR(__xludf.DUMMYFUNCTION("""COMPUTED_VALUE"""),"Voodoo:Immune, Blood:Immune, Zen:Immune, Instant Death:Immune, Banishment:Immune, ")</f>
        <v>Voodoo:Immune, Blood:Immune, Zen:Immune, Instant Death:Immune, Banishment:Immune, </v>
      </c>
      <c r="N372" s="1" t="str">
        <f>IFERROR(__xludf.DUMMYFUNCTION("""COMPUTED_VALUE"""),"Light:50, Order:50, ")</f>
        <v>Light:50, Order:50, </v>
      </c>
      <c r="O372" s="1" t="str">
        <f>IFERROR(__xludf.DUMMYFUNCTION("""COMPUTED_VALUE"""),"Mask of Creeping Darkness")</f>
        <v>Mask of Creeping Darkness</v>
      </c>
      <c r="P372" s="1"/>
      <c r="Q372" s="1"/>
      <c r="R372" s="1"/>
      <c r="S372" s="1" t="str">
        <f>IFERROR(__xludf.DUMMYFUNCTION("""COMPUTED_VALUE"""),"Cape of Illusion")</f>
        <v>Cape of Illusion</v>
      </c>
      <c r="T372" s="1" t="str">
        <f>IFERROR(__xludf.DUMMYFUNCTION("""COMPUTED_VALUE"""),"Chest of Evershifting Darkness")</f>
        <v>Chest of Evershifting Darkness</v>
      </c>
      <c r="U372" s="1" t="str">
        <f>IFERROR(__xludf.DUMMYFUNCTION("""COMPUTED_VALUE"""),"Silken Gloves of Dexterity")</f>
        <v>Silken Gloves of Dexterity</v>
      </c>
      <c r="V372" s="1" t="str">
        <f>IFERROR(__xludf.DUMMYFUNCTION("""COMPUTED_VALUE"""),"Assassin's Kiss")</f>
        <v>Assassin's Kiss</v>
      </c>
      <c r="W372" s="1" t="str">
        <f>IFERROR(__xludf.DUMMYFUNCTION("""COMPUTED_VALUE"""),"Night's Edge")</f>
        <v>Night's Edge</v>
      </c>
      <c r="X372" s="1"/>
      <c r="Y372" s="1"/>
      <c r="Z372" s="1"/>
      <c r="AA372" s="1"/>
      <c r="AB372" s="1"/>
      <c r="AC372" s="1"/>
      <c r="AD372" s="1"/>
      <c r="AE372" s="1"/>
      <c r="AF372" s="1"/>
      <c r="AG372" s="1"/>
      <c r="AH372" s="1" t="str">
        <f>IFERROR(__xludf.DUMMYFUNCTION("""COMPUTED_VALUE"""),"Leggings of Swift Death")</f>
        <v>Leggings of Swift Death</v>
      </c>
      <c r="AI372" s="1" t="str">
        <f>IFERROR(__xludf.DUMMYFUNCTION("""COMPUTED_VALUE"""),"Leather Boots of EDGINESS")</f>
        <v>Leather Boots of EDGINESS</v>
      </c>
      <c r="AJ372" s="1" t="str">
        <f>IFERROR(__xludf.DUMMYFUNCTION("""COMPUTED_VALUE"""),"Conceal")</f>
        <v>Conceal</v>
      </c>
      <c r="AK372" s="1" t="str">
        <f>IFERROR(__xludf.DUMMYFUNCTION("""COMPUTED_VALUE"""),"Shadow Strike")</f>
        <v>Shadow Strike</v>
      </c>
      <c r="AL372" s="1" t="str">
        <f>IFERROR(__xludf.DUMMYFUNCTION("""COMPUTED_VALUE"""),"Melee Shield")</f>
        <v>Melee Shield</v>
      </c>
      <c r="AM372" s="1" t="str">
        <f>IFERROR(__xludf.DUMMYFUNCTION("""COMPUTED_VALUE"""),"Go For The Vitals")</f>
        <v>Go For The Vitals</v>
      </c>
      <c r="AN372" s="1" t="str">
        <f>IFERROR(__xludf.DUMMYFUNCTION("""COMPUTED_VALUE"""),"Mutagen")</f>
        <v>Mutagen</v>
      </c>
      <c r="AO372" s="1" t="str">
        <f>IFERROR(__xludf.DUMMYFUNCTION("""COMPUTED_VALUE"""),"Max Focus")</f>
        <v>Max Focus</v>
      </c>
      <c r="AP372" s="1" t="str">
        <f>IFERROR(__xludf.DUMMYFUNCTION("""COMPUTED_VALUE"""),"Max Evade")</f>
        <v>Max Evade</v>
      </c>
      <c r="AQ372" s="1" t="str">
        <f>IFERROR(__xludf.DUMMYFUNCTION("""COMPUTED_VALUE"""),"Foresight")</f>
        <v>Foresight</v>
      </c>
      <c r="AR372" s="1" t="str">
        <f>IFERROR(__xludf.DUMMYFUNCTION("""COMPUTED_VALUE"""),"Evade")</f>
        <v>Evade</v>
      </c>
      <c r="AS372" s="1" t="str">
        <f>IFERROR(__xludf.DUMMYFUNCTION("""COMPUTED_VALUE"""),"Chains of Shadow")</f>
        <v>Chains of Shadow</v>
      </c>
      <c r="AT372" s="1" t="str">
        <f>IFERROR(__xludf.DUMMYFUNCTION("""COMPUTED_VALUE"""),"Master Inugima's Shadow Arts I: Throat Slasher")</f>
        <v>Master Inugima's Shadow Arts I: Throat Slasher</v>
      </c>
      <c r="AU372" s="1" t="str">
        <f>IFERROR(__xludf.DUMMYFUNCTION("""COMPUTED_VALUE"""),"Master Inugima's Shadow Arts II: Shadow Step")</f>
        <v>Master Inugima's Shadow Arts II: Shadow Step</v>
      </c>
      <c r="AV372" s="1" t="str">
        <f>IFERROR(__xludf.DUMMYFUNCTION("""COMPUTED_VALUE"""),"Master Inugima's Shadow Arts III: Tendon Slash")</f>
        <v>Master Inugima's Shadow Arts III: Tendon Slash</v>
      </c>
      <c r="AW372" s="1" t="str">
        <f>IFERROR(__xludf.DUMMYFUNCTION("""COMPUTED_VALUE"""),"Master Inugima's Shadow Arts IV: Chloroform")</f>
        <v>Master Inugima's Shadow Arts IV: Chloroform</v>
      </c>
      <c r="AX372" s="1" t="str">
        <f>IFERROR(__xludf.DUMMYFUNCTION("""COMPUTED_VALUE"""),"Confiscate")</f>
        <v>Confiscate</v>
      </c>
      <c r="AY372" s="1" t="str">
        <f>IFERROR(__xludf.DUMMYFUNCTION("""COMPUTED_VALUE"""),"Chaincast")</f>
        <v>Chaincast</v>
      </c>
      <c r="AZ372" s="1"/>
      <c r="BA372" s="1"/>
      <c r="BB372" s="1"/>
      <c r="BC372" s="1"/>
      <c r="BD372" s="1">
        <f>IFERROR(__xludf.DUMMYFUNCTION("""COMPUTED_VALUE"""),0.0)</f>
        <v>0</v>
      </c>
      <c r="BE372" s="9">
        <f>IFERROR(__xludf.DUMMYFUNCTION("""COMPUTED_VALUE"""),25.0)</f>
        <v>25</v>
      </c>
      <c r="BF372" s="1" t="str">
        <f>IFERROR(__xludf.DUMMYFUNCTION("""COMPUTED_VALUE"""),"Shadow Arts of the Demonic Path: At the start of Battle 3 clones with all the stats of and vulnerabilities of Master Inugima are created. These Clones are seperate mobs
Forbidden Demonic Arts of The Heavenly Demon's Pet Dog: This monster has permanent in"&amp;"vulnerability, if they are somehow stripped of this invulnerability they gain it back instantaneously
Qi Explosion: This monster dies 1 round after becoming the only surviving mob on it's team
Swift Shadow Arts: +10 Can be added to this mobs rolls
Curs"&amp;"ed: Enemy is not allowed to willingly flee from battle
Items cannot be removed from this mob")</f>
        <v>Shadow Arts of the Demonic Path: At the start of Battle 3 clones with all the stats of and vulnerabilities of Master Inugima are created. These Clones are seperate mobs
Forbidden Demonic Arts of The Heavenly Demon's Pet Dog: This monster has permanent invulnerability, if they are somehow stripped of this invulnerability they gain it back instantaneously
Qi Explosion: This monster dies 1 round after becoming the only surviving mob on it's team
Swift Shadow Arts: +10 Can be added to this mobs rolls
Cursed: Enemy is not allowed to willingly flee from battle
Items cannot be removed from this mob</v>
      </c>
      <c r="BG372" s="1" t="str">
        <f>IFERROR(__xludf.DUMMYFUNCTION("""COMPUTED_VALUE"""),"Quest only")</f>
        <v>Quest only</v>
      </c>
      <c r="BH372" s="1" t="str">
        <f>IFERROR(__xludf.DUMMYFUNCTION("""COMPUTED_VALUE"""),"Dragonscale Island")</f>
        <v>Dragonscale Island</v>
      </c>
      <c r="BI372" s="1"/>
      <c r="BJ372" s="1"/>
      <c r="BK372" s="1"/>
      <c r="BL372" s="1" t="b">
        <f>IFERROR(__xludf.DUMMYFUNCTION("""COMPUTED_VALUE"""),FALSE)</f>
        <v>0</v>
      </c>
      <c r="BM372" s="1"/>
      <c r="BN372" s="1"/>
      <c r="BO372" s="1"/>
      <c r="BP372" s="1"/>
      <c r="BQ372" s="1"/>
    </row>
    <row r="373" ht="15.75" customHeight="1">
      <c r="A373" s="1" t="str">
        <f>IFERROR(__xludf.DUMMYFUNCTION("""COMPUTED_VALUE"""),"Imphigenia, Betrayed Goddess Of The Moon")</f>
        <v>Imphigenia, Betrayed Goddess Of The Moon</v>
      </c>
      <c r="B373" s="1">
        <f>IFERROR(__xludf.DUMMYFUNCTION("""COMPUTED_VALUE"""),1.0)</f>
        <v>1</v>
      </c>
      <c r="C373" s="1" t="str">
        <f>IFERROR(__xludf.DUMMYFUNCTION("""COMPUTED_VALUE"""),"The former Goddess of the Moon, struck down and forced into a near eternal slumber within her lost shrine, yearns for revenge for her and her bloodline which was brought to ruin by a wretched curse placed upon them.")</f>
        <v>The former Goddess of the Moon, struck down and forced into a near eternal slumber within her lost shrine, yearns for revenge for her and her bloodline which was brought to ruin by a wretched curse placed upon them.</v>
      </c>
      <c r="D373" s="1" t="str">
        <f>IFERROR(__xludf.DUMMYFUNCTION("""COMPUTED_VALUE"""),"God")</f>
        <v>God</v>
      </c>
      <c r="E373" s="1">
        <f>IFERROR(__xludf.DUMMYFUNCTION("""COMPUTED_VALUE"""),1010.0)</f>
        <v>1010</v>
      </c>
      <c r="F373" s="7">
        <f>IFERROR(__xludf.DUMMYFUNCTION("""COMPUTED_VALUE"""),1010.0)</f>
        <v>1010</v>
      </c>
      <c r="G373" s="1">
        <f>IFERROR(__xludf.DUMMYFUNCTION("""COMPUTED_VALUE"""),1010.0)</f>
        <v>1010</v>
      </c>
      <c r="H373" s="1">
        <f>IFERROR(__xludf.DUMMYFUNCTION("""COMPUTED_VALUE"""),30.0)</f>
        <v>30</v>
      </c>
      <c r="I373" s="1">
        <f>IFERROR(__xludf.DUMMYFUNCTION("""COMPUTED_VALUE"""),0.0)</f>
        <v>0</v>
      </c>
      <c r="J373" s="1">
        <f>IFERROR(__xludf.DUMMYFUNCTION("""COMPUTED_VALUE"""),0.0)</f>
        <v>0</v>
      </c>
      <c r="K373" s="1">
        <f>IFERROR(__xludf.DUMMYFUNCTION("""COMPUTED_VALUE"""),100.0)</f>
        <v>100</v>
      </c>
      <c r="L373" s="1">
        <f>IFERROR(__xludf.DUMMYFUNCTION("""COMPUTED_VALUE"""),100.0)</f>
        <v>100</v>
      </c>
      <c r="M373" s="1" t="str">
        <f>IFERROR(__xludf.DUMMYFUNCTION("""COMPUTED_VALUE"""),"")</f>
        <v/>
      </c>
      <c r="N373" s="1" t="str">
        <f>IFERROR(__xludf.DUMMYFUNCTION("""COMPUTED_VALUE"""),"Celestial:100, ")</f>
        <v>Celestial:100, </v>
      </c>
      <c r="O373" s="1"/>
      <c r="P373" s="1"/>
      <c r="Q373" s="1"/>
      <c r="R373" s="1"/>
      <c r="S373" s="1"/>
      <c r="T373" s="1"/>
      <c r="U373" s="1"/>
      <c r="V373" s="1"/>
      <c r="W373" s="1" t="str">
        <f>IFERROR(__xludf.DUMMYFUNCTION("""COMPUTED_VALUE"""),"Lunaris, Sword of The Moon")</f>
        <v>Lunaris, Sword of The Moon</v>
      </c>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f>IFERROR(__xludf.DUMMYFUNCTION("""COMPUTED_VALUE"""),0.0)</f>
        <v>0</v>
      </c>
      <c r="BE373" s="9">
        <f>IFERROR(__xludf.DUMMYFUNCTION("""COMPUTED_VALUE"""),35.0)</f>
        <v>35</v>
      </c>
      <c r="BF373" s="1"/>
      <c r="BG373" s="1" t="str">
        <f>IFERROR(__xludf.DUMMYFUNCTION("""COMPUTED_VALUE"""),"Quest only")</f>
        <v>Quest only</v>
      </c>
      <c r="BH373" s="1" t="str">
        <f>IFERROR(__xludf.DUMMYFUNCTION("""COMPUTED_VALUE"""),"Dragonscale Island")</f>
        <v>Dragonscale Island</v>
      </c>
      <c r="BI373" s="1"/>
      <c r="BJ373" s="1"/>
      <c r="BK373" s="1"/>
      <c r="BL373" s="1" t="b">
        <f>IFERROR(__xludf.DUMMYFUNCTION("""COMPUTED_VALUE"""),FALSE)</f>
        <v>0</v>
      </c>
      <c r="BM373" s="1"/>
      <c r="BN373" s="1"/>
      <c r="BO373" s="1"/>
      <c r="BP373" s="1"/>
      <c r="BQ373" s="1"/>
    </row>
    <row r="374" ht="15.75" customHeight="1">
      <c r="A374" s="1" t="str">
        <f>IFERROR(__xludf.DUMMYFUNCTION("""COMPUTED_VALUE"""),"Imphigenia, Harbinger of Revenge")</f>
        <v>Imphigenia, Harbinger of Revenge</v>
      </c>
      <c r="B374" s="1">
        <f>IFERROR(__xludf.DUMMYFUNCTION("""COMPUTED_VALUE"""),1.0)</f>
        <v>1</v>
      </c>
      <c r="C374" s="1" t="str">
        <f>IFERROR(__xludf.DUMMYFUNCTION("""COMPUTED_VALUE"""),"The goddess's final form, a desperate attempt to lash out at those who couldn't let her rest even in death.")</f>
        <v>The goddess's final form, a desperate attempt to lash out at those who couldn't let her rest even in death.</v>
      </c>
      <c r="D374" s="1" t="str">
        <f>IFERROR(__xludf.DUMMYFUNCTION("""COMPUTED_VALUE"""),"Demonic")</f>
        <v>Demonic</v>
      </c>
      <c r="E374" s="1">
        <f>IFERROR(__xludf.DUMMYFUNCTION("""COMPUTED_VALUE"""),1010.0)</f>
        <v>1010</v>
      </c>
      <c r="F374" s="7">
        <f>IFERROR(__xludf.DUMMYFUNCTION("""COMPUTED_VALUE"""),1010.0)</f>
        <v>1010</v>
      </c>
      <c r="G374" s="1">
        <f>IFERROR(__xludf.DUMMYFUNCTION("""COMPUTED_VALUE"""),1010.0)</f>
        <v>1010</v>
      </c>
      <c r="H374" s="1">
        <f>IFERROR(__xludf.DUMMYFUNCTION("""COMPUTED_VALUE"""),30.0)</f>
        <v>30</v>
      </c>
      <c r="I374" s="1">
        <f>IFERROR(__xludf.DUMMYFUNCTION("""COMPUTED_VALUE"""),0.0)</f>
        <v>0</v>
      </c>
      <c r="J374" s="1">
        <f>IFERROR(__xludf.DUMMYFUNCTION("""COMPUTED_VALUE"""),0.0)</f>
        <v>0</v>
      </c>
      <c r="K374" s="1">
        <f>IFERROR(__xludf.DUMMYFUNCTION("""COMPUTED_VALUE"""),100.0)</f>
        <v>100</v>
      </c>
      <c r="L374" s="1">
        <f>IFERROR(__xludf.DUMMYFUNCTION("""COMPUTED_VALUE"""),100.0)</f>
        <v>100</v>
      </c>
      <c r="M374" s="1" t="str">
        <f>IFERROR(__xludf.DUMMYFUNCTION("""COMPUTED_VALUE"""),"")</f>
        <v/>
      </c>
      <c r="N374" s="1" t="str">
        <f>IFERROR(__xludf.DUMMYFUNCTION("""COMPUTED_VALUE"""),"Celestial:100, ")</f>
        <v>Celestial:100, </v>
      </c>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f>IFERROR(__xludf.DUMMYFUNCTION("""COMPUTED_VALUE"""),0.0)</f>
        <v>0</v>
      </c>
      <c r="BE374" s="9">
        <f>IFERROR(__xludf.DUMMYFUNCTION("""COMPUTED_VALUE"""),35.0)</f>
        <v>35</v>
      </c>
      <c r="BF374" s="1"/>
      <c r="BG374" s="1" t="str">
        <f>IFERROR(__xludf.DUMMYFUNCTION("""COMPUTED_VALUE"""),"Quest only")</f>
        <v>Quest only</v>
      </c>
      <c r="BH374" s="1" t="str">
        <f>IFERROR(__xludf.DUMMYFUNCTION("""COMPUTED_VALUE"""),"Dragonscale Island")</f>
        <v>Dragonscale Island</v>
      </c>
      <c r="BI374" s="1"/>
      <c r="BJ374" s="1"/>
      <c r="BK374" s="1"/>
      <c r="BL374" s="1" t="b">
        <f>IFERROR(__xludf.DUMMYFUNCTION("""COMPUTED_VALUE"""),FALSE)</f>
        <v>0</v>
      </c>
      <c r="BM374" s="1"/>
      <c r="BN374" s="1"/>
      <c r="BO374" s="1"/>
      <c r="BP374" s="1"/>
      <c r="BQ374" s="1"/>
    </row>
    <row r="375" ht="15.75" customHeight="1">
      <c r="A375" s="1" t="str">
        <f>IFERROR(__xludf.DUMMYFUNCTION("""COMPUTED_VALUE"""),"Lunarion, Faithful Hound of Imphigenia")</f>
        <v>Lunarion, Faithful Hound of Imphigenia</v>
      </c>
      <c r="B375" s="1">
        <f>IFERROR(__xludf.DUMMYFUNCTION("""COMPUTED_VALUE"""),1.0)</f>
        <v>1</v>
      </c>
      <c r="C375" s="1"/>
      <c r="D375" s="1" t="str">
        <f>IFERROR(__xludf.DUMMYFUNCTION("""COMPUTED_VALUE"""),"Heavenly")</f>
        <v>Heavenly</v>
      </c>
      <c r="E375" s="1">
        <f>IFERROR(__xludf.DUMMYFUNCTION("""COMPUTED_VALUE"""),1010.0)</f>
        <v>1010</v>
      </c>
      <c r="F375" s="7">
        <f>IFERROR(__xludf.DUMMYFUNCTION("""COMPUTED_VALUE"""),1010.0)</f>
        <v>1010</v>
      </c>
      <c r="G375" s="1">
        <f>IFERROR(__xludf.DUMMYFUNCTION("""COMPUTED_VALUE"""),1010.0)</f>
        <v>1010</v>
      </c>
      <c r="H375" s="1">
        <f>IFERROR(__xludf.DUMMYFUNCTION("""COMPUTED_VALUE"""),40.0)</f>
        <v>40</v>
      </c>
      <c r="I375" s="1">
        <f>IFERROR(__xludf.DUMMYFUNCTION("""COMPUTED_VALUE"""),0.0)</f>
        <v>0</v>
      </c>
      <c r="J375" s="1">
        <f>IFERROR(__xludf.DUMMYFUNCTION("""COMPUTED_VALUE"""),0.0)</f>
        <v>0</v>
      </c>
      <c r="K375" s="1">
        <f>IFERROR(__xludf.DUMMYFUNCTION("""COMPUTED_VALUE"""),100.0)</f>
        <v>100</v>
      </c>
      <c r="L375" s="1">
        <f>IFERROR(__xludf.DUMMYFUNCTION("""COMPUTED_VALUE"""),100.0)</f>
        <v>100</v>
      </c>
      <c r="M375" s="1" t="str">
        <f>IFERROR(__xludf.DUMMYFUNCTION("""COMPUTED_VALUE"""),"")</f>
        <v/>
      </c>
      <c r="N375" s="1" t="str">
        <f>IFERROR(__xludf.DUMMYFUNCTION("""COMPUTED_VALUE"""),"Celestial:100, ")</f>
        <v>Celestial:100, </v>
      </c>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f>IFERROR(__xludf.DUMMYFUNCTION("""COMPUTED_VALUE"""),0.0)</f>
        <v>0</v>
      </c>
      <c r="BE375" s="9">
        <f>IFERROR(__xludf.DUMMYFUNCTION("""COMPUTED_VALUE"""),35.0)</f>
        <v>35</v>
      </c>
      <c r="BF375" s="1"/>
      <c r="BG375" s="1" t="str">
        <f>IFERROR(__xludf.DUMMYFUNCTION("""COMPUTED_VALUE"""),"Quest only")</f>
        <v>Quest only</v>
      </c>
      <c r="BH375" s="1" t="str">
        <f>IFERROR(__xludf.DUMMYFUNCTION("""COMPUTED_VALUE"""),"Dragonscale Island")</f>
        <v>Dragonscale Island</v>
      </c>
      <c r="BI375" s="1"/>
      <c r="BJ375" s="1"/>
      <c r="BK375" s="1"/>
      <c r="BL375" s="1" t="b">
        <f>IFERROR(__xludf.DUMMYFUNCTION("""COMPUTED_VALUE"""),FALSE)</f>
        <v>0</v>
      </c>
      <c r="BM375" s="1"/>
      <c r="BN375" s="1"/>
      <c r="BO375" s="1"/>
      <c r="BP375" s="1"/>
      <c r="BQ375" s="1"/>
    </row>
    <row r="376" ht="15.75" customHeight="1">
      <c r="A376" s="1" t="str">
        <f>IFERROR(__xludf.DUMMYFUNCTION("""COMPUTED_VALUE"""),"Master Inugima Clone")</f>
        <v>Master Inugima Clone</v>
      </c>
      <c r="B376" s="1">
        <f>IFERROR(__xludf.DUMMYFUNCTION("""COMPUTED_VALUE"""),1.0)</f>
        <v>1</v>
      </c>
      <c r="C376" s="1"/>
      <c r="D376" s="1" t="str">
        <f>IFERROR(__xludf.DUMMYFUNCTION("""COMPUTED_VALUE"""),"Construct")</f>
        <v>Construct</v>
      </c>
      <c r="E376" s="1">
        <f>IFERROR(__xludf.DUMMYFUNCTION("""COMPUTED_VALUE"""),1010.0)</f>
        <v>1010</v>
      </c>
      <c r="F376" s="7">
        <f>IFERROR(__xludf.DUMMYFUNCTION("""COMPUTED_VALUE"""),1010.0)</f>
        <v>1010</v>
      </c>
      <c r="G376" s="1">
        <f>IFERROR(__xludf.DUMMYFUNCTION("""COMPUTED_VALUE"""),126010.0)</f>
        <v>126010</v>
      </c>
      <c r="H376" s="1">
        <f>IFERROR(__xludf.DUMMYFUNCTION("""COMPUTED_VALUE"""),35.0)</f>
        <v>35</v>
      </c>
      <c r="I376" s="1">
        <f>IFERROR(__xludf.DUMMYFUNCTION("""COMPUTED_VALUE"""),0.0)</f>
        <v>0</v>
      </c>
      <c r="J376" s="1">
        <f>IFERROR(__xludf.DUMMYFUNCTION("""COMPUTED_VALUE"""),0.0)</f>
        <v>0</v>
      </c>
      <c r="K376" s="1">
        <f>IFERROR(__xludf.DUMMYFUNCTION("""COMPUTED_VALUE"""),100.0)</f>
        <v>100</v>
      </c>
      <c r="L376" s="1">
        <f>IFERROR(__xludf.DUMMYFUNCTION("""COMPUTED_VALUE"""),100.0)</f>
        <v>100</v>
      </c>
      <c r="M376" s="1" t="str">
        <f>IFERROR(__xludf.DUMMYFUNCTION("""COMPUTED_VALUE"""),"Voodoo:Immune, Blood:Immune, Zen:Immune, Instant Death:Immune, Banishment:Immune, ")</f>
        <v>Voodoo:Immune, Blood:Immune, Zen:Immune, Instant Death:Immune, Banishment:Immune, </v>
      </c>
      <c r="N376" s="1" t="str">
        <f>IFERROR(__xludf.DUMMYFUNCTION("""COMPUTED_VALUE"""),"Light:50, Order:50, ")</f>
        <v>Light:50, Order:50, </v>
      </c>
      <c r="O376" s="1" t="str">
        <f>IFERROR(__xludf.DUMMYFUNCTION("""COMPUTED_VALUE"""),"Mask of Creeping Darkness")</f>
        <v>Mask of Creeping Darkness</v>
      </c>
      <c r="P376" s="1"/>
      <c r="Q376" s="1"/>
      <c r="R376" s="1"/>
      <c r="S376" s="1" t="str">
        <f>IFERROR(__xludf.DUMMYFUNCTION("""COMPUTED_VALUE"""),"Cape of Illusion")</f>
        <v>Cape of Illusion</v>
      </c>
      <c r="T376" s="1" t="str">
        <f>IFERROR(__xludf.DUMMYFUNCTION("""COMPUTED_VALUE"""),"Chest of Evershifting Darkness")</f>
        <v>Chest of Evershifting Darkness</v>
      </c>
      <c r="U376" s="1" t="str">
        <f>IFERROR(__xludf.DUMMYFUNCTION("""COMPUTED_VALUE"""),"Silken Gloves of Dexterity")</f>
        <v>Silken Gloves of Dexterity</v>
      </c>
      <c r="V376" s="1" t="str">
        <f>IFERROR(__xludf.DUMMYFUNCTION("""COMPUTED_VALUE"""),"Assassin's Kiss")</f>
        <v>Assassin's Kiss</v>
      </c>
      <c r="W376" s="1" t="str">
        <f>IFERROR(__xludf.DUMMYFUNCTION("""COMPUTED_VALUE"""),"Night's Edge")</f>
        <v>Night's Edge</v>
      </c>
      <c r="X376" s="1"/>
      <c r="Y376" s="1"/>
      <c r="Z376" s="1"/>
      <c r="AA376" s="1"/>
      <c r="AB376" s="1"/>
      <c r="AC376" s="1"/>
      <c r="AD376" s="1"/>
      <c r="AE376" s="1"/>
      <c r="AF376" s="1"/>
      <c r="AG376" s="1"/>
      <c r="AH376" s="1" t="str">
        <f>IFERROR(__xludf.DUMMYFUNCTION("""COMPUTED_VALUE"""),"Leggings of Swift Death")</f>
        <v>Leggings of Swift Death</v>
      </c>
      <c r="AI376" s="1" t="str">
        <f>IFERROR(__xludf.DUMMYFUNCTION("""COMPUTED_VALUE"""),"Leather Boots of EDGINESS")</f>
        <v>Leather Boots of EDGINESS</v>
      </c>
      <c r="AJ376" s="1" t="str">
        <f>IFERROR(__xludf.DUMMYFUNCTION("""COMPUTED_VALUE"""),"Conceal")</f>
        <v>Conceal</v>
      </c>
      <c r="AK376" s="1" t="str">
        <f>IFERROR(__xludf.DUMMYFUNCTION("""COMPUTED_VALUE"""),"Shadow Strike")</f>
        <v>Shadow Strike</v>
      </c>
      <c r="AL376" s="1" t="str">
        <f>IFERROR(__xludf.DUMMYFUNCTION("""COMPUTED_VALUE"""),"Melee Shield")</f>
        <v>Melee Shield</v>
      </c>
      <c r="AM376" s="1" t="str">
        <f>IFERROR(__xludf.DUMMYFUNCTION("""COMPUTED_VALUE"""),"Go For The Vitals")</f>
        <v>Go For The Vitals</v>
      </c>
      <c r="AN376" s="1" t="str">
        <f>IFERROR(__xludf.DUMMYFUNCTION("""COMPUTED_VALUE"""),"Mutagen")</f>
        <v>Mutagen</v>
      </c>
      <c r="AO376" s="1" t="str">
        <f>IFERROR(__xludf.DUMMYFUNCTION("""COMPUTED_VALUE"""),"Max Focus")</f>
        <v>Max Focus</v>
      </c>
      <c r="AP376" s="1" t="str">
        <f>IFERROR(__xludf.DUMMYFUNCTION("""COMPUTED_VALUE"""),"Max Evade")</f>
        <v>Max Evade</v>
      </c>
      <c r="AQ376" s="1" t="str">
        <f>IFERROR(__xludf.DUMMYFUNCTION("""COMPUTED_VALUE"""),"Foresight")</f>
        <v>Foresight</v>
      </c>
      <c r="AR376" s="1" t="str">
        <f>IFERROR(__xludf.DUMMYFUNCTION("""COMPUTED_VALUE"""),"Evade")</f>
        <v>Evade</v>
      </c>
      <c r="AS376" s="1" t="str">
        <f>IFERROR(__xludf.DUMMYFUNCTION("""COMPUTED_VALUE"""),"Chains of Shadow")</f>
        <v>Chains of Shadow</v>
      </c>
      <c r="AT376" s="1" t="str">
        <f>IFERROR(__xludf.DUMMYFUNCTION("""COMPUTED_VALUE"""),"Take")</f>
        <v>Take</v>
      </c>
      <c r="AU376" s="1"/>
      <c r="AV376" s="1"/>
      <c r="AW376" s="1"/>
      <c r="AX376" s="1"/>
      <c r="AY376" s="1"/>
      <c r="AZ376" s="1"/>
      <c r="BA376" s="1"/>
      <c r="BB376" s="1"/>
      <c r="BC376" s="1"/>
      <c r="BD376" s="1">
        <f>IFERROR(__xludf.DUMMYFUNCTION("""COMPUTED_VALUE"""),0.0)</f>
        <v>0</v>
      </c>
      <c r="BE376" s="9">
        <f>IFERROR(__xludf.DUMMYFUNCTION("""COMPUTED_VALUE"""),25.0)</f>
        <v>25</v>
      </c>
      <c r="BF376" s="1" t="str">
        <f>IFERROR(__xludf.DUMMYFUNCTION("""COMPUTED_VALUE"""),"Swift Shadow Arts: +10 Can be added to this mobs rolls
Items cannot be removed from this mob
Immune to freezing
25% chance to parry any weapon attacks
25% chance to be unaffected by any spells affecting this mob
Mutagen will not subtract from their s"&amp;"tats")</f>
        <v>Swift Shadow Arts: +10 Can be added to this mobs rolls
Items cannot be removed from this mob
Immune to freezing
25% chance to parry any weapon attacks
25% chance to be unaffected by any spells affecting this mob
Mutagen will not subtract from their stats</v>
      </c>
      <c r="BG376" s="1"/>
      <c r="BH376" s="1" t="str">
        <f>IFERROR(__xludf.DUMMYFUNCTION("""COMPUTED_VALUE"""),"Dragonscale Island")</f>
        <v>Dragonscale Island</v>
      </c>
      <c r="BI376" s="1"/>
      <c r="BJ376" s="1"/>
      <c r="BK376" s="1"/>
      <c r="BL376" s="1" t="b">
        <f>IFERROR(__xludf.DUMMYFUNCTION("""COMPUTED_VALUE"""),FALSE)</f>
        <v>0</v>
      </c>
      <c r="BM376" s="1"/>
      <c r="BN376" s="1"/>
      <c r="BO376" s="1"/>
      <c r="BP376" s="1"/>
      <c r="BQ376" s="1"/>
    </row>
    <row r="377" ht="15.75" customHeight="1">
      <c r="A377" s="1" t="str">
        <f>IFERROR(__xludf.DUMMYFUNCTION("""COMPUTED_VALUE"""),"The Harbingers of The Voidwoken (DragonScale)")</f>
        <v>The Harbingers of The Voidwoken (DragonScale)</v>
      </c>
      <c r="B377" s="1">
        <f>IFERROR(__xludf.DUMMYFUNCTION("""COMPUTED_VALUE"""),1.0)</f>
        <v>1</v>
      </c>
      <c r="C377" s="1"/>
      <c r="D377" s="1" t="str">
        <f>IFERROR(__xludf.DUMMYFUNCTION("""COMPUTED_VALUE"""),"Humanoid")</f>
        <v>Humanoid</v>
      </c>
      <c r="E377" s="1">
        <f>IFERROR(__xludf.DUMMYFUNCTION("""COMPUTED_VALUE"""),1010.0)</f>
        <v>1010</v>
      </c>
      <c r="F377" s="7">
        <f>IFERROR(__xludf.DUMMYFUNCTION("""COMPUTED_VALUE"""),1010.0)</f>
        <v>1010</v>
      </c>
      <c r="G377" s="1">
        <f>IFERROR(__xludf.DUMMYFUNCTION("""COMPUTED_VALUE"""),1010.0)</f>
        <v>1010</v>
      </c>
      <c r="H377" s="1">
        <f>IFERROR(__xludf.DUMMYFUNCTION("""COMPUTED_VALUE"""),15.0)</f>
        <v>15</v>
      </c>
      <c r="I377" s="1">
        <f>IFERROR(__xludf.DUMMYFUNCTION("""COMPUTED_VALUE"""),0.0)</f>
        <v>0</v>
      </c>
      <c r="J377" s="1">
        <f>IFERROR(__xludf.DUMMYFUNCTION("""COMPUTED_VALUE"""),0.0)</f>
        <v>0</v>
      </c>
      <c r="K377" s="1">
        <f>IFERROR(__xludf.DUMMYFUNCTION("""COMPUTED_VALUE"""),100.0)</f>
        <v>100</v>
      </c>
      <c r="L377" s="1">
        <f>IFERROR(__xludf.DUMMYFUNCTION("""COMPUTED_VALUE"""),100.0)</f>
        <v>100</v>
      </c>
      <c r="M377" s="1" t="str">
        <f>IFERROR(__xludf.DUMMYFUNCTION("""COMPUTED_VALUE"""),"")</f>
        <v/>
      </c>
      <c r="N377" s="1" t="str">
        <f>IFERROR(__xludf.DUMMYFUNCTION("""COMPUTED_VALUE"""),"Celestial:100, ")</f>
        <v>Celestial:100, </v>
      </c>
      <c r="O377" s="1"/>
      <c r="P377" s="1"/>
      <c r="Q377" s="1"/>
      <c r="R377" s="1"/>
      <c r="S377" s="1"/>
      <c r="T377" s="1"/>
      <c r="U377" s="1"/>
      <c r="V377" s="1"/>
      <c r="W377" s="1"/>
      <c r="X377" s="1"/>
      <c r="Y377" s="1"/>
      <c r="Z377" s="1"/>
      <c r="AA377" s="1"/>
      <c r="AB377" s="1"/>
      <c r="AC377" s="1"/>
      <c r="AD377" s="1"/>
      <c r="AE377" s="1"/>
      <c r="AF377" s="1"/>
      <c r="AG377" s="1"/>
      <c r="AH377" s="1"/>
      <c r="AI377" s="1"/>
      <c r="AJ377" s="1" t="str">
        <f>IFERROR(__xludf.DUMMYFUNCTION("""COMPUTED_VALUE"""),"Chaincast")</f>
        <v>Chaincast</v>
      </c>
      <c r="AK377" s="1" t="str">
        <f>IFERROR(__xludf.DUMMYFUNCTION("""COMPUTED_VALUE"""),"Rapid Delta Punch")</f>
        <v>Rapid Delta Punch</v>
      </c>
      <c r="AL377" s="1" t="str">
        <f>IFERROR(__xludf.DUMMYFUNCTION("""COMPUTED_VALUE"""),"Delta World")</f>
        <v>Delta World</v>
      </c>
      <c r="AM377" s="1" t="str">
        <f>IFERROR(__xludf.DUMMYFUNCTION("""COMPUTED_VALUE"""),"Delta Obelisk")</f>
        <v>Delta Obelisk</v>
      </c>
      <c r="AN377" s="1" t="str">
        <f>IFERROR(__xludf.DUMMYFUNCTION("""COMPUTED_VALUE"""),"Beast In Black")</f>
        <v>Beast In Black</v>
      </c>
      <c r="AO377" s="1" t="str">
        <f>IFERROR(__xludf.DUMMYFUNCTION("""COMPUTED_VALUE"""),"Domain Expansion")</f>
        <v>Domain Expansion</v>
      </c>
      <c r="AP377" s="1" t="str">
        <f>IFERROR(__xludf.DUMMYFUNCTION("""COMPUTED_VALUE"""),"Enrage")</f>
        <v>Enrage</v>
      </c>
      <c r="AQ377" s="1" t="str">
        <f>IFERROR(__xludf.DUMMYFUNCTION("""COMPUTED_VALUE"""),"Arrest")</f>
        <v>Arrest</v>
      </c>
      <c r="AR377" s="1" t="str">
        <f>IFERROR(__xludf.DUMMYFUNCTION("""COMPUTED_VALUE"""),"Charge")</f>
        <v>Charge</v>
      </c>
      <c r="AS377" s="1" t="str">
        <f>IFERROR(__xludf.DUMMYFUNCTION("""COMPUTED_VALUE"""),"Full Impact")</f>
        <v>Full Impact</v>
      </c>
      <c r="AT377" s="1" t="str">
        <f>IFERROR(__xludf.DUMMYFUNCTION("""COMPUTED_VALUE"""),"Increase")</f>
        <v>Increase</v>
      </c>
      <c r="AU377" s="1" t="str">
        <f>IFERROR(__xludf.DUMMYFUNCTION("""COMPUTED_VALUE"""),"Taunt (Mob)")</f>
        <v>Taunt (Mob)</v>
      </c>
      <c r="AV377" s="1" t="str">
        <f>IFERROR(__xludf.DUMMYFUNCTION("""COMPUTED_VALUE"""),"Call of the Paladin")</f>
        <v>Call of the Paladin</v>
      </c>
      <c r="AW377" s="1" t="str">
        <f>IFERROR(__xludf.DUMMYFUNCTION("""COMPUTED_VALUE"""),"Berserk")</f>
        <v>Berserk</v>
      </c>
      <c r="AX377" s="1"/>
      <c r="AY377" s="1"/>
      <c r="AZ377" s="1"/>
      <c r="BA377" s="1"/>
      <c r="BB377" s="1"/>
      <c r="BC377" s="1"/>
      <c r="BD377" s="1">
        <f>IFERROR(__xludf.DUMMYFUNCTION("""COMPUTED_VALUE"""),0.0)</f>
        <v>0</v>
      </c>
      <c r="BE377" s="9">
        <f>IFERROR(__xludf.DUMMYFUNCTION("""COMPUTED_VALUE"""),20.0)</f>
        <v>20</v>
      </c>
      <c r="BF377" s="1" t="str">
        <f>IFERROR(__xludf.DUMMYFUNCTION("""COMPUTED_VALUE"""),"Blessing of War: X4 Astral and Delta Damage
The Insanity of the Void: 
Upon attacking any target with a Natural, Clawed Weapon, or Guantlet attack roll a d20 , 10 or lower = Normal-Form, 11 or higher = Void Beast form. Your base stats are tripled, you ga"&amp;"in +15 Mobility, and you are under the affects of Rampage, and Roll a d20 each round, 10 or lower = Return to your normal form, 11 or higher = stay in Void Beast form. This ability lasts for 3 rounds unless sustained by hitting enemies with Natural, Clawe"&amp;"d attacks, or Guantlet
Break the Chains: +20 Can be added to this mobs rolls.")</f>
        <v>Blessing of War: X4 Astral and Delta Damage
The Insanity of the Void: 
Upon attacking any target with a Natural, Clawed Weapon, or Guantlet attack roll a d20 , 10 or lower = Normal-Form, 11 or higher = Void Beast form. Your base stats are tripled, you gain +15 Mobility, and you are under the affects of Rampage, and Roll a d20 each round, 10 or lower = Return to your normal form, 11 or higher = stay in Void Beast form. This ability lasts for 3 rounds unless sustained by hitting enemies with Natural, Clawed attacks, or Guantlet
Break the Chains: +20 Can be added to this mobs rolls.</v>
      </c>
      <c r="BG377" s="1" t="str">
        <f>IFERROR(__xludf.DUMMYFUNCTION("""COMPUTED_VALUE"""),"All")</f>
        <v>All</v>
      </c>
      <c r="BH377" s="1" t="str">
        <f>IFERROR(__xludf.DUMMYFUNCTION("""COMPUTED_VALUE"""),"Dragonscale Island")</f>
        <v>Dragonscale Island</v>
      </c>
      <c r="BI377" s="1"/>
      <c r="BJ377" s="1"/>
      <c r="BK377" s="1"/>
      <c r="BL377" s="1" t="b">
        <f>IFERROR(__xludf.DUMMYFUNCTION("""COMPUTED_VALUE"""),FALSE)</f>
        <v>0</v>
      </c>
      <c r="BM377" s="1"/>
      <c r="BN377" s="1"/>
      <c r="BO377" s="1"/>
      <c r="BP377" s="1"/>
      <c r="BQ377" s="1"/>
    </row>
    <row r="378" ht="15.75" customHeight="1">
      <c r="A378" s="1" t="str">
        <f>IFERROR(__xludf.DUMMYFUNCTION("""COMPUTED_VALUE"""),"The Harbingers of The Voidwoken (Abstara)")</f>
        <v>The Harbingers of The Voidwoken (Abstara)</v>
      </c>
      <c r="B378" s="1">
        <f>IFERROR(__xludf.DUMMYFUNCTION("""COMPUTED_VALUE"""),1.0)</f>
        <v>1</v>
      </c>
      <c r="C378" s="1"/>
      <c r="D378" s="1" t="str">
        <f>IFERROR(__xludf.DUMMYFUNCTION("""COMPUTED_VALUE"""),"Demonic")</f>
        <v>Demonic</v>
      </c>
      <c r="E378" s="1">
        <f>IFERROR(__xludf.DUMMYFUNCTION("""COMPUTED_VALUE"""),1010.0)</f>
        <v>1010</v>
      </c>
      <c r="F378" s="7">
        <f>IFERROR(__xludf.DUMMYFUNCTION("""COMPUTED_VALUE"""),1010.0)</f>
        <v>1010</v>
      </c>
      <c r="G378" s="1">
        <f>IFERROR(__xludf.DUMMYFUNCTION("""COMPUTED_VALUE"""),1010.0)</f>
        <v>1010</v>
      </c>
      <c r="H378" s="1">
        <f>IFERROR(__xludf.DUMMYFUNCTION("""COMPUTED_VALUE"""),25.0)</f>
        <v>25</v>
      </c>
      <c r="I378" s="1">
        <f>IFERROR(__xludf.DUMMYFUNCTION("""COMPUTED_VALUE"""),0.0)</f>
        <v>0</v>
      </c>
      <c r="J378" s="1">
        <f>IFERROR(__xludf.DUMMYFUNCTION("""COMPUTED_VALUE"""),0.0)</f>
        <v>0</v>
      </c>
      <c r="K378" s="1">
        <f>IFERROR(__xludf.DUMMYFUNCTION("""COMPUTED_VALUE"""),100.0)</f>
        <v>100</v>
      </c>
      <c r="L378" s="1">
        <f>IFERROR(__xludf.DUMMYFUNCTION("""COMPUTED_VALUE"""),100.0)</f>
        <v>100</v>
      </c>
      <c r="M378" s="1" t="str">
        <f>IFERROR(__xludf.DUMMYFUNCTION("""COMPUTED_VALUE"""),"")</f>
        <v/>
      </c>
      <c r="N378" s="1" t="str">
        <f>IFERROR(__xludf.DUMMYFUNCTION("""COMPUTED_VALUE"""),"Celestial:100, ")</f>
        <v>Celestial:100, </v>
      </c>
      <c r="O378" s="1"/>
      <c r="P378" s="1"/>
      <c r="Q378" s="1"/>
      <c r="R378" s="1"/>
      <c r="S378" s="1"/>
      <c r="T378" s="1"/>
      <c r="U378" s="1"/>
      <c r="V378" s="1"/>
      <c r="W378" s="1"/>
      <c r="X378" s="1"/>
      <c r="Y378" s="1"/>
      <c r="Z378" s="1"/>
      <c r="AA378" s="1"/>
      <c r="AB378" s="1"/>
      <c r="AC378" s="1"/>
      <c r="AD378" s="1"/>
      <c r="AE378" s="1"/>
      <c r="AF378" s="1"/>
      <c r="AG378" s="1"/>
      <c r="AH378" s="1"/>
      <c r="AI378" s="1"/>
      <c r="AJ378" s="1" t="str">
        <f>IFERROR(__xludf.DUMMYFUNCTION("""COMPUTED_VALUE"""),"Chaincast")</f>
        <v>Chaincast</v>
      </c>
      <c r="AK378" s="1" t="str">
        <f>IFERROR(__xludf.DUMMYFUNCTION("""COMPUTED_VALUE"""),"Rapid Delta Punch")</f>
        <v>Rapid Delta Punch</v>
      </c>
      <c r="AL378" s="1" t="str">
        <f>IFERROR(__xludf.DUMMYFUNCTION("""COMPUTED_VALUE"""),"Delta World")</f>
        <v>Delta World</v>
      </c>
      <c r="AM378" s="1" t="str">
        <f>IFERROR(__xludf.DUMMYFUNCTION("""COMPUTED_VALUE"""),"Delta Obelisk")</f>
        <v>Delta Obelisk</v>
      </c>
      <c r="AN378" s="1" t="str">
        <f>IFERROR(__xludf.DUMMYFUNCTION("""COMPUTED_VALUE"""),"Beast In Black")</f>
        <v>Beast In Black</v>
      </c>
      <c r="AO378" s="1" t="str">
        <f>IFERROR(__xludf.DUMMYFUNCTION("""COMPUTED_VALUE"""),"Domain Expansion")</f>
        <v>Domain Expansion</v>
      </c>
      <c r="AP378" s="1" t="str">
        <f>IFERROR(__xludf.DUMMYFUNCTION("""COMPUTED_VALUE"""),"Enrage")</f>
        <v>Enrage</v>
      </c>
      <c r="AQ378" s="1" t="str">
        <f>IFERROR(__xludf.DUMMYFUNCTION("""COMPUTED_VALUE"""),"Arrest")</f>
        <v>Arrest</v>
      </c>
      <c r="AR378" s="1" t="str">
        <f>IFERROR(__xludf.DUMMYFUNCTION("""COMPUTED_VALUE"""),"Charge")</f>
        <v>Charge</v>
      </c>
      <c r="AS378" s="1" t="str">
        <f>IFERROR(__xludf.DUMMYFUNCTION("""COMPUTED_VALUE"""),"Full Impact")</f>
        <v>Full Impact</v>
      </c>
      <c r="AT378" s="1" t="str">
        <f>IFERROR(__xludf.DUMMYFUNCTION("""COMPUTED_VALUE"""),"Increase")</f>
        <v>Increase</v>
      </c>
      <c r="AU378" s="1" t="str">
        <f>IFERROR(__xludf.DUMMYFUNCTION("""COMPUTED_VALUE"""),"Taunt (Mob)")</f>
        <v>Taunt (Mob)</v>
      </c>
      <c r="AV378" s="1" t="str">
        <f>IFERROR(__xludf.DUMMYFUNCTION("""COMPUTED_VALUE"""),"Call of the Paladin")</f>
        <v>Call of the Paladin</v>
      </c>
      <c r="AW378" s="1" t="str">
        <f>IFERROR(__xludf.DUMMYFUNCTION("""COMPUTED_VALUE"""),"Berserk")</f>
        <v>Berserk</v>
      </c>
      <c r="AX378" s="1"/>
      <c r="AY378" s="1"/>
      <c r="AZ378" s="1"/>
      <c r="BA378" s="1"/>
      <c r="BB378" s="1"/>
      <c r="BC378" s="1"/>
      <c r="BD378" s="1">
        <f>IFERROR(__xludf.DUMMYFUNCTION("""COMPUTED_VALUE"""),0.0)</f>
        <v>0</v>
      </c>
      <c r="BE378" s="9">
        <f>IFERROR(__xludf.DUMMYFUNCTION("""COMPUTED_VALUE"""),30.0)</f>
        <v>30</v>
      </c>
      <c r="BF378" s="1" t="str">
        <f>IFERROR(__xludf.DUMMYFUNCTION("""COMPUTED_VALUE"""),"Blessing of War: X4 Astral and Delta Damage
The Insanity of the Void: 
Upon attacking any target with a Natural, Clawed Weapon, or Guantlet attack roll a d20 , 10 or lower = Normal-Form, 11 or higher = Void Beast form. Your base stats are tripled, you ga"&amp;"in +15 Mobility, and you are under the affects of Rampage, and Roll a d20 each round, 10 or lower = Return to your normal form, 11 or higher = stay in Void Beast form. This ability lasts for 3 rounds unless sustained by hitting enemies with Natural, Clawe"&amp;"d attacks, or Guantlet
Break the Chains: mob can add +15 to all rolls")</f>
        <v>Blessing of War: X4 Astral and Delta Damage
The Insanity of the Void: 
Upon attacking any target with a Natural, Clawed Weapon, or Guantlet attack roll a d20 , 10 or lower = Normal-Form, 11 or higher = Void Beast form. Your base stats are tripled, you gain +15 Mobility, and you are under the affects of Rampage, and Roll a d20 each round, 10 or lower = Return to your normal form, 11 or higher = stay in Void Beast form. This ability lasts for 3 rounds unless sustained by hitting enemies with Natural, Clawed attacks, or Guantlet
Break the Chains: mob can add +15 to all rolls</v>
      </c>
      <c r="BG378" s="1" t="str">
        <f>IFERROR(__xludf.DUMMYFUNCTION("""COMPUTED_VALUE"""),"All")</f>
        <v>All</v>
      </c>
      <c r="BH378" s="1" t="str">
        <f>IFERROR(__xludf.DUMMYFUNCTION("""COMPUTED_VALUE"""),"Abstara")</f>
        <v>Abstara</v>
      </c>
      <c r="BI378" s="1"/>
      <c r="BJ378" s="1"/>
      <c r="BK378" s="1"/>
      <c r="BL378" s="1" t="b">
        <f>IFERROR(__xludf.DUMMYFUNCTION("""COMPUTED_VALUE"""),FALSE)</f>
        <v>0</v>
      </c>
      <c r="BM378" s="1"/>
      <c r="BN378" s="1"/>
      <c r="BO378" s="1"/>
      <c r="BP378" s="1"/>
      <c r="BQ378" s="1"/>
    </row>
    <row r="379" ht="15.75" customHeight="1">
      <c r="A379" s="1" t="str">
        <f>IFERROR(__xludf.DUMMYFUNCTION("""COMPUTED_VALUE"""),"The Harbingers of The Voidwoken (Solreach)")</f>
        <v>The Harbingers of The Voidwoken (Solreach)</v>
      </c>
      <c r="B379" s="1">
        <f>IFERROR(__xludf.DUMMYFUNCTION("""COMPUTED_VALUE"""),1.0)</f>
        <v>1</v>
      </c>
      <c r="C379" s="1"/>
      <c r="D379" s="1" t="str">
        <f>IFERROR(__xludf.DUMMYFUNCTION("""COMPUTED_VALUE"""),"Demonic")</f>
        <v>Demonic</v>
      </c>
      <c r="E379" s="1">
        <f>IFERROR(__xludf.DUMMYFUNCTION("""COMPUTED_VALUE"""),1010.0)</f>
        <v>1010</v>
      </c>
      <c r="F379" s="7">
        <f>IFERROR(__xludf.DUMMYFUNCTION("""COMPUTED_VALUE"""),1010.0)</f>
        <v>1010</v>
      </c>
      <c r="G379" s="1">
        <f>IFERROR(__xludf.DUMMYFUNCTION("""COMPUTED_VALUE"""),1010.0)</f>
        <v>1010</v>
      </c>
      <c r="H379" s="1">
        <f>IFERROR(__xludf.DUMMYFUNCTION("""COMPUTED_VALUE"""),35.0)</f>
        <v>35</v>
      </c>
      <c r="I379" s="1">
        <f>IFERROR(__xludf.DUMMYFUNCTION("""COMPUTED_VALUE"""),0.0)</f>
        <v>0</v>
      </c>
      <c r="J379" s="1">
        <f>IFERROR(__xludf.DUMMYFUNCTION("""COMPUTED_VALUE"""),0.0)</f>
        <v>0</v>
      </c>
      <c r="K379" s="1">
        <f>IFERROR(__xludf.DUMMYFUNCTION("""COMPUTED_VALUE"""),100.0)</f>
        <v>100</v>
      </c>
      <c r="L379" s="1">
        <f>IFERROR(__xludf.DUMMYFUNCTION("""COMPUTED_VALUE"""),100.0)</f>
        <v>100</v>
      </c>
      <c r="M379" s="1" t="str">
        <f>IFERROR(__xludf.DUMMYFUNCTION("""COMPUTED_VALUE"""),"")</f>
        <v/>
      </c>
      <c r="N379" s="1" t="str">
        <f>IFERROR(__xludf.DUMMYFUNCTION("""COMPUTED_VALUE"""),"Celestial:100, ")</f>
        <v>Celestial:100, </v>
      </c>
      <c r="O379" s="1"/>
      <c r="P379" s="1"/>
      <c r="Q379" s="1"/>
      <c r="R379" s="1"/>
      <c r="S379" s="1"/>
      <c r="T379" s="1"/>
      <c r="U379" s="1"/>
      <c r="V379" s="1"/>
      <c r="W379" s="1"/>
      <c r="X379" s="1"/>
      <c r="Y379" s="1"/>
      <c r="Z379" s="1"/>
      <c r="AA379" s="1"/>
      <c r="AB379" s="1"/>
      <c r="AC379" s="1"/>
      <c r="AD379" s="1"/>
      <c r="AE379" s="1"/>
      <c r="AF379" s="1"/>
      <c r="AG379" s="1"/>
      <c r="AH379" s="1"/>
      <c r="AI379" s="1"/>
      <c r="AJ379" s="1" t="str">
        <f>IFERROR(__xludf.DUMMYFUNCTION("""COMPUTED_VALUE"""),"Chaincast")</f>
        <v>Chaincast</v>
      </c>
      <c r="AK379" s="1" t="str">
        <f>IFERROR(__xludf.DUMMYFUNCTION("""COMPUTED_VALUE"""),"Rapid Delta Punch")</f>
        <v>Rapid Delta Punch</v>
      </c>
      <c r="AL379" s="1" t="str">
        <f>IFERROR(__xludf.DUMMYFUNCTION("""COMPUTED_VALUE"""),"Delta World")</f>
        <v>Delta World</v>
      </c>
      <c r="AM379" s="1" t="str">
        <f>IFERROR(__xludf.DUMMYFUNCTION("""COMPUTED_VALUE"""),"Delta Obelisk")</f>
        <v>Delta Obelisk</v>
      </c>
      <c r="AN379" s="1" t="str">
        <f>IFERROR(__xludf.DUMMYFUNCTION("""COMPUTED_VALUE"""),"Beast In Black")</f>
        <v>Beast In Black</v>
      </c>
      <c r="AO379" s="1" t="str">
        <f>IFERROR(__xludf.DUMMYFUNCTION("""COMPUTED_VALUE"""),"Domain Expansion")</f>
        <v>Domain Expansion</v>
      </c>
      <c r="AP379" s="1" t="str">
        <f>IFERROR(__xludf.DUMMYFUNCTION("""COMPUTED_VALUE"""),"Enrage")</f>
        <v>Enrage</v>
      </c>
      <c r="AQ379" s="1" t="str">
        <f>IFERROR(__xludf.DUMMYFUNCTION("""COMPUTED_VALUE"""),"Arrest")</f>
        <v>Arrest</v>
      </c>
      <c r="AR379" s="1" t="str">
        <f>IFERROR(__xludf.DUMMYFUNCTION("""COMPUTED_VALUE"""),"Charge")</f>
        <v>Charge</v>
      </c>
      <c r="AS379" s="1" t="str">
        <f>IFERROR(__xludf.DUMMYFUNCTION("""COMPUTED_VALUE"""),"Full Impact")</f>
        <v>Full Impact</v>
      </c>
      <c r="AT379" s="1" t="str">
        <f>IFERROR(__xludf.DUMMYFUNCTION("""COMPUTED_VALUE"""),"Increase")</f>
        <v>Increase</v>
      </c>
      <c r="AU379" s="1" t="str">
        <f>IFERROR(__xludf.DUMMYFUNCTION("""COMPUTED_VALUE"""),"Taunt (Mob)")</f>
        <v>Taunt (Mob)</v>
      </c>
      <c r="AV379" s="1" t="str">
        <f>IFERROR(__xludf.DUMMYFUNCTION("""COMPUTED_VALUE"""),"Call of the Paladin")</f>
        <v>Call of the Paladin</v>
      </c>
      <c r="AW379" s="1" t="str">
        <f>IFERROR(__xludf.DUMMYFUNCTION("""COMPUTED_VALUE"""),"Berserk")</f>
        <v>Berserk</v>
      </c>
      <c r="AX379" s="1"/>
      <c r="AY379" s="1"/>
      <c r="AZ379" s="1"/>
      <c r="BA379" s="1"/>
      <c r="BB379" s="1"/>
      <c r="BC379" s="1"/>
      <c r="BD379" s="1">
        <f>IFERROR(__xludf.DUMMYFUNCTION("""COMPUTED_VALUE"""),0.0)</f>
        <v>0</v>
      </c>
      <c r="BE379" s="9">
        <f>IFERROR(__xludf.DUMMYFUNCTION("""COMPUTED_VALUE"""),40.0)</f>
        <v>40</v>
      </c>
      <c r="BF379" s="1" t="str">
        <f>IFERROR(__xludf.DUMMYFUNCTION("""COMPUTED_VALUE"""),"Blessing of War: X4 Astral and Delta Damage
The Insanity of the Void: 
Upon attacking any target with a Natural, Clawed Weapon, or Guantlet attack roll a d20 , 10 or lower = Normal-Form, 11 or higher = Void Beast form. Your base stats are tripled, you ga"&amp;"in +15 Mobility, and you are under the affects of Rampage, and Roll a d20 each round, 10 or lower = Return to your normal form, 11 or higher = stay in Void Beast form. This ability lasts for 3 rounds unless sustained by hitting enemies with Natural, Clawe"&amp;"d attacks, or Guantlet
Break the Chains: mob can add +20 to all rolls")</f>
        <v>Blessing of War: X4 Astral and Delta Damage
The Insanity of the Void: 
Upon attacking any target with a Natural, Clawed Weapon, or Guantlet attack roll a d20 , 10 or lower = Normal-Form, 11 or higher = Void Beast form. Your base stats are tripled, you gain +15 Mobility, and you are under the affects of Rampage, and Roll a d20 each round, 10 or lower = Return to your normal form, 11 or higher = stay in Void Beast form. This ability lasts for 3 rounds unless sustained by hitting enemies with Natural, Clawed attacks, or Guantlet
Break the Chains: mob can add +20 to all rolls</v>
      </c>
      <c r="BG379" s="1" t="str">
        <f>IFERROR(__xludf.DUMMYFUNCTION("""COMPUTED_VALUE"""),"All")</f>
        <v>All</v>
      </c>
      <c r="BH379" s="1" t="str">
        <f>IFERROR(__xludf.DUMMYFUNCTION("""COMPUTED_VALUE"""),"Solreach")</f>
        <v>Solreach</v>
      </c>
      <c r="BI379" s="1"/>
      <c r="BJ379" s="1"/>
      <c r="BK379" s="1"/>
      <c r="BL379" s="1" t="b">
        <f>IFERROR(__xludf.DUMMYFUNCTION("""COMPUTED_VALUE"""),FALSE)</f>
        <v>0</v>
      </c>
      <c r="BM379" s="1"/>
      <c r="BN379" s="1"/>
      <c r="BO379" s="1"/>
      <c r="BP379" s="1"/>
      <c r="BQ379" s="1"/>
    </row>
    <row r="380" ht="15.75" customHeight="1">
      <c r="A380" s="1" t="str">
        <f>IFERROR(__xludf.DUMMYFUNCTION("""COMPUTED_VALUE"""),"Forest Faery")</f>
        <v>Forest Faery</v>
      </c>
      <c r="B380" s="1">
        <f>IFERROR(__xludf.DUMMYFUNCTION("""COMPUTED_VALUE"""),1.0)</f>
        <v>1</v>
      </c>
      <c r="C380" s="1" t="str">
        <f>IFERROR(__xludf.DUMMYFUNCTION("""COMPUTED_VALUE"""),"A normal forest fae rumored to be the descendants of the great fae king oberon")</f>
        <v>A normal forest fae rumored to be the descendants of the great fae king oberon</v>
      </c>
      <c r="D380" s="1" t="str">
        <f>IFERROR(__xludf.DUMMYFUNCTION("""COMPUTED_VALUE"""),"Fae")</f>
        <v>Fae</v>
      </c>
      <c r="E380" s="1">
        <f>IFERROR(__xludf.DUMMYFUNCTION("""COMPUTED_VALUE"""),1010.0)</f>
        <v>1010</v>
      </c>
      <c r="F380" s="7">
        <f>IFERROR(__xludf.DUMMYFUNCTION("""COMPUTED_VALUE"""),1010.0)</f>
        <v>1010</v>
      </c>
      <c r="G380" s="1">
        <f>IFERROR(__xludf.DUMMYFUNCTION("""COMPUTED_VALUE"""),1010.0)</f>
        <v>1010</v>
      </c>
      <c r="H380" s="1">
        <f>IFERROR(__xludf.DUMMYFUNCTION("""COMPUTED_VALUE"""),10.0)</f>
        <v>10</v>
      </c>
      <c r="I380" s="1">
        <f>IFERROR(__xludf.DUMMYFUNCTION("""COMPUTED_VALUE"""),0.0)</f>
        <v>0</v>
      </c>
      <c r="J380" s="1">
        <f>IFERROR(__xludf.DUMMYFUNCTION("""COMPUTED_VALUE"""),0.0)</f>
        <v>0</v>
      </c>
      <c r="K380" s="1">
        <f>IFERROR(__xludf.DUMMYFUNCTION("""COMPUTED_VALUE"""),100.0)</f>
        <v>100</v>
      </c>
      <c r="L380" s="1">
        <f>IFERROR(__xludf.DUMMYFUNCTION("""COMPUTED_VALUE"""),100.0)</f>
        <v>100</v>
      </c>
      <c r="M380" s="1" t="str">
        <f>IFERROR(__xludf.DUMMYFUNCTION("""COMPUTED_VALUE"""),"#N/A")</f>
        <v>#N/A</v>
      </c>
      <c r="N380" s="1" t="str">
        <f>IFERROR(__xludf.DUMMYFUNCTION("""COMPUTED_VALUE"""),"#N/A")</f>
        <v>#N/A</v>
      </c>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f>IFERROR(__xludf.DUMMYFUNCTION("""COMPUTED_VALUE"""),0.0)</f>
        <v>0</v>
      </c>
      <c r="BE380" s="9">
        <f>IFERROR(__xludf.DUMMYFUNCTION("""COMPUTED_VALUE"""),10.0)</f>
        <v>10</v>
      </c>
      <c r="BF380" s="1"/>
      <c r="BG380" s="1" t="str">
        <f>IFERROR(__xludf.DUMMYFUNCTION("""COMPUTED_VALUE"""),"Forest")</f>
        <v>Forest</v>
      </c>
      <c r="BH380" s="1" t="str">
        <f>IFERROR(__xludf.DUMMYFUNCTION("""COMPUTED_VALUE"""),"Event Hub")</f>
        <v>Event Hub</v>
      </c>
      <c r="BI380" s="1"/>
      <c r="BJ380" s="1"/>
      <c r="BK380" s="1"/>
      <c r="BL380" s="1" t="b">
        <f>IFERROR(__xludf.DUMMYFUNCTION("""COMPUTED_VALUE"""),FALSE)</f>
        <v>0</v>
      </c>
      <c r="BM380" s="1"/>
      <c r="BN380" s="1"/>
      <c r="BO380" s="1"/>
      <c r="BP380" s="1"/>
      <c r="BQ380" s="1"/>
    </row>
    <row r="381" ht="15.75" customHeight="1">
      <c r="A381" s="1" t="str">
        <f>IFERROR(__xludf.DUMMYFUNCTION("""COMPUTED_VALUE"""),"Egg of The Faery King")</f>
        <v>Egg of The Faery King</v>
      </c>
      <c r="B381" s="1">
        <f>IFERROR(__xludf.DUMMYFUNCTION("""COMPUTED_VALUE"""),1.0)</f>
        <v>1</v>
      </c>
      <c r="C381" s="1" t="str">
        <f>IFERROR(__xludf.DUMMYFUNCTION("""COMPUTED_VALUE"""),"An egg containing the mysterious faery king")</f>
        <v>An egg containing the mysterious faery king</v>
      </c>
      <c r="D381" s="1" t="str">
        <f>IFERROR(__xludf.DUMMYFUNCTION("""COMPUTED_VALUE"""),"Fae")</f>
        <v>Fae</v>
      </c>
      <c r="E381" s="1">
        <f>IFERROR(__xludf.DUMMYFUNCTION("""COMPUTED_VALUE"""),1010.0)</f>
        <v>1010</v>
      </c>
      <c r="F381" s="7">
        <f>IFERROR(__xludf.DUMMYFUNCTION("""COMPUTED_VALUE"""),1010.0)</f>
        <v>1010</v>
      </c>
      <c r="G381" s="1">
        <f>IFERROR(__xludf.DUMMYFUNCTION("""COMPUTED_VALUE"""),1010.0)</f>
        <v>1010</v>
      </c>
      <c r="H381" s="1">
        <f>IFERROR(__xludf.DUMMYFUNCTION("""COMPUTED_VALUE"""),10.0)</f>
        <v>10</v>
      </c>
      <c r="I381" s="1">
        <f>IFERROR(__xludf.DUMMYFUNCTION("""COMPUTED_VALUE"""),0.0)</f>
        <v>0</v>
      </c>
      <c r="J381" s="1">
        <f>IFERROR(__xludf.DUMMYFUNCTION("""COMPUTED_VALUE"""),0.0)</f>
        <v>0</v>
      </c>
      <c r="K381" s="1">
        <f>IFERROR(__xludf.DUMMYFUNCTION("""COMPUTED_VALUE"""),100.0)</f>
        <v>100</v>
      </c>
      <c r="L381" s="1">
        <f>IFERROR(__xludf.DUMMYFUNCTION("""COMPUTED_VALUE"""),100.0)</f>
        <v>100</v>
      </c>
      <c r="M381" s="1" t="str">
        <f>IFERROR(__xludf.DUMMYFUNCTION("""COMPUTED_VALUE"""),"#N/A")</f>
        <v>#N/A</v>
      </c>
      <c r="N381" s="1" t="str">
        <f>IFERROR(__xludf.DUMMYFUNCTION("""COMPUTED_VALUE"""),"#N/A")</f>
        <v>#N/A</v>
      </c>
      <c r="O381" s="1"/>
      <c r="P381" s="1"/>
      <c r="Q381" s="1"/>
      <c r="R381" s="1"/>
      <c r="S381" s="1"/>
      <c r="T381" s="1"/>
      <c r="U381" s="1"/>
      <c r="V381" s="1"/>
      <c r="W381" s="1"/>
      <c r="X381" s="1"/>
      <c r="Y381" s="1"/>
      <c r="Z381" s="1"/>
      <c r="AA381" s="1"/>
      <c r="AB381" s="1"/>
      <c r="AC381" s="1"/>
      <c r="AD381" s="1"/>
      <c r="AE381" s="1"/>
      <c r="AF381" s="1"/>
      <c r="AG381" s="1"/>
      <c r="AH381" s="1"/>
      <c r="AI381" s="1"/>
      <c r="AJ381" s="1" t="str">
        <f>IFERROR(__xludf.DUMMYFUNCTION("""COMPUTED_VALUE"""),"Captivating Wobble")</f>
        <v>Captivating Wobble</v>
      </c>
      <c r="AK381" s="1"/>
      <c r="AL381" s="1"/>
      <c r="AM381" s="1"/>
      <c r="AN381" s="1"/>
      <c r="AO381" s="1"/>
      <c r="AP381" s="1"/>
      <c r="AQ381" s="1"/>
      <c r="AR381" s="1"/>
      <c r="AS381" s="1"/>
      <c r="AT381" s="1"/>
      <c r="AU381" s="1"/>
      <c r="AV381" s="1"/>
      <c r="AW381" s="1"/>
      <c r="AX381" s="1"/>
      <c r="AY381" s="1"/>
      <c r="AZ381" s="1"/>
      <c r="BA381" s="1"/>
      <c r="BB381" s="1"/>
      <c r="BC381" s="1"/>
      <c r="BD381" s="1">
        <f>IFERROR(__xludf.DUMMYFUNCTION("""COMPUTED_VALUE"""),0.0)</f>
        <v>0</v>
      </c>
      <c r="BE381" s="9">
        <f>IFERROR(__xludf.DUMMYFUNCTION("""COMPUTED_VALUE"""),10.0)</f>
        <v>10</v>
      </c>
      <c r="BF381" s="1" t="str">
        <f>IFERROR(__xludf.DUMMYFUNCTION("""COMPUTED_VALUE"""),"Immune to movement and teleportation powers/item effects
Hatch: When you kill or defeat this mob it will hatch into  Faerie King Midhir.")</f>
        <v>Immune to movement and teleportation powers/item effects
Hatch: When you kill or defeat this mob it will hatch into  Faerie King Midhir.</v>
      </c>
      <c r="BG381" s="1" t="str">
        <f>IFERROR(__xludf.DUMMYFUNCTION("""COMPUTED_VALUE"""),"Forest")</f>
        <v>Forest</v>
      </c>
      <c r="BH381" s="1" t="str">
        <f>IFERROR(__xludf.DUMMYFUNCTION("""COMPUTED_VALUE"""),"Event Hub")</f>
        <v>Event Hub</v>
      </c>
      <c r="BI381" s="1"/>
      <c r="BJ381" s="1"/>
      <c r="BK381" s="1"/>
      <c r="BL381" s="1" t="b">
        <f>IFERROR(__xludf.DUMMYFUNCTION("""COMPUTED_VALUE"""),FALSE)</f>
        <v>0</v>
      </c>
      <c r="BM381" s="1"/>
      <c r="BN381" s="1"/>
      <c r="BO381" s="1"/>
      <c r="BP381" s="1"/>
      <c r="BQ381" s="1"/>
    </row>
    <row r="382" ht="15.75" customHeight="1">
      <c r="A382" s="1" t="str">
        <f>IFERROR(__xludf.DUMMYFUNCTION("""COMPUTED_VALUE"""),"Forest Golem")</f>
        <v>Forest Golem</v>
      </c>
      <c r="B382" s="1">
        <f>IFERROR(__xludf.DUMMYFUNCTION("""COMPUTED_VALUE"""),1.0)</f>
        <v>1</v>
      </c>
      <c r="C382" s="1" t="str">
        <f>IFERROR(__xludf.DUMMYFUNCTION("""COMPUTED_VALUE"""),"Guardian of the Forest Fae")</f>
        <v>Guardian of the Forest Fae</v>
      </c>
      <c r="D382" s="1" t="str">
        <f>IFERROR(__xludf.DUMMYFUNCTION("""COMPUTED_VALUE"""),"Construct")</f>
        <v>Construct</v>
      </c>
      <c r="E382" s="1">
        <f>IFERROR(__xludf.DUMMYFUNCTION("""COMPUTED_VALUE"""),1010.0)</f>
        <v>1010</v>
      </c>
      <c r="F382" s="7">
        <f>IFERROR(__xludf.DUMMYFUNCTION("""COMPUTED_VALUE"""),1010.0)</f>
        <v>1010</v>
      </c>
      <c r="G382" s="1">
        <f>IFERROR(__xludf.DUMMYFUNCTION("""COMPUTED_VALUE"""),1010.0)</f>
        <v>1010</v>
      </c>
      <c r="H382" s="1">
        <f>IFERROR(__xludf.DUMMYFUNCTION("""COMPUTED_VALUE"""),10.0)</f>
        <v>10</v>
      </c>
      <c r="I382" s="1">
        <f>IFERROR(__xludf.DUMMYFUNCTION("""COMPUTED_VALUE"""),0.0)</f>
        <v>0</v>
      </c>
      <c r="J382" s="1">
        <f>IFERROR(__xludf.DUMMYFUNCTION("""COMPUTED_VALUE"""),0.0)</f>
        <v>0</v>
      </c>
      <c r="K382" s="1">
        <f>IFERROR(__xludf.DUMMYFUNCTION("""COMPUTED_VALUE"""),100.0)</f>
        <v>100</v>
      </c>
      <c r="L382" s="1">
        <f>IFERROR(__xludf.DUMMYFUNCTION("""COMPUTED_VALUE"""),100.0)</f>
        <v>100</v>
      </c>
      <c r="M382" s="1" t="str">
        <f>IFERROR(__xludf.DUMMYFUNCTION("""COMPUTED_VALUE"""),"#N/A")</f>
        <v>#N/A</v>
      </c>
      <c r="N382" s="1" t="str">
        <f>IFERROR(__xludf.DUMMYFUNCTION("""COMPUTED_VALUE"""),"#N/A")</f>
        <v>#N/A</v>
      </c>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f>IFERROR(__xludf.DUMMYFUNCTION("""COMPUTED_VALUE"""),0.0)</f>
        <v>0</v>
      </c>
      <c r="BE382" s="9">
        <f>IFERROR(__xludf.DUMMYFUNCTION("""COMPUTED_VALUE"""),10.0)</f>
        <v>10</v>
      </c>
      <c r="BF382" s="1"/>
      <c r="BG382" s="1" t="str">
        <f>IFERROR(__xludf.DUMMYFUNCTION("""COMPUTED_VALUE"""),"Forest")</f>
        <v>Forest</v>
      </c>
      <c r="BH382" s="1" t="str">
        <f>IFERROR(__xludf.DUMMYFUNCTION("""COMPUTED_VALUE"""),"Event Hub")</f>
        <v>Event Hub</v>
      </c>
      <c r="BI382" s="1"/>
      <c r="BJ382" s="1"/>
      <c r="BK382" s="1"/>
      <c r="BL382" s="1" t="b">
        <f>IFERROR(__xludf.DUMMYFUNCTION("""COMPUTED_VALUE"""),FALSE)</f>
        <v>0</v>
      </c>
      <c r="BM382" s="1"/>
      <c r="BN382" s="1"/>
      <c r="BO382" s="1"/>
      <c r="BP382" s="1"/>
      <c r="BQ382" s="1"/>
    </row>
    <row r="383" ht="15.75" customHeight="1">
      <c r="A383" s="1" t="str">
        <f>IFERROR(__xludf.DUMMYFUNCTION("""COMPUTED_VALUE"""),"Oberon The Faery King ")</f>
        <v>Oberon The Faery King </v>
      </c>
      <c r="B383" s="1">
        <f>IFERROR(__xludf.DUMMYFUNCTION("""COMPUTED_VALUE"""),1.0)</f>
        <v>1</v>
      </c>
      <c r="C383" s="1" t="str">
        <f>IFERROR(__xludf.DUMMYFUNCTION("""COMPUTED_VALUE"""),"The High King of the Fae. He rules over the moonlight, dreams and all fairy rites.")</f>
        <v>The High King of the Fae. He rules over the moonlight, dreams and all fairy rites.</v>
      </c>
      <c r="D383" s="1" t="str">
        <f>IFERROR(__xludf.DUMMYFUNCTION("""COMPUTED_VALUE"""),"Fae")</f>
        <v>Fae</v>
      </c>
      <c r="E383" s="1">
        <f>IFERROR(__xludf.DUMMYFUNCTION("""COMPUTED_VALUE"""),1010.0)</f>
        <v>1010</v>
      </c>
      <c r="F383" s="7">
        <f>IFERROR(__xludf.DUMMYFUNCTION("""COMPUTED_VALUE"""),1010.0)</f>
        <v>1010</v>
      </c>
      <c r="G383" s="1">
        <f>IFERROR(__xludf.DUMMYFUNCTION("""COMPUTED_VALUE"""),1010.0)</f>
        <v>1010</v>
      </c>
      <c r="H383" s="1">
        <f>IFERROR(__xludf.DUMMYFUNCTION("""COMPUTED_VALUE"""),10.0)</f>
        <v>10</v>
      </c>
      <c r="I383" s="1">
        <f>IFERROR(__xludf.DUMMYFUNCTION("""COMPUTED_VALUE"""),0.0)</f>
        <v>0</v>
      </c>
      <c r="J383" s="1">
        <f>IFERROR(__xludf.DUMMYFUNCTION("""COMPUTED_VALUE"""),0.0)</f>
        <v>0</v>
      </c>
      <c r="K383" s="1">
        <f>IFERROR(__xludf.DUMMYFUNCTION("""COMPUTED_VALUE"""),100.0)</f>
        <v>100</v>
      </c>
      <c r="L383" s="1">
        <f>IFERROR(__xludf.DUMMYFUNCTION("""COMPUTED_VALUE"""),100.0)</f>
        <v>100</v>
      </c>
      <c r="M383" s="1" t="str">
        <f>IFERROR(__xludf.DUMMYFUNCTION("""COMPUTED_VALUE"""),"#N/A")</f>
        <v>#N/A</v>
      </c>
      <c r="N383" s="1" t="str">
        <f>IFERROR(__xludf.DUMMYFUNCTION("""COMPUTED_VALUE"""),"#N/A")</f>
        <v>#N/A</v>
      </c>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f>IFERROR(__xludf.DUMMYFUNCTION("""COMPUTED_VALUE"""),0.0)</f>
        <v>0</v>
      </c>
      <c r="BE383" s="9">
        <f>IFERROR(__xludf.DUMMYFUNCTION("""COMPUTED_VALUE"""),10.0)</f>
        <v>10</v>
      </c>
      <c r="BF383" s="1" t="str">
        <f>IFERROR(__xludf.DUMMYFUNCTION("""COMPUTED_VALUE"""),"Only 1 of each Loot Drop can be obtained per character.")</f>
        <v>Only 1 of each Loot Drop can be obtained per character.</v>
      </c>
      <c r="BG383" s="1" t="str">
        <f>IFERROR(__xludf.DUMMYFUNCTION("""COMPUTED_VALUE"""),"Forest")</f>
        <v>Forest</v>
      </c>
      <c r="BH383" s="1" t="str">
        <f>IFERROR(__xludf.DUMMYFUNCTION("""COMPUTED_VALUE"""),"Event Hub")</f>
        <v>Event Hub</v>
      </c>
      <c r="BI383" s="1"/>
      <c r="BJ383" s="1"/>
      <c r="BK383" s="1"/>
      <c r="BL383" s="1" t="b">
        <f>IFERROR(__xludf.DUMMYFUNCTION("""COMPUTED_VALUE"""),FALSE)</f>
        <v>0</v>
      </c>
      <c r="BM383" s="1"/>
      <c r="BN383" s="1"/>
      <c r="BO383" s="1"/>
      <c r="BP383" s="1"/>
      <c r="BQ383" s="1"/>
    </row>
    <row r="384" ht="15.75" customHeight="1">
      <c r="A384" s="1" t="str">
        <f>IFERROR(__xludf.DUMMYFUNCTION("""COMPUTED_VALUE"""),"Beast of Gévaudan")</f>
        <v>Beast of Gévaudan</v>
      </c>
      <c r="B384" s="1">
        <f>IFERROR(__xludf.DUMMYFUNCTION("""COMPUTED_VALUE"""),1.0)</f>
        <v>1</v>
      </c>
      <c r="C384" s="1" t="str">
        <f>IFERROR(__xludf.DUMMYFUNCTION("""COMPUTED_VALUE"""),"A rather large wolf found within the Wildwood")</f>
        <v>A rather large wolf found within the Wildwood</v>
      </c>
      <c r="D384" s="1" t="str">
        <f>IFERROR(__xludf.DUMMYFUNCTION("""COMPUTED_VALUE"""),"Spirit")</f>
        <v>Spirit</v>
      </c>
      <c r="E384" s="1">
        <f>IFERROR(__xludf.DUMMYFUNCTION("""COMPUTED_VALUE"""),1010.0)</f>
        <v>1010</v>
      </c>
      <c r="F384" s="7">
        <f>IFERROR(__xludf.DUMMYFUNCTION("""COMPUTED_VALUE"""),1010.0)</f>
        <v>1010</v>
      </c>
      <c r="G384" s="1">
        <f>IFERROR(__xludf.DUMMYFUNCTION("""COMPUTED_VALUE"""),1010.0)</f>
        <v>1010</v>
      </c>
      <c r="H384" s="1">
        <f>IFERROR(__xludf.DUMMYFUNCTION("""COMPUTED_VALUE"""),15.0)</f>
        <v>15</v>
      </c>
      <c r="I384" s="1">
        <f>IFERROR(__xludf.DUMMYFUNCTION("""COMPUTED_VALUE"""),0.0)</f>
        <v>0</v>
      </c>
      <c r="J384" s="1">
        <f>IFERROR(__xludf.DUMMYFUNCTION("""COMPUTED_VALUE"""),0.0)</f>
        <v>0</v>
      </c>
      <c r="K384" s="1">
        <f>IFERROR(__xludf.DUMMYFUNCTION("""COMPUTED_VALUE"""),100.0)</f>
        <v>100</v>
      </c>
      <c r="L384" s="1">
        <f>IFERROR(__xludf.DUMMYFUNCTION("""COMPUTED_VALUE"""),100.0)</f>
        <v>100</v>
      </c>
      <c r="M384" s="1" t="str">
        <f>IFERROR(__xludf.DUMMYFUNCTION("""COMPUTED_VALUE"""),"Fire:Immune, Dark:Immune, Blood:Immune, Instant Death:Immune, Banishment:Immune, ")</f>
        <v>Fire:Immune, Dark:Immune, Blood:Immune, Instant Death:Immune, Banishment:Immune, </v>
      </c>
      <c r="N384" s="1" t="str">
        <f>IFERROR(__xludf.DUMMYFUNCTION("""COMPUTED_VALUE"""),"Spirit:100, ")</f>
        <v>Spirit:100, </v>
      </c>
      <c r="O384" s="1"/>
      <c r="P384" s="1"/>
      <c r="Q384" s="1"/>
      <c r="R384" s="1"/>
      <c r="S384" s="1"/>
      <c r="T384" s="1"/>
      <c r="U384" s="1"/>
      <c r="V384" s="1"/>
      <c r="W384" s="1"/>
      <c r="X384" s="1"/>
      <c r="Y384" s="1"/>
      <c r="Z384" s="1"/>
      <c r="AA384" s="1"/>
      <c r="AB384" s="1"/>
      <c r="AC384" s="1"/>
      <c r="AD384" s="1"/>
      <c r="AE384" s="1"/>
      <c r="AF384" s="1"/>
      <c r="AG384" s="1"/>
      <c r="AH384" s="1"/>
      <c r="AI384" s="1"/>
      <c r="AJ384" s="1" t="str">
        <f>IFERROR(__xludf.DUMMYFUNCTION("""COMPUTED_VALUE"""),"Shaken Soul")</f>
        <v>Shaken Soul</v>
      </c>
      <c r="AK384" s="1" t="str">
        <f>IFERROR(__xludf.DUMMYFUNCTION("""COMPUTED_VALUE"""),"Degrade")</f>
        <v>Degrade</v>
      </c>
      <c r="AL384" s="1" t="str">
        <f>IFERROR(__xludf.DUMMYFUNCTION("""COMPUTED_VALUE"""),"Confuse")</f>
        <v>Confuse</v>
      </c>
      <c r="AM384" s="1" t="str">
        <f>IFERROR(__xludf.DUMMYFUNCTION("""COMPUTED_VALUE"""),"A Deal With The Spirit World")</f>
        <v>A Deal With The Spirit World</v>
      </c>
      <c r="AN384" s="1" t="str">
        <f>IFERROR(__xludf.DUMMYFUNCTION("""COMPUTED_VALUE"""),"Spirit Fog")</f>
        <v>Spirit Fog</v>
      </c>
      <c r="AO384" s="1" t="str">
        <f>IFERROR(__xludf.DUMMYFUNCTION("""COMPUTED_VALUE"""),"Positive Energy")</f>
        <v>Positive Energy</v>
      </c>
      <c r="AP384" s="1" t="str">
        <f>IFERROR(__xludf.DUMMYFUNCTION("""COMPUTED_VALUE"""),"Spectral Lash")</f>
        <v>Spectral Lash</v>
      </c>
      <c r="AQ384" s="1" t="str">
        <f>IFERROR(__xludf.DUMMYFUNCTION("""COMPUTED_VALUE"""),"Spirit's March")</f>
        <v>Spirit's March</v>
      </c>
      <c r="AR384" s="1" t="str">
        <f>IFERROR(__xludf.DUMMYFUNCTION("""COMPUTED_VALUE"""),"Spirit Fog")</f>
        <v>Spirit Fog</v>
      </c>
      <c r="AS384" s="1" t="str">
        <f>IFERROR(__xludf.DUMMYFUNCTION("""COMPUTED_VALUE"""),"Berserk")</f>
        <v>Berserk</v>
      </c>
      <c r="AT384" s="1"/>
      <c r="AU384" s="1"/>
      <c r="AV384" s="1"/>
      <c r="AW384" s="1"/>
      <c r="AX384" s="1"/>
      <c r="AY384" s="1"/>
      <c r="AZ384" s="1"/>
      <c r="BA384" s="1"/>
      <c r="BB384" s="1"/>
      <c r="BC384" s="1"/>
      <c r="BD384" s="1">
        <f>IFERROR(__xludf.DUMMYFUNCTION("""COMPUTED_VALUE"""),0.0)</f>
        <v>0</v>
      </c>
      <c r="BE384" s="9">
        <f>IFERROR(__xludf.DUMMYFUNCTION("""COMPUTED_VALUE"""),10.0)</f>
        <v>10</v>
      </c>
      <c r="BF384" s="1" t="str">
        <f>IFERROR(__xludf.DUMMYFUNCTION("""COMPUTED_VALUE"""),"Greater Spirit - +5 can be added to all rolls made by this mob")</f>
        <v>Greater Spirit - +5 can be added to all rolls made by this mob</v>
      </c>
      <c r="BG384" s="1" t="str">
        <f>IFERROR(__xludf.DUMMYFUNCTION("""COMPUTED_VALUE"""),"Forest")</f>
        <v>Forest</v>
      </c>
      <c r="BH384" s="1" t="str">
        <f>IFERROR(__xludf.DUMMYFUNCTION("""COMPUTED_VALUE"""),"Land of Spira")</f>
        <v>Land of Spira</v>
      </c>
      <c r="BI384" s="1"/>
      <c r="BJ384" s="1"/>
      <c r="BK384" s="1"/>
      <c r="BL384" s="1" t="b">
        <f>IFERROR(__xludf.DUMMYFUNCTION("""COMPUTED_VALUE"""),FALSE)</f>
        <v>0</v>
      </c>
      <c r="BM384" s="1"/>
      <c r="BN384" s="1"/>
      <c r="BO384" s="1"/>
      <c r="BP384" s="1"/>
      <c r="BQ384" s="1"/>
    </row>
    <row r="385" ht="15.75" customHeight="1">
      <c r="A385" s="1" t="str">
        <f>IFERROR(__xludf.DUMMYFUNCTION("""COMPUTED_VALUE"""),"Salamander, King of the Fire Elementals")</f>
        <v>Salamander, King of the Fire Elementals</v>
      </c>
      <c r="B385" s="1">
        <f>IFERROR(__xludf.DUMMYFUNCTION("""COMPUTED_VALUE"""),1.0)</f>
        <v>1</v>
      </c>
      <c r="C385" s="1" t="str">
        <f>IFERROR(__xludf.DUMMYFUNCTION("""COMPUTED_VALUE"""),"The King of all spirits of the fire domain, lives within the Sweltering Salamander swamp.")</f>
        <v>The King of all spirits of the fire domain, lives within the Sweltering Salamander swamp.</v>
      </c>
      <c r="D385" s="1" t="str">
        <f>IFERROR(__xludf.DUMMYFUNCTION("""COMPUTED_VALUE"""),"Spirit")</f>
        <v>Spirit</v>
      </c>
      <c r="E385" s="1">
        <f>IFERROR(__xludf.DUMMYFUNCTION("""COMPUTED_VALUE"""),1010.0)</f>
        <v>1010</v>
      </c>
      <c r="F385" s="7">
        <f>IFERROR(__xludf.DUMMYFUNCTION("""COMPUTED_VALUE"""),1010.0)</f>
        <v>1010</v>
      </c>
      <c r="G385" s="1">
        <f>IFERROR(__xludf.DUMMYFUNCTION("""COMPUTED_VALUE"""),1010.0)</f>
        <v>1010</v>
      </c>
      <c r="H385" s="1">
        <f>IFERROR(__xludf.DUMMYFUNCTION("""COMPUTED_VALUE"""),10.0)</f>
        <v>10</v>
      </c>
      <c r="I385" s="1">
        <f>IFERROR(__xludf.DUMMYFUNCTION("""COMPUTED_VALUE"""),0.0)</f>
        <v>0</v>
      </c>
      <c r="J385" s="1">
        <f>IFERROR(__xludf.DUMMYFUNCTION("""COMPUTED_VALUE"""),0.0)</f>
        <v>0</v>
      </c>
      <c r="K385" s="1">
        <f>IFERROR(__xludf.DUMMYFUNCTION("""COMPUTED_VALUE"""),100.0)</f>
        <v>100</v>
      </c>
      <c r="L385" s="1">
        <f>IFERROR(__xludf.DUMMYFUNCTION("""COMPUTED_VALUE"""),100.0)</f>
        <v>100</v>
      </c>
      <c r="M385" s="1" t="str">
        <f>IFERROR(__xludf.DUMMYFUNCTION("""COMPUTED_VALUE"""),"Fire:Immune, Nature:500, Blood:Immune, Instant Death:Immune, Banishment:Immune, ")</f>
        <v>Fire:Immune, Nature:500, Blood:Immune, Instant Death:Immune, Banishment:Immune, </v>
      </c>
      <c r="N385" s="1" t="str">
        <f>IFERROR(__xludf.DUMMYFUNCTION("""COMPUTED_VALUE"""),"Water:250, Spirit:100, ")</f>
        <v>Water:250, Spirit:100, </v>
      </c>
      <c r="O385" s="1"/>
      <c r="P385" s="1"/>
      <c r="Q385" s="1"/>
      <c r="R385" s="1"/>
      <c r="S385" s="1"/>
      <c r="T385" s="1"/>
      <c r="U385" s="1"/>
      <c r="V385" s="1"/>
      <c r="W385" s="1"/>
      <c r="X385" s="1"/>
      <c r="Y385" s="1"/>
      <c r="Z385" s="1"/>
      <c r="AA385" s="1"/>
      <c r="AB385" s="1"/>
      <c r="AC385" s="1"/>
      <c r="AD385" s="1"/>
      <c r="AE385" s="1"/>
      <c r="AF385" s="1"/>
      <c r="AG385" s="1"/>
      <c r="AH385" s="1"/>
      <c r="AI385" s="1"/>
      <c r="AJ385" s="1" t="str">
        <f>IFERROR(__xludf.DUMMYFUNCTION("""COMPUTED_VALUE"""),"Forgotten Fire")</f>
        <v>Forgotten Fire</v>
      </c>
      <c r="AK385" s="1" t="str">
        <f>IFERROR(__xludf.DUMMYFUNCTION("""COMPUTED_VALUE"""),"Ignite")</f>
        <v>Ignite</v>
      </c>
      <c r="AL385" s="1" t="str">
        <f>IFERROR(__xludf.DUMMYFUNCTION("""COMPUTED_VALUE"""),"Meteor Shower")</f>
        <v>Meteor Shower</v>
      </c>
      <c r="AM385" s="1" t="str">
        <f>IFERROR(__xludf.DUMMYFUNCTION("""COMPUTED_VALUE"""),"Solar Storm")</f>
        <v>Solar Storm</v>
      </c>
      <c r="AN385" s="1" t="str">
        <f>IFERROR(__xludf.DUMMYFUNCTION("""COMPUTED_VALUE"""),"Flame Sanctuary")</f>
        <v>Flame Sanctuary</v>
      </c>
      <c r="AO385" s="1" t="str">
        <f>IFERROR(__xludf.DUMMYFUNCTION("""COMPUTED_VALUE"""),"Mass Ignition")</f>
        <v>Mass Ignition</v>
      </c>
      <c r="AP385" s="1" t="str">
        <f>IFERROR(__xludf.DUMMYFUNCTION("""COMPUTED_VALUE"""),"Volcanic Rain")</f>
        <v>Volcanic Rain</v>
      </c>
      <c r="AQ385" s="1" t="str">
        <f>IFERROR(__xludf.DUMMYFUNCTION("""COMPUTED_VALUE"""),"Volcanic Wall")</f>
        <v>Volcanic Wall</v>
      </c>
      <c r="AR385" s="1" t="str">
        <f>IFERROR(__xludf.DUMMYFUNCTION("""COMPUTED_VALUE"""),"Meltdown")</f>
        <v>Meltdown</v>
      </c>
      <c r="AS385" s="1" t="str">
        <f>IFERROR(__xludf.DUMMYFUNCTION("""COMPUTED_VALUE"""),"Multishot")</f>
        <v>Multishot</v>
      </c>
      <c r="AT385" s="1" t="str">
        <f>IFERROR(__xludf.DUMMYFUNCTION("""COMPUTED_VALUE"""),"Chaincast")</f>
        <v>Chaincast</v>
      </c>
      <c r="AU385" s="1"/>
      <c r="AV385" s="1"/>
      <c r="AW385" s="1"/>
      <c r="AX385" s="1"/>
      <c r="AY385" s="1"/>
      <c r="AZ385" s="1"/>
      <c r="BA385" s="1"/>
      <c r="BB385" s="1"/>
      <c r="BC385" s="1"/>
      <c r="BD385" s="1">
        <f>IFERROR(__xludf.DUMMYFUNCTION("""COMPUTED_VALUE"""),0.0)</f>
        <v>0</v>
      </c>
      <c r="BE385" s="9">
        <f>IFERROR(__xludf.DUMMYFUNCTION("""COMPUTED_VALUE"""),10.0)</f>
        <v>10</v>
      </c>
      <c r="BF385" s="1"/>
      <c r="BG385" s="1" t="str">
        <f>IFERROR(__xludf.DUMMYFUNCTION("""COMPUTED_VALUE"""),"Dungeon")</f>
        <v>Dungeon</v>
      </c>
      <c r="BH385" s="1" t="str">
        <f>IFERROR(__xludf.DUMMYFUNCTION("""COMPUTED_VALUE"""),"Dragonscale Island")</f>
        <v>Dragonscale Island</v>
      </c>
      <c r="BI385" s="1"/>
      <c r="BJ385" s="1"/>
      <c r="BK385" s="1"/>
      <c r="BL385" s="1" t="b">
        <f>IFERROR(__xludf.DUMMYFUNCTION("""COMPUTED_VALUE"""),FALSE)</f>
        <v>0</v>
      </c>
      <c r="BM385" s="1"/>
      <c r="BN385" s="1"/>
      <c r="BO385" s="1"/>
      <c r="BP385" s="1"/>
      <c r="BQ385" s="1"/>
    </row>
    <row r="386" ht="15.75" customHeight="1">
      <c r="A386" s="1" t="str">
        <f>IFERROR(__xludf.DUMMYFUNCTION("""COMPUTED_VALUE"""),"Karduk, King of the Earth Elementals")</f>
        <v>Karduk, King of the Earth Elementals</v>
      </c>
      <c r="B386" s="1">
        <f>IFERROR(__xludf.DUMMYFUNCTION("""COMPUTED_VALUE"""),1.0)</f>
        <v>1</v>
      </c>
      <c r="C386" s="1" t="str">
        <f>IFERROR(__xludf.DUMMYFUNCTION("""COMPUTED_VALUE"""),"The King of all spirits of the Earth domain, lives in the Thundertail Falls")</f>
        <v>The King of all spirits of the Earth domain, lives in the Thundertail Falls</v>
      </c>
      <c r="D386" s="1" t="str">
        <f>IFERROR(__xludf.DUMMYFUNCTION("""COMPUTED_VALUE"""),"Spirit")</f>
        <v>Spirit</v>
      </c>
      <c r="E386" s="1">
        <f>IFERROR(__xludf.DUMMYFUNCTION("""COMPUTED_VALUE"""),1010.0)</f>
        <v>1010</v>
      </c>
      <c r="F386" s="7">
        <f>IFERROR(__xludf.DUMMYFUNCTION("""COMPUTED_VALUE"""),1010.0)</f>
        <v>1010</v>
      </c>
      <c r="G386" s="1">
        <f>IFERROR(__xludf.DUMMYFUNCTION("""COMPUTED_VALUE"""),1010.0)</f>
        <v>1010</v>
      </c>
      <c r="H386" s="1">
        <f>IFERROR(__xludf.DUMMYFUNCTION("""COMPUTED_VALUE"""),10.0)</f>
        <v>10</v>
      </c>
      <c r="I386" s="1">
        <f>IFERROR(__xludf.DUMMYFUNCTION("""COMPUTED_VALUE"""),0.0)</f>
        <v>0</v>
      </c>
      <c r="J386" s="1">
        <f>IFERROR(__xludf.DUMMYFUNCTION("""COMPUTED_VALUE"""),0.0)</f>
        <v>0</v>
      </c>
      <c r="K386" s="1">
        <f>IFERROR(__xludf.DUMMYFUNCTION("""COMPUTED_VALUE"""),100.0)</f>
        <v>100</v>
      </c>
      <c r="L386" s="1">
        <f>IFERROR(__xludf.DUMMYFUNCTION("""COMPUTED_VALUE"""),100.0)</f>
        <v>100</v>
      </c>
      <c r="M386" s="1" t="str">
        <f>IFERROR(__xludf.DUMMYFUNCTION("""COMPUTED_VALUE"""),"Blood:Immune, Instant Death:Immune, Banishment:Immune, ")</f>
        <v>Blood:Immune, Instant Death:Immune, Banishment:Immune, </v>
      </c>
      <c r="N386" s="1" t="str">
        <f>IFERROR(__xludf.DUMMYFUNCTION("""COMPUTED_VALUE"""),"Water:250, Storm:250, Spirit:100, ")</f>
        <v>Water:250, Storm:250, Spirit:100, </v>
      </c>
      <c r="O386" s="1"/>
      <c r="P386" s="1"/>
      <c r="Q386" s="1"/>
      <c r="R386" s="1"/>
      <c r="S386" s="1"/>
      <c r="T386" s="1"/>
      <c r="U386" s="1"/>
      <c r="V386" s="1"/>
      <c r="W386" s="1"/>
      <c r="X386" s="1"/>
      <c r="Y386" s="1"/>
      <c r="Z386" s="1"/>
      <c r="AA386" s="1"/>
      <c r="AB386" s="1"/>
      <c r="AC386" s="1"/>
      <c r="AD386" s="1"/>
      <c r="AE386" s="1"/>
      <c r="AF386" s="1"/>
      <c r="AG386" s="1"/>
      <c r="AH386" s="1"/>
      <c r="AI386" s="1"/>
      <c r="AJ386" s="1" t="str">
        <f>IFERROR(__xludf.DUMMYFUNCTION("""COMPUTED_VALUE"""),"Ancient Monolith Of Earth")</f>
        <v>Ancient Monolith Of Earth</v>
      </c>
      <c r="AK386" s="1" t="str">
        <f>IFERROR(__xludf.DUMMYFUNCTION("""COMPUTED_VALUE"""),"Rock Shot")</f>
        <v>Rock Shot</v>
      </c>
      <c r="AL386" s="1" t="str">
        <f>IFERROR(__xludf.DUMMYFUNCTION("""COMPUTED_VALUE"""),"Breaking Earth")</f>
        <v>Breaking Earth</v>
      </c>
      <c r="AM386" s="1" t="str">
        <f>IFERROR(__xludf.DUMMYFUNCTION("""COMPUTED_VALUE"""),"Petrification")</f>
        <v>Petrification</v>
      </c>
      <c r="AN386" s="1" t="str">
        <f>IFERROR(__xludf.DUMMYFUNCTION("""COMPUTED_VALUE"""),"Mass Petrification")</f>
        <v>Mass Petrification</v>
      </c>
      <c r="AO386" s="1" t="str">
        <f>IFERROR(__xludf.DUMMYFUNCTION("""COMPUTED_VALUE"""),"Sling Stone")</f>
        <v>Sling Stone</v>
      </c>
      <c r="AP386" s="1" t="str">
        <f>IFERROR(__xludf.DUMMYFUNCTION("""COMPUTED_VALUE"""),"Sand Hole")</f>
        <v>Sand Hole</v>
      </c>
      <c r="AQ386" s="1" t="str">
        <f>IFERROR(__xludf.DUMMYFUNCTION("""COMPUTED_VALUE"""),"Rock Cycle")</f>
        <v>Rock Cycle</v>
      </c>
      <c r="AR386" s="1" t="str">
        <f>IFERROR(__xludf.DUMMYFUNCTION("""COMPUTED_VALUE"""),"Mud Wave")</f>
        <v>Mud Wave</v>
      </c>
      <c r="AS386" s="1" t="str">
        <f>IFERROR(__xludf.DUMMYFUNCTION("""COMPUTED_VALUE"""),"Soul Shot")</f>
        <v>Soul Shot</v>
      </c>
      <c r="AT386" s="1" t="str">
        <f>IFERROR(__xludf.DUMMYFUNCTION("""COMPUTED_VALUE"""),"Spirit Fog")</f>
        <v>Spirit Fog</v>
      </c>
      <c r="AU386" s="1" t="str">
        <f>IFERROR(__xludf.DUMMYFUNCTION("""COMPUTED_VALUE"""),"Dread")</f>
        <v>Dread</v>
      </c>
      <c r="AV386" s="1" t="str">
        <f>IFERROR(__xludf.DUMMYFUNCTION("""COMPUTED_VALUE"""),"Burning Dread")</f>
        <v>Burning Dread</v>
      </c>
      <c r="AW386" s="1" t="str">
        <f>IFERROR(__xludf.DUMMYFUNCTION("""COMPUTED_VALUE"""),"Spectral Lash")</f>
        <v>Spectral Lash</v>
      </c>
      <c r="AX386" s="1" t="str">
        <f>IFERROR(__xludf.DUMMYFUNCTION("""COMPUTED_VALUE"""),"Celestial Wave")</f>
        <v>Celestial Wave</v>
      </c>
      <c r="AY386" s="1"/>
      <c r="AZ386" s="1"/>
      <c r="BA386" s="1"/>
      <c r="BB386" s="1"/>
      <c r="BC386" s="1"/>
      <c r="BD386" s="1">
        <f>IFERROR(__xludf.DUMMYFUNCTION("""COMPUTED_VALUE"""),0.0)</f>
        <v>0</v>
      </c>
      <c r="BE386" s="9">
        <f>IFERROR(__xludf.DUMMYFUNCTION("""COMPUTED_VALUE"""),10.0)</f>
        <v>10</v>
      </c>
      <c r="BF386" s="1"/>
      <c r="BG386" s="1" t="str">
        <f>IFERROR(__xludf.DUMMYFUNCTION("""COMPUTED_VALUE"""),"Dungeon")</f>
        <v>Dungeon</v>
      </c>
      <c r="BH386" s="1" t="str">
        <f>IFERROR(__xludf.DUMMYFUNCTION("""COMPUTED_VALUE"""),"Dragonscale Island")</f>
        <v>Dragonscale Island</v>
      </c>
      <c r="BI386" s="1"/>
      <c r="BJ386" s="1"/>
      <c r="BK386" s="1"/>
      <c r="BL386" s="1" t="b">
        <f>IFERROR(__xludf.DUMMYFUNCTION("""COMPUTED_VALUE"""),FALSE)</f>
        <v>0</v>
      </c>
      <c r="BM386" s="1"/>
      <c r="BN386" s="1"/>
      <c r="BO386" s="1"/>
      <c r="BP386" s="1"/>
      <c r="BQ386" s="1"/>
    </row>
    <row r="387" ht="15.75" customHeight="1">
      <c r="A387" s="1" t="str">
        <f>IFERROR(__xludf.DUMMYFUNCTION("""COMPUTED_VALUE"""),"Undyne, Queen of the Water Elementals")</f>
        <v>Undyne, Queen of the Water Elementals</v>
      </c>
      <c r="B387" s="1">
        <f>IFERROR(__xludf.DUMMYFUNCTION("""COMPUTED_VALUE"""),1.0)</f>
        <v>1</v>
      </c>
      <c r="C387" s="1" t="str">
        <f>IFERROR(__xludf.DUMMYFUNCTION("""COMPUTED_VALUE"""),"The Queen of all spirits of the Water domain, lives in Pond city")</f>
        <v>The Queen of all spirits of the Water domain, lives in Pond city</v>
      </c>
      <c r="D387" s="1" t="str">
        <f>IFERROR(__xludf.DUMMYFUNCTION("""COMPUTED_VALUE"""),"Spirit")</f>
        <v>Spirit</v>
      </c>
      <c r="E387" s="1">
        <f>IFERROR(__xludf.DUMMYFUNCTION("""COMPUTED_VALUE"""),1010.0)</f>
        <v>1010</v>
      </c>
      <c r="F387" s="7">
        <f>IFERROR(__xludf.DUMMYFUNCTION("""COMPUTED_VALUE"""),1010.0)</f>
        <v>1010</v>
      </c>
      <c r="G387" s="1">
        <f>IFERROR(__xludf.DUMMYFUNCTION("""COMPUTED_VALUE"""),1010.0)</f>
        <v>1010</v>
      </c>
      <c r="H387" s="1">
        <f>IFERROR(__xludf.DUMMYFUNCTION("""COMPUTED_VALUE"""),10.0)</f>
        <v>10</v>
      </c>
      <c r="I387" s="1">
        <f>IFERROR(__xludf.DUMMYFUNCTION("""COMPUTED_VALUE"""),0.0)</f>
        <v>0</v>
      </c>
      <c r="J387" s="1">
        <f>IFERROR(__xludf.DUMMYFUNCTION("""COMPUTED_VALUE"""),0.0)</f>
        <v>0</v>
      </c>
      <c r="K387" s="1">
        <f>IFERROR(__xludf.DUMMYFUNCTION("""COMPUTED_VALUE"""),100.0)</f>
        <v>100</v>
      </c>
      <c r="L387" s="1">
        <f>IFERROR(__xludf.DUMMYFUNCTION("""COMPUTED_VALUE"""),100.0)</f>
        <v>100</v>
      </c>
      <c r="M387" s="1" t="str">
        <f>IFERROR(__xludf.DUMMYFUNCTION("""COMPUTED_VALUE"""),"Fire:500, Water:Immune, Blood:Immune, Instant Death:Immune, Banishment:Immune, ")</f>
        <v>Fire:500, Water:Immune, Blood:Immune, Instant Death:Immune, Banishment:Immune, </v>
      </c>
      <c r="N387" s="1" t="str">
        <f>IFERROR(__xludf.DUMMYFUNCTION("""COMPUTED_VALUE"""),"Storm:250, Spirit:100, Nature:250, ")</f>
        <v>Storm:250, Spirit:100, Nature:250, </v>
      </c>
      <c r="O387" s="1"/>
      <c r="P387" s="1"/>
      <c r="Q387" s="1"/>
      <c r="R387" s="1"/>
      <c r="S387" s="1"/>
      <c r="T387" s="1"/>
      <c r="U387" s="1"/>
      <c r="V387" s="1"/>
      <c r="W387" s="1"/>
      <c r="X387" s="1"/>
      <c r="Y387" s="1"/>
      <c r="Z387" s="1"/>
      <c r="AA387" s="1"/>
      <c r="AB387" s="1"/>
      <c r="AC387" s="1"/>
      <c r="AD387" s="1"/>
      <c r="AE387" s="1"/>
      <c r="AF387" s="1"/>
      <c r="AG387" s="1"/>
      <c r="AH387" s="1"/>
      <c r="AI387" s="1"/>
      <c r="AJ387" s="1" t="str">
        <f>IFERROR(__xludf.DUMMYFUNCTION("""COMPUTED_VALUE"""),"Torrential Downpour")</f>
        <v>Torrential Downpour</v>
      </c>
      <c r="AK387" s="1" t="str">
        <f>IFERROR(__xludf.DUMMYFUNCTION("""COMPUTED_VALUE"""),"Water Ward")</f>
        <v>Water Ward</v>
      </c>
      <c r="AL387" s="1" t="str">
        <f>IFERROR(__xludf.DUMMYFUNCTION("""COMPUTED_VALUE"""),"Hyper Whirlpool")</f>
        <v>Hyper Whirlpool</v>
      </c>
      <c r="AM387" s="1" t="str">
        <f>IFERROR(__xludf.DUMMYFUNCTION("""COMPUTED_VALUE"""),"Deep Freeze")</f>
        <v>Deep Freeze</v>
      </c>
      <c r="AN387" s="1" t="str">
        <f>IFERROR(__xludf.DUMMYFUNCTION("""COMPUTED_VALUE"""),"Geyser (Enhanced)")</f>
        <v>Geyser (Enhanced)</v>
      </c>
      <c r="AO387" s="1" t="str">
        <f>IFERROR(__xludf.DUMMYFUNCTION("""COMPUTED_VALUE"""),"Tower Of Atlantis")</f>
        <v>Tower Of Atlantis</v>
      </c>
      <c r="AP387" s="1"/>
      <c r="AQ387" s="1"/>
      <c r="AR387" s="1" t="str">
        <f>IFERROR(__xludf.DUMMYFUNCTION("""COMPUTED_VALUE"""),"Mass Destruction")</f>
        <v>Mass Destruction</v>
      </c>
      <c r="AS387" s="1" t="str">
        <f>IFERROR(__xludf.DUMMYFUNCTION("""COMPUTED_VALUE"""),"Celestial Blast")</f>
        <v>Celestial Blast</v>
      </c>
      <c r="AT387" s="1" t="str">
        <f>IFERROR(__xludf.DUMMYFUNCTION("""COMPUTED_VALUE"""),"Chaincast")</f>
        <v>Chaincast</v>
      </c>
      <c r="AU387" s="1" t="str">
        <f>IFERROR(__xludf.DUMMYFUNCTION("""COMPUTED_VALUE"""),"Multishot")</f>
        <v>Multishot</v>
      </c>
      <c r="AV387" s="1"/>
      <c r="AW387" s="1"/>
      <c r="AX387" s="1"/>
      <c r="AY387" s="1"/>
      <c r="AZ387" s="1"/>
      <c r="BA387" s="1"/>
      <c r="BB387" s="1"/>
      <c r="BC387" s="1"/>
      <c r="BD387" s="1">
        <f>IFERROR(__xludf.DUMMYFUNCTION("""COMPUTED_VALUE"""),0.0)</f>
        <v>0</v>
      </c>
      <c r="BE387" s="9">
        <f>IFERROR(__xludf.DUMMYFUNCTION("""COMPUTED_VALUE"""),10.0)</f>
        <v>10</v>
      </c>
      <c r="BF387" s="1"/>
      <c r="BG387" s="1" t="str">
        <f>IFERROR(__xludf.DUMMYFUNCTION("""COMPUTED_VALUE"""),"Dungeon")</f>
        <v>Dungeon</v>
      </c>
      <c r="BH387" s="1" t="str">
        <f>IFERROR(__xludf.DUMMYFUNCTION("""COMPUTED_VALUE"""),"Land of Spira")</f>
        <v>Land of Spira</v>
      </c>
      <c r="BI387" s="1"/>
      <c r="BJ387" s="1"/>
      <c r="BK387" s="1"/>
      <c r="BL387" s="1" t="b">
        <f>IFERROR(__xludf.DUMMYFUNCTION("""COMPUTED_VALUE"""),FALSE)</f>
        <v>0</v>
      </c>
      <c r="BM387" s="1"/>
      <c r="BN387" s="1"/>
      <c r="BO387" s="1"/>
      <c r="BP387" s="1"/>
      <c r="BQ387" s="1"/>
    </row>
    <row r="388" ht="15.75" customHeight="1">
      <c r="A388" s="1" t="str">
        <f>IFERROR(__xludf.DUMMYFUNCTION("""COMPUTED_VALUE"""),"Sylph, Queen of the Nature Elementals")</f>
        <v>Sylph, Queen of the Nature Elementals</v>
      </c>
      <c r="B388" s="1">
        <f>IFERROR(__xludf.DUMMYFUNCTION("""COMPUTED_VALUE"""),1.0)</f>
        <v>1</v>
      </c>
      <c r="C388" s="1" t="str">
        <f>IFERROR(__xludf.DUMMYFUNCTION("""COMPUTED_VALUE"""),"The Queen of all spirits of the Nature domain, lives in the WildWood ")</f>
        <v>The Queen of all spirits of the Nature domain, lives in the WildWood </v>
      </c>
      <c r="D388" s="1" t="str">
        <f>IFERROR(__xludf.DUMMYFUNCTION("""COMPUTED_VALUE"""),"Spirit")</f>
        <v>Spirit</v>
      </c>
      <c r="E388" s="1">
        <f>IFERROR(__xludf.DUMMYFUNCTION("""COMPUTED_VALUE"""),1010.0)</f>
        <v>1010</v>
      </c>
      <c r="F388" s="7">
        <f>IFERROR(__xludf.DUMMYFUNCTION("""COMPUTED_VALUE"""),1010.0)</f>
        <v>1010</v>
      </c>
      <c r="G388" s="1">
        <f>IFERROR(__xludf.DUMMYFUNCTION("""COMPUTED_VALUE"""),1010.0)</f>
        <v>1010</v>
      </c>
      <c r="H388" s="1">
        <f>IFERROR(__xludf.DUMMYFUNCTION("""COMPUTED_VALUE"""),10.0)</f>
        <v>10</v>
      </c>
      <c r="I388" s="1">
        <f>IFERROR(__xludf.DUMMYFUNCTION("""COMPUTED_VALUE"""),0.0)</f>
        <v>0</v>
      </c>
      <c r="J388" s="1">
        <f>IFERROR(__xludf.DUMMYFUNCTION("""COMPUTED_VALUE"""),0.0)</f>
        <v>0</v>
      </c>
      <c r="K388" s="1">
        <f>IFERROR(__xludf.DUMMYFUNCTION("""COMPUTED_VALUE"""),100.0)</f>
        <v>100</v>
      </c>
      <c r="L388" s="1">
        <f>IFERROR(__xludf.DUMMYFUNCTION("""COMPUTED_VALUE"""),100.0)</f>
        <v>100</v>
      </c>
      <c r="M388" s="1" t="str">
        <f>IFERROR(__xludf.DUMMYFUNCTION("""COMPUTED_VALUE"""),"Water:500, Nature:Immune, Blood:Immune, Instant Death:Immune, Banishment:Immune, ")</f>
        <v>Water:500, Nature:Immune, Blood:Immune, Instant Death:Immune, Banishment:Immune, </v>
      </c>
      <c r="N388" s="1" t="str">
        <f>IFERROR(__xludf.DUMMYFUNCTION("""COMPUTED_VALUE"""),"Fire:250, Storm:250, Spirit:100, ")</f>
        <v>Fire:250, Storm:250, Spirit:100, </v>
      </c>
      <c r="O388" s="1"/>
      <c r="P388" s="1"/>
      <c r="Q388" s="1"/>
      <c r="R388" s="1"/>
      <c r="S388" s="1"/>
      <c r="T388" s="1"/>
      <c r="U388" s="1"/>
      <c r="V388" s="1"/>
      <c r="W388" s="1"/>
      <c r="X388" s="1"/>
      <c r="Y388" s="1"/>
      <c r="Z388" s="1"/>
      <c r="AA388" s="1"/>
      <c r="AB388" s="1"/>
      <c r="AC388" s="1"/>
      <c r="AD388" s="1"/>
      <c r="AE388" s="1"/>
      <c r="AF388" s="1"/>
      <c r="AG388" s="1"/>
      <c r="AH388" s="1"/>
      <c r="AI388" s="1"/>
      <c r="AJ388" s="1" t="str">
        <f>IFERROR(__xludf.DUMMYFUNCTION("""COMPUTED_VALUE"""),"Vine Whip")</f>
        <v>Vine Whip</v>
      </c>
      <c r="AK388" s="1" t="str">
        <f>IFERROR(__xludf.DUMMYFUNCTION("""COMPUTED_VALUE"""),"Poison Ivy")</f>
        <v>Poison Ivy</v>
      </c>
      <c r="AL388" s="1" t="str">
        <f>IFERROR(__xludf.DUMMYFUNCTION("""COMPUTED_VALUE"""),"Razor Leaves")</f>
        <v>Razor Leaves</v>
      </c>
      <c r="AM388" s="1" t="str">
        <f>IFERROR(__xludf.DUMMYFUNCTION("""COMPUTED_VALUE"""),"Thorn Bush")</f>
        <v>Thorn Bush</v>
      </c>
      <c r="AN388" s="1" t="str">
        <f>IFERROR(__xludf.DUMMYFUNCTION("""COMPUTED_VALUE"""),"Tower Of The Forest")</f>
        <v>Tower Of The Forest</v>
      </c>
      <c r="AO388" s="1" t="str">
        <f>IFERROR(__xludf.DUMMYFUNCTION("""COMPUTED_VALUE"""),"Cocoon")</f>
        <v>Cocoon</v>
      </c>
      <c r="AP388" s="1" t="str">
        <f>IFERROR(__xludf.DUMMYFUNCTION("""COMPUTED_VALUE"""),"Nature's Light")</f>
        <v>Nature's Light</v>
      </c>
      <c r="AQ388" s="1" t="str">
        <f>IFERROR(__xludf.DUMMYFUNCTION("""COMPUTED_VALUE"""),"Nature's Wrath")</f>
        <v>Nature's Wrath</v>
      </c>
      <c r="AR388" s="1" t="str">
        <f>IFERROR(__xludf.DUMMYFUNCTION("""COMPUTED_VALUE"""),"Cancel")</f>
        <v>Cancel</v>
      </c>
      <c r="AS388" s="1" t="str">
        <f>IFERROR(__xludf.DUMMYFUNCTION("""COMPUTED_VALUE"""),"Nature Ward")</f>
        <v>Nature Ward</v>
      </c>
      <c r="AT388" s="1" t="str">
        <f>IFERROR(__xludf.DUMMYFUNCTION("""COMPUTED_VALUE"""),"Soul Shot")</f>
        <v>Soul Shot</v>
      </c>
      <c r="AU388" s="1" t="str">
        <f>IFERROR(__xludf.DUMMYFUNCTION("""COMPUTED_VALUE"""),"Dread")</f>
        <v>Dread</v>
      </c>
      <c r="AV388" s="1" t="str">
        <f>IFERROR(__xludf.DUMMYFUNCTION("""COMPUTED_VALUE"""),"Spirit Fog")</f>
        <v>Spirit Fog</v>
      </c>
      <c r="AW388" s="1" t="str">
        <f>IFERROR(__xludf.DUMMYFUNCTION("""COMPUTED_VALUE"""),"Burning Dread")</f>
        <v>Burning Dread</v>
      </c>
      <c r="AX388" s="1" t="str">
        <f>IFERROR(__xludf.DUMMYFUNCTION("""COMPUTED_VALUE"""),"Spectral Lash")</f>
        <v>Spectral Lash</v>
      </c>
      <c r="AY388" s="1" t="str">
        <f>IFERROR(__xludf.DUMMYFUNCTION("""COMPUTED_VALUE"""),"Incorporeal Form")</f>
        <v>Incorporeal Form</v>
      </c>
      <c r="AZ388" s="1" t="str">
        <f>IFERROR(__xludf.DUMMYFUNCTION("""COMPUTED_VALUE"""),"Multishot")</f>
        <v>Multishot</v>
      </c>
      <c r="BA388" s="1" t="str">
        <f>IFERROR(__xludf.DUMMYFUNCTION("""COMPUTED_VALUE"""),"Mass Destruction")</f>
        <v>Mass Destruction</v>
      </c>
      <c r="BB388" s="1"/>
      <c r="BC388" s="1"/>
      <c r="BD388" s="1">
        <f>IFERROR(__xludf.DUMMYFUNCTION("""COMPUTED_VALUE"""),0.0)</f>
        <v>0</v>
      </c>
      <c r="BE388" s="9">
        <f>IFERROR(__xludf.DUMMYFUNCTION("""COMPUTED_VALUE"""),10.0)</f>
        <v>10</v>
      </c>
      <c r="BF388" s="1"/>
      <c r="BG388" s="1" t="str">
        <f>IFERROR(__xludf.DUMMYFUNCTION("""COMPUTED_VALUE"""),"Dungeon")</f>
        <v>Dungeon</v>
      </c>
      <c r="BH388" s="1" t="str">
        <f>IFERROR(__xludf.DUMMYFUNCTION("""COMPUTED_VALUE"""),"Land of Spira")</f>
        <v>Land of Spira</v>
      </c>
      <c r="BI388" s="1"/>
      <c r="BJ388" s="1"/>
      <c r="BK388" s="1"/>
      <c r="BL388" s="1" t="b">
        <f>IFERROR(__xludf.DUMMYFUNCTION("""COMPUTED_VALUE"""),FALSE)</f>
        <v>0</v>
      </c>
      <c r="BM388" s="1"/>
      <c r="BN388" s="1"/>
      <c r="BO388" s="1"/>
      <c r="BP388" s="1"/>
      <c r="BQ388" s="1"/>
    </row>
    <row r="389" ht="15.75" customHeight="1">
      <c r="A389" s="1" t="str">
        <f>IFERROR(__xludf.DUMMYFUNCTION("""COMPUTED_VALUE"""),"Raijin, King of the Storm Elementals")</f>
        <v>Raijin, King of the Storm Elementals</v>
      </c>
      <c r="B389" s="1">
        <f>IFERROR(__xludf.DUMMYFUNCTION("""COMPUTED_VALUE"""),1.0)</f>
        <v>1</v>
      </c>
      <c r="C389" s="1" t="str">
        <f>IFERROR(__xludf.DUMMYFUNCTION("""COMPUTED_VALUE"""),"The King of all spirits of the Storm domain, lives in ")</f>
        <v>The King of all spirits of the Storm domain, lives in </v>
      </c>
      <c r="D389" s="1" t="str">
        <f>IFERROR(__xludf.DUMMYFUNCTION("""COMPUTED_VALUE"""),"Spirit")</f>
        <v>Spirit</v>
      </c>
      <c r="E389" s="1">
        <f>IFERROR(__xludf.DUMMYFUNCTION("""COMPUTED_VALUE"""),1010.0)</f>
        <v>1010</v>
      </c>
      <c r="F389" s="7">
        <f>IFERROR(__xludf.DUMMYFUNCTION("""COMPUTED_VALUE"""),1010.0)</f>
        <v>1010</v>
      </c>
      <c r="G389" s="1">
        <f>IFERROR(__xludf.DUMMYFUNCTION("""COMPUTED_VALUE"""),1010.0)</f>
        <v>1010</v>
      </c>
      <c r="H389" s="1">
        <f>IFERROR(__xludf.DUMMYFUNCTION("""COMPUTED_VALUE"""),10.0)</f>
        <v>10</v>
      </c>
      <c r="I389" s="1">
        <f>IFERROR(__xludf.DUMMYFUNCTION("""COMPUTED_VALUE"""),0.0)</f>
        <v>0</v>
      </c>
      <c r="J389" s="1">
        <f>IFERROR(__xludf.DUMMYFUNCTION("""COMPUTED_VALUE"""),0.0)</f>
        <v>0</v>
      </c>
      <c r="K389" s="1">
        <f>IFERROR(__xludf.DUMMYFUNCTION("""COMPUTED_VALUE"""),100.0)</f>
        <v>100</v>
      </c>
      <c r="L389" s="1">
        <f>IFERROR(__xludf.DUMMYFUNCTION("""COMPUTED_VALUE"""),100.0)</f>
        <v>100</v>
      </c>
      <c r="M389" s="1" t="str">
        <f>IFERROR(__xludf.DUMMYFUNCTION("""COMPUTED_VALUE"""),"Storm:Immune, Earth:500, Nature:500, Blood:Immune, Instant Death:Immune, Banishment:Immune, ")</f>
        <v>Storm:Immune, Earth:500, Nature:500, Blood:Immune, Instant Death:Immune, Banishment:Immune, </v>
      </c>
      <c r="N389" s="1" t="str">
        <f>IFERROR(__xludf.DUMMYFUNCTION("""COMPUTED_VALUE"""),"Spirit:100, ")</f>
        <v>Spirit:100, </v>
      </c>
      <c r="O389" s="1"/>
      <c r="P389" s="1"/>
      <c r="Q389" s="1"/>
      <c r="R389" s="1"/>
      <c r="S389" s="1"/>
      <c r="T389" s="1"/>
      <c r="U389" s="1"/>
      <c r="V389" s="1"/>
      <c r="W389" s="1"/>
      <c r="X389" s="1"/>
      <c r="Y389" s="1"/>
      <c r="Z389" s="1"/>
      <c r="AA389" s="1"/>
      <c r="AB389" s="1"/>
      <c r="AC389" s="1"/>
      <c r="AD389" s="1"/>
      <c r="AE389" s="1"/>
      <c r="AF389" s="1"/>
      <c r="AG389" s="1"/>
      <c r="AH389" s="1"/>
      <c r="AI389" s="1"/>
      <c r="AJ389" s="1" t="str">
        <f>IFERROR(__xludf.DUMMYFUNCTION("""COMPUTED_VALUE"""),"Lightning Strike")</f>
        <v>Lightning Strike</v>
      </c>
      <c r="AK389" s="1" t="str">
        <f>IFERROR(__xludf.DUMMYFUNCTION("""COMPUTED_VALUE"""),"Chain Lightning")</f>
        <v>Chain Lightning</v>
      </c>
      <c r="AL389" s="1" t="str">
        <f>IFERROR(__xludf.DUMMYFUNCTION("""COMPUTED_VALUE"""),"Shocking Touch")</f>
        <v>Shocking Touch</v>
      </c>
      <c r="AM389" s="1" t="str">
        <f>IFERROR(__xludf.DUMMYFUNCTION("""COMPUTED_VALUE"""),"Mass Charge")</f>
        <v>Mass Charge</v>
      </c>
      <c r="AN389" s="1" t="str">
        <f>IFERROR(__xludf.DUMMYFUNCTION("""COMPUTED_VALUE"""),"Tower Of Storm")</f>
        <v>Tower Of Storm</v>
      </c>
      <c r="AO389" s="1" t="str">
        <f>IFERROR(__xludf.DUMMYFUNCTION("""COMPUTED_VALUE"""),"Freezing Fog")</f>
        <v>Freezing Fog</v>
      </c>
      <c r="AP389" s="1" t="str">
        <f>IFERROR(__xludf.DUMMYFUNCTION("""COMPUTED_VALUE"""),"Gust of Wind")</f>
        <v>Gust of Wind</v>
      </c>
      <c r="AQ389" s="1" t="str">
        <f>IFERROR(__xludf.DUMMYFUNCTION("""COMPUTED_VALUE"""),"Stun Wave")</f>
        <v>Stun Wave</v>
      </c>
      <c r="AR389" s="1" t="str">
        <f>IFERROR(__xludf.DUMMYFUNCTION("""COMPUTED_VALUE"""),"Brewing Storm")</f>
        <v>Brewing Storm</v>
      </c>
      <c r="AS389" s="1" t="str">
        <f>IFERROR(__xludf.DUMMYFUNCTION("""COMPUTED_VALUE"""),"Soul Shot")</f>
        <v>Soul Shot</v>
      </c>
      <c r="AT389" s="1" t="str">
        <f>IFERROR(__xludf.DUMMYFUNCTION("""COMPUTED_VALUE"""),"Spirit Fog")</f>
        <v>Spirit Fog</v>
      </c>
      <c r="AU389" s="1" t="str">
        <f>IFERROR(__xludf.DUMMYFUNCTION("""COMPUTED_VALUE"""),"Dread")</f>
        <v>Dread</v>
      </c>
      <c r="AV389" s="1" t="str">
        <f>IFERROR(__xludf.DUMMYFUNCTION("""COMPUTED_VALUE"""),"Burning Dread")</f>
        <v>Burning Dread</v>
      </c>
      <c r="AW389" s="1" t="str">
        <f>IFERROR(__xludf.DUMMYFUNCTION("""COMPUTED_VALUE"""),"Vengeful Strike")</f>
        <v>Vengeful Strike</v>
      </c>
      <c r="AX389" s="1" t="str">
        <f>IFERROR(__xludf.DUMMYFUNCTION("""COMPUTED_VALUE"""),"Spectral Lash")</f>
        <v>Spectral Lash</v>
      </c>
      <c r="AY389" s="1" t="str">
        <f>IFERROR(__xludf.DUMMYFUNCTION("""COMPUTED_VALUE"""),"Celestial Wave")</f>
        <v>Celestial Wave</v>
      </c>
      <c r="AZ389" s="1"/>
      <c r="BA389" s="1"/>
      <c r="BB389" s="1"/>
      <c r="BC389" s="1"/>
      <c r="BD389" s="1">
        <f>IFERROR(__xludf.DUMMYFUNCTION("""COMPUTED_VALUE"""),0.0)</f>
        <v>0</v>
      </c>
      <c r="BE389" s="9">
        <f>IFERROR(__xludf.DUMMYFUNCTION("""COMPUTED_VALUE"""),10.0)</f>
        <v>10</v>
      </c>
      <c r="BF389" s="1"/>
      <c r="BG389" s="1" t="str">
        <f>IFERROR(__xludf.DUMMYFUNCTION("""COMPUTED_VALUE"""),"Dungeon")</f>
        <v>Dungeon</v>
      </c>
      <c r="BH389" s="1" t="str">
        <f>IFERROR(__xludf.DUMMYFUNCTION("""COMPUTED_VALUE"""),"Land of Spira")</f>
        <v>Land of Spira</v>
      </c>
      <c r="BI389" s="1"/>
      <c r="BJ389" s="1"/>
      <c r="BK389" s="1"/>
      <c r="BL389" s="1" t="b">
        <f>IFERROR(__xludf.DUMMYFUNCTION("""COMPUTED_VALUE"""),FALSE)</f>
        <v>0</v>
      </c>
      <c r="BM389" s="1"/>
      <c r="BN389" s="1"/>
      <c r="BO389" s="1"/>
      <c r="BP389" s="1"/>
      <c r="BQ389" s="1"/>
    </row>
    <row r="390" ht="15.75" customHeight="1">
      <c r="A390" s="1" t="str">
        <f>IFERROR(__xludf.DUMMYFUNCTION("""COMPUTED_VALUE"""),"Merchant")</f>
        <v>Merchant</v>
      </c>
      <c r="B390" s="1">
        <f>IFERROR(__xludf.DUMMYFUNCTION("""COMPUTED_VALUE"""),1.0)</f>
        <v>1</v>
      </c>
      <c r="C390" s="1"/>
      <c r="D390" s="1" t="str">
        <f>IFERROR(__xludf.DUMMYFUNCTION("""COMPUTED_VALUE"""),"Humanoid")</f>
        <v>Humanoid</v>
      </c>
      <c r="E390" s="7">
        <f>IFERROR(__xludf.DUMMYFUNCTION("""COMPUTED_VALUE"""),9.99999999E8)</f>
        <v>999999999</v>
      </c>
      <c r="F390" s="7">
        <f>IFERROR(__xludf.DUMMYFUNCTION("""COMPUTED_VALUE"""),9.99999999E8)</f>
        <v>999999999</v>
      </c>
      <c r="G390" s="7">
        <f>IFERROR(__xludf.DUMMYFUNCTION("""COMPUTED_VALUE"""),9.99999999E8)</f>
        <v>999999999</v>
      </c>
      <c r="H390" s="7">
        <f>IFERROR(__xludf.DUMMYFUNCTION("""COMPUTED_VALUE"""),9.99999999E8)</f>
        <v>999999999</v>
      </c>
      <c r="I390" s="1">
        <f>IFERROR(__xludf.DUMMYFUNCTION("""COMPUTED_VALUE"""),999.0)</f>
        <v>999</v>
      </c>
      <c r="J390" s="1">
        <f>IFERROR(__xludf.DUMMYFUNCTION("""COMPUTED_VALUE"""),999.0)</f>
        <v>999</v>
      </c>
      <c r="K390" s="7">
        <f>IFERROR(__xludf.DUMMYFUNCTION("""COMPUTED_VALUE"""),9.99999999E8)</f>
        <v>999999999</v>
      </c>
      <c r="L390" s="7">
        <f>IFERROR(__xludf.DUMMYFUNCTION("""COMPUTED_VALUE"""),9.99999999E8)</f>
        <v>999999999</v>
      </c>
      <c r="M390" s="1" t="str">
        <f>IFERROR(__xludf.DUMMYFUNCTION("""COMPUTED_VALUE"""),"Fire:Immune, Water:Immune, Storm:Immune, Earth:Immune, Light:Immune, Dark:Immune, Spirit:Immune, Order:Immune, Chaos:Immune, Nature:Immune, Physical:Immune, Melee:Immune, Ranged:Immune, Stasis:Immune, Twilight:Immune, Voodoo:Immune, Blood:Immune, Delta:Im"&amp;"mune, Zen:Immune, Time:Immune, Astral:Immune, Celestial:Immune, Instant Death:Immune, Banishment:Immune, Natural:Immune, ")</f>
        <v>Fire:Immune, Water:Immune, Storm:Immune, Earth:Immune, Light:Immune, Dark:Immune, Spirit:Immune, Order:Immune, Chaos:Immune, Nature:Immune, Physical:Immune, Melee:Immune, Ranged:Immune, Stasis:Immune, Twilight:Immune, Voodoo:Immune, Blood:Immune, Delta:Immune, Zen:Immune, Time:Immune, Astral:Immune, Celestial:Immune, Instant Death:Immune, Banishment:Immune, Natural:Immune, </v>
      </c>
      <c r="N390" s="1" t="str">
        <f>IFERROR(__xludf.DUMMYFUNCTION("""COMPUTED_VALUE"""),"#N/A")</f>
        <v>#N/A</v>
      </c>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f>IFERROR(__xludf.DUMMYFUNCTION("""COMPUTED_VALUE"""),99.0)</f>
        <v>99</v>
      </c>
      <c r="BE390" s="9">
        <f>IFERROR(__xludf.DUMMYFUNCTION("""COMPUTED_VALUE"""),99.0)</f>
        <v>99</v>
      </c>
      <c r="BF390" s="1" t="str">
        <f>IFERROR(__xludf.DUMMYFUNCTION("""COMPUTED_VALUE"""),"Immune to everything")</f>
        <v>Immune to everything</v>
      </c>
      <c r="BG390" s="1" t="str">
        <f>IFERROR(__xludf.DUMMYFUNCTION("""COMPUTED_VALUE"""),"Dungeon")</f>
        <v>Dungeon</v>
      </c>
      <c r="BH390" s="1" t="str">
        <f>IFERROR(__xludf.DUMMYFUNCTION("""COMPUTED_VALUE"""),"Land of Spira")</f>
        <v>Land of Spira</v>
      </c>
      <c r="BI390" s="1"/>
      <c r="BJ390" s="1"/>
      <c r="BK390" s="1"/>
      <c r="BL390" s="1" t="b">
        <f>IFERROR(__xludf.DUMMYFUNCTION("""COMPUTED_VALUE"""),FALSE)</f>
        <v>0</v>
      </c>
      <c r="BM390" s="1"/>
      <c r="BN390" s="1"/>
      <c r="BO390" s="1"/>
      <c r="BP390" s="1"/>
      <c r="BQ390" s="1"/>
    </row>
    <row r="391" ht="15.75" customHeight="1">
      <c r="A391" s="1" t="str">
        <f>IFERROR(__xludf.DUMMYFUNCTION("""COMPUTED_VALUE"""),"Plague Doctor, Kaillon")</f>
        <v>Plague Doctor, Kaillon</v>
      </c>
      <c r="B391" s="1">
        <f>IFERROR(__xludf.DUMMYFUNCTION("""COMPUTED_VALUE"""),1.0)</f>
        <v>1</v>
      </c>
      <c r="C391" s="1" t="str">
        <f>IFERROR(__xludf.DUMMYFUNCTION("""COMPUTED_VALUE"""),"A renknowned doctor hiding with the foul night swamp.")</f>
        <v>A renknowned doctor hiding with the foul night swamp.</v>
      </c>
      <c r="D391" s="1" t="str">
        <f>IFERROR(__xludf.DUMMYFUNCTION("""COMPUTED_VALUE"""),"Humanoid")</f>
        <v>Humanoid</v>
      </c>
      <c r="E391" s="1">
        <f>IFERROR(__xludf.DUMMYFUNCTION("""COMPUTED_VALUE"""),1010.0)</f>
        <v>1010</v>
      </c>
      <c r="F391" s="7">
        <f>IFERROR(__xludf.DUMMYFUNCTION("""COMPUTED_VALUE"""),1010.0)</f>
        <v>1010</v>
      </c>
      <c r="G391" s="1">
        <f>IFERROR(__xludf.DUMMYFUNCTION("""COMPUTED_VALUE"""),1010.0)</f>
        <v>1010</v>
      </c>
      <c r="H391" s="1">
        <f>IFERROR(__xludf.DUMMYFUNCTION("""COMPUTED_VALUE"""),10.0)</f>
        <v>10</v>
      </c>
      <c r="I391" s="1">
        <f>IFERROR(__xludf.DUMMYFUNCTION("""COMPUTED_VALUE"""),0.0)</f>
        <v>0</v>
      </c>
      <c r="J391" s="1">
        <f>IFERROR(__xludf.DUMMYFUNCTION("""COMPUTED_VALUE"""),0.0)</f>
        <v>0</v>
      </c>
      <c r="K391" s="1">
        <f>IFERROR(__xludf.DUMMYFUNCTION("""COMPUTED_VALUE"""),100.0)</f>
        <v>100</v>
      </c>
      <c r="L391" s="1">
        <f>IFERROR(__xludf.DUMMYFUNCTION("""COMPUTED_VALUE"""),100.0)</f>
        <v>100</v>
      </c>
      <c r="M391" s="1" t="str">
        <f>IFERROR(__xludf.DUMMYFUNCTION("""COMPUTED_VALUE"""),"Dark:100, Spirit:100, Nature:100, Voodoo:100, Blood:100, Instant Death:Immune, Banishment:Immune, ")</f>
        <v>Dark:100, Spirit:100, Nature:100, Voodoo:100, Blood:100, Instant Death:Immune, Banishment:Immune, </v>
      </c>
      <c r="N391" s="1" t="str">
        <f>IFERROR(__xludf.DUMMYFUNCTION("""COMPUTED_VALUE"""),"Fire:100, Light:100, Melee:100, ")</f>
        <v>Fire:100, Light:100, Melee:100, </v>
      </c>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f>IFERROR(__xludf.DUMMYFUNCTION("""COMPUTED_VALUE"""),0.0)</f>
        <v>0</v>
      </c>
      <c r="BE391" s="9">
        <f>IFERROR(__xludf.DUMMYFUNCTION("""COMPUTED_VALUE"""),10.0)</f>
        <v>10</v>
      </c>
      <c r="BF391" s="1"/>
      <c r="BG391" s="1"/>
      <c r="BH391" s="1"/>
      <c r="BI391" s="1"/>
      <c r="BJ391" s="1"/>
      <c r="BK391" s="1"/>
      <c r="BL391" s="1" t="b">
        <f>IFERROR(__xludf.DUMMYFUNCTION("""COMPUTED_VALUE"""),FALSE)</f>
        <v>0</v>
      </c>
      <c r="BM391" s="1"/>
      <c r="BN391" s="1"/>
      <c r="BO391" s="1"/>
      <c r="BP391" s="1"/>
      <c r="BQ391" s="1"/>
    </row>
    <row r="392" ht="15.75" customHeight="1">
      <c r="A392" s="1" t="str">
        <f>IFERROR(__xludf.DUMMYFUNCTION("""COMPUTED_VALUE"""),"Cargo Ship")</f>
        <v>Cargo Ship</v>
      </c>
      <c r="B392" s="1">
        <f>IFERROR(__xludf.DUMMYFUNCTION("""COMPUTED_VALUE"""),1.0)</f>
        <v>1</v>
      </c>
      <c r="C392" s="1"/>
      <c r="D392" s="1" t="str">
        <f>IFERROR(__xludf.DUMMYFUNCTION("""COMPUTED_VALUE"""),"Construct")</f>
        <v>Construct</v>
      </c>
      <c r="E392" s="1">
        <f>IFERROR(__xludf.DUMMYFUNCTION("""COMPUTED_VALUE"""),1010.0)</f>
        <v>1010</v>
      </c>
      <c r="F392" s="7">
        <f>IFERROR(__xludf.DUMMYFUNCTION("""COMPUTED_VALUE"""),1010.0)</f>
        <v>1010</v>
      </c>
      <c r="G392" s="1">
        <f>IFERROR(__xludf.DUMMYFUNCTION("""COMPUTED_VALUE"""),1010.0)</f>
        <v>1010</v>
      </c>
      <c r="H392" s="1">
        <f>IFERROR(__xludf.DUMMYFUNCTION("""COMPUTED_VALUE"""),10.0)</f>
        <v>10</v>
      </c>
      <c r="I392" s="1">
        <f>IFERROR(__xludf.DUMMYFUNCTION("""COMPUTED_VALUE"""),0.0)</f>
        <v>0</v>
      </c>
      <c r="J392" s="1">
        <f>IFERROR(__xludf.DUMMYFUNCTION("""COMPUTED_VALUE"""),0.0)</f>
        <v>0</v>
      </c>
      <c r="K392" s="1">
        <f>IFERROR(__xludf.DUMMYFUNCTION("""COMPUTED_VALUE"""),100.0)</f>
        <v>100</v>
      </c>
      <c r="L392" s="1">
        <f>IFERROR(__xludf.DUMMYFUNCTION("""COMPUTED_VALUE"""),100.0)</f>
        <v>100</v>
      </c>
      <c r="M392" s="1" t="str">
        <f>IFERROR(__xludf.DUMMYFUNCTION("""COMPUTED_VALUE"""),"")</f>
        <v/>
      </c>
      <c r="N392" s="1" t="str">
        <f>IFERROR(__xludf.DUMMYFUNCTION("""COMPUTED_VALUE"""),"")</f>
        <v/>
      </c>
      <c r="O392" s="1" t="str">
        <f>IFERROR(__xludf.DUMMYFUNCTION("""COMPUTED_VALUE"""),"Harpoon Gun")</f>
        <v>Harpoon Gun</v>
      </c>
      <c r="P392" s="1" t="str">
        <f>IFERROR(__xludf.DUMMYFUNCTION("""COMPUTED_VALUE"""),"Harpoon Gun")</f>
        <v>Harpoon Gun</v>
      </c>
      <c r="Q392" s="1" t="str">
        <f>IFERROR(__xludf.DUMMYFUNCTION("""COMPUTED_VALUE"""),"Harpoon Gun")</f>
        <v>Harpoon Gun</v>
      </c>
      <c r="R392" s="1" t="str">
        <f>IFERROR(__xludf.DUMMYFUNCTION("""COMPUTED_VALUE"""),"Harpoon Gun")</f>
        <v>Harpoon Gun</v>
      </c>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f>IFERROR(__xludf.DUMMYFUNCTION("""COMPUTED_VALUE"""),0.0)</f>
        <v>0</v>
      </c>
      <c r="BE392" s="9">
        <f>IFERROR(__xludf.DUMMYFUNCTION("""COMPUTED_VALUE"""),10.0)</f>
        <v>10</v>
      </c>
      <c r="BF392" s="1" t="str">
        <f>IFERROR(__xludf.DUMMYFUNCTION("""COMPUTED_VALUE"""),"Energy Savior I: Deduct d10 days from your current journey.
Self Destruct Sequence: If not owned by a player this boat will have a 50% chance to self destruct when it is the last enemy alive in battle damaging all enemies equal to this boats HP*10.
Star"&amp;"ts with 1000 Storage.
Up to 10 party members can travel in this mount.
Full Rest: Fully restores hunger, thirst, and energy when on this mount.")</f>
        <v>Energy Savior I: Deduct d10 days from your current journey.
Self Destruct Sequence: If not owned by a player this boat will have a 50% chance to self destruct when it is the last enemy alive in battle damaging all enemies equal to this boats HP*10.
Starts with 1000 Storage.
Up to 10 party members can travel in this mount.
Full Rest: Fully restores hunger, thirst, and energy when on this mount.</v>
      </c>
      <c r="BG392" s="1" t="str">
        <f>IFERROR(__xludf.DUMMYFUNCTION("""COMPUTED_VALUE"""),"Ocean")</f>
        <v>Ocean</v>
      </c>
      <c r="BH392" s="1" t="str">
        <f>IFERROR(__xludf.DUMMYFUNCTION("""COMPUTED_VALUE"""),"Land of Spira")</f>
        <v>Land of Spira</v>
      </c>
      <c r="BI392" s="1"/>
      <c r="BJ392" s="1"/>
      <c r="BK392" s="7">
        <f>IFERROR(__xludf.DUMMYFUNCTION("""COMPUTED_VALUE"""),5000.0)</f>
        <v>5000</v>
      </c>
      <c r="BL392" s="1" t="b">
        <f>IFERROR(__xludf.DUMMYFUNCTION("""COMPUTED_VALUE"""),TRUE)</f>
        <v>1</v>
      </c>
      <c r="BM392" s="1" t="str">
        <f>IFERROR(__xludf.DUMMYFUNCTION("""COMPUTED_VALUE"""),"Boat")</f>
        <v>Boat</v>
      </c>
      <c r="BN392" s="1"/>
      <c r="BO392" s="1"/>
      <c r="BP392" s="1"/>
      <c r="BQ392" s="1"/>
    </row>
    <row r="393" ht="15.75" customHeight="1">
      <c r="A393" s="1" t="str">
        <f>IFERROR(__xludf.DUMMYFUNCTION("""COMPUTED_VALUE"""),"Ghost Ship")</f>
        <v>Ghost Ship</v>
      </c>
      <c r="B393" s="1">
        <f>IFERROR(__xludf.DUMMYFUNCTION("""COMPUTED_VALUE"""),1.0)</f>
        <v>1</v>
      </c>
      <c r="C393" s="1"/>
      <c r="D393" s="1" t="str">
        <f>IFERROR(__xludf.DUMMYFUNCTION("""COMPUTED_VALUE"""),"Construct")</f>
        <v>Construct</v>
      </c>
      <c r="E393" s="1">
        <f>IFERROR(__xludf.DUMMYFUNCTION("""COMPUTED_VALUE"""),1010.0)</f>
        <v>1010</v>
      </c>
      <c r="F393" s="7">
        <f>IFERROR(__xludf.DUMMYFUNCTION("""COMPUTED_VALUE"""),1010.0)</f>
        <v>1010</v>
      </c>
      <c r="G393" s="1">
        <f>IFERROR(__xludf.DUMMYFUNCTION("""COMPUTED_VALUE"""),1010.0)</f>
        <v>1010</v>
      </c>
      <c r="H393" s="1">
        <f>IFERROR(__xludf.DUMMYFUNCTION("""COMPUTED_VALUE"""),10.0)</f>
        <v>10</v>
      </c>
      <c r="I393" s="1">
        <f>IFERROR(__xludf.DUMMYFUNCTION("""COMPUTED_VALUE"""),0.0)</f>
        <v>0</v>
      </c>
      <c r="J393" s="1">
        <f>IFERROR(__xludf.DUMMYFUNCTION("""COMPUTED_VALUE"""),0.0)</f>
        <v>0</v>
      </c>
      <c r="K393" s="1">
        <f>IFERROR(__xludf.DUMMYFUNCTION("""COMPUTED_VALUE"""),100.0)</f>
        <v>100</v>
      </c>
      <c r="L393" s="1">
        <f>IFERROR(__xludf.DUMMYFUNCTION("""COMPUTED_VALUE"""),100.0)</f>
        <v>100</v>
      </c>
      <c r="M393" s="1" t="str">
        <f>IFERROR(__xludf.DUMMYFUNCTION("""COMPUTED_VALUE"""),"")</f>
        <v/>
      </c>
      <c r="N393" s="1" t="str">
        <f>IFERROR(__xludf.DUMMYFUNCTION("""COMPUTED_VALUE"""),"")</f>
        <v/>
      </c>
      <c r="O393" s="1" t="str">
        <f>IFERROR(__xludf.DUMMYFUNCTION("""COMPUTED_VALUE"""),"Basic Cannon")</f>
        <v>Basic Cannon</v>
      </c>
      <c r="P393" s="1" t="str">
        <f>IFERROR(__xludf.DUMMYFUNCTION("""COMPUTED_VALUE"""),"Basic Cannon")</f>
        <v>Basic Cannon</v>
      </c>
      <c r="Q393" s="1" t="str">
        <f>IFERROR(__xludf.DUMMYFUNCTION("""COMPUTED_VALUE"""),"Basic Cannon")</f>
        <v>Basic Cannon</v>
      </c>
      <c r="R393" s="1" t="str">
        <f>IFERROR(__xludf.DUMMYFUNCTION("""COMPUTED_VALUE"""),"Basic Cannon")</f>
        <v>Basic Cannon</v>
      </c>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f>IFERROR(__xludf.DUMMYFUNCTION("""COMPUTED_VALUE"""),0.0)</f>
        <v>0</v>
      </c>
      <c r="BE393" s="9">
        <f>IFERROR(__xludf.DUMMYFUNCTION("""COMPUTED_VALUE"""),10.0)</f>
        <v>10</v>
      </c>
      <c r="BF393" s="1" t="str">
        <f>IFERROR(__xludf.DUMMYFUNCTION("""COMPUTED_VALUE"""),"Energy Savior II: Deduct d20 days from your current journey.
Up to 6 party members can travel in this mount.")</f>
        <v>Energy Savior II: Deduct d20 days from your current journey.
Up to 6 party members can travel in this mount.</v>
      </c>
      <c r="BG393" s="1" t="str">
        <f>IFERROR(__xludf.DUMMYFUNCTION("""COMPUTED_VALUE"""),"Ocean")</f>
        <v>Ocean</v>
      </c>
      <c r="BH393" s="1" t="str">
        <f>IFERROR(__xludf.DUMMYFUNCTION("""COMPUTED_VALUE"""),"Land of Spira")</f>
        <v>Land of Spira</v>
      </c>
      <c r="BI393" s="1"/>
      <c r="BJ393" s="1"/>
      <c r="BK393" s="1">
        <f>IFERROR(__xludf.DUMMYFUNCTION("""COMPUTED_VALUE"""),750.0)</f>
        <v>750</v>
      </c>
      <c r="BL393" s="1" t="b">
        <f>IFERROR(__xludf.DUMMYFUNCTION("""COMPUTED_VALUE"""),TRUE)</f>
        <v>1</v>
      </c>
      <c r="BM393" s="1" t="str">
        <f>IFERROR(__xludf.DUMMYFUNCTION("""COMPUTED_VALUE"""),"Boat")</f>
        <v>Boat</v>
      </c>
      <c r="BN393" s="1"/>
      <c r="BO393" s="1"/>
      <c r="BP393" s="1"/>
      <c r="BQ393" s="1"/>
    </row>
    <row r="394" ht="15.75" customHeight="1">
      <c r="A394" s="1" t="str">
        <f>IFERROR(__xludf.DUMMYFUNCTION("""COMPUTED_VALUE"""),"Brigantine")</f>
        <v>Brigantine</v>
      </c>
      <c r="B394" s="1">
        <f>IFERROR(__xludf.DUMMYFUNCTION("""COMPUTED_VALUE"""),1.0)</f>
        <v>1</v>
      </c>
      <c r="C394" s="1"/>
      <c r="D394" s="1" t="str">
        <f>IFERROR(__xludf.DUMMYFUNCTION("""COMPUTED_VALUE"""),"Construct")</f>
        <v>Construct</v>
      </c>
      <c r="E394" s="1">
        <f>IFERROR(__xludf.DUMMYFUNCTION("""COMPUTED_VALUE"""),1010.0)</f>
        <v>1010</v>
      </c>
      <c r="F394" s="7">
        <f>IFERROR(__xludf.DUMMYFUNCTION("""COMPUTED_VALUE"""),1010.0)</f>
        <v>1010</v>
      </c>
      <c r="G394" s="1">
        <f>IFERROR(__xludf.DUMMYFUNCTION("""COMPUTED_VALUE"""),1010.0)</f>
        <v>1010</v>
      </c>
      <c r="H394" s="1">
        <f>IFERROR(__xludf.DUMMYFUNCTION("""COMPUTED_VALUE"""),10.0)</f>
        <v>10</v>
      </c>
      <c r="I394" s="1">
        <f>IFERROR(__xludf.DUMMYFUNCTION("""COMPUTED_VALUE"""),0.0)</f>
        <v>0</v>
      </c>
      <c r="J394" s="1">
        <f>IFERROR(__xludf.DUMMYFUNCTION("""COMPUTED_VALUE"""),0.0)</f>
        <v>0</v>
      </c>
      <c r="K394" s="1">
        <f>IFERROR(__xludf.DUMMYFUNCTION("""COMPUTED_VALUE"""),100.0)</f>
        <v>100</v>
      </c>
      <c r="L394" s="1">
        <f>IFERROR(__xludf.DUMMYFUNCTION("""COMPUTED_VALUE"""),100.0)</f>
        <v>100</v>
      </c>
      <c r="M394" s="1" t="str">
        <f>IFERROR(__xludf.DUMMYFUNCTION("""COMPUTED_VALUE"""),"")</f>
        <v/>
      </c>
      <c r="N394" s="1" t="str">
        <f>IFERROR(__xludf.DUMMYFUNCTION("""COMPUTED_VALUE"""),"")</f>
        <v/>
      </c>
      <c r="O394" s="1" t="str">
        <f>IFERROR(__xludf.DUMMYFUNCTION("""COMPUTED_VALUE"""),"Basic Cannon")</f>
        <v>Basic Cannon</v>
      </c>
      <c r="P394" s="1" t="str">
        <f>IFERROR(__xludf.DUMMYFUNCTION("""COMPUTED_VALUE"""),"Basic Cannon")</f>
        <v>Basic Cannon</v>
      </c>
      <c r="Q394" s="1" t="str">
        <f>IFERROR(__xludf.DUMMYFUNCTION("""COMPUTED_VALUE"""),"Harpoon Gun")</f>
        <v>Harpoon Gun</v>
      </c>
      <c r="R394" s="1" t="str">
        <f>IFERROR(__xludf.DUMMYFUNCTION("""COMPUTED_VALUE"""),"Harpoon Gun")</f>
        <v>Harpoon Gun</v>
      </c>
      <c r="S394" s="1"/>
      <c r="T394" s="1"/>
      <c r="U394" s="1"/>
      <c r="V394" s="1"/>
      <c r="W394" s="1"/>
      <c r="X394" s="1"/>
      <c r="Y394" s="1"/>
      <c r="Z394" s="1"/>
      <c r="AA394" s="1"/>
      <c r="AB394" s="1"/>
      <c r="AC394" s="1"/>
      <c r="AD394" s="1"/>
      <c r="AE394" s="1"/>
      <c r="AF394" s="1"/>
      <c r="AG394" s="1"/>
      <c r="AH394" s="1"/>
      <c r="AI394" s="1"/>
      <c r="AJ394" s="1" t="str">
        <f>IFERROR(__xludf.DUMMYFUNCTION("""COMPUTED_VALUE"""),"Cannon Bombardment")</f>
        <v>Cannon Bombardment</v>
      </c>
      <c r="AK394" s="1"/>
      <c r="AL394" s="1"/>
      <c r="AM394" s="1"/>
      <c r="AN394" s="1"/>
      <c r="AO394" s="1"/>
      <c r="AP394" s="1"/>
      <c r="AQ394" s="1"/>
      <c r="AR394" s="1"/>
      <c r="AS394" s="1"/>
      <c r="AT394" s="1"/>
      <c r="AU394" s="1"/>
      <c r="AV394" s="1"/>
      <c r="AW394" s="1"/>
      <c r="AX394" s="1"/>
      <c r="AY394" s="1"/>
      <c r="AZ394" s="1"/>
      <c r="BA394" s="1"/>
      <c r="BB394" s="1"/>
      <c r="BC394" s="1"/>
      <c r="BD394" s="1">
        <f>IFERROR(__xludf.DUMMYFUNCTION("""COMPUTED_VALUE"""),0.0)</f>
        <v>0</v>
      </c>
      <c r="BE394" s="9">
        <f>IFERROR(__xludf.DUMMYFUNCTION("""COMPUTED_VALUE"""),10.0)</f>
        <v>10</v>
      </c>
      <c r="BF394" s="1" t="str">
        <f>IFERROR(__xludf.DUMMYFUNCTION("""COMPUTED_VALUE"""),"Windy Day II: Deduct d20 days from your current journey.
Does not require Fuel.
Up to 4 party members can travel in this mount.")</f>
        <v>Windy Day II: Deduct d20 days from your current journey.
Does not require Fuel.
Up to 4 party members can travel in this mount.</v>
      </c>
      <c r="BG394" s="1" t="str">
        <f>IFERROR(__xludf.DUMMYFUNCTION("""COMPUTED_VALUE"""),"Ocean")</f>
        <v>Ocean</v>
      </c>
      <c r="BH394" s="1" t="str">
        <f>IFERROR(__xludf.DUMMYFUNCTION("""COMPUTED_VALUE"""),"Land of Spira")</f>
        <v>Land of Spira</v>
      </c>
      <c r="BI394" s="1"/>
      <c r="BJ394" s="1"/>
      <c r="BK394" s="1">
        <f>IFERROR(__xludf.DUMMYFUNCTION("""COMPUTED_VALUE"""),0.0)</f>
        <v>0</v>
      </c>
      <c r="BL394" s="1" t="b">
        <f>IFERROR(__xludf.DUMMYFUNCTION("""COMPUTED_VALUE"""),TRUE)</f>
        <v>1</v>
      </c>
      <c r="BM394" s="1" t="str">
        <f>IFERROR(__xludf.DUMMYFUNCTION("""COMPUTED_VALUE"""),"Boat")</f>
        <v>Boat</v>
      </c>
      <c r="BN394" s="1"/>
      <c r="BO394" s="1"/>
      <c r="BP394" s="1"/>
      <c r="BQ394" s="1"/>
    </row>
    <row r="395" ht="15.75" customHeight="1">
      <c r="A395" s="1" t="str">
        <f>IFERROR(__xludf.DUMMYFUNCTION("""COMPUTED_VALUE"""),"Sloop")</f>
        <v>Sloop</v>
      </c>
      <c r="B395" s="1">
        <f>IFERROR(__xludf.DUMMYFUNCTION("""COMPUTED_VALUE"""),1.0)</f>
        <v>1</v>
      </c>
      <c r="C395" s="1"/>
      <c r="D395" s="1" t="str">
        <f>IFERROR(__xludf.DUMMYFUNCTION("""COMPUTED_VALUE"""),"Construct")</f>
        <v>Construct</v>
      </c>
      <c r="E395" s="1">
        <f>IFERROR(__xludf.DUMMYFUNCTION("""COMPUTED_VALUE"""),1010.0)</f>
        <v>1010</v>
      </c>
      <c r="F395" s="7">
        <f>IFERROR(__xludf.DUMMYFUNCTION("""COMPUTED_VALUE"""),1010.0)</f>
        <v>1010</v>
      </c>
      <c r="G395" s="1">
        <f>IFERROR(__xludf.DUMMYFUNCTION("""COMPUTED_VALUE"""),1010.0)</f>
        <v>1010</v>
      </c>
      <c r="H395" s="1">
        <f>IFERROR(__xludf.DUMMYFUNCTION("""COMPUTED_VALUE"""),10.0)</f>
        <v>10</v>
      </c>
      <c r="I395" s="1">
        <f>IFERROR(__xludf.DUMMYFUNCTION("""COMPUTED_VALUE"""),0.0)</f>
        <v>0</v>
      </c>
      <c r="J395" s="1">
        <f>IFERROR(__xludf.DUMMYFUNCTION("""COMPUTED_VALUE"""),0.0)</f>
        <v>0</v>
      </c>
      <c r="K395" s="1">
        <f>IFERROR(__xludf.DUMMYFUNCTION("""COMPUTED_VALUE"""),100.0)</f>
        <v>100</v>
      </c>
      <c r="L395" s="1">
        <f>IFERROR(__xludf.DUMMYFUNCTION("""COMPUTED_VALUE"""),100.0)</f>
        <v>100</v>
      </c>
      <c r="M395" s="1" t="str">
        <f>IFERROR(__xludf.DUMMYFUNCTION("""COMPUTED_VALUE"""),"")</f>
        <v/>
      </c>
      <c r="N395" s="1" t="str">
        <f>IFERROR(__xludf.DUMMYFUNCTION("""COMPUTED_VALUE"""),"")</f>
        <v/>
      </c>
      <c r="O395" s="1" t="str">
        <f>IFERROR(__xludf.DUMMYFUNCTION("""COMPUTED_VALUE"""),"Basic Cannon")</f>
        <v>Basic Cannon</v>
      </c>
      <c r="P395" s="1" t="str">
        <f>IFERROR(__xludf.DUMMYFUNCTION("""COMPUTED_VALUE"""),"Harpoon Gun")</f>
        <v>Harpoon Gun</v>
      </c>
      <c r="Q395" s="1"/>
      <c r="R395" s="1"/>
      <c r="S395" s="1"/>
      <c r="T395" s="1"/>
      <c r="U395" s="1"/>
      <c r="V395" s="1"/>
      <c r="W395" s="1"/>
      <c r="X395" s="1"/>
      <c r="Y395" s="1"/>
      <c r="Z395" s="1"/>
      <c r="AA395" s="1"/>
      <c r="AB395" s="1"/>
      <c r="AC395" s="1"/>
      <c r="AD395" s="1"/>
      <c r="AE395" s="1"/>
      <c r="AF395" s="1"/>
      <c r="AG395" s="1"/>
      <c r="AH395" s="1"/>
      <c r="AI395" s="1"/>
      <c r="AJ395" s="1" t="str">
        <f>IFERROR(__xludf.DUMMYFUNCTION("""COMPUTED_VALUE"""),"Cannon Bombardment")</f>
        <v>Cannon Bombardment</v>
      </c>
      <c r="AK395" s="1"/>
      <c r="AL395" s="1"/>
      <c r="AM395" s="1"/>
      <c r="AN395" s="1"/>
      <c r="AO395" s="1"/>
      <c r="AP395" s="1"/>
      <c r="AQ395" s="1"/>
      <c r="AR395" s="1"/>
      <c r="AS395" s="1"/>
      <c r="AT395" s="1"/>
      <c r="AU395" s="1"/>
      <c r="AV395" s="1"/>
      <c r="AW395" s="1"/>
      <c r="AX395" s="1"/>
      <c r="AY395" s="1"/>
      <c r="AZ395" s="1"/>
      <c r="BA395" s="1"/>
      <c r="BB395" s="1"/>
      <c r="BC395" s="1"/>
      <c r="BD395" s="1">
        <f>IFERROR(__xludf.DUMMYFUNCTION("""COMPUTED_VALUE"""),0.0)</f>
        <v>0</v>
      </c>
      <c r="BE395" s="9">
        <f>IFERROR(__xludf.DUMMYFUNCTION("""COMPUTED_VALUE"""),10.0)</f>
        <v>10</v>
      </c>
      <c r="BF395" s="1" t="str">
        <f>IFERROR(__xludf.DUMMYFUNCTION("""COMPUTED_VALUE"""),"Windy Day III: Deduct d30 days from your current journey.
Does not require Fuel.
Up to 2 party members can travel in this mount.")</f>
        <v>Windy Day III: Deduct d30 days from your current journey.
Does not require Fuel.
Up to 2 party members can travel in this mount.</v>
      </c>
      <c r="BG395" s="1" t="str">
        <f>IFERROR(__xludf.DUMMYFUNCTION("""COMPUTED_VALUE"""),"Ocean")</f>
        <v>Ocean</v>
      </c>
      <c r="BH395" s="1" t="str">
        <f>IFERROR(__xludf.DUMMYFUNCTION("""COMPUTED_VALUE"""),"Land of Spira")</f>
        <v>Land of Spira</v>
      </c>
      <c r="BI395" s="1"/>
      <c r="BJ395" s="1"/>
      <c r="BK395" s="1">
        <f>IFERROR(__xludf.DUMMYFUNCTION("""COMPUTED_VALUE"""),0.0)</f>
        <v>0</v>
      </c>
      <c r="BL395" s="1" t="b">
        <f>IFERROR(__xludf.DUMMYFUNCTION("""COMPUTED_VALUE"""),TRUE)</f>
        <v>1</v>
      </c>
      <c r="BM395" s="1" t="str">
        <f>IFERROR(__xludf.DUMMYFUNCTION("""COMPUTED_VALUE"""),"Boat")</f>
        <v>Boat</v>
      </c>
      <c r="BN395" s="1"/>
      <c r="BO395" s="1"/>
      <c r="BP395" s="1"/>
      <c r="BQ395" s="1"/>
    </row>
    <row r="396" ht="15.75" customHeight="1">
      <c r="A396" s="1" t="str">
        <f>IFERROR(__xludf.DUMMYFUNCTION("""COMPUTED_VALUE"""),"Aircraft Carrier")</f>
        <v>Aircraft Carrier</v>
      </c>
      <c r="B396" s="1">
        <f>IFERROR(__xludf.DUMMYFUNCTION("""COMPUTED_VALUE"""),1.0)</f>
        <v>1</v>
      </c>
      <c r="C396" s="1"/>
      <c r="D396" s="1" t="str">
        <f>IFERROR(__xludf.DUMMYFUNCTION("""COMPUTED_VALUE"""),"Construct")</f>
        <v>Construct</v>
      </c>
      <c r="E396" s="1">
        <f>IFERROR(__xludf.DUMMYFUNCTION("""COMPUTED_VALUE"""),1010.0)</f>
        <v>1010</v>
      </c>
      <c r="F396" s="7">
        <f>IFERROR(__xludf.DUMMYFUNCTION("""COMPUTED_VALUE"""),1010.0)</f>
        <v>1010</v>
      </c>
      <c r="G396" s="1">
        <f>IFERROR(__xludf.DUMMYFUNCTION("""COMPUTED_VALUE"""),1010.0)</f>
        <v>1010</v>
      </c>
      <c r="H396" s="1">
        <f>IFERROR(__xludf.DUMMYFUNCTION("""COMPUTED_VALUE"""),10.0)</f>
        <v>10</v>
      </c>
      <c r="I396" s="1">
        <f>IFERROR(__xludf.DUMMYFUNCTION("""COMPUTED_VALUE"""),0.0)</f>
        <v>0</v>
      </c>
      <c r="J396" s="1">
        <f>IFERROR(__xludf.DUMMYFUNCTION("""COMPUTED_VALUE"""),0.0)</f>
        <v>0</v>
      </c>
      <c r="K396" s="1">
        <f>IFERROR(__xludf.DUMMYFUNCTION("""COMPUTED_VALUE"""),100.0)</f>
        <v>100</v>
      </c>
      <c r="L396" s="1">
        <f>IFERROR(__xludf.DUMMYFUNCTION("""COMPUTED_VALUE"""),100.0)</f>
        <v>100</v>
      </c>
      <c r="M396" s="1" t="str">
        <f>IFERROR(__xludf.DUMMYFUNCTION("""COMPUTED_VALUE"""),"#N/A")</f>
        <v>#N/A</v>
      </c>
      <c r="N396" s="1" t="str">
        <f>IFERROR(__xludf.DUMMYFUNCTION("""COMPUTED_VALUE"""),"#N/A")</f>
        <v>#N/A</v>
      </c>
      <c r="O396" s="1" t="str">
        <f>IFERROR(__xludf.DUMMYFUNCTION("""COMPUTED_VALUE"""),"Missile Turret (boat)")</f>
        <v>Missile Turret (boat)</v>
      </c>
      <c r="P396" s="1" t="str">
        <f>IFERROR(__xludf.DUMMYFUNCTION("""COMPUTED_VALUE"""),"Missile Turret (boat)")</f>
        <v>Missile Turret (boat)</v>
      </c>
      <c r="Q396" s="1" t="str">
        <f>IFERROR(__xludf.DUMMYFUNCTION("""COMPUTED_VALUE"""),"Missile Turret (boat)")</f>
        <v>Missile Turret (boat)</v>
      </c>
      <c r="R396" s="1" t="str">
        <f>IFERROR(__xludf.DUMMYFUNCTION("""COMPUTED_VALUE"""),"Missile Turret (boat)")</f>
        <v>Missile Turret (boat)</v>
      </c>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f>IFERROR(__xludf.DUMMYFUNCTION("""COMPUTED_VALUE"""),0.0)</f>
        <v>0</v>
      </c>
      <c r="BE396" s="9">
        <f>IFERROR(__xludf.DUMMYFUNCTION("""COMPUTED_VALUE"""),10.0)</f>
        <v>10</v>
      </c>
      <c r="BF396" s="1" t="str">
        <f>IFERROR(__xludf.DUMMYFUNCTION("""COMPUTED_VALUE"""),"Energy Savior I: Deduct d10 days from your current journey.
Self Destruct Sequence II: If not owned by a player this boat will have a 75% chance to self destruct when it is the last enemy alive in battle damaging all enemies equal to this boats HP*10.
S"&amp;"tarts with 500 Storage.
Up to 10 party members can travel in this mount.
Full Rest: Fully restores hunger, thirst, and energy when on this mount.")</f>
        <v>Energy Savior I: Deduct d10 days from your current journey.
Self Destruct Sequence II: If not owned by a player this boat will have a 75% chance to self destruct when it is the last enemy alive in battle damaging all enemies equal to this boats HP*10.
Starts with 500 Storage.
Up to 10 party members can travel in this mount.
Full Rest: Fully restores hunger, thirst, and energy when on this mount.</v>
      </c>
      <c r="BG396" s="1" t="str">
        <f>IFERROR(__xludf.DUMMYFUNCTION("""COMPUTED_VALUE"""),"Ocean")</f>
        <v>Ocean</v>
      </c>
      <c r="BH396" s="1"/>
      <c r="BI396" s="1"/>
      <c r="BJ396" s="1"/>
      <c r="BK396" s="7">
        <f>IFERROR(__xludf.DUMMYFUNCTION("""COMPUTED_VALUE"""),5000.0)</f>
        <v>5000</v>
      </c>
      <c r="BL396" s="1" t="b">
        <f>IFERROR(__xludf.DUMMYFUNCTION("""COMPUTED_VALUE"""),FALSE)</f>
        <v>0</v>
      </c>
      <c r="BM396" s="1" t="str">
        <f>IFERROR(__xludf.DUMMYFUNCTION("""COMPUTED_VALUE"""),"Boat")</f>
        <v>Boat</v>
      </c>
      <c r="BN396" s="1"/>
      <c r="BO396" s="1"/>
      <c r="BP396" s="1"/>
      <c r="BQ396" s="1"/>
    </row>
    <row r="397" ht="15.75" customHeight="1">
      <c r="A397" s="1" t="str">
        <f>IFERROR(__xludf.DUMMYFUNCTION("""COMPUTED_VALUE"""),"Elder Acid Dragon")</f>
        <v>Elder Acid Dragon</v>
      </c>
      <c r="B397" s="1">
        <f>IFERROR(__xludf.DUMMYFUNCTION("""COMPUTED_VALUE"""),1.0)</f>
        <v>1</v>
      </c>
      <c r="C397" s="1"/>
      <c r="D397" s="1" t="str">
        <f>IFERROR(__xludf.DUMMYFUNCTION("""COMPUTED_VALUE"""),"Draconic")</f>
        <v>Draconic</v>
      </c>
      <c r="E397" s="1">
        <f>IFERROR(__xludf.DUMMYFUNCTION("""COMPUTED_VALUE"""),1010.0)</f>
        <v>1010</v>
      </c>
      <c r="F397" s="7">
        <f>IFERROR(__xludf.DUMMYFUNCTION("""COMPUTED_VALUE"""),1010.0)</f>
        <v>1010</v>
      </c>
      <c r="G397" s="1">
        <f>IFERROR(__xludf.DUMMYFUNCTION("""COMPUTED_VALUE"""),1010.0)</f>
        <v>1010</v>
      </c>
      <c r="H397" s="1">
        <f>IFERROR(__xludf.DUMMYFUNCTION("""COMPUTED_VALUE"""),10.0)</f>
        <v>10</v>
      </c>
      <c r="I397" s="1">
        <f>IFERROR(__xludf.DUMMYFUNCTION("""COMPUTED_VALUE"""),10.0)</f>
        <v>10</v>
      </c>
      <c r="J397" s="1">
        <f>IFERROR(__xludf.DUMMYFUNCTION("""COMPUTED_VALUE"""),10.0)</f>
        <v>10</v>
      </c>
      <c r="K397" s="1">
        <f>IFERROR(__xludf.DUMMYFUNCTION("""COMPUTED_VALUE"""),100.0)</f>
        <v>100</v>
      </c>
      <c r="L397" s="1">
        <f>IFERROR(__xludf.DUMMYFUNCTION("""COMPUTED_VALUE"""),100.0)</f>
        <v>100</v>
      </c>
      <c r="M397" s="1" t="str">
        <f>IFERROR(__xludf.DUMMYFUNCTION("""COMPUTED_VALUE"""),"Nature:Immune, Instant Death:Immune, Banishment:Immune, ")</f>
        <v>Nature:Immune, Instant Death:Immune, Banishment:Immune, </v>
      </c>
      <c r="N397" s="1" t="str">
        <f>IFERROR(__xludf.DUMMYFUNCTION("""COMPUTED_VALUE"""),"Fire:100, Storm:100, ")</f>
        <v>Fire:100, Storm:100, </v>
      </c>
      <c r="O397" s="1"/>
      <c r="P397" s="1"/>
      <c r="Q397" s="1"/>
      <c r="R397" s="1"/>
      <c r="S397" s="1"/>
      <c r="T397" s="1"/>
      <c r="U397" s="1"/>
      <c r="V397" s="1"/>
      <c r="W397" s="1"/>
      <c r="X397" s="1"/>
      <c r="Y397" s="1"/>
      <c r="Z397" s="1"/>
      <c r="AA397" s="1"/>
      <c r="AB397" s="1"/>
      <c r="AC397" s="1"/>
      <c r="AD397" s="1"/>
      <c r="AE397" s="1"/>
      <c r="AF397" s="1"/>
      <c r="AG397" s="1"/>
      <c r="AH397" s="1"/>
      <c r="AI397" s="1"/>
      <c r="AJ397" s="1" t="str">
        <f>IFERROR(__xludf.DUMMYFUNCTION("""COMPUTED_VALUE"""),"Greater Dragon's Breath")</f>
        <v>Greater Dragon's Breath</v>
      </c>
      <c r="AK397" s="1" t="str">
        <f>IFERROR(__xludf.DUMMYFUNCTION("""COMPUTED_VALUE"""),"Bite")</f>
        <v>Bite</v>
      </c>
      <c r="AL397" s="1" t="str">
        <f>IFERROR(__xludf.DUMMYFUNCTION("""COMPUTED_VALUE"""),"Tail Smash")</f>
        <v>Tail Smash</v>
      </c>
      <c r="AM397" s="1" t="str">
        <f>IFERROR(__xludf.DUMMYFUNCTION("""COMPUTED_VALUE"""),"Claws")</f>
        <v>Claws</v>
      </c>
      <c r="AN397" s="1" t="str">
        <f>IFERROR(__xludf.DUMMYFUNCTION("""COMPUTED_VALUE"""),"Berserk")</f>
        <v>Berserk</v>
      </c>
      <c r="AO397" s="1" t="str">
        <f>IFERROR(__xludf.DUMMYFUNCTION("""COMPUTED_VALUE"""),"Multishot")</f>
        <v>Multishot</v>
      </c>
      <c r="AP397" s="1" t="str">
        <f>IFERROR(__xludf.DUMMYFUNCTION("""COMPUTED_VALUE"""),"Draconic Scream")</f>
        <v>Draconic Scream</v>
      </c>
      <c r="AQ397" s="1" t="str">
        <f>IFERROR(__xludf.DUMMYFUNCTION("""COMPUTED_VALUE"""),"Poison Fang")</f>
        <v>Poison Fang</v>
      </c>
      <c r="AR397" s="1" t="str">
        <f>IFERROR(__xludf.DUMMYFUNCTION("""COMPUTED_VALUE"""),"Class 3 Poison")</f>
        <v>Class 3 Poison</v>
      </c>
      <c r="AS397" s="1" t="str">
        <f>IFERROR(__xludf.DUMMYFUNCTION("""COMPUTED_VALUE"""),"1000 Poisons Body")</f>
        <v>1000 Poisons Body</v>
      </c>
      <c r="AT397" s="1" t="str">
        <f>IFERROR(__xludf.DUMMYFUNCTION("""COMPUTED_VALUE"""),"Thorn Bush")</f>
        <v>Thorn Bush</v>
      </c>
      <c r="AU397" s="1" t="str">
        <f>IFERROR(__xludf.DUMMYFUNCTION("""COMPUTED_VALUE"""),"Poisonous Fumes")</f>
        <v>Poisonous Fumes</v>
      </c>
      <c r="AV397" s="1" t="str">
        <f>IFERROR(__xludf.DUMMYFUNCTION("""COMPUTED_VALUE"""),"Celestial Wrath")</f>
        <v>Celestial Wrath</v>
      </c>
      <c r="AW397" s="1"/>
      <c r="AX397" s="1"/>
      <c r="AY397" s="1"/>
      <c r="AZ397" s="1"/>
      <c r="BA397" s="1"/>
      <c r="BB397" s="1"/>
      <c r="BC397" s="1"/>
      <c r="BD397" s="1">
        <f>IFERROR(__xludf.DUMMYFUNCTION("""COMPUTED_VALUE"""),10.0)</f>
        <v>10</v>
      </c>
      <c r="BE397" s="9">
        <f>IFERROR(__xludf.DUMMYFUNCTION("""COMPUTED_VALUE"""),10.0)</f>
        <v>10</v>
      </c>
      <c r="BF397" s="1" t="str">
        <f>IFERROR(__xludf.DUMMYFUNCTION("""COMPUTED_VALUE"""),"50% chance to be unaffected by any spells affecting this creature
Dragons Luck: +5 can be added to this mobs d20 rolls.
Immune to poison")</f>
        <v>50% chance to be unaffected by any spells affecting this creature
Dragons Luck: +5 can be added to this mobs d20 rolls.
Immune to poison</v>
      </c>
      <c r="BG397" s="1" t="str">
        <f>IFERROR(__xludf.DUMMYFUNCTION("""COMPUTED_VALUE"""),"All")</f>
        <v>All</v>
      </c>
      <c r="BH397" s="1" t="str">
        <f>IFERROR(__xludf.DUMMYFUNCTION("""COMPUTED_VALUE"""),"Dragonscale Island")</f>
        <v>Dragonscale Island</v>
      </c>
      <c r="BI397" s="1"/>
      <c r="BJ397" s="1"/>
      <c r="BK397" s="1"/>
      <c r="BL397" s="1" t="b">
        <f>IFERROR(__xludf.DUMMYFUNCTION("""COMPUTED_VALUE"""),FALSE)</f>
        <v>0</v>
      </c>
      <c r="BM397" s="1"/>
      <c r="BN397" s="1"/>
      <c r="BO397" s="1"/>
      <c r="BP397" s="1"/>
      <c r="BQ397" s="1"/>
    </row>
    <row r="398" ht="15.75" customHeight="1">
      <c r="A398" s="1" t="str">
        <f>IFERROR(__xludf.DUMMYFUNCTION("""COMPUTED_VALUE"""),"Elder Water Dragon")</f>
        <v>Elder Water Dragon</v>
      </c>
      <c r="B398" s="1">
        <f>IFERROR(__xludf.DUMMYFUNCTION("""COMPUTED_VALUE"""),1.0)</f>
        <v>1</v>
      </c>
      <c r="C398" s="1"/>
      <c r="D398" s="1" t="str">
        <f>IFERROR(__xludf.DUMMYFUNCTION("""COMPUTED_VALUE"""),"Draconic")</f>
        <v>Draconic</v>
      </c>
      <c r="E398" s="1">
        <f>IFERROR(__xludf.DUMMYFUNCTION("""COMPUTED_VALUE"""),1010.0)</f>
        <v>1010</v>
      </c>
      <c r="F398" s="7">
        <f>IFERROR(__xludf.DUMMYFUNCTION("""COMPUTED_VALUE"""),1010.0)</f>
        <v>1010</v>
      </c>
      <c r="G398" s="1">
        <f>IFERROR(__xludf.DUMMYFUNCTION("""COMPUTED_VALUE"""),1010.0)</f>
        <v>1010</v>
      </c>
      <c r="H398" s="1">
        <f>IFERROR(__xludf.DUMMYFUNCTION("""COMPUTED_VALUE"""),10.0)</f>
        <v>10</v>
      </c>
      <c r="I398" s="1">
        <f>IFERROR(__xludf.DUMMYFUNCTION("""COMPUTED_VALUE"""),10.0)</f>
        <v>10</v>
      </c>
      <c r="J398" s="1">
        <f>IFERROR(__xludf.DUMMYFUNCTION("""COMPUTED_VALUE"""),10.0)</f>
        <v>10</v>
      </c>
      <c r="K398" s="1">
        <f>IFERROR(__xludf.DUMMYFUNCTION("""COMPUTED_VALUE"""),100.0)</f>
        <v>100</v>
      </c>
      <c r="L398" s="1">
        <f>IFERROR(__xludf.DUMMYFUNCTION("""COMPUTED_VALUE"""),100.0)</f>
        <v>100</v>
      </c>
      <c r="M398" s="1" t="str">
        <f>IFERROR(__xludf.DUMMYFUNCTION("""COMPUTED_VALUE"""),"Fire:Immune, Water:Immune, Instant Death:Immune, Banishment:Immune, ")</f>
        <v>Fire:Immune, Water:Immune, Instant Death:Immune, Banishment:Immune, </v>
      </c>
      <c r="N398" s="1" t="str">
        <f>IFERROR(__xludf.DUMMYFUNCTION("""COMPUTED_VALUE"""),"Nature:100, ")</f>
        <v>Nature:100, </v>
      </c>
      <c r="O398" s="1"/>
      <c r="P398" s="1"/>
      <c r="Q398" s="1"/>
      <c r="R398" s="1"/>
      <c r="S398" s="1"/>
      <c r="T398" s="1"/>
      <c r="U398" s="1"/>
      <c r="V398" s="1"/>
      <c r="W398" s="1"/>
      <c r="X398" s="1"/>
      <c r="Y398" s="1"/>
      <c r="Z398" s="1"/>
      <c r="AA398" s="1"/>
      <c r="AB398" s="1"/>
      <c r="AC398" s="1"/>
      <c r="AD398" s="1"/>
      <c r="AE398" s="1"/>
      <c r="AF398" s="1"/>
      <c r="AG398" s="1"/>
      <c r="AH398" s="1"/>
      <c r="AI398" s="1"/>
      <c r="AJ398" s="1" t="str">
        <f>IFERROR(__xludf.DUMMYFUNCTION("""COMPUTED_VALUE"""),"Greater Dragon's Breath")</f>
        <v>Greater Dragon's Breath</v>
      </c>
      <c r="AK398" s="1" t="str">
        <f>IFERROR(__xludf.DUMMYFUNCTION("""COMPUTED_VALUE"""),"Bite")</f>
        <v>Bite</v>
      </c>
      <c r="AL398" s="1" t="str">
        <f>IFERROR(__xludf.DUMMYFUNCTION("""COMPUTED_VALUE"""),"Tail Smash")</f>
        <v>Tail Smash</v>
      </c>
      <c r="AM398" s="1" t="str">
        <f>IFERROR(__xludf.DUMMYFUNCTION("""COMPUTED_VALUE"""),"Claws")</f>
        <v>Claws</v>
      </c>
      <c r="AN398" s="1" t="str">
        <f>IFERROR(__xludf.DUMMYFUNCTION("""COMPUTED_VALUE"""),"Berserk")</f>
        <v>Berserk</v>
      </c>
      <c r="AO398" s="1" t="str">
        <f>IFERROR(__xludf.DUMMYFUNCTION("""COMPUTED_VALUE"""),"Multishot")</f>
        <v>Multishot</v>
      </c>
      <c r="AP398" s="1" t="str">
        <f>IFERROR(__xludf.DUMMYFUNCTION("""COMPUTED_VALUE"""),"Draconic Scream")</f>
        <v>Draconic Scream</v>
      </c>
      <c r="AQ398" s="1" t="str">
        <f>IFERROR(__xludf.DUMMYFUNCTION("""COMPUTED_VALUE"""),"Crashing Waves")</f>
        <v>Crashing Waves</v>
      </c>
      <c r="AR398" s="1" t="str">
        <f>IFERROR(__xludf.DUMMYFUNCTION("""COMPUTED_VALUE"""),"Torrential Downpour")</f>
        <v>Torrential Downpour</v>
      </c>
      <c r="AS398" s="1" t="str">
        <f>IFERROR(__xludf.DUMMYFUNCTION("""COMPUTED_VALUE"""),"Deep Freeze")</f>
        <v>Deep Freeze</v>
      </c>
      <c r="AT398" s="1" t="str">
        <f>IFERROR(__xludf.DUMMYFUNCTION("""COMPUTED_VALUE"""),"Celestial Wrath")</f>
        <v>Celestial Wrath</v>
      </c>
      <c r="AU398" s="1"/>
      <c r="AV398" s="1"/>
      <c r="AW398" s="1"/>
      <c r="AX398" s="1"/>
      <c r="AY398" s="1"/>
      <c r="AZ398" s="1"/>
      <c r="BA398" s="1"/>
      <c r="BB398" s="1"/>
      <c r="BC398" s="1"/>
      <c r="BD398" s="1">
        <f>IFERROR(__xludf.DUMMYFUNCTION("""COMPUTED_VALUE"""),10.0)</f>
        <v>10</v>
      </c>
      <c r="BE398" s="9">
        <f>IFERROR(__xludf.DUMMYFUNCTION("""COMPUTED_VALUE"""),10.0)</f>
        <v>10</v>
      </c>
      <c r="BF398"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398" s="1" t="str">
        <f>IFERROR(__xludf.DUMMYFUNCTION("""COMPUTED_VALUE"""),"All")</f>
        <v>All</v>
      </c>
      <c r="BH398" s="1" t="str">
        <f>IFERROR(__xludf.DUMMYFUNCTION("""COMPUTED_VALUE"""),"Dragonscale Island")</f>
        <v>Dragonscale Island</v>
      </c>
      <c r="BI398" s="1"/>
      <c r="BJ398" s="1"/>
      <c r="BK398" s="1"/>
      <c r="BL398" s="1" t="b">
        <f>IFERROR(__xludf.DUMMYFUNCTION("""COMPUTED_VALUE"""),FALSE)</f>
        <v>0</v>
      </c>
      <c r="BM398" s="1"/>
      <c r="BN398" s="1"/>
      <c r="BO398" s="1"/>
      <c r="BP398" s="1"/>
      <c r="BQ398" s="1"/>
    </row>
    <row r="399" ht="15.75" customHeight="1">
      <c r="A399" s="1" t="str">
        <f>IFERROR(__xludf.DUMMYFUNCTION("""COMPUTED_VALUE"""),"Elder Astral Dragon")</f>
        <v>Elder Astral Dragon</v>
      </c>
      <c r="B399" s="1">
        <f>IFERROR(__xludf.DUMMYFUNCTION("""COMPUTED_VALUE"""),1.0)</f>
        <v>1</v>
      </c>
      <c r="C399" s="1"/>
      <c r="D399" s="1" t="str">
        <f>IFERROR(__xludf.DUMMYFUNCTION("""COMPUTED_VALUE"""),"Draconic")</f>
        <v>Draconic</v>
      </c>
      <c r="E399" s="1">
        <f>IFERROR(__xludf.DUMMYFUNCTION("""COMPUTED_VALUE"""),1010.0)</f>
        <v>1010</v>
      </c>
      <c r="F399" s="7">
        <f>IFERROR(__xludf.DUMMYFUNCTION("""COMPUTED_VALUE"""),1010.0)</f>
        <v>1010</v>
      </c>
      <c r="G399" s="1">
        <f>IFERROR(__xludf.DUMMYFUNCTION("""COMPUTED_VALUE"""),1010.0)</f>
        <v>1010</v>
      </c>
      <c r="H399" s="1">
        <f>IFERROR(__xludf.DUMMYFUNCTION("""COMPUTED_VALUE"""),10.0)</f>
        <v>10</v>
      </c>
      <c r="I399" s="1">
        <f>IFERROR(__xludf.DUMMYFUNCTION("""COMPUTED_VALUE"""),10.0)</f>
        <v>10</v>
      </c>
      <c r="J399" s="1">
        <f>IFERROR(__xludf.DUMMYFUNCTION("""COMPUTED_VALUE"""),10.0)</f>
        <v>10</v>
      </c>
      <c r="K399" s="1">
        <f>IFERROR(__xludf.DUMMYFUNCTION("""COMPUTED_VALUE"""),100.0)</f>
        <v>100</v>
      </c>
      <c r="L399" s="1">
        <f>IFERROR(__xludf.DUMMYFUNCTION("""COMPUTED_VALUE"""),100.0)</f>
        <v>100</v>
      </c>
      <c r="M399" s="1" t="str">
        <f>IFERROR(__xludf.DUMMYFUNCTION("""COMPUTED_VALUE"""),"Astral:Immune, Instant Death:Immune, Banishment:Immune, ")</f>
        <v>Astral:Immune, Instant Death:Immune, Banishment:Immune, </v>
      </c>
      <c r="N399" s="1" t="str">
        <f>IFERROR(__xludf.DUMMYFUNCTION("""COMPUTED_VALUE"""),"Celestial:100, ")</f>
        <v>Celestial:100, </v>
      </c>
      <c r="O399" s="1"/>
      <c r="P399" s="1"/>
      <c r="Q399" s="1"/>
      <c r="R399" s="1"/>
      <c r="S399" s="1"/>
      <c r="T399" s="1"/>
      <c r="U399" s="1"/>
      <c r="V399" s="1"/>
      <c r="W399" s="1"/>
      <c r="X399" s="1"/>
      <c r="Y399" s="1"/>
      <c r="Z399" s="1"/>
      <c r="AA399" s="1"/>
      <c r="AB399" s="1"/>
      <c r="AC399" s="1"/>
      <c r="AD399" s="1"/>
      <c r="AE399" s="1"/>
      <c r="AF399" s="1"/>
      <c r="AG399" s="1"/>
      <c r="AH399" s="1"/>
      <c r="AI399" s="1"/>
      <c r="AJ399" s="1" t="str">
        <f>IFERROR(__xludf.DUMMYFUNCTION("""COMPUTED_VALUE"""),"Greater Dragon's Breath")</f>
        <v>Greater Dragon's Breath</v>
      </c>
      <c r="AK399" s="1" t="str">
        <f>IFERROR(__xludf.DUMMYFUNCTION("""COMPUTED_VALUE"""),"Bite")</f>
        <v>Bite</v>
      </c>
      <c r="AL399" s="1" t="str">
        <f>IFERROR(__xludf.DUMMYFUNCTION("""COMPUTED_VALUE"""),"Tail Smash")</f>
        <v>Tail Smash</v>
      </c>
      <c r="AM399" s="1" t="str">
        <f>IFERROR(__xludf.DUMMYFUNCTION("""COMPUTED_VALUE"""),"Claws")</f>
        <v>Claws</v>
      </c>
      <c r="AN399" s="1" t="str">
        <f>IFERROR(__xludf.DUMMYFUNCTION("""COMPUTED_VALUE"""),"Berserk")</f>
        <v>Berserk</v>
      </c>
      <c r="AO399" s="1" t="str">
        <f>IFERROR(__xludf.DUMMYFUNCTION("""COMPUTED_VALUE"""),"Multishot")</f>
        <v>Multishot</v>
      </c>
      <c r="AP399" s="1" t="str">
        <f>IFERROR(__xludf.DUMMYFUNCTION("""COMPUTED_VALUE"""),"Draconic Scream")</f>
        <v>Draconic Scream</v>
      </c>
      <c r="AQ399" s="1" t="str">
        <f>IFERROR(__xludf.DUMMYFUNCTION("""COMPUTED_VALUE"""),"Black Hole")</f>
        <v>Black Hole</v>
      </c>
      <c r="AR399" s="1" t="str">
        <f>IFERROR(__xludf.DUMMYFUNCTION("""COMPUTED_VALUE"""),"Planetary Meteor Storm")</f>
        <v>Planetary Meteor Storm</v>
      </c>
      <c r="AS399" s="1" t="str">
        <f>IFERROR(__xludf.DUMMYFUNCTION("""COMPUTED_VALUE"""),"Lunar Ward")</f>
        <v>Lunar Ward</v>
      </c>
      <c r="AT399" s="1" t="str">
        <f>IFERROR(__xludf.DUMMYFUNCTION("""COMPUTED_VALUE"""),"Solar Ward")</f>
        <v>Solar Ward</v>
      </c>
      <c r="AU399" s="1" t="str">
        <f>IFERROR(__xludf.DUMMYFUNCTION("""COMPUTED_VALUE"""),"Celestial Wrath")</f>
        <v>Celestial Wrath</v>
      </c>
      <c r="AV399" s="1"/>
      <c r="AW399" s="1"/>
      <c r="AX399" s="1"/>
      <c r="AY399" s="1"/>
      <c r="AZ399" s="1"/>
      <c r="BA399" s="1"/>
      <c r="BB399" s="1"/>
      <c r="BC399" s="1"/>
      <c r="BD399" s="1">
        <f>IFERROR(__xludf.DUMMYFUNCTION("""COMPUTED_VALUE"""),10.0)</f>
        <v>10</v>
      </c>
      <c r="BE399" s="9">
        <f>IFERROR(__xludf.DUMMYFUNCTION("""COMPUTED_VALUE"""),10.0)</f>
        <v>10</v>
      </c>
      <c r="BF399"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399" s="1" t="str">
        <f>IFERROR(__xludf.DUMMYFUNCTION("""COMPUTED_VALUE"""),"All")</f>
        <v>All</v>
      </c>
      <c r="BH399" s="1" t="str">
        <f>IFERROR(__xludf.DUMMYFUNCTION("""COMPUTED_VALUE"""),"Dragonscale Island")</f>
        <v>Dragonscale Island</v>
      </c>
      <c r="BI399" s="1"/>
      <c r="BJ399" s="1"/>
      <c r="BK399" s="1"/>
      <c r="BL399" s="1" t="b">
        <f>IFERROR(__xludf.DUMMYFUNCTION("""COMPUTED_VALUE"""),FALSE)</f>
        <v>0</v>
      </c>
      <c r="BM399" s="1"/>
      <c r="BN399" s="1"/>
      <c r="BO399" s="1"/>
      <c r="BP399" s="1"/>
      <c r="BQ399" s="1"/>
    </row>
    <row r="400" ht="15.75" customHeight="1">
      <c r="A400" s="1" t="str">
        <f>IFERROR(__xludf.DUMMYFUNCTION("""COMPUTED_VALUE"""),"Elder Celestial Dragon")</f>
        <v>Elder Celestial Dragon</v>
      </c>
      <c r="B400" s="1">
        <f>IFERROR(__xludf.DUMMYFUNCTION("""COMPUTED_VALUE"""),1.0)</f>
        <v>1</v>
      </c>
      <c r="C400" s="1"/>
      <c r="D400" s="1" t="str">
        <f>IFERROR(__xludf.DUMMYFUNCTION("""COMPUTED_VALUE"""),"Draconic")</f>
        <v>Draconic</v>
      </c>
      <c r="E400" s="1">
        <f>IFERROR(__xludf.DUMMYFUNCTION("""COMPUTED_VALUE"""),1010.0)</f>
        <v>1010</v>
      </c>
      <c r="F400" s="7">
        <f>IFERROR(__xludf.DUMMYFUNCTION("""COMPUTED_VALUE"""),1010.0)</f>
        <v>1010</v>
      </c>
      <c r="G400" s="1">
        <f>IFERROR(__xludf.DUMMYFUNCTION("""COMPUTED_VALUE"""),1010.0)</f>
        <v>1010</v>
      </c>
      <c r="H400" s="1">
        <f>IFERROR(__xludf.DUMMYFUNCTION("""COMPUTED_VALUE"""),10.0)</f>
        <v>10</v>
      </c>
      <c r="I400" s="1">
        <f>IFERROR(__xludf.DUMMYFUNCTION("""COMPUTED_VALUE"""),10.0)</f>
        <v>10</v>
      </c>
      <c r="J400" s="1">
        <f>IFERROR(__xludf.DUMMYFUNCTION("""COMPUTED_VALUE"""),10.0)</f>
        <v>10</v>
      </c>
      <c r="K400" s="1">
        <f>IFERROR(__xludf.DUMMYFUNCTION("""COMPUTED_VALUE"""),100.0)</f>
        <v>100</v>
      </c>
      <c r="L400" s="1">
        <f>IFERROR(__xludf.DUMMYFUNCTION("""COMPUTED_VALUE"""),100.0)</f>
        <v>100</v>
      </c>
      <c r="M400" s="1" t="str">
        <f>IFERROR(__xludf.DUMMYFUNCTION("""COMPUTED_VALUE"""),"Celestial:Immune, Instant Death:Immune, Banishment:Immune, ")</f>
        <v>Celestial:Immune, Instant Death:Immune, Banishment:Immune, </v>
      </c>
      <c r="N400" s="1" t="str">
        <f>IFERROR(__xludf.DUMMYFUNCTION("""COMPUTED_VALUE"""),"Astral:100, ")</f>
        <v>Astral:100, </v>
      </c>
      <c r="O400" s="1"/>
      <c r="P400" s="1"/>
      <c r="Q400" s="1"/>
      <c r="R400" s="1"/>
      <c r="S400" s="1"/>
      <c r="T400" s="1"/>
      <c r="U400" s="1"/>
      <c r="V400" s="1"/>
      <c r="W400" s="1"/>
      <c r="X400" s="1"/>
      <c r="Y400" s="1"/>
      <c r="Z400" s="1"/>
      <c r="AA400" s="1"/>
      <c r="AB400" s="1"/>
      <c r="AC400" s="1"/>
      <c r="AD400" s="1"/>
      <c r="AE400" s="1"/>
      <c r="AF400" s="1"/>
      <c r="AG400" s="1"/>
      <c r="AH400" s="1"/>
      <c r="AI400" s="1"/>
      <c r="AJ400" s="1" t="str">
        <f>IFERROR(__xludf.DUMMYFUNCTION("""COMPUTED_VALUE"""),"Greater Dragon's Breath")</f>
        <v>Greater Dragon's Breath</v>
      </c>
      <c r="AK400" s="1" t="str">
        <f>IFERROR(__xludf.DUMMYFUNCTION("""COMPUTED_VALUE"""),"Bite")</f>
        <v>Bite</v>
      </c>
      <c r="AL400" s="1" t="str">
        <f>IFERROR(__xludf.DUMMYFUNCTION("""COMPUTED_VALUE"""),"Tail Smash")</f>
        <v>Tail Smash</v>
      </c>
      <c r="AM400" s="1" t="str">
        <f>IFERROR(__xludf.DUMMYFUNCTION("""COMPUTED_VALUE"""),"Claws")</f>
        <v>Claws</v>
      </c>
      <c r="AN400" s="1" t="str">
        <f>IFERROR(__xludf.DUMMYFUNCTION("""COMPUTED_VALUE"""),"Berserk")</f>
        <v>Berserk</v>
      </c>
      <c r="AO400" s="1" t="str">
        <f>IFERROR(__xludf.DUMMYFUNCTION("""COMPUTED_VALUE"""),"Multishot")</f>
        <v>Multishot</v>
      </c>
      <c r="AP400" s="1" t="str">
        <f>IFERROR(__xludf.DUMMYFUNCTION("""COMPUTED_VALUE"""),"Draconic Scream")</f>
        <v>Draconic Scream</v>
      </c>
      <c r="AQ400" s="1" t="str">
        <f>IFERROR(__xludf.DUMMYFUNCTION("""COMPUTED_VALUE"""),"Mass Destruction")</f>
        <v>Mass Destruction</v>
      </c>
      <c r="AR400" s="1" t="str">
        <f>IFERROR(__xludf.DUMMYFUNCTION("""COMPUTED_VALUE"""),"Vaporize")</f>
        <v>Vaporize</v>
      </c>
      <c r="AS400" s="1" t="str">
        <f>IFERROR(__xludf.DUMMYFUNCTION("""COMPUTED_VALUE"""),"Celestial Wrath")</f>
        <v>Celestial Wrath</v>
      </c>
      <c r="AT400" s="1"/>
      <c r="AU400" s="1"/>
      <c r="AV400" s="1"/>
      <c r="AW400" s="1"/>
      <c r="AX400" s="1"/>
      <c r="AY400" s="1"/>
      <c r="AZ400" s="1"/>
      <c r="BA400" s="1"/>
      <c r="BB400" s="1"/>
      <c r="BC400" s="1"/>
      <c r="BD400" s="1">
        <f>IFERROR(__xludf.DUMMYFUNCTION("""COMPUTED_VALUE"""),10.0)</f>
        <v>10</v>
      </c>
      <c r="BE400" s="9">
        <f>IFERROR(__xludf.DUMMYFUNCTION("""COMPUTED_VALUE"""),10.0)</f>
        <v>10</v>
      </c>
      <c r="BF400"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0" s="1" t="str">
        <f>IFERROR(__xludf.DUMMYFUNCTION("""COMPUTED_VALUE"""),"All")</f>
        <v>All</v>
      </c>
      <c r="BH400" s="1" t="str">
        <f>IFERROR(__xludf.DUMMYFUNCTION("""COMPUTED_VALUE"""),"Dragonscale Island")</f>
        <v>Dragonscale Island</v>
      </c>
      <c r="BI400" s="1"/>
      <c r="BJ400" s="1"/>
      <c r="BK400" s="1"/>
      <c r="BL400" s="1" t="b">
        <f>IFERROR(__xludf.DUMMYFUNCTION("""COMPUTED_VALUE"""),FALSE)</f>
        <v>0</v>
      </c>
      <c r="BM400" s="1"/>
      <c r="BN400" s="1"/>
      <c r="BO400" s="1"/>
      <c r="BP400" s="1"/>
      <c r="BQ400" s="1"/>
    </row>
    <row r="401" ht="15.75" customHeight="1">
      <c r="A401" s="1" t="str">
        <f>IFERROR(__xludf.DUMMYFUNCTION("""COMPUTED_VALUE"""),"Elder Chaos Dragon")</f>
        <v>Elder Chaos Dragon</v>
      </c>
      <c r="B401" s="1">
        <f>IFERROR(__xludf.DUMMYFUNCTION("""COMPUTED_VALUE"""),1.0)</f>
        <v>1</v>
      </c>
      <c r="C401" s="1"/>
      <c r="D401" s="1" t="str">
        <f>IFERROR(__xludf.DUMMYFUNCTION("""COMPUTED_VALUE"""),"Draconic")</f>
        <v>Draconic</v>
      </c>
      <c r="E401" s="1">
        <f>IFERROR(__xludf.DUMMYFUNCTION("""COMPUTED_VALUE"""),1010.0)</f>
        <v>1010</v>
      </c>
      <c r="F401" s="7">
        <f>IFERROR(__xludf.DUMMYFUNCTION("""COMPUTED_VALUE"""),1010.0)</f>
        <v>1010</v>
      </c>
      <c r="G401" s="1">
        <f>IFERROR(__xludf.DUMMYFUNCTION("""COMPUTED_VALUE"""),1010.0)</f>
        <v>1010</v>
      </c>
      <c r="H401" s="1">
        <f>IFERROR(__xludf.DUMMYFUNCTION("""COMPUTED_VALUE"""),10.0)</f>
        <v>10</v>
      </c>
      <c r="I401" s="1">
        <f>IFERROR(__xludf.DUMMYFUNCTION("""COMPUTED_VALUE"""),10.0)</f>
        <v>10</v>
      </c>
      <c r="J401" s="1">
        <f>IFERROR(__xludf.DUMMYFUNCTION("""COMPUTED_VALUE"""),10.0)</f>
        <v>10</v>
      </c>
      <c r="K401" s="1">
        <f>IFERROR(__xludf.DUMMYFUNCTION("""COMPUTED_VALUE"""),100.0)</f>
        <v>100</v>
      </c>
      <c r="L401" s="1">
        <f>IFERROR(__xludf.DUMMYFUNCTION("""COMPUTED_VALUE"""),100.0)</f>
        <v>100</v>
      </c>
      <c r="M401" s="1" t="str">
        <f>IFERROR(__xludf.DUMMYFUNCTION("""COMPUTED_VALUE"""),"Chaos:Immune, Instant Death:Immune, Banishment:Immune, ")</f>
        <v>Chaos:Immune, Instant Death:Immune, Banishment:Immune, </v>
      </c>
      <c r="N401" s="1" t="str">
        <f>IFERROR(__xludf.DUMMYFUNCTION("""COMPUTED_VALUE"""),"Order:100, ")</f>
        <v>Order:100, </v>
      </c>
      <c r="O401" s="1"/>
      <c r="P401" s="1"/>
      <c r="Q401" s="1"/>
      <c r="R401" s="1"/>
      <c r="S401" s="1"/>
      <c r="T401" s="1"/>
      <c r="U401" s="1"/>
      <c r="V401" s="1"/>
      <c r="W401" s="1"/>
      <c r="X401" s="1"/>
      <c r="Y401" s="1"/>
      <c r="Z401" s="1"/>
      <c r="AA401" s="1"/>
      <c r="AB401" s="1"/>
      <c r="AC401" s="1"/>
      <c r="AD401" s="1"/>
      <c r="AE401" s="1"/>
      <c r="AF401" s="1"/>
      <c r="AG401" s="1"/>
      <c r="AH401" s="1"/>
      <c r="AI401" s="1"/>
      <c r="AJ401" s="1" t="str">
        <f>IFERROR(__xludf.DUMMYFUNCTION("""COMPUTED_VALUE"""),"Greater Dragon's Breath")</f>
        <v>Greater Dragon's Breath</v>
      </c>
      <c r="AK401" s="1" t="str">
        <f>IFERROR(__xludf.DUMMYFUNCTION("""COMPUTED_VALUE"""),"Bite")</f>
        <v>Bite</v>
      </c>
      <c r="AL401" s="1" t="str">
        <f>IFERROR(__xludf.DUMMYFUNCTION("""COMPUTED_VALUE"""),"Tail Smash")</f>
        <v>Tail Smash</v>
      </c>
      <c r="AM401" s="1" t="str">
        <f>IFERROR(__xludf.DUMMYFUNCTION("""COMPUTED_VALUE"""),"Claws")</f>
        <v>Claws</v>
      </c>
      <c r="AN401" s="1" t="str">
        <f>IFERROR(__xludf.DUMMYFUNCTION("""COMPUTED_VALUE"""),"Berserk")</f>
        <v>Berserk</v>
      </c>
      <c r="AO401" s="1" t="str">
        <f>IFERROR(__xludf.DUMMYFUNCTION("""COMPUTED_VALUE"""),"Multishot")</f>
        <v>Multishot</v>
      </c>
      <c r="AP401" s="1" t="str">
        <f>IFERROR(__xludf.DUMMYFUNCTION("""COMPUTED_VALUE"""),"Draconic Scream")</f>
        <v>Draconic Scream</v>
      </c>
      <c r="AQ401" s="1" t="str">
        <f>IFERROR(__xludf.DUMMYFUNCTION("""COMPUTED_VALUE"""),"Chaos Ward")</f>
        <v>Chaos Ward</v>
      </c>
      <c r="AR401" s="1" t="str">
        <f>IFERROR(__xludf.DUMMYFUNCTION("""COMPUTED_VALUE"""),"Shatter")</f>
        <v>Shatter</v>
      </c>
      <c r="AS401" s="1" t="str">
        <f>IFERROR(__xludf.DUMMYFUNCTION("""COMPUTED_VALUE"""),"Dimensional Quake")</f>
        <v>Dimensional Quake</v>
      </c>
      <c r="AT401" s="1" t="str">
        <f>IFERROR(__xludf.DUMMYFUNCTION("""COMPUTED_VALUE"""),"Dimension Portal")</f>
        <v>Dimension Portal</v>
      </c>
      <c r="AU401" s="1" t="str">
        <f>IFERROR(__xludf.DUMMYFUNCTION("""COMPUTED_VALUE"""),"Damage With A Cost.")</f>
        <v>Damage With A Cost.</v>
      </c>
      <c r="AV401" s="1" t="str">
        <f>IFERROR(__xludf.DUMMYFUNCTION("""COMPUTED_VALUE"""),"Swallow")</f>
        <v>Swallow</v>
      </c>
      <c r="AW401" s="1" t="str">
        <f>IFERROR(__xludf.DUMMYFUNCTION("""COMPUTED_VALUE"""),"Celestial Wrath")</f>
        <v>Celestial Wrath</v>
      </c>
      <c r="AX401" s="1"/>
      <c r="AY401" s="1"/>
      <c r="AZ401" s="1"/>
      <c r="BA401" s="1"/>
      <c r="BB401" s="1"/>
      <c r="BC401" s="1"/>
      <c r="BD401" s="1">
        <f>IFERROR(__xludf.DUMMYFUNCTION("""COMPUTED_VALUE"""),10.0)</f>
        <v>10</v>
      </c>
      <c r="BE401" s="9">
        <f>IFERROR(__xludf.DUMMYFUNCTION("""COMPUTED_VALUE"""),10.0)</f>
        <v>10</v>
      </c>
      <c r="BF401"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1" s="1" t="str">
        <f>IFERROR(__xludf.DUMMYFUNCTION("""COMPUTED_VALUE"""),"All")</f>
        <v>All</v>
      </c>
      <c r="BH401" s="1" t="str">
        <f>IFERROR(__xludf.DUMMYFUNCTION("""COMPUTED_VALUE"""),"Dragonscale Island")</f>
        <v>Dragonscale Island</v>
      </c>
      <c r="BI401" s="1"/>
      <c r="BJ401" s="1"/>
      <c r="BK401" s="1"/>
      <c r="BL401" s="1" t="b">
        <f>IFERROR(__xludf.DUMMYFUNCTION("""COMPUTED_VALUE"""),FALSE)</f>
        <v>0</v>
      </c>
      <c r="BM401" s="1"/>
      <c r="BN401" s="1"/>
      <c r="BO401" s="1"/>
      <c r="BP401" s="1"/>
      <c r="BQ401" s="1"/>
    </row>
    <row r="402" ht="15.75" customHeight="1">
      <c r="A402" s="1" t="str">
        <f>IFERROR(__xludf.DUMMYFUNCTION("""COMPUTED_VALUE"""),"Elder Dark Dragon")</f>
        <v>Elder Dark Dragon</v>
      </c>
      <c r="B402" s="1">
        <f>IFERROR(__xludf.DUMMYFUNCTION("""COMPUTED_VALUE"""),1.0)</f>
        <v>1</v>
      </c>
      <c r="C402" s="1"/>
      <c r="D402" s="1" t="str">
        <f>IFERROR(__xludf.DUMMYFUNCTION("""COMPUTED_VALUE"""),"Draconic")</f>
        <v>Draconic</v>
      </c>
      <c r="E402" s="1">
        <f>IFERROR(__xludf.DUMMYFUNCTION("""COMPUTED_VALUE"""),1010.0)</f>
        <v>1010</v>
      </c>
      <c r="F402" s="7">
        <f>IFERROR(__xludf.DUMMYFUNCTION("""COMPUTED_VALUE"""),1010.0)</f>
        <v>1010</v>
      </c>
      <c r="G402" s="1">
        <f>IFERROR(__xludf.DUMMYFUNCTION("""COMPUTED_VALUE"""),1010.0)</f>
        <v>1010</v>
      </c>
      <c r="H402" s="1">
        <f>IFERROR(__xludf.DUMMYFUNCTION("""COMPUTED_VALUE"""),10.0)</f>
        <v>10</v>
      </c>
      <c r="I402" s="1">
        <f>IFERROR(__xludf.DUMMYFUNCTION("""COMPUTED_VALUE"""),10.0)</f>
        <v>10</v>
      </c>
      <c r="J402" s="1">
        <f>IFERROR(__xludf.DUMMYFUNCTION("""COMPUTED_VALUE"""),10.0)</f>
        <v>10</v>
      </c>
      <c r="K402" s="1">
        <f>IFERROR(__xludf.DUMMYFUNCTION("""COMPUTED_VALUE"""),100.0)</f>
        <v>100</v>
      </c>
      <c r="L402" s="1">
        <f>IFERROR(__xludf.DUMMYFUNCTION("""COMPUTED_VALUE"""),100.0)</f>
        <v>100</v>
      </c>
      <c r="M402" s="1" t="str">
        <f>IFERROR(__xludf.DUMMYFUNCTION("""COMPUTED_VALUE"""),"Dark:Immune, Instant Death:Immune, Banishment:Immune, ")</f>
        <v>Dark:Immune, Instant Death:Immune, Banishment:Immune, </v>
      </c>
      <c r="N402" s="1" t="str">
        <f>IFERROR(__xludf.DUMMYFUNCTION("""COMPUTED_VALUE"""),"Light:100, ")</f>
        <v>Light:100, </v>
      </c>
      <c r="O402" s="1"/>
      <c r="P402" s="1"/>
      <c r="Q402" s="1"/>
      <c r="R402" s="1"/>
      <c r="S402" s="1"/>
      <c r="T402" s="1"/>
      <c r="U402" s="1"/>
      <c r="V402" s="1"/>
      <c r="W402" s="1"/>
      <c r="X402" s="1"/>
      <c r="Y402" s="1"/>
      <c r="Z402" s="1"/>
      <c r="AA402" s="1"/>
      <c r="AB402" s="1"/>
      <c r="AC402" s="1"/>
      <c r="AD402" s="1"/>
      <c r="AE402" s="1"/>
      <c r="AF402" s="1"/>
      <c r="AG402" s="1"/>
      <c r="AH402" s="1"/>
      <c r="AI402" s="1"/>
      <c r="AJ402" s="1" t="str">
        <f>IFERROR(__xludf.DUMMYFUNCTION("""COMPUTED_VALUE"""),"Greater Dragon's Breath")</f>
        <v>Greater Dragon's Breath</v>
      </c>
      <c r="AK402" s="1" t="str">
        <f>IFERROR(__xludf.DUMMYFUNCTION("""COMPUTED_VALUE"""),"Bite")</f>
        <v>Bite</v>
      </c>
      <c r="AL402" s="1" t="str">
        <f>IFERROR(__xludf.DUMMYFUNCTION("""COMPUTED_VALUE"""),"Tail Smash")</f>
        <v>Tail Smash</v>
      </c>
      <c r="AM402" s="1" t="str">
        <f>IFERROR(__xludf.DUMMYFUNCTION("""COMPUTED_VALUE"""),"Claws")</f>
        <v>Claws</v>
      </c>
      <c r="AN402" s="1" t="str">
        <f>IFERROR(__xludf.DUMMYFUNCTION("""COMPUTED_VALUE"""),"Berserk")</f>
        <v>Berserk</v>
      </c>
      <c r="AO402" s="1" t="str">
        <f>IFERROR(__xludf.DUMMYFUNCTION("""COMPUTED_VALUE"""),"Multishot")</f>
        <v>Multishot</v>
      </c>
      <c r="AP402" s="1" t="str">
        <f>IFERROR(__xludf.DUMMYFUNCTION("""COMPUTED_VALUE"""),"Draconic Scream")</f>
        <v>Draconic Scream</v>
      </c>
      <c r="AQ402" s="1" t="str">
        <f>IFERROR(__xludf.DUMMYFUNCTION("""COMPUTED_VALUE"""),"Darkest Abyss")</f>
        <v>Darkest Abyss</v>
      </c>
      <c r="AR402" s="1" t="str">
        <f>IFERROR(__xludf.DUMMYFUNCTION("""COMPUTED_VALUE"""),"Devolve")</f>
        <v>Devolve</v>
      </c>
      <c r="AS402" s="1" t="str">
        <f>IFERROR(__xludf.DUMMYFUNCTION("""COMPUTED_VALUE"""),"Dark Curse")</f>
        <v>Dark Curse</v>
      </c>
      <c r="AT402" s="1" t="str">
        <f>IFERROR(__xludf.DUMMYFUNCTION("""COMPUTED_VALUE"""),"Celestial Wrath")</f>
        <v>Celestial Wrath</v>
      </c>
      <c r="AU402" s="1"/>
      <c r="AV402" s="1"/>
      <c r="AW402" s="1"/>
      <c r="AX402" s="1"/>
      <c r="AY402" s="1"/>
      <c r="AZ402" s="1"/>
      <c r="BA402" s="1"/>
      <c r="BB402" s="1"/>
      <c r="BC402" s="1"/>
      <c r="BD402" s="1">
        <f>IFERROR(__xludf.DUMMYFUNCTION("""COMPUTED_VALUE"""),10.0)</f>
        <v>10</v>
      </c>
      <c r="BE402" s="9">
        <f>IFERROR(__xludf.DUMMYFUNCTION("""COMPUTED_VALUE"""),10.0)</f>
        <v>10</v>
      </c>
      <c r="BF402"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2" s="1" t="str">
        <f>IFERROR(__xludf.DUMMYFUNCTION("""COMPUTED_VALUE"""),"All")</f>
        <v>All</v>
      </c>
      <c r="BH402" s="1" t="str">
        <f>IFERROR(__xludf.DUMMYFUNCTION("""COMPUTED_VALUE"""),"Dragonscale Island")</f>
        <v>Dragonscale Island</v>
      </c>
      <c r="BI402" s="1"/>
      <c r="BJ402" s="1"/>
      <c r="BK402" s="1"/>
      <c r="BL402" s="1" t="b">
        <f>IFERROR(__xludf.DUMMYFUNCTION("""COMPUTED_VALUE"""),FALSE)</f>
        <v>0</v>
      </c>
      <c r="BM402" s="1"/>
      <c r="BN402" s="1"/>
      <c r="BO402" s="1"/>
      <c r="BP402" s="1"/>
      <c r="BQ402" s="1"/>
    </row>
    <row r="403" ht="15.75" customHeight="1">
      <c r="A403" s="1" t="str">
        <f>IFERROR(__xludf.DUMMYFUNCTION("""COMPUTED_VALUE"""),"Elder Delta Dragon")</f>
        <v>Elder Delta Dragon</v>
      </c>
      <c r="B403" s="1">
        <f>IFERROR(__xludf.DUMMYFUNCTION("""COMPUTED_VALUE"""),1.0)</f>
        <v>1</v>
      </c>
      <c r="C403" s="1"/>
      <c r="D403" s="1" t="str">
        <f>IFERROR(__xludf.DUMMYFUNCTION("""COMPUTED_VALUE"""),"Draconic")</f>
        <v>Draconic</v>
      </c>
      <c r="E403" s="1">
        <f>IFERROR(__xludf.DUMMYFUNCTION("""COMPUTED_VALUE"""),1010.0)</f>
        <v>1010</v>
      </c>
      <c r="F403" s="7">
        <f>IFERROR(__xludf.DUMMYFUNCTION("""COMPUTED_VALUE"""),1010.0)</f>
        <v>1010</v>
      </c>
      <c r="G403" s="1">
        <f>IFERROR(__xludf.DUMMYFUNCTION("""COMPUTED_VALUE"""),1010.0)</f>
        <v>1010</v>
      </c>
      <c r="H403" s="1">
        <f>IFERROR(__xludf.DUMMYFUNCTION("""COMPUTED_VALUE"""),10.0)</f>
        <v>10</v>
      </c>
      <c r="I403" s="1">
        <f>IFERROR(__xludf.DUMMYFUNCTION("""COMPUTED_VALUE"""),10.0)</f>
        <v>10</v>
      </c>
      <c r="J403" s="1">
        <f>IFERROR(__xludf.DUMMYFUNCTION("""COMPUTED_VALUE"""),10.0)</f>
        <v>10</v>
      </c>
      <c r="K403" s="1">
        <f>IFERROR(__xludf.DUMMYFUNCTION("""COMPUTED_VALUE"""),100.0)</f>
        <v>100</v>
      </c>
      <c r="L403" s="1">
        <f>IFERROR(__xludf.DUMMYFUNCTION("""COMPUTED_VALUE"""),100.0)</f>
        <v>100</v>
      </c>
      <c r="M403" s="1" t="str">
        <f>IFERROR(__xludf.DUMMYFUNCTION("""COMPUTED_VALUE"""),"Instant Death:Immune, Banishment:Immune, ")</f>
        <v>Instant Death:Immune, Banishment:Immune, </v>
      </c>
      <c r="N403" s="1" t="str">
        <f>IFERROR(__xludf.DUMMYFUNCTION("""COMPUTED_VALUE"""),"")</f>
        <v/>
      </c>
      <c r="O403" s="1"/>
      <c r="P403" s="1"/>
      <c r="Q403" s="1"/>
      <c r="R403" s="1"/>
      <c r="S403" s="1"/>
      <c r="T403" s="1"/>
      <c r="U403" s="1"/>
      <c r="V403" s="1"/>
      <c r="W403" s="1"/>
      <c r="X403" s="1"/>
      <c r="Y403" s="1"/>
      <c r="Z403" s="1"/>
      <c r="AA403" s="1"/>
      <c r="AB403" s="1"/>
      <c r="AC403" s="1"/>
      <c r="AD403" s="1"/>
      <c r="AE403" s="1"/>
      <c r="AF403" s="1"/>
      <c r="AG403" s="1"/>
      <c r="AH403" s="1"/>
      <c r="AI403" s="1"/>
      <c r="AJ403" s="1" t="str">
        <f>IFERROR(__xludf.DUMMYFUNCTION("""COMPUTED_VALUE"""),"Greater Dragon's Breath")</f>
        <v>Greater Dragon's Breath</v>
      </c>
      <c r="AK403" s="1" t="str">
        <f>IFERROR(__xludf.DUMMYFUNCTION("""COMPUTED_VALUE"""),"Bite")</f>
        <v>Bite</v>
      </c>
      <c r="AL403" s="1" t="str">
        <f>IFERROR(__xludf.DUMMYFUNCTION("""COMPUTED_VALUE"""),"Tail Smash")</f>
        <v>Tail Smash</v>
      </c>
      <c r="AM403" s="1" t="str">
        <f>IFERROR(__xludf.DUMMYFUNCTION("""COMPUTED_VALUE"""),"Claws")</f>
        <v>Claws</v>
      </c>
      <c r="AN403" s="1" t="str">
        <f>IFERROR(__xludf.DUMMYFUNCTION("""COMPUTED_VALUE"""),"Berserk")</f>
        <v>Berserk</v>
      </c>
      <c r="AO403" s="1" t="str">
        <f>IFERROR(__xludf.DUMMYFUNCTION("""COMPUTED_VALUE"""),"Multishot")</f>
        <v>Multishot</v>
      </c>
      <c r="AP403" s="1" t="str">
        <f>IFERROR(__xludf.DUMMYFUNCTION("""COMPUTED_VALUE"""),"Draconic Scream")</f>
        <v>Draconic Scream</v>
      </c>
      <c r="AQ403" s="1" t="str">
        <f>IFERROR(__xludf.DUMMYFUNCTION("""COMPUTED_VALUE"""),"Delta World")</f>
        <v>Delta World</v>
      </c>
      <c r="AR403" s="1" t="str">
        <f>IFERROR(__xludf.DUMMYFUNCTION("""COMPUTED_VALUE"""),"Chaincast")</f>
        <v>Chaincast</v>
      </c>
      <c r="AS403" s="1" t="str">
        <f>IFERROR(__xludf.DUMMYFUNCTION("""COMPUTED_VALUE"""),"Delta Rock &amp; Roll")</f>
        <v>Delta Rock &amp; Roll</v>
      </c>
      <c r="AT403" s="1" t="str">
        <f>IFERROR(__xludf.DUMMYFUNCTION("""COMPUTED_VALUE"""),"Elemental Storm")</f>
        <v>Elemental Storm</v>
      </c>
      <c r="AU403" s="1" t="str">
        <f>IFERROR(__xludf.DUMMYFUNCTION("""COMPUTED_VALUE"""),"Dreading Storm")</f>
        <v>Dreading Storm</v>
      </c>
      <c r="AV403" s="1" t="str">
        <f>IFERROR(__xludf.DUMMYFUNCTION("""COMPUTED_VALUE"""),"Stun Negation")</f>
        <v>Stun Negation</v>
      </c>
      <c r="AW403" s="1" t="str">
        <f>IFERROR(__xludf.DUMMYFUNCTION("""COMPUTED_VALUE"""),"Celestial Wrath")</f>
        <v>Celestial Wrath</v>
      </c>
      <c r="AX403" s="1"/>
      <c r="AY403" s="1"/>
      <c r="AZ403" s="1"/>
      <c r="BA403" s="1"/>
      <c r="BB403" s="1"/>
      <c r="BC403" s="1"/>
      <c r="BD403" s="1">
        <f>IFERROR(__xludf.DUMMYFUNCTION("""COMPUTED_VALUE"""),10.0)</f>
        <v>10</v>
      </c>
      <c r="BE403" s="9">
        <f>IFERROR(__xludf.DUMMYFUNCTION("""COMPUTED_VALUE"""),10.0)</f>
        <v>10</v>
      </c>
      <c r="BF403"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3" s="1" t="str">
        <f>IFERROR(__xludf.DUMMYFUNCTION("""COMPUTED_VALUE"""),"All")</f>
        <v>All</v>
      </c>
      <c r="BH403" s="1" t="str">
        <f>IFERROR(__xludf.DUMMYFUNCTION("""COMPUTED_VALUE"""),"Dragonscale Island")</f>
        <v>Dragonscale Island</v>
      </c>
      <c r="BI403" s="1"/>
      <c r="BJ403" s="1"/>
      <c r="BK403" s="1"/>
      <c r="BL403" s="1" t="b">
        <f>IFERROR(__xludf.DUMMYFUNCTION("""COMPUTED_VALUE"""),FALSE)</f>
        <v>0</v>
      </c>
      <c r="BM403" s="1"/>
      <c r="BN403" s="1"/>
      <c r="BO403" s="1"/>
      <c r="BP403" s="1"/>
      <c r="BQ403" s="1"/>
    </row>
    <row r="404" ht="15.75" customHeight="1">
      <c r="A404" s="1" t="str">
        <f>IFERROR(__xludf.DUMMYFUNCTION("""COMPUTED_VALUE"""),"Elder Forest Dragon")</f>
        <v>Elder Forest Dragon</v>
      </c>
      <c r="B404" s="1">
        <f>IFERROR(__xludf.DUMMYFUNCTION("""COMPUTED_VALUE"""),1.0)</f>
        <v>1</v>
      </c>
      <c r="C404" s="1"/>
      <c r="D404" s="1" t="str">
        <f>IFERROR(__xludf.DUMMYFUNCTION("""COMPUTED_VALUE"""),"Draconic")</f>
        <v>Draconic</v>
      </c>
      <c r="E404" s="1">
        <f>IFERROR(__xludf.DUMMYFUNCTION("""COMPUTED_VALUE"""),1010.0)</f>
        <v>1010</v>
      </c>
      <c r="F404" s="7">
        <f>IFERROR(__xludf.DUMMYFUNCTION("""COMPUTED_VALUE"""),1010.0)</f>
        <v>1010</v>
      </c>
      <c r="G404" s="1">
        <f>IFERROR(__xludf.DUMMYFUNCTION("""COMPUTED_VALUE"""),1010.0)</f>
        <v>1010</v>
      </c>
      <c r="H404" s="1">
        <f>IFERROR(__xludf.DUMMYFUNCTION("""COMPUTED_VALUE"""),10.0)</f>
        <v>10</v>
      </c>
      <c r="I404" s="1">
        <f>IFERROR(__xludf.DUMMYFUNCTION("""COMPUTED_VALUE"""),10.0)</f>
        <v>10</v>
      </c>
      <c r="J404" s="1">
        <f>IFERROR(__xludf.DUMMYFUNCTION("""COMPUTED_VALUE"""),10.0)</f>
        <v>10</v>
      </c>
      <c r="K404" s="1">
        <f>IFERROR(__xludf.DUMMYFUNCTION("""COMPUTED_VALUE"""),100.0)</f>
        <v>100</v>
      </c>
      <c r="L404" s="1">
        <f>IFERROR(__xludf.DUMMYFUNCTION("""COMPUTED_VALUE"""),100.0)</f>
        <v>100</v>
      </c>
      <c r="M404" s="1" t="str">
        <f>IFERROR(__xludf.DUMMYFUNCTION("""COMPUTED_VALUE"""),"Nature:Immune, Instant Death:Immune, Banishment:Immune, ")</f>
        <v>Nature:Immune, Instant Death:Immune, Banishment:Immune, </v>
      </c>
      <c r="N404" s="1" t="str">
        <f>IFERROR(__xludf.DUMMYFUNCTION("""COMPUTED_VALUE"""),"Fire:100, Storm:100, ")</f>
        <v>Fire:100, Storm:100, </v>
      </c>
      <c r="O404" s="1"/>
      <c r="P404" s="1"/>
      <c r="Q404" s="1"/>
      <c r="R404" s="1"/>
      <c r="S404" s="1"/>
      <c r="T404" s="1"/>
      <c r="U404" s="1"/>
      <c r="V404" s="1"/>
      <c r="W404" s="1"/>
      <c r="X404" s="1"/>
      <c r="Y404" s="1"/>
      <c r="Z404" s="1"/>
      <c r="AA404" s="1"/>
      <c r="AB404" s="1"/>
      <c r="AC404" s="1"/>
      <c r="AD404" s="1"/>
      <c r="AE404" s="1"/>
      <c r="AF404" s="1"/>
      <c r="AG404" s="1"/>
      <c r="AH404" s="1"/>
      <c r="AI404" s="1"/>
      <c r="AJ404" s="1" t="str">
        <f>IFERROR(__xludf.DUMMYFUNCTION("""COMPUTED_VALUE"""),"Greater Dragon's Breath")</f>
        <v>Greater Dragon's Breath</v>
      </c>
      <c r="AK404" s="1" t="str">
        <f>IFERROR(__xludf.DUMMYFUNCTION("""COMPUTED_VALUE"""),"Bite")</f>
        <v>Bite</v>
      </c>
      <c r="AL404" s="1" t="str">
        <f>IFERROR(__xludf.DUMMYFUNCTION("""COMPUTED_VALUE"""),"Tail Smash")</f>
        <v>Tail Smash</v>
      </c>
      <c r="AM404" s="1" t="str">
        <f>IFERROR(__xludf.DUMMYFUNCTION("""COMPUTED_VALUE"""),"Claws")</f>
        <v>Claws</v>
      </c>
      <c r="AN404" s="1" t="str">
        <f>IFERROR(__xludf.DUMMYFUNCTION("""COMPUTED_VALUE"""),"Berserk")</f>
        <v>Berserk</v>
      </c>
      <c r="AO404" s="1" t="str">
        <f>IFERROR(__xludf.DUMMYFUNCTION("""COMPUTED_VALUE"""),"Multishot")</f>
        <v>Multishot</v>
      </c>
      <c r="AP404" s="1" t="str">
        <f>IFERROR(__xludf.DUMMYFUNCTION("""COMPUTED_VALUE"""),"Draconic Scream")</f>
        <v>Draconic Scream</v>
      </c>
      <c r="AQ404" s="1" t="str">
        <f>IFERROR(__xludf.DUMMYFUNCTION("""COMPUTED_VALUE"""),"The Orb of Life")</f>
        <v>The Orb of Life</v>
      </c>
      <c r="AR404" s="1" t="str">
        <f>IFERROR(__xludf.DUMMYFUNCTION("""COMPUTED_VALUE"""),"Regrowth")</f>
        <v>Regrowth</v>
      </c>
      <c r="AS404" s="1" t="str">
        <f>IFERROR(__xludf.DUMMYFUNCTION("""COMPUTED_VALUE"""),"Entangle")</f>
        <v>Entangle</v>
      </c>
      <c r="AT404" s="1" t="str">
        <f>IFERROR(__xludf.DUMMYFUNCTION("""COMPUTED_VALUE"""),"Nature's Embrace")</f>
        <v>Nature's Embrace</v>
      </c>
      <c r="AU404" s="1" t="str">
        <f>IFERROR(__xludf.DUMMYFUNCTION("""COMPUTED_VALUE"""),"Celestial Wrath")</f>
        <v>Celestial Wrath</v>
      </c>
      <c r="AV404" s="1"/>
      <c r="AW404" s="1"/>
      <c r="AX404" s="1"/>
      <c r="AY404" s="1"/>
      <c r="AZ404" s="1"/>
      <c r="BA404" s="1"/>
      <c r="BB404" s="1"/>
      <c r="BC404" s="1"/>
      <c r="BD404" s="1">
        <f>IFERROR(__xludf.DUMMYFUNCTION("""COMPUTED_VALUE"""),10.0)</f>
        <v>10</v>
      </c>
      <c r="BE404" s="9">
        <f>IFERROR(__xludf.DUMMYFUNCTION("""COMPUTED_VALUE"""),10.0)</f>
        <v>10</v>
      </c>
      <c r="BF404"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4" s="1" t="str">
        <f>IFERROR(__xludf.DUMMYFUNCTION("""COMPUTED_VALUE"""),"All")</f>
        <v>All</v>
      </c>
      <c r="BH404" s="1" t="str">
        <f>IFERROR(__xludf.DUMMYFUNCTION("""COMPUTED_VALUE"""),"Dragonscale Island")</f>
        <v>Dragonscale Island</v>
      </c>
      <c r="BI404" s="1"/>
      <c r="BJ404" s="1"/>
      <c r="BK404" s="1"/>
      <c r="BL404" s="1" t="b">
        <f>IFERROR(__xludf.DUMMYFUNCTION("""COMPUTED_VALUE"""),FALSE)</f>
        <v>0</v>
      </c>
      <c r="BM404" s="1"/>
      <c r="BN404" s="1"/>
      <c r="BO404" s="1"/>
      <c r="BP404" s="1"/>
      <c r="BQ404" s="1"/>
    </row>
    <row r="405" ht="15.75" customHeight="1">
      <c r="A405" s="1" t="str">
        <f>IFERROR(__xludf.DUMMYFUNCTION("""COMPUTED_VALUE"""),"Elder Frost Dragon")</f>
        <v>Elder Frost Dragon</v>
      </c>
      <c r="B405" s="1">
        <f>IFERROR(__xludf.DUMMYFUNCTION("""COMPUTED_VALUE"""),1.0)</f>
        <v>1</v>
      </c>
      <c r="C405" s="1"/>
      <c r="D405" s="1" t="str">
        <f>IFERROR(__xludf.DUMMYFUNCTION("""COMPUTED_VALUE"""),"Draconic")</f>
        <v>Draconic</v>
      </c>
      <c r="E405" s="1">
        <f>IFERROR(__xludf.DUMMYFUNCTION("""COMPUTED_VALUE"""),1010.0)</f>
        <v>1010</v>
      </c>
      <c r="F405" s="7">
        <f>IFERROR(__xludf.DUMMYFUNCTION("""COMPUTED_VALUE"""),1010.0)</f>
        <v>1010</v>
      </c>
      <c r="G405" s="1">
        <f>IFERROR(__xludf.DUMMYFUNCTION("""COMPUTED_VALUE"""),1010.0)</f>
        <v>1010</v>
      </c>
      <c r="H405" s="1">
        <f>IFERROR(__xludf.DUMMYFUNCTION("""COMPUTED_VALUE"""),10.0)</f>
        <v>10</v>
      </c>
      <c r="I405" s="1">
        <f>IFERROR(__xludf.DUMMYFUNCTION("""COMPUTED_VALUE"""),10.0)</f>
        <v>10</v>
      </c>
      <c r="J405" s="1">
        <f>IFERROR(__xludf.DUMMYFUNCTION("""COMPUTED_VALUE"""),10.0)</f>
        <v>10</v>
      </c>
      <c r="K405" s="1">
        <f>IFERROR(__xludf.DUMMYFUNCTION("""COMPUTED_VALUE"""),100.0)</f>
        <v>100</v>
      </c>
      <c r="L405" s="1">
        <f>IFERROR(__xludf.DUMMYFUNCTION("""COMPUTED_VALUE"""),100.0)</f>
        <v>100</v>
      </c>
      <c r="M405" s="1" t="str">
        <f>IFERROR(__xludf.DUMMYFUNCTION("""COMPUTED_VALUE"""),"Water:Immune, Instant Death:Immune, Banishment:Immune, ")</f>
        <v>Water:Immune, Instant Death:Immune, Banishment:Immune, </v>
      </c>
      <c r="N405" s="1" t="str">
        <f>IFERROR(__xludf.DUMMYFUNCTION("""COMPUTED_VALUE"""),"Fire:100, Nature:100, ")</f>
        <v>Fire:100, Nature:100, </v>
      </c>
      <c r="O405" s="1"/>
      <c r="P405" s="1"/>
      <c r="Q405" s="1"/>
      <c r="R405" s="1"/>
      <c r="S405" s="1"/>
      <c r="T405" s="1"/>
      <c r="U405" s="1"/>
      <c r="V405" s="1"/>
      <c r="W405" s="1"/>
      <c r="X405" s="1"/>
      <c r="Y405" s="1"/>
      <c r="Z405" s="1"/>
      <c r="AA405" s="1"/>
      <c r="AB405" s="1"/>
      <c r="AC405" s="1"/>
      <c r="AD405" s="1"/>
      <c r="AE405" s="1"/>
      <c r="AF405" s="1"/>
      <c r="AG405" s="1"/>
      <c r="AH405" s="1"/>
      <c r="AI405" s="1"/>
      <c r="AJ405" s="1" t="str">
        <f>IFERROR(__xludf.DUMMYFUNCTION("""COMPUTED_VALUE"""),"Greater Dragon's Breath")</f>
        <v>Greater Dragon's Breath</v>
      </c>
      <c r="AK405" s="1" t="str">
        <f>IFERROR(__xludf.DUMMYFUNCTION("""COMPUTED_VALUE"""),"Bite")</f>
        <v>Bite</v>
      </c>
      <c r="AL405" s="1" t="str">
        <f>IFERROR(__xludf.DUMMYFUNCTION("""COMPUTED_VALUE"""),"Tail Smash")</f>
        <v>Tail Smash</v>
      </c>
      <c r="AM405" s="1" t="str">
        <f>IFERROR(__xludf.DUMMYFUNCTION("""COMPUTED_VALUE"""),"Claws")</f>
        <v>Claws</v>
      </c>
      <c r="AN405" s="1" t="str">
        <f>IFERROR(__xludf.DUMMYFUNCTION("""COMPUTED_VALUE"""),"Berserk")</f>
        <v>Berserk</v>
      </c>
      <c r="AO405" s="1" t="str">
        <f>IFERROR(__xludf.DUMMYFUNCTION("""COMPUTED_VALUE"""),"Multishot")</f>
        <v>Multishot</v>
      </c>
      <c r="AP405" s="1" t="str">
        <f>IFERROR(__xludf.DUMMYFUNCTION("""COMPUTED_VALUE"""),"Draconic Scream")</f>
        <v>Draconic Scream</v>
      </c>
      <c r="AQ405" s="1" t="str">
        <f>IFERROR(__xludf.DUMMYFUNCTION("""COMPUTED_VALUE"""),"Freezing Fog")</f>
        <v>Freezing Fog</v>
      </c>
      <c r="AR405" s="1" t="str">
        <f>IFERROR(__xludf.DUMMYFUNCTION("""COMPUTED_VALUE"""),"HailStorm")</f>
        <v>HailStorm</v>
      </c>
      <c r="AS405" s="1" t="str">
        <f>IFERROR(__xludf.DUMMYFUNCTION("""COMPUTED_VALUE"""),"Blizzard")</f>
        <v>Blizzard</v>
      </c>
      <c r="AT405" s="1" t="str">
        <f>IFERROR(__xludf.DUMMYFUNCTION("""COMPUTED_VALUE"""),"Celestial Wrath")</f>
        <v>Celestial Wrath</v>
      </c>
      <c r="AU405" s="1"/>
      <c r="AV405" s="1"/>
      <c r="AW405" s="1"/>
      <c r="AX405" s="1"/>
      <c r="AY405" s="1"/>
      <c r="AZ405" s="1"/>
      <c r="BA405" s="1"/>
      <c r="BB405" s="1"/>
      <c r="BC405" s="1"/>
      <c r="BD405" s="1">
        <f>IFERROR(__xludf.DUMMYFUNCTION("""COMPUTED_VALUE"""),10.0)</f>
        <v>10</v>
      </c>
      <c r="BE405" s="9">
        <f>IFERROR(__xludf.DUMMYFUNCTION("""COMPUTED_VALUE"""),10.0)</f>
        <v>10</v>
      </c>
      <c r="BF405" s="1" t="str">
        <f>IFERROR(__xludf.DUMMYFUNCTION("""COMPUTED_VALUE"""),"50% chance to be unaffected by any spells affecting this mob
Dragons Luck: +5 can be added to this mobs d20 rolls.
Immune to Freezing")</f>
        <v>50% chance to be unaffected by any spells affecting this mob
Dragons Luck: +5 can be added to this mobs d20 rolls.
Immune to Freezing</v>
      </c>
      <c r="BG405" s="1" t="str">
        <f>IFERROR(__xludf.DUMMYFUNCTION("""COMPUTED_VALUE"""),"All")</f>
        <v>All</v>
      </c>
      <c r="BH405" s="1" t="str">
        <f>IFERROR(__xludf.DUMMYFUNCTION("""COMPUTED_VALUE"""),"Dragonscale Island")</f>
        <v>Dragonscale Island</v>
      </c>
      <c r="BI405" s="1"/>
      <c r="BJ405" s="1"/>
      <c r="BK405" s="1"/>
      <c r="BL405" s="1" t="b">
        <f>IFERROR(__xludf.DUMMYFUNCTION("""COMPUTED_VALUE"""),FALSE)</f>
        <v>0</v>
      </c>
      <c r="BM405" s="1"/>
      <c r="BN405" s="1"/>
      <c r="BO405" s="1"/>
      <c r="BP405" s="1"/>
      <c r="BQ405" s="1"/>
    </row>
    <row r="406" ht="15.75" customHeight="1">
      <c r="A406" s="1" t="str">
        <f>IFERROR(__xludf.DUMMYFUNCTION("""COMPUTED_VALUE"""),"Elder Soul Dragon")</f>
        <v>Elder Soul Dragon</v>
      </c>
      <c r="B406" s="1">
        <f>IFERROR(__xludf.DUMMYFUNCTION("""COMPUTED_VALUE"""),1.0)</f>
        <v>1</v>
      </c>
      <c r="C406" s="1"/>
      <c r="D406" s="1" t="str">
        <f>IFERROR(__xludf.DUMMYFUNCTION("""COMPUTED_VALUE"""),"Draconic")</f>
        <v>Draconic</v>
      </c>
      <c r="E406" s="1">
        <f>IFERROR(__xludf.DUMMYFUNCTION("""COMPUTED_VALUE"""),1010.0)</f>
        <v>1010</v>
      </c>
      <c r="F406" s="7">
        <f>IFERROR(__xludf.DUMMYFUNCTION("""COMPUTED_VALUE"""),1010.0)</f>
        <v>1010</v>
      </c>
      <c r="G406" s="1">
        <f>IFERROR(__xludf.DUMMYFUNCTION("""COMPUTED_VALUE"""),1010.0)</f>
        <v>1010</v>
      </c>
      <c r="H406" s="1">
        <f>IFERROR(__xludf.DUMMYFUNCTION("""COMPUTED_VALUE"""),10.0)</f>
        <v>10</v>
      </c>
      <c r="I406" s="1">
        <f>IFERROR(__xludf.DUMMYFUNCTION("""COMPUTED_VALUE"""),10.0)</f>
        <v>10</v>
      </c>
      <c r="J406" s="1">
        <f>IFERROR(__xludf.DUMMYFUNCTION("""COMPUTED_VALUE"""),10.0)</f>
        <v>10</v>
      </c>
      <c r="K406" s="1">
        <f>IFERROR(__xludf.DUMMYFUNCTION("""COMPUTED_VALUE"""),100.0)</f>
        <v>100</v>
      </c>
      <c r="L406" s="1">
        <f>IFERROR(__xludf.DUMMYFUNCTION("""COMPUTED_VALUE"""),100.0)</f>
        <v>100</v>
      </c>
      <c r="M406" s="1" t="str">
        <f>IFERROR(__xludf.DUMMYFUNCTION("""COMPUTED_VALUE"""),"Dark:Immune, Instant Death:Immune, Banishment:Immune, ")</f>
        <v>Dark:Immune, Instant Death:Immune, Banishment:Immune, </v>
      </c>
      <c r="N406" s="1" t="str">
        <f>IFERROR(__xludf.DUMMYFUNCTION("""COMPUTED_VALUE"""),"Fire:100, Light:100, ")</f>
        <v>Fire:100, Light:100, </v>
      </c>
      <c r="O406" s="1"/>
      <c r="P406" s="1"/>
      <c r="Q406" s="1"/>
      <c r="R406" s="1"/>
      <c r="S406" s="1"/>
      <c r="T406" s="1"/>
      <c r="U406" s="1"/>
      <c r="V406" s="1"/>
      <c r="W406" s="1"/>
      <c r="X406" s="1"/>
      <c r="Y406" s="1"/>
      <c r="Z406" s="1"/>
      <c r="AA406" s="1"/>
      <c r="AB406" s="1"/>
      <c r="AC406" s="1"/>
      <c r="AD406" s="1"/>
      <c r="AE406" s="1"/>
      <c r="AF406" s="1"/>
      <c r="AG406" s="1"/>
      <c r="AH406" s="1"/>
      <c r="AI406" s="1"/>
      <c r="AJ406" s="1" t="str">
        <f>IFERROR(__xludf.DUMMYFUNCTION("""COMPUTED_VALUE"""),"Greater Dragon's Breath")</f>
        <v>Greater Dragon's Breath</v>
      </c>
      <c r="AK406" s="1" t="str">
        <f>IFERROR(__xludf.DUMMYFUNCTION("""COMPUTED_VALUE"""),"Bite")</f>
        <v>Bite</v>
      </c>
      <c r="AL406" s="1" t="str">
        <f>IFERROR(__xludf.DUMMYFUNCTION("""COMPUTED_VALUE"""),"Tail Smash")</f>
        <v>Tail Smash</v>
      </c>
      <c r="AM406" s="1" t="str">
        <f>IFERROR(__xludf.DUMMYFUNCTION("""COMPUTED_VALUE"""),"Claws")</f>
        <v>Claws</v>
      </c>
      <c r="AN406" s="1" t="str">
        <f>IFERROR(__xludf.DUMMYFUNCTION("""COMPUTED_VALUE"""),"Berserk")</f>
        <v>Berserk</v>
      </c>
      <c r="AO406" s="1" t="str">
        <f>IFERROR(__xludf.DUMMYFUNCTION("""COMPUTED_VALUE"""),"Multishot")</f>
        <v>Multishot</v>
      </c>
      <c r="AP406" s="1" t="str">
        <f>IFERROR(__xludf.DUMMYFUNCTION("""COMPUTED_VALUE"""),"Draconic Scream")</f>
        <v>Draconic Scream</v>
      </c>
      <c r="AQ406" s="1" t="str">
        <f>IFERROR(__xludf.DUMMYFUNCTION("""COMPUTED_VALUE"""),"Spirit Fog")</f>
        <v>Spirit Fog</v>
      </c>
      <c r="AR406" s="1" t="str">
        <f>IFERROR(__xludf.DUMMYFUNCTION("""COMPUTED_VALUE"""),"Rain of Souls")</f>
        <v>Rain of Souls</v>
      </c>
      <c r="AS406" s="1" t="str">
        <f>IFERROR(__xludf.DUMMYFUNCTION("""COMPUTED_VALUE"""),"Soul Trap")</f>
        <v>Soul Trap</v>
      </c>
      <c r="AT406" s="1" t="str">
        <f>IFERROR(__xludf.DUMMYFUNCTION("""COMPUTED_VALUE"""),"Celestial Wrath")</f>
        <v>Celestial Wrath</v>
      </c>
      <c r="AU406" s="1"/>
      <c r="AV406" s="1"/>
      <c r="AW406" s="1"/>
      <c r="AX406" s="1"/>
      <c r="AY406" s="1"/>
      <c r="AZ406" s="1"/>
      <c r="BA406" s="1"/>
      <c r="BB406" s="1"/>
      <c r="BC406" s="1"/>
      <c r="BD406" s="1">
        <f>IFERROR(__xludf.DUMMYFUNCTION("""COMPUTED_VALUE"""),10.0)</f>
        <v>10</v>
      </c>
      <c r="BE406" s="9">
        <f>IFERROR(__xludf.DUMMYFUNCTION("""COMPUTED_VALUE"""),10.0)</f>
        <v>10</v>
      </c>
      <c r="BF406" s="1" t="str">
        <f>IFERROR(__xludf.DUMMYFUNCTION("""COMPUTED_VALUE"""),"50% chance to be unaffected by any spells affecting this mob
Dragons Luck: +5 can be added to this mobs d20 rolls.
Spirit - Immune to Blood and Possession, Will live on 1HP unless hit with a Light, Spirit, or Celestial attack. Cannot be immune to Light,"&amp;" Spirit, and Celestial.")</f>
        <v>50% chance to be unaffected by any spells affecting this mob
Dragons Luck: +5 can be added to this mobs d20 rolls.
Spirit - Immune to Blood and Possession, Will live on 1HP unless hit with a Light, Spirit, or Celestial attack. Cannot be immune to Light, Spirit, and Celestial.</v>
      </c>
      <c r="BG406" s="1" t="str">
        <f>IFERROR(__xludf.DUMMYFUNCTION("""COMPUTED_VALUE"""),"All")</f>
        <v>All</v>
      </c>
      <c r="BH406" s="1" t="str">
        <f>IFERROR(__xludf.DUMMYFUNCTION("""COMPUTED_VALUE"""),"Dragonscale Island")</f>
        <v>Dragonscale Island</v>
      </c>
      <c r="BI406" s="1"/>
      <c r="BJ406" s="1"/>
      <c r="BK406" s="1"/>
      <c r="BL406" s="1" t="b">
        <f>IFERROR(__xludf.DUMMYFUNCTION("""COMPUTED_VALUE"""),FALSE)</f>
        <v>0</v>
      </c>
      <c r="BM406" s="1"/>
      <c r="BN406" s="1"/>
      <c r="BO406" s="1"/>
      <c r="BP406" s="1"/>
      <c r="BQ406" s="1"/>
    </row>
    <row r="407" ht="15.75" customHeight="1">
      <c r="A407" s="1" t="str">
        <f>IFERROR(__xludf.DUMMYFUNCTION("""COMPUTED_VALUE"""),"Elder Spirit Dragon")</f>
        <v>Elder Spirit Dragon</v>
      </c>
      <c r="B407" s="1">
        <f>IFERROR(__xludf.DUMMYFUNCTION("""COMPUTED_VALUE"""),1.0)</f>
        <v>1</v>
      </c>
      <c r="C407" s="1"/>
      <c r="D407" s="1" t="str">
        <f>IFERROR(__xludf.DUMMYFUNCTION("""COMPUTED_VALUE"""),"Draconic")</f>
        <v>Draconic</v>
      </c>
      <c r="E407" s="1">
        <f>IFERROR(__xludf.DUMMYFUNCTION("""COMPUTED_VALUE"""),1010.0)</f>
        <v>1010</v>
      </c>
      <c r="F407" s="7">
        <f>IFERROR(__xludf.DUMMYFUNCTION("""COMPUTED_VALUE"""),1010.0)</f>
        <v>1010</v>
      </c>
      <c r="G407" s="1">
        <f>IFERROR(__xludf.DUMMYFUNCTION("""COMPUTED_VALUE"""),1010.0)</f>
        <v>1010</v>
      </c>
      <c r="H407" s="1">
        <f>IFERROR(__xludf.DUMMYFUNCTION("""COMPUTED_VALUE"""),10.0)</f>
        <v>10</v>
      </c>
      <c r="I407" s="1">
        <f>IFERROR(__xludf.DUMMYFUNCTION("""COMPUTED_VALUE"""),10.0)</f>
        <v>10</v>
      </c>
      <c r="J407" s="1">
        <f>IFERROR(__xludf.DUMMYFUNCTION("""COMPUTED_VALUE"""),10.0)</f>
        <v>10</v>
      </c>
      <c r="K407" s="1">
        <f>IFERROR(__xludf.DUMMYFUNCTION("""COMPUTED_VALUE"""),100.0)</f>
        <v>100</v>
      </c>
      <c r="L407" s="1">
        <f>IFERROR(__xludf.DUMMYFUNCTION("""COMPUTED_VALUE"""),100.0)</f>
        <v>100</v>
      </c>
      <c r="M407" s="1" t="str">
        <f>IFERROR(__xludf.DUMMYFUNCTION("""COMPUTED_VALUE"""),"Dark:Immune, Instant Death:Immune, Banishment:Immune, ")</f>
        <v>Dark:Immune, Instant Death:Immune, Banishment:Immune, </v>
      </c>
      <c r="N407" s="1" t="str">
        <f>IFERROR(__xludf.DUMMYFUNCTION("""COMPUTED_VALUE"""),"Fire:100, Light:100, ")</f>
        <v>Fire:100, Light:100, </v>
      </c>
      <c r="O407" s="1"/>
      <c r="P407" s="1"/>
      <c r="Q407" s="1"/>
      <c r="R407" s="1"/>
      <c r="S407" s="1"/>
      <c r="T407" s="1"/>
      <c r="U407" s="1"/>
      <c r="V407" s="1"/>
      <c r="W407" s="1"/>
      <c r="X407" s="1"/>
      <c r="Y407" s="1"/>
      <c r="Z407" s="1"/>
      <c r="AA407" s="1"/>
      <c r="AB407" s="1"/>
      <c r="AC407" s="1"/>
      <c r="AD407" s="1"/>
      <c r="AE407" s="1"/>
      <c r="AF407" s="1"/>
      <c r="AG407" s="1"/>
      <c r="AH407" s="1"/>
      <c r="AI407" s="1"/>
      <c r="AJ407" s="1" t="str">
        <f>IFERROR(__xludf.DUMMYFUNCTION("""COMPUTED_VALUE"""),"Greater Dragon's Breath")</f>
        <v>Greater Dragon's Breath</v>
      </c>
      <c r="AK407" s="1" t="str">
        <f>IFERROR(__xludf.DUMMYFUNCTION("""COMPUTED_VALUE"""),"Bite")</f>
        <v>Bite</v>
      </c>
      <c r="AL407" s="1" t="str">
        <f>IFERROR(__xludf.DUMMYFUNCTION("""COMPUTED_VALUE"""),"Tail Smash")</f>
        <v>Tail Smash</v>
      </c>
      <c r="AM407" s="1" t="str">
        <f>IFERROR(__xludf.DUMMYFUNCTION("""COMPUTED_VALUE"""),"Claws")</f>
        <v>Claws</v>
      </c>
      <c r="AN407" s="1" t="str">
        <f>IFERROR(__xludf.DUMMYFUNCTION("""COMPUTED_VALUE"""),"Berserk")</f>
        <v>Berserk</v>
      </c>
      <c r="AO407" s="1" t="str">
        <f>IFERROR(__xludf.DUMMYFUNCTION("""COMPUTED_VALUE"""),"Multishot")</f>
        <v>Multishot</v>
      </c>
      <c r="AP407" s="1" t="str">
        <f>IFERROR(__xludf.DUMMYFUNCTION("""COMPUTED_VALUE"""),"Draconic Scream")</f>
        <v>Draconic Scream</v>
      </c>
      <c r="AQ407" s="1" t="str">
        <f>IFERROR(__xludf.DUMMYFUNCTION("""COMPUTED_VALUE"""),"A Deal With The Spirit World")</f>
        <v>A Deal With The Spirit World</v>
      </c>
      <c r="AR407" s="1" t="str">
        <f>IFERROR(__xludf.DUMMYFUNCTION("""COMPUTED_VALUE"""),"Spirit Drain")</f>
        <v>Spirit Drain</v>
      </c>
      <c r="AS407" s="1" t="str">
        <f>IFERROR(__xludf.DUMMYFUNCTION("""COMPUTED_VALUE"""),"Possession")</f>
        <v>Possession</v>
      </c>
      <c r="AT407" s="1" t="str">
        <f>IFERROR(__xludf.DUMMYFUNCTION("""COMPUTED_VALUE"""),"Celestial Wrath")</f>
        <v>Celestial Wrath</v>
      </c>
      <c r="AU407" s="1" t="str">
        <f>IFERROR(__xludf.DUMMYFUNCTION("""COMPUTED_VALUE"""),"Spirit Fog")</f>
        <v>Spirit Fog</v>
      </c>
      <c r="AV407" s="1" t="str">
        <f>IFERROR(__xludf.DUMMYFUNCTION("""COMPUTED_VALUE"""),"Burning Dread")</f>
        <v>Burning Dread</v>
      </c>
      <c r="AW407" s="1"/>
      <c r="AX407" s="1"/>
      <c r="AY407" s="1"/>
      <c r="AZ407" s="1"/>
      <c r="BA407" s="1"/>
      <c r="BB407" s="1"/>
      <c r="BC407" s="1"/>
      <c r="BD407" s="1">
        <f>IFERROR(__xludf.DUMMYFUNCTION("""COMPUTED_VALUE"""),10.0)</f>
        <v>10</v>
      </c>
      <c r="BE407" s="9">
        <f>IFERROR(__xludf.DUMMYFUNCTION("""COMPUTED_VALUE"""),10.0)</f>
        <v>10</v>
      </c>
      <c r="BF407" s="1" t="str">
        <f>IFERROR(__xludf.DUMMYFUNCTION("""COMPUTED_VALUE"""),"50% chance to be unaffected by any spells affecting this mob
Dragons Luck: +5 can be added to this mobs d20 rolls.
Spirit - Immune to Blood and Possession, Will live on 1HP unless hit with a Light, Spirit, or Celestial attack. Cannot be immune to Light,"&amp;" Spirit, and Celestial.")</f>
        <v>50% chance to be unaffected by any spells affecting this mob
Dragons Luck: +5 can be added to this mobs d20 rolls.
Spirit - Immune to Blood and Possession, Will live on 1HP unless hit with a Light, Spirit, or Celestial attack. Cannot be immune to Light, Spirit, and Celestial.</v>
      </c>
      <c r="BG407" s="1" t="str">
        <f>IFERROR(__xludf.DUMMYFUNCTION("""COMPUTED_VALUE"""),"All")</f>
        <v>All</v>
      </c>
      <c r="BH407" s="1" t="str">
        <f>IFERROR(__xludf.DUMMYFUNCTION("""COMPUTED_VALUE"""),"Dragonscale Island")</f>
        <v>Dragonscale Island</v>
      </c>
      <c r="BI407" s="1"/>
      <c r="BJ407" s="1"/>
      <c r="BK407" s="1"/>
      <c r="BL407" s="1" t="b">
        <f>IFERROR(__xludf.DUMMYFUNCTION("""COMPUTED_VALUE"""),FALSE)</f>
        <v>0</v>
      </c>
      <c r="BM407" s="1"/>
      <c r="BN407" s="1"/>
      <c r="BO407" s="1"/>
      <c r="BP407" s="1"/>
      <c r="BQ407" s="1"/>
    </row>
    <row r="408" ht="15.75" customHeight="1">
      <c r="A408" s="1" t="str">
        <f>IFERROR(__xludf.DUMMYFUNCTION("""COMPUTED_VALUE"""),"Elder Stone Dragon")</f>
        <v>Elder Stone Dragon</v>
      </c>
      <c r="B408" s="1">
        <f>IFERROR(__xludf.DUMMYFUNCTION("""COMPUTED_VALUE"""),1.0)</f>
        <v>1</v>
      </c>
      <c r="C408" s="1"/>
      <c r="D408" s="1" t="str">
        <f>IFERROR(__xludf.DUMMYFUNCTION("""COMPUTED_VALUE"""),"Draconic")</f>
        <v>Draconic</v>
      </c>
      <c r="E408" s="1">
        <f>IFERROR(__xludf.DUMMYFUNCTION("""COMPUTED_VALUE"""),1010.0)</f>
        <v>1010</v>
      </c>
      <c r="F408" s="7">
        <f>IFERROR(__xludf.DUMMYFUNCTION("""COMPUTED_VALUE"""),1010.0)</f>
        <v>1010</v>
      </c>
      <c r="G408" s="1">
        <f>IFERROR(__xludf.DUMMYFUNCTION("""COMPUTED_VALUE"""),1010.0)</f>
        <v>1010</v>
      </c>
      <c r="H408" s="1">
        <f>IFERROR(__xludf.DUMMYFUNCTION("""COMPUTED_VALUE"""),10.0)</f>
        <v>10</v>
      </c>
      <c r="I408" s="1">
        <f>IFERROR(__xludf.DUMMYFUNCTION("""COMPUTED_VALUE"""),10.0)</f>
        <v>10</v>
      </c>
      <c r="J408" s="1">
        <f>IFERROR(__xludf.DUMMYFUNCTION("""COMPUTED_VALUE"""),10.0)</f>
        <v>10</v>
      </c>
      <c r="K408" s="1">
        <f>IFERROR(__xludf.DUMMYFUNCTION("""COMPUTED_VALUE"""),100.0)</f>
        <v>100</v>
      </c>
      <c r="L408" s="1">
        <f>IFERROR(__xludf.DUMMYFUNCTION("""COMPUTED_VALUE"""),100.0)</f>
        <v>100</v>
      </c>
      <c r="M408" s="1" t="str">
        <f>IFERROR(__xludf.DUMMYFUNCTION("""COMPUTED_VALUE"""),"Earth:Immune, Instant Death:Immune, Banishment:Immune, ")</f>
        <v>Earth:Immune, Instant Death:Immune, Banishment:Immune, </v>
      </c>
      <c r="N408" s="1" t="str">
        <f>IFERROR(__xludf.DUMMYFUNCTION("""COMPUTED_VALUE"""),"Water:100, Storm:100, ")</f>
        <v>Water:100, Storm:100, </v>
      </c>
      <c r="O408" s="1"/>
      <c r="P408" s="1"/>
      <c r="Q408" s="1"/>
      <c r="R408" s="1"/>
      <c r="S408" s="1"/>
      <c r="T408" s="1"/>
      <c r="U408" s="1"/>
      <c r="V408" s="1"/>
      <c r="W408" s="1"/>
      <c r="X408" s="1"/>
      <c r="Y408" s="1"/>
      <c r="Z408" s="1"/>
      <c r="AA408" s="1"/>
      <c r="AB408" s="1"/>
      <c r="AC408" s="1"/>
      <c r="AD408" s="1"/>
      <c r="AE408" s="1"/>
      <c r="AF408" s="1"/>
      <c r="AG408" s="1"/>
      <c r="AH408" s="1"/>
      <c r="AI408" s="1"/>
      <c r="AJ408" s="1" t="str">
        <f>IFERROR(__xludf.DUMMYFUNCTION("""COMPUTED_VALUE"""),"Greater Dragon's Breath")</f>
        <v>Greater Dragon's Breath</v>
      </c>
      <c r="AK408" s="1" t="str">
        <f>IFERROR(__xludf.DUMMYFUNCTION("""COMPUTED_VALUE"""),"Bite")</f>
        <v>Bite</v>
      </c>
      <c r="AL408" s="1" t="str">
        <f>IFERROR(__xludf.DUMMYFUNCTION("""COMPUTED_VALUE"""),"Tail Smash")</f>
        <v>Tail Smash</v>
      </c>
      <c r="AM408" s="1" t="str">
        <f>IFERROR(__xludf.DUMMYFUNCTION("""COMPUTED_VALUE"""),"Claws")</f>
        <v>Claws</v>
      </c>
      <c r="AN408" s="1" t="str">
        <f>IFERROR(__xludf.DUMMYFUNCTION("""COMPUTED_VALUE"""),"Berserk")</f>
        <v>Berserk</v>
      </c>
      <c r="AO408" s="1" t="str">
        <f>IFERROR(__xludf.DUMMYFUNCTION("""COMPUTED_VALUE"""),"Multishot")</f>
        <v>Multishot</v>
      </c>
      <c r="AP408" s="1" t="str">
        <f>IFERROR(__xludf.DUMMYFUNCTION("""COMPUTED_VALUE"""),"Draconic Scream")</f>
        <v>Draconic Scream</v>
      </c>
      <c r="AQ408" s="1" t="str">
        <f>IFERROR(__xludf.DUMMYFUNCTION("""COMPUTED_VALUE"""),"Earthquake")</f>
        <v>Earthquake</v>
      </c>
      <c r="AR408" s="1" t="str">
        <f>IFERROR(__xludf.DUMMYFUNCTION("""COMPUTED_VALUE"""),"Rock Cycle")</f>
        <v>Rock Cycle</v>
      </c>
      <c r="AS408" s="1" t="str">
        <f>IFERROR(__xludf.DUMMYFUNCTION("""COMPUTED_VALUE"""),"Quicksand")</f>
        <v>Quicksand</v>
      </c>
      <c r="AT408" s="1" t="str">
        <f>IFERROR(__xludf.DUMMYFUNCTION("""COMPUTED_VALUE"""),"Celestial Wrath")</f>
        <v>Celestial Wrath</v>
      </c>
      <c r="AU408" s="1"/>
      <c r="AV408" s="1"/>
      <c r="AW408" s="1"/>
      <c r="AX408" s="1"/>
      <c r="AY408" s="1"/>
      <c r="AZ408" s="1"/>
      <c r="BA408" s="1"/>
      <c r="BB408" s="1"/>
      <c r="BC408" s="1"/>
      <c r="BD408" s="1">
        <f>IFERROR(__xludf.DUMMYFUNCTION("""COMPUTED_VALUE"""),10.0)</f>
        <v>10</v>
      </c>
      <c r="BE408" s="9">
        <f>IFERROR(__xludf.DUMMYFUNCTION("""COMPUTED_VALUE"""),10.0)</f>
        <v>10</v>
      </c>
      <c r="BF408"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8" s="1" t="str">
        <f>IFERROR(__xludf.DUMMYFUNCTION("""COMPUTED_VALUE"""),"All")</f>
        <v>All</v>
      </c>
      <c r="BH408" s="1" t="str">
        <f>IFERROR(__xludf.DUMMYFUNCTION("""COMPUTED_VALUE"""),"Dragonscale Island")</f>
        <v>Dragonscale Island</v>
      </c>
      <c r="BI408" s="1"/>
      <c r="BJ408" s="1"/>
      <c r="BK408" s="1"/>
      <c r="BL408" s="1" t="b">
        <f>IFERROR(__xludf.DUMMYFUNCTION("""COMPUTED_VALUE"""),FALSE)</f>
        <v>0</v>
      </c>
      <c r="BM408" s="1"/>
      <c r="BN408" s="1"/>
      <c r="BO408" s="1"/>
      <c r="BP408" s="1"/>
      <c r="BQ408" s="1"/>
    </row>
    <row r="409" ht="15.75" customHeight="1">
      <c r="A409" s="1"/>
      <c r="B409" s="1">
        <f>IFERROR(__xludf.DUMMYFUNCTION("""COMPUTED_VALUE"""),1.0)</f>
        <v>1</v>
      </c>
      <c r="C409" s="1"/>
      <c r="D409" s="1" t="str">
        <f>IFERROR(__xludf.DUMMYFUNCTION("""COMPUTED_VALUE"""),"Draconic")</f>
        <v>Draconic</v>
      </c>
      <c r="E409" s="1">
        <f>IFERROR(__xludf.DUMMYFUNCTION("""COMPUTED_VALUE"""),1010.0)</f>
        <v>1010</v>
      </c>
      <c r="F409" s="7">
        <f>IFERROR(__xludf.DUMMYFUNCTION("""COMPUTED_VALUE"""),1010.0)</f>
        <v>1010</v>
      </c>
      <c r="G409" s="1">
        <f>IFERROR(__xludf.DUMMYFUNCTION("""COMPUTED_VALUE"""),1010.0)</f>
        <v>1010</v>
      </c>
      <c r="H409" s="1">
        <f>IFERROR(__xludf.DUMMYFUNCTION("""COMPUTED_VALUE"""),10.0)</f>
        <v>10</v>
      </c>
      <c r="I409" s="1">
        <f>IFERROR(__xludf.DUMMYFUNCTION("""COMPUTED_VALUE"""),10.0)</f>
        <v>10</v>
      </c>
      <c r="J409" s="1">
        <f>IFERROR(__xludf.DUMMYFUNCTION("""COMPUTED_VALUE"""),10.0)</f>
        <v>10</v>
      </c>
      <c r="K409" s="1">
        <f>IFERROR(__xludf.DUMMYFUNCTION("""COMPUTED_VALUE"""),100.0)</f>
        <v>100</v>
      </c>
      <c r="L409" s="1">
        <f>IFERROR(__xludf.DUMMYFUNCTION("""COMPUTED_VALUE"""),100.0)</f>
        <v>100</v>
      </c>
      <c r="M409" s="1" t="str">
        <f>IFERROR(__xludf.DUMMYFUNCTION("""COMPUTED_VALUE"""),"#N/A")</f>
        <v>#N/A</v>
      </c>
      <c r="N409" s="1" t="str">
        <f>IFERROR(__xludf.DUMMYFUNCTION("""COMPUTED_VALUE"""),"#N/A")</f>
        <v>#N/A</v>
      </c>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f>IFERROR(__xludf.DUMMYFUNCTION("""COMPUTED_VALUE"""),0.0)</f>
        <v>0</v>
      </c>
      <c r="BE409" s="9">
        <f>IFERROR(__xludf.DUMMYFUNCTION("""COMPUTED_VALUE"""),10.0)</f>
        <v>10</v>
      </c>
      <c r="BF409" s="1"/>
      <c r="BG409" s="1" t="str">
        <f>IFERROR(__xludf.DUMMYFUNCTION("""COMPUTED_VALUE"""),"All")</f>
        <v>All</v>
      </c>
      <c r="BH409" s="1" t="str">
        <f>IFERROR(__xludf.DUMMYFUNCTION("""COMPUTED_VALUE"""),"Dragonscale Island")</f>
        <v>Dragonscale Island</v>
      </c>
      <c r="BI409" s="1"/>
      <c r="BJ409" s="1"/>
      <c r="BK409" s="1"/>
      <c r="BL409" s="1" t="b">
        <f>IFERROR(__xludf.DUMMYFUNCTION("""COMPUTED_VALUE"""),FALSE)</f>
        <v>0</v>
      </c>
      <c r="BM409" s="1"/>
      <c r="BN409" s="1"/>
      <c r="BO409" s="1"/>
      <c r="BP409" s="1"/>
      <c r="BQ409" s="1"/>
    </row>
    <row r="410" ht="15.75" customHeight="1">
      <c r="A410" s="1" t="str">
        <f>IFERROR(__xludf.DUMMYFUNCTION("""COMPUTED_VALUE"""),"Elder Fire Dragon")</f>
        <v>Elder Fire Dragon</v>
      </c>
      <c r="B410" s="1">
        <f>IFERROR(__xludf.DUMMYFUNCTION("""COMPUTED_VALUE"""),1.0)</f>
        <v>1</v>
      </c>
      <c r="C410" s="1"/>
      <c r="D410" s="1" t="str">
        <f>IFERROR(__xludf.DUMMYFUNCTION("""COMPUTED_VALUE"""),"Draconic")</f>
        <v>Draconic</v>
      </c>
      <c r="E410" s="1">
        <f>IFERROR(__xludf.DUMMYFUNCTION("""COMPUTED_VALUE"""),1010.0)</f>
        <v>1010</v>
      </c>
      <c r="F410" s="7">
        <f>IFERROR(__xludf.DUMMYFUNCTION("""COMPUTED_VALUE"""),1010.0)</f>
        <v>1010</v>
      </c>
      <c r="G410" s="1">
        <f>IFERROR(__xludf.DUMMYFUNCTION("""COMPUTED_VALUE"""),1010.0)</f>
        <v>1010</v>
      </c>
      <c r="H410" s="1">
        <f>IFERROR(__xludf.DUMMYFUNCTION("""COMPUTED_VALUE"""),10.0)</f>
        <v>10</v>
      </c>
      <c r="I410" s="1">
        <f>IFERROR(__xludf.DUMMYFUNCTION("""COMPUTED_VALUE"""),10.0)</f>
        <v>10</v>
      </c>
      <c r="J410" s="1">
        <f>IFERROR(__xludf.DUMMYFUNCTION("""COMPUTED_VALUE"""),10.0)</f>
        <v>10</v>
      </c>
      <c r="K410" s="1">
        <f>IFERROR(__xludf.DUMMYFUNCTION("""COMPUTED_VALUE"""),100.0)</f>
        <v>100</v>
      </c>
      <c r="L410" s="1">
        <f>IFERROR(__xludf.DUMMYFUNCTION("""COMPUTED_VALUE"""),100.0)</f>
        <v>100</v>
      </c>
      <c r="M410" s="1" t="str">
        <f>IFERROR(__xludf.DUMMYFUNCTION("""COMPUTED_VALUE"""),"Fire:Immune, Nature:Immune, Instant Death:Immune, Banishment:Immune, ")</f>
        <v>Fire:Immune, Nature:Immune, Instant Death:Immune, Banishment:Immune, </v>
      </c>
      <c r="N410" s="1" t="str">
        <f>IFERROR(__xludf.DUMMYFUNCTION("""COMPUTED_VALUE"""),"Water:100, ")</f>
        <v>Water:100, </v>
      </c>
      <c r="O410" s="1"/>
      <c r="P410" s="1"/>
      <c r="Q410" s="1"/>
      <c r="R410" s="1"/>
      <c r="S410" s="1"/>
      <c r="T410" s="1"/>
      <c r="U410" s="1"/>
      <c r="V410" s="1"/>
      <c r="W410" s="1"/>
      <c r="X410" s="1"/>
      <c r="Y410" s="1"/>
      <c r="Z410" s="1"/>
      <c r="AA410" s="1"/>
      <c r="AB410" s="1"/>
      <c r="AC410" s="1"/>
      <c r="AD410" s="1"/>
      <c r="AE410" s="1"/>
      <c r="AF410" s="1"/>
      <c r="AG410" s="1"/>
      <c r="AH410" s="1"/>
      <c r="AI410" s="1"/>
      <c r="AJ410" s="1" t="str">
        <f>IFERROR(__xludf.DUMMYFUNCTION("""COMPUTED_VALUE"""),"Greater Dragon's Breath")</f>
        <v>Greater Dragon's Breath</v>
      </c>
      <c r="AK410" s="1" t="str">
        <f>IFERROR(__xludf.DUMMYFUNCTION("""COMPUTED_VALUE"""),"Bite")</f>
        <v>Bite</v>
      </c>
      <c r="AL410" s="1" t="str">
        <f>IFERROR(__xludf.DUMMYFUNCTION("""COMPUTED_VALUE"""),"Tail Smash")</f>
        <v>Tail Smash</v>
      </c>
      <c r="AM410" s="1" t="str">
        <f>IFERROR(__xludf.DUMMYFUNCTION("""COMPUTED_VALUE"""),"Claws")</f>
        <v>Claws</v>
      </c>
      <c r="AN410" s="1" t="str">
        <f>IFERROR(__xludf.DUMMYFUNCTION("""COMPUTED_VALUE"""),"Berserk")</f>
        <v>Berserk</v>
      </c>
      <c r="AO410" s="1" t="str">
        <f>IFERROR(__xludf.DUMMYFUNCTION("""COMPUTED_VALUE"""),"Multishot")</f>
        <v>Multishot</v>
      </c>
      <c r="AP410" s="1" t="str">
        <f>IFERROR(__xludf.DUMMYFUNCTION("""COMPUTED_VALUE"""),"Draconic Scream")</f>
        <v>Draconic Scream</v>
      </c>
      <c r="AQ410" s="1" t="str">
        <f>IFERROR(__xludf.DUMMYFUNCTION("""COMPUTED_VALUE"""),"Flame Sanctuary")</f>
        <v>Flame Sanctuary</v>
      </c>
      <c r="AR410" s="1" t="str">
        <f>IFERROR(__xludf.DUMMYFUNCTION("""COMPUTED_VALUE"""),"Meteor Shower")</f>
        <v>Meteor Shower</v>
      </c>
      <c r="AS410" s="1" t="str">
        <f>IFERROR(__xludf.DUMMYFUNCTION("""COMPUTED_VALUE"""),"Flame Thrower")</f>
        <v>Flame Thrower</v>
      </c>
      <c r="AT410" s="1" t="str">
        <f>IFERROR(__xludf.DUMMYFUNCTION("""COMPUTED_VALUE"""),"Celestial Wrath")</f>
        <v>Celestial Wrath</v>
      </c>
      <c r="AU410" s="1"/>
      <c r="AV410" s="1"/>
      <c r="AW410" s="1"/>
      <c r="AX410" s="1"/>
      <c r="AY410" s="1"/>
      <c r="AZ410" s="1"/>
      <c r="BA410" s="1"/>
      <c r="BB410" s="1"/>
      <c r="BC410" s="1"/>
      <c r="BD410" s="1">
        <f>IFERROR(__xludf.DUMMYFUNCTION("""COMPUTED_VALUE"""),10.0)</f>
        <v>10</v>
      </c>
      <c r="BE410" s="9">
        <f>IFERROR(__xludf.DUMMYFUNCTION("""COMPUTED_VALUE"""),10.0)</f>
        <v>10</v>
      </c>
      <c r="BF410"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10" s="1" t="str">
        <f>IFERROR(__xludf.DUMMYFUNCTION("""COMPUTED_VALUE"""),"All")</f>
        <v>All</v>
      </c>
      <c r="BH410" s="1" t="str">
        <f>IFERROR(__xludf.DUMMYFUNCTION("""COMPUTED_VALUE"""),"Dragonscale Island")</f>
        <v>Dragonscale Island</v>
      </c>
      <c r="BI410" s="1"/>
      <c r="BJ410" s="1"/>
      <c r="BK410" s="1"/>
      <c r="BL410" s="1" t="b">
        <f>IFERROR(__xludf.DUMMYFUNCTION("""COMPUTED_VALUE"""),FALSE)</f>
        <v>0</v>
      </c>
      <c r="BM410" s="1"/>
      <c r="BN410" s="1"/>
      <c r="BO410" s="1"/>
      <c r="BP410" s="1"/>
      <c r="BQ410" s="1"/>
    </row>
    <row r="411" ht="15.75" customHeight="1">
      <c r="A411" s="1"/>
      <c r="B411" s="1">
        <f>IFERROR(__xludf.DUMMYFUNCTION("""COMPUTED_VALUE"""),1.0)</f>
        <v>1</v>
      </c>
      <c r="C411" s="1"/>
      <c r="D411" s="1" t="str">
        <f>IFERROR(__xludf.DUMMYFUNCTION("""COMPUTED_VALUE"""),"Draconic")</f>
        <v>Draconic</v>
      </c>
      <c r="E411" s="1">
        <f>IFERROR(__xludf.DUMMYFUNCTION("""COMPUTED_VALUE"""),1010.0)</f>
        <v>1010</v>
      </c>
      <c r="F411" s="7">
        <f>IFERROR(__xludf.DUMMYFUNCTION("""COMPUTED_VALUE"""),1010.0)</f>
        <v>1010</v>
      </c>
      <c r="G411" s="1">
        <f>IFERROR(__xludf.DUMMYFUNCTION("""COMPUTED_VALUE"""),1010.0)</f>
        <v>1010</v>
      </c>
      <c r="H411" s="1">
        <f>IFERROR(__xludf.DUMMYFUNCTION("""COMPUTED_VALUE"""),10.0)</f>
        <v>10</v>
      </c>
      <c r="I411" s="1">
        <f>IFERROR(__xludf.DUMMYFUNCTION("""COMPUTED_VALUE"""),0.0)</f>
        <v>0</v>
      </c>
      <c r="J411" s="1">
        <f>IFERROR(__xludf.DUMMYFUNCTION("""COMPUTED_VALUE"""),0.0)</f>
        <v>0</v>
      </c>
      <c r="K411" s="1">
        <f>IFERROR(__xludf.DUMMYFUNCTION("""COMPUTED_VALUE"""),100.0)</f>
        <v>100</v>
      </c>
      <c r="L411" s="1">
        <f>IFERROR(__xludf.DUMMYFUNCTION("""COMPUTED_VALUE"""),100.0)</f>
        <v>100</v>
      </c>
      <c r="M411" s="1" t="str">
        <f>IFERROR(__xludf.DUMMYFUNCTION("""COMPUTED_VALUE"""),"#N/A")</f>
        <v>#N/A</v>
      </c>
      <c r="N411" s="1" t="str">
        <f>IFERROR(__xludf.DUMMYFUNCTION("""COMPUTED_VALUE"""),"#N/A")</f>
        <v>#N/A</v>
      </c>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f>IFERROR(__xludf.DUMMYFUNCTION("""COMPUTED_VALUE"""),0.0)</f>
        <v>0</v>
      </c>
      <c r="BE411" s="9">
        <f>IFERROR(__xludf.DUMMYFUNCTION("""COMPUTED_VALUE"""),10.0)</f>
        <v>10</v>
      </c>
      <c r="BF411" s="1"/>
      <c r="BG411" s="1"/>
      <c r="BH411" s="1"/>
      <c r="BI411" s="1"/>
      <c r="BJ411" s="1"/>
      <c r="BK411" s="1"/>
      <c r="BL411" s="1" t="b">
        <f>IFERROR(__xludf.DUMMYFUNCTION("""COMPUTED_VALUE"""),FALSE)</f>
        <v>0</v>
      </c>
      <c r="BM411" s="1"/>
      <c r="BN411" s="1"/>
      <c r="BO411" s="1"/>
      <c r="BP411" s="1"/>
      <c r="BQ411" s="1"/>
    </row>
    <row r="412" ht="15.75" customHeight="1">
      <c r="A412" s="1" t="str">
        <f>IFERROR(__xludf.DUMMYFUNCTION("""COMPUTED_VALUE"""),"Elder Undead Dragon")</f>
        <v>Elder Undead Dragon</v>
      </c>
      <c r="B412" s="1">
        <f>IFERROR(__xludf.DUMMYFUNCTION("""COMPUTED_VALUE"""),1.0)</f>
        <v>1</v>
      </c>
      <c r="C412" s="1"/>
      <c r="D412" s="1" t="str">
        <f>IFERROR(__xludf.DUMMYFUNCTION("""COMPUTED_VALUE"""),"Draconic")</f>
        <v>Draconic</v>
      </c>
      <c r="E412" s="1">
        <f>IFERROR(__xludf.DUMMYFUNCTION("""COMPUTED_VALUE"""),1010.0)</f>
        <v>1010</v>
      </c>
      <c r="F412" s="7">
        <f>IFERROR(__xludf.DUMMYFUNCTION("""COMPUTED_VALUE"""),1010.0)</f>
        <v>1010</v>
      </c>
      <c r="G412" s="1">
        <f>IFERROR(__xludf.DUMMYFUNCTION("""COMPUTED_VALUE"""),1010.0)</f>
        <v>1010</v>
      </c>
      <c r="H412" s="1">
        <f>IFERROR(__xludf.DUMMYFUNCTION("""COMPUTED_VALUE"""),10.0)</f>
        <v>10</v>
      </c>
      <c r="I412" s="1">
        <f>IFERROR(__xludf.DUMMYFUNCTION("""COMPUTED_VALUE"""),10.0)</f>
        <v>10</v>
      </c>
      <c r="J412" s="1">
        <f>IFERROR(__xludf.DUMMYFUNCTION("""COMPUTED_VALUE"""),10.0)</f>
        <v>10</v>
      </c>
      <c r="K412" s="1">
        <f>IFERROR(__xludf.DUMMYFUNCTION("""COMPUTED_VALUE"""),100.0)</f>
        <v>100</v>
      </c>
      <c r="L412" s="1">
        <f>IFERROR(__xludf.DUMMYFUNCTION("""COMPUTED_VALUE"""),100.0)</f>
        <v>100</v>
      </c>
      <c r="M412" s="1" t="str">
        <f>IFERROR(__xludf.DUMMYFUNCTION("""COMPUTED_VALUE"""),"Dark:Immune, Instant Death:Immune, Banishment:Immune, ")</f>
        <v>Dark:Immune, Instant Death:Immune, Banishment:Immune, </v>
      </c>
      <c r="N412" s="1" t="str">
        <f>IFERROR(__xludf.DUMMYFUNCTION("""COMPUTED_VALUE"""),"Fire:100, Light:100, ")</f>
        <v>Fire:100, Light:100, </v>
      </c>
      <c r="O412" s="1"/>
      <c r="P412" s="1"/>
      <c r="Q412" s="1"/>
      <c r="R412" s="1"/>
      <c r="S412" s="1"/>
      <c r="T412" s="1"/>
      <c r="U412" s="1"/>
      <c r="V412" s="1"/>
      <c r="W412" s="1"/>
      <c r="X412" s="1"/>
      <c r="Y412" s="1"/>
      <c r="Z412" s="1"/>
      <c r="AA412" s="1"/>
      <c r="AB412" s="1"/>
      <c r="AC412" s="1"/>
      <c r="AD412" s="1"/>
      <c r="AE412" s="1"/>
      <c r="AF412" s="1"/>
      <c r="AG412" s="1"/>
      <c r="AH412" s="1"/>
      <c r="AI412" s="1"/>
      <c r="AJ412" s="1" t="str">
        <f>IFERROR(__xludf.DUMMYFUNCTION("""COMPUTED_VALUE"""),"Greater Dragon's Breath")</f>
        <v>Greater Dragon's Breath</v>
      </c>
      <c r="AK412" s="1" t="str">
        <f>IFERROR(__xludf.DUMMYFUNCTION("""COMPUTED_VALUE"""),"Bite")</f>
        <v>Bite</v>
      </c>
      <c r="AL412" s="1" t="str">
        <f>IFERROR(__xludf.DUMMYFUNCTION("""COMPUTED_VALUE"""),"Tail Smash")</f>
        <v>Tail Smash</v>
      </c>
      <c r="AM412" s="1" t="str">
        <f>IFERROR(__xludf.DUMMYFUNCTION("""COMPUTED_VALUE"""),"Claws")</f>
        <v>Claws</v>
      </c>
      <c r="AN412" s="1" t="str">
        <f>IFERROR(__xludf.DUMMYFUNCTION("""COMPUTED_VALUE"""),"Berserk")</f>
        <v>Berserk</v>
      </c>
      <c r="AO412" s="1" t="str">
        <f>IFERROR(__xludf.DUMMYFUNCTION("""COMPUTED_VALUE"""),"Multishot")</f>
        <v>Multishot</v>
      </c>
      <c r="AP412" s="1" t="str">
        <f>IFERROR(__xludf.DUMMYFUNCTION("""COMPUTED_VALUE"""),"Draconic Scream")</f>
        <v>Draconic Scream</v>
      </c>
      <c r="AQ412" s="1" t="str">
        <f>IFERROR(__xludf.DUMMYFUNCTION("""COMPUTED_VALUE"""),"Dark Curse")</f>
        <v>Dark Curse</v>
      </c>
      <c r="AR412" s="1" t="str">
        <f>IFERROR(__xludf.DUMMYFUNCTION("""COMPUTED_VALUE"""),"Dark Bolt")</f>
        <v>Dark Bolt</v>
      </c>
      <c r="AS412" s="1" t="str">
        <f>IFERROR(__xludf.DUMMYFUNCTION("""COMPUTED_VALUE"""),"Darkest Abyss")</f>
        <v>Darkest Abyss</v>
      </c>
      <c r="AT412" s="1" t="str">
        <f>IFERROR(__xludf.DUMMYFUNCTION("""COMPUTED_VALUE"""),"Celestial Wrath")</f>
        <v>Celestial Wrath</v>
      </c>
      <c r="AU412" s="1"/>
      <c r="AV412" s="1"/>
      <c r="AW412" s="1"/>
      <c r="AX412" s="1"/>
      <c r="AY412" s="1"/>
      <c r="AZ412" s="1"/>
      <c r="BA412" s="1"/>
      <c r="BB412" s="1"/>
      <c r="BC412" s="1"/>
      <c r="BD412" s="1">
        <f>IFERROR(__xludf.DUMMYFUNCTION("""COMPUTED_VALUE"""),10.0)</f>
        <v>10</v>
      </c>
      <c r="BE412" s="9">
        <f>IFERROR(__xludf.DUMMYFUNCTION("""COMPUTED_VALUE"""),10.0)</f>
        <v>10</v>
      </c>
      <c r="BF412" s="1" t="str">
        <f>IFERROR(__xludf.DUMMYFUNCTION("""COMPUTED_VALUE"""),"50% chance to be unaffected by any spells affecting this mob
Dragons Luck: +5 can be added to this mobs d20 rolls.
Undead - Immune to dark, Will live on 1HP unless hit with a Light, Fire, or Celestial attack. Cannot be immune to Light, Fire, and Celesti"&amp;"al.")</f>
        <v>50% chance to be unaffected by any spells affecting this mob
Dragons Luck: +5 can be added to this mobs d20 rolls.
Undead - Immune to dark, Will live on 1HP unless hit with a Light, Fire, or Celestial attack. Cannot be immune to Light, Fire, and Celestial.</v>
      </c>
      <c r="BG412" s="1" t="str">
        <f>IFERROR(__xludf.DUMMYFUNCTION("""COMPUTED_VALUE"""),"All")</f>
        <v>All</v>
      </c>
      <c r="BH412" s="1" t="str">
        <f>IFERROR(__xludf.DUMMYFUNCTION("""COMPUTED_VALUE"""),"Dragonscale Island")</f>
        <v>Dragonscale Island</v>
      </c>
      <c r="BI412" s="1"/>
      <c r="BJ412" s="1"/>
      <c r="BK412" s="1"/>
      <c r="BL412" s="1" t="b">
        <f>IFERROR(__xludf.DUMMYFUNCTION("""COMPUTED_VALUE"""),FALSE)</f>
        <v>0</v>
      </c>
      <c r="BM412" s="1"/>
      <c r="BN412" s="1"/>
      <c r="BO412" s="1"/>
      <c r="BP412" s="1"/>
      <c r="BQ412" s="1"/>
    </row>
    <row r="413" ht="15.75" customHeight="1">
      <c r="A413" s="1" t="str">
        <f>IFERROR(__xludf.DUMMYFUNCTION("""COMPUTED_VALUE"""),"Elder Crystal Dragon")</f>
        <v>Elder Crystal Dragon</v>
      </c>
      <c r="B413" s="1">
        <f>IFERROR(__xludf.DUMMYFUNCTION("""COMPUTED_VALUE"""),1.0)</f>
        <v>1</v>
      </c>
      <c r="C413" s="1"/>
      <c r="D413" s="1" t="str">
        <f>IFERROR(__xludf.DUMMYFUNCTION("""COMPUTED_VALUE"""),"Draconic")</f>
        <v>Draconic</v>
      </c>
      <c r="E413" s="1">
        <f>IFERROR(__xludf.DUMMYFUNCTION("""COMPUTED_VALUE"""),1010.0)</f>
        <v>1010</v>
      </c>
      <c r="F413" s="7">
        <f>IFERROR(__xludf.DUMMYFUNCTION("""COMPUTED_VALUE"""),1010.0)</f>
        <v>1010</v>
      </c>
      <c r="G413" s="1">
        <f>IFERROR(__xludf.DUMMYFUNCTION("""COMPUTED_VALUE"""),1010.0)</f>
        <v>1010</v>
      </c>
      <c r="H413" s="1">
        <f>IFERROR(__xludf.DUMMYFUNCTION("""COMPUTED_VALUE"""),10.0)</f>
        <v>10</v>
      </c>
      <c r="I413" s="1">
        <f>IFERROR(__xludf.DUMMYFUNCTION("""COMPUTED_VALUE"""),10.0)</f>
        <v>10</v>
      </c>
      <c r="J413" s="1">
        <f>IFERROR(__xludf.DUMMYFUNCTION("""COMPUTED_VALUE"""),10.0)</f>
        <v>10</v>
      </c>
      <c r="K413" s="1">
        <f>IFERROR(__xludf.DUMMYFUNCTION("""COMPUTED_VALUE"""),100.0)</f>
        <v>100</v>
      </c>
      <c r="L413" s="1">
        <f>IFERROR(__xludf.DUMMYFUNCTION("""COMPUTED_VALUE"""),100.0)</f>
        <v>100</v>
      </c>
      <c r="M413" s="1" t="str">
        <f>IFERROR(__xludf.DUMMYFUNCTION("""COMPUTED_VALUE"""),"Earth:100, Instant Death:Immune, Banishment:Immune, ")</f>
        <v>Earth:100, Instant Death:Immune, Banishment:Immune, </v>
      </c>
      <c r="N413" s="1" t="str">
        <f>IFERROR(__xludf.DUMMYFUNCTION("""COMPUTED_VALUE"""),"Water:100, Storm:100, ")</f>
        <v>Water:100, Storm:100, </v>
      </c>
      <c r="O413" s="1"/>
      <c r="P413" s="1"/>
      <c r="Q413" s="1"/>
      <c r="R413" s="1"/>
      <c r="S413" s="1"/>
      <c r="T413" s="1"/>
      <c r="U413" s="1"/>
      <c r="V413" s="1"/>
      <c r="W413" s="1"/>
      <c r="X413" s="1"/>
      <c r="Y413" s="1"/>
      <c r="Z413" s="1"/>
      <c r="AA413" s="1"/>
      <c r="AB413" s="1"/>
      <c r="AC413" s="1"/>
      <c r="AD413" s="1"/>
      <c r="AE413" s="1"/>
      <c r="AF413" s="1"/>
      <c r="AG413" s="1"/>
      <c r="AH413" s="1"/>
      <c r="AI413" s="1"/>
      <c r="AJ413" s="1" t="str">
        <f>IFERROR(__xludf.DUMMYFUNCTION("""COMPUTED_VALUE"""),"Greater Dragon's Breath")</f>
        <v>Greater Dragon's Breath</v>
      </c>
      <c r="AK413" s="1" t="str">
        <f>IFERROR(__xludf.DUMMYFUNCTION("""COMPUTED_VALUE"""),"Bite")</f>
        <v>Bite</v>
      </c>
      <c r="AL413" s="1" t="str">
        <f>IFERROR(__xludf.DUMMYFUNCTION("""COMPUTED_VALUE"""),"Tail Smash")</f>
        <v>Tail Smash</v>
      </c>
      <c r="AM413" s="1" t="str">
        <f>IFERROR(__xludf.DUMMYFUNCTION("""COMPUTED_VALUE"""),"Claws")</f>
        <v>Claws</v>
      </c>
      <c r="AN413" s="1" t="str">
        <f>IFERROR(__xludf.DUMMYFUNCTION("""COMPUTED_VALUE"""),"Berserk")</f>
        <v>Berserk</v>
      </c>
      <c r="AO413" s="1" t="str">
        <f>IFERROR(__xludf.DUMMYFUNCTION("""COMPUTED_VALUE"""),"Multishot")</f>
        <v>Multishot</v>
      </c>
      <c r="AP413" s="1" t="str">
        <f>IFERROR(__xludf.DUMMYFUNCTION("""COMPUTED_VALUE"""),"Draconic Scream")</f>
        <v>Draconic Scream</v>
      </c>
      <c r="AQ413" s="1" t="str">
        <f>IFERROR(__xludf.DUMMYFUNCTION("""COMPUTED_VALUE"""),"Searing Saphire Strike")</f>
        <v>Searing Saphire Strike</v>
      </c>
      <c r="AR413" s="1" t="str">
        <f>IFERROR(__xludf.DUMMYFUNCTION("""COMPUTED_VALUE"""),"Energizing Emerald Pulse")</f>
        <v>Energizing Emerald Pulse</v>
      </c>
      <c r="AS413" s="1" t="str">
        <f>IFERROR(__xludf.DUMMYFUNCTION("""COMPUTED_VALUE"""),"Molten Ruby Spikes")</f>
        <v>Molten Ruby Spikes</v>
      </c>
      <c r="AT413" s="1" t="str">
        <f>IFERROR(__xludf.DUMMYFUNCTION("""COMPUTED_VALUE"""),"Celestial Wrath")</f>
        <v>Celestial Wrath</v>
      </c>
      <c r="AU413" s="1"/>
      <c r="AV413" s="1"/>
      <c r="AW413" s="1"/>
      <c r="AX413" s="1"/>
      <c r="AY413" s="1"/>
      <c r="AZ413" s="1"/>
      <c r="BA413" s="1"/>
      <c r="BB413" s="1"/>
      <c r="BC413" s="1"/>
      <c r="BD413" s="1">
        <f>IFERROR(__xludf.DUMMYFUNCTION("""COMPUTED_VALUE"""),10.0)</f>
        <v>10</v>
      </c>
      <c r="BE413" s="9">
        <f>IFERROR(__xludf.DUMMYFUNCTION("""COMPUTED_VALUE"""),10.0)</f>
        <v>10</v>
      </c>
      <c r="BF413"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13" s="1" t="str">
        <f>IFERROR(__xludf.DUMMYFUNCTION("""COMPUTED_VALUE"""),"All")</f>
        <v>All</v>
      </c>
      <c r="BH413" s="1" t="str">
        <f>IFERROR(__xludf.DUMMYFUNCTION("""COMPUTED_VALUE"""),"Dragonscale Island")</f>
        <v>Dragonscale Island</v>
      </c>
      <c r="BI413" s="1"/>
      <c r="BJ413" s="1"/>
      <c r="BK413" s="1"/>
      <c r="BL413" s="1" t="b">
        <f>IFERROR(__xludf.DUMMYFUNCTION("""COMPUTED_VALUE"""),FALSE)</f>
        <v>0</v>
      </c>
      <c r="BM413" s="1"/>
      <c r="BN413" s="1"/>
      <c r="BO413" s="1"/>
      <c r="BP413" s="1"/>
      <c r="BQ413" s="1"/>
    </row>
    <row r="414" ht="15.75" customHeight="1">
      <c r="A414" s="1" t="str">
        <f>IFERROR(__xludf.DUMMYFUNCTION("""COMPUTED_VALUE"""),"Ancient Acid Dragon")</f>
        <v>Ancient Acid Dragon</v>
      </c>
      <c r="B414" s="1">
        <f>IFERROR(__xludf.DUMMYFUNCTION("""COMPUTED_VALUE"""),1.0)</f>
        <v>1</v>
      </c>
      <c r="C414" s="1"/>
      <c r="D414" s="1" t="str">
        <f>IFERROR(__xludf.DUMMYFUNCTION("""COMPUTED_VALUE"""),"Draconic")</f>
        <v>Draconic</v>
      </c>
      <c r="E414" s="1">
        <f>IFERROR(__xludf.DUMMYFUNCTION("""COMPUTED_VALUE"""),1010.0)</f>
        <v>1010</v>
      </c>
      <c r="F414" s="7">
        <f>IFERROR(__xludf.DUMMYFUNCTION("""COMPUTED_VALUE"""),1010.0)</f>
        <v>1010</v>
      </c>
      <c r="G414" s="1">
        <f>IFERROR(__xludf.DUMMYFUNCTION("""COMPUTED_VALUE"""),1010.0)</f>
        <v>1010</v>
      </c>
      <c r="H414" s="1">
        <f>IFERROR(__xludf.DUMMYFUNCTION("""COMPUTED_VALUE"""),10.0)</f>
        <v>10</v>
      </c>
      <c r="I414" s="1">
        <f>IFERROR(__xludf.DUMMYFUNCTION("""COMPUTED_VALUE"""),15.0)</f>
        <v>15</v>
      </c>
      <c r="J414" s="1">
        <f>IFERROR(__xludf.DUMMYFUNCTION("""COMPUTED_VALUE"""),15.0)</f>
        <v>15</v>
      </c>
      <c r="K414" s="1">
        <f>IFERROR(__xludf.DUMMYFUNCTION("""COMPUTED_VALUE"""),100.0)</f>
        <v>100</v>
      </c>
      <c r="L414" s="1">
        <f>IFERROR(__xludf.DUMMYFUNCTION("""COMPUTED_VALUE"""),100.0)</f>
        <v>100</v>
      </c>
      <c r="M414" s="1" t="str">
        <f>IFERROR(__xludf.DUMMYFUNCTION("""COMPUTED_VALUE"""),"Nature:Immune, Instant Death:Immune, Banishment:Immune, ")</f>
        <v>Nature:Immune, Instant Death:Immune, Banishment:Immune, </v>
      </c>
      <c r="N414" s="1" t="str">
        <f>IFERROR(__xludf.DUMMYFUNCTION("""COMPUTED_VALUE"""),"Fire:100, Storm:100, ")</f>
        <v>Fire:100, Storm:100, </v>
      </c>
      <c r="O414" s="1"/>
      <c r="P414" s="1"/>
      <c r="Q414" s="1"/>
      <c r="R414" s="1"/>
      <c r="S414" s="1"/>
      <c r="T414" s="1"/>
      <c r="U414" s="1"/>
      <c r="V414" s="1"/>
      <c r="W414" s="1"/>
      <c r="X414" s="1"/>
      <c r="Y414" s="1"/>
      <c r="Z414" s="1"/>
      <c r="AA414" s="1"/>
      <c r="AB414" s="1"/>
      <c r="AC414" s="1"/>
      <c r="AD414" s="1"/>
      <c r="AE414" s="1"/>
      <c r="AF414" s="1"/>
      <c r="AG414" s="1"/>
      <c r="AH414" s="1"/>
      <c r="AI414" s="1"/>
      <c r="AJ414" s="1" t="str">
        <f>IFERROR(__xludf.DUMMYFUNCTION("""COMPUTED_VALUE"""),"Greater Dragon's Breath")</f>
        <v>Greater Dragon's Breath</v>
      </c>
      <c r="AK414" s="1" t="str">
        <f>IFERROR(__xludf.DUMMYFUNCTION("""COMPUTED_VALUE"""),"Bite")</f>
        <v>Bite</v>
      </c>
      <c r="AL414" s="1" t="str">
        <f>IFERROR(__xludf.DUMMYFUNCTION("""COMPUTED_VALUE"""),"Tail Smash")</f>
        <v>Tail Smash</v>
      </c>
      <c r="AM414" s="1" t="str">
        <f>IFERROR(__xludf.DUMMYFUNCTION("""COMPUTED_VALUE"""),"Claws")</f>
        <v>Claws</v>
      </c>
      <c r="AN414" s="1" t="str">
        <f>IFERROR(__xludf.DUMMYFUNCTION("""COMPUTED_VALUE"""),"Berserk")</f>
        <v>Berserk</v>
      </c>
      <c r="AO414" s="1" t="str">
        <f>IFERROR(__xludf.DUMMYFUNCTION("""COMPUTED_VALUE"""),"Multishot")</f>
        <v>Multishot</v>
      </c>
      <c r="AP414" s="1" t="str">
        <f>IFERROR(__xludf.DUMMYFUNCTION("""COMPUTED_VALUE"""),"Draconic Scream")</f>
        <v>Draconic Scream</v>
      </c>
      <c r="AQ414" s="1" t="str">
        <f>IFERROR(__xludf.DUMMYFUNCTION("""COMPUTED_VALUE"""),"Chaincast")</f>
        <v>Chaincast</v>
      </c>
      <c r="AR414" s="1" t="str">
        <f>IFERROR(__xludf.DUMMYFUNCTION("""COMPUTED_VALUE"""),"Poison Fang")</f>
        <v>Poison Fang</v>
      </c>
      <c r="AS414" s="1" t="str">
        <f>IFERROR(__xludf.DUMMYFUNCTION("""COMPUTED_VALUE"""),"Class 3 Poison")</f>
        <v>Class 3 Poison</v>
      </c>
      <c r="AT414" s="1" t="str">
        <f>IFERROR(__xludf.DUMMYFUNCTION("""COMPUTED_VALUE"""),"1000 Poisons Body")</f>
        <v>1000 Poisons Body</v>
      </c>
      <c r="AU414" s="1" t="str">
        <f>IFERROR(__xludf.DUMMYFUNCTION("""COMPUTED_VALUE"""),"Thorn Bush")</f>
        <v>Thorn Bush</v>
      </c>
      <c r="AV414" s="1" t="str">
        <f>IFERROR(__xludf.DUMMYFUNCTION("""COMPUTED_VALUE"""),"Poisonous Fumes")</f>
        <v>Poisonous Fumes</v>
      </c>
      <c r="AW414" s="1" t="str">
        <f>IFERROR(__xludf.DUMMYFUNCTION("""COMPUTED_VALUE"""),"Celestial Wrath")</f>
        <v>Celestial Wrath</v>
      </c>
      <c r="AX414" s="1"/>
      <c r="AY414" s="1"/>
      <c r="AZ414" s="1"/>
      <c r="BA414" s="1"/>
      <c r="BB414" s="1"/>
      <c r="BC414" s="1"/>
      <c r="BD414" s="1">
        <f>IFERROR(__xludf.DUMMYFUNCTION("""COMPUTED_VALUE"""),15.0)</f>
        <v>15</v>
      </c>
      <c r="BE414" s="9">
        <f>IFERROR(__xludf.DUMMYFUNCTION("""COMPUTED_VALUE"""),10.0)</f>
        <v>10</v>
      </c>
      <c r="BF414" s="1" t="str">
        <f>IFERROR(__xludf.DUMMYFUNCTION("""COMPUTED_VALUE"""),"75% chance to be unaffected by any spells affecting this mob
Dragons Luck II: +10 can be added to this mobs d20 rolls.
Immune to poison")</f>
        <v>75% chance to be unaffected by any spells affecting this mob
Dragons Luck II: +10 can be added to this mobs d20 rolls.
Immune to poison</v>
      </c>
      <c r="BG414" s="1" t="str">
        <f>IFERROR(__xludf.DUMMYFUNCTION("""COMPUTED_VALUE"""),"All")</f>
        <v>All</v>
      </c>
      <c r="BH414" s="1" t="str">
        <f>IFERROR(__xludf.DUMMYFUNCTION("""COMPUTED_VALUE"""),"Dragonscale Island")</f>
        <v>Dragonscale Island</v>
      </c>
      <c r="BI414" s="1"/>
      <c r="BJ414" s="1"/>
      <c r="BK414" s="1"/>
      <c r="BL414" s="1" t="b">
        <f>IFERROR(__xludf.DUMMYFUNCTION("""COMPUTED_VALUE"""),FALSE)</f>
        <v>0</v>
      </c>
      <c r="BM414" s="1"/>
      <c r="BN414" s="1"/>
      <c r="BO414" s="1"/>
      <c r="BP414" s="1"/>
      <c r="BQ414" s="1"/>
    </row>
    <row r="415" ht="15.75" customHeight="1">
      <c r="A415" s="1" t="str">
        <f>IFERROR(__xludf.DUMMYFUNCTION("""COMPUTED_VALUE"""),"Ancient Water Dragon")</f>
        <v>Ancient Water Dragon</v>
      </c>
      <c r="B415" s="1">
        <f>IFERROR(__xludf.DUMMYFUNCTION("""COMPUTED_VALUE"""),1.0)</f>
        <v>1</v>
      </c>
      <c r="C415" s="1"/>
      <c r="D415" s="1" t="str">
        <f>IFERROR(__xludf.DUMMYFUNCTION("""COMPUTED_VALUE"""),"Draconic")</f>
        <v>Draconic</v>
      </c>
      <c r="E415" s="1">
        <f>IFERROR(__xludf.DUMMYFUNCTION("""COMPUTED_VALUE"""),1010.0)</f>
        <v>1010</v>
      </c>
      <c r="F415" s="7">
        <f>IFERROR(__xludf.DUMMYFUNCTION("""COMPUTED_VALUE"""),1010.0)</f>
        <v>1010</v>
      </c>
      <c r="G415" s="1">
        <f>IFERROR(__xludf.DUMMYFUNCTION("""COMPUTED_VALUE"""),1010.0)</f>
        <v>1010</v>
      </c>
      <c r="H415" s="1">
        <f>IFERROR(__xludf.DUMMYFUNCTION("""COMPUTED_VALUE"""),10.0)</f>
        <v>10</v>
      </c>
      <c r="I415" s="1">
        <f>IFERROR(__xludf.DUMMYFUNCTION("""COMPUTED_VALUE"""),15.0)</f>
        <v>15</v>
      </c>
      <c r="J415" s="1">
        <f>IFERROR(__xludf.DUMMYFUNCTION("""COMPUTED_VALUE"""),15.0)</f>
        <v>15</v>
      </c>
      <c r="K415" s="1">
        <f>IFERROR(__xludf.DUMMYFUNCTION("""COMPUTED_VALUE"""),100.0)</f>
        <v>100</v>
      </c>
      <c r="L415" s="1">
        <f>IFERROR(__xludf.DUMMYFUNCTION("""COMPUTED_VALUE"""),100.0)</f>
        <v>100</v>
      </c>
      <c r="M415" s="1" t="str">
        <f>IFERROR(__xludf.DUMMYFUNCTION("""COMPUTED_VALUE"""),"Fire:Immune, Water:Immune, Instant Death:Immune, Banishment:Immune, ")</f>
        <v>Fire:Immune, Water:Immune, Instant Death:Immune, Banishment:Immune, </v>
      </c>
      <c r="N415" s="1" t="str">
        <f>IFERROR(__xludf.DUMMYFUNCTION("""COMPUTED_VALUE"""),"")</f>
        <v/>
      </c>
      <c r="O415" s="1"/>
      <c r="P415" s="1"/>
      <c r="Q415" s="1"/>
      <c r="R415" s="1"/>
      <c r="S415" s="1"/>
      <c r="T415" s="1"/>
      <c r="U415" s="1"/>
      <c r="V415" s="1"/>
      <c r="W415" s="1"/>
      <c r="X415" s="1"/>
      <c r="Y415" s="1"/>
      <c r="Z415" s="1"/>
      <c r="AA415" s="1"/>
      <c r="AB415" s="1"/>
      <c r="AC415" s="1"/>
      <c r="AD415" s="1"/>
      <c r="AE415" s="1"/>
      <c r="AF415" s="1"/>
      <c r="AG415" s="1"/>
      <c r="AH415" s="1"/>
      <c r="AI415" s="1"/>
      <c r="AJ415" s="1" t="str">
        <f>IFERROR(__xludf.DUMMYFUNCTION("""COMPUTED_VALUE"""),"Greater Dragon's Breath")</f>
        <v>Greater Dragon's Breath</v>
      </c>
      <c r="AK415" s="1" t="str">
        <f>IFERROR(__xludf.DUMMYFUNCTION("""COMPUTED_VALUE"""),"Bite")</f>
        <v>Bite</v>
      </c>
      <c r="AL415" s="1" t="str">
        <f>IFERROR(__xludf.DUMMYFUNCTION("""COMPUTED_VALUE"""),"Tail Smash")</f>
        <v>Tail Smash</v>
      </c>
      <c r="AM415" s="1" t="str">
        <f>IFERROR(__xludf.DUMMYFUNCTION("""COMPUTED_VALUE"""),"Claws")</f>
        <v>Claws</v>
      </c>
      <c r="AN415" s="1" t="str">
        <f>IFERROR(__xludf.DUMMYFUNCTION("""COMPUTED_VALUE"""),"Berserk")</f>
        <v>Berserk</v>
      </c>
      <c r="AO415" s="1" t="str">
        <f>IFERROR(__xludf.DUMMYFUNCTION("""COMPUTED_VALUE"""),"Multishot")</f>
        <v>Multishot</v>
      </c>
      <c r="AP415" s="1" t="str">
        <f>IFERROR(__xludf.DUMMYFUNCTION("""COMPUTED_VALUE"""),"Draconic Scream")</f>
        <v>Draconic Scream</v>
      </c>
      <c r="AQ415" s="1" t="str">
        <f>IFERROR(__xludf.DUMMYFUNCTION("""COMPUTED_VALUE"""),"Chaincast")</f>
        <v>Chaincast</v>
      </c>
      <c r="AR415" s="1" t="str">
        <f>IFERROR(__xludf.DUMMYFUNCTION("""COMPUTED_VALUE"""),"Crashing Waves")</f>
        <v>Crashing Waves</v>
      </c>
      <c r="AS415" s="1" t="str">
        <f>IFERROR(__xludf.DUMMYFUNCTION("""COMPUTED_VALUE"""),"Torrential Downpour")</f>
        <v>Torrential Downpour</v>
      </c>
      <c r="AT415" s="1" t="str">
        <f>IFERROR(__xludf.DUMMYFUNCTION("""COMPUTED_VALUE"""),"Deep Freeze")</f>
        <v>Deep Freeze</v>
      </c>
      <c r="AU415" s="1" t="str">
        <f>IFERROR(__xludf.DUMMYFUNCTION("""COMPUTED_VALUE"""),"Celestial Wrath")</f>
        <v>Celestial Wrath</v>
      </c>
      <c r="AV415" s="1"/>
      <c r="AW415" s="1"/>
      <c r="AX415" s="1"/>
      <c r="AY415" s="1"/>
      <c r="AZ415" s="1"/>
      <c r="BA415" s="1"/>
      <c r="BB415" s="1"/>
      <c r="BC415" s="1"/>
      <c r="BD415" s="1">
        <f>IFERROR(__xludf.DUMMYFUNCTION("""COMPUTED_VALUE"""),15.0)</f>
        <v>15</v>
      </c>
      <c r="BE415" s="9">
        <f>IFERROR(__xludf.DUMMYFUNCTION("""COMPUTED_VALUE"""),10.0)</f>
        <v>10</v>
      </c>
      <c r="BF415"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5" s="1" t="str">
        <f>IFERROR(__xludf.DUMMYFUNCTION("""COMPUTED_VALUE"""),"All")</f>
        <v>All</v>
      </c>
      <c r="BH415" s="1" t="str">
        <f>IFERROR(__xludf.DUMMYFUNCTION("""COMPUTED_VALUE"""),"Abstara")</f>
        <v>Abstara</v>
      </c>
      <c r="BI415" s="1"/>
      <c r="BJ415" s="1"/>
      <c r="BK415" s="1"/>
      <c r="BL415" s="1" t="b">
        <f>IFERROR(__xludf.DUMMYFUNCTION("""COMPUTED_VALUE"""),FALSE)</f>
        <v>0</v>
      </c>
      <c r="BM415" s="1"/>
      <c r="BN415" s="1"/>
      <c r="BO415" s="1"/>
      <c r="BP415" s="1"/>
      <c r="BQ415" s="1"/>
    </row>
    <row r="416" ht="15.75" customHeight="1">
      <c r="A416" s="1" t="str">
        <f>IFERROR(__xludf.DUMMYFUNCTION("""COMPUTED_VALUE"""),"Ancient Astral Dragon")</f>
        <v>Ancient Astral Dragon</v>
      </c>
      <c r="B416" s="1">
        <f>IFERROR(__xludf.DUMMYFUNCTION("""COMPUTED_VALUE"""),1.0)</f>
        <v>1</v>
      </c>
      <c r="C416" s="1"/>
      <c r="D416" s="1" t="str">
        <f>IFERROR(__xludf.DUMMYFUNCTION("""COMPUTED_VALUE"""),"Draconic")</f>
        <v>Draconic</v>
      </c>
      <c r="E416" s="1">
        <f>IFERROR(__xludf.DUMMYFUNCTION("""COMPUTED_VALUE"""),1010.0)</f>
        <v>1010</v>
      </c>
      <c r="F416" s="7">
        <f>IFERROR(__xludf.DUMMYFUNCTION("""COMPUTED_VALUE"""),1010.0)</f>
        <v>1010</v>
      </c>
      <c r="G416" s="1">
        <f>IFERROR(__xludf.DUMMYFUNCTION("""COMPUTED_VALUE"""),1010.0)</f>
        <v>1010</v>
      </c>
      <c r="H416" s="1">
        <f>IFERROR(__xludf.DUMMYFUNCTION("""COMPUTED_VALUE"""),10.0)</f>
        <v>10</v>
      </c>
      <c r="I416" s="1">
        <f>IFERROR(__xludf.DUMMYFUNCTION("""COMPUTED_VALUE"""),15.0)</f>
        <v>15</v>
      </c>
      <c r="J416" s="1">
        <f>IFERROR(__xludf.DUMMYFUNCTION("""COMPUTED_VALUE"""),15.0)</f>
        <v>15</v>
      </c>
      <c r="K416" s="1">
        <f>IFERROR(__xludf.DUMMYFUNCTION("""COMPUTED_VALUE"""),100.0)</f>
        <v>100</v>
      </c>
      <c r="L416" s="1">
        <f>IFERROR(__xludf.DUMMYFUNCTION("""COMPUTED_VALUE"""),100.0)</f>
        <v>100</v>
      </c>
      <c r="M416" s="1" t="str">
        <f>IFERROR(__xludf.DUMMYFUNCTION("""COMPUTED_VALUE"""),"Astral:Immune, Instant Death:Immune, Banishment:Immune, ")</f>
        <v>Astral:Immune, Instant Death:Immune, Banishment:Immune, </v>
      </c>
      <c r="N416" s="1" t="str">
        <f>IFERROR(__xludf.DUMMYFUNCTION("""COMPUTED_VALUE"""),"Celestial:100, ")</f>
        <v>Celestial:100, </v>
      </c>
      <c r="O416" s="1"/>
      <c r="P416" s="1"/>
      <c r="Q416" s="1"/>
      <c r="R416" s="1"/>
      <c r="S416" s="1"/>
      <c r="T416" s="1"/>
      <c r="U416" s="1"/>
      <c r="V416" s="1"/>
      <c r="W416" s="1"/>
      <c r="X416" s="1"/>
      <c r="Y416" s="1"/>
      <c r="Z416" s="1"/>
      <c r="AA416" s="1"/>
      <c r="AB416" s="1"/>
      <c r="AC416" s="1"/>
      <c r="AD416" s="1"/>
      <c r="AE416" s="1"/>
      <c r="AF416" s="1"/>
      <c r="AG416" s="1"/>
      <c r="AH416" s="1"/>
      <c r="AI416" s="1"/>
      <c r="AJ416" s="1" t="str">
        <f>IFERROR(__xludf.DUMMYFUNCTION("""COMPUTED_VALUE"""),"Greater Dragon's Breath")</f>
        <v>Greater Dragon's Breath</v>
      </c>
      <c r="AK416" s="1" t="str">
        <f>IFERROR(__xludf.DUMMYFUNCTION("""COMPUTED_VALUE"""),"Bite")</f>
        <v>Bite</v>
      </c>
      <c r="AL416" s="1" t="str">
        <f>IFERROR(__xludf.DUMMYFUNCTION("""COMPUTED_VALUE"""),"Tail Smash")</f>
        <v>Tail Smash</v>
      </c>
      <c r="AM416" s="1" t="str">
        <f>IFERROR(__xludf.DUMMYFUNCTION("""COMPUTED_VALUE"""),"Claws")</f>
        <v>Claws</v>
      </c>
      <c r="AN416" s="1" t="str">
        <f>IFERROR(__xludf.DUMMYFUNCTION("""COMPUTED_VALUE"""),"Berserk")</f>
        <v>Berserk</v>
      </c>
      <c r="AO416" s="1" t="str">
        <f>IFERROR(__xludf.DUMMYFUNCTION("""COMPUTED_VALUE"""),"Multishot")</f>
        <v>Multishot</v>
      </c>
      <c r="AP416" s="1" t="str">
        <f>IFERROR(__xludf.DUMMYFUNCTION("""COMPUTED_VALUE"""),"Draconic Scream")</f>
        <v>Draconic Scream</v>
      </c>
      <c r="AQ416" s="1" t="str">
        <f>IFERROR(__xludf.DUMMYFUNCTION("""COMPUTED_VALUE"""),"Chaincast")</f>
        <v>Chaincast</v>
      </c>
      <c r="AR416" s="1" t="str">
        <f>IFERROR(__xludf.DUMMYFUNCTION("""COMPUTED_VALUE"""),"Black Hole")</f>
        <v>Black Hole</v>
      </c>
      <c r="AS416" s="1" t="str">
        <f>IFERROR(__xludf.DUMMYFUNCTION("""COMPUTED_VALUE"""),"Planetary Meteor Storm")</f>
        <v>Planetary Meteor Storm</v>
      </c>
      <c r="AT416" s="1" t="str">
        <f>IFERROR(__xludf.DUMMYFUNCTION("""COMPUTED_VALUE"""),"Lunar Ward")</f>
        <v>Lunar Ward</v>
      </c>
      <c r="AU416" s="1" t="str">
        <f>IFERROR(__xludf.DUMMYFUNCTION("""COMPUTED_VALUE"""),"Solar Ward")</f>
        <v>Solar Ward</v>
      </c>
      <c r="AV416" s="1" t="str">
        <f>IFERROR(__xludf.DUMMYFUNCTION("""COMPUTED_VALUE"""),"Celestial Wrath")</f>
        <v>Celestial Wrath</v>
      </c>
      <c r="AW416" s="1"/>
      <c r="AX416" s="1"/>
      <c r="AY416" s="1"/>
      <c r="AZ416" s="1"/>
      <c r="BA416" s="1"/>
      <c r="BB416" s="1"/>
      <c r="BC416" s="1"/>
      <c r="BD416" s="1">
        <f>IFERROR(__xludf.DUMMYFUNCTION("""COMPUTED_VALUE"""),15.0)</f>
        <v>15</v>
      </c>
      <c r="BE416" s="9">
        <f>IFERROR(__xludf.DUMMYFUNCTION("""COMPUTED_VALUE"""),10.0)</f>
        <v>10</v>
      </c>
      <c r="BF416"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6" s="1" t="str">
        <f>IFERROR(__xludf.DUMMYFUNCTION("""COMPUTED_VALUE"""),"All")</f>
        <v>All</v>
      </c>
      <c r="BH416" s="1" t="str">
        <f>IFERROR(__xludf.DUMMYFUNCTION("""COMPUTED_VALUE"""),"Abstara")</f>
        <v>Abstara</v>
      </c>
      <c r="BI416" s="1"/>
      <c r="BJ416" s="1"/>
      <c r="BK416" s="1"/>
      <c r="BL416" s="1" t="b">
        <f>IFERROR(__xludf.DUMMYFUNCTION("""COMPUTED_VALUE"""),FALSE)</f>
        <v>0</v>
      </c>
      <c r="BM416" s="1"/>
      <c r="BN416" s="1"/>
      <c r="BO416" s="1"/>
      <c r="BP416" s="1"/>
      <c r="BQ416" s="1"/>
    </row>
    <row r="417" ht="15.75" customHeight="1">
      <c r="A417" s="1" t="str">
        <f>IFERROR(__xludf.DUMMYFUNCTION("""COMPUTED_VALUE"""),"Ancient Celestial Dragon")</f>
        <v>Ancient Celestial Dragon</v>
      </c>
      <c r="B417" s="1">
        <f>IFERROR(__xludf.DUMMYFUNCTION("""COMPUTED_VALUE"""),1.0)</f>
        <v>1</v>
      </c>
      <c r="C417" s="1"/>
      <c r="D417" s="1" t="str">
        <f>IFERROR(__xludf.DUMMYFUNCTION("""COMPUTED_VALUE"""),"Draconic")</f>
        <v>Draconic</v>
      </c>
      <c r="E417" s="1">
        <f>IFERROR(__xludf.DUMMYFUNCTION("""COMPUTED_VALUE"""),1010.0)</f>
        <v>1010</v>
      </c>
      <c r="F417" s="7">
        <f>IFERROR(__xludf.DUMMYFUNCTION("""COMPUTED_VALUE"""),1010.0)</f>
        <v>1010</v>
      </c>
      <c r="G417" s="1">
        <f>IFERROR(__xludf.DUMMYFUNCTION("""COMPUTED_VALUE"""),1010.0)</f>
        <v>1010</v>
      </c>
      <c r="H417" s="1">
        <f>IFERROR(__xludf.DUMMYFUNCTION("""COMPUTED_VALUE"""),10.0)</f>
        <v>10</v>
      </c>
      <c r="I417" s="1">
        <f>IFERROR(__xludf.DUMMYFUNCTION("""COMPUTED_VALUE"""),15.0)</f>
        <v>15</v>
      </c>
      <c r="J417" s="1">
        <f>IFERROR(__xludf.DUMMYFUNCTION("""COMPUTED_VALUE"""),15.0)</f>
        <v>15</v>
      </c>
      <c r="K417" s="1">
        <f>IFERROR(__xludf.DUMMYFUNCTION("""COMPUTED_VALUE"""),100.0)</f>
        <v>100</v>
      </c>
      <c r="L417" s="1">
        <f>IFERROR(__xludf.DUMMYFUNCTION("""COMPUTED_VALUE"""),100.0)</f>
        <v>100</v>
      </c>
      <c r="M417" s="1" t="str">
        <f>IFERROR(__xludf.DUMMYFUNCTION("""COMPUTED_VALUE"""),"Celestial:Immune, Instant Death:Immune, Banishment:Immune, ")</f>
        <v>Celestial:Immune, Instant Death:Immune, Banishment:Immune, </v>
      </c>
      <c r="N417" s="1" t="str">
        <f>IFERROR(__xludf.DUMMYFUNCTION("""COMPUTED_VALUE"""),"Astral:100, ")</f>
        <v>Astral:100, </v>
      </c>
      <c r="O417" s="1"/>
      <c r="P417" s="1"/>
      <c r="Q417" s="1"/>
      <c r="R417" s="1"/>
      <c r="S417" s="1"/>
      <c r="T417" s="1"/>
      <c r="U417" s="1"/>
      <c r="V417" s="1"/>
      <c r="W417" s="1"/>
      <c r="X417" s="1"/>
      <c r="Y417" s="1"/>
      <c r="Z417" s="1"/>
      <c r="AA417" s="1"/>
      <c r="AB417" s="1"/>
      <c r="AC417" s="1"/>
      <c r="AD417" s="1"/>
      <c r="AE417" s="1"/>
      <c r="AF417" s="1"/>
      <c r="AG417" s="1"/>
      <c r="AH417" s="1"/>
      <c r="AI417" s="1"/>
      <c r="AJ417" s="1" t="str">
        <f>IFERROR(__xludf.DUMMYFUNCTION("""COMPUTED_VALUE"""),"Greater Dragon's Breath")</f>
        <v>Greater Dragon's Breath</v>
      </c>
      <c r="AK417" s="1" t="str">
        <f>IFERROR(__xludf.DUMMYFUNCTION("""COMPUTED_VALUE"""),"Bite")</f>
        <v>Bite</v>
      </c>
      <c r="AL417" s="1" t="str">
        <f>IFERROR(__xludf.DUMMYFUNCTION("""COMPUTED_VALUE"""),"Tail Smash")</f>
        <v>Tail Smash</v>
      </c>
      <c r="AM417" s="1" t="str">
        <f>IFERROR(__xludf.DUMMYFUNCTION("""COMPUTED_VALUE"""),"Claws")</f>
        <v>Claws</v>
      </c>
      <c r="AN417" s="1" t="str">
        <f>IFERROR(__xludf.DUMMYFUNCTION("""COMPUTED_VALUE"""),"Berserk")</f>
        <v>Berserk</v>
      </c>
      <c r="AO417" s="1" t="str">
        <f>IFERROR(__xludf.DUMMYFUNCTION("""COMPUTED_VALUE"""),"Multishot")</f>
        <v>Multishot</v>
      </c>
      <c r="AP417" s="1" t="str">
        <f>IFERROR(__xludf.DUMMYFUNCTION("""COMPUTED_VALUE"""),"Draconic Scream")</f>
        <v>Draconic Scream</v>
      </c>
      <c r="AQ417" s="1" t="str">
        <f>IFERROR(__xludf.DUMMYFUNCTION("""COMPUTED_VALUE"""),"Chaincast")</f>
        <v>Chaincast</v>
      </c>
      <c r="AR417" s="1" t="str">
        <f>IFERROR(__xludf.DUMMYFUNCTION("""COMPUTED_VALUE"""),"Mass Destruction")</f>
        <v>Mass Destruction</v>
      </c>
      <c r="AS417" s="1" t="str">
        <f>IFERROR(__xludf.DUMMYFUNCTION("""COMPUTED_VALUE"""),"Vaporize")</f>
        <v>Vaporize</v>
      </c>
      <c r="AT417" s="1" t="str">
        <f>IFERROR(__xludf.DUMMYFUNCTION("""COMPUTED_VALUE"""),"Celestial Wrath")</f>
        <v>Celestial Wrath</v>
      </c>
      <c r="AU417" s="1"/>
      <c r="AV417" s="1"/>
      <c r="AW417" s="1"/>
      <c r="AX417" s="1"/>
      <c r="AY417" s="1"/>
      <c r="AZ417" s="1"/>
      <c r="BA417" s="1"/>
      <c r="BB417" s="1"/>
      <c r="BC417" s="1"/>
      <c r="BD417" s="1">
        <f>IFERROR(__xludf.DUMMYFUNCTION("""COMPUTED_VALUE"""),15.0)</f>
        <v>15</v>
      </c>
      <c r="BE417" s="9">
        <f>IFERROR(__xludf.DUMMYFUNCTION("""COMPUTED_VALUE"""),10.0)</f>
        <v>10</v>
      </c>
      <c r="BF417"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7" s="1" t="str">
        <f>IFERROR(__xludf.DUMMYFUNCTION("""COMPUTED_VALUE"""),"All")</f>
        <v>All</v>
      </c>
      <c r="BH417" s="1" t="str">
        <f>IFERROR(__xludf.DUMMYFUNCTION("""COMPUTED_VALUE"""),"Abstara")</f>
        <v>Abstara</v>
      </c>
      <c r="BI417" s="1"/>
      <c r="BJ417" s="1"/>
      <c r="BK417" s="1"/>
      <c r="BL417" s="1" t="b">
        <f>IFERROR(__xludf.DUMMYFUNCTION("""COMPUTED_VALUE"""),FALSE)</f>
        <v>0</v>
      </c>
      <c r="BM417" s="1"/>
      <c r="BN417" s="1"/>
      <c r="BO417" s="1"/>
      <c r="BP417" s="1"/>
      <c r="BQ417" s="1"/>
    </row>
    <row r="418" ht="15.75" customHeight="1">
      <c r="A418" s="1" t="str">
        <f>IFERROR(__xludf.DUMMYFUNCTION("""COMPUTED_VALUE"""),"Ancient Chaos Dragon")</f>
        <v>Ancient Chaos Dragon</v>
      </c>
      <c r="B418" s="1">
        <f>IFERROR(__xludf.DUMMYFUNCTION("""COMPUTED_VALUE"""),1.0)</f>
        <v>1</v>
      </c>
      <c r="C418" s="1"/>
      <c r="D418" s="1" t="str">
        <f>IFERROR(__xludf.DUMMYFUNCTION("""COMPUTED_VALUE"""),"Draconic")</f>
        <v>Draconic</v>
      </c>
      <c r="E418" s="1">
        <f>IFERROR(__xludf.DUMMYFUNCTION("""COMPUTED_VALUE"""),1010.0)</f>
        <v>1010</v>
      </c>
      <c r="F418" s="7">
        <f>IFERROR(__xludf.DUMMYFUNCTION("""COMPUTED_VALUE"""),1010.0)</f>
        <v>1010</v>
      </c>
      <c r="G418" s="1">
        <f>IFERROR(__xludf.DUMMYFUNCTION("""COMPUTED_VALUE"""),1010.0)</f>
        <v>1010</v>
      </c>
      <c r="H418" s="1">
        <f>IFERROR(__xludf.DUMMYFUNCTION("""COMPUTED_VALUE"""),10.0)</f>
        <v>10</v>
      </c>
      <c r="I418" s="1">
        <f>IFERROR(__xludf.DUMMYFUNCTION("""COMPUTED_VALUE"""),15.0)</f>
        <v>15</v>
      </c>
      <c r="J418" s="1">
        <f>IFERROR(__xludf.DUMMYFUNCTION("""COMPUTED_VALUE"""),15.0)</f>
        <v>15</v>
      </c>
      <c r="K418" s="1">
        <f>IFERROR(__xludf.DUMMYFUNCTION("""COMPUTED_VALUE"""),100.0)</f>
        <v>100</v>
      </c>
      <c r="L418" s="1">
        <f>IFERROR(__xludf.DUMMYFUNCTION("""COMPUTED_VALUE"""),100.0)</f>
        <v>100</v>
      </c>
      <c r="M418" s="1" t="str">
        <f>IFERROR(__xludf.DUMMYFUNCTION("""COMPUTED_VALUE"""),"Chaos:Immune, Instant Death:Immune, Banishment:Immune, ")</f>
        <v>Chaos:Immune, Instant Death:Immune, Banishment:Immune, </v>
      </c>
      <c r="N418" s="1" t="str">
        <f>IFERROR(__xludf.DUMMYFUNCTION("""COMPUTED_VALUE"""),"Order:100, ")</f>
        <v>Order:100, </v>
      </c>
      <c r="O418" s="1"/>
      <c r="P418" s="1"/>
      <c r="Q418" s="1"/>
      <c r="R418" s="1"/>
      <c r="S418" s="1"/>
      <c r="T418" s="1"/>
      <c r="U418" s="1"/>
      <c r="V418" s="1"/>
      <c r="W418" s="1"/>
      <c r="X418" s="1"/>
      <c r="Y418" s="1"/>
      <c r="Z418" s="1"/>
      <c r="AA418" s="1"/>
      <c r="AB418" s="1"/>
      <c r="AC418" s="1"/>
      <c r="AD418" s="1"/>
      <c r="AE418" s="1"/>
      <c r="AF418" s="1"/>
      <c r="AG418" s="1"/>
      <c r="AH418" s="1"/>
      <c r="AI418" s="1"/>
      <c r="AJ418" s="1" t="str">
        <f>IFERROR(__xludf.DUMMYFUNCTION("""COMPUTED_VALUE"""),"Greater Dragon's Breath")</f>
        <v>Greater Dragon's Breath</v>
      </c>
      <c r="AK418" s="1" t="str">
        <f>IFERROR(__xludf.DUMMYFUNCTION("""COMPUTED_VALUE"""),"Bite")</f>
        <v>Bite</v>
      </c>
      <c r="AL418" s="1" t="str">
        <f>IFERROR(__xludf.DUMMYFUNCTION("""COMPUTED_VALUE"""),"Tail Smash")</f>
        <v>Tail Smash</v>
      </c>
      <c r="AM418" s="1" t="str">
        <f>IFERROR(__xludf.DUMMYFUNCTION("""COMPUTED_VALUE"""),"Claws")</f>
        <v>Claws</v>
      </c>
      <c r="AN418" s="1" t="str">
        <f>IFERROR(__xludf.DUMMYFUNCTION("""COMPUTED_VALUE"""),"Berserk")</f>
        <v>Berserk</v>
      </c>
      <c r="AO418" s="1" t="str">
        <f>IFERROR(__xludf.DUMMYFUNCTION("""COMPUTED_VALUE"""),"Multishot")</f>
        <v>Multishot</v>
      </c>
      <c r="AP418" s="1" t="str">
        <f>IFERROR(__xludf.DUMMYFUNCTION("""COMPUTED_VALUE"""),"Draconic Scream")</f>
        <v>Draconic Scream</v>
      </c>
      <c r="AQ418" s="1" t="str">
        <f>IFERROR(__xludf.DUMMYFUNCTION("""COMPUTED_VALUE"""),"Chaincast")</f>
        <v>Chaincast</v>
      </c>
      <c r="AR418" s="1" t="str">
        <f>IFERROR(__xludf.DUMMYFUNCTION("""COMPUTED_VALUE"""),"Chaos Ward")</f>
        <v>Chaos Ward</v>
      </c>
      <c r="AS418" s="1" t="str">
        <f>IFERROR(__xludf.DUMMYFUNCTION("""COMPUTED_VALUE"""),"Shatter")</f>
        <v>Shatter</v>
      </c>
      <c r="AT418" s="1" t="str">
        <f>IFERROR(__xludf.DUMMYFUNCTION("""COMPUTED_VALUE"""),"Dimensional Quake")</f>
        <v>Dimensional Quake</v>
      </c>
      <c r="AU418" s="1" t="str">
        <f>IFERROR(__xludf.DUMMYFUNCTION("""COMPUTED_VALUE"""),"Dimension Portal")</f>
        <v>Dimension Portal</v>
      </c>
      <c r="AV418" s="1" t="str">
        <f>IFERROR(__xludf.DUMMYFUNCTION("""COMPUTED_VALUE"""),"Damage With A Cost.")</f>
        <v>Damage With A Cost.</v>
      </c>
      <c r="AW418" s="1" t="str">
        <f>IFERROR(__xludf.DUMMYFUNCTION("""COMPUTED_VALUE"""),"Swallow")</f>
        <v>Swallow</v>
      </c>
      <c r="AX418" s="1" t="str">
        <f>IFERROR(__xludf.DUMMYFUNCTION("""COMPUTED_VALUE"""),"Celestial Wrath")</f>
        <v>Celestial Wrath</v>
      </c>
      <c r="AY418" s="1"/>
      <c r="AZ418" s="1"/>
      <c r="BA418" s="1"/>
      <c r="BB418" s="1"/>
      <c r="BC418" s="1"/>
      <c r="BD418" s="1">
        <f>IFERROR(__xludf.DUMMYFUNCTION("""COMPUTED_VALUE"""),15.0)</f>
        <v>15</v>
      </c>
      <c r="BE418" s="9">
        <f>IFERROR(__xludf.DUMMYFUNCTION("""COMPUTED_VALUE"""),10.0)</f>
        <v>10</v>
      </c>
      <c r="BF418"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8" s="1" t="str">
        <f>IFERROR(__xludf.DUMMYFUNCTION("""COMPUTED_VALUE"""),"All")</f>
        <v>All</v>
      </c>
      <c r="BH418" s="1" t="str">
        <f>IFERROR(__xludf.DUMMYFUNCTION("""COMPUTED_VALUE"""),"Abstara")</f>
        <v>Abstara</v>
      </c>
      <c r="BI418" s="1"/>
      <c r="BJ418" s="1"/>
      <c r="BK418" s="1"/>
      <c r="BL418" s="1" t="b">
        <f>IFERROR(__xludf.DUMMYFUNCTION("""COMPUTED_VALUE"""),FALSE)</f>
        <v>0</v>
      </c>
      <c r="BM418" s="1"/>
      <c r="BN418" s="1"/>
      <c r="BO418" s="1"/>
      <c r="BP418" s="1"/>
      <c r="BQ418" s="1"/>
    </row>
    <row r="419" ht="15.75" customHeight="1">
      <c r="A419" s="1" t="str">
        <f>IFERROR(__xludf.DUMMYFUNCTION("""COMPUTED_VALUE"""),"Ancient Dark Dragon")</f>
        <v>Ancient Dark Dragon</v>
      </c>
      <c r="B419" s="1">
        <f>IFERROR(__xludf.DUMMYFUNCTION("""COMPUTED_VALUE"""),1.0)</f>
        <v>1</v>
      </c>
      <c r="C419" s="1"/>
      <c r="D419" s="1" t="str">
        <f>IFERROR(__xludf.DUMMYFUNCTION("""COMPUTED_VALUE"""),"Draconic")</f>
        <v>Draconic</v>
      </c>
      <c r="E419" s="1">
        <f>IFERROR(__xludf.DUMMYFUNCTION("""COMPUTED_VALUE"""),1010.0)</f>
        <v>1010</v>
      </c>
      <c r="F419" s="7">
        <f>IFERROR(__xludf.DUMMYFUNCTION("""COMPUTED_VALUE"""),1010.0)</f>
        <v>1010</v>
      </c>
      <c r="G419" s="1">
        <f>IFERROR(__xludf.DUMMYFUNCTION("""COMPUTED_VALUE"""),1010.0)</f>
        <v>1010</v>
      </c>
      <c r="H419" s="1">
        <f>IFERROR(__xludf.DUMMYFUNCTION("""COMPUTED_VALUE"""),10.0)</f>
        <v>10</v>
      </c>
      <c r="I419" s="1">
        <f>IFERROR(__xludf.DUMMYFUNCTION("""COMPUTED_VALUE"""),15.0)</f>
        <v>15</v>
      </c>
      <c r="J419" s="1">
        <f>IFERROR(__xludf.DUMMYFUNCTION("""COMPUTED_VALUE"""),15.0)</f>
        <v>15</v>
      </c>
      <c r="K419" s="1">
        <f>IFERROR(__xludf.DUMMYFUNCTION("""COMPUTED_VALUE"""),100.0)</f>
        <v>100</v>
      </c>
      <c r="L419" s="1">
        <f>IFERROR(__xludf.DUMMYFUNCTION("""COMPUTED_VALUE"""),100.0)</f>
        <v>100</v>
      </c>
      <c r="M419" s="1" t="str">
        <f>IFERROR(__xludf.DUMMYFUNCTION("""COMPUTED_VALUE"""),"Dark:Immune, Instant Death:Immune, Banishment:Immune, ")</f>
        <v>Dark:Immune, Instant Death:Immune, Banishment:Immune, </v>
      </c>
      <c r="N419" s="1" t="str">
        <f>IFERROR(__xludf.DUMMYFUNCTION("""COMPUTED_VALUE"""),"Light:100, ")</f>
        <v>Light:100, </v>
      </c>
      <c r="O419" s="1"/>
      <c r="P419" s="1"/>
      <c r="Q419" s="1"/>
      <c r="R419" s="1"/>
      <c r="S419" s="1"/>
      <c r="T419" s="1"/>
      <c r="U419" s="1"/>
      <c r="V419" s="1"/>
      <c r="W419" s="1"/>
      <c r="X419" s="1"/>
      <c r="Y419" s="1"/>
      <c r="Z419" s="1"/>
      <c r="AA419" s="1"/>
      <c r="AB419" s="1"/>
      <c r="AC419" s="1"/>
      <c r="AD419" s="1"/>
      <c r="AE419" s="1"/>
      <c r="AF419" s="1"/>
      <c r="AG419" s="1"/>
      <c r="AH419" s="1"/>
      <c r="AI419" s="1"/>
      <c r="AJ419" s="1" t="str">
        <f>IFERROR(__xludf.DUMMYFUNCTION("""COMPUTED_VALUE"""),"Greater Dragon's Breath")</f>
        <v>Greater Dragon's Breath</v>
      </c>
      <c r="AK419" s="1" t="str">
        <f>IFERROR(__xludf.DUMMYFUNCTION("""COMPUTED_VALUE"""),"Bite")</f>
        <v>Bite</v>
      </c>
      <c r="AL419" s="1" t="str">
        <f>IFERROR(__xludf.DUMMYFUNCTION("""COMPUTED_VALUE"""),"Tail Smash")</f>
        <v>Tail Smash</v>
      </c>
      <c r="AM419" s="1" t="str">
        <f>IFERROR(__xludf.DUMMYFUNCTION("""COMPUTED_VALUE"""),"Claws")</f>
        <v>Claws</v>
      </c>
      <c r="AN419" s="1" t="str">
        <f>IFERROR(__xludf.DUMMYFUNCTION("""COMPUTED_VALUE"""),"Berserk")</f>
        <v>Berserk</v>
      </c>
      <c r="AO419" s="1" t="str">
        <f>IFERROR(__xludf.DUMMYFUNCTION("""COMPUTED_VALUE"""),"Multishot")</f>
        <v>Multishot</v>
      </c>
      <c r="AP419" s="1" t="str">
        <f>IFERROR(__xludf.DUMMYFUNCTION("""COMPUTED_VALUE"""),"Draconic Scream")</f>
        <v>Draconic Scream</v>
      </c>
      <c r="AQ419" s="1" t="str">
        <f>IFERROR(__xludf.DUMMYFUNCTION("""COMPUTED_VALUE"""),"Chaincast")</f>
        <v>Chaincast</v>
      </c>
      <c r="AR419" s="1" t="str">
        <f>IFERROR(__xludf.DUMMYFUNCTION("""COMPUTED_VALUE"""),"Darkest Abyss")</f>
        <v>Darkest Abyss</v>
      </c>
      <c r="AS419" s="1" t="str">
        <f>IFERROR(__xludf.DUMMYFUNCTION("""COMPUTED_VALUE"""),"Devolve")</f>
        <v>Devolve</v>
      </c>
      <c r="AT419" s="1" t="str">
        <f>IFERROR(__xludf.DUMMYFUNCTION("""COMPUTED_VALUE"""),"Dark Curse")</f>
        <v>Dark Curse</v>
      </c>
      <c r="AU419" s="1" t="str">
        <f>IFERROR(__xludf.DUMMYFUNCTION("""COMPUTED_VALUE"""),"Celestial Wrath")</f>
        <v>Celestial Wrath</v>
      </c>
      <c r="AV419" s="1"/>
      <c r="AW419" s="1"/>
      <c r="AX419" s="1"/>
      <c r="AY419" s="1"/>
      <c r="AZ419" s="1"/>
      <c r="BA419" s="1"/>
      <c r="BB419" s="1"/>
      <c r="BC419" s="1"/>
      <c r="BD419" s="1">
        <f>IFERROR(__xludf.DUMMYFUNCTION("""COMPUTED_VALUE"""),15.0)</f>
        <v>15</v>
      </c>
      <c r="BE419" s="9">
        <f>IFERROR(__xludf.DUMMYFUNCTION("""COMPUTED_VALUE"""),10.0)</f>
        <v>10</v>
      </c>
      <c r="BF419"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9" s="1" t="str">
        <f>IFERROR(__xludf.DUMMYFUNCTION("""COMPUTED_VALUE"""),"All")</f>
        <v>All</v>
      </c>
      <c r="BH419" s="1" t="str">
        <f>IFERROR(__xludf.DUMMYFUNCTION("""COMPUTED_VALUE"""),"Abstara")</f>
        <v>Abstara</v>
      </c>
      <c r="BI419" s="1"/>
      <c r="BJ419" s="1"/>
      <c r="BK419" s="1"/>
      <c r="BL419" s="1" t="b">
        <f>IFERROR(__xludf.DUMMYFUNCTION("""COMPUTED_VALUE"""),FALSE)</f>
        <v>0</v>
      </c>
      <c r="BM419" s="1"/>
      <c r="BN419" s="1"/>
      <c r="BO419" s="1"/>
      <c r="BP419" s="1"/>
      <c r="BQ419" s="1"/>
    </row>
    <row r="420" ht="15.75" customHeight="1">
      <c r="A420" s="1" t="str">
        <f>IFERROR(__xludf.DUMMYFUNCTION("""COMPUTED_VALUE"""),"Ancient Delta Dragon")</f>
        <v>Ancient Delta Dragon</v>
      </c>
      <c r="B420" s="1">
        <f>IFERROR(__xludf.DUMMYFUNCTION("""COMPUTED_VALUE"""),1.0)</f>
        <v>1</v>
      </c>
      <c r="C420" s="1"/>
      <c r="D420" s="1" t="str">
        <f>IFERROR(__xludf.DUMMYFUNCTION("""COMPUTED_VALUE"""),"Draconic")</f>
        <v>Draconic</v>
      </c>
      <c r="E420" s="1">
        <f>IFERROR(__xludf.DUMMYFUNCTION("""COMPUTED_VALUE"""),1010.0)</f>
        <v>1010</v>
      </c>
      <c r="F420" s="7">
        <f>IFERROR(__xludf.DUMMYFUNCTION("""COMPUTED_VALUE"""),1010.0)</f>
        <v>1010</v>
      </c>
      <c r="G420" s="1">
        <f>IFERROR(__xludf.DUMMYFUNCTION("""COMPUTED_VALUE"""),1010.0)</f>
        <v>1010</v>
      </c>
      <c r="H420" s="1">
        <f>IFERROR(__xludf.DUMMYFUNCTION("""COMPUTED_VALUE"""),10.0)</f>
        <v>10</v>
      </c>
      <c r="I420" s="1">
        <f>IFERROR(__xludf.DUMMYFUNCTION("""COMPUTED_VALUE"""),15.0)</f>
        <v>15</v>
      </c>
      <c r="J420" s="1">
        <f>IFERROR(__xludf.DUMMYFUNCTION("""COMPUTED_VALUE"""),15.0)</f>
        <v>15</v>
      </c>
      <c r="K420" s="1">
        <f>IFERROR(__xludf.DUMMYFUNCTION("""COMPUTED_VALUE"""),100.0)</f>
        <v>100</v>
      </c>
      <c r="L420" s="1">
        <f>IFERROR(__xludf.DUMMYFUNCTION("""COMPUTED_VALUE"""),100.0)</f>
        <v>100</v>
      </c>
      <c r="M420" s="1" t="str">
        <f>IFERROR(__xludf.DUMMYFUNCTION("""COMPUTED_VALUE"""),"Instant Death:Immune, Banishment:Immune, ")</f>
        <v>Instant Death:Immune, Banishment:Immune, </v>
      </c>
      <c r="N420" s="1" t="str">
        <f>IFERROR(__xludf.DUMMYFUNCTION("""COMPUTED_VALUE"""),"")</f>
        <v/>
      </c>
      <c r="O420" s="1"/>
      <c r="P420" s="1"/>
      <c r="Q420" s="1"/>
      <c r="R420" s="1"/>
      <c r="S420" s="1"/>
      <c r="T420" s="1"/>
      <c r="U420" s="1"/>
      <c r="V420" s="1"/>
      <c r="W420" s="1"/>
      <c r="X420" s="1"/>
      <c r="Y420" s="1"/>
      <c r="Z420" s="1"/>
      <c r="AA420" s="1"/>
      <c r="AB420" s="1"/>
      <c r="AC420" s="1"/>
      <c r="AD420" s="1"/>
      <c r="AE420" s="1"/>
      <c r="AF420" s="1"/>
      <c r="AG420" s="1"/>
      <c r="AH420" s="1"/>
      <c r="AI420" s="1"/>
      <c r="AJ420" s="1" t="str">
        <f>IFERROR(__xludf.DUMMYFUNCTION("""COMPUTED_VALUE"""),"Greater Dragon's Breath")</f>
        <v>Greater Dragon's Breath</v>
      </c>
      <c r="AK420" s="1" t="str">
        <f>IFERROR(__xludf.DUMMYFUNCTION("""COMPUTED_VALUE"""),"Bite")</f>
        <v>Bite</v>
      </c>
      <c r="AL420" s="1" t="str">
        <f>IFERROR(__xludf.DUMMYFUNCTION("""COMPUTED_VALUE"""),"Tail Smash")</f>
        <v>Tail Smash</v>
      </c>
      <c r="AM420" s="1" t="str">
        <f>IFERROR(__xludf.DUMMYFUNCTION("""COMPUTED_VALUE"""),"Claws")</f>
        <v>Claws</v>
      </c>
      <c r="AN420" s="1" t="str">
        <f>IFERROR(__xludf.DUMMYFUNCTION("""COMPUTED_VALUE"""),"Berserk")</f>
        <v>Berserk</v>
      </c>
      <c r="AO420" s="1" t="str">
        <f>IFERROR(__xludf.DUMMYFUNCTION("""COMPUTED_VALUE"""),"Multishot")</f>
        <v>Multishot</v>
      </c>
      <c r="AP420" s="1" t="str">
        <f>IFERROR(__xludf.DUMMYFUNCTION("""COMPUTED_VALUE"""),"Draconic Scream")</f>
        <v>Draconic Scream</v>
      </c>
      <c r="AQ420" s="1" t="str">
        <f>IFERROR(__xludf.DUMMYFUNCTION("""COMPUTED_VALUE"""),"Chaincast")</f>
        <v>Chaincast</v>
      </c>
      <c r="AR420" s="1" t="str">
        <f>IFERROR(__xludf.DUMMYFUNCTION("""COMPUTED_VALUE"""),"Delta World")</f>
        <v>Delta World</v>
      </c>
      <c r="AS420" s="1" t="str">
        <f>IFERROR(__xludf.DUMMYFUNCTION("""COMPUTED_VALUE"""),"Chaincast")</f>
        <v>Chaincast</v>
      </c>
      <c r="AT420" s="1" t="str">
        <f>IFERROR(__xludf.DUMMYFUNCTION("""COMPUTED_VALUE"""),"Delta Rock &amp; Roll")</f>
        <v>Delta Rock &amp; Roll</v>
      </c>
      <c r="AU420" s="1" t="str">
        <f>IFERROR(__xludf.DUMMYFUNCTION("""COMPUTED_VALUE"""),"Elemental Storm")</f>
        <v>Elemental Storm</v>
      </c>
      <c r="AV420" s="1" t="str">
        <f>IFERROR(__xludf.DUMMYFUNCTION("""COMPUTED_VALUE"""),"Dreading Storm")</f>
        <v>Dreading Storm</v>
      </c>
      <c r="AW420" s="1" t="str">
        <f>IFERROR(__xludf.DUMMYFUNCTION("""COMPUTED_VALUE"""),"Stun Negation")</f>
        <v>Stun Negation</v>
      </c>
      <c r="AX420" s="1" t="str">
        <f>IFERROR(__xludf.DUMMYFUNCTION("""COMPUTED_VALUE"""),"Celestial Wrath")</f>
        <v>Celestial Wrath</v>
      </c>
      <c r="AY420" s="1"/>
      <c r="AZ420" s="1"/>
      <c r="BA420" s="1"/>
      <c r="BB420" s="1"/>
      <c r="BC420" s="1"/>
      <c r="BD420" s="1">
        <f>IFERROR(__xludf.DUMMYFUNCTION("""COMPUTED_VALUE"""),15.0)</f>
        <v>15</v>
      </c>
      <c r="BE420" s="9">
        <f>IFERROR(__xludf.DUMMYFUNCTION("""COMPUTED_VALUE"""),10.0)</f>
        <v>10</v>
      </c>
      <c r="BF420"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20" s="1" t="str">
        <f>IFERROR(__xludf.DUMMYFUNCTION("""COMPUTED_VALUE"""),"All")</f>
        <v>All</v>
      </c>
      <c r="BH420" s="1" t="str">
        <f>IFERROR(__xludf.DUMMYFUNCTION("""COMPUTED_VALUE"""),"Abstara")</f>
        <v>Abstara</v>
      </c>
      <c r="BI420" s="1"/>
      <c r="BJ420" s="1"/>
      <c r="BK420" s="1"/>
      <c r="BL420" s="1" t="b">
        <f>IFERROR(__xludf.DUMMYFUNCTION("""COMPUTED_VALUE"""),FALSE)</f>
        <v>0</v>
      </c>
      <c r="BM420" s="1"/>
      <c r="BN420" s="1"/>
      <c r="BO420" s="1"/>
      <c r="BP420" s="1"/>
      <c r="BQ420" s="1"/>
    </row>
    <row r="421" ht="15.75" customHeight="1">
      <c r="A421" s="1" t="str">
        <f>IFERROR(__xludf.DUMMYFUNCTION("""COMPUTED_VALUE"""),"Ancient Forest Dragon")</f>
        <v>Ancient Forest Dragon</v>
      </c>
      <c r="B421" s="1">
        <f>IFERROR(__xludf.DUMMYFUNCTION("""COMPUTED_VALUE"""),1.0)</f>
        <v>1</v>
      </c>
      <c r="C421" s="1"/>
      <c r="D421" s="1" t="str">
        <f>IFERROR(__xludf.DUMMYFUNCTION("""COMPUTED_VALUE"""),"Draconic")</f>
        <v>Draconic</v>
      </c>
      <c r="E421" s="1">
        <f>IFERROR(__xludf.DUMMYFUNCTION("""COMPUTED_VALUE"""),1010.0)</f>
        <v>1010</v>
      </c>
      <c r="F421" s="7">
        <f>IFERROR(__xludf.DUMMYFUNCTION("""COMPUTED_VALUE"""),1010.0)</f>
        <v>1010</v>
      </c>
      <c r="G421" s="1">
        <f>IFERROR(__xludf.DUMMYFUNCTION("""COMPUTED_VALUE"""),1010.0)</f>
        <v>1010</v>
      </c>
      <c r="H421" s="1">
        <f>IFERROR(__xludf.DUMMYFUNCTION("""COMPUTED_VALUE"""),10.0)</f>
        <v>10</v>
      </c>
      <c r="I421" s="1">
        <f>IFERROR(__xludf.DUMMYFUNCTION("""COMPUTED_VALUE"""),15.0)</f>
        <v>15</v>
      </c>
      <c r="J421" s="1">
        <f>IFERROR(__xludf.DUMMYFUNCTION("""COMPUTED_VALUE"""),15.0)</f>
        <v>15</v>
      </c>
      <c r="K421" s="1">
        <f>IFERROR(__xludf.DUMMYFUNCTION("""COMPUTED_VALUE"""),100.0)</f>
        <v>100</v>
      </c>
      <c r="L421" s="1">
        <f>IFERROR(__xludf.DUMMYFUNCTION("""COMPUTED_VALUE"""),100.0)</f>
        <v>100</v>
      </c>
      <c r="M421" s="1" t="str">
        <f>IFERROR(__xludf.DUMMYFUNCTION("""COMPUTED_VALUE"""),"Nature:Immune, Instant Death:Immune, Banishment:Immune, ")</f>
        <v>Nature:Immune, Instant Death:Immune, Banishment:Immune, </v>
      </c>
      <c r="N421" s="1" t="str">
        <f>IFERROR(__xludf.DUMMYFUNCTION("""COMPUTED_VALUE"""),"Fire:100, Storm:100, ")</f>
        <v>Fire:100, Storm:100, </v>
      </c>
      <c r="O421" s="1"/>
      <c r="P421" s="1"/>
      <c r="Q421" s="1"/>
      <c r="R421" s="1"/>
      <c r="S421" s="1"/>
      <c r="T421" s="1"/>
      <c r="U421" s="1"/>
      <c r="V421" s="1"/>
      <c r="W421" s="1"/>
      <c r="X421" s="1"/>
      <c r="Y421" s="1"/>
      <c r="Z421" s="1"/>
      <c r="AA421" s="1"/>
      <c r="AB421" s="1"/>
      <c r="AC421" s="1"/>
      <c r="AD421" s="1"/>
      <c r="AE421" s="1"/>
      <c r="AF421" s="1"/>
      <c r="AG421" s="1"/>
      <c r="AH421" s="1"/>
      <c r="AI421" s="1"/>
      <c r="AJ421" s="1" t="str">
        <f>IFERROR(__xludf.DUMMYFUNCTION("""COMPUTED_VALUE"""),"Greater Dragon's Breath")</f>
        <v>Greater Dragon's Breath</v>
      </c>
      <c r="AK421" s="1" t="str">
        <f>IFERROR(__xludf.DUMMYFUNCTION("""COMPUTED_VALUE"""),"Bite")</f>
        <v>Bite</v>
      </c>
      <c r="AL421" s="1" t="str">
        <f>IFERROR(__xludf.DUMMYFUNCTION("""COMPUTED_VALUE"""),"Tail Smash")</f>
        <v>Tail Smash</v>
      </c>
      <c r="AM421" s="1" t="str">
        <f>IFERROR(__xludf.DUMMYFUNCTION("""COMPUTED_VALUE"""),"Claws")</f>
        <v>Claws</v>
      </c>
      <c r="AN421" s="1" t="str">
        <f>IFERROR(__xludf.DUMMYFUNCTION("""COMPUTED_VALUE"""),"Berserk")</f>
        <v>Berserk</v>
      </c>
      <c r="AO421" s="1" t="str">
        <f>IFERROR(__xludf.DUMMYFUNCTION("""COMPUTED_VALUE"""),"Multishot")</f>
        <v>Multishot</v>
      </c>
      <c r="AP421" s="1" t="str">
        <f>IFERROR(__xludf.DUMMYFUNCTION("""COMPUTED_VALUE"""),"Draconic Scream")</f>
        <v>Draconic Scream</v>
      </c>
      <c r="AQ421" s="1" t="str">
        <f>IFERROR(__xludf.DUMMYFUNCTION("""COMPUTED_VALUE"""),"Chaincast")</f>
        <v>Chaincast</v>
      </c>
      <c r="AR421" s="1" t="str">
        <f>IFERROR(__xludf.DUMMYFUNCTION("""COMPUTED_VALUE"""),"The Orb of Life")</f>
        <v>The Orb of Life</v>
      </c>
      <c r="AS421" s="1" t="str">
        <f>IFERROR(__xludf.DUMMYFUNCTION("""COMPUTED_VALUE"""),"Regrowth")</f>
        <v>Regrowth</v>
      </c>
      <c r="AT421" s="1" t="str">
        <f>IFERROR(__xludf.DUMMYFUNCTION("""COMPUTED_VALUE"""),"Entangle")</f>
        <v>Entangle</v>
      </c>
      <c r="AU421" s="1" t="str">
        <f>IFERROR(__xludf.DUMMYFUNCTION("""COMPUTED_VALUE"""),"Nature's Embrace")</f>
        <v>Nature's Embrace</v>
      </c>
      <c r="AV421" s="1" t="str">
        <f>IFERROR(__xludf.DUMMYFUNCTION("""COMPUTED_VALUE"""),"Celestial Wrath")</f>
        <v>Celestial Wrath</v>
      </c>
      <c r="AW421" s="1"/>
      <c r="AX421" s="1"/>
      <c r="AY421" s="1"/>
      <c r="AZ421" s="1"/>
      <c r="BA421" s="1"/>
      <c r="BB421" s="1"/>
      <c r="BC421" s="1"/>
      <c r="BD421" s="1">
        <f>IFERROR(__xludf.DUMMYFUNCTION("""COMPUTED_VALUE"""),15.0)</f>
        <v>15</v>
      </c>
      <c r="BE421" s="9">
        <f>IFERROR(__xludf.DUMMYFUNCTION("""COMPUTED_VALUE"""),10.0)</f>
        <v>10</v>
      </c>
      <c r="BF421"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21" s="1" t="str">
        <f>IFERROR(__xludf.DUMMYFUNCTION("""COMPUTED_VALUE"""),"All")</f>
        <v>All</v>
      </c>
      <c r="BH421" s="1" t="str">
        <f>IFERROR(__xludf.DUMMYFUNCTION("""COMPUTED_VALUE"""),"Abstara")</f>
        <v>Abstara</v>
      </c>
      <c r="BI421" s="1"/>
      <c r="BJ421" s="1"/>
      <c r="BK421" s="1"/>
      <c r="BL421" s="1" t="b">
        <f>IFERROR(__xludf.DUMMYFUNCTION("""COMPUTED_VALUE"""),FALSE)</f>
        <v>0</v>
      </c>
      <c r="BM421" s="1"/>
      <c r="BN421" s="1"/>
      <c r="BO421" s="1"/>
      <c r="BP421" s="1"/>
      <c r="BQ421" s="1"/>
    </row>
    <row r="422" ht="15.75" customHeight="1">
      <c r="A422" s="1" t="str">
        <f>IFERROR(__xludf.DUMMYFUNCTION("""COMPUTED_VALUE"""),"Ancient Frost Dragon")</f>
        <v>Ancient Frost Dragon</v>
      </c>
      <c r="B422" s="1">
        <f>IFERROR(__xludf.DUMMYFUNCTION("""COMPUTED_VALUE"""),1.0)</f>
        <v>1</v>
      </c>
      <c r="C422" s="1"/>
      <c r="D422" s="1" t="str">
        <f>IFERROR(__xludf.DUMMYFUNCTION("""COMPUTED_VALUE"""),"Draconic")</f>
        <v>Draconic</v>
      </c>
      <c r="E422" s="1">
        <f>IFERROR(__xludf.DUMMYFUNCTION("""COMPUTED_VALUE"""),1010.0)</f>
        <v>1010</v>
      </c>
      <c r="F422" s="7">
        <f>IFERROR(__xludf.DUMMYFUNCTION("""COMPUTED_VALUE"""),1010.0)</f>
        <v>1010</v>
      </c>
      <c r="G422" s="1">
        <f>IFERROR(__xludf.DUMMYFUNCTION("""COMPUTED_VALUE"""),1010.0)</f>
        <v>1010</v>
      </c>
      <c r="H422" s="1">
        <f>IFERROR(__xludf.DUMMYFUNCTION("""COMPUTED_VALUE"""),10.0)</f>
        <v>10</v>
      </c>
      <c r="I422" s="1">
        <f>IFERROR(__xludf.DUMMYFUNCTION("""COMPUTED_VALUE"""),15.0)</f>
        <v>15</v>
      </c>
      <c r="J422" s="1">
        <f>IFERROR(__xludf.DUMMYFUNCTION("""COMPUTED_VALUE"""),15.0)</f>
        <v>15</v>
      </c>
      <c r="K422" s="1">
        <f>IFERROR(__xludf.DUMMYFUNCTION("""COMPUTED_VALUE"""),100.0)</f>
        <v>100</v>
      </c>
      <c r="L422" s="1">
        <f>IFERROR(__xludf.DUMMYFUNCTION("""COMPUTED_VALUE"""),100.0)</f>
        <v>100</v>
      </c>
      <c r="M422" s="1" t="str">
        <f>IFERROR(__xludf.DUMMYFUNCTION("""COMPUTED_VALUE"""),"Water:Immune, Instant Death:Immune, Banishment:Immune, ")</f>
        <v>Water:Immune, Instant Death:Immune, Banishment:Immune, </v>
      </c>
      <c r="N422" s="1" t="str">
        <f>IFERROR(__xludf.DUMMYFUNCTION("""COMPUTED_VALUE"""),"Fire:100, Nature:100, ")</f>
        <v>Fire:100, Nature:100, </v>
      </c>
      <c r="O422" s="1"/>
      <c r="P422" s="1"/>
      <c r="Q422" s="1"/>
      <c r="R422" s="1"/>
      <c r="S422" s="1"/>
      <c r="T422" s="1"/>
      <c r="U422" s="1"/>
      <c r="V422" s="1"/>
      <c r="W422" s="1"/>
      <c r="X422" s="1"/>
      <c r="Y422" s="1"/>
      <c r="Z422" s="1"/>
      <c r="AA422" s="1"/>
      <c r="AB422" s="1"/>
      <c r="AC422" s="1"/>
      <c r="AD422" s="1"/>
      <c r="AE422" s="1"/>
      <c r="AF422" s="1"/>
      <c r="AG422" s="1"/>
      <c r="AH422" s="1"/>
      <c r="AI422" s="1"/>
      <c r="AJ422" s="1" t="str">
        <f>IFERROR(__xludf.DUMMYFUNCTION("""COMPUTED_VALUE"""),"Greater Dragon's Breath")</f>
        <v>Greater Dragon's Breath</v>
      </c>
      <c r="AK422" s="1" t="str">
        <f>IFERROR(__xludf.DUMMYFUNCTION("""COMPUTED_VALUE"""),"Bite")</f>
        <v>Bite</v>
      </c>
      <c r="AL422" s="1" t="str">
        <f>IFERROR(__xludf.DUMMYFUNCTION("""COMPUTED_VALUE"""),"Tail Smash")</f>
        <v>Tail Smash</v>
      </c>
      <c r="AM422" s="1" t="str">
        <f>IFERROR(__xludf.DUMMYFUNCTION("""COMPUTED_VALUE"""),"Claws")</f>
        <v>Claws</v>
      </c>
      <c r="AN422" s="1" t="str">
        <f>IFERROR(__xludf.DUMMYFUNCTION("""COMPUTED_VALUE"""),"Berserk")</f>
        <v>Berserk</v>
      </c>
      <c r="AO422" s="1" t="str">
        <f>IFERROR(__xludf.DUMMYFUNCTION("""COMPUTED_VALUE"""),"Multishot")</f>
        <v>Multishot</v>
      </c>
      <c r="AP422" s="1" t="str">
        <f>IFERROR(__xludf.DUMMYFUNCTION("""COMPUTED_VALUE"""),"Draconic Scream")</f>
        <v>Draconic Scream</v>
      </c>
      <c r="AQ422" s="1" t="str">
        <f>IFERROR(__xludf.DUMMYFUNCTION("""COMPUTED_VALUE"""),"Chaincast")</f>
        <v>Chaincast</v>
      </c>
      <c r="AR422" s="1" t="str">
        <f>IFERROR(__xludf.DUMMYFUNCTION("""COMPUTED_VALUE"""),"Freezing Fog")</f>
        <v>Freezing Fog</v>
      </c>
      <c r="AS422" s="1" t="str">
        <f>IFERROR(__xludf.DUMMYFUNCTION("""COMPUTED_VALUE"""),"HailStorm")</f>
        <v>HailStorm</v>
      </c>
      <c r="AT422" s="1" t="str">
        <f>IFERROR(__xludf.DUMMYFUNCTION("""COMPUTED_VALUE"""),"Blizzard")</f>
        <v>Blizzard</v>
      </c>
      <c r="AU422" s="1" t="str">
        <f>IFERROR(__xludf.DUMMYFUNCTION("""COMPUTED_VALUE"""),"Celestial Wrath")</f>
        <v>Celestial Wrath</v>
      </c>
      <c r="AV422" s="1"/>
      <c r="AW422" s="1"/>
      <c r="AX422" s="1"/>
      <c r="AY422" s="1"/>
      <c r="AZ422" s="1"/>
      <c r="BA422" s="1"/>
      <c r="BB422" s="1"/>
      <c r="BC422" s="1"/>
      <c r="BD422" s="1">
        <f>IFERROR(__xludf.DUMMYFUNCTION("""COMPUTED_VALUE"""),15.0)</f>
        <v>15</v>
      </c>
      <c r="BE422" s="9">
        <f>IFERROR(__xludf.DUMMYFUNCTION("""COMPUTED_VALUE"""),10.0)</f>
        <v>10</v>
      </c>
      <c r="BF422" s="1" t="str">
        <f>IFERROR(__xludf.DUMMYFUNCTION("""COMPUTED_VALUE"""),"75% chance to be unaffected by any spells affecting this mob
Dragons Luck II: +10 can be added to this mobs d20 rolls.
Immune to freezing")</f>
        <v>75% chance to be unaffected by any spells affecting this mob
Dragons Luck II: +10 can be added to this mobs d20 rolls.
Immune to freezing</v>
      </c>
      <c r="BG422" s="1" t="str">
        <f>IFERROR(__xludf.DUMMYFUNCTION("""COMPUTED_VALUE"""),"All")</f>
        <v>All</v>
      </c>
      <c r="BH422" s="1" t="str">
        <f>IFERROR(__xludf.DUMMYFUNCTION("""COMPUTED_VALUE"""),"Abstara")</f>
        <v>Abstara</v>
      </c>
      <c r="BI422" s="1"/>
      <c r="BJ422" s="1"/>
      <c r="BK422" s="1"/>
      <c r="BL422" s="1" t="b">
        <f>IFERROR(__xludf.DUMMYFUNCTION("""COMPUTED_VALUE"""),FALSE)</f>
        <v>0</v>
      </c>
      <c r="BM422" s="1"/>
      <c r="BN422" s="1"/>
      <c r="BO422" s="1"/>
      <c r="BP422" s="1"/>
      <c r="BQ422" s="1"/>
    </row>
    <row r="423" ht="15.75" customHeight="1">
      <c r="A423" s="1" t="str">
        <f>IFERROR(__xludf.DUMMYFUNCTION("""COMPUTED_VALUE"""),"Ancient Soul Dragon")</f>
        <v>Ancient Soul Dragon</v>
      </c>
      <c r="B423" s="1">
        <f>IFERROR(__xludf.DUMMYFUNCTION("""COMPUTED_VALUE"""),1.0)</f>
        <v>1</v>
      </c>
      <c r="C423" s="1"/>
      <c r="D423" s="1" t="str">
        <f>IFERROR(__xludf.DUMMYFUNCTION("""COMPUTED_VALUE"""),"Draconic")</f>
        <v>Draconic</v>
      </c>
      <c r="E423" s="1">
        <f>IFERROR(__xludf.DUMMYFUNCTION("""COMPUTED_VALUE"""),1010.0)</f>
        <v>1010</v>
      </c>
      <c r="F423" s="7">
        <f>IFERROR(__xludf.DUMMYFUNCTION("""COMPUTED_VALUE"""),1010.0)</f>
        <v>1010</v>
      </c>
      <c r="G423" s="1">
        <f>IFERROR(__xludf.DUMMYFUNCTION("""COMPUTED_VALUE"""),1010.0)</f>
        <v>1010</v>
      </c>
      <c r="H423" s="1">
        <f>IFERROR(__xludf.DUMMYFUNCTION("""COMPUTED_VALUE"""),10.0)</f>
        <v>10</v>
      </c>
      <c r="I423" s="1">
        <f>IFERROR(__xludf.DUMMYFUNCTION("""COMPUTED_VALUE"""),15.0)</f>
        <v>15</v>
      </c>
      <c r="J423" s="1">
        <f>IFERROR(__xludf.DUMMYFUNCTION("""COMPUTED_VALUE"""),15.0)</f>
        <v>15</v>
      </c>
      <c r="K423" s="1">
        <f>IFERROR(__xludf.DUMMYFUNCTION("""COMPUTED_VALUE"""),100.0)</f>
        <v>100</v>
      </c>
      <c r="L423" s="1">
        <f>IFERROR(__xludf.DUMMYFUNCTION("""COMPUTED_VALUE"""),100.0)</f>
        <v>100</v>
      </c>
      <c r="M423" s="1" t="str">
        <f>IFERROR(__xludf.DUMMYFUNCTION("""COMPUTED_VALUE"""),"Dark:Immune, Instant Death:Immune, Banishment:Immune, ")</f>
        <v>Dark:Immune, Instant Death:Immune, Banishment:Immune, </v>
      </c>
      <c r="N423" s="1" t="str">
        <f>IFERROR(__xludf.DUMMYFUNCTION("""COMPUTED_VALUE"""),"Fire:100, Light:100, ")</f>
        <v>Fire:100, Light:100, </v>
      </c>
      <c r="O423" s="1"/>
      <c r="P423" s="1"/>
      <c r="Q423" s="1"/>
      <c r="R423" s="1"/>
      <c r="S423" s="1"/>
      <c r="T423" s="1"/>
      <c r="U423" s="1"/>
      <c r="V423" s="1"/>
      <c r="W423" s="1"/>
      <c r="X423" s="1"/>
      <c r="Y423" s="1"/>
      <c r="Z423" s="1"/>
      <c r="AA423" s="1"/>
      <c r="AB423" s="1"/>
      <c r="AC423" s="1"/>
      <c r="AD423" s="1"/>
      <c r="AE423" s="1"/>
      <c r="AF423" s="1"/>
      <c r="AG423" s="1"/>
      <c r="AH423" s="1"/>
      <c r="AI423" s="1"/>
      <c r="AJ423" s="1" t="str">
        <f>IFERROR(__xludf.DUMMYFUNCTION("""COMPUTED_VALUE"""),"Greater Dragon's Breath")</f>
        <v>Greater Dragon's Breath</v>
      </c>
      <c r="AK423" s="1" t="str">
        <f>IFERROR(__xludf.DUMMYFUNCTION("""COMPUTED_VALUE"""),"Bite")</f>
        <v>Bite</v>
      </c>
      <c r="AL423" s="1" t="str">
        <f>IFERROR(__xludf.DUMMYFUNCTION("""COMPUTED_VALUE"""),"Tail Smash")</f>
        <v>Tail Smash</v>
      </c>
      <c r="AM423" s="1" t="str">
        <f>IFERROR(__xludf.DUMMYFUNCTION("""COMPUTED_VALUE"""),"Claws")</f>
        <v>Claws</v>
      </c>
      <c r="AN423" s="1" t="str">
        <f>IFERROR(__xludf.DUMMYFUNCTION("""COMPUTED_VALUE"""),"Berserk")</f>
        <v>Berserk</v>
      </c>
      <c r="AO423" s="1" t="str">
        <f>IFERROR(__xludf.DUMMYFUNCTION("""COMPUTED_VALUE"""),"Multishot")</f>
        <v>Multishot</v>
      </c>
      <c r="AP423" s="1" t="str">
        <f>IFERROR(__xludf.DUMMYFUNCTION("""COMPUTED_VALUE"""),"Draconic Scream")</f>
        <v>Draconic Scream</v>
      </c>
      <c r="AQ423" s="1" t="str">
        <f>IFERROR(__xludf.DUMMYFUNCTION("""COMPUTED_VALUE"""),"Chaincast")</f>
        <v>Chaincast</v>
      </c>
      <c r="AR423" s="1" t="str">
        <f>IFERROR(__xludf.DUMMYFUNCTION("""COMPUTED_VALUE"""),"Spirit Fog")</f>
        <v>Spirit Fog</v>
      </c>
      <c r="AS423" s="1" t="str">
        <f>IFERROR(__xludf.DUMMYFUNCTION("""COMPUTED_VALUE"""),"Rain of Souls")</f>
        <v>Rain of Souls</v>
      </c>
      <c r="AT423" s="1" t="str">
        <f>IFERROR(__xludf.DUMMYFUNCTION("""COMPUTED_VALUE"""),"Soul Trap")</f>
        <v>Soul Trap</v>
      </c>
      <c r="AU423" s="1" t="str">
        <f>IFERROR(__xludf.DUMMYFUNCTION("""COMPUTED_VALUE"""),"Celestial Wrath")</f>
        <v>Celestial Wrath</v>
      </c>
      <c r="AV423" s="1"/>
      <c r="AW423" s="1"/>
      <c r="AX423" s="1"/>
      <c r="AY423" s="1"/>
      <c r="AZ423" s="1"/>
      <c r="BA423" s="1"/>
      <c r="BB423" s="1"/>
      <c r="BC423" s="1"/>
      <c r="BD423" s="1">
        <f>IFERROR(__xludf.DUMMYFUNCTION("""COMPUTED_VALUE"""),15.0)</f>
        <v>15</v>
      </c>
      <c r="BE423" s="9">
        <f>IFERROR(__xludf.DUMMYFUNCTION("""COMPUTED_VALUE"""),10.0)</f>
        <v>10</v>
      </c>
      <c r="BF423" s="1" t="str">
        <f>IFERROR(__xludf.DUMMYFUNCTION("""COMPUTED_VALUE"""),"75% chance to be unaffected by any spells affecting this mob
Dragons Luck II: +10 can be added to this mobs d20 rolls.
Spirit - Immune to Blood and Possession, Will live on 1HP unless hit with a Light, Spirit, or Celestial attack. Cannot be immune to Li"&amp;"ght, Spirit, and Celestial.")</f>
        <v>75% chance to be unaffected by any spells affecting this mob
Dragons Luck II: +10 can be added to this mobs d20 rolls.
Spirit - Immune to Blood and Possession, Will live on 1HP unless hit with a Light, Spirit, or Celestial attack. Cannot be immune to Light, Spirit, and Celestial.</v>
      </c>
      <c r="BG423" s="1" t="str">
        <f>IFERROR(__xludf.DUMMYFUNCTION("""COMPUTED_VALUE"""),"All")</f>
        <v>All</v>
      </c>
      <c r="BH423" s="1" t="str">
        <f>IFERROR(__xludf.DUMMYFUNCTION("""COMPUTED_VALUE"""),"Abstara")</f>
        <v>Abstara</v>
      </c>
      <c r="BI423" s="1"/>
      <c r="BJ423" s="1"/>
      <c r="BK423" s="1"/>
      <c r="BL423" s="1" t="b">
        <f>IFERROR(__xludf.DUMMYFUNCTION("""COMPUTED_VALUE"""),FALSE)</f>
        <v>0</v>
      </c>
      <c r="BM423" s="1"/>
      <c r="BN423" s="1"/>
      <c r="BO423" s="1"/>
      <c r="BP423" s="1"/>
      <c r="BQ423" s="1"/>
    </row>
    <row r="424" ht="15.75" customHeight="1">
      <c r="A424" s="1" t="str">
        <f>IFERROR(__xludf.DUMMYFUNCTION("""COMPUTED_VALUE"""),"Ancient Spirit Dragon")</f>
        <v>Ancient Spirit Dragon</v>
      </c>
      <c r="B424" s="1">
        <f>IFERROR(__xludf.DUMMYFUNCTION("""COMPUTED_VALUE"""),1.0)</f>
        <v>1</v>
      </c>
      <c r="C424" s="1"/>
      <c r="D424" s="1" t="str">
        <f>IFERROR(__xludf.DUMMYFUNCTION("""COMPUTED_VALUE"""),"Draconic")</f>
        <v>Draconic</v>
      </c>
      <c r="E424" s="1">
        <f>IFERROR(__xludf.DUMMYFUNCTION("""COMPUTED_VALUE"""),1010.0)</f>
        <v>1010</v>
      </c>
      <c r="F424" s="7">
        <f>IFERROR(__xludf.DUMMYFUNCTION("""COMPUTED_VALUE"""),1010.0)</f>
        <v>1010</v>
      </c>
      <c r="G424" s="1">
        <f>IFERROR(__xludf.DUMMYFUNCTION("""COMPUTED_VALUE"""),1010.0)</f>
        <v>1010</v>
      </c>
      <c r="H424" s="1">
        <f>IFERROR(__xludf.DUMMYFUNCTION("""COMPUTED_VALUE"""),10.0)</f>
        <v>10</v>
      </c>
      <c r="I424" s="1">
        <f>IFERROR(__xludf.DUMMYFUNCTION("""COMPUTED_VALUE"""),15.0)</f>
        <v>15</v>
      </c>
      <c r="J424" s="1">
        <f>IFERROR(__xludf.DUMMYFUNCTION("""COMPUTED_VALUE"""),15.0)</f>
        <v>15</v>
      </c>
      <c r="K424" s="1">
        <f>IFERROR(__xludf.DUMMYFUNCTION("""COMPUTED_VALUE"""),100.0)</f>
        <v>100</v>
      </c>
      <c r="L424" s="1">
        <f>IFERROR(__xludf.DUMMYFUNCTION("""COMPUTED_VALUE"""),100.0)</f>
        <v>100</v>
      </c>
      <c r="M424" s="1" t="str">
        <f>IFERROR(__xludf.DUMMYFUNCTION("""COMPUTED_VALUE"""),"Dark:Immune, Instant Death:Immune, Banishment:Immune, ")</f>
        <v>Dark:Immune, Instant Death:Immune, Banishment:Immune, </v>
      </c>
      <c r="N424" s="1" t="str">
        <f>IFERROR(__xludf.DUMMYFUNCTION("""COMPUTED_VALUE"""),"Fire:100, Light:100, ")</f>
        <v>Fire:100, Light:100, </v>
      </c>
      <c r="O424" s="1"/>
      <c r="P424" s="1"/>
      <c r="Q424" s="1"/>
      <c r="R424" s="1"/>
      <c r="S424" s="1"/>
      <c r="T424" s="1"/>
      <c r="U424" s="1"/>
      <c r="V424" s="1"/>
      <c r="W424" s="1"/>
      <c r="X424" s="1"/>
      <c r="Y424" s="1"/>
      <c r="Z424" s="1"/>
      <c r="AA424" s="1"/>
      <c r="AB424" s="1"/>
      <c r="AC424" s="1"/>
      <c r="AD424" s="1"/>
      <c r="AE424" s="1"/>
      <c r="AF424" s="1"/>
      <c r="AG424" s="1"/>
      <c r="AH424" s="1"/>
      <c r="AI424" s="1"/>
      <c r="AJ424" s="1" t="str">
        <f>IFERROR(__xludf.DUMMYFUNCTION("""COMPUTED_VALUE"""),"Greater Dragon's Breath")</f>
        <v>Greater Dragon's Breath</v>
      </c>
      <c r="AK424" s="1" t="str">
        <f>IFERROR(__xludf.DUMMYFUNCTION("""COMPUTED_VALUE"""),"Bite")</f>
        <v>Bite</v>
      </c>
      <c r="AL424" s="1" t="str">
        <f>IFERROR(__xludf.DUMMYFUNCTION("""COMPUTED_VALUE"""),"Tail Smash")</f>
        <v>Tail Smash</v>
      </c>
      <c r="AM424" s="1" t="str">
        <f>IFERROR(__xludf.DUMMYFUNCTION("""COMPUTED_VALUE"""),"Claws")</f>
        <v>Claws</v>
      </c>
      <c r="AN424" s="1" t="str">
        <f>IFERROR(__xludf.DUMMYFUNCTION("""COMPUTED_VALUE"""),"Berserk")</f>
        <v>Berserk</v>
      </c>
      <c r="AO424" s="1" t="str">
        <f>IFERROR(__xludf.DUMMYFUNCTION("""COMPUTED_VALUE"""),"Multishot")</f>
        <v>Multishot</v>
      </c>
      <c r="AP424" s="1" t="str">
        <f>IFERROR(__xludf.DUMMYFUNCTION("""COMPUTED_VALUE"""),"Draconic Scream")</f>
        <v>Draconic Scream</v>
      </c>
      <c r="AQ424" s="1" t="str">
        <f>IFERROR(__xludf.DUMMYFUNCTION("""COMPUTED_VALUE"""),"Chaincast")</f>
        <v>Chaincast</v>
      </c>
      <c r="AR424" s="1" t="str">
        <f>IFERROR(__xludf.DUMMYFUNCTION("""COMPUTED_VALUE"""),"A Deal With The Spirit World")</f>
        <v>A Deal With The Spirit World</v>
      </c>
      <c r="AS424" s="1" t="str">
        <f>IFERROR(__xludf.DUMMYFUNCTION("""COMPUTED_VALUE"""),"Spirit Drain")</f>
        <v>Spirit Drain</v>
      </c>
      <c r="AT424" s="1" t="str">
        <f>IFERROR(__xludf.DUMMYFUNCTION("""COMPUTED_VALUE"""),"Possession")</f>
        <v>Possession</v>
      </c>
      <c r="AU424" s="1" t="str">
        <f>IFERROR(__xludf.DUMMYFUNCTION("""COMPUTED_VALUE"""),"Celestial Wrath")</f>
        <v>Celestial Wrath</v>
      </c>
      <c r="AV424" s="1" t="str">
        <f>IFERROR(__xludf.DUMMYFUNCTION("""COMPUTED_VALUE"""),"Spirit Fog")</f>
        <v>Spirit Fog</v>
      </c>
      <c r="AW424" s="1" t="str">
        <f>IFERROR(__xludf.DUMMYFUNCTION("""COMPUTED_VALUE"""),"Burning Dread")</f>
        <v>Burning Dread</v>
      </c>
      <c r="AX424" s="1"/>
      <c r="AY424" s="1"/>
      <c r="AZ424" s="1"/>
      <c r="BA424" s="1"/>
      <c r="BB424" s="1"/>
      <c r="BC424" s="1"/>
      <c r="BD424" s="1">
        <f>IFERROR(__xludf.DUMMYFUNCTION("""COMPUTED_VALUE"""),15.0)</f>
        <v>15</v>
      </c>
      <c r="BE424" s="9">
        <f>IFERROR(__xludf.DUMMYFUNCTION("""COMPUTED_VALUE"""),10.0)</f>
        <v>10</v>
      </c>
      <c r="BF424" s="1" t="str">
        <f>IFERROR(__xludf.DUMMYFUNCTION("""COMPUTED_VALUE"""),"75% chance to be unaffected by any spells affecting this mob
Dragons Luck II: +10 can be added to this mobs d20 rolls.
Spirit - Immune to Blood and Possession, Will live on 1HP unless hit with a Light, Spirit, or Celestial attack. Cannot be immune to Li"&amp;"ght, Spirit, and Celestial.")</f>
        <v>75% chance to be unaffected by any spells affecting this mob
Dragons Luck II: +10 can be added to this mobs d20 rolls.
Spirit - Immune to Blood and Possession, Will live on 1HP unless hit with a Light, Spirit, or Celestial attack. Cannot be immune to Light, Spirit, and Celestial.</v>
      </c>
      <c r="BG424" s="1" t="str">
        <f>IFERROR(__xludf.DUMMYFUNCTION("""COMPUTED_VALUE"""),"All")</f>
        <v>All</v>
      </c>
      <c r="BH424" s="1" t="str">
        <f>IFERROR(__xludf.DUMMYFUNCTION("""COMPUTED_VALUE"""),"Abstara")</f>
        <v>Abstara</v>
      </c>
      <c r="BI424" s="1"/>
      <c r="BJ424" s="1"/>
      <c r="BK424" s="1"/>
      <c r="BL424" s="1" t="b">
        <f>IFERROR(__xludf.DUMMYFUNCTION("""COMPUTED_VALUE"""),FALSE)</f>
        <v>0</v>
      </c>
      <c r="BM424" s="1"/>
      <c r="BN424" s="1"/>
      <c r="BO424" s="1"/>
      <c r="BP424" s="1"/>
      <c r="BQ424" s="1"/>
    </row>
    <row r="425" ht="15.75" customHeight="1">
      <c r="A425" s="1" t="str">
        <f>IFERROR(__xludf.DUMMYFUNCTION("""COMPUTED_VALUE"""),"Ancient Stone Dragon")</f>
        <v>Ancient Stone Dragon</v>
      </c>
      <c r="B425" s="1">
        <f>IFERROR(__xludf.DUMMYFUNCTION("""COMPUTED_VALUE"""),1.0)</f>
        <v>1</v>
      </c>
      <c r="C425" s="1"/>
      <c r="D425" s="1" t="str">
        <f>IFERROR(__xludf.DUMMYFUNCTION("""COMPUTED_VALUE"""),"Draconic")</f>
        <v>Draconic</v>
      </c>
      <c r="E425" s="1">
        <f>IFERROR(__xludf.DUMMYFUNCTION("""COMPUTED_VALUE"""),1010.0)</f>
        <v>1010</v>
      </c>
      <c r="F425" s="7">
        <f>IFERROR(__xludf.DUMMYFUNCTION("""COMPUTED_VALUE"""),1010.0)</f>
        <v>1010</v>
      </c>
      <c r="G425" s="1">
        <f>IFERROR(__xludf.DUMMYFUNCTION("""COMPUTED_VALUE"""),1010.0)</f>
        <v>1010</v>
      </c>
      <c r="H425" s="1">
        <f>IFERROR(__xludf.DUMMYFUNCTION("""COMPUTED_VALUE"""),10.0)</f>
        <v>10</v>
      </c>
      <c r="I425" s="1">
        <f>IFERROR(__xludf.DUMMYFUNCTION("""COMPUTED_VALUE"""),15.0)</f>
        <v>15</v>
      </c>
      <c r="J425" s="1">
        <f>IFERROR(__xludf.DUMMYFUNCTION("""COMPUTED_VALUE"""),15.0)</f>
        <v>15</v>
      </c>
      <c r="K425" s="1">
        <f>IFERROR(__xludf.DUMMYFUNCTION("""COMPUTED_VALUE"""),100.0)</f>
        <v>100</v>
      </c>
      <c r="L425" s="1">
        <f>IFERROR(__xludf.DUMMYFUNCTION("""COMPUTED_VALUE"""),100.0)</f>
        <v>100</v>
      </c>
      <c r="M425" s="1" t="str">
        <f>IFERROR(__xludf.DUMMYFUNCTION("""COMPUTED_VALUE"""),"Earth:Immune, Instant Death:Immune, Banishment:Immune, ")</f>
        <v>Earth:Immune, Instant Death:Immune, Banishment:Immune, </v>
      </c>
      <c r="N425" s="1" t="str">
        <f>IFERROR(__xludf.DUMMYFUNCTION("""COMPUTED_VALUE"""),"Water:100, Storm:100, ")</f>
        <v>Water:100, Storm:100, </v>
      </c>
      <c r="O425" s="1"/>
      <c r="P425" s="1"/>
      <c r="Q425" s="1"/>
      <c r="R425" s="1"/>
      <c r="S425" s="1"/>
      <c r="T425" s="1"/>
      <c r="U425" s="1"/>
      <c r="V425" s="1"/>
      <c r="W425" s="1"/>
      <c r="X425" s="1"/>
      <c r="Y425" s="1"/>
      <c r="Z425" s="1"/>
      <c r="AA425" s="1"/>
      <c r="AB425" s="1"/>
      <c r="AC425" s="1"/>
      <c r="AD425" s="1"/>
      <c r="AE425" s="1"/>
      <c r="AF425" s="1"/>
      <c r="AG425" s="1"/>
      <c r="AH425" s="1"/>
      <c r="AI425" s="1"/>
      <c r="AJ425" s="1" t="str">
        <f>IFERROR(__xludf.DUMMYFUNCTION("""COMPUTED_VALUE"""),"Greater Dragon's Breath")</f>
        <v>Greater Dragon's Breath</v>
      </c>
      <c r="AK425" s="1" t="str">
        <f>IFERROR(__xludf.DUMMYFUNCTION("""COMPUTED_VALUE"""),"Bite")</f>
        <v>Bite</v>
      </c>
      <c r="AL425" s="1" t="str">
        <f>IFERROR(__xludf.DUMMYFUNCTION("""COMPUTED_VALUE"""),"Tail Smash")</f>
        <v>Tail Smash</v>
      </c>
      <c r="AM425" s="1" t="str">
        <f>IFERROR(__xludf.DUMMYFUNCTION("""COMPUTED_VALUE"""),"Claws")</f>
        <v>Claws</v>
      </c>
      <c r="AN425" s="1" t="str">
        <f>IFERROR(__xludf.DUMMYFUNCTION("""COMPUTED_VALUE"""),"Berserk")</f>
        <v>Berserk</v>
      </c>
      <c r="AO425" s="1" t="str">
        <f>IFERROR(__xludf.DUMMYFUNCTION("""COMPUTED_VALUE"""),"Multishot")</f>
        <v>Multishot</v>
      </c>
      <c r="AP425" s="1" t="str">
        <f>IFERROR(__xludf.DUMMYFUNCTION("""COMPUTED_VALUE"""),"Draconic Scream")</f>
        <v>Draconic Scream</v>
      </c>
      <c r="AQ425" s="1" t="str">
        <f>IFERROR(__xludf.DUMMYFUNCTION("""COMPUTED_VALUE"""),"Chaincast")</f>
        <v>Chaincast</v>
      </c>
      <c r="AR425" s="1" t="str">
        <f>IFERROR(__xludf.DUMMYFUNCTION("""COMPUTED_VALUE"""),"Earthquake")</f>
        <v>Earthquake</v>
      </c>
      <c r="AS425" s="1" t="str">
        <f>IFERROR(__xludf.DUMMYFUNCTION("""COMPUTED_VALUE"""),"Rock Cycle")</f>
        <v>Rock Cycle</v>
      </c>
      <c r="AT425" s="1" t="str">
        <f>IFERROR(__xludf.DUMMYFUNCTION("""COMPUTED_VALUE"""),"Quicksand")</f>
        <v>Quicksand</v>
      </c>
      <c r="AU425" s="1" t="str">
        <f>IFERROR(__xludf.DUMMYFUNCTION("""COMPUTED_VALUE"""),"Celestial Wrath")</f>
        <v>Celestial Wrath</v>
      </c>
      <c r="AV425" s="1"/>
      <c r="AW425" s="1"/>
      <c r="AX425" s="1"/>
      <c r="AY425" s="1"/>
      <c r="AZ425" s="1"/>
      <c r="BA425" s="1"/>
      <c r="BB425" s="1"/>
      <c r="BC425" s="1"/>
      <c r="BD425" s="1">
        <f>IFERROR(__xludf.DUMMYFUNCTION("""COMPUTED_VALUE"""),15.0)</f>
        <v>15</v>
      </c>
      <c r="BE425" s="9">
        <f>IFERROR(__xludf.DUMMYFUNCTION("""COMPUTED_VALUE"""),10.0)</f>
        <v>10</v>
      </c>
      <c r="BF425"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25" s="1" t="str">
        <f>IFERROR(__xludf.DUMMYFUNCTION("""COMPUTED_VALUE"""),"All")</f>
        <v>All</v>
      </c>
      <c r="BH425" s="1" t="str">
        <f>IFERROR(__xludf.DUMMYFUNCTION("""COMPUTED_VALUE"""),"Abstara")</f>
        <v>Abstara</v>
      </c>
      <c r="BI425" s="1"/>
      <c r="BJ425" s="1"/>
      <c r="BK425" s="1"/>
      <c r="BL425" s="1" t="b">
        <f>IFERROR(__xludf.DUMMYFUNCTION("""COMPUTED_VALUE"""),FALSE)</f>
        <v>0</v>
      </c>
      <c r="BM425" s="1"/>
      <c r="BN425" s="1"/>
      <c r="BO425" s="1"/>
      <c r="BP425" s="1"/>
      <c r="BQ425" s="1"/>
    </row>
    <row r="426" ht="15.75" customHeight="1">
      <c r="A426" s="1"/>
      <c r="B426" s="1">
        <f>IFERROR(__xludf.DUMMYFUNCTION("""COMPUTED_VALUE"""),1.0)</f>
        <v>1</v>
      </c>
      <c r="C426" s="1"/>
      <c r="D426" s="1" t="str">
        <f>IFERROR(__xludf.DUMMYFUNCTION("""COMPUTED_VALUE"""),"Draconic")</f>
        <v>Draconic</v>
      </c>
      <c r="E426" s="1">
        <f>IFERROR(__xludf.DUMMYFUNCTION("""COMPUTED_VALUE"""),1010.0)</f>
        <v>1010</v>
      </c>
      <c r="F426" s="7">
        <f>IFERROR(__xludf.DUMMYFUNCTION("""COMPUTED_VALUE"""),1010.0)</f>
        <v>1010</v>
      </c>
      <c r="G426" s="1">
        <f>IFERROR(__xludf.DUMMYFUNCTION("""COMPUTED_VALUE"""),1010.0)</f>
        <v>1010</v>
      </c>
      <c r="H426" s="1">
        <f>IFERROR(__xludf.DUMMYFUNCTION("""COMPUTED_VALUE"""),10.0)</f>
        <v>10</v>
      </c>
      <c r="I426" s="1">
        <f>IFERROR(__xludf.DUMMYFUNCTION("""COMPUTED_VALUE"""),15.0)</f>
        <v>15</v>
      </c>
      <c r="J426" s="1">
        <f>IFERROR(__xludf.DUMMYFUNCTION("""COMPUTED_VALUE"""),15.0)</f>
        <v>15</v>
      </c>
      <c r="K426" s="1">
        <f>IFERROR(__xludf.DUMMYFUNCTION("""COMPUTED_VALUE"""),100.0)</f>
        <v>100</v>
      </c>
      <c r="L426" s="1">
        <f>IFERROR(__xludf.DUMMYFUNCTION("""COMPUTED_VALUE"""),100.0)</f>
        <v>100</v>
      </c>
      <c r="M426" s="1" t="str">
        <f>IFERROR(__xludf.DUMMYFUNCTION("""COMPUTED_VALUE"""),"#N/A")</f>
        <v>#N/A</v>
      </c>
      <c r="N426" s="1" t="str">
        <f>IFERROR(__xludf.DUMMYFUNCTION("""COMPUTED_VALUE"""),"#N/A")</f>
        <v>#N/A</v>
      </c>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f>IFERROR(__xludf.DUMMYFUNCTION("""COMPUTED_VALUE"""),0.0)</f>
        <v>0</v>
      </c>
      <c r="BE426" s="9">
        <f>IFERROR(__xludf.DUMMYFUNCTION("""COMPUTED_VALUE"""),10.0)</f>
        <v>10</v>
      </c>
      <c r="BF426" s="1"/>
      <c r="BG426" s="1" t="str">
        <f>IFERROR(__xludf.DUMMYFUNCTION("""COMPUTED_VALUE"""),"All")</f>
        <v>All</v>
      </c>
      <c r="BH426" s="1" t="str">
        <f>IFERROR(__xludf.DUMMYFUNCTION("""COMPUTED_VALUE"""),"Abstara")</f>
        <v>Abstara</v>
      </c>
      <c r="BI426" s="1"/>
      <c r="BJ426" s="1"/>
      <c r="BK426" s="1"/>
      <c r="BL426" s="1" t="b">
        <f>IFERROR(__xludf.DUMMYFUNCTION("""COMPUTED_VALUE"""),FALSE)</f>
        <v>0</v>
      </c>
      <c r="BM426" s="1"/>
      <c r="BN426" s="1"/>
      <c r="BO426" s="1"/>
      <c r="BP426" s="1"/>
      <c r="BQ426" s="1"/>
    </row>
    <row r="427" ht="15.75" customHeight="1">
      <c r="A427" s="1" t="str">
        <f>IFERROR(__xludf.DUMMYFUNCTION("""COMPUTED_VALUE"""),"Ancient Fire Dragon")</f>
        <v>Ancient Fire Dragon</v>
      </c>
      <c r="B427" s="1">
        <f>IFERROR(__xludf.DUMMYFUNCTION("""COMPUTED_VALUE"""),1.0)</f>
        <v>1</v>
      </c>
      <c r="C427" s="1"/>
      <c r="D427" s="1" t="str">
        <f>IFERROR(__xludf.DUMMYFUNCTION("""COMPUTED_VALUE"""),"Draconic")</f>
        <v>Draconic</v>
      </c>
      <c r="E427" s="1">
        <f>IFERROR(__xludf.DUMMYFUNCTION("""COMPUTED_VALUE"""),1010.0)</f>
        <v>1010</v>
      </c>
      <c r="F427" s="7">
        <f>IFERROR(__xludf.DUMMYFUNCTION("""COMPUTED_VALUE"""),1010.0)</f>
        <v>1010</v>
      </c>
      <c r="G427" s="1">
        <f>IFERROR(__xludf.DUMMYFUNCTION("""COMPUTED_VALUE"""),1010.0)</f>
        <v>1010</v>
      </c>
      <c r="H427" s="1">
        <f>IFERROR(__xludf.DUMMYFUNCTION("""COMPUTED_VALUE"""),10.0)</f>
        <v>10</v>
      </c>
      <c r="I427" s="1">
        <f>IFERROR(__xludf.DUMMYFUNCTION("""COMPUTED_VALUE"""),15.0)</f>
        <v>15</v>
      </c>
      <c r="J427" s="1">
        <f>IFERROR(__xludf.DUMMYFUNCTION("""COMPUTED_VALUE"""),15.0)</f>
        <v>15</v>
      </c>
      <c r="K427" s="1">
        <f>IFERROR(__xludf.DUMMYFUNCTION("""COMPUTED_VALUE"""),100.0)</f>
        <v>100</v>
      </c>
      <c r="L427" s="1">
        <f>IFERROR(__xludf.DUMMYFUNCTION("""COMPUTED_VALUE"""),100.0)</f>
        <v>100</v>
      </c>
      <c r="M427" s="1" t="str">
        <f>IFERROR(__xludf.DUMMYFUNCTION("""COMPUTED_VALUE"""),"Fire:Immune, Nature:Immune, Instant Death:Immune, Banishment:Immune, ")</f>
        <v>Fire:Immune, Nature:Immune, Instant Death:Immune, Banishment:Immune, </v>
      </c>
      <c r="N427" s="1" t="str">
        <f>IFERROR(__xludf.DUMMYFUNCTION("""COMPUTED_VALUE"""),"Water:100, ")</f>
        <v>Water:100, </v>
      </c>
      <c r="O427" s="1"/>
      <c r="P427" s="1"/>
      <c r="Q427" s="1"/>
      <c r="R427" s="1"/>
      <c r="S427" s="1"/>
      <c r="T427" s="1"/>
      <c r="U427" s="1"/>
      <c r="V427" s="1"/>
      <c r="W427" s="1"/>
      <c r="X427" s="1"/>
      <c r="Y427" s="1"/>
      <c r="Z427" s="1"/>
      <c r="AA427" s="1"/>
      <c r="AB427" s="1"/>
      <c r="AC427" s="1"/>
      <c r="AD427" s="1"/>
      <c r="AE427" s="1"/>
      <c r="AF427" s="1"/>
      <c r="AG427" s="1"/>
      <c r="AH427" s="1"/>
      <c r="AI427" s="1"/>
      <c r="AJ427" s="1" t="str">
        <f>IFERROR(__xludf.DUMMYFUNCTION("""COMPUTED_VALUE"""),"Greater Dragon's Breath")</f>
        <v>Greater Dragon's Breath</v>
      </c>
      <c r="AK427" s="1" t="str">
        <f>IFERROR(__xludf.DUMMYFUNCTION("""COMPUTED_VALUE"""),"Bite")</f>
        <v>Bite</v>
      </c>
      <c r="AL427" s="1" t="str">
        <f>IFERROR(__xludf.DUMMYFUNCTION("""COMPUTED_VALUE"""),"Tail Smash")</f>
        <v>Tail Smash</v>
      </c>
      <c r="AM427" s="1" t="str">
        <f>IFERROR(__xludf.DUMMYFUNCTION("""COMPUTED_VALUE"""),"Claws")</f>
        <v>Claws</v>
      </c>
      <c r="AN427" s="1" t="str">
        <f>IFERROR(__xludf.DUMMYFUNCTION("""COMPUTED_VALUE"""),"Berserk")</f>
        <v>Berserk</v>
      </c>
      <c r="AO427" s="1" t="str">
        <f>IFERROR(__xludf.DUMMYFUNCTION("""COMPUTED_VALUE"""),"Multishot")</f>
        <v>Multishot</v>
      </c>
      <c r="AP427" s="1" t="str">
        <f>IFERROR(__xludf.DUMMYFUNCTION("""COMPUTED_VALUE"""),"Draconic Scream")</f>
        <v>Draconic Scream</v>
      </c>
      <c r="AQ427" s="1" t="str">
        <f>IFERROR(__xludf.DUMMYFUNCTION("""COMPUTED_VALUE"""),"Chaincast")</f>
        <v>Chaincast</v>
      </c>
      <c r="AR427" s="1" t="str">
        <f>IFERROR(__xludf.DUMMYFUNCTION("""COMPUTED_VALUE"""),"Flame Sanctuary")</f>
        <v>Flame Sanctuary</v>
      </c>
      <c r="AS427" s="1" t="str">
        <f>IFERROR(__xludf.DUMMYFUNCTION("""COMPUTED_VALUE"""),"Meteor Shower")</f>
        <v>Meteor Shower</v>
      </c>
      <c r="AT427" s="1" t="str">
        <f>IFERROR(__xludf.DUMMYFUNCTION("""COMPUTED_VALUE"""),"Flame Thrower")</f>
        <v>Flame Thrower</v>
      </c>
      <c r="AU427" s="1" t="str">
        <f>IFERROR(__xludf.DUMMYFUNCTION("""COMPUTED_VALUE"""),"Celestial Wrath")</f>
        <v>Celestial Wrath</v>
      </c>
      <c r="AV427" s="1"/>
      <c r="AW427" s="1"/>
      <c r="AX427" s="1"/>
      <c r="AY427" s="1"/>
      <c r="AZ427" s="1"/>
      <c r="BA427" s="1"/>
      <c r="BB427" s="1"/>
      <c r="BC427" s="1"/>
      <c r="BD427" s="1">
        <f>IFERROR(__xludf.DUMMYFUNCTION("""COMPUTED_VALUE"""),15.0)</f>
        <v>15</v>
      </c>
      <c r="BE427" s="9">
        <f>IFERROR(__xludf.DUMMYFUNCTION("""COMPUTED_VALUE"""),10.0)</f>
        <v>10</v>
      </c>
      <c r="BF427"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27" s="1" t="str">
        <f>IFERROR(__xludf.DUMMYFUNCTION("""COMPUTED_VALUE"""),"All")</f>
        <v>All</v>
      </c>
      <c r="BH427" s="1" t="str">
        <f>IFERROR(__xludf.DUMMYFUNCTION("""COMPUTED_VALUE"""),"Abstara")</f>
        <v>Abstara</v>
      </c>
      <c r="BI427" s="1"/>
      <c r="BJ427" s="1"/>
      <c r="BK427" s="1"/>
      <c r="BL427" s="1" t="b">
        <f>IFERROR(__xludf.DUMMYFUNCTION("""COMPUTED_VALUE"""),FALSE)</f>
        <v>0</v>
      </c>
      <c r="BM427" s="1"/>
      <c r="BN427" s="1"/>
      <c r="BO427" s="1"/>
      <c r="BP427" s="1"/>
      <c r="BQ427" s="1"/>
    </row>
    <row r="428" ht="15.75" customHeight="1">
      <c r="A428" s="1"/>
      <c r="B428" s="1">
        <f>IFERROR(__xludf.DUMMYFUNCTION("""COMPUTED_VALUE"""),1.0)</f>
        <v>1</v>
      </c>
      <c r="C428" s="1"/>
      <c r="D428" s="1" t="str">
        <f>IFERROR(__xludf.DUMMYFUNCTION("""COMPUTED_VALUE"""),"Draconic")</f>
        <v>Draconic</v>
      </c>
      <c r="E428" s="1">
        <f>IFERROR(__xludf.DUMMYFUNCTION("""COMPUTED_VALUE"""),1010.0)</f>
        <v>1010</v>
      </c>
      <c r="F428" s="7">
        <f>IFERROR(__xludf.DUMMYFUNCTION("""COMPUTED_VALUE"""),1010.0)</f>
        <v>1010</v>
      </c>
      <c r="G428" s="1">
        <f>IFERROR(__xludf.DUMMYFUNCTION("""COMPUTED_VALUE"""),1010.0)</f>
        <v>1010</v>
      </c>
      <c r="H428" s="1">
        <f>IFERROR(__xludf.DUMMYFUNCTION("""COMPUTED_VALUE"""),10.0)</f>
        <v>10</v>
      </c>
      <c r="I428" s="1">
        <f>IFERROR(__xludf.DUMMYFUNCTION("""COMPUTED_VALUE"""),0.0)</f>
        <v>0</v>
      </c>
      <c r="J428" s="1">
        <f>IFERROR(__xludf.DUMMYFUNCTION("""COMPUTED_VALUE"""),0.0)</f>
        <v>0</v>
      </c>
      <c r="K428" s="1">
        <f>IFERROR(__xludf.DUMMYFUNCTION("""COMPUTED_VALUE"""),100.0)</f>
        <v>100</v>
      </c>
      <c r="L428" s="1">
        <f>IFERROR(__xludf.DUMMYFUNCTION("""COMPUTED_VALUE"""),100.0)</f>
        <v>100</v>
      </c>
      <c r="M428" s="1" t="str">
        <f>IFERROR(__xludf.DUMMYFUNCTION("""COMPUTED_VALUE"""),"#N/A")</f>
        <v>#N/A</v>
      </c>
      <c r="N428" s="1" t="str">
        <f>IFERROR(__xludf.DUMMYFUNCTION("""COMPUTED_VALUE"""),"#N/A")</f>
        <v>#N/A</v>
      </c>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f>IFERROR(__xludf.DUMMYFUNCTION("""COMPUTED_VALUE"""),0.0)</f>
        <v>0</v>
      </c>
      <c r="BE428" s="9">
        <f>IFERROR(__xludf.DUMMYFUNCTION("""COMPUTED_VALUE"""),10.0)</f>
        <v>10</v>
      </c>
      <c r="BF428" s="1"/>
      <c r="BG428" s="1"/>
      <c r="BH428" s="1"/>
      <c r="BI428" s="1"/>
      <c r="BJ428" s="1"/>
      <c r="BK428" s="1"/>
      <c r="BL428" s="1" t="b">
        <f>IFERROR(__xludf.DUMMYFUNCTION("""COMPUTED_VALUE"""),FALSE)</f>
        <v>0</v>
      </c>
      <c r="BM428" s="1"/>
      <c r="BN428" s="1"/>
      <c r="BO428" s="1"/>
      <c r="BP428" s="1"/>
      <c r="BQ428" s="1"/>
    </row>
    <row r="429" ht="15.75" customHeight="1">
      <c r="A429" s="1" t="str">
        <f>IFERROR(__xludf.DUMMYFUNCTION("""COMPUTED_VALUE"""),"Ancient Undead Dragon")</f>
        <v>Ancient Undead Dragon</v>
      </c>
      <c r="B429" s="1">
        <f>IFERROR(__xludf.DUMMYFUNCTION("""COMPUTED_VALUE"""),1.0)</f>
        <v>1</v>
      </c>
      <c r="C429" s="1"/>
      <c r="D429" s="1" t="str">
        <f>IFERROR(__xludf.DUMMYFUNCTION("""COMPUTED_VALUE"""),"Draconic")</f>
        <v>Draconic</v>
      </c>
      <c r="E429" s="1">
        <f>IFERROR(__xludf.DUMMYFUNCTION("""COMPUTED_VALUE"""),1010.0)</f>
        <v>1010</v>
      </c>
      <c r="F429" s="7">
        <f>IFERROR(__xludf.DUMMYFUNCTION("""COMPUTED_VALUE"""),1010.0)</f>
        <v>1010</v>
      </c>
      <c r="G429" s="1">
        <f>IFERROR(__xludf.DUMMYFUNCTION("""COMPUTED_VALUE"""),1010.0)</f>
        <v>1010</v>
      </c>
      <c r="H429" s="1">
        <f>IFERROR(__xludf.DUMMYFUNCTION("""COMPUTED_VALUE"""),10.0)</f>
        <v>10</v>
      </c>
      <c r="I429" s="1">
        <f>IFERROR(__xludf.DUMMYFUNCTION("""COMPUTED_VALUE"""),15.0)</f>
        <v>15</v>
      </c>
      <c r="J429" s="1">
        <f>IFERROR(__xludf.DUMMYFUNCTION("""COMPUTED_VALUE"""),15.0)</f>
        <v>15</v>
      </c>
      <c r="K429" s="1">
        <f>IFERROR(__xludf.DUMMYFUNCTION("""COMPUTED_VALUE"""),100.0)</f>
        <v>100</v>
      </c>
      <c r="L429" s="1">
        <f>IFERROR(__xludf.DUMMYFUNCTION("""COMPUTED_VALUE"""),100.0)</f>
        <v>100</v>
      </c>
      <c r="M429" s="1" t="str">
        <f>IFERROR(__xludf.DUMMYFUNCTION("""COMPUTED_VALUE"""),"Dark:Immune, Instant Death:Immune, Banishment:Immune, ")</f>
        <v>Dark:Immune, Instant Death:Immune, Banishment:Immune, </v>
      </c>
      <c r="N429" s="1" t="str">
        <f>IFERROR(__xludf.DUMMYFUNCTION("""COMPUTED_VALUE"""),"Fire:100, Light:100, ")</f>
        <v>Fire:100, Light:100, </v>
      </c>
      <c r="O429" s="1"/>
      <c r="P429" s="1"/>
      <c r="Q429" s="1"/>
      <c r="R429" s="1"/>
      <c r="S429" s="1"/>
      <c r="T429" s="1"/>
      <c r="U429" s="1"/>
      <c r="V429" s="1"/>
      <c r="W429" s="1"/>
      <c r="X429" s="1"/>
      <c r="Y429" s="1"/>
      <c r="Z429" s="1"/>
      <c r="AA429" s="1"/>
      <c r="AB429" s="1"/>
      <c r="AC429" s="1"/>
      <c r="AD429" s="1"/>
      <c r="AE429" s="1"/>
      <c r="AF429" s="1"/>
      <c r="AG429" s="1"/>
      <c r="AH429" s="1"/>
      <c r="AI429" s="1"/>
      <c r="AJ429" s="1" t="str">
        <f>IFERROR(__xludf.DUMMYFUNCTION("""COMPUTED_VALUE"""),"Greater Dragon's Breath")</f>
        <v>Greater Dragon's Breath</v>
      </c>
      <c r="AK429" s="1" t="str">
        <f>IFERROR(__xludf.DUMMYFUNCTION("""COMPUTED_VALUE"""),"Bite")</f>
        <v>Bite</v>
      </c>
      <c r="AL429" s="1" t="str">
        <f>IFERROR(__xludf.DUMMYFUNCTION("""COMPUTED_VALUE"""),"Tail Smash")</f>
        <v>Tail Smash</v>
      </c>
      <c r="AM429" s="1" t="str">
        <f>IFERROR(__xludf.DUMMYFUNCTION("""COMPUTED_VALUE"""),"Claws")</f>
        <v>Claws</v>
      </c>
      <c r="AN429" s="1" t="str">
        <f>IFERROR(__xludf.DUMMYFUNCTION("""COMPUTED_VALUE"""),"Berserk")</f>
        <v>Berserk</v>
      </c>
      <c r="AO429" s="1" t="str">
        <f>IFERROR(__xludf.DUMMYFUNCTION("""COMPUTED_VALUE"""),"Multishot")</f>
        <v>Multishot</v>
      </c>
      <c r="AP429" s="1" t="str">
        <f>IFERROR(__xludf.DUMMYFUNCTION("""COMPUTED_VALUE"""),"Draconic Scream")</f>
        <v>Draconic Scream</v>
      </c>
      <c r="AQ429" s="1" t="str">
        <f>IFERROR(__xludf.DUMMYFUNCTION("""COMPUTED_VALUE"""),"Chaincast")</f>
        <v>Chaincast</v>
      </c>
      <c r="AR429" s="1" t="str">
        <f>IFERROR(__xludf.DUMMYFUNCTION("""COMPUTED_VALUE"""),"Dark Curse")</f>
        <v>Dark Curse</v>
      </c>
      <c r="AS429" s="1" t="str">
        <f>IFERROR(__xludf.DUMMYFUNCTION("""COMPUTED_VALUE"""),"Dark Bolt")</f>
        <v>Dark Bolt</v>
      </c>
      <c r="AT429" s="1" t="str">
        <f>IFERROR(__xludf.DUMMYFUNCTION("""COMPUTED_VALUE"""),"Darkest Abyss")</f>
        <v>Darkest Abyss</v>
      </c>
      <c r="AU429" s="1" t="str">
        <f>IFERROR(__xludf.DUMMYFUNCTION("""COMPUTED_VALUE"""),"Celestial Wrath")</f>
        <v>Celestial Wrath</v>
      </c>
      <c r="AV429" s="1"/>
      <c r="AW429" s="1"/>
      <c r="AX429" s="1"/>
      <c r="AY429" s="1"/>
      <c r="AZ429" s="1"/>
      <c r="BA429" s="1"/>
      <c r="BB429" s="1"/>
      <c r="BC429" s="1"/>
      <c r="BD429" s="1">
        <f>IFERROR(__xludf.DUMMYFUNCTION("""COMPUTED_VALUE"""),15.0)</f>
        <v>15</v>
      </c>
      <c r="BE429" s="9">
        <f>IFERROR(__xludf.DUMMYFUNCTION("""COMPUTED_VALUE"""),10.0)</f>
        <v>10</v>
      </c>
      <c r="BF429" s="1" t="str">
        <f>IFERROR(__xludf.DUMMYFUNCTION("""COMPUTED_VALUE"""),"75% chance to be unaffected by any spells affecting this mob
Dragons Luck II: +10 can be added to this mobs d20 rolls.
Undead - Immune to dark, Will live on 1HP unless hit with a Light, Fire, or Celestial attack. Cannot be immune to Light, Fire, and Cel"&amp;"estial.")</f>
        <v>75% chance to be unaffected by any spells affecting this mob
Dragons Luck II: +10 can be added to this mobs d20 rolls.
Undead - Immune to dark, Will live on 1HP unless hit with a Light, Fire, or Celestial attack. Cannot be immune to Light, Fire, and Celestial.</v>
      </c>
      <c r="BG429" s="1" t="str">
        <f>IFERROR(__xludf.DUMMYFUNCTION("""COMPUTED_VALUE"""),"All")</f>
        <v>All</v>
      </c>
      <c r="BH429" s="1" t="str">
        <f>IFERROR(__xludf.DUMMYFUNCTION("""COMPUTED_VALUE"""),"Abstara")</f>
        <v>Abstara</v>
      </c>
      <c r="BI429" s="1"/>
      <c r="BJ429" s="1"/>
      <c r="BK429" s="1"/>
      <c r="BL429" s="1" t="b">
        <f>IFERROR(__xludf.DUMMYFUNCTION("""COMPUTED_VALUE"""),FALSE)</f>
        <v>0</v>
      </c>
      <c r="BM429" s="1"/>
      <c r="BN429" s="1"/>
      <c r="BO429" s="1"/>
      <c r="BP429" s="1"/>
      <c r="BQ429" s="1"/>
    </row>
    <row r="430" ht="15.75" customHeight="1">
      <c r="A430" s="1" t="str">
        <f>IFERROR(__xludf.DUMMYFUNCTION("""COMPUTED_VALUE"""),"Ancient Crystal Dragon")</f>
        <v>Ancient Crystal Dragon</v>
      </c>
      <c r="B430" s="1">
        <f>IFERROR(__xludf.DUMMYFUNCTION("""COMPUTED_VALUE"""),1.0)</f>
        <v>1</v>
      </c>
      <c r="C430" s="1"/>
      <c r="D430" s="1" t="str">
        <f>IFERROR(__xludf.DUMMYFUNCTION("""COMPUTED_VALUE"""),"Draconic")</f>
        <v>Draconic</v>
      </c>
      <c r="E430" s="1">
        <f>IFERROR(__xludf.DUMMYFUNCTION("""COMPUTED_VALUE"""),1010.0)</f>
        <v>1010</v>
      </c>
      <c r="F430" s="7">
        <f>IFERROR(__xludf.DUMMYFUNCTION("""COMPUTED_VALUE"""),1010.0)</f>
        <v>1010</v>
      </c>
      <c r="G430" s="1">
        <f>IFERROR(__xludf.DUMMYFUNCTION("""COMPUTED_VALUE"""),1010.0)</f>
        <v>1010</v>
      </c>
      <c r="H430" s="1">
        <f>IFERROR(__xludf.DUMMYFUNCTION("""COMPUTED_VALUE"""),10.0)</f>
        <v>10</v>
      </c>
      <c r="I430" s="1">
        <f>IFERROR(__xludf.DUMMYFUNCTION("""COMPUTED_VALUE"""),15.0)</f>
        <v>15</v>
      </c>
      <c r="J430" s="1">
        <f>IFERROR(__xludf.DUMMYFUNCTION("""COMPUTED_VALUE"""),15.0)</f>
        <v>15</v>
      </c>
      <c r="K430" s="1">
        <f>IFERROR(__xludf.DUMMYFUNCTION("""COMPUTED_VALUE"""),100.0)</f>
        <v>100</v>
      </c>
      <c r="L430" s="1">
        <f>IFERROR(__xludf.DUMMYFUNCTION("""COMPUTED_VALUE"""),100.0)</f>
        <v>100</v>
      </c>
      <c r="M430" s="1" t="str">
        <f>IFERROR(__xludf.DUMMYFUNCTION("""COMPUTED_VALUE"""),"Earth:100, Instant Death:Immune, Banishment:Immune, ")</f>
        <v>Earth:100, Instant Death:Immune, Banishment:Immune, </v>
      </c>
      <c r="N430" s="1" t="str">
        <f>IFERROR(__xludf.DUMMYFUNCTION("""COMPUTED_VALUE"""),"Water:100, Storm:100, ")</f>
        <v>Water:100, Storm:100, </v>
      </c>
      <c r="O430" s="1"/>
      <c r="P430" s="1"/>
      <c r="Q430" s="1"/>
      <c r="R430" s="1"/>
      <c r="S430" s="1"/>
      <c r="T430" s="1"/>
      <c r="U430" s="1"/>
      <c r="V430" s="1"/>
      <c r="W430" s="1"/>
      <c r="X430" s="1"/>
      <c r="Y430" s="1"/>
      <c r="Z430" s="1"/>
      <c r="AA430" s="1"/>
      <c r="AB430" s="1"/>
      <c r="AC430" s="1"/>
      <c r="AD430" s="1"/>
      <c r="AE430" s="1"/>
      <c r="AF430" s="1"/>
      <c r="AG430" s="1"/>
      <c r="AH430" s="1"/>
      <c r="AI430" s="1"/>
      <c r="AJ430" s="1" t="str">
        <f>IFERROR(__xludf.DUMMYFUNCTION("""COMPUTED_VALUE"""),"Greater Dragon's Breath")</f>
        <v>Greater Dragon's Breath</v>
      </c>
      <c r="AK430" s="1" t="str">
        <f>IFERROR(__xludf.DUMMYFUNCTION("""COMPUTED_VALUE"""),"Bite")</f>
        <v>Bite</v>
      </c>
      <c r="AL430" s="1" t="str">
        <f>IFERROR(__xludf.DUMMYFUNCTION("""COMPUTED_VALUE"""),"Tail Smash")</f>
        <v>Tail Smash</v>
      </c>
      <c r="AM430" s="1" t="str">
        <f>IFERROR(__xludf.DUMMYFUNCTION("""COMPUTED_VALUE"""),"Claws")</f>
        <v>Claws</v>
      </c>
      <c r="AN430" s="1" t="str">
        <f>IFERROR(__xludf.DUMMYFUNCTION("""COMPUTED_VALUE"""),"Berserk")</f>
        <v>Berserk</v>
      </c>
      <c r="AO430" s="1" t="str">
        <f>IFERROR(__xludf.DUMMYFUNCTION("""COMPUTED_VALUE"""),"Multishot")</f>
        <v>Multishot</v>
      </c>
      <c r="AP430" s="1" t="str">
        <f>IFERROR(__xludf.DUMMYFUNCTION("""COMPUTED_VALUE"""),"Draconic Scream")</f>
        <v>Draconic Scream</v>
      </c>
      <c r="AQ430" s="1" t="str">
        <f>IFERROR(__xludf.DUMMYFUNCTION("""COMPUTED_VALUE"""),"Chaincast")</f>
        <v>Chaincast</v>
      </c>
      <c r="AR430" s="1" t="str">
        <f>IFERROR(__xludf.DUMMYFUNCTION("""COMPUTED_VALUE"""),"Searing Saphire Strike")</f>
        <v>Searing Saphire Strike</v>
      </c>
      <c r="AS430" s="1" t="str">
        <f>IFERROR(__xludf.DUMMYFUNCTION("""COMPUTED_VALUE"""),"Energizing Emerald Pulse")</f>
        <v>Energizing Emerald Pulse</v>
      </c>
      <c r="AT430" s="1" t="str">
        <f>IFERROR(__xludf.DUMMYFUNCTION("""COMPUTED_VALUE"""),"Molten Ruby Spikes")</f>
        <v>Molten Ruby Spikes</v>
      </c>
      <c r="AU430" s="1" t="str">
        <f>IFERROR(__xludf.DUMMYFUNCTION("""COMPUTED_VALUE"""),"Celestial Wrath")</f>
        <v>Celestial Wrath</v>
      </c>
      <c r="AV430" s="1"/>
      <c r="AW430" s="1"/>
      <c r="AX430" s="1"/>
      <c r="AY430" s="1"/>
      <c r="AZ430" s="1"/>
      <c r="BA430" s="1"/>
      <c r="BB430" s="1"/>
      <c r="BC430" s="1"/>
      <c r="BD430" s="1">
        <f>IFERROR(__xludf.DUMMYFUNCTION("""COMPUTED_VALUE"""),15.0)</f>
        <v>15</v>
      </c>
      <c r="BE430" s="9">
        <f>IFERROR(__xludf.DUMMYFUNCTION("""COMPUTED_VALUE"""),10.0)</f>
        <v>10</v>
      </c>
      <c r="BF430"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30" s="1" t="str">
        <f>IFERROR(__xludf.DUMMYFUNCTION("""COMPUTED_VALUE"""),"All")</f>
        <v>All</v>
      </c>
      <c r="BH430" s="1" t="str">
        <f>IFERROR(__xludf.DUMMYFUNCTION("""COMPUTED_VALUE"""),"Abstara")</f>
        <v>Abstara</v>
      </c>
      <c r="BI430" s="1"/>
      <c r="BJ430" s="1"/>
      <c r="BK430" s="1"/>
      <c r="BL430" s="1" t="b">
        <f>IFERROR(__xludf.DUMMYFUNCTION("""COMPUTED_VALUE"""),FALSE)</f>
        <v>0</v>
      </c>
      <c r="BM430" s="1"/>
      <c r="BN430" s="1"/>
      <c r="BO430" s="1"/>
      <c r="BP430" s="1"/>
      <c r="BQ430" s="1"/>
    </row>
    <row r="431" ht="15.75" customHeight="1">
      <c r="A431" s="1" t="str">
        <f>IFERROR(__xludf.DUMMYFUNCTION("""COMPUTED_VALUE"""),"Divine Acid Dragon")</f>
        <v>Divine Acid Dragon</v>
      </c>
      <c r="B431" s="1">
        <f>IFERROR(__xludf.DUMMYFUNCTION("""COMPUTED_VALUE"""),1.0)</f>
        <v>1</v>
      </c>
      <c r="C431" s="1"/>
      <c r="D431" s="1" t="str">
        <f>IFERROR(__xludf.DUMMYFUNCTION("""COMPUTED_VALUE"""),"Draconic")</f>
        <v>Draconic</v>
      </c>
      <c r="E431" s="1">
        <f>IFERROR(__xludf.DUMMYFUNCTION("""COMPUTED_VALUE"""),1010.0)</f>
        <v>1010</v>
      </c>
      <c r="F431" s="7">
        <f>IFERROR(__xludf.DUMMYFUNCTION("""COMPUTED_VALUE"""),1010.0)</f>
        <v>1010</v>
      </c>
      <c r="G431" s="1">
        <f>IFERROR(__xludf.DUMMYFUNCTION("""COMPUTED_VALUE"""),1010.0)</f>
        <v>1010</v>
      </c>
      <c r="H431" s="1">
        <f>IFERROR(__xludf.DUMMYFUNCTION("""COMPUTED_VALUE"""),10.0)</f>
        <v>10</v>
      </c>
      <c r="I431" s="1">
        <f>IFERROR(__xludf.DUMMYFUNCTION("""COMPUTED_VALUE"""),20.0)</f>
        <v>20</v>
      </c>
      <c r="J431" s="1">
        <f>IFERROR(__xludf.DUMMYFUNCTION("""COMPUTED_VALUE"""),15.0)</f>
        <v>15</v>
      </c>
      <c r="K431" s="1">
        <f>IFERROR(__xludf.DUMMYFUNCTION("""COMPUTED_VALUE"""),100.0)</f>
        <v>100</v>
      </c>
      <c r="L431" s="1">
        <f>IFERROR(__xludf.DUMMYFUNCTION("""COMPUTED_VALUE"""),100.0)</f>
        <v>100</v>
      </c>
      <c r="M431" s="1" t="str">
        <f>IFERROR(__xludf.DUMMYFUNCTION("""COMPUTED_VALUE"""),"")</f>
        <v/>
      </c>
      <c r="N431" s="1" t="str">
        <f>IFERROR(__xludf.DUMMYFUNCTION("""COMPUTED_VALUE"""),"Fire:100, Storm:100, ")</f>
        <v>Fire:100, Storm:100, </v>
      </c>
      <c r="O431" s="1"/>
      <c r="P431" s="1"/>
      <c r="Q431" s="1"/>
      <c r="R431" s="1"/>
      <c r="S431" s="1"/>
      <c r="T431" s="1"/>
      <c r="U431" s="1"/>
      <c r="V431" s="1"/>
      <c r="W431" s="1"/>
      <c r="X431" s="1"/>
      <c r="Y431" s="1"/>
      <c r="Z431" s="1"/>
      <c r="AA431" s="1"/>
      <c r="AB431" s="1"/>
      <c r="AC431" s="1"/>
      <c r="AD431" s="1"/>
      <c r="AE431" s="1"/>
      <c r="AF431" s="1"/>
      <c r="AG431" s="1"/>
      <c r="AH431" s="1"/>
      <c r="AI431" s="1"/>
      <c r="AJ431" s="1" t="str">
        <f>IFERROR(__xludf.DUMMYFUNCTION("""COMPUTED_VALUE"""),"Greater Dragon's Breath")</f>
        <v>Greater Dragon's Breath</v>
      </c>
      <c r="AK431" s="1" t="str">
        <f>IFERROR(__xludf.DUMMYFUNCTION("""COMPUTED_VALUE"""),"Bite")</f>
        <v>Bite</v>
      </c>
      <c r="AL431" s="1" t="str">
        <f>IFERROR(__xludf.DUMMYFUNCTION("""COMPUTED_VALUE"""),"Tail Smash")</f>
        <v>Tail Smash</v>
      </c>
      <c r="AM431" s="1" t="str">
        <f>IFERROR(__xludf.DUMMYFUNCTION("""COMPUTED_VALUE"""),"Claws")</f>
        <v>Claws</v>
      </c>
      <c r="AN431" s="1" t="str">
        <f>IFERROR(__xludf.DUMMYFUNCTION("""COMPUTED_VALUE"""),"Berserk")</f>
        <v>Berserk</v>
      </c>
      <c r="AO431" s="1" t="str">
        <f>IFERROR(__xludf.DUMMYFUNCTION("""COMPUTED_VALUE"""),"Multishot")</f>
        <v>Multishot</v>
      </c>
      <c r="AP431" s="1" t="str">
        <f>IFERROR(__xludf.DUMMYFUNCTION("""COMPUTED_VALUE"""),"Draconic Scream")</f>
        <v>Draconic Scream</v>
      </c>
      <c r="AQ431" s="1" t="str">
        <f>IFERROR(__xludf.DUMMYFUNCTION("""COMPUTED_VALUE"""),"Chaincast")</f>
        <v>Chaincast</v>
      </c>
      <c r="AR431" s="1" t="str">
        <f>IFERROR(__xludf.DUMMYFUNCTION("""COMPUTED_VALUE"""),"Class 3 Poison")</f>
        <v>Class 3 Poison</v>
      </c>
      <c r="AS431" s="1" t="str">
        <f>IFERROR(__xludf.DUMMYFUNCTION("""COMPUTED_VALUE"""),"1000 Poisons Body")</f>
        <v>1000 Poisons Body</v>
      </c>
      <c r="AT431" s="1" t="str">
        <f>IFERROR(__xludf.DUMMYFUNCTION("""COMPUTED_VALUE"""),"Thorn Bush")</f>
        <v>Thorn Bush</v>
      </c>
      <c r="AU431" s="1" t="str">
        <f>IFERROR(__xludf.DUMMYFUNCTION("""COMPUTED_VALUE"""),"Poisonous Fumes")</f>
        <v>Poisonous Fumes</v>
      </c>
      <c r="AV431" s="1" t="str">
        <f>IFERROR(__xludf.DUMMYFUNCTION("""COMPUTED_VALUE"""),"Celestial Wrath")</f>
        <v>Celestial Wrath</v>
      </c>
      <c r="AW431" s="1"/>
      <c r="AX431" s="1"/>
      <c r="AY431" s="1"/>
      <c r="AZ431" s="1"/>
      <c r="BA431" s="1"/>
      <c r="BB431" s="1"/>
      <c r="BC431" s="1"/>
      <c r="BD431" s="1">
        <f>IFERROR(__xludf.DUMMYFUNCTION("""COMPUTED_VALUE"""),20.0)</f>
        <v>20</v>
      </c>
      <c r="BE431" s="9">
        <f>IFERROR(__xludf.DUMMYFUNCTION("""COMPUTED_VALUE"""),10.0)</f>
        <v>10</v>
      </c>
      <c r="BF431" s="1" t="str">
        <f>IFERROR(__xludf.DUMMYFUNCTION("""COMPUTED_VALUE"""),"Unaffected by any spells affecting this creature
Dragons Luck II: +10 can be added to this mobs d20 rolls.
Immune to poison")</f>
        <v>Unaffected by any spells affecting this creature
Dragons Luck II: +10 can be added to this mobs d20 rolls.
Immune to poison</v>
      </c>
      <c r="BG431" s="1" t="str">
        <f>IFERROR(__xludf.DUMMYFUNCTION("""COMPUTED_VALUE"""),"All")</f>
        <v>All</v>
      </c>
      <c r="BH431" s="1" t="str">
        <f>IFERROR(__xludf.DUMMYFUNCTION("""COMPUTED_VALUE"""),"Solreach")</f>
        <v>Solreach</v>
      </c>
      <c r="BI431" s="1"/>
      <c r="BJ431" s="1"/>
      <c r="BK431" s="1"/>
      <c r="BL431" s="1" t="b">
        <f>IFERROR(__xludf.DUMMYFUNCTION("""COMPUTED_VALUE"""),FALSE)</f>
        <v>0</v>
      </c>
      <c r="BM431" s="1"/>
      <c r="BN431" s="1"/>
      <c r="BO431" s="1"/>
      <c r="BP431" s="1"/>
      <c r="BQ431" s="1"/>
    </row>
    <row r="432" ht="15.75" customHeight="1">
      <c r="A432" s="1" t="str">
        <f>IFERROR(__xludf.DUMMYFUNCTION("""COMPUTED_VALUE"""),"Divine Water Dragon")</f>
        <v>Divine Water Dragon</v>
      </c>
      <c r="B432" s="1">
        <f>IFERROR(__xludf.DUMMYFUNCTION("""COMPUTED_VALUE"""),1.0)</f>
        <v>1</v>
      </c>
      <c r="C432" s="1"/>
      <c r="D432" s="1" t="str">
        <f>IFERROR(__xludf.DUMMYFUNCTION("""COMPUTED_VALUE"""),"Draconic")</f>
        <v>Draconic</v>
      </c>
      <c r="E432" s="1">
        <f>IFERROR(__xludf.DUMMYFUNCTION("""COMPUTED_VALUE"""),1010.0)</f>
        <v>1010</v>
      </c>
      <c r="F432" s="7">
        <f>IFERROR(__xludf.DUMMYFUNCTION("""COMPUTED_VALUE"""),1010.0)</f>
        <v>1010</v>
      </c>
      <c r="G432" s="1">
        <f>IFERROR(__xludf.DUMMYFUNCTION("""COMPUTED_VALUE"""),1010.0)</f>
        <v>1010</v>
      </c>
      <c r="H432" s="1">
        <f>IFERROR(__xludf.DUMMYFUNCTION("""COMPUTED_VALUE"""),10.0)</f>
        <v>10</v>
      </c>
      <c r="I432" s="1">
        <f>IFERROR(__xludf.DUMMYFUNCTION("""COMPUTED_VALUE"""),20.0)</f>
        <v>20</v>
      </c>
      <c r="J432" s="1">
        <f>IFERROR(__xludf.DUMMYFUNCTION("""COMPUTED_VALUE"""),15.0)</f>
        <v>15</v>
      </c>
      <c r="K432" s="1">
        <f>IFERROR(__xludf.DUMMYFUNCTION("""COMPUTED_VALUE"""),100.0)</f>
        <v>100</v>
      </c>
      <c r="L432" s="1">
        <f>IFERROR(__xludf.DUMMYFUNCTION("""COMPUTED_VALUE"""),100.0)</f>
        <v>100</v>
      </c>
      <c r="M432" s="1" t="str">
        <f>IFERROR(__xludf.DUMMYFUNCTION("""COMPUTED_VALUE"""),"Fire:Immune, Water:Immune, Instant Death:Immune, Banishment:Immune, ")</f>
        <v>Fire:Immune, Water:Immune, Instant Death:Immune, Banishment:Immune, </v>
      </c>
      <c r="N432" s="1" t="str">
        <f>IFERROR(__xludf.DUMMYFUNCTION("""COMPUTED_VALUE"""),"")</f>
        <v/>
      </c>
      <c r="O432" s="1"/>
      <c r="P432" s="1"/>
      <c r="Q432" s="1"/>
      <c r="R432" s="1"/>
      <c r="S432" s="1"/>
      <c r="T432" s="1"/>
      <c r="U432" s="1"/>
      <c r="V432" s="1"/>
      <c r="W432" s="1"/>
      <c r="X432" s="1"/>
      <c r="Y432" s="1"/>
      <c r="Z432" s="1"/>
      <c r="AA432" s="1"/>
      <c r="AB432" s="1"/>
      <c r="AC432" s="1"/>
      <c r="AD432" s="1"/>
      <c r="AE432" s="1"/>
      <c r="AF432" s="1"/>
      <c r="AG432" s="1"/>
      <c r="AH432" s="1"/>
      <c r="AI432" s="1"/>
      <c r="AJ432" s="1" t="str">
        <f>IFERROR(__xludf.DUMMYFUNCTION("""COMPUTED_VALUE"""),"Greater Dragon's Breath")</f>
        <v>Greater Dragon's Breath</v>
      </c>
      <c r="AK432" s="1" t="str">
        <f>IFERROR(__xludf.DUMMYFUNCTION("""COMPUTED_VALUE"""),"Bite")</f>
        <v>Bite</v>
      </c>
      <c r="AL432" s="1" t="str">
        <f>IFERROR(__xludf.DUMMYFUNCTION("""COMPUTED_VALUE"""),"Tail Smash")</f>
        <v>Tail Smash</v>
      </c>
      <c r="AM432" s="1" t="str">
        <f>IFERROR(__xludf.DUMMYFUNCTION("""COMPUTED_VALUE"""),"Claws")</f>
        <v>Claws</v>
      </c>
      <c r="AN432" s="1" t="str">
        <f>IFERROR(__xludf.DUMMYFUNCTION("""COMPUTED_VALUE"""),"Berserk")</f>
        <v>Berserk</v>
      </c>
      <c r="AO432" s="1" t="str">
        <f>IFERROR(__xludf.DUMMYFUNCTION("""COMPUTED_VALUE"""),"Multishot")</f>
        <v>Multishot</v>
      </c>
      <c r="AP432" s="1" t="str">
        <f>IFERROR(__xludf.DUMMYFUNCTION("""COMPUTED_VALUE"""),"Draconic Scream")</f>
        <v>Draconic Scream</v>
      </c>
      <c r="AQ432" s="1" t="str">
        <f>IFERROR(__xludf.DUMMYFUNCTION("""COMPUTED_VALUE"""),"Chaincast")</f>
        <v>Chaincast</v>
      </c>
      <c r="AR432" s="1" t="str">
        <f>IFERROR(__xludf.DUMMYFUNCTION("""COMPUTED_VALUE"""),"Crashing Waves")</f>
        <v>Crashing Waves</v>
      </c>
      <c r="AS432" s="1" t="str">
        <f>IFERROR(__xludf.DUMMYFUNCTION("""COMPUTED_VALUE"""),"Torrential Downpour")</f>
        <v>Torrential Downpour</v>
      </c>
      <c r="AT432" s="1" t="str">
        <f>IFERROR(__xludf.DUMMYFUNCTION("""COMPUTED_VALUE"""),"Deep Freeze")</f>
        <v>Deep Freeze</v>
      </c>
      <c r="AU432" s="1" t="str">
        <f>IFERROR(__xludf.DUMMYFUNCTION("""COMPUTED_VALUE"""),"Celestial Wrath")</f>
        <v>Celestial Wrath</v>
      </c>
      <c r="AV432" s="1"/>
      <c r="AW432" s="1"/>
      <c r="AX432" s="1"/>
      <c r="AY432" s="1"/>
      <c r="AZ432" s="1"/>
      <c r="BA432" s="1"/>
      <c r="BB432" s="1"/>
      <c r="BC432" s="1"/>
      <c r="BD432" s="1">
        <f>IFERROR(__xludf.DUMMYFUNCTION("""COMPUTED_VALUE"""),20.0)</f>
        <v>20</v>
      </c>
      <c r="BE432" s="9">
        <f>IFERROR(__xludf.DUMMYFUNCTION("""COMPUTED_VALUE"""),10.0)</f>
        <v>10</v>
      </c>
      <c r="BF432" s="1" t="str">
        <f>IFERROR(__xludf.DUMMYFUNCTION("""COMPUTED_VALUE"""),"Unaffected by any spells affecting this creature
Dragons Luck II: +10 can be added to this mobs d20 rolls.")</f>
        <v>Unaffected by any spells affecting this creature
Dragons Luck II: +10 can be added to this mobs d20 rolls.</v>
      </c>
      <c r="BG432" s="1" t="str">
        <f>IFERROR(__xludf.DUMMYFUNCTION("""COMPUTED_VALUE"""),"All")</f>
        <v>All</v>
      </c>
      <c r="BH432" s="1" t="str">
        <f>IFERROR(__xludf.DUMMYFUNCTION("""COMPUTED_VALUE"""),"Solreach")</f>
        <v>Solreach</v>
      </c>
      <c r="BI432" s="1"/>
      <c r="BJ432" s="1"/>
      <c r="BK432" s="1"/>
      <c r="BL432" s="1" t="b">
        <f>IFERROR(__xludf.DUMMYFUNCTION("""COMPUTED_VALUE"""),FALSE)</f>
        <v>0</v>
      </c>
      <c r="BM432" s="1"/>
      <c r="BN432" s="1"/>
      <c r="BO432" s="1"/>
      <c r="BP432" s="1"/>
      <c r="BQ432" s="1"/>
    </row>
    <row r="433" ht="15.75" customHeight="1">
      <c r="A433" s="1" t="str">
        <f>IFERROR(__xludf.DUMMYFUNCTION("""COMPUTED_VALUE"""),"Divine Astral Dragon")</f>
        <v>Divine Astral Dragon</v>
      </c>
      <c r="B433" s="1">
        <f>IFERROR(__xludf.DUMMYFUNCTION("""COMPUTED_VALUE"""),1.0)</f>
        <v>1</v>
      </c>
      <c r="C433" s="1"/>
      <c r="D433" s="1" t="str">
        <f>IFERROR(__xludf.DUMMYFUNCTION("""COMPUTED_VALUE"""),"Draconic")</f>
        <v>Draconic</v>
      </c>
      <c r="E433" s="1">
        <f>IFERROR(__xludf.DUMMYFUNCTION("""COMPUTED_VALUE"""),1010.0)</f>
        <v>1010</v>
      </c>
      <c r="F433" s="7">
        <f>IFERROR(__xludf.DUMMYFUNCTION("""COMPUTED_VALUE"""),1010.0)</f>
        <v>1010</v>
      </c>
      <c r="G433" s="1">
        <f>IFERROR(__xludf.DUMMYFUNCTION("""COMPUTED_VALUE"""),1010.0)</f>
        <v>1010</v>
      </c>
      <c r="H433" s="1">
        <f>IFERROR(__xludf.DUMMYFUNCTION("""COMPUTED_VALUE"""),10.0)</f>
        <v>10</v>
      </c>
      <c r="I433" s="1">
        <f>IFERROR(__xludf.DUMMYFUNCTION("""COMPUTED_VALUE"""),20.0)</f>
        <v>20</v>
      </c>
      <c r="J433" s="1">
        <f>IFERROR(__xludf.DUMMYFUNCTION("""COMPUTED_VALUE"""),20.0)</f>
        <v>20</v>
      </c>
      <c r="K433" s="1">
        <f>IFERROR(__xludf.DUMMYFUNCTION("""COMPUTED_VALUE"""),100.0)</f>
        <v>100</v>
      </c>
      <c r="L433" s="1">
        <f>IFERROR(__xludf.DUMMYFUNCTION("""COMPUTED_VALUE"""),100.0)</f>
        <v>100</v>
      </c>
      <c r="M433" s="1" t="str">
        <f>IFERROR(__xludf.DUMMYFUNCTION("""COMPUTED_VALUE"""),"Astral:Immune, Instant Death:Immune, Banishment:Immune, ")</f>
        <v>Astral:Immune, Instant Death:Immune, Banishment:Immune, </v>
      </c>
      <c r="N433" s="1" t="str">
        <f>IFERROR(__xludf.DUMMYFUNCTION("""COMPUTED_VALUE"""),"Celestial:100, ")</f>
        <v>Celestial:100, </v>
      </c>
      <c r="O433" s="1"/>
      <c r="P433" s="1"/>
      <c r="Q433" s="1"/>
      <c r="R433" s="1"/>
      <c r="S433" s="1"/>
      <c r="T433" s="1"/>
      <c r="U433" s="1"/>
      <c r="V433" s="1"/>
      <c r="W433" s="1"/>
      <c r="X433" s="1"/>
      <c r="Y433" s="1"/>
      <c r="Z433" s="1"/>
      <c r="AA433" s="1"/>
      <c r="AB433" s="1"/>
      <c r="AC433" s="1"/>
      <c r="AD433" s="1"/>
      <c r="AE433" s="1"/>
      <c r="AF433" s="1"/>
      <c r="AG433" s="1"/>
      <c r="AH433" s="1"/>
      <c r="AI433" s="1"/>
      <c r="AJ433" s="1" t="str">
        <f>IFERROR(__xludf.DUMMYFUNCTION("""COMPUTED_VALUE"""),"Divine Dragon's Breath")</f>
        <v>Divine Dragon's Breath</v>
      </c>
      <c r="AK433" s="1" t="str">
        <f>IFERROR(__xludf.DUMMYFUNCTION("""COMPUTED_VALUE"""),"Bite")</f>
        <v>Bite</v>
      </c>
      <c r="AL433" s="1" t="str">
        <f>IFERROR(__xludf.DUMMYFUNCTION("""COMPUTED_VALUE"""),"Tail Smash")</f>
        <v>Tail Smash</v>
      </c>
      <c r="AM433" s="1" t="str">
        <f>IFERROR(__xludf.DUMMYFUNCTION("""COMPUTED_VALUE"""),"Claws")</f>
        <v>Claws</v>
      </c>
      <c r="AN433" s="1" t="str">
        <f>IFERROR(__xludf.DUMMYFUNCTION("""COMPUTED_VALUE"""),"Berserk")</f>
        <v>Berserk</v>
      </c>
      <c r="AO433" s="1" t="str">
        <f>IFERROR(__xludf.DUMMYFUNCTION("""COMPUTED_VALUE"""),"Multishot")</f>
        <v>Multishot</v>
      </c>
      <c r="AP433" s="1" t="str">
        <f>IFERROR(__xludf.DUMMYFUNCTION("""COMPUTED_VALUE"""),"Draconic Scream")</f>
        <v>Draconic Scream</v>
      </c>
      <c r="AQ433" s="1" t="str">
        <f>IFERROR(__xludf.DUMMYFUNCTION("""COMPUTED_VALUE"""),"Chaincast")</f>
        <v>Chaincast</v>
      </c>
      <c r="AR433" s="1" t="str">
        <f>IFERROR(__xludf.DUMMYFUNCTION("""COMPUTED_VALUE"""),"Black Hole")</f>
        <v>Black Hole</v>
      </c>
      <c r="AS433" s="1" t="str">
        <f>IFERROR(__xludf.DUMMYFUNCTION("""COMPUTED_VALUE"""),"Planetary Meteor Storm")</f>
        <v>Planetary Meteor Storm</v>
      </c>
      <c r="AT433" s="1" t="str">
        <f>IFERROR(__xludf.DUMMYFUNCTION("""COMPUTED_VALUE"""),"Lunar Ward")</f>
        <v>Lunar Ward</v>
      </c>
      <c r="AU433" s="1" t="str">
        <f>IFERROR(__xludf.DUMMYFUNCTION("""COMPUTED_VALUE"""),"Solar Ward")</f>
        <v>Solar Ward</v>
      </c>
      <c r="AV433" s="1" t="str">
        <f>IFERROR(__xludf.DUMMYFUNCTION("""COMPUTED_VALUE"""),"Celestial Wrath")</f>
        <v>Celestial Wrath</v>
      </c>
      <c r="AW433" s="1"/>
      <c r="AX433" s="1"/>
      <c r="AY433" s="1"/>
      <c r="AZ433" s="1"/>
      <c r="BA433" s="1"/>
      <c r="BB433" s="1"/>
      <c r="BC433" s="1"/>
      <c r="BD433" s="1">
        <f>IFERROR(__xludf.DUMMYFUNCTION("""COMPUTED_VALUE"""),20.0)</f>
        <v>20</v>
      </c>
      <c r="BE433" s="9">
        <f>IFERROR(__xludf.DUMMYFUNCTION("""COMPUTED_VALUE"""),10.0)</f>
        <v>10</v>
      </c>
      <c r="BF433" s="1" t="str">
        <f>IFERROR(__xludf.DUMMYFUNCTION("""COMPUTED_VALUE"""),"Unaffected by any spells affecting this creature
Dragons Luck II: +10 can be added to this mobs d20 rolls.")</f>
        <v>Unaffected by any spells affecting this creature
Dragons Luck II: +10 can be added to this mobs d20 rolls.</v>
      </c>
      <c r="BG433" s="1" t="str">
        <f>IFERROR(__xludf.DUMMYFUNCTION("""COMPUTED_VALUE"""),"All")</f>
        <v>All</v>
      </c>
      <c r="BH433" s="1" t="str">
        <f>IFERROR(__xludf.DUMMYFUNCTION("""COMPUTED_VALUE"""),"Solreach")</f>
        <v>Solreach</v>
      </c>
      <c r="BI433" s="1"/>
      <c r="BJ433" s="1"/>
      <c r="BK433" s="1"/>
      <c r="BL433" s="1" t="b">
        <f>IFERROR(__xludf.DUMMYFUNCTION("""COMPUTED_VALUE"""),FALSE)</f>
        <v>0</v>
      </c>
      <c r="BM433" s="1"/>
      <c r="BN433" s="1"/>
      <c r="BO433" s="1"/>
      <c r="BP433" s="1"/>
      <c r="BQ433" s="1"/>
    </row>
    <row r="434" ht="15.75" customHeight="1">
      <c r="A434" s="1" t="str">
        <f>IFERROR(__xludf.DUMMYFUNCTION("""COMPUTED_VALUE"""),"Divine Celestial Dragon")</f>
        <v>Divine Celestial Dragon</v>
      </c>
      <c r="B434" s="1">
        <f>IFERROR(__xludf.DUMMYFUNCTION("""COMPUTED_VALUE"""),1.0)</f>
        <v>1</v>
      </c>
      <c r="C434" s="1"/>
      <c r="D434" s="1" t="str">
        <f>IFERROR(__xludf.DUMMYFUNCTION("""COMPUTED_VALUE"""),"Draconic")</f>
        <v>Draconic</v>
      </c>
      <c r="E434" s="1">
        <f>IFERROR(__xludf.DUMMYFUNCTION("""COMPUTED_VALUE"""),1010.0)</f>
        <v>1010</v>
      </c>
      <c r="F434" s="7">
        <f>IFERROR(__xludf.DUMMYFUNCTION("""COMPUTED_VALUE"""),1010.0)</f>
        <v>1010</v>
      </c>
      <c r="G434" s="1">
        <f>IFERROR(__xludf.DUMMYFUNCTION("""COMPUTED_VALUE"""),1010.0)</f>
        <v>1010</v>
      </c>
      <c r="H434" s="1">
        <f>IFERROR(__xludf.DUMMYFUNCTION("""COMPUTED_VALUE"""),10.0)</f>
        <v>10</v>
      </c>
      <c r="I434" s="1">
        <f>IFERROR(__xludf.DUMMYFUNCTION("""COMPUTED_VALUE"""),20.0)</f>
        <v>20</v>
      </c>
      <c r="J434" s="1">
        <f>IFERROR(__xludf.DUMMYFUNCTION("""COMPUTED_VALUE"""),20.0)</f>
        <v>20</v>
      </c>
      <c r="K434" s="1">
        <f>IFERROR(__xludf.DUMMYFUNCTION("""COMPUTED_VALUE"""),100.0)</f>
        <v>100</v>
      </c>
      <c r="L434" s="1">
        <f>IFERROR(__xludf.DUMMYFUNCTION("""COMPUTED_VALUE"""),100.0)</f>
        <v>100</v>
      </c>
      <c r="M434" s="1" t="str">
        <f>IFERROR(__xludf.DUMMYFUNCTION("""COMPUTED_VALUE"""),"Celestial:Immune, Instant Death:Immune, Banishment:Immune, ")</f>
        <v>Celestial:Immune, Instant Death:Immune, Banishment:Immune, </v>
      </c>
      <c r="N434" s="1" t="str">
        <f>IFERROR(__xludf.DUMMYFUNCTION("""COMPUTED_VALUE"""),"Astral:100, ")</f>
        <v>Astral:100, </v>
      </c>
      <c r="O434" s="1"/>
      <c r="P434" s="1"/>
      <c r="Q434" s="1"/>
      <c r="R434" s="1"/>
      <c r="S434" s="1"/>
      <c r="T434" s="1"/>
      <c r="U434" s="1"/>
      <c r="V434" s="1"/>
      <c r="W434" s="1"/>
      <c r="X434" s="1"/>
      <c r="Y434" s="1"/>
      <c r="Z434" s="1"/>
      <c r="AA434" s="1"/>
      <c r="AB434" s="1"/>
      <c r="AC434" s="1"/>
      <c r="AD434" s="1"/>
      <c r="AE434" s="1"/>
      <c r="AF434" s="1"/>
      <c r="AG434" s="1"/>
      <c r="AH434" s="1"/>
      <c r="AI434" s="1"/>
      <c r="AJ434" s="1" t="str">
        <f>IFERROR(__xludf.DUMMYFUNCTION("""COMPUTED_VALUE"""),"Divine Dragon's Breath")</f>
        <v>Divine Dragon's Breath</v>
      </c>
      <c r="AK434" s="1" t="str">
        <f>IFERROR(__xludf.DUMMYFUNCTION("""COMPUTED_VALUE"""),"Bite")</f>
        <v>Bite</v>
      </c>
      <c r="AL434" s="1" t="str">
        <f>IFERROR(__xludf.DUMMYFUNCTION("""COMPUTED_VALUE"""),"Tail Smash")</f>
        <v>Tail Smash</v>
      </c>
      <c r="AM434" s="1" t="str">
        <f>IFERROR(__xludf.DUMMYFUNCTION("""COMPUTED_VALUE"""),"Claws")</f>
        <v>Claws</v>
      </c>
      <c r="AN434" s="1" t="str">
        <f>IFERROR(__xludf.DUMMYFUNCTION("""COMPUTED_VALUE"""),"Berserk")</f>
        <v>Berserk</v>
      </c>
      <c r="AO434" s="1" t="str">
        <f>IFERROR(__xludf.DUMMYFUNCTION("""COMPUTED_VALUE"""),"Multishot")</f>
        <v>Multishot</v>
      </c>
      <c r="AP434" s="1" t="str">
        <f>IFERROR(__xludf.DUMMYFUNCTION("""COMPUTED_VALUE"""),"Draconic Scream")</f>
        <v>Draconic Scream</v>
      </c>
      <c r="AQ434" s="1" t="str">
        <f>IFERROR(__xludf.DUMMYFUNCTION("""COMPUTED_VALUE"""),"Chaincast")</f>
        <v>Chaincast</v>
      </c>
      <c r="AR434" s="1" t="str">
        <f>IFERROR(__xludf.DUMMYFUNCTION("""COMPUTED_VALUE"""),"Mass Destruction")</f>
        <v>Mass Destruction</v>
      </c>
      <c r="AS434" s="1" t="str">
        <f>IFERROR(__xludf.DUMMYFUNCTION("""COMPUTED_VALUE"""),"Vaporize")</f>
        <v>Vaporize</v>
      </c>
      <c r="AT434" s="1" t="str">
        <f>IFERROR(__xludf.DUMMYFUNCTION("""COMPUTED_VALUE"""),"Celestial Wrath")</f>
        <v>Celestial Wrath</v>
      </c>
      <c r="AU434" s="1"/>
      <c r="AV434" s="1"/>
      <c r="AW434" s="1"/>
      <c r="AX434" s="1"/>
      <c r="AY434" s="1"/>
      <c r="AZ434" s="1"/>
      <c r="BA434" s="1"/>
      <c r="BB434" s="1"/>
      <c r="BC434" s="1"/>
      <c r="BD434" s="1">
        <f>IFERROR(__xludf.DUMMYFUNCTION("""COMPUTED_VALUE"""),20.0)</f>
        <v>20</v>
      </c>
      <c r="BE434" s="9">
        <f>IFERROR(__xludf.DUMMYFUNCTION("""COMPUTED_VALUE"""),10.0)</f>
        <v>10</v>
      </c>
      <c r="BF434" s="1" t="str">
        <f>IFERROR(__xludf.DUMMYFUNCTION("""COMPUTED_VALUE"""),"Unaffected by any spells affecting this creature
Dragons Luck II: +10 can be added to this mobs d20 rolls.")</f>
        <v>Unaffected by any spells affecting this creature
Dragons Luck II: +10 can be added to this mobs d20 rolls.</v>
      </c>
      <c r="BG434" s="1" t="str">
        <f>IFERROR(__xludf.DUMMYFUNCTION("""COMPUTED_VALUE"""),"All")</f>
        <v>All</v>
      </c>
      <c r="BH434" s="1" t="str">
        <f>IFERROR(__xludf.DUMMYFUNCTION("""COMPUTED_VALUE"""),"Solreach")</f>
        <v>Solreach</v>
      </c>
      <c r="BI434" s="1"/>
      <c r="BJ434" s="1"/>
      <c r="BK434" s="1"/>
      <c r="BL434" s="1" t="b">
        <f>IFERROR(__xludf.DUMMYFUNCTION("""COMPUTED_VALUE"""),FALSE)</f>
        <v>0</v>
      </c>
      <c r="BM434" s="1"/>
      <c r="BN434" s="1"/>
      <c r="BO434" s="1"/>
      <c r="BP434" s="1"/>
      <c r="BQ434" s="1"/>
    </row>
    <row r="435" ht="15.75" customHeight="1">
      <c r="A435" s="1" t="str">
        <f>IFERROR(__xludf.DUMMYFUNCTION("""COMPUTED_VALUE"""),"Divine Chaos Dragon")</f>
        <v>Divine Chaos Dragon</v>
      </c>
      <c r="B435" s="1">
        <f>IFERROR(__xludf.DUMMYFUNCTION("""COMPUTED_VALUE"""),1.0)</f>
        <v>1</v>
      </c>
      <c r="C435" s="1"/>
      <c r="D435" s="1" t="str">
        <f>IFERROR(__xludf.DUMMYFUNCTION("""COMPUTED_VALUE"""),"Draconic")</f>
        <v>Draconic</v>
      </c>
      <c r="E435" s="1">
        <f>IFERROR(__xludf.DUMMYFUNCTION("""COMPUTED_VALUE"""),1010.0)</f>
        <v>1010</v>
      </c>
      <c r="F435" s="7">
        <f>IFERROR(__xludf.DUMMYFUNCTION("""COMPUTED_VALUE"""),1010.0)</f>
        <v>1010</v>
      </c>
      <c r="G435" s="1">
        <f>IFERROR(__xludf.DUMMYFUNCTION("""COMPUTED_VALUE"""),1010.0)</f>
        <v>1010</v>
      </c>
      <c r="H435" s="1">
        <f>IFERROR(__xludf.DUMMYFUNCTION("""COMPUTED_VALUE"""),10.0)</f>
        <v>10</v>
      </c>
      <c r="I435" s="1">
        <f>IFERROR(__xludf.DUMMYFUNCTION("""COMPUTED_VALUE"""),20.0)</f>
        <v>20</v>
      </c>
      <c r="J435" s="1">
        <f>IFERROR(__xludf.DUMMYFUNCTION("""COMPUTED_VALUE"""),20.0)</f>
        <v>20</v>
      </c>
      <c r="K435" s="1">
        <f>IFERROR(__xludf.DUMMYFUNCTION("""COMPUTED_VALUE"""),100.0)</f>
        <v>100</v>
      </c>
      <c r="L435" s="1">
        <f>IFERROR(__xludf.DUMMYFUNCTION("""COMPUTED_VALUE"""),100.0)</f>
        <v>100</v>
      </c>
      <c r="M435" s="1" t="str">
        <f>IFERROR(__xludf.DUMMYFUNCTION("""COMPUTED_VALUE"""),"Chaos:Immune, Instant Death:Immune, Banishment:Immune, ")</f>
        <v>Chaos:Immune, Instant Death:Immune, Banishment:Immune, </v>
      </c>
      <c r="N435" s="1" t="str">
        <f>IFERROR(__xludf.DUMMYFUNCTION("""COMPUTED_VALUE"""),"Order:100, ")</f>
        <v>Order:100, </v>
      </c>
      <c r="O435" s="1"/>
      <c r="P435" s="1"/>
      <c r="Q435" s="1"/>
      <c r="R435" s="1"/>
      <c r="S435" s="1"/>
      <c r="T435" s="1"/>
      <c r="U435" s="1"/>
      <c r="V435" s="1"/>
      <c r="W435" s="1"/>
      <c r="X435" s="1"/>
      <c r="Y435" s="1"/>
      <c r="Z435" s="1"/>
      <c r="AA435" s="1"/>
      <c r="AB435" s="1"/>
      <c r="AC435" s="1"/>
      <c r="AD435" s="1"/>
      <c r="AE435" s="1"/>
      <c r="AF435" s="1"/>
      <c r="AG435" s="1"/>
      <c r="AH435" s="1"/>
      <c r="AI435" s="1"/>
      <c r="AJ435" s="1" t="str">
        <f>IFERROR(__xludf.DUMMYFUNCTION("""COMPUTED_VALUE"""),"Divine Dragon's Breath")</f>
        <v>Divine Dragon's Breath</v>
      </c>
      <c r="AK435" s="1" t="str">
        <f>IFERROR(__xludf.DUMMYFUNCTION("""COMPUTED_VALUE"""),"Bite")</f>
        <v>Bite</v>
      </c>
      <c r="AL435" s="1" t="str">
        <f>IFERROR(__xludf.DUMMYFUNCTION("""COMPUTED_VALUE"""),"Tail Smash")</f>
        <v>Tail Smash</v>
      </c>
      <c r="AM435" s="1" t="str">
        <f>IFERROR(__xludf.DUMMYFUNCTION("""COMPUTED_VALUE"""),"Claws")</f>
        <v>Claws</v>
      </c>
      <c r="AN435" s="1" t="str">
        <f>IFERROR(__xludf.DUMMYFUNCTION("""COMPUTED_VALUE"""),"Berserk")</f>
        <v>Berserk</v>
      </c>
      <c r="AO435" s="1" t="str">
        <f>IFERROR(__xludf.DUMMYFUNCTION("""COMPUTED_VALUE"""),"Multishot")</f>
        <v>Multishot</v>
      </c>
      <c r="AP435" s="1" t="str">
        <f>IFERROR(__xludf.DUMMYFUNCTION("""COMPUTED_VALUE"""),"Draconic Scream")</f>
        <v>Draconic Scream</v>
      </c>
      <c r="AQ435" s="1" t="str">
        <f>IFERROR(__xludf.DUMMYFUNCTION("""COMPUTED_VALUE"""),"Chaincast")</f>
        <v>Chaincast</v>
      </c>
      <c r="AR435" s="1" t="str">
        <f>IFERROR(__xludf.DUMMYFUNCTION("""COMPUTED_VALUE"""),"Chaos Ward")</f>
        <v>Chaos Ward</v>
      </c>
      <c r="AS435" s="1" t="str">
        <f>IFERROR(__xludf.DUMMYFUNCTION("""COMPUTED_VALUE"""),"Shatter")</f>
        <v>Shatter</v>
      </c>
      <c r="AT435" s="1" t="str">
        <f>IFERROR(__xludf.DUMMYFUNCTION("""COMPUTED_VALUE"""),"Dimensional Quake")</f>
        <v>Dimensional Quake</v>
      </c>
      <c r="AU435" s="1" t="str">
        <f>IFERROR(__xludf.DUMMYFUNCTION("""COMPUTED_VALUE"""),"Dimension Portal")</f>
        <v>Dimension Portal</v>
      </c>
      <c r="AV435" s="1" t="str">
        <f>IFERROR(__xludf.DUMMYFUNCTION("""COMPUTED_VALUE"""),"Damage With A Cost.")</f>
        <v>Damage With A Cost.</v>
      </c>
      <c r="AW435" s="1" t="str">
        <f>IFERROR(__xludf.DUMMYFUNCTION("""COMPUTED_VALUE"""),"Swallow")</f>
        <v>Swallow</v>
      </c>
      <c r="AX435" s="1" t="str">
        <f>IFERROR(__xludf.DUMMYFUNCTION("""COMPUTED_VALUE"""),"Celestial Wrath")</f>
        <v>Celestial Wrath</v>
      </c>
      <c r="AY435" s="1"/>
      <c r="AZ435" s="1"/>
      <c r="BA435" s="1"/>
      <c r="BB435" s="1"/>
      <c r="BC435" s="1"/>
      <c r="BD435" s="1">
        <f>IFERROR(__xludf.DUMMYFUNCTION("""COMPUTED_VALUE"""),20.0)</f>
        <v>20</v>
      </c>
      <c r="BE435" s="9">
        <f>IFERROR(__xludf.DUMMYFUNCTION("""COMPUTED_VALUE"""),10.0)</f>
        <v>10</v>
      </c>
      <c r="BF435" s="1" t="str">
        <f>IFERROR(__xludf.DUMMYFUNCTION("""COMPUTED_VALUE"""),"Unaffected by any spells affecting this creature
Dragons Luck II: +10 can be added to this mobs d20 rolls.")</f>
        <v>Unaffected by any spells affecting this creature
Dragons Luck II: +10 can be added to this mobs d20 rolls.</v>
      </c>
      <c r="BG435" s="1" t="str">
        <f>IFERROR(__xludf.DUMMYFUNCTION("""COMPUTED_VALUE"""),"All")</f>
        <v>All</v>
      </c>
      <c r="BH435" s="1" t="str">
        <f>IFERROR(__xludf.DUMMYFUNCTION("""COMPUTED_VALUE"""),"Solreach")</f>
        <v>Solreach</v>
      </c>
      <c r="BI435" s="1"/>
      <c r="BJ435" s="1"/>
      <c r="BK435" s="1"/>
      <c r="BL435" s="1" t="b">
        <f>IFERROR(__xludf.DUMMYFUNCTION("""COMPUTED_VALUE"""),FALSE)</f>
        <v>0</v>
      </c>
      <c r="BM435" s="1"/>
      <c r="BN435" s="1"/>
      <c r="BO435" s="1"/>
      <c r="BP435" s="1"/>
      <c r="BQ435" s="1"/>
    </row>
    <row r="436" ht="15.75" customHeight="1">
      <c r="A436" s="1" t="str">
        <f>IFERROR(__xludf.DUMMYFUNCTION("""COMPUTED_VALUE"""),"Divine Dark Dragon")</f>
        <v>Divine Dark Dragon</v>
      </c>
      <c r="B436" s="1">
        <f>IFERROR(__xludf.DUMMYFUNCTION("""COMPUTED_VALUE"""),1.0)</f>
        <v>1</v>
      </c>
      <c r="C436" s="1"/>
      <c r="D436" s="1" t="str">
        <f>IFERROR(__xludf.DUMMYFUNCTION("""COMPUTED_VALUE"""),"Draconic")</f>
        <v>Draconic</v>
      </c>
      <c r="E436" s="1">
        <f>IFERROR(__xludf.DUMMYFUNCTION("""COMPUTED_VALUE"""),1010.0)</f>
        <v>1010</v>
      </c>
      <c r="F436" s="7">
        <f>IFERROR(__xludf.DUMMYFUNCTION("""COMPUTED_VALUE"""),1010.0)</f>
        <v>1010</v>
      </c>
      <c r="G436" s="1">
        <f>IFERROR(__xludf.DUMMYFUNCTION("""COMPUTED_VALUE"""),1010.0)</f>
        <v>1010</v>
      </c>
      <c r="H436" s="1">
        <f>IFERROR(__xludf.DUMMYFUNCTION("""COMPUTED_VALUE"""),10.0)</f>
        <v>10</v>
      </c>
      <c r="I436" s="1">
        <f>IFERROR(__xludf.DUMMYFUNCTION("""COMPUTED_VALUE"""),20.0)</f>
        <v>20</v>
      </c>
      <c r="J436" s="1">
        <f>IFERROR(__xludf.DUMMYFUNCTION("""COMPUTED_VALUE"""),20.0)</f>
        <v>20</v>
      </c>
      <c r="K436" s="1">
        <f>IFERROR(__xludf.DUMMYFUNCTION("""COMPUTED_VALUE"""),100.0)</f>
        <v>100</v>
      </c>
      <c r="L436" s="1">
        <f>IFERROR(__xludf.DUMMYFUNCTION("""COMPUTED_VALUE"""),100.0)</f>
        <v>100</v>
      </c>
      <c r="M436" s="1" t="str">
        <f>IFERROR(__xludf.DUMMYFUNCTION("""COMPUTED_VALUE"""),"Dark:Immune, Instant Death:Immune, Banishment:Immune, ")</f>
        <v>Dark:Immune, Instant Death:Immune, Banishment:Immune, </v>
      </c>
      <c r="N436" s="1" t="str">
        <f>IFERROR(__xludf.DUMMYFUNCTION("""COMPUTED_VALUE"""),"Fire:100, Light:100, ")</f>
        <v>Fire:100, Light:100, </v>
      </c>
      <c r="O436" s="1"/>
      <c r="P436" s="1"/>
      <c r="Q436" s="1"/>
      <c r="R436" s="1"/>
      <c r="S436" s="1"/>
      <c r="T436" s="1"/>
      <c r="U436" s="1"/>
      <c r="V436" s="1"/>
      <c r="W436" s="1"/>
      <c r="X436" s="1"/>
      <c r="Y436" s="1"/>
      <c r="Z436" s="1"/>
      <c r="AA436" s="1"/>
      <c r="AB436" s="1"/>
      <c r="AC436" s="1"/>
      <c r="AD436" s="1"/>
      <c r="AE436" s="1"/>
      <c r="AF436" s="1"/>
      <c r="AG436" s="1"/>
      <c r="AH436" s="1"/>
      <c r="AI436" s="1"/>
      <c r="AJ436" s="1" t="str">
        <f>IFERROR(__xludf.DUMMYFUNCTION("""COMPUTED_VALUE"""),"Divine Dragon's Breath")</f>
        <v>Divine Dragon's Breath</v>
      </c>
      <c r="AK436" s="1" t="str">
        <f>IFERROR(__xludf.DUMMYFUNCTION("""COMPUTED_VALUE"""),"Bite")</f>
        <v>Bite</v>
      </c>
      <c r="AL436" s="1" t="str">
        <f>IFERROR(__xludf.DUMMYFUNCTION("""COMPUTED_VALUE"""),"Tail Smash")</f>
        <v>Tail Smash</v>
      </c>
      <c r="AM436" s="1" t="str">
        <f>IFERROR(__xludf.DUMMYFUNCTION("""COMPUTED_VALUE"""),"Claws")</f>
        <v>Claws</v>
      </c>
      <c r="AN436" s="1" t="str">
        <f>IFERROR(__xludf.DUMMYFUNCTION("""COMPUTED_VALUE"""),"Berserk")</f>
        <v>Berserk</v>
      </c>
      <c r="AO436" s="1" t="str">
        <f>IFERROR(__xludf.DUMMYFUNCTION("""COMPUTED_VALUE"""),"Multishot")</f>
        <v>Multishot</v>
      </c>
      <c r="AP436" s="1" t="str">
        <f>IFERROR(__xludf.DUMMYFUNCTION("""COMPUTED_VALUE"""),"Draconic Scream")</f>
        <v>Draconic Scream</v>
      </c>
      <c r="AQ436" s="1" t="str">
        <f>IFERROR(__xludf.DUMMYFUNCTION("""COMPUTED_VALUE"""),"Chaincast")</f>
        <v>Chaincast</v>
      </c>
      <c r="AR436" s="1" t="str">
        <f>IFERROR(__xludf.DUMMYFUNCTION("""COMPUTED_VALUE"""),"Darkest Abyss")</f>
        <v>Darkest Abyss</v>
      </c>
      <c r="AS436" s="1" t="str">
        <f>IFERROR(__xludf.DUMMYFUNCTION("""COMPUTED_VALUE"""),"Devolve")</f>
        <v>Devolve</v>
      </c>
      <c r="AT436" s="1" t="str">
        <f>IFERROR(__xludf.DUMMYFUNCTION("""COMPUTED_VALUE"""),"Dark Curse")</f>
        <v>Dark Curse</v>
      </c>
      <c r="AU436" s="1" t="str">
        <f>IFERROR(__xludf.DUMMYFUNCTION("""COMPUTED_VALUE"""),"Celestial Wrath")</f>
        <v>Celestial Wrath</v>
      </c>
      <c r="AV436" s="1"/>
      <c r="AW436" s="1"/>
      <c r="AX436" s="1"/>
      <c r="AY436" s="1"/>
      <c r="AZ436" s="1"/>
      <c r="BA436" s="1"/>
      <c r="BB436" s="1"/>
      <c r="BC436" s="1"/>
      <c r="BD436" s="1">
        <f>IFERROR(__xludf.DUMMYFUNCTION("""COMPUTED_VALUE"""),20.0)</f>
        <v>20</v>
      </c>
      <c r="BE436" s="9">
        <f>IFERROR(__xludf.DUMMYFUNCTION("""COMPUTED_VALUE"""),10.0)</f>
        <v>10</v>
      </c>
      <c r="BF436" s="1" t="str">
        <f>IFERROR(__xludf.DUMMYFUNCTION("""COMPUTED_VALUE"""),"Unaffected by any spells affecting this creature
Dragons Luck II: +10 can be added to this mobs d20 rolls.")</f>
        <v>Unaffected by any spells affecting this creature
Dragons Luck II: +10 can be added to this mobs d20 rolls.</v>
      </c>
      <c r="BG436" s="1" t="str">
        <f>IFERROR(__xludf.DUMMYFUNCTION("""COMPUTED_VALUE"""),"All")</f>
        <v>All</v>
      </c>
      <c r="BH436" s="1" t="str">
        <f>IFERROR(__xludf.DUMMYFUNCTION("""COMPUTED_VALUE"""),"Solreach")</f>
        <v>Solreach</v>
      </c>
      <c r="BI436" s="1"/>
      <c r="BJ436" s="1"/>
      <c r="BK436" s="1"/>
      <c r="BL436" s="1" t="b">
        <f>IFERROR(__xludf.DUMMYFUNCTION("""COMPUTED_VALUE"""),FALSE)</f>
        <v>0</v>
      </c>
      <c r="BM436" s="1"/>
      <c r="BN436" s="1"/>
      <c r="BO436" s="1"/>
      <c r="BP436" s="1"/>
      <c r="BQ436" s="1"/>
    </row>
    <row r="437" ht="15.75" customHeight="1">
      <c r="A437" s="1" t="str">
        <f>IFERROR(__xludf.DUMMYFUNCTION("""COMPUTED_VALUE"""),"Divine Delta Dragon")</f>
        <v>Divine Delta Dragon</v>
      </c>
      <c r="B437" s="1">
        <f>IFERROR(__xludf.DUMMYFUNCTION("""COMPUTED_VALUE"""),1.0)</f>
        <v>1</v>
      </c>
      <c r="C437" s="1"/>
      <c r="D437" s="1" t="str">
        <f>IFERROR(__xludf.DUMMYFUNCTION("""COMPUTED_VALUE"""),"Draconic")</f>
        <v>Draconic</v>
      </c>
      <c r="E437" s="1">
        <f>IFERROR(__xludf.DUMMYFUNCTION("""COMPUTED_VALUE"""),1010.0)</f>
        <v>1010</v>
      </c>
      <c r="F437" s="7">
        <f>IFERROR(__xludf.DUMMYFUNCTION("""COMPUTED_VALUE"""),1010.0)</f>
        <v>1010</v>
      </c>
      <c r="G437" s="1">
        <f>IFERROR(__xludf.DUMMYFUNCTION("""COMPUTED_VALUE"""),1010.0)</f>
        <v>1010</v>
      </c>
      <c r="H437" s="1">
        <f>IFERROR(__xludf.DUMMYFUNCTION("""COMPUTED_VALUE"""),10.0)</f>
        <v>10</v>
      </c>
      <c r="I437" s="1">
        <f>IFERROR(__xludf.DUMMYFUNCTION("""COMPUTED_VALUE"""),20.0)</f>
        <v>20</v>
      </c>
      <c r="J437" s="1">
        <f>IFERROR(__xludf.DUMMYFUNCTION("""COMPUTED_VALUE"""),20.0)</f>
        <v>20</v>
      </c>
      <c r="K437" s="1">
        <f>IFERROR(__xludf.DUMMYFUNCTION("""COMPUTED_VALUE"""),100.0)</f>
        <v>100</v>
      </c>
      <c r="L437" s="1">
        <f>IFERROR(__xludf.DUMMYFUNCTION("""COMPUTED_VALUE"""),100.0)</f>
        <v>100</v>
      </c>
      <c r="M437" s="1" t="str">
        <f>IFERROR(__xludf.DUMMYFUNCTION("""COMPUTED_VALUE"""),"Instant Death:Immune, Banishment:Immune, ")</f>
        <v>Instant Death:Immune, Banishment:Immune, </v>
      </c>
      <c r="N437" s="1" t="str">
        <f>IFERROR(__xludf.DUMMYFUNCTION("""COMPUTED_VALUE"""),"")</f>
        <v/>
      </c>
      <c r="O437" s="1"/>
      <c r="P437" s="1"/>
      <c r="Q437" s="1"/>
      <c r="R437" s="1"/>
      <c r="S437" s="1"/>
      <c r="T437" s="1"/>
      <c r="U437" s="1"/>
      <c r="V437" s="1"/>
      <c r="W437" s="1"/>
      <c r="X437" s="1"/>
      <c r="Y437" s="1"/>
      <c r="Z437" s="1"/>
      <c r="AA437" s="1"/>
      <c r="AB437" s="1"/>
      <c r="AC437" s="1"/>
      <c r="AD437" s="1"/>
      <c r="AE437" s="1"/>
      <c r="AF437" s="1"/>
      <c r="AG437" s="1"/>
      <c r="AH437" s="1"/>
      <c r="AI437" s="1"/>
      <c r="AJ437" s="1" t="str">
        <f>IFERROR(__xludf.DUMMYFUNCTION("""COMPUTED_VALUE"""),"Divine Dragon's Breath")</f>
        <v>Divine Dragon's Breath</v>
      </c>
      <c r="AK437" s="1" t="str">
        <f>IFERROR(__xludf.DUMMYFUNCTION("""COMPUTED_VALUE"""),"Bite")</f>
        <v>Bite</v>
      </c>
      <c r="AL437" s="1" t="str">
        <f>IFERROR(__xludf.DUMMYFUNCTION("""COMPUTED_VALUE"""),"Tail Smash")</f>
        <v>Tail Smash</v>
      </c>
      <c r="AM437" s="1" t="str">
        <f>IFERROR(__xludf.DUMMYFUNCTION("""COMPUTED_VALUE"""),"Claws")</f>
        <v>Claws</v>
      </c>
      <c r="AN437" s="1" t="str">
        <f>IFERROR(__xludf.DUMMYFUNCTION("""COMPUTED_VALUE"""),"Berserk")</f>
        <v>Berserk</v>
      </c>
      <c r="AO437" s="1" t="str">
        <f>IFERROR(__xludf.DUMMYFUNCTION("""COMPUTED_VALUE"""),"Multishot")</f>
        <v>Multishot</v>
      </c>
      <c r="AP437" s="1" t="str">
        <f>IFERROR(__xludf.DUMMYFUNCTION("""COMPUTED_VALUE"""),"Draconic Scream")</f>
        <v>Draconic Scream</v>
      </c>
      <c r="AQ437" s="1" t="str">
        <f>IFERROR(__xludf.DUMMYFUNCTION("""COMPUTED_VALUE"""),"Chaincast")</f>
        <v>Chaincast</v>
      </c>
      <c r="AR437" s="1" t="str">
        <f>IFERROR(__xludf.DUMMYFUNCTION("""COMPUTED_VALUE"""),"Delta World")</f>
        <v>Delta World</v>
      </c>
      <c r="AS437" s="1" t="str">
        <f>IFERROR(__xludf.DUMMYFUNCTION("""COMPUTED_VALUE"""),"Chaincast")</f>
        <v>Chaincast</v>
      </c>
      <c r="AT437" s="1" t="str">
        <f>IFERROR(__xludf.DUMMYFUNCTION("""COMPUTED_VALUE"""),"Delta Rock &amp; Roll")</f>
        <v>Delta Rock &amp; Roll</v>
      </c>
      <c r="AU437" s="1" t="str">
        <f>IFERROR(__xludf.DUMMYFUNCTION("""COMPUTED_VALUE"""),"Elemental Storm")</f>
        <v>Elemental Storm</v>
      </c>
      <c r="AV437" s="1" t="str">
        <f>IFERROR(__xludf.DUMMYFUNCTION("""COMPUTED_VALUE"""),"Dreading Storm")</f>
        <v>Dreading Storm</v>
      </c>
      <c r="AW437" s="1" t="str">
        <f>IFERROR(__xludf.DUMMYFUNCTION("""COMPUTED_VALUE"""),"Stun Negation")</f>
        <v>Stun Negation</v>
      </c>
      <c r="AX437" s="1" t="str">
        <f>IFERROR(__xludf.DUMMYFUNCTION("""COMPUTED_VALUE"""),"Celestial Wrath")</f>
        <v>Celestial Wrath</v>
      </c>
      <c r="AY437" s="1"/>
      <c r="AZ437" s="1"/>
      <c r="BA437" s="1"/>
      <c r="BB437" s="1"/>
      <c r="BC437" s="1"/>
      <c r="BD437" s="1">
        <f>IFERROR(__xludf.DUMMYFUNCTION("""COMPUTED_VALUE"""),20.0)</f>
        <v>20</v>
      </c>
      <c r="BE437" s="9">
        <f>IFERROR(__xludf.DUMMYFUNCTION("""COMPUTED_VALUE"""),10.0)</f>
        <v>10</v>
      </c>
      <c r="BF437" s="1" t="str">
        <f>IFERROR(__xludf.DUMMYFUNCTION("""COMPUTED_VALUE"""),"Unaffected by any spells affecting this creature
Dragons Luck II: +10 can be added to this mobs d20 rolls.")</f>
        <v>Unaffected by any spells affecting this creature
Dragons Luck II: +10 can be added to this mobs d20 rolls.</v>
      </c>
      <c r="BG437" s="1" t="str">
        <f>IFERROR(__xludf.DUMMYFUNCTION("""COMPUTED_VALUE"""),"All")</f>
        <v>All</v>
      </c>
      <c r="BH437" s="1" t="str">
        <f>IFERROR(__xludf.DUMMYFUNCTION("""COMPUTED_VALUE"""),"Solreach")</f>
        <v>Solreach</v>
      </c>
      <c r="BI437" s="1"/>
      <c r="BJ437" s="1"/>
      <c r="BK437" s="1"/>
      <c r="BL437" s="1" t="b">
        <f>IFERROR(__xludf.DUMMYFUNCTION("""COMPUTED_VALUE"""),FALSE)</f>
        <v>0</v>
      </c>
      <c r="BM437" s="1"/>
      <c r="BN437" s="1"/>
      <c r="BO437" s="1"/>
      <c r="BP437" s="1"/>
      <c r="BQ437" s="1"/>
    </row>
    <row r="438" ht="15.75" customHeight="1">
      <c r="A438" s="1" t="str">
        <f>IFERROR(__xludf.DUMMYFUNCTION("""COMPUTED_VALUE"""),"Divine Forest Dragon")</f>
        <v>Divine Forest Dragon</v>
      </c>
      <c r="B438" s="1">
        <f>IFERROR(__xludf.DUMMYFUNCTION("""COMPUTED_VALUE"""),1.0)</f>
        <v>1</v>
      </c>
      <c r="C438" s="1"/>
      <c r="D438" s="1" t="str">
        <f>IFERROR(__xludf.DUMMYFUNCTION("""COMPUTED_VALUE"""),"Draconic")</f>
        <v>Draconic</v>
      </c>
      <c r="E438" s="1">
        <f>IFERROR(__xludf.DUMMYFUNCTION("""COMPUTED_VALUE"""),1010.0)</f>
        <v>1010</v>
      </c>
      <c r="F438" s="7">
        <f>IFERROR(__xludf.DUMMYFUNCTION("""COMPUTED_VALUE"""),1010.0)</f>
        <v>1010</v>
      </c>
      <c r="G438" s="1">
        <f>IFERROR(__xludf.DUMMYFUNCTION("""COMPUTED_VALUE"""),1010.0)</f>
        <v>1010</v>
      </c>
      <c r="H438" s="1">
        <f>IFERROR(__xludf.DUMMYFUNCTION("""COMPUTED_VALUE"""),10.0)</f>
        <v>10</v>
      </c>
      <c r="I438" s="1">
        <f>IFERROR(__xludf.DUMMYFUNCTION("""COMPUTED_VALUE"""),20.0)</f>
        <v>20</v>
      </c>
      <c r="J438" s="1">
        <f>IFERROR(__xludf.DUMMYFUNCTION("""COMPUTED_VALUE"""),20.0)</f>
        <v>20</v>
      </c>
      <c r="K438" s="1">
        <f>IFERROR(__xludf.DUMMYFUNCTION("""COMPUTED_VALUE"""),100.0)</f>
        <v>100</v>
      </c>
      <c r="L438" s="1">
        <f>IFERROR(__xludf.DUMMYFUNCTION("""COMPUTED_VALUE"""),100.0)</f>
        <v>100</v>
      </c>
      <c r="M438" s="1" t="str">
        <f>IFERROR(__xludf.DUMMYFUNCTION("""COMPUTED_VALUE"""),"Nature:Immune, Instant Death:Immune, Banishment:Immune, ")</f>
        <v>Nature:Immune, Instant Death:Immune, Banishment:Immune, </v>
      </c>
      <c r="N438" s="1" t="str">
        <f>IFERROR(__xludf.DUMMYFUNCTION("""COMPUTED_VALUE"""),"Fire:100, Storm:100, ")</f>
        <v>Fire:100, Storm:100, </v>
      </c>
      <c r="O438" s="1"/>
      <c r="P438" s="1"/>
      <c r="Q438" s="1"/>
      <c r="R438" s="1"/>
      <c r="S438" s="1"/>
      <c r="T438" s="1"/>
      <c r="U438" s="1"/>
      <c r="V438" s="1"/>
      <c r="W438" s="1"/>
      <c r="X438" s="1"/>
      <c r="Y438" s="1"/>
      <c r="Z438" s="1"/>
      <c r="AA438" s="1"/>
      <c r="AB438" s="1"/>
      <c r="AC438" s="1"/>
      <c r="AD438" s="1"/>
      <c r="AE438" s="1"/>
      <c r="AF438" s="1"/>
      <c r="AG438" s="1"/>
      <c r="AH438" s="1"/>
      <c r="AI438" s="1"/>
      <c r="AJ438" s="1" t="str">
        <f>IFERROR(__xludf.DUMMYFUNCTION("""COMPUTED_VALUE"""),"Divine Dragon's Breath")</f>
        <v>Divine Dragon's Breath</v>
      </c>
      <c r="AK438" s="1" t="str">
        <f>IFERROR(__xludf.DUMMYFUNCTION("""COMPUTED_VALUE"""),"Bite")</f>
        <v>Bite</v>
      </c>
      <c r="AL438" s="1" t="str">
        <f>IFERROR(__xludf.DUMMYFUNCTION("""COMPUTED_VALUE"""),"Tail Smash")</f>
        <v>Tail Smash</v>
      </c>
      <c r="AM438" s="1" t="str">
        <f>IFERROR(__xludf.DUMMYFUNCTION("""COMPUTED_VALUE"""),"Claws")</f>
        <v>Claws</v>
      </c>
      <c r="AN438" s="1" t="str">
        <f>IFERROR(__xludf.DUMMYFUNCTION("""COMPUTED_VALUE"""),"Berserk")</f>
        <v>Berserk</v>
      </c>
      <c r="AO438" s="1" t="str">
        <f>IFERROR(__xludf.DUMMYFUNCTION("""COMPUTED_VALUE"""),"Multishot")</f>
        <v>Multishot</v>
      </c>
      <c r="AP438" s="1" t="str">
        <f>IFERROR(__xludf.DUMMYFUNCTION("""COMPUTED_VALUE"""),"Draconic Scream")</f>
        <v>Draconic Scream</v>
      </c>
      <c r="AQ438" s="1" t="str">
        <f>IFERROR(__xludf.DUMMYFUNCTION("""COMPUTED_VALUE"""),"Chaincast")</f>
        <v>Chaincast</v>
      </c>
      <c r="AR438" s="1" t="str">
        <f>IFERROR(__xludf.DUMMYFUNCTION("""COMPUTED_VALUE"""),"The Orb of Life")</f>
        <v>The Orb of Life</v>
      </c>
      <c r="AS438" s="1" t="str">
        <f>IFERROR(__xludf.DUMMYFUNCTION("""COMPUTED_VALUE"""),"Regrowth")</f>
        <v>Regrowth</v>
      </c>
      <c r="AT438" s="1" t="str">
        <f>IFERROR(__xludf.DUMMYFUNCTION("""COMPUTED_VALUE"""),"Entangle")</f>
        <v>Entangle</v>
      </c>
      <c r="AU438" s="1" t="str">
        <f>IFERROR(__xludf.DUMMYFUNCTION("""COMPUTED_VALUE"""),"Nature's Embrace")</f>
        <v>Nature's Embrace</v>
      </c>
      <c r="AV438" s="1" t="str">
        <f>IFERROR(__xludf.DUMMYFUNCTION("""COMPUTED_VALUE"""),"Celestial Wrath")</f>
        <v>Celestial Wrath</v>
      </c>
      <c r="AW438" s="1"/>
      <c r="AX438" s="1"/>
      <c r="AY438" s="1"/>
      <c r="AZ438" s="1"/>
      <c r="BA438" s="1"/>
      <c r="BB438" s="1"/>
      <c r="BC438" s="1"/>
      <c r="BD438" s="1">
        <f>IFERROR(__xludf.DUMMYFUNCTION("""COMPUTED_VALUE"""),20.0)</f>
        <v>20</v>
      </c>
      <c r="BE438" s="9">
        <f>IFERROR(__xludf.DUMMYFUNCTION("""COMPUTED_VALUE"""),10.0)</f>
        <v>10</v>
      </c>
      <c r="BF438" s="1" t="str">
        <f>IFERROR(__xludf.DUMMYFUNCTION("""COMPUTED_VALUE"""),"Unaffected by any spells affecting this creature
Dragons Luck II: +10 can be added to this mobs d20 rolls.")</f>
        <v>Unaffected by any spells affecting this creature
Dragons Luck II: +10 can be added to this mobs d20 rolls.</v>
      </c>
      <c r="BG438" s="1" t="str">
        <f>IFERROR(__xludf.DUMMYFUNCTION("""COMPUTED_VALUE"""),"All")</f>
        <v>All</v>
      </c>
      <c r="BH438" s="1" t="str">
        <f>IFERROR(__xludf.DUMMYFUNCTION("""COMPUTED_VALUE"""),"Solreach")</f>
        <v>Solreach</v>
      </c>
      <c r="BI438" s="1"/>
      <c r="BJ438" s="1"/>
      <c r="BK438" s="1"/>
      <c r="BL438" s="1" t="b">
        <f>IFERROR(__xludf.DUMMYFUNCTION("""COMPUTED_VALUE"""),FALSE)</f>
        <v>0</v>
      </c>
      <c r="BM438" s="1"/>
      <c r="BN438" s="1"/>
      <c r="BO438" s="1"/>
      <c r="BP438" s="1"/>
      <c r="BQ438" s="1"/>
    </row>
    <row r="439" ht="15.75" customHeight="1">
      <c r="A439" s="1" t="str">
        <f>IFERROR(__xludf.DUMMYFUNCTION("""COMPUTED_VALUE"""),"Divine Frost Dragon")</f>
        <v>Divine Frost Dragon</v>
      </c>
      <c r="B439" s="1">
        <f>IFERROR(__xludf.DUMMYFUNCTION("""COMPUTED_VALUE"""),1.0)</f>
        <v>1</v>
      </c>
      <c r="C439" s="1"/>
      <c r="D439" s="1" t="str">
        <f>IFERROR(__xludf.DUMMYFUNCTION("""COMPUTED_VALUE"""),"Draconic")</f>
        <v>Draconic</v>
      </c>
      <c r="E439" s="1">
        <f>IFERROR(__xludf.DUMMYFUNCTION("""COMPUTED_VALUE"""),1010.0)</f>
        <v>1010</v>
      </c>
      <c r="F439" s="7">
        <f>IFERROR(__xludf.DUMMYFUNCTION("""COMPUTED_VALUE"""),1010.0)</f>
        <v>1010</v>
      </c>
      <c r="G439" s="1">
        <f>IFERROR(__xludf.DUMMYFUNCTION("""COMPUTED_VALUE"""),1010.0)</f>
        <v>1010</v>
      </c>
      <c r="H439" s="1">
        <f>IFERROR(__xludf.DUMMYFUNCTION("""COMPUTED_VALUE"""),10.0)</f>
        <v>10</v>
      </c>
      <c r="I439" s="1">
        <f>IFERROR(__xludf.DUMMYFUNCTION("""COMPUTED_VALUE"""),20.0)</f>
        <v>20</v>
      </c>
      <c r="J439" s="1">
        <f>IFERROR(__xludf.DUMMYFUNCTION("""COMPUTED_VALUE"""),20.0)</f>
        <v>20</v>
      </c>
      <c r="K439" s="1">
        <f>IFERROR(__xludf.DUMMYFUNCTION("""COMPUTED_VALUE"""),100.0)</f>
        <v>100</v>
      </c>
      <c r="L439" s="1">
        <f>IFERROR(__xludf.DUMMYFUNCTION("""COMPUTED_VALUE"""),100.0)</f>
        <v>100</v>
      </c>
      <c r="M439" s="1" t="str">
        <f>IFERROR(__xludf.DUMMYFUNCTION("""COMPUTED_VALUE"""),"Water:Immune, Instant Death:Immune, Banishment:Immune, ")</f>
        <v>Water:Immune, Instant Death:Immune, Banishment:Immune, </v>
      </c>
      <c r="N439" s="1" t="str">
        <f>IFERROR(__xludf.DUMMYFUNCTION("""COMPUTED_VALUE"""),"Fire:100, Nature:100, ")</f>
        <v>Fire:100, Nature:100, </v>
      </c>
      <c r="O439" s="1"/>
      <c r="P439" s="1"/>
      <c r="Q439" s="1"/>
      <c r="R439" s="1"/>
      <c r="S439" s="1"/>
      <c r="T439" s="1"/>
      <c r="U439" s="1"/>
      <c r="V439" s="1"/>
      <c r="W439" s="1"/>
      <c r="X439" s="1"/>
      <c r="Y439" s="1"/>
      <c r="Z439" s="1"/>
      <c r="AA439" s="1"/>
      <c r="AB439" s="1"/>
      <c r="AC439" s="1"/>
      <c r="AD439" s="1"/>
      <c r="AE439" s="1"/>
      <c r="AF439" s="1"/>
      <c r="AG439" s="1"/>
      <c r="AH439" s="1"/>
      <c r="AI439" s="1"/>
      <c r="AJ439" s="1" t="str">
        <f>IFERROR(__xludf.DUMMYFUNCTION("""COMPUTED_VALUE"""),"Divine Dragon's Breath")</f>
        <v>Divine Dragon's Breath</v>
      </c>
      <c r="AK439" s="1" t="str">
        <f>IFERROR(__xludf.DUMMYFUNCTION("""COMPUTED_VALUE"""),"Bite")</f>
        <v>Bite</v>
      </c>
      <c r="AL439" s="1" t="str">
        <f>IFERROR(__xludf.DUMMYFUNCTION("""COMPUTED_VALUE"""),"Tail Smash")</f>
        <v>Tail Smash</v>
      </c>
      <c r="AM439" s="1" t="str">
        <f>IFERROR(__xludf.DUMMYFUNCTION("""COMPUTED_VALUE"""),"Claws")</f>
        <v>Claws</v>
      </c>
      <c r="AN439" s="1" t="str">
        <f>IFERROR(__xludf.DUMMYFUNCTION("""COMPUTED_VALUE"""),"Berserk")</f>
        <v>Berserk</v>
      </c>
      <c r="AO439" s="1" t="str">
        <f>IFERROR(__xludf.DUMMYFUNCTION("""COMPUTED_VALUE"""),"Multishot")</f>
        <v>Multishot</v>
      </c>
      <c r="AP439" s="1" t="str">
        <f>IFERROR(__xludf.DUMMYFUNCTION("""COMPUTED_VALUE"""),"Draconic Scream")</f>
        <v>Draconic Scream</v>
      </c>
      <c r="AQ439" s="1" t="str">
        <f>IFERROR(__xludf.DUMMYFUNCTION("""COMPUTED_VALUE"""),"Chaincast")</f>
        <v>Chaincast</v>
      </c>
      <c r="AR439" s="1" t="str">
        <f>IFERROR(__xludf.DUMMYFUNCTION("""COMPUTED_VALUE"""),"Freezing Fog")</f>
        <v>Freezing Fog</v>
      </c>
      <c r="AS439" s="1" t="str">
        <f>IFERROR(__xludf.DUMMYFUNCTION("""COMPUTED_VALUE"""),"HailStorm")</f>
        <v>HailStorm</v>
      </c>
      <c r="AT439" s="1" t="str">
        <f>IFERROR(__xludf.DUMMYFUNCTION("""COMPUTED_VALUE"""),"Blizzard")</f>
        <v>Blizzard</v>
      </c>
      <c r="AU439" s="1" t="str">
        <f>IFERROR(__xludf.DUMMYFUNCTION("""COMPUTED_VALUE"""),"Celestial Wrath")</f>
        <v>Celestial Wrath</v>
      </c>
      <c r="AV439" s="1"/>
      <c r="AW439" s="1"/>
      <c r="AX439" s="1"/>
      <c r="AY439" s="1"/>
      <c r="AZ439" s="1"/>
      <c r="BA439" s="1"/>
      <c r="BB439" s="1"/>
      <c r="BC439" s="1"/>
      <c r="BD439" s="1">
        <f>IFERROR(__xludf.DUMMYFUNCTION("""COMPUTED_VALUE"""),20.0)</f>
        <v>20</v>
      </c>
      <c r="BE439" s="9">
        <f>IFERROR(__xludf.DUMMYFUNCTION("""COMPUTED_VALUE"""),10.0)</f>
        <v>10</v>
      </c>
      <c r="BF439" s="1" t="str">
        <f>IFERROR(__xludf.DUMMYFUNCTION("""COMPUTED_VALUE"""),"Unaffected by any spells affecting this creature
Dragons Luck II: +10 can be added to this mobs d20 rolls.
Immune to freezing")</f>
        <v>Unaffected by any spells affecting this creature
Dragons Luck II: +10 can be added to this mobs d20 rolls.
Immune to freezing</v>
      </c>
      <c r="BG439" s="1" t="str">
        <f>IFERROR(__xludf.DUMMYFUNCTION("""COMPUTED_VALUE"""),"All")</f>
        <v>All</v>
      </c>
      <c r="BH439" s="1" t="str">
        <f>IFERROR(__xludf.DUMMYFUNCTION("""COMPUTED_VALUE"""),"Solreach")</f>
        <v>Solreach</v>
      </c>
      <c r="BI439" s="1"/>
      <c r="BJ439" s="1"/>
      <c r="BK439" s="1"/>
      <c r="BL439" s="1" t="b">
        <f>IFERROR(__xludf.DUMMYFUNCTION("""COMPUTED_VALUE"""),FALSE)</f>
        <v>0</v>
      </c>
      <c r="BM439" s="1"/>
      <c r="BN439" s="1"/>
      <c r="BO439" s="1"/>
      <c r="BP439" s="1"/>
      <c r="BQ439" s="1"/>
    </row>
    <row r="440" ht="15.75" customHeight="1">
      <c r="A440" s="1" t="str">
        <f>IFERROR(__xludf.DUMMYFUNCTION("""COMPUTED_VALUE"""),"Divine Soul Dragon")</f>
        <v>Divine Soul Dragon</v>
      </c>
      <c r="B440" s="1">
        <f>IFERROR(__xludf.DUMMYFUNCTION("""COMPUTED_VALUE"""),1.0)</f>
        <v>1</v>
      </c>
      <c r="C440" s="1"/>
      <c r="D440" s="1" t="str">
        <f>IFERROR(__xludf.DUMMYFUNCTION("""COMPUTED_VALUE"""),"Draconic")</f>
        <v>Draconic</v>
      </c>
      <c r="E440" s="1">
        <f>IFERROR(__xludf.DUMMYFUNCTION("""COMPUTED_VALUE"""),1010.0)</f>
        <v>1010</v>
      </c>
      <c r="F440" s="7">
        <f>IFERROR(__xludf.DUMMYFUNCTION("""COMPUTED_VALUE"""),1010.0)</f>
        <v>1010</v>
      </c>
      <c r="G440" s="1">
        <f>IFERROR(__xludf.DUMMYFUNCTION("""COMPUTED_VALUE"""),1010.0)</f>
        <v>1010</v>
      </c>
      <c r="H440" s="1">
        <f>IFERROR(__xludf.DUMMYFUNCTION("""COMPUTED_VALUE"""),10.0)</f>
        <v>10</v>
      </c>
      <c r="I440" s="1">
        <f>IFERROR(__xludf.DUMMYFUNCTION("""COMPUTED_VALUE"""),20.0)</f>
        <v>20</v>
      </c>
      <c r="J440" s="1">
        <f>IFERROR(__xludf.DUMMYFUNCTION("""COMPUTED_VALUE"""),20.0)</f>
        <v>20</v>
      </c>
      <c r="K440" s="1">
        <f>IFERROR(__xludf.DUMMYFUNCTION("""COMPUTED_VALUE"""),100.0)</f>
        <v>100</v>
      </c>
      <c r="L440" s="1">
        <f>IFERROR(__xludf.DUMMYFUNCTION("""COMPUTED_VALUE"""),100.0)</f>
        <v>100</v>
      </c>
      <c r="M440" s="1" t="str">
        <f>IFERROR(__xludf.DUMMYFUNCTION("""COMPUTED_VALUE"""),"Dark:Immune, Instant Death:Immune, Banishment:Immune, ")</f>
        <v>Dark:Immune, Instant Death:Immune, Banishment:Immune, </v>
      </c>
      <c r="N440" s="1" t="str">
        <f>IFERROR(__xludf.DUMMYFUNCTION("""COMPUTED_VALUE"""),"Fire:100, Light:100, ")</f>
        <v>Fire:100, Light:100, </v>
      </c>
      <c r="O440" s="1"/>
      <c r="P440" s="1"/>
      <c r="Q440" s="1"/>
      <c r="R440" s="1"/>
      <c r="S440" s="1"/>
      <c r="T440" s="1"/>
      <c r="U440" s="1"/>
      <c r="V440" s="1"/>
      <c r="W440" s="1"/>
      <c r="X440" s="1"/>
      <c r="Y440" s="1"/>
      <c r="Z440" s="1"/>
      <c r="AA440" s="1"/>
      <c r="AB440" s="1"/>
      <c r="AC440" s="1"/>
      <c r="AD440" s="1"/>
      <c r="AE440" s="1"/>
      <c r="AF440" s="1"/>
      <c r="AG440" s="1"/>
      <c r="AH440" s="1"/>
      <c r="AI440" s="1"/>
      <c r="AJ440" s="1" t="str">
        <f>IFERROR(__xludf.DUMMYFUNCTION("""COMPUTED_VALUE"""),"Divine Dragon's Breath")</f>
        <v>Divine Dragon's Breath</v>
      </c>
      <c r="AK440" s="1" t="str">
        <f>IFERROR(__xludf.DUMMYFUNCTION("""COMPUTED_VALUE"""),"Bite")</f>
        <v>Bite</v>
      </c>
      <c r="AL440" s="1" t="str">
        <f>IFERROR(__xludf.DUMMYFUNCTION("""COMPUTED_VALUE"""),"Tail Smash")</f>
        <v>Tail Smash</v>
      </c>
      <c r="AM440" s="1" t="str">
        <f>IFERROR(__xludf.DUMMYFUNCTION("""COMPUTED_VALUE"""),"Claws")</f>
        <v>Claws</v>
      </c>
      <c r="AN440" s="1" t="str">
        <f>IFERROR(__xludf.DUMMYFUNCTION("""COMPUTED_VALUE"""),"Berserk")</f>
        <v>Berserk</v>
      </c>
      <c r="AO440" s="1" t="str">
        <f>IFERROR(__xludf.DUMMYFUNCTION("""COMPUTED_VALUE"""),"Multishot")</f>
        <v>Multishot</v>
      </c>
      <c r="AP440" s="1" t="str">
        <f>IFERROR(__xludf.DUMMYFUNCTION("""COMPUTED_VALUE"""),"Draconic Scream")</f>
        <v>Draconic Scream</v>
      </c>
      <c r="AQ440" s="1" t="str">
        <f>IFERROR(__xludf.DUMMYFUNCTION("""COMPUTED_VALUE"""),"Chaincast")</f>
        <v>Chaincast</v>
      </c>
      <c r="AR440" s="1" t="str">
        <f>IFERROR(__xludf.DUMMYFUNCTION("""COMPUTED_VALUE"""),"Spirit Fog")</f>
        <v>Spirit Fog</v>
      </c>
      <c r="AS440" s="1" t="str">
        <f>IFERROR(__xludf.DUMMYFUNCTION("""COMPUTED_VALUE"""),"Rain of Souls")</f>
        <v>Rain of Souls</v>
      </c>
      <c r="AT440" s="1" t="str">
        <f>IFERROR(__xludf.DUMMYFUNCTION("""COMPUTED_VALUE"""),"Soul Trap")</f>
        <v>Soul Trap</v>
      </c>
      <c r="AU440" s="1" t="str">
        <f>IFERROR(__xludf.DUMMYFUNCTION("""COMPUTED_VALUE"""),"Celestial Wrath")</f>
        <v>Celestial Wrath</v>
      </c>
      <c r="AV440" s="1"/>
      <c r="AW440" s="1"/>
      <c r="AX440" s="1"/>
      <c r="AY440" s="1"/>
      <c r="AZ440" s="1"/>
      <c r="BA440" s="1"/>
      <c r="BB440" s="1"/>
      <c r="BC440" s="1"/>
      <c r="BD440" s="1">
        <f>IFERROR(__xludf.DUMMYFUNCTION("""COMPUTED_VALUE"""),20.0)</f>
        <v>20</v>
      </c>
      <c r="BE440" s="9">
        <f>IFERROR(__xludf.DUMMYFUNCTION("""COMPUTED_VALUE"""),10.0)</f>
        <v>10</v>
      </c>
      <c r="BF440" s="1" t="str">
        <f>IFERROR(__xludf.DUMMYFUNCTION("""COMPUTED_VALUE"""),"Unaffected by any spells affecting this creature
Dragons Luck II: +10 can be added to this mobs d20 rolls.
Spirit - Immune to Blood and Possession, Will live on 1HP unless hit with a Light, Spirit, or Celestial attack. Cannot be immune to Light, Spirit,"&amp;" and Celestial.")</f>
        <v>Unaffected by any spells affecting this creature
Dragons Luck II: +10 can be added to this mobs d20 rolls.
Spirit - Immune to Blood and Possession, Will live on 1HP unless hit with a Light, Spirit, or Celestial attack. Cannot be immune to Light, Spirit, and Celestial.</v>
      </c>
      <c r="BG440" s="1" t="str">
        <f>IFERROR(__xludf.DUMMYFUNCTION("""COMPUTED_VALUE"""),"All")</f>
        <v>All</v>
      </c>
      <c r="BH440" s="1" t="str">
        <f>IFERROR(__xludf.DUMMYFUNCTION("""COMPUTED_VALUE"""),"Solreach")</f>
        <v>Solreach</v>
      </c>
      <c r="BI440" s="1"/>
      <c r="BJ440" s="1"/>
      <c r="BK440" s="1"/>
      <c r="BL440" s="1" t="b">
        <f>IFERROR(__xludf.DUMMYFUNCTION("""COMPUTED_VALUE"""),FALSE)</f>
        <v>0</v>
      </c>
      <c r="BM440" s="1"/>
      <c r="BN440" s="1"/>
      <c r="BO440" s="1"/>
      <c r="BP440" s="1"/>
      <c r="BQ440" s="1"/>
    </row>
    <row r="441" ht="15.75" customHeight="1">
      <c r="A441" s="1" t="str">
        <f>IFERROR(__xludf.DUMMYFUNCTION("""COMPUTED_VALUE"""),"Divine Spirit Dragon")</f>
        <v>Divine Spirit Dragon</v>
      </c>
      <c r="B441" s="1">
        <f>IFERROR(__xludf.DUMMYFUNCTION("""COMPUTED_VALUE"""),1.0)</f>
        <v>1</v>
      </c>
      <c r="C441" s="1"/>
      <c r="D441" s="1" t="str">
        <f>IFERROR(__xludf.DUMMYFUNCTION("""COMPUTED_VALUE"""),"Draconic")</f>
        <v>Draconic</v>
      </c>
      <c r="E441" s="1">
        <f>IFERROR(__xludf.DUMMYFUNCTION("""COMPUTED_VALUE"""),1010.0)</f>
        <v>1010</v>
      </c>
      <c r="F441" s="7">
        <f>IFERROR(__xludf.DUMMYFUNCTION("""COMPUTED_VALUE"""),1010.0)</f>
        <v>1010</v>
      </c>
      <c r="G441" s="1">
        <f>IFERROR(__xludf.DUMMYFUNCTION("""COMPUTED_VALUE"""),1010.0)</f>
        <v>1010</v>
      </c>
      <c r="H441" s="1">
        <f>IFERROR(__xludf.DUMMYFUNCTION("""COMPUTED_VALUE"""),10.0)</f>
        <v>10</v>
      </c>
      <c r="I441" s="1">
        <f>IFERROR(__xludf.DUMMYFUNCTION("""COMPUTED_VALUE"""),20.0)</f>
        <v>20</v>
      </c>
      <c r="J441" s="1">
        <f>IFERROR(__xludf.DUMMYFUNCTION("""COMPUTED_VALUE"""),20.0)</f>
        <v>20</v>
      </c>
      <c r="K441" s="1">
        <f>IFERROR(__xludf.DUMMYFUNCTION("""COMPUTED_VALUE"""),100.0)</f>
        <v>100</v>
      </c>
      <c r="L441" s="1">
        <f>IFERROR(__xludf.DUMMYFUNCTION("""COMPUTED_VALUE"""),100.0)</f>
        <v>100</v>
      </c>
      <c r="M441" s="1" t="str">
        <f>IFERROR(__xludf.DUMMYFUNCTION("""COMPUTED_VALUE"""),"Dark:Immune, Instant Death:Immune, Banishment:Immune, ")</f>
        <v>Dark:Immune, Instant Death:Immune, Banishment:Immune, </v>
      </c>
      <c r="N441" s="1" t="str">
        <f>IFERROR(__xludf.DUMMYFUNCTION("""COMPUTED_VALUE"""),"Fire:100, Light:100, ")</f>
        <v>Fire:100, Light:100, </v>
      </c>
      <c r="O441" s="1"/>
      <c r="P441" s="1"/>
      <c r="Q441" s="1"/>
      <c r="R441" s="1"/>
      <c r="S441" s="1"/>
      <c r="T441" s="1"/>
      <c r="U441" s="1"/>
      <c r="V441" s="1"/>
      <c r="W441" s="1"/>
      <c r="X441" s="1"/>
      <c r="Y441" s="1"/>
      <c r="Z441" s="1"/>
      <c r="AA441" s="1"/>
      <c r="AB441" s="1"/>
      <c r="AC441" s="1"/>
      <c r="AD441" s="1"/>
      <c r="AE441" s="1"/>
      <c r="AF441" s="1"/>
      <c r="AG441" s="1"/>
      <c r="AH441" s="1"/>
      <c r="AI441" s="1"/>
      <c r="AJ441" s="1" t="str">
        <f>IFERROR(__xludf.DUMMYFUNCTION("""COMPUTED_VALUE"""),"Divine Dragon's Breath")</f>
        <v>Divine Dragon's Breath</v>
      </c>
      <c r="AK441" s="1" t="str">
        <f>IFERROR(__xludf.DUMMYFUNCTION("""COMPUTED_VALUE"""),"Bite")</f>
        <v>Bite</v>
      </c>
      <c r="AL441" s="1" t="str">
        <f>IFERROR(__xludf.DUMMYFUNCTION("""COMPUTED_VALUE"""),"Tail Smash")</f>
        <v>Tail Smash</v>
      </c>
      <c r="AM441" s="1" t="str">
        <f>IFERROR(__xludf.DUMMYFUNCTION("""COMPUTED_VALUE"""),"Claws")</f>
        <v>Claws</v>
      </c>
      <c r="AN441" s="1" t="str">
        <f>IFERROR(__xludf.DUMMYFUNCTION("""COMPUTED_VALUE"""),"Berserk")</f>
        <v>Berserk</v>
      </c>
      <c r="AO441" s="1" t="str">
        <f>IFERROR(__xludf.DUMMYFUNCTION("""COMPUTED_VALUE"""),"Multishot")</f>
        <v>Multishot</v>
      </c>
      <c r="AP441" s="1" t="str">
        <f>IFERROR(__xludf.DUMMYFUNCTION("""COMPUTED_VALUE"""),"Draconic Scream")</f>
        <v>Draconic Scream</v>
      </c>
      <c r="AQ441" s="1" t="str">
        <f>IFERROR(__xludf.DUMMYFUNCTION("""COMPUTED_VALUE"""),"Chaincast")</f>
        <v>Chaincast</v>
      </c>
      <c r="AR441" s="1" t="str">
        <f>IFERROR(__xludf.DUMMYFUNCTION("""COMPUTED_VALUE"""),"A Deal With The Spirit World")</f>
        <v>A Deal With The Spirit World</v>
      </c>
      <c r="AS441" s="1" t="str">
        <f>IFERROR(__xludf.DUMMYFUNCTION("""COMPUTED_VALUE"""),"Spirit Drain")</f>
        <v>Spirit Drain</v>
      </c>
      <c r="AT441" s="1" t="str">
        <f>IFERROR(__xludf.DUMMYFUNCTION("""COMPUTED_VALUE"""),"Possession")</f>
        <v>Possession</v>
      </c>
      <c r="AU441" s="1" t="str">
        <f>IFERROR(__xludf.DUMMYFUNCTION("""COMPUTED_VALUE"""),"Celestial Wrath")</f>
        <v>Celestial Wrath</v>
      </c>
      <c r="AV441" s="1" t="str">
        <f>IFERROR(__xludf.DUMMYFUNCTION("""COMPUTED_VALUE"""),"Spirit Fog")</f>
        <v>Spirit Fog</v>
      </c>
      <c r="AW441" s="1" t="str">
        <f>IFERROR(__xludf.DUMMYFUNCTION("""COMPUTED_VALUE"""),"Burning Dread")</f>
        <v>Burning Dread</v>
      </c>
      <c r="AX441" s="1"/>
      <c r="AY441" s="1"/>
      <c r="AZ441" s="1"/>
      <c r="BA441" s="1"/>
      <c r="BB441" s="1"/>
      <c r="BC441" s="1"/>
      <c r="BD441" s="1">
        <f>IFERROR(__xludf.DUMMYFUNCTION("""COMPUTED_VALUE"""),20.0)</f>
        <v>20</v>
      </c>
      <c r="BE441" s="9">
        <f>IFERROR(__xludf.DUMMYFUNCTION("""COMPUTED_VALUE"""),10.0)</f>
        <v>10</v>
      </c>
      <c r="BF441" s="1" t="str">
        <f>IFERROR(__xludf.DUMMYFUNCTION("""COMPUTED_VALUE"""),"Unaffected by any spells affecting this creature
Dragons Luck II: +10 can be added to this mobs d20 rolls.
Spirit - Immune to Blood and Possession, Will live on 1HP unless hit with a Light, Spirit, or Celestial attack. Cannot be immune to Light, Spirit,"&amp;" and Celestial.")</f>
        <v>Unaffected by any spells affecting this creature
Dragons Luck II: +10 can be added to this mobs d20 rolls.
Spirit - Immune to Blood and Possession, Will live on 1HP unless hit with a Light, Spirit, or Celestial attack. Cannot be immune to Light, Spirit, and Celestial.</v>
      </c>
      <c r="BG441" s="1" t="str">
        <f>IFERROR(__xludf.DUMMYFUNCTION("""COMPUTED_VALUE"""),"All")</f>
        <v>All</v>
      </c>
      <c r="BH441" s="1" t="str">
        <f>IFERROR(__xludf.DUMMYFUNCTION("""COMPUTED_VALUE"""),"Solreach")</f>
        <v>Solreach</v>
      </c>
      <c r="BI441" s="1"/>
      <c r="BJ441" s="1"/>
      <c r="BK441" s="1"/>
      <c r="BL441" s="1" t="b">
        <f>IFERROR(__xludf.DUMMYFUNCTION("""COMPUTED_VALUE"""),FALSE)</f>
        <v>0</v>
      </c>
      <c r="BM441" s="1"/>
      <c r="BN441" s="1"/>
      <c r="BO441" s="1"/>
      <c r="BP441" s="1"/>
      <c r="BQ441" s="1"/>
    </row>
    <row r="442" ht="15.75" customHeight="1">
      <c r="A442" s="1" t="str">
        <f>IFERROR(__xludf.DUMMYFUNCTION("""COMPUTED_VALUE"""),"Divine Stone Dragon")</f>
        <v>Divine Stone Dragon</v>
      </c>
      <c r="B442" s="1">
        <f>IFERROR(__xludf.DUMMYFUNCTION("""COMPUTED_VALUE"""),1.0)</f>
        <v>1</v>
      </c>
      <c r="C442" s="1"/>
      <c r="D442" s="1" t="str">
        <f>IFERROR(__xludf.DUMMYFUNCTION("""COMPUTED_VALUE"""),"Draconic")</f>
        <v>Draconic</v>
      </c>
      <c r="E442" s="1">
        <f>IFERROR(__xludf.DUMMYFUNCTION("""COMPUTED_VALUE"""),1010.0)</f>
        <v>1010</v>
      </c>
      <c r="F442" s="7">
        <f>IFERROR(__xludf.DUMMYFUNCTION("""COMPUTED_VALUE"""),1010.0)</f>
        <v>1010</v>
      </c>
      <c r="G442" s="1">
        <f>IFERROR(__xludf.DUMMYFUNCTION("""COMPUTED_VALUE"""),1010.0)</f>
        <v>1010</v>
      </c>
      <c r="H442" s="1">
        <f>IFERROR(__xludf.DUMMYFUNCTION("""COMPUTED_VALUE"""),10.0)</f>
        <v>10</v>
      </c>
      <c r="I442" s="1">
        <f>IFERROR(__xludf.DUMMYFUNCTION("""COMPUTED_VALUE"""),20.0)</f>
        <v>20</v>
      </c>
      <c r="J442" s="1">
        <f>IFERROR(__xludf.DUMMYFUNCTION("""COMPUTED_VALUE"""),20.0)</f>
        <v>20</v>
      </c>
      <c r="K442" s="1">
        <f>IFERROR(__xludf.DUMMYFUNCTION("""COMPUTED_VALUE"""),100.0)</f>
        <v>100</v>
      </c>
      <c r="L442" s="1">
        <f>IFERROR(__xludf.DUMMYFUNCTION("""COMPUTED_VALUE"""),100.0)</f>
        <v>100</v>
      </c>
      <c r="M442" s="1" t="str">
        <f>IFERROR(__xludf.DUMMYFUNCTION("""COMPUTED_VALUE"""),"Earth:Immune, Instant Death:Immune, Banishment:Immune, ")</f>
        <v>Earth:Immune, Instant Death:Immune, Banishment:Immune, </v>
      </c>
      <c r="N442" s="1" t="str">
        <f>IFERROR(__xludf.DUMMYFUNCTION("""COMPUTED_VALUE"""),"Water:100, Storm:100, ")</f>
        <v>Water:100, Storm:100, </v>
      </c>
      <c r="O442" s="1"/>
      <c r="P442" s="1"/>
      <c r="Q442" s="1"/>
      <c r="R442" s="1"/>
      <c r="S442" s="1"/>
      <c r="T442" s="1"/>
      <c r="U442" s="1"/>
      <c r="V442" s="1"/>
      <c r="W442" s="1"/>
      <c r="X442" s="1"/>
      <c r="Y442" s="1"/>
      <c r="Z442" s="1"/>
      <c r="AA442" s="1"/>
      <c r="AB442" s="1"/>
      <c r="AC442" s="1"/>
      <c r="AD442" s="1"/>
      <c r="AE442" s="1"/>
      <c r="AF442" s="1"/>
      <c r="AG442" s="1"/>
      <c r="AH442" s="1"/>
      <c r="AI442" s="1"/>
      <c r="AJ442" s="1" t="str">
        <f>IFERROR(__xludf.DUMMYFUNCTION("""COMPUTED_VALUE"""),"Divine Dragon's Breath")</f>
        <v>Divine Dragon's Breath</v>
      </c>
      <c r="AK442" s="1" t="str">
        <f>IFERROR(__xludf.DUMMYFUNCTION("""COMPUTED_VALUE"""),"Bite")</f>
        <v>Bite</v>
      </c>
      <c r="AL442" s="1" t="str">
        <f>IFERROR(__xludf.DUMMYFUNCTION("""COMPUTED_VALUE"""),"Tail Smash")</f>
        <v>Tail Smash</v>
      </c>
      <c r="AM442" s="1" t="str">
        <f>IFERROR(__xludf.DUMMYFUNCTION("""COMPUTED_VALUE"""),"Claws")</f>
        <v>Claws</v>
      </c>
      <c r="AN442" s="1" t="str">
        <f>IFERROR(__xludf.DUMMYFUNCTION("""COMPUTED_VALUE"""),"Berserk")</f>
        <v>Berserk</v>
      </c>
      <c r="AO442" s="1" t="str">
        <f>IFERROR(__xludf.DUMMYFUNCTION("""COMPUTED_VALUE"""),"Multishot")</f>
        <v>Multishot</v>
      </c>
      <c r="AP442" s="1" t="str">
        <f>IFERROR(__xludf.DUMMYFUNCTION("""COMPUTED_VALUE"""),"Draconic Scream")</f>
        <v>Draconic Scream</v>
      </c>
      <c r="AQ442" s="1" t="str">
        <f>IFERROR(__xludf.DUMMYFUNCTION("""COMPUTED_VALUE"""),"Chaincast")</f>
        <v>Chaincast</v>
      </c>
      <c r="AR442" s="1" t="str">
        <f>IFERROR(__xludf.DUMMYFUNCTION("""COMPUTED_VALUE"""),"Earthquake")</f>
        <v>Earthquake</v>
      </c>
      <c r="AS442" s="1" t="str">
        <f>IFERROR(__xludf.DUMMYFUNCTION("""COMPUTED_VALUE"""),"Rock Cycle")</f>
        <v>Rock Cycle</v>
      </c>
      <c r="AT442" s="1" t="str">
        <f>IFERROR(__xludf.DUMMYFUNCTION("""COMPUTED_VALUE"""),"Quicksand")</f>
        <v>Quicksand</v>
      </c>
      <c r="AU442" s="1" t="str">
        <f>IFERROR(__xludf.DUMMYFUNCTION("""COMPUTED_VALUE"""),"Celestial Wrath")</f>
        <v>Celestial Wrath</v>
      </c>
      <c r="AV442" s="1"/>
      <c r="AW442" s="1"/>
      <c r="AX442" s="1"/>
      <c r="AY442" s="1"/>
      <c r="AZ442" s="1"/>
      <c r="BA442" s="1"/>
      <c r="BB442" s="1"/>
      <c r="BC442" s="1"/>
      <c r="BD442" s="1">
        <f>IFERROR(__xludf.DUMMYFUNCTION("""COMPUTED_VALUE"""),20.0)</f>
        <v>20</v>
      </c>
      <c r="BE442" s="9">
        <f>IFERROR(__xludf.DUMMYFUNCTION("""COMPUTED_VALUE"""),10.0)</f>
        <v>10</v>
      </c>
      <c r="BF442" s="1" t="str">
        <f>IFERROR(__xludf.DUMMYFUNCTION("""COMPUTED_VALUE"""),"Unaffected by any spells affecting this creature
Dragons Luck II: +10 can be added to this mobs d20 rolls.")</f>
        <v>Unaffected by any spells affecting this creature
Dragons Luck II: +10 can be added to this mobs d20 rolls.</v>
      </c>
      <c r="BG442" s="1" t="str">
        <f>IFERROR(__xludf.DUMMYFUNCTION("""COMPUTED_VALUE"""),"All")</f>
        <v>All</v>
      </c>
      <c r="BH442" s="1" t="str">
        <f>IFERROR(__xludf.DUMMYFUNCTION("""COMPUTED_VALUE"""),"Solreach")</f>
        <v>Solreach</v>
      </c>
      <c r="BI442" s="1"/>
      <c r="BJ442" s="1"/>
      <c r="BK442" s="1"/>
      <c r="BL442" s="1" t="b">
        <f>IFERROR(__xludf.DUMMYFUNCTION("""COMPUTED_VALUE"""),FALSE)</f>
        <v>0</v>
      </c>
      <c r="BM442" s="1"/>
      <c r="BN442" s="1"/>
      <c r="BO442" s="1"/>
      <c r="BP442" s="1"/>
      <c r="BQ442" s="1"/>
    </row>
    <row r="443" ht="15.75" customHeight="1">
      <c r="A443" s="1"/>
      <c r="B443" s="1">
        <f>IFERROR(__xludf.DUMMYFUNCTION("""COMPUTED_VALUE"""),1.0)</f>
        <v>1</v>
      </c>
      <c r="C443" s="1"/>
      <c r="D443" s="1" t="str">
        <f>IFERROR(__xludf.DUMMYFUNCTION("""COMPUTED_VALUE"""),"Draconic")</f>
        <v>Draconic</v>
      </c>
      <c r="E443" s="1">
        <f>IFERROR(__xludf.DUMMYFUNCTION("""COMPUTED_VALUE"""),1010.0)</f>
        <v>1010</v>
      </c>
      <c r="F443" s="7">
        <f>IFERROR(__xludf.DUMMYFUNCTION("""COMPUTED_VALUE"""),1010.0)</f>
        <v>1010</v>
      </c>
      <c r="G443" s="1">
        <f>IFERROR(__xludf.DUMMYFUNCTION("""COMPUTED_VALUE"""),1010.0)</f>
        <v>1010</v>
      </c>
      <c r="H443" s="1">
        <f>IFERROR(__xludf.DUMMYFUNCTION("""COMPUTED_VALUE"""),10.0)</f>
        <v>10</v>
      </c>
      <c r="I443" s="1">
        <f>IFERROR(__xludf.DUMMYFUNCTION("""COMPUTED_VALUE"""),0.0)</f>
        <v>0</v>
      </c>
      <c r="J443" s="1">
        <f>IFERROR(__xludf.DUMMYFUNCTION("""COMPUTED_VALUE"""),0.0)</f>
        <v>0</v>
      </c>
      <c r="K443" s="1">
        <f>IFERROR(__xludf.DUMMYFUNCTION("""COMPUTED_VALUE"""),100.0)</f>
        <v>100</v>
      </c>
      <c r="L443" s="1">
        <f>IFERROR(__xludf.DUMMYFUNCTION("""COMPUTED_VALUE"""),100.0)</f>
        <v>100</v>
      </c>
      <c r="M443" s="1" t="str">
        <f>IFERROR(__xludf.DUMMYFUNCTION("""COMPUTED_VALUE"""),"#N/A")</f>
        <v>#N/A</v>
      </c>
      <c r="N443" s="1" t="str">
        <f>IFERROR(__xludf.DUMMYFUNCTION("""COMPUTED_VALUE"""),"#N/A")</f>
        <v>#N/A</v>
      </c>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f>IFERROR(__xludf.DUMMYFUNCTION("""COMPUTED_VALUE"""),0.0)</f>
        <v>0</v>
      </c>
      <c r="BE443" s="9">
        <f>IFERROR(__xludf.DUMMYFUNCTION("""COMPUTED_VALUE"""),10.0)</f>
        <v>10</v>
      </c>
      <c r="BF443" s="1"/>
      <c r="BG443" s="1"/>
      <c r="BH443" s="1"/>
      <c r="BI443" s="1"/>
      <c r="BJ443" s="1"/>
      <c r="BK443" s="1"/>
      <c r="BL443" s="1" t="b">
        <f>IFERROR(__xludf.DUMMYFUNCTION("""COMPUTED_VALUE"""),FALSE)</f>
        <v>0</v>
      </c>
      <c r="BM443" s="1"/>
      <c r="BN443" s="1"/>
      <c r="BO443" s="1"/>
      <c r="BP443" s="1"/>
      <c r="BQ443" s="1"/>
    </row>
    <row r="444" ht="15.75" customHeight="1">
      <c r="A444" s="1" t="str">
        <f>IFERROR(__xludf.DUMMYFUNCTION("""COMPUTED_VALUE"""),"Divine Fire Dragon")</f>
        <v>Divine Fire Dragon</v>
      </c>
      <c r="B444" s="1">
        <f>IFERROR(__xludf.DUMMYFUNCTION("""COMPUTED_VALUE"""),1.0)</f>
        <v>1</v>
      </c>
      <c r="C444" s="1"/>
      <c r="D444" s="1" t="str">
        <f>IFERROR(__xludf.DUMMYFUNCTION("""COMPUTED_VALUE"""),"Draconic")</f>
        <v>Draconic</v>
      </c>
      <c r="E444" s="1">
        <f>IFERROR(__xludf.DUMMYFUNCTION("""COMPUTED_VALUE"""),1010.0)</f>
        <v>1010</v>
      </c>
      <c r="F444" s="7">
        <f>IFERROR(__xludf.DUMMYFUNCTION("""COMPUTED_VALUE"""),1010.0)</f>
        <v>1010</v>
      </c>
      <c r="G444" s="1">
        <f>IFERROR(__xludf.DUMMYFUNCTION("""COMPUTED_VALUE"""),1010.0)</f>
        <v>1010</v>
      </c>
      <c r="H444" s="1">
        <f>IFERROR(__xludf.DUMMYFUNCTION("""COMPUTED_VALUE"""),10.0)</f>
        <v>10</v>
      </c>
      <c r="I444" s="1">
        <f>IFERROR(__xludf.DUMMYFUNCTION("""COMPUTED_VALUE"""),20.0)</f>
        <v>20</v>
      </c>
      <c r="J444" s="1">
        <f>IFERROR(__xludf.DUMMYFUNCTION("""COMPUTED_VALUE"""),20.0)</f>
        <v>20</v>
      </c>
      <c r="K444" s="1">
        <f>IFERROR(__xludf.DUMMYFUNCTION("""COMPUTED_VALUE"""),100.0)</f>
        <v>100</v>
      </c>
      <c r="L444" s="1">
        <f>IFERROR(__xludf.DUMMYFUNCTION("""COMPUTED_VALUE"""),100.0)</f>
        <v>100</v>
      </c>
      <c r="M444" s="1" t="str">
        <f>IFERROR(__xludf.DUMMYFUNCTION("""COMPUTED_VALUE"""),"Fire:Immune, Nature:Immune, Instant Death:Immune, Banishment:Immune, ")</f>
        <v>Fire:Immune, Nature:Immune, Instant Death:Immune, Banishment:Immune, </v>
      </c>
      <c r="N444" s="1" t="str">
        <f>IFERROR(__xludf.DUMMYFUNCTION("""COMPUTED_VALUE"""),"Water:100, ")</f>
        <v>Water:100, </v>
      </c>
      <c r="O444" s="1"/>
      <c r="P444" s="1"/>
      <c r="Q444" s="1"/>
      <c r="R444" s="1"/>
      <c r="S444" s="1"/>
      <c r="T444" s="1"/>
      <c r="U444" s="1"/>
      <c r="V444" s="1"/>
      <c r="W444" s="1"/>
      <c r="X444" s="1"/>
      <c r="Y444" s="1"/>
      <c r="Z444" s="1"/>
      <c r="AA444" s="1"/>
      <c r="AB444" s="1"/>
      <c r="AC444" s="1"/>
      <c r="AD444" s="1"/>
      <c r="AE444" s="1"/>
      <c r="AF444" s="1"/>
      <c r="AG444" s="1"/>
      <c r="AH444" s="1"/>
      <c r="AI444" s="1"/>
      <c r="AJ444" s="1" t="str">
        <f>IFERROR(__xludf.DUMMYFUNCTION("""COMPUTED_VALUE"""),"Divine Dragon's Breath")</f>
        <v>Divine Dragon's Breath</v>
      </c>
      <c r="AK444" s="1" t="str">
        <f>IFERROR(__xludf.DUMMYFUNCTION("""COMPUTED_VALUE"""),"Bite")</f>
        <v>Bite</v>
      </c>
      <c r="AL444" s="1" t="str">
        <f>IFERROR(__xludf.DUMMYFUNCTION("""COMPUTED_VALUE"""),"Tail Smash")</f>
        <v>Tail Smash</v>
      </c>
      <c r="AM444" s="1" t="str">
        <f>IFERROR(__xludf.DUMMYFUNCTION("""COMPUTED_VALUE"""),"Claws")</f>
        <v>Claws</v>
      </c>
      <c r="AN444" s="1" t="str">
        <f>IFERROR(__xludf.DUMMYFUNCTION("""COMPUTED_VALUE"""),"Berserk")</f>
        <v>Berserk</v>
      </c>
      <c r="AO444" s="1" t="str">
        <f>IFERROR(__xludf.DUMMYFUNCTION("""COMPUTED_VALUE"""),"Multishot")</f>
        <v>Multishot</v>
      </c>
      <c r="AP444" s="1" t="str">
        <f>IFERROR(__xludf.DUMMYFUNCTION("""COMPUTED_VALUE"""),"Draconic Scream")</f>
        <v>Draconic Scream</v>
      </c>
      <c r="AQ444" s="1" t="str">
        <f>IFERROR(__xludf.DUMMYFUNCTION("""COMPUTED_VALUE"""),"Chaincast")</f>
        <v>Chaincast</v>
      </c>
      <c r="AR444" s="1" t="str">
        <f>IFERROR(__xludf.DUMMYFUNCTION("""COMPUTED_VALUE"""),"Flame Sanctuary")</f>
        <v>Flame Sanctuary</v>
      </c>
      <c r="AS444" s="1" t="str">
        <f>IFERROR(__xludf.DUMMYFUNCTION("""COMPUTED_VALUE"""),"Meteor Shower")</f>
        <v>Meteor Shower</v>
      </c>
      <c r="AT444" s="1" t="str">
        <f>IFERROR(__xludf.DUMMYFUNCTION("""COMPUTED_VALUE"""),"Flame Thrower")</f>
        <v>Flame Thrower</v>
      </c>
      <c r="AU444" s="1" t="str">
        <f>IFERROR(__xludf.DUMMYFUNCTION("""COMPUTED_VALUE"""),"Celestial Wrath")</f>
        <v>Celestial Wrath</v>
      </c>
      <c r="AV444" s="1"/>
      <c r="AW444" s="1"/>
      <c r="AX444" s="1"/>
      <c r="AY444" s="1"/>
      <c r="AZ444" s="1"/>
      <c r="BA444" s="1"/>
      <c r="BB444" s="1"/>
      <c r="BC444" s="1"/>
      <c r="BD444" s="1">
        <f>IFERROR(__xludf.DUMMYFUNCTION("""COMPUTED_VALUE"""),20.0)</f>
        <v>20</v>
      </c>
      <c r="BE444" s="9">
        <f>IFERROR(__xludf.DUMMYFUNCTION("""COMPUTED_VALUE"""),10.0)</f>
        <v>10</v>
      </c>
      <c r="BF444" s="1" t="str">
        <f>IFERROR(__xludf.DUMMYFUNCTION("""COMPUTED_VALUE"""),"Unaffected by any spells affecting this creature
Dragons Luck II: +10 can be added to this mobs d20 rolls.")</f>
        <v>Unaffected by any spells affecting this creature
Dragons Luck II: +10 can be added to this mobs d20 rolls.</v>
      </c>
      <c r="BG444" s="1" t="str">
        <f>IFERROR(__xludf.DUMMYFUNCTION("""COMPUTED_VALUE"""),"All")</f>
        <v>All</v>
      </c>
      <c r="BH444" s="1" t="str">
        <f>IFERROR(__xludf.DUMMYFUNCTION("""COMPUTED_VALUE"""),"Solreach")</f>
        <v>Solreach</v>
      </c>
      <c r="BI444" s="1"/>
      <c r="BJ444" s="1"/>
      <c r="BK444" s="1"/>
      <c r="BL444" s="1" t="b">
        <f>IFERROR(__xludf.DUMMYFUNCTION("""COMPUTED_VALUE"""),FALSE)</f>
        <v>0</v>
      </c>
      <c r="BM444" s="1"/>
      <c r="BN444" s="1"/>
      <c r="BO444" s="1"/>
      <c r="BP444" s="1"/>
      <c r="BQ444" s="1"/>
    </row>
    <row r="445" ht="15.75" customHeight="1">
      <c r="A445" s="1" t="str">
        <f>IFERROR(__xludf.DUMMYFUNCTION("""COMPUTED_VALUE"""),"Divine Void Dragon")</f>
        <v>Divine Void Dragon</v>
      </c>
      <c r="B445" s="1">
        <f>IFERROR(__xludf.DUMMYFUNCTION("""COMPUTED_VALUE"""),1.0)</f>
        <v>1</v>
      </c>
      <c r="C445" s="1"/>
      <c r="D445" s="1" t="str">
        <f>IFERROR(__xludf.DUMMYFUNCTION("""COMPUTED_VALUE"""),"Draconic")</f>
        <v>Draconic</v>
      </c>
      <c r="E445" s="1">
        <f>IFERROR(__xludf.DUMMYFUNCTION("""COMPUTED_VALUE"""),1010.0)</f>
        <v>1010</v>
      </c>
      <c r="F445" s="7">
        <f>IFERROR(__xludf.DUMMYFUNCTION("""COMPUTED_VALUE"""),1010.0)</f>
        <v>1010</v>
      </c>
      <c r="G445" s="1">
        <f>IFERROR(__xludf.DUMMYFUNCTION("""COMPUTED_VALUE"""),1010.0)</f>
        <v>1010</v>
      </c>
      <c r="H445" s="1">
        <f>IFERROR(__xludf.DUMMYFUNCTION("""COMPUTED_VALUE"""),10.0)</f>
        <v>10</v>
      </c>
      <c r="I445" s="1">
        <f>IFERROR(__xludf.DUMMYFUNCTION("""COMPUTED_VALUE"""),20.0)</f>
        <v>20</v>
      </c>
      <c r="J445" s="1">
        <f>IFERROR(__xludf.DUMMYFUNCTION("""COMPUTED_VALUE"""),20.0)</f>
        <v>20</v>
      </c>
      <c r="K445" s="1">
        <f>IFERROR(__xludf.DUMMYFUNCTION("""COMPUTED_VALUE"""),100.0)</f>
        <v>100</v>
      </c>
      <c r="L445" s="1">
        <f>IFERROR(__xludf.DUMMYFUNCTION("""COMPUTED_VALUE"""),100.0)</f>
        <v>100</v>
      </c>
      <c r="M445" s="1" t="str">
        <f>IFERROR(__xludf.DUMMYFUNCTION("""COMPUTED_VALUE"""),"")</f>
        <v/>
      </c>
      <c r="N445" s="1" t="str">
        <f>IFERROR(__xludf.DUMMYFUNCTION("""COMPUTED_VALUE"""),"")</f>
        <v/>
      </c>
      <c r="O445" s="1"/>
      <c r="P445" s="1"/>
      <c r="Q445" s="1"/>
      <c r="R445" s="1"/>
      <c r="S445" s="1"/>
      <c r="T445" s="1"/>
      <c r="U445" s="1"/>
      <c r="V445" s="1"/>
      <c r="W445" s="1"/>
      <c r="X445" s="1"/>
      <c r="Y445" s="1"/>
      <c r="Z445" s="1"/>
      <c r="AA445" s="1"/>
      <c r="AB445" s="1"/>
      <c r="AC445" s="1"/>
      <c r="AD445" s="1"/>
      <c r="AE445" s="1"/>
      <c r="AF445" s="1"/>
      <c r="AG445" s="1"/>
      <c r="AH445" s="1"/>
      <c r="AI445" s="1"/>
      <c r="AJ445" s="1" t="str">
        <f>IFERROR(__xludf.DUMMYFUNCTION("""COMPUTED_VALUE"""),"Divine Dragon's Breath")</f>
        <v>Divine Dragon's Breath</v>
      </c>
      <c r="AK445" s="1" t="str">
        <f>IFERROR(__xludf.DUMMYFUNCTION("""COMPUTED_VALUE"""),"Bite")</f>
        <v>Bite</v>
      </c>
      <c r="AL445" s="1" t="str">
        <f>IFERROR(__xludf.DUMMYFUNCTION("""COMPUTED_VALUE"""),"Tail Smash")</f>
        <v>Tail Smash</v>
      </c>
      <c r="AM445" s="1" t="str">
        <f>IFERROR(__xludf.DUMMYFUNCTION("""COMPUTED_VALUE"""),"Claws")</f>
        <v>Claws</v>
      </c>
      <c r="AN445" s="1" t="str">
        <f>IFERROR(__xludf.DUMMYFUNCTION("""COMPUTED_VALUE"""),"Berserk")</f>
        <v>Berserk</v>
      </c>
      <c r="AO445" s="1" t="str">
        <f>IFERROR(__xludf.DUMMYFUNCTION("""COMPUTED_VALUE"""),"Multishot")</f>
        <v>Multishot</v>
      </c>
      <c r="AP445" s="1" t="str">
        <f>IFERROR(__xludf.DUMMYFUNCTION("""COMPUTED_VALUE"""),"Draconic Scream")</f>
        <v>Draconic Scream</v>
      </c>
      <c r="AQ445" s="1" t="str">
        <f>IFERROR(__xludf.DUMMYFUNCTION("""COMPUTED_VALUE"""),"Chaincast")</f>
        <v>Chaincast</v>
      </c>
      <c r="AR445" s="1"/>
      <c r="AS445" s="1"/>
      <c r="AT445" s="1"/>
      <c r="AU445" s="1"/>
      <c r="AV445" s="1"/>
      <c r="AW445" s="1"/>
      <c r="AX445" s="1"/>
      <c r="AY445" s="1"/>
      <c r="AZ445" s="1"/>
      <c r="BA445" s="1"/>
      <c r="BB445" s="1"/>
      <c r="BC445" s="1"/>
      <c r="BD445" s="1">
        <f>IFERROR(__xludf.DUMMYFUNCTION("""COMPUTED_VALUE"""),20.0)</f>
        <v>20</v>
      </c>
      <c r="BE445" s="9">
        <f>IFERROR(__xludf.DUMMYFUNCTION("""COMPUTED_VALUE"""),10.0)</f>
        <v>10</v>
      </c>
      <c r="BF445" s="1" t="str">
        <f>IFERROR(__xludf.DUMMYFUNCTION("""COMPUTED_VALUE"""),"Unaffected by any spells affecting this creature
Dragons Luck II: +10 can be added to this mobs d20 rolls.")</f>
        <v>Unaffected by any spells affecting this creature
Dragons Luck II: +10 can be added to this mobs d20 rolls.</v>
      </c>
      <c r="BG445" s="1" t="str">
        <f>IFERROR(__xludf.DUMMYFUNCTION("""COMPUTED_VALUE"""),"All")</f>
        <v>All</v>
      </c>
      <c r="BH445" s="1" t="str">
        <f>IFERROR(__xludf.DUMMYFUNCTION("""COMPUTED_VALUE"""),"Solreach")</f>
        <v>Solreach</v>
      </c>
      <c r="BI445" s="1"/>
      <c r="BJ445" s="1"/>
      <c r="BK445" s="1"/>
      <c r="BL445" s="1" t="b">
        <f>IFERROR(__xludf.DUMMYFUNCTION("""COMPUTED_VALUE"""),FALSE)</f>
        <v>0</v>
      </c>
      <c r="BM445" s="1"/>
      <c r="BN445" s="1"/>
      <c r="BO445" s="1"/>
      <c r="BP445" s="1"/>
      <c r="BQ445" s="1"/>
    </row>
    <row r="446" ht="15.75" customHeight="1">
      <c r="A446" s="1" t="str">
        <f>IFERROR(__xludf.DUMMYFUNCTION("""COMPUTED_VALUE"""),"Divine Undead Dragon")</f>
        <v>Divine Undead Dragon</v>
      </c>
      <c r="B446" s="1">
        <f>IFERROR(__xludf.DUMMYFUNCTION("""COMPUTED_VALUE"""),1.0)</f>
        <v>1</v>
      </c>
      <c r="C446" s="1"/>
      <c r="D446" s="1" t="str">
        <f>IFERROR(__xludf.DUMMYFUNCTION("""COMPUTED_VALUE"""),"Draconic")</f>
        <v>Draconic</v>
      </c>
      <c r="E446" s="1">
        <f>IFERROR(__xludf.DUMMYFUNCTION("""COMPUTED_VALUE"""),1010.0)</f>
        <v>1010</v>
      </c>
      <c r="F446" s="7">
        <f>IFERROR(__xludf.DUMMYFUNCTION("""COMPUTED_VALUE"""),1010.0)</f>
        <v>1010</v>
      </c>
      <c r="G446" s="1">
        <f>IFERROR(__xludf.DUMMYFUNCTION("""COMPUTED_VALUE"""),1010.0)</f>
        <v>1010</v>
      </c>
      <c r="H446" s="1">
        <f>IFERROR(__xludf.DUMMYFUNCTION("""COMPUTED_VALUE"""),10.0)</f>
        <v>10</v>
      </c>
      <c r="I446" s="1">
        <f>IFERROR(__xludf.DUMMYFUNCTION("""COMPUTED_VALUE"""),20.0)</f>
        <v>20</v>
      </c>
      <c r="J446" s="1">
        <f>IFERROR(__xludf.DUMMYFUNCTION("""COMPUTED_VALUE"""),20.0)</f>
        <v>20</v>
      </c>
      <c r="K446" s="1">
        <f>IFERROR(__xludf.DUMMYFUNCTION("""COMPUTED_VALUE"""),100.0)</f>
        <v>100</v>
      </c>
      <c r="L446" s="1">
        <f>IFERROR(__xludf.DUMMYFUNCTION("""COMPUTED_VALUE"""),100.0)</f>
        <v>100</v>
      </c>
      <c r="M446" s="1" t="str">
        <f>IFERROR(__xludf.DUMMYFUNCTION("""COMPUTED_VALUE"""),"Dark:Immune, Instant Death:Immune, Banishment:Immune, ")</f>
        <v>Dark:Immune, Instant Death:Immune, Banishment:Immune, </v>
      </c>
      <c r="N446" s="1" t="str">
        <f>IFERROR(__xludf.DUMMYFUNCTION("""COMPUTED_VALUE"""),"Fire:100, Light:100, ")</f>
        <v>Fire:100, Light:100, </v>
      </c>
      <c r="O446" s="1"/>
      <c r="P446" s="1"/>
      <c r="Q446" s="1"/>
      <c r="R446" s="1"/>
      <c r="S446" s="1"/>
      <c r="T446" s="1"/>
      <c r="U446" s="1"/>
      <c r="V446" s="1"/>
      <c r="W446" s="1"/>
      <c r="X446" s="1"/>
      <c r="Y446" s="1"/>
      <c r="Z446" s="1"/>
      <c r="AA446" s="1"/>
      <c r="AB446" s="1"/>
      <c r="AC446" s="1"/>
      <c r="AD446" s="1"/>
      <c r="AE446" s="1"/>
      <c r="AF446" s="1"/>
      <c r="AG446" s="1"/>
      <c r="AH446" s="1"/>
      <c r="AI446" s="1"/>
      <c r="AJ446" s="1" t="str">
        <f>IFERROR(__xludf.DUMMYFUNCTION("""COMPUTED_VALUE"""),"Divine Dragon's Breath")</f>
        <v>Divine Dragon's Breath</v>
      </c>
      <c r="AK446" s="1" t="str">
        <f>IFERROR(__xludf.DUMMYFUNCTION("""COMPUTED_VALUE"""),"Bite")</f>
        <v>Bite</v>
      </c>
      <c r="AL446" s="1" t="str">
        <f>IFERROR(__xludf.DUMMYFUNCTION("""COMPUTED_VALUE"""),"Tail Smash")</f>
        <v>Tail Smash</v>
      </c>
      <c r="AM446" s="1" t="str">
        <f>IFERROR(__xludf.DUMMYFUNCTION("""COMPUTED_VALUE"""),"Claws")</f>
        <v>Claws</v>
      </c>
      <c r="AN446" s="1" t="str">
        <f>IFERROR(__xludf.DUMMYFUNCTION("""COMPUTED_VALUE"""),"Berserk")</f>
        <v>Berserk</v>
      </c>
      <c r="AO446" s="1" t="str">
        <f>IFERROR(__xludf.DUMMYFUNCTION("""COMPUTED_VALUE"""),"Multishot")</f>
        <v>Multishot</v>
      </c>
      <c r="AP446" s="1" t="str">
        <f>IFERROR(__xludf.DUMMYFUNCTION("""COMPUTED_VALUE"""),"Draconic Scream")</f>
        <v>Draconic Scream</v>
      </c>
      <c r="AQ446" s="1" t="str">
        <f>IFERROR(__xludf.DUMMYFUNCTION("""COMPUTED_VALUE"""),"Chaincast")</f>
        <v>Chaincast</v>
      </c>
      <c r="AR446" s="1" t="str">
        <f>IFERROR(__xludf.DUMMYFUNCTION("""COMPUTED_VALUE"""),"Dark Curse")</f>
        <v>Dark Curse</v>
      </c>
      <c r="AS446" s="1" t="str">
        <f>IFERROR(__xludf.DUMMYFUNCTION("""COMPUTED_VALUE"""),"Dark Bolt")</f>
        <v>Dark Bolt</v>
      </c>
      <c r="AT446" s="1" t="str">
        <f>IFERROR(__xludf.DUMMYFUNCTION("""COMPUTED_VALUE"""),"Darkest Abyss")</f>
        <v>Darkest Abyss</v>
      </c>
      <c r="AU446" s="1" t="str">
        <f>IFERROR(__xludf.DUMMYFUNCTION("""COMPUTED_VALUE"""),"Celestial Wrath")</f>
        <v>Celestial Wrath</v>
      </c>
      <c r="AV446" s="1"/>
      <c r="AW446" s="1"/>
      <c r="AX446" s="1"/>
      <c r="AY446" s="1"/>
      <c r="AZ446" s="1"/>
      <c r="BA446" s="1"/>
      <c r="BB446" s="1"/>
      <c r="BC446" s="1"/>
      <c r="BD446" s="1">
        <f>IFERROR(__xludf.DUMMYFUNCTION("""COMPUTED_VALUE"""),20.0)</f>
        <v>20</v>
      </c>
      <c r="BE446" s="9">
        <f>IFERROR(__xludf.DUMMYFUNCTION("""COMPUTED_VALUE"""),10.0)</f>
        <v>10</v>
      </c>
      <c r="BF446" s="1" t="str">
        <f>IFERROR(__xludf.DUMMYFUNCTION("""COMPUTED_VALUE"""),"Unaffected by any spells affecting this creature
Dragons Luck II: +10 can be added to this mobs d20 rolls.
Undead - Immune to dark, Will live on 1HP unless hit with a Light, Fire, or Celestial attack. Cannot be immune to Light, Fire, and Celestial.")</f>
        <v>Unaffected by any spells affecting this creature
Dragons Luck II: +10 can be added to this mobs d20 rolls.
Undead - Immune to dark, Will live on 1HP unless hit with a Light, Fire, or Celestial attack. Cannot be immune to Light, Fire, and Celestial.</v>
      </c>
      <c r="BG446" s="1" t="str">
        <f>IFERROR(__xludf.DUMMYFUNCTION("""COMPUTED_VALUE"""),"All")</f>
        <v>All</v>
      </c>
      <c r="BH446" s="1" t="str">
        <f>IFERROR(__xludf.DUMMYFUNCTION("""COMPUTED_VALUE"""),"Solreach")</f>
        <v>Solreach</v>
      </c>
      <c r="BI446" s="1"/>
      <c r="BJ446" s="1"/>
      <c r="BK446" s="1"/>
      <c r="BL446" s="1" t="b">
        <f>IFERROR(__xludf.DUMMYFUNCTION("""COMPUTED_VALUE"""),FALSE)</f>
        <v>0</v>
      </c>
      <c r="BM446" s="1"/>
      <c r="BN446" s="1"/>
      <c r="BO446" s="1"/>
      <c r="BP446" s="1"/>
      <c r="BQ446" s="1"/>
    </row>
    <row r="447" ht="15.75" customHeight="1">
      <c r="A447" s="1" t="str">
        <f>IFERROR(__xludf.DUMMYFUNCTION("""COMPUTED_VALUE"""),"Divine Crystal Dragon")</f>
        <v>Divine Crystal Dragon</v>
      </c>
      <c r="B447" s="1">
        <f>IFERROR(__xludf.DUMMYFUNCTION("""COMPUTED_VALUE"""),1.0)</f>
        <v>1</v>
      </c>
      <c r="C447" s="1"/>
      <c r="D447" s="1" t="str">
        <f>IFERROR(__xludf.DUMMYFUNCTION("""COMPUTED_VALUE"""),"Draconic")</f>
        <v>Draconic</v>
      </c>
      <c r="E447" s="1">
        <f>IFERROR(__xludf.DUMMYFUNCTION("""COMPUTED_VALUE"""),1010.0)</f>
        <v>1010</v>
      </c>
      <c r="F447" s="7">
        <f>IFERROR(__xludf.DUMMYFUNCTION("""COMPUTED_VALUE"""),1010.0)</f>
        <v>1010</v>
      </c>
      <c r="G447" s="1">
        <f>IFERROR(__xludf.DUMMYFUNCTION("""COMPUTED_VALUE"""),1010.0)</f>
        <v>1010</v>
      </c>
      <c r="H447" s="1">
        <f>IFERROR(__xludf.DUMMYFUNCTION("""COMPUTED_VALUE"""),10.0)</f>
        <v>10</v>
      </c>
      <c r="I447" s="1">
        <f>IFERROR(__xludf.DUMMYFUNCTION("""COMPUTED_VALUE"""),20.0)</f>
        <v>20</v>
      </c>
      <c r="J447" s="1">
        <f>IFERROR(__xludf.DUMMYFUNCTION("""COMPUTED_VALUE"""),20.0)</f>
        <v>20</v>
      </c>
      <c r="K447" s="1">
        <f>IFERROR(__xludf.DUMMYFUNCTION("""COMPUTED_VALUE"""),100.0)</f>
        <v>100</v>
      </c>
      <c r="L447" s="1">
        <f>IFERROR(__xludf.DUMMYFUNCTION("""COMPUTED_VALUE"""),100.0)</f>
        <v>100</v>
      </c>
      <c r="M447" s="1" t="str">
        <f>IFERROR(__xludf.DUMMYFUNCTION("""COMPUTED_VALUE"""),"Earth:100, Instant Death:Immune, Banishment:Immune, ")</f>
        <v>Earth:100, Instant Death:Immune, Banishment:Immune, </v>
      </c>
      <c r="N447" s="1" t="str">
        <f>IFERROR(__xludf.DUMMYFUNCTION("""COMPUTED_VALUE"""),"Water:100, Storm:100, ")</f>
        <v>Water:100, Storm:100, </v>
      </c>
      <c r="O447" s="1"/>
      <c r="P447" s="1"/>
      <c r="Q447" s="1"/>
      <c r="R447" s="1"/>
      <c r="S447" s="1"/>
      <c r="T447" s="1"/>
      <c r="U447" s="1"/>
      <c r="V447" s="1"/>
      <c r="W447" s="1"/>
      <c r="X447" s="1"/>
      <c r="Y447" s="1"/>
      <c r="Z447" s="1"/>
      <c r="AA447" s="1"/>
      <c r="AB447" s="1"/>
      <c r="AC447" s="1"/>
      <c r="AD447" s="1"/>
      <c r="AE447" s="1"/>
      <c r="AF447" s="1"/>
      <c r="AG447" s="1"/>
      <c r="AH447" s="1"/>
      <c r="AI447" s="1"/>
      <c r="AJ447" s="1" t="str">
        <f>IFERROR(__xludf.DUMMYFUNCTION("""COMPUTED_VALUE"""),"Divine Dragon's Breath")</f>
        <v>Divine Dragon's Breath</v>
      </c>
      <c r="AK447" s="1" t="str">
        <f>IFERROR(__xludf.DUMMYFUNCTION("""COMPUTED_VALUE"""),"Bite")</f>
        <v>Bite</v>
      </c>
      <c r="AL447" s="1" t="str">
        <f>IFERROR(__xludf.DUMMYFUNCTION("""COMPUTED_VALUE"""),"Tail Smash")</f>
        <v>Tail Smash</v>
      </c>
      <c r="AM447" s="1" t="str">
        <f>IFERROR(__xludf.DUMMYFUNCTION("""COMPUTED_VALUE"""),"Claws")</f>
        <v>Claws</v>
      </c>
      <c r="AN447" s="1" t="str">
        <f>IFERROR(__xludf.DUMMYFUNCTION("""COMPUTED_VALUE"""),"Berserk")</f>
        <v>Berserk</v>
      </c>
      <c r="AO447" s="1" t="str">
        <f>IFERROR(__xludf.DUMMYFUNCTION("""COMPUTED_VALUE"""),"Multishot")</f>
        <v>Multishot</v>
      </c>
      <c r="AP447" s="1" t="str">
        <f>IFERROR(__xludf.DUMMYFUNCTION("""COMPUTED_VALUE"""),"Draconic Scream")</f>
        <v>Draconic Scream</v>
      </c>
      <c r="AQ447" s="1" t="str">
        <f>IFERROR(__xludf.DUMMYFUNCTION("""COMPUTED_VALUE"""),"Chaincast")</f>
        <v>Chaincast</v>
      </c>
      <c r="AR447" s="1" t="str">
        <f>IFERROR(__xludf.DUMMYFUNCTION("""COMPUTED_VALUE"""),"Searing Saphire Strike")</f>
        <v>Searing Saphire Strike</v>
      </c>
      <c r="AS447" s="1" t="str">
        <f>IFERROR(__xludf.DUMMYFUNCTION("""COMPUTED_VALUE"""),"Energizing Emerald Pulse")</f>
        <v>Energizing Emerald Pulse</v>
      </c>
      <c r="AT447" s="1" t="str">
        <f>IFERROR(__xludf.DUMMYFUNCTION("""COMPUTED_VALUE"""),"Molten Ruby Spikes")</f>
        <v>Molten Ruby Spikes</v>
      </c>
      <c r="AU447" s="1" t="str">
        <f>IFERROR(__xludf.DUMMYFUNCTION("""COMPUTED_VALUE"""),"Celestial Wrath")</f>
        <v>Celestial Wrath</v>
      </c>
      <c r="AV447" s="1"/>
      <c r="AW447" s="1"/>
      <c r="AX447" s="1"/>
      <c r="AY447" s="1"/>
      <c r="AZ447" s="1"/>
      <c r="BA447" s="1"/>
      <c r="BB447" s="1"/>
      <c r="BC447" s="1"/>
      <c r="BD447" s="1">
        <f>IFERROR(__xludf.DUMMYFUNCTION("""COMPUTED_VALUE"""),20.0)</f>
        <v>20</v>
      </c>
      <c r="BE447" s="9">
        <f>IFERROR(__xludf.DUMMYFUNCTION("""COMPUTED_VALUE"""),10.0)</f>
        <v>10</v>
      </c>
      <c r="BF447" s="1" t="str">
        <f>IFERROR(__xludf.DUMMYFUNCTION("""COMPUTED_VALUE"""),"Unaffected by any spells affecting this creature
Dragons Luck II: +10 can be added to this mobs d20 rolls.")</f>
        <v>Unaffected by any spells affecting this creature
Dragons Luck II: +10 can be added to this mobs d20 rolls.</v>
      </c>
      <c r="BG447" s="1" t="str">
        <f>IFERROR(__xludf.DUMMYFUNCTION("""COMPUTED_VALUE"""),"All")</f>
        <v>All</v>
      </c>
      <c r="BH447" s="1" t="str">
        <f>IFERROR(__xludf.DUMMYFUNCTION("""COMPUTED_VALUE"""),"Solreach")</f>
        <v>Solreach</v>
      </c>
      <c r="BI447" s="1"/>
      <c r="BJ447" s="1"/>
      <c r="BK447" s="1"/>
      <c r="BL447" s="1" t="b">
        <f>IFERROR(__xludf.DUMMYFUNCTION("""COMPUTED_VALUE"""),FALSE)</f>
        <v>0</v>
      </c>
      <c r="BM447" s="1"/>
      <c r="BN447" s="1"/>
      <c r="BO447" s="1"/>
      <c r="BP447" s="1"/>
      <c r="BQ447" s="1"/>
    </row>
    <row r="448" ht="15.75" customHeight="1">
      <c r="A448" s="1" t="str">
        <f>IFERROR(__xludf.DUMMYFUNCTION("""COMPUTED_VALUE"""),"Acid Wyrm")</f>
        <v>Acid Wyrm</v>
      </c>
      <c r="B448" s="1">
        <f>IFERROR(__xludf.DUMMYFUNCTION("""COMPUTED_VALUE"""),1.0)</f>
        <v>1</v>
      </c>
      <c r="C448" s="1"/>
      <c r="D448" s="1" t="str">
        <f>IFERROR(__xludf.DUMMYFUNCTION("""COMPUTED_VALUE"""),"Draconic")</f>
        <v>Draconic</v>
      </c>
      <c r="E448" s="1">
        <f>IFERROR(__xludf.DUMMYFUNCTION("""COMPUTED_VALUE"""),1010.0)</f>
        <v>1010</v>
      </c>
      <c r="F448" s="7">
        <f>IFERROR(__xludf.DUMMYFUNCTION("""COMPUTED_VALUE"""),1010.0)</f>
        <v>1010</v>
      </c>
      <c r="G448" s="1">
        <f>IFERROR(__xludf.DUMMYFUNCTION("""COMPUTED_VALUE"""),1010.0)</f>
        <v>1010</v>
      </c>
      <c r="H448" s="1">
        <f>IFERROR(__xludf.DUMMYFUNCTION("""COMPUTED_VALUE"""),10.0)</f>
        <v>10</v>
      </c>
      <c r="I448" s="1">
        <f>IFERROR(__xludf.DUMMYFUNCTION("""COMPUTED_VALUE"""),0.0)</f>
        <v>0</v>
      </c>
      <c r="J448" s="1">
        <f>IFERROR(__xludf.DUMMYFUNCTION("""COMPUTED_VALUE"""),20.0)</f>
        <v>20</v>
      </c>
      <c r="K448" s="1">
        <f>IFERROR(__xludf.DUMMYFUNCTION("""COMPUTED_VALUE"""),100.0)</f>
        <v>100</v>
      </c>
      <c r="L448" s="1">
        <f>IFERROR(__xludf.DUMMYFUNCTION("""COMPUTED_VALUE"""),100.0)</f>
        <v>100</v>
      </c>
      <c r="M448" s="1" t="str">
        <f>IFERROR(__xludf.DUMMYFUNCTION("""COMPUTED_VALUE"""),"Nature:Immune, Instant Death:Immune, Banishment:Immune, ")</f>
        <v>Nature:Immune, Instant Death:Immune, Banishment:Immune, </v>
      </c>
      <c r="N448" s="1" t="str">
        <f>IFERROR(__xludf.DUMMYFUNCTION("""COMPUTED_VALUE"""),"Fire:100, Storm:100, ")</f>
        <v>Fire:100, Storm:100, </v>
      </c>
      <c r="O448" s="1"/>
      <c r="P448" s="1"/>
      <c r="Q448" s="1"/>
      <c r="R448" s="1"/>
      <c r="S448" s="1"/>
      <c r="T448" s="1"/>
      <c r="U448" s="1"/>
      <c r="V448" s="1"/>
      <c r="W448" s="1"/>
      <c r="X448" s="1"/>
      <c r="Y448" s="1"/>
      <c r="Z448" s="1"/>
      <c r="AA448" s="1"/>
      <c r="AB448" s="1"/>
      <c r="AC448" s="1"/>
      <c r="AD448" s="1"/>
      <c r="AE448" s="1"/>
      <c r="AF448" s="1"/>
      <c r="AG448" s="1"/>
      <c r="AH448" s="1"/>
      <c r="AI448" s="1"/>
      <c r="AJ448" s="1" t="str">
        <f>IFERROR(__xludf.DUMMYFUNCTION("""COMPUTED_VALUE"""),"Dragon's Breath")</f>
        <v>Dragon's Breath</v>
      </c>
      <c r="AK448" s="1" t="str">
        <f>IFERROR(__xludf.DUMMYFUNCTION("""COMPUTED_VALUE"""),"Bite")</f>
        <v>Bite</v>
      </c>
      <c r="AL448" s="1" t="str">
        <f>IFERROR(__xludf.DUMMYFUNCTION("""COMPUTED_VALUE"""),"Claws")</f>
        <v>Claws</v>
      </c>
      <c r="AM448" s="1" t="str">
        <f>IFERROR(__xludf.DUMMYFUNCTION("""COMPUTED_VALUE"""),"Berserk")</f>
        <v>Berserk</v>
      </c>
      <c r="AN448" s="1" t="str">
        <f>IFERROR(__xludf.DUMMYFUNCTION("""COMPUTED_VALUE"""),"Draconic Scream")</f>
        <v>Draconic Scream</v>
      </c>
      <c r="AO448" s="1" t="str">
        <f>IFERROR(__xludf.DUMMYFUNCTION("""COMPUTED_VALUE"""),"Poison Fang")</f>
        <v>Poison Fang</v>
      </c>
      <c r="AP448" s="1" t="str">
        <f>IFERROR(__xludf.DUMMYFUNCTION("""COMPUTED_VALUE"""),"Class 3 Poison")</f>
        <v>Class 3 Poison</v>
      </c>
      <c r="AQ448" s="1" t="str">
        <f>IFERROR(__xludf.DUMMYFUNCTION("""COMPUTED_VALUE"""),"1000 Poisons Body")</f>
        <v>1000 Poisons Body</v>
      </c>
      <c r="AR448" s="1" t="str">
        <f>IFERROR(__xludf.DUMMYFUNCTION("""COMPUTED_VALUE"""),"Thorn Bush")</f>
        <v>Thorn Bush</v>
      </c>
      <c r="AS448" s="1" t="str">
        <f>IFERROR(__xludf.DUMMYFUNCTION("""COMPUTED_VALUE"""),"Poisonous Fumes")</f>
        <v>Poisonous Fumes</v>
      </c>
      <c r="AT448" s="1" t="str">
        <f>IFERROR(__xludf.DUMMYFUNCTION("""COMPUTED_VALUE"""),"Celestial Wrath")</f>
        <v>Celestial Wrath</v>
      </c>
      <c r="AU448" s="1"/>
      <c r="AV448" s="1"/>
      <c r="AW448" s="1"/>
      <c r="AX448" s="1"/>
      <c r="AY448" s="1"/>
      <c r="AZ448" s="1"/>
      <c r="BA448" s="1"/>
      <c r="BB448" s="1"/>
      <c r="BC448" s="1"/>
      <c r="BD448" s="1">
        <f>IFERROR(__xludf.DUMMYFUNCTION("""COMPUTED_VALUE"""),0.0)</f>
        <v>0</v>
      </c>
      <c r="BE448" s="9">
        <f>IFERROR(__xludf.DUMMYFUNCTION("""COMPUTED_VALUE"""),10.0)</f>
        <v>10</v>
      </c>
      <c r="BF448" s="1" t="str">
        <f>IFERROR(__xludf.DUMMYFUNCTION("""COMPUTED_VALUE"""),"Dragons Luck: +5 can be added to this mobs d20 rolls.
Immune to poison")</f>
        <v>Dragons Luck: +5 can be added to this mobs d20 rolls.
Immune to poison</v>
      </c>
      <c r="BG448" s="1" t="str">
        <f>IFERROR(__xludf.DUMMYFUNCTION("""COMPUTED_VALUE"""),"All")</f>
        <v>All</v>
      </c>
      <c r="BH448" s="1" t="str">
        <f>IFERROR(__xludf.DUMMYFUNCTION("""COMPUTED_VALUE"""),"Land of Spira")</f>
        <v>Land of Spira</v>
      </c>
      <c r="BI448" s="1"/>
      <c r="BJ448" s="1"/>
      <c r="BK448" s="1"/>
      <c r="BL448" s="1" t="b">
        <f>IFERROR(__xludf.DUMMYFUNCTION("""COMPUTED_VALUE"""),FALSE)</f>
        <v>0</v>
      </c>
      <c r="BM448" s="1"/>
      <c r="BN448" s="1"/>
      <c r="BO448" s="1"/>
      <c r="BP448" s="1"/>
      <c r="BQ448" s="1"/>
    </row>
    <row r="449" ht="15.75" customHeight="1">
      <c r="A449" s="1" t="str">
        <f>IFERROR(__xludf.DUMMYFUNCTION("""COMPUTED_VALUE"""),"Astral Wyrm")</f>
        <v>Astral Wyrm</v>
      </c>
      <c r="B449" s="1">
        <f>IFERROR(__xludf.DUMMYFUNCTION("""COMPUTED_VALUE"""),1.0)</f>
        <v>1</v>
      </c>
      <c r="C449" s="1"/>
      <c r="D449" s="1" t="str">
        <f>IFERROR(__xludf.DUMMYFUNCTION("""COMPUTED_VALUE"""),"Draconic")</f>
        <v>Draconic</v>
      </c>
      <c r="E449" s="1">
        <f>IFERROR(__xludf.DUMMYFUNCTION("""COMPUTED_VALUE"""),1010.0)</f>
        <v>1010</v>
      </c>
      <c r="F449" s="7">
        <f>IFERROR(__xludf.DUMMYFUNCTION("""COMPUTED_VALUE"""),1010.0)</f>
        <v>1010</v>
      </c>
      <c r="G449" s="1">
        <f>IFERROR(__xludf.DUMMYFUNCTION("""COMPUTED_VALUE"""),1010.0)</f>
        <v>1010</v>
      </c>
      <c r="H449" s="1">
        <f>IFERROR(__xludf.DUMMYFUNCTION("""COMPUTED_VALUE"""),10.0)</f>
        <v>10</v>
      </c>
      <c r="I449" s="1">
        <f>IFERROR(__xludf.DUMMYFUNCTION("""COMPUTED_VALUE"""),0.0)</f>
        <v>0</v>
      </c>
      <c r="J449" s="1">
        <f>IFERROR(__xludf.DUMMYFUNCTION("""COMPUTED_VALUE"""),20.0)</f>
        <v>20</v>
      </c>
      <c r="K449" s="1">
        <f>IFERROR(__xludf.DUMMYFUNCTION("""COMPUTED_VALUE"""),100.0)</f>
        <v>100</v>
      </c>
      <c r="L449" s="1">
        <f>IFERROR(__xludf.DUMMYFUNCTION("""COMPUTED_VALUE"""),100.0)</f>
        <v>100</v>
      </c>
      <c r="M449" s="1" t="str">
        <f>IFERROR(__xludf.DUMMYFUNCTION("""COMPUTED_VALUE"""),"Astral:50, Instant Death:Immune, Banishment:Immune, ")</f>
        <v>Astral:50, Instant Death:Immune, Banishment:Immune, </v>
      </c>
      <c r="N449" s="1" t="str">
        <f>IFERROR(__xludf.DUMMYFUNCTION("""COMPUTED_VALUE"""),"Celestial:100, ")</f>
        <v>Celestial:100, </v>
      </c>
      <c r="O449" s="1"/>
      <c r="P449" s="1"/>
      <c r="Q449" s="1"/>
      <c r="R449" s="1"/>
      <c r="S449" s="1"/>
      <c r="T449" s="1"/>
      <c r="U449" s="1"/>
      <c r="V449" s="1"/>
      <c r="W449" s="1"/>
      <c r="X449" s="1"/>
      <c r="Y449" s="1"/>
      <c r="Z449" s="1"/>
      <c r="AA449" s="1"/>
      <c r="AB449" s="1"/>
      <c r="AC449" s="1"/>
      <c r="AD449" s="1"/>
      <c r="AE449" s="1"/>
      <c r="AF449" s="1"/>
      <c r="AG449" s="1"/>
      <c r="AH449" s="1"/>
      <c r="AI449" s="1"/>
      <c r="AJ449" s="1" t="str">
        <f>IFERROR(__xludf.DUMMYFUNCTION("""COMPUTED_VALUE"""),"Dragon's Breath")</f>
        <v>Dragon's Breath</v>
      </c>
      <c r="AK449" s="1" t="str">
        <f>IFERROR(__xludf.DUMMYFUNCTION("""COMPUTED_VALUE"""),"Bite")</f>
        <v>Bite</v>
      </c>
      <c r="AL449" s="1" t="str">
        <f>IFERROR(__xludf.DUMMYFUNCTION("""COMPUTED_VALUE"""),"Claws")</f>
        <v>Claws</v>
      </c>
      <c r="AM449" s="1" t="str">
        <f>IFERROR(__xludf.DUMMYFUNCTION("""COMPUTED_VALUE"""),"Berserk")</f>
        <v>Berserk</v>
      </c>
      <c r="AN449" s="1" t="str">
        <f>IFERROR(__xludf.DUMMYFUNCTION("""COMPUTED_VALUE"""),"Draconic Scream")</f>
        <v>Draconic Scream</v>
      </c>
      <c r="AO449" s="1" t="str">
        <f>IFERROR(__xludf.DUMMYFUNCTION("""COMPUTED_VALUE"""),"Black Hole")</f>
        <v>Black Hole</v>
      </c>
      <c r="AP449" s="1" t="str">
        <f>IFERROR(__xludf.DUMMYFUNCTION("""COMPUTED_VALUE"""),"Planetary Meteor Storm")</f>
        <v>Planetary Meteor Storm</v>
      </c>
      <c r="AQ449" s="1" t="str">
        <f>IFERROR(__xludf.DUMMYFUNCTION("""COMPUTED_VALUE"""),"Lunar Ward")</f>
        <v>Lunar Ward</v>
      </c>
      <c r="AR449" s="1" t="str">
        <f>IFERROR(__xludf.DUMMYFUNCTION("""COMPUTED_VALUE"""),"Solar Ward")</f>
        <v>Solar Ward</v>
      </c>
      <c r="AS449" s="1" t="str">
        <f>IFERROR(__xludf.DUMMYFUNCTION("""COMPUTED_VALUE"""),"Celestial Wrath")</f>
        <v>Celestial Wrath</v>
      </c>
      <c r="AT449" s="1"/>
      <c r="AU449" s="1"/>
      <c r="AV449" s="1"/>
      <c r="AW449" s="1"/>
      <c r="AX449" s="1"/>
      <c r="AY449" s="1"/>
      <c r="AZ449" s="1"/>
      <c r="BA449" s="1"/>
      <c r="BB449" s="1"/>
      <c r="BC449" s="1"/>
      <c r="BD449" s="1">
        <f>IFERROR(__xludf.DUMMYFUNCTION("""COMPUTED_VALUE"""),0.0)</f>
        <v>0</v>
      </c>
      <c r="BE449" s="9">
        <f>IFERROR(__xludf.DUMMYFUNCTION("""COMPUTED_VALUE"""),10.0)</f>
        <v>10</v>
      </c>
      <c r="BF449" s="1" t="str">
        <f>IFERROR(__xludf.DUMMYFUNCTION("""COMPUTED_VALUE"""),"Dragons Luck: +5 can be added to this mobs d20 rolls.")</f>
        <v>Dragons Luck: +5 can be added to this mobs d20 rolls.</v>
      </c>
      <c r="BG449" s="1" t="str">
        <f>IFERROR(__xludf.DUMMYFUNCTION("""COMPUTED_VALUE"""),"All")</f>
        <v>All</v>
      </c>
      <c r="BH449" s="1" t="str">
        <f>IFERROR(__xludf.DUMMYFUNCTION("""COMPUTED_VALUE"""),"Land of Spira")</f>
        <v>Land of Spira</v>
      </c>
      <c r="BI449" s="1"/>
      <c r="BJ449" s="1"/>
      <c r="BK449" s="1"/>
      <c r="BL449" s="1" t="b">
        <f>IFERROR(__xludf.DUMMYFUNCTION("""COMPUTED_VALUE"""),FALSE)</f>
        <v>0</v>
      </c>
      <c r="BM449" s="1"/>
      <c r="BN449" s="1"/>
      <c r="BO449" s="1"/>
      <c r="BP449" s="1"/>
      <c r="BQ449" s="1"/>
    </row>
    <row r="450" ht="15.75" customHeight="1">
      <c r="A450" s="1" t="str">
        <f>IFERROR(__xludf.DUMMYFUNCTION("""COMPUTED_VALUE"""),"Celestial Wyrm")</f>
        <v>Celestial Wyrm</v>
      </c>
      <c r="B450" s="1">
        <f>IFERROR(__xludf.DUMMYFUNCTION("""COMPUTED_VALUE"""),1.0)</f>
        <v>1</v>
      </c>
      <c r="C450" s="1"/>
      <c r="D450" s="1" t="str">
        <f>IFERROR(__xludf.DUMMYFUNCTION("""COMPUTED_VALUE"""),"Draconic")</f>
        <v>Draconic</v>
      </c>
      <c r="E450" s="1">
        <f>IFERROR(__xludf.DUMMYFUNCTION("""COMPUTED_VALUE"""),1010.0)</f>
        <v>1010</v>
      </c>
      <c r="F450" s="7">
        <f>IFERROR(__xludf.DUMMYFUNCTION("""COMPUTED_VALUE"""),1010.0)</f>
        <v>1010</v>
      </c>
      <c r="G450" s="1">
        <f>IFERROR(__xludf.DUMMYFUNCTION("""COMPUTED_VALUE"""),1010.0)</f>
        <v>1010</v>
      </c>
      <c r="H450" s="1">
        <f>IFERROR(__xludf.DUMMYFUNCTION("""COMPUTED_VALUE"""),10.0)</f>
        <v>10</v>
      </c>
      <c r="I450" s="1">
        <f>IFERROR(__xludf.DUMMYFUNCTION("""COMPUTED_VALUE"""),0.0)</f>
        <v>0</v>
      </c>
      <c r="J450" s="1">
        <f>IFERROR(__xludf.DUMMYFUNCTION("""COMPUTED_VALUE"""),20.0)</f>
        <v>20</v>
      </c>
      <c r="K450" s="1">
        <f>IFERROR(__xludf.DUMMYFUNCTION("""COMPUTED_VALUE"""),100.0)</f>
        <v>100</v>
      </c>
      <c r="L450" s="1">
        <f>IFERROR(__xludf.DUMMYFUNCTION("""COMPUTED_VALUE"""),100.0)</f>
        <v>100</v>
      </c>
      <c r="M450" s="1" t="str">
        <f>IFERROR(__xludf.DUMMYFUNCTION("""COMPUTED_VALUE"""),"Celestial:50, ")</f>
        <v>Celestial:50, </v>
      </c>
      <c r="N450" s="1" t="str">
        <f>IFERROR(__xludf.DUMMYFUNCTION("""COMPUTED_VALUE"""),"Astral:100, ")</f>
        <v>Astral:100, </v>
      </c>
      <c r="O450" s="1"/>
      <c r="P450" s="1"/>
      <c r="Q450" s="1"/>
      <c r="R450" s="1"/>
      <c r="S450" s="1"/>
      <c r="T450" s="1"/>
      <c r="U450" s="1"/>
      <c r="V450" s="1"/>
      <c r="W450" s="1"/>
      <c r="X450" s="1"/>
      <c r="Y450" s="1"/>
      <c r="Z450" s="1"/>
      <c r="AA450" s="1"/>
      <c r="AB450" s="1"/>
      <c r="AC450" s="1"/>
      <c r="AD450" s="1"/>
      <c r="AE450" s="1"/>
      <c r="AF450" s="1"/>
      <c r="AG450" s="1"/>
      <c r="AH450" s="1"/>
      <c r="AI450" s="1"/>
      <c r="AJ450" s="1" t="str">
        <f>IFERROR(__xludf.DUMMYFUNCTION("""COMPUTED_VALUE"""),"Dragon's Breath")</f>
        <v>Dragon's Breath</v>
      </c>
      <c r="AK450" s="1" t="str">
        <f>IFERROR(__xludf.DUMMYFUNCTION("""COMPUTED_VALUE"""),"Bite")</f>
        <v>Bite</v>
      </c>
      <c r="AL450" s="1" t="str">
        <f>IFERROR(__xludf.DUMMYFUNCTION("""COMPUTED_VALUE"""),"Claws")</f>
        <v>Claws</v>
      </c>
      <c r="AM450" s="1" t="str">
        <f>IFERROR(__xludf.DUMMYFUNCTION("""COMPUTED_VALUE"""),"Berserk")</f>
        <v>Berserk</v>
      </c>
      <c r="AN450" s="1" t="str">
        <f>IFERROR(__xludf.DUMMYFUNCTION("""COMPUTED_VALUE"""),"Draconic Scream")</f>
        <v>Draconic Scream</v>
      </c>
      <c r="AO450" s="1" t="str">
        <f>IFERROR(__xludf.DUMMYFUNCTION("""COMPUTED_VALUE"""),"Mass Destruction")</f>
        <v>Mass Destruction</v>
      </c>
      <c r="AP450" s="1" t="str">
        <f>IFERROR(__xludf.DUMMYFUNCTION("""COMPUTED_VALUE"""),"Vaporize")</f>
        <v>Vaporize</v>
      </c>
      <c r="AQ450" s="1" t="str">
        <f>IFERROR(__xludf.DUMMYFUNCTION("""COMPUTED_VALUE"""),"Celestial Wrath")</f>
        <v>Celestial Wrath</v>
      </c>
      <c r="AR450" s="1"/>
      <c r="AS450" s="1"/>
      <c r="AT450" s="1"/>
      <c r="AU450" s="1"/>
      <c r="AV450" s="1"/>
      <c r="AW450" s="1"/>
      <c r="AX450" s="1"/>
      <c r="AY450" s="1"/>
      <c r="AZ450" s="1"/>
      <c r="BA450" s="1"/>
      <c r="BB450" s="1"/>
      <c r="BC450" s="1"/>
      <c r="BD450" s="1">
        <f>IFERROR(__xludf.DUMMYFUNCTION("""COMPUTED_VALUE"""),0.0)</f>
        <v>0</v>
      </c>
      <c r="BE450" s="9">
        <f>IFERROR(__xludf.DUMMYFUNCTION("""COMPUTED_VALUE"""),10.0)</f>
        <v>10</v>
      </c>
      <c r="BF450" s="1" t="str">
        <f>IFERROR(__xludf.DUMMYFUNCTION("""COMPUTED_VALUE"""),"Dragons Luck: +5 can be added to this mobs d20 rolls.")</f>
        <v>Dragons Luck: +5 can be added to this mobs d20 rolls.</v>
      </c>
      <c r="BG450" s="1" t="str">
        <f>IFERROR(__xludf.DUMMYFUNCTION("""COMPUTED_VALUE"""),"All")</f>
        <v>All</v>
      </c>
      <c r="BH450" s="1" t="str">
        <f>IFERROR(__xludf.DUMMYFUNCTION("""COMPUTED_VALUE"""),"Land of Spira")</f>
        <v>Land of Spira</v>
      </c>
      <c r="BI450" s="1"/>
      <c r="BJ450" s="1"/>
      <c r="BK450" s="1"/>
      <c r="BL450" s="1" t="b">
        <f>IFERROR(__xludf.DUMMYFUNCTION("""COMPUTED_VALUE"""),FALSE)</f>
        <v>0</v>
      </c>
      <c r="BM450" s="1"/>
      <c r="BN450" s="1"/>
      <c r="BO450" s="1"/>
      <c r="BP450" s="1"/>
      <c r="BQ450" s="1"/>
    </row>
    <row r="451" ht="15.75" customHeight="1">
      <c r="A451" s="1" t="str">
        <f>IFERROR(__xludf.DUMMYFUNCTION("""COMPUTED_VALUE"""),"Chaos Wyrm")</f>
        <v>Chaos Wyrm</v>
      </c>
      <c r="B451" s="1">
        <f>IFERROR(__xludf.DUMMYFUNCTION("""COMPUTED_VALUE"""),1.0)</f>
        <v>1</v>
      </c>
      <c r="C451" s="1"/>
      <c r="D451" s="1" t="str">
        <f>IFERROR(__xludf.DUMMYFUNCTION("""COMPUTED_VALUE"""),"Draconic")</f>
        <v>Draconic</v>
      </c>
      <c r="E451" s="1">
        <f>IFERROR(__xludf.DUMMYFUNCTION("""COMPUTED_VALUE"""),1010.0)</f>
        <v>1010</v>
      </c>
      <c r="F451" s="7">
        <f>IFERROR(__xludf.DUMMYFUNCTION("""COMPUTED_VALUE"""),1010.0)</f>
        <v>1010</v>
      </c>
      <c r="G451" s="1">
        <f>IFERROR(__xludf.DUMMYFUNCTION("""COMPUTED_VALUE"""),1010.0)</f>
        <v>1010</v>
      </c>
      <c r="H451" s="1">
        <f>IFERROR(__xludf.DUMMYFUNCTION("""COMPUTED_VALUE"""),10.0)</f>
        <v>10</v>
      </c>
      <c r="I451" s="1">
        <f>IFERROR(__xludf.DUMMYFUNCTION("""COMPUTED_VALUE"""),0.0)</f>
        <v>0</v>
      </c>
      <c r="J451" s="1">
        <f>IFERROR(__xludf.DUMMYFUNCTION("""COMPUTED_VALUE"""),0.0)</f>
        <v>0</v>
      </c>
      <c r="K451" s="1">
        <f>IFERROR(__xludf.DUMMYFUNCTION("""COMPUTED_VALUE"""),100.0)</f>
        <v>100</v>
      </c>
      <c r="L451" s="1">
        <f>IFERROR(__xludf.DUMMYFUNCTION("""COMPUTED_VALUE"""),100.0)</f>
        <v>100</v>
      </c>
      <c r="M451" s="1" t="str">
        <f>IFERROR(__xludf.DUMMYFUNCTION("""COMPUTED_VALUE"""),"Chaos:50, ")</f>
        <v>Chaos:50, </v>
      </c>
      <c r="N451" s="1" t="str">
        <f>IFERROR(__xludf.DUMMYFUNCTION("""COMPUTED_VALUE"""),"Order:100, ")</f>
        <v>Order:100, </v>
      </c>
      <c r="O451" s="1"/>
      <c r="P451" s="1"/>
      <c r="Q451" s="1"/>
      <c r="R451" s="1"/>
      <c r="S451" s="1"/>
      <c r="T451" s="1"/>
      <c r="U451" s="1"/>
      <c r="V451" s="1"/>
      <c r="W451" s="1"/>
      <c r="X451" s="1"/>
      <c r="Y451" s="1"/>
      <c r="Z451" s="1"/>
      <c r="AA451" s="1"/>
      <c r="AB451" s="1"/>
      <c r="AC451" s="1"/>
      <c r="AD451" s="1"/>
      <c r="AE451" s="1"/>
      <c r="AF451" s="1"/>
      <c r="AG451" s="1"/>
      <c r="AH451" s="1"/>
      <c r="AI451" s="1"/>
      <c r="AJ451" s="1" t="str">
        <f>IFERROR(__xludf.DUMMYFUNCTION("""COMPUTED_VALUE"""),"Dragon's Breath")</f>
        <v>Dragon's Breath</v>
      </c>
      <c r="AK451" s="1" t="str">
        <f>IFERROR(__xludf.DUMMYFUNCTION("""COMPUTED_VALUE"""),"Bite")</f>
        <v>Bite</v>
      </c>
      <c r="AL451" s="1" t="str">
        <f>IFERROR(__xludf.DUMMYFUNCTION("""COMPUTED_VALUE"""),"Claws")</f>
        <v>Claws</v>
      </c>
      <c r="AM451" s="1" t="str">
        <f>IFERROR(__xludf.DUMMYFUNCTION("""COMPUTED_VALUE"""),"Berserk")</f>
        <v>Berserk</v>
      </c>
      <c r="AN451" s="1" t="str">
        <f>IFERROR(__xludf.DUMMYFUNCTION("""COMPUTED_VALUE"""),"Draconic Scream")</f>
        <v>Draconic Scream</v>
      </c>
      <c r="AO451" s="1" t="str">
        <f>IFERROR(__xludf.DUMMYFUNCTION("""COMPUTED_VALUE"""),"Chaos Ward")</f>
        <v>Chaos Ward</v>
      </c>
      <c r="AP451" s="1" t="str">
        <f>IFERROR(__xludf.DUMMYFUNCTION("""COMPUTED_VALUE"""),"Shatter")</f>
        <v>Shatter</v>
      </c>
      <c r="AQ451" s="1" t="str">
        <f>IFERROR(__xludf.DUMMYFUNCTION("""COMPUTED_VALUE"""),"Dimensional Quake")</f>
        <v>Dimensional Quake</v>
      </c>
      <c r="AR451" s="1" t="str">
        <f>IFERROR(__xludf.DUMMYFUNCTION("""COMPUTED_VALUE"""),"Dimension Portal")</f>
        <v>Dimension Portal</v>
      </c>
      <c r="AS451" s="1" t="str">
        <f>IFERROR(__xludf.DUMMYFUNCTION("""COMPUTED_VALUE"""),"Damage With A Cost.")</f>
        <v>Damage With A Cost.</v>
      </c>
      <c r="AT451" s="1" t="str">
        <f>IFERROR(__xludf.DUMMYFUNCTION("""COMPUTED_VALUE"""),"Swallow")</f>
        <v>Swallow</v>
      </c>
      <c r="AU451" s="1" t="str">
        <f>IFERROR(__xludf.DUMMYFUNCTION("""COMPUTED_VALUE"""),"Celestial Wrath")</f>
        <v>Celestial Wrath</v>
      </c>
      <c r="AV451" s="1"/>
      <c r="AW451" s="1"/>
      <c r="AX451" s="1"/>
      <c r="AY451" s="1"/>
      <c r="AZ451" s="1"/>
      <c r="BA451" s="1"/>
      <c r="BB451" s="1"/>
      <c r="BC451" s="1"/>
      <c r="BD451" s="1">
        <f>IFERROR(__xludf.DUMMYFUNCTION("""COMPUTED_VALUE"""),0.0)</f>
        <v>0</v>
      </c>
      <c r="BE451" s="9">
        <f>IFERROR(__xludf.DUMMYFUNCTION("""COMPUTED_VALUE"""),10.0)</f>
        <v>10</v>
      </c>
      <c r="BF451" s="1" t="str">
        <f>IFERROR(__xludf.DUMMYFUNCTION("""COMPUTED_VALUE"""),"Dragons Luck: +5 can be added to this mobs d20 rolls.")</f>
        <v>Dragons Luck: +5 can be added to this mobs d20 rolls.</v>
      </c>
      <c r="BG451" s="1" t="str">
        <f>IFERROR(__xludf.DUMMYFUNCTION("""COMPUTED_VALUE"""),"All")</f>
        <v>All</v>
      </c>
      <c r="BH451" s="1" t="str">
        <f>IFERROR(__xludf.DUMMYFUNCTION("""COMPUTED_VALUE"""),"Land of Spira")</f>
        <v>Land of Spira</v>
      </c>
      <c r="BI451" s="1"/>
      <c r="BJ451" s="1"/>
      <c r="BK451" s="1"/>
      <c r="BL451" s="1" t="b">
        <f>IFERROR(__xludf.DUMMYFUNCTION("""COMPUTED_VALUE"""),FALSE)</f>
        <v>0</v>
      </c>
      <c r="BM451" s="1"/>
      <c r="BN451" s="1"/>
      <c r="BO451" s="1"/>
      <c r="BP451" s="1"/>
      <c r="BQ451" s="1"/>
    </row>
    <row r="452" ht="15.75" customHeight="1">
      <c r="A452" s="1" t="str">
        <f>IFERROR(__xludf.DUMMYFUNCTION("""COMPUTED_VALUE"""),"Dark Wyrm")</f>
        <v>Dark Wyrm</v>
      </c>
      <c r="B452" s="1">
        <f>IFERROR(__xludf.DUMMYFUNCTION("""COMPUTED_VALUE"""),1.0)</f>
        <v>1</v>
      </c>
      <c r="C452" s="1"/>
      <c r="D452" s="1" t="str">
        <f>IFERROR(__xludf.DUMMYFUNCTION("""COMPUTED_VALUE"""),"Draconic")</f>
        <v>Draconic</v>
      </c>
      <c r="E452" s="1">
        <f>IFERROR(__xludf.DUMMYFUNCTION("""COMPUTED_VALUE"""),1010.0)</f>
        <v>1010</v>
      </c>
      <c r="F452" s="7">
        <f>IFERROR(__xludf.DUMMYFUNCTION("""COMPUTED_VALUE"""),1010.0)</f>
        <v>1010</v>
      </c>
      <c r="G452" s="1">
        <f>IFERROR(__xludf.DUMMYFUNCTION("""COMPUTED_VALUE"""),1010.0)</f>
        <v>1010</v>
      </c>
      <c r="H452" s="1">
        <f>IFERROR(__xludf.DUMMYFUNCTION("""COMPUTED_VALUE"""),10.0)</f>
        <v>10</v>
      </c>
      <c r="I452" s="1">
        <f>IFERROR(__xludf.DUMMYFUNCTION("""COMPUTED_VALUE"""),0.0)</f>
        <v>0</v>
      </c>
      <c r="J452" s="1">
        <f>IFERROR(__xludf.DUMMYFUNCTION("""COMPUTED_VALUE"""),0.0)</f>
        <v>0</v>
      </c>
      <c r="K452" s="1">
        <f>IFERROR(__xludf.DUMMYFUNCTION("""COMPUTED_VALUE"""),100.0)</f>
        <v>100</v>
      </c>
      <c r="L452" s="1">
        <f>IFERROR(__xludf.DUMMYFUNCTION("""COMPUTED_VALUE"""),100.0)</f>
        <v>100</v>
      </c>
      <c r="M452" s="1" t="str">
        <f>IFERROR(__xludf.DUMMYFUNCTION("""COMPUTED_VALUE"""),"Dark:50, ")</f>
        <v>Dark:50, </v>
      </c>
      <c r="N452" s="1" t="str">
        <f>IFERROR(__xludf.DUMMYFUNCTION("""COMPUTED_VALUE"""),"Fire:100, Light:100, ")</f>
        <v>Fire:100, Light:100, </v>
      </c>
      <c r="O452" s="1"/>
      <c r="P452" s="1"/>
      <c r="Q452" s="1"/>
      <c r="R452" s="1"/>
      <c r="S452" s="1"/>
      <c r="T452" s="1"/>
      <c r="U452" s="1"/>
      <c r="V452" s="1"/>
      <c r="W452" s="1"/>
      <c r="X452" s="1"/>
      <c r="Y452" s="1"/>
      <c r="Z452" s="1"/>
      <c r="AA452" s="1"/>
      <c r="AB452" s="1"/>
      <c r="AC452" s="1"/>
      <c r="AD452" s="1"/>
      <c r="AE452" s="1"/>
      <c r="AF452" s="1"/>
      <c r="AG452" s="1"/>
      <c r="AH452" s="1"/>
      <c r="AI452" s="1"/>
      <c r="AJ452" s="1" t="str">
        <f>IFERROR(__xludf.DUMMYFUNCTION("""COMPUTED_VALUE"""),"Dragon's Breath")</f>
        <v>Dragon's Breath</v>
      </c>
      <c r="AK452" s="1" t="str">
        <f>IFERROR(__xludf.DUMMYFUNCTION("""COMPUTED_VALUE"""),"Bite")</f>
        <v>Bite</v>
      </c>
      <c r="AL452" s="1" t="str">
        <f>IFERROR(__xludf.DUMMYFUNCTION("""COMPUTED_VALUE"""),"Claws")</f>
        <v>Claws</v>
      </c>
      <c r="AM452" s="1" t="str">
        <f>IFERROR(__xludf.DUMMYFUNCTION("""COMPUTED_VALUE"""),"Berserk")</f>
        <v>Berserk</v>
      </c>
      <c r="AN452" s="1" t="str">
        <f>IFERROR(__xludf.DUMMYFUNCTION("""COMPUTED_VALUE"""),"Draconic Scream")</f>
        <v>Draconic Scream</v>
      </c>
      <c r="AO452" s="1" t="str">
        <f>IFERROR(__xludf.DUMMYFUNCTION("""COMPUTED_VALUE"""),"Darkest Abyss")</f>
        <v>Darkest Abyss</v>
      </c>
      <c r="AP452" s="1" t="str">
        <f>IFERROR(__xludf.DUMMYFUNCTION("""COMPUTED_VALUE"""),"Devolve")</f>
        <v>Devolve</v>
      </c>
      <c r="AQ452" s="1" t="str">
        <f>IFERROR(__xludf.DUMMYFUNCTION("""COMPUTED_VALUE"""),"Dark Curse")</f>
        <v>Dark Curse</v>
      </c>
      <c r="AR452" s="1" t="str">
        <f>IFERROR(__xludf.DUMMYFUNCTION("""COMPUTED_VALUE"""),"Celestial Wrath")</f>
        <v>Celestial Wrath</v>
      </c>
      <c r="AS452" s="1"/>
      <c r="AT452" s="1"/>
      <c r="AU452" s="1"/>
      <c r="AV452" s="1"/>
      <c r="AW452" s="1"/>
      <c r="AX452" s="1"/>
      <c r="AY452" s="1"/>
      <c r="AZ452" s="1"/>
      <c r="BA452" s="1"/>
      <c r="BB452" s="1"/>
      <c r="BC452" s="1"/>
      <c r="BD452" s="1">
        <f>IFERROR(__xludf.DUMMYFUNCTION("""COMPUTED_VALUE"""),0.0)</f>
        <v>0</v>
      </c>
      <c r="BE452" s="9">
        <f>IFERROR(__xludf.DUMMYFUNCTION("""COMPUTED_VALUE"""),10.0)</f>
        <v>10</v>
      </c>
      <c r="BF452" s="1" t="str">
        <f>IFERROR(__xludf.DUMMYFUNCTION("""COMPUTED_VALUE"""),"Dragons Luck: +5 can be added to this mobs d20 rolls.")</f>
        <v>Dragons Luck: +5 can be added to this mobs d20 rolls.</v>
      </c>
      <c r="BG452" s="1" t="str">
        <f>IFERROR(__xludf.DUMMYFUNCTION("""COMPUTED_VALUE"""),"All")</f>
        <v>All</v>
      </c>
      <c r="BH452" s="1" t="str">
        <f>IFERROR(__xludf.DUMMYFUNCTION("""COMPUTED_VALUE"""),"Land of Spira")</f>
        <v>Land of Spira</v>
      </c>
      <c r="BI452" s="1"/>
      <c r="BJ452" s="1"/>
      <c r="BK452" s="1"/>
      <c r="BL452" s="1" t="b">
        <f>IFERROR(__xludf.DUMMYFUNCTION("""COMPUTED_VALUE"""),FALSE)</f>
        <v>0</v>
      </c>
      <c r="BM452" s="1"/>
      <c r="BN452" s="1"/>
      <c r="BO452" s="1"/>
      <c r="BP452" s="1"/>
      <c r="BQ452" s="1"/>
    </row>
    <row r="453" ht="15.75" customHeight="1">
      <c r="A453" s="1" t="str">
        <f>IFERROR(__xludf.DUMMYFUNCTION("""COMPUTED_VALUE"""),"Delta Wyrm")</f>
        <v>Delta Wyrm</v>
      </c>
      <c r="B453" s="1">
        <f>IFERROR(__xludf.DUMMYFUNCTION("""COMPUTED_VALUE"""),1.0)</f>
        <v>1</v>
      </c>
      <c r="C453" s="1"/>
      <c r="D453" s="1" t="str">
        <f>IFERROR(__xludf.DUMMYFUNCTION("""COMPUTED_VALUE"""),"Draconic")</f>
        <v>Draconic</v>
      </c>
      <c r="E453" s="1">
        <f>IFERROR(__xludf.DUMMYFUNCTION("""COMPUTED_VALUE"""),1010.0)</f>
        <v>1010</v>
      </c>
      <c r="F453" s="7">
        <f>IFERROR(__xludf.DUMMYFUNCTION("""COMPUTED_VALUE"""),1010.0)</f>
        <v>1010</v>
      </c>
      <c r="G453" s="1">
        <f>IFERROR(__xludf.DUMMYFUNCTION("""COMPUTED_VALUE"""),1010.0)</f>
        <v>1010</v>
      </c>
      <c r="H453" s="1">
        <f>IFERROR(__xludf.DUMMYFUNCTION("""COMPUTED_VALUE"""),10.0)</f>
        <v>10</v>
      </c>
      <c r="I453" s="1">
        <f>IFERROR(__xludf.DUMMYFUNCTION("""COMPUTED_VALUE"""),0.0)</f>
        <v>0</v>
      </c>
      <c r="J453" s="1">
        <f>IFERROR(__xludf.DUMMYFUNCTION("""COMPUTED_VALUE"""),0.0)</f>
        <v>0</v>
      </c>
      <c r="K453" s="1">
        <f>IFERROR(__xludf.DUMMYFUNCTION("""COMPUTED_VALUE"""),100.0)</f>
        <v>100</v>
      </c>
      <c r="L453" s="1">
        <f>IFERROR(__xludf.DUMMYFUNCTION("""COMPUTED_VALUE"""),100.0)</f>
        <v>100</v>
      </c>
      <c r="M453" s="1" t="str">
        <f>IFERROR(__xludf.DUMMYFUNCTION("""COMPUTED_VALUE"""),"")</f>
        <v/>
      </c>
      <c r="N453" s="1" t="str">
        <f>IFERROR(__xludf.DUMMYFUNCTION("""COMPUTED_VALUE"""),"")</f>
        <v/>
      </c>
      <c r="O453" s="1"/>
      <c r="P453" s="1"/>
      <c r="Q453" s="1"/>
      <c r="R453" s="1"/>
      <c r="S453" s="1"/>
      <c r="T453" s="1"/>
      <c r="U453" s="1"/>
      <c r="V453" s="1"/>
      <c r="W453" s="1"/>
      <c r="X453" s="1"/>
      <c r="Y453" s="1"/>
      <c r="Z453" s="1"/>
      <c r="AA453" s="1"/>
      <c r="AB453" s="1"/>
      <c r="AC453" s="1"/>
      <c r="AD453" s="1"/>
      <c r="AE453" s="1"/>
      <c r="AF453" s="1"/>
      <c r="AG453" s="1"/>
      <c r="AH453" s="1"/>
      <c r="AI453" s="1"/>
      <c r="AJ453" s="1" t="str">
        <f>IFERROR(__xludf.DUMMYFUNCTION("""COMPUTED_VALUE"""),"Dragon's Breath")</f>
        <v>Dragon's Breath</v>
      </c>
      <c r="AK453" s="1" t="str">
        <f>IFERROR(__xludf.DUMMYFUNCTION("""COMPUTED_VALUE"""),"Bite")</f>
        <v>Bite</v>
      </c>
      <c r="AL453" s="1" t="str">
        <f>IFERROR(__xludf.DUMMYFUNCTION("""COMPUTED_VALUE"""),"Claws")</f>
        <v>Claws</v>
      </c>
      <c r="AM453" s="1" t="str">
        <f>IFERROR(__xludf.DUMMYFUNCTION("""COMPUTED_VALUE"""),"Berserk")</f>
        <v>Berserk</v>
      </c>
      <c r="AN453" s="1" t="str">
        <f>IFERROR(__xludf.DUMMYFUNCTION("""COMPUTED_VALUE"""),"Draconic Scream")</f>
        <v>Draconic Scream</v>
      </c>
      <c r="AO453" s="1" t="str">
        <f>IFERROR(__xludf.DUMMYFUNCTION("""COMPUTED_VALUE"""),"Delta World")</f>
        <v>Delta World</v>
      </c>
      <c r="AP453" s="1" t="str">
        <f>IFERROR(__xludf.DUMMYFUNCTION("""COMPUTED_VALUE"""),"Chaincast")</f>
        <v>Chaincast</v>
      </c>
      <c r="AQ453" s="1" t="str">
        <f>IFERROR(__xludf.DUMMYFUNCTION("""COMPUTED_VALUE"""),"Delta Rock &amp; Roll")</f>
        <v>Delta Rock &amp; Roll</v>
      </c>
      <c r="AR453" s="1" t="str">
        <f>IFERROR(__xludf.DUMMYFUNCTION("""COMPUTED_VALUE"""),"Elemental Storm")</f>
        <v>Elemental Storm</v>
      </c>
      <c r="AS453" s="1" t="str">
        <f>IFERROR(__xludf.DUMMYFUNCTION("""COMPUTED_VALUE"""),"Dreading Storm")</f>
        <v>Dreading Storm</v>
      </c>
      <c r="AT453" s="1" t="str">
        <f>IFERROR(__xludf.DUMMYFUNCTION("""COMPUTED_VALUE"""),"Stun Negation")</f>
        <v>Stun Negation</v>
      </c>
      <c r="AU453" s="1" t="str">
        <f>IFERROR(__xludf.DUMMYFUNCTION("""COMPUTED_VALUE"""),"Celestial Wrath")</f>
        <v>Celestial Wrath</v>
      </c>
      <c r="AV453" s="1"/>
      <c r="AW453" s="1"/>
      <c r="AX453" s="1"/>
      <c r="AY453" s="1"/>
      <c r="AZ453" s="1"/>
      <c r="BA453" s="1"/>
      <c r="BB453" s="1"/>
      <c r="BC453" s="1"/>
      <c r="BD453" s="1">
        <f>IFERROR(__xludf.DUMMYFUNCTION("""COMPUTED_VALUE"""),0.0)</f>
        <v>0</v>
      </c>
      <c r="BE453" s="9">
        <f>IFERROR(__xludf.DUMMYFUNCTION("""COMPUTED_VALUE"""),10.0)</f>
        <v>10</v>
      </c>
      <c r="BF453" s="1" t="str">
        <f>IFERROR(__xludf.DUMMYFUNCTION("""COMPUTED_VALUE"""),"Dragons Luck: +5 can be added to this mobs d20 rolls.")</f>
        <v>Dragons Luck: +5 can be added to this mobs d20 rolls.</v>
      </c>
      <c r="BG453" s="1" t="str">
        <f>IFERROR(__xludf.DUMMYFUNCTION("""COMPUTED_VALUE"""),"All")</f>
        <v>All</v>
      </c>
      <c r="BH453" s="1" t="str">
        <f>IFERROR(__xludf.DUMMYFUNCTION("""COMPUTED_VALUE"""),"Land of Spira")</f>
        <v>Land of Spira</v>
      </c>
      <c r="BI453" s="1"/>
      <c r="BJ453" s="1"/>
      <c r="BK453" s="1"/>
      <c r="BL453" s="1" t="b">
        <f>IFERROR(__xludf.DUMMYFUNCTION("""COMPUTED_VALUE"""),FALSE)</f>
        <v>0</v>
      </c>
      <c r="BM453" s="1"/>
      <c r="BN453" s="1"/>
      <c r="BO453" s="1"/>
      <c r="BP453" s="1"/>
      <c r="BQ453" s="1"/>
    </row>
    <row r="454" ht="15.75" customHeight="1">
      <c r="A454" s="1" t="str">
        <f>IFERROR(__xludf.DUMMYFUNCTION("""COMPUTED_VALUE"""),"Frost Wyrm")</f>
        <v>Frost Wyrm</v>
      </c>
      <c r="B454" s="1">
        <f>IFERROR(__xludf.DUMMYFUNCTION("""COMPUTED_VALUE"""),1.0)</f>
        <v>1</v>
      </c>
      <c r="C454" s="1"/>
      <c r="D454" s="1" t="str">
        <f>IFERROR(__xludf.DUMMYFUNCTION("""COMPUTED_VALUE"""),"Draconic")</f>
        <v>Draconic</v>
      </c>
      <c r="E454" s="1">
        <f>IFERROR(__xludf.DUMMYFUNCTION("""COMPUTED_VALUE"""),1010.0)</f>
        <v>1010</v>
      </c>
      <c r="F454" s="7">
        <f>IFERROR(__xludf.DUMMYFUNCTION("""COMPUTED_VALUE"""),1010.0)</f>
        <v>1010</v>
      </c>
      <c r="G454" s="1">
        <f>IFERROR(__xludf.DUMMYFUNCTION("""COMPUTED_VALUE"""),1010.0)</f>
        <v>1010</v>
      </c>
      <c r="H454" s="1">
        <f>IFERROR(__xludf.DUMMYFUNCTION("""COMPUTED_VALUE"""),10.0)</f>
        <v>10</v>
      </c>
      <c r="I454" s="1">
        <f>IFERROR(__xludf.DUMMYFUNCTION("""COMPUTED_VALUE"""),0.0)</f>
        <v>0</v>
      </c>
      <c r="J454" s="1">
        <f>IFERROR(__xludf.DUMMYFUNCTION("""COMPUTED_VALUE"""),0.0)</f>
        <v>0</v>
      </c>
      <c r="K454" s="1">
        <f>IFERROR(__xludf.DUMMYFUNCTION("""COMPUTED_VALUE"""),100.0)</f>
        <v>100</v>
      </c>
      <c r="L454" s="1">
        <f>IFERROR(__xludf.DUMMYFUNCTION("""COMPUTED_VALUE"""),100.0)</f>
        <v>100</v>
      </c>
      <c r="M454" s="1" t="str">
        <f>IFERROR(__xludf.DUMMYFUNCTION("""COMPUTED_VALUE"""),"Water:50, ")</f>
        <v>Water:50, </v>
      </c>
      <c r="N454" s="1" t="str">
        <f>IFERROR(__xludf.DUMMYFUNCTION("""COMPUTED_VALUE"""),"Fire:100, Nature:100, ")</f>
        <v>Fire:100, Nature:100, </v>
      </c>
      <c r="O454" s="1"/>
      <c r="P454" s="1"/>
      <c r="Q454" s="1"/>
      <c r="R454" s="1"/>
      <c r="S454" s="1"/>
      <c r="T454" s="1"/>
      <c r="U454" s="1"/>
      <c r="V454" s="1"/>
      <c r="W454" s="1"/>
      <c r="X454" s="1"/>
      <c r="Y454" s="1"/>
      <c r="Z454" s="1"/>
      <c r="AA454" s="1"/>
      <c r="AB454" s="1"/>
      <c r="AC454" s="1"/>
      <c r="AD454" s="1"/>
      <c r="AE454" s="1"/>
      <c r="AF454" s="1"/>
      <c r="AG454" s="1"/>
      <c r="AH454" s="1"/>
      <c r="AI454" s="1"/>
      <c r="AJ454" s="1" t="str">
        <f>IFERROR(__xludf.DUMMYFUNCTION("""COMPUTED_VALUE"""),"Dragon's Breath")</f>
        <v>Dragon's Breath</v>
      </c>
      <c r="AK454" s="1" t="str">
        <f>IFERROR(__xludf.DUMMYFUNCTION("""COMPUTED_VALUE"""),"Bite")</f>
        <v>Bite</v>
      </c>
      <c r="AL454" s="1" t="str">
        <f>IFERROR(__xludf.DUMMYFUNCTION("""COMPUTED_VALUE"""),"Claws")</f>
        <v>Claws</v>
      </c>
      <c r="AM454" s="1" t="str">
        <f>IFERROR(__xludf.DUMMYFUNCTION("""COMPUTED_VALUE"""),"Berserk")</f>
        <v>Berserk</v>
      </c>
      <c r="AN454" s="1" t="str">
        <f>IFERROR(__xludf.DUMMYFUNCTION("""COMPUTED_VALUE"""),"Draconic Scream")</f>
        <v>Draconic Scream</v>
      </c>
      <c r="AO454" s="1" t="str">
        <f>IFERROR(__xludf.DUMMYFUNCTION("""COMPUTED_VALUE"""),"Draconic Scream")</f>
        <v>Draconic Scream</v>
      </c>
      <c r="AP454" s="1" t="str">
        <f>IFERROR(__xludf.DUMMYFUNCTION("""COMPUTED_VALUE"""),"Freezing Fog")</f>
        <v>Freezing Fog</v>
      </c>
      <c r="AQ454" s="1" t="str">
        <f>IFERROR(__xludf.DUMMYFUNCTION("""COMPUTED_VALUE"""),"HailStorm")</f>
        <v>HailStorm</v>
      </c>
      <c r="AR454" s="1" t="str">
        <f>IFERROR(__xludf.DUMMYFUNCTION("""COMPUTED_VALUE"""),"Blizzard")</f>
        <v>Blizzard</v>
      </c>
      <c r="AS454" s="1" t="str">
        <f>IFERROR(__xludf.DUMMYFUNCTION("""COMPUTED_VALUE"""),"Celestial Wrath")</f>
        <v>Celestial Wrath</v>
      </c>
      <c r="AT454" s="1" t="str">
        <f>IFERROR(__xludf.DUMMYFUNCTION("""COMPUTED_VALUE"""),"Chain Lightning")</f>
        <v>Chain Lightning</v>
      </c>
      <c r="AU454" s="1"/>
      <c r="AV454" s="1"/>
      <c r="AW454" s="1"/>
      <c r="AX454" s="1"/>
      <c r="AY454" s="1"/>
      <c r="AZ454" s="1"/>
      <c r="BA454" s="1"/>
      <c r="BB454" s="1"/>
      <c r="BC454" s="1"/>
      <c r="BD454" s="1">
        <f>IFERROR(__xludf.DUMMYFUNCTION("""COMPUTED_VALUE"""),0.0)</f>
        <v>0</v>
      </c>
      <c r="BE454" s="9">
        <f>IFERROR(__xludf.DUMMYFUNCTION("""COMPUTED_VALUE"""),10.0)</f>
        <v>10</v>
      </c>
      <c r="BF454" s="1" t="str">
        <f>IFERROR(__xludf.DUMMYFUNCTION("""COMPUTED_VALUE"""),"Dragons Luck: +5 can be added to this mobs d20 rolls.
Immune to freezing")</f>
        <v>Dragons Luck: +5 can be added to this mobs d20 rolls.
Immune to freezing</v>
      </c>
      <c r="BG454" s="1" t="str">
        <f>IFERROR(__xludf.DUMMYFUNCTION("""COMPUTED_VALUE"""),"All")</f>
        <v>All</v>
      </c>
      <c r="BH454" s="1" t="str">
        <f>IFERROR(__xludf.DUMMYFUNCTION("""COMPUTED_VALUE"""),"Land of Spira")</f>
        <v>Land of Spira</v>
      </c>
      <c r="BI454" s="1"/>
      <c r="BJ454" s="1"/>
      <c r="BK454" s="1"/>
      <c r="BL454" s="1" t="b">
        <f>IFERROR(__xludf.DUMMYFUNCTION("""COMPUTED_VALUE"""),FALSE)</f>
        <v>0</v>
      </c>
      <c r="BM454" s="1"/>
      <c r="BN454" s="1"/>
      <c r="BO454" s="1"/>
      <c r="BP454" s="1"/>
      <c r="BQ454" s="1"/>
    </row>
    <row r="455" ht="15.75" customHeight="1">
      <c r="A455" s="1" t="str">
        <f>IFERROR(__xludf.DUMMYFUNCTION("""COMPUTED_VALUE"""),"Soul Wyrm")</f>
        <v>Soul Wyrm</v>
      </c>
      <c r="B455" s="1">
        <f>IFERROR(__xludf.DUMMYFUNCTION("""COMPUTED_VALUE"""),1.0)</f>
        <v>1</v>
      </c>
      <c r="C455" s="1"/>
      <c r="D455" s="1" t="str">
        <f>IFERROR(__xludf.DUMMYFUNCTION("""COMPUTED_VALUE"""),"Draconic")</f>
        <v>Draconic</v>
      </c>
      <c r="E455" s="1">
        <f>IFERROR(__xludf.DUMMYFUNCTION("""COMPUTED_VALUE"""),1010.0)</f>
        <v>1010</v>
      </c>
      <c r="F455" s="7">
        <f>IFERROR(__xludf.DUMMYFUNCTION("""COMPUTED_VALUE"""),1010.0)</f>
        <v>1010</v>
      </c>
      <c r="G455" s="1">
        <f>IFERROR(__xludf.DUMMYFUNCTION("""COMPUTED_VALUE"""),1010.0)</f>
        <v>1010</v>
      </c>
      <c r="H455" s="1">
        <f>IFERROR(__xludf.DUMMYFUNCTION("""COMPUTED_VALUE"""),10.0)</f>
        <v>10</v>
      </c>
      <c r="I455" s="1">
        <f>IFERROR(__xludf.DUMMYFUNCTION("""COMPUTED_VALUE"""),0.0)</f>
        <v>0</v>
      </c>
      <c r="J455" s="1">
        <f>IFERROR(__xludf.DUMMYFUNCTION("""COMPUTED_VALUE"""),0.0)</f>
        <v>0</v>
      </c>
      <c r="K455" s="1">
        <f>IFERROR(__xludf.DUMMYFUNCTION("""COMPUTED_VALUE"""),100.0)</f>
        <v>100</v>
      </c>
      <c r="L455" s="1">
        <f>IFERROR(__xludf.DUMMYFUNCTION("""COMPUTED_VALUE"""),100.0)</f>
        <v>100</v>
      </c>
      <c r="M455" s="1" t="str">
        <f>IFERROR(__xludf.DUMMYFUNCTION("""COMPUTED_VALUE"""),"Spirit:50, ")</f>
        <v>Spirit:50, </v>
      </c>
      <c r="N455" s="1" t="str">
        <f>IFERROR(__xludf.DUMMYFUNCTION("""COMPUTED_VALUE"""),"Fire:100, Light:100, ")</f>
        <v>Fire:100, Light:100, </v>
      </c>
      <c r="O455" s="1"/>
      <c r="P455" s="1"/>
      <c r="Q455" s="1"/>
      <c r="R455" s="1"/>
      <c r="S455" s="1"/>
      <c r="T455" s="1"/>
      <c r="U455" s="1"/>
      <c r="V455" s="1"/>
      <c r="W455" s="1"/>
      <c r="X455" s="1"/>
      <c r="Y455" s="1"/>
      <c r="Z455" s="1"/>
      <c r="AA455" s="1"/>
      <c r="AB455" s="1"/>
      <c r="AC455" s="1"/>
      <c r="AD455" s="1"/>
      <c r="AE455" s="1"/>
      <c r="AF455" s="1"/>
      <c r="AG455" s="1"/>
      <c r="AH455" s="1"/>
      <c r="AI455" s="1"/>
      <c r="AJ455" s="1" t="str">
        <f>IFERROR(__xludf.DUMMYFUNCTION("""COMPUTED_VALUE"""),"Dragon's Breath")</f>
        <v>Dragon's Breath</v>
      </c>
      <c r="AK455" s="1" t="str">
        <f>IFERROR(__xludf.DUMMYFUNCTION("""COMPUTED_VALUE"""),"Bite")</f>
        <v>Bite</v>
      </c>
      <c r="AL455" s="1" t="str">
        <f>IFERROR(__xludf.DUMMYFUNCTION("""COMPUTED_VALUE"""),"Claws")</f>
        <v>Claws</v>
      </c>
      <c r="AM455" s="1" t="str">
        <f>IFERROR(__xludf.DUMMYFUNCTION("""COMPUTED_VALUE"""),"Berserk")</f>
        <v>Berserk</v>
      </c>
      <c r="AN455" s="1" t="str">
        <f>IFERROR(__xludf.DUMMYFUNCTION("""COMPUTED_VALUE"""),"Draconic Scream")</f>
        <v>Draconic Scream</v>
      </c>
      <c r="AO455" s="1" t="str">
        <f>IFERROR(__xludf.DUMMYFUNCTION("""COMPUTED_VALUE"""),"Draconic Scream")</f>
        <v>Draconic Scream</v>
      </c>
      <c r="AP455" s="1" t="str">
        <f>IFERROR(__xludf.DUMMYFUNCTION("""COMPUTED_VALUE"""),"Spirit Fog")</f>
        <v>Spirit Fog</v>
      </c>
      <c r="AQ455" s="1" t="str">
        <f>IFERROR(__xludf.DUMMYFUNCTION("""COMPUTED_VALUE"""),"Rain of Souls")</f>
        <v>Rain of Souls</v>
      </c>
      <c r="AR455" s="1" t="str">
        <f>IFERROR(__xludf.DUMMYFUNCTION("""COMPUTED_VALUE"""),"Soul Trap")</f>
        <v>Soul Trap</v>
      </c>
      <c r="AS455" s="1" t="str">
        <f>IFERROR(__xludf.DUMMYFUNCTION("""COMPUTED_VALUE"""),"Celestial Wrath")</f>
        <v>Celestial Wrath</v>
      </c>
      <c r="AT455" s="1" t="str">
        <f>IFERROR(__xludf.DUMMYFUNCTION("""COMPUTED_VALUE"""),"Spirit Fog")</f>
        <v>Spirit Fog</v>
      </c>
      <c r="AU455" s="1"/>
      <c r="AV455" s="1"/>
      <c r="AW455" s="1"/>
      <c r="AX455" s="1"/>
      <c r="AY455" s="1"/>
      <c r="AZ455" s="1"/>
      <c r="BA455" s="1"/>
      <c r="BB455" s="1"/>
      <c r="BC455" s="1"/>
      <c r="BD455" s="1">
        <f>IFERROR(__xludf.DUMMYFUNCTION("""COMPUTED_VALUE"""),0.0)</f>
        <v>0</v>
      </c>
      <c r="BE455" s="9">
        <f>IFERROR(__xludf.DUMMYFUNCTION("""COMPUTED_VALUE"""),10.0)</f>
        <v>10</v>
      </c>
      <c r="BF455" s="1" t="str">
        <f>IFERROR(__xludf.DUMMYFUNCTION("""COMPUTED_VALUE"""),"Dragons Luck: +5 can be added to this mobs d20 rolls.
Spirit - Immune to Blood and Possession, Will live on 1HP unless hit with a Light, Spirit, or Celestial attack. Cannot be immune to Light, Spirit, and Celestial.")</f>
        <v>Dragons Luck: +5 can be added to this mobs d20 rolls.
Spirit - Immune to Blood and Possession, Will live on 1HP unless hit with a Light, Spirit, or Celestial attack. Cannot be immune to Light, Spirit, and Celestial.</v>
      </c>
      <c r="BG455" s="1" t="str">
        <f>IFERROR(__xludf.DUMMYFUNCTION("""COMPUTED_VALUE"""),"All")</f>
        <v>All</v>
      </c>
      <c r="BH455" s="1" t="str">
        <f>IFERROR(__xludf.DUMMYFUNCTION("""COMPUTED_VALUE"""),"Land of Spira")</f>
        <v>Land of Spira</v>
      </c>
      <c r="BI455" s="1"/>
      <c r="BJ455" s="1"/>
      <c r="BK455" s="1"/>
      <c r="BL455" s="1" t="b">
        <f>IFERROR(__xludf.DUMMYFUNCTION("""COMPUTED_VALUE"""),FALSE)</f>
        <v>0</v>
      </c>
      <c r="BM455" s="1"/>
      <c r="BN455" s="1"/>
      <c r="BO455" s="1"/>
      <c r="BP455" s="1"/>
      <c r="BQ455" s="1"/>
    </row>
    <row r="456" ht="15.75" customHeight="1">
      <c r="A456" s="1" t="str">
        <f>IFERROR(__xludf.DUMMYFUNCTION("""COMPUTED_VALUE"""),"Spirit Wyrm")</f>
        <v>Spirit Wyrm</v>
      </c>
      <c r="B456" s="1">
        <f>IFERROR(__xludf.DUMMYFUNCTION("""COMPUTED_VALUE"""),1.0)</f>
        <v>1</v>
      </c>
      <c r="C456" s="1"/>
      <c r="D456" s="1" t="str">
        <f>IFERROR(__xludf.DUMMYFUNCTION("""COMPUTED_VALUE"""),"Draconic")</f>
        <v>Draconic</v>
      </c>
      <c r="E456" s="1">
        <f>IFERROR(__xludf.DUMMYFUNCTION("""COMPUTED_VALUE"""),1010.0)</f>
        <v>1010</v>
      </c>
      <c r="F456" s="7">
        <f>IFERROR(__xludf.DUMMYFUNCTION("""COMPUTED_VALUE"""),1010.0)</f>
        <v>1010</v>
      </c>
      <c r="G456" s="1">
        <f>IFERROR(__xludf.DUMMYFUNCTION("""COMPUTED_VALUE"""),1010.0)</f>
        <v>1010</v>
      </c>
      <c r="H456" s="1">
        <f>IFERROR(__xludf.DUMMYFUNCTION("""COMPUTED_VALUE"""),10.0)</f>
        <v>10</v>
      </c>
      <c r="I456" s="1">
        <f>IFERROR(__xludf.DUMMYFUNCTION("""COMPUTED_VALUE"""),0.0)</f>
        <v>0</v>
      </c>
      <c r="J456" s="1">
        <f>IFERROR(__xludf.DUMMYFUNCTION("""COMPUTED_VALUE"""),0.0)</f>
        <v>0</v>
      </c>
      <c r="K456" s="1">
        <f>IFERROR(__xludf.DUMMYFUNCTION("""COMPUTED_VALUE"""),100.0)</f>
        <v>100</v>
      </c>
      <c r="L456" s="1">
        <f>IFERROR(__xludf.DUMMYFUNCTION("""COMPUTED_VALUE"""),100.0)</f>
        <v>100</v>
      </c>
      <c r="M456" s="1" t="str">
        <f>IFERROR(__xludf.DUMMYFUNCTION("""COMPUTED_VALUE"""),"Spirit:50, ")</f>
        <v>Spirit:50, </v>
      </c>
      <c r="N456" s="1" t="str">
        <f>IFERROR(__xludf.DUMMYFUNCTION("""COMPUTED_VALUE"""),"Fire:100, Light:100, ")</f>
        <v>Fire:100, Light:100, </v>
      </c>
      <c r="O456" s="1"/>
      <c r="P456" s="1"/>
      <c r="Q456" s="1"/>
      <c r="R456" s="1"/>
      <c r="S456" s="1"/>
      <c r="T456" s="1"/>
      <c r="U456" s="1"/>
      <c r="V456" s="1"/>
      <c r="W456" s="1"/>
      <c r="X456" s="1"/>
      <c r="Y456" s="1"/>
      <c r="Z456" s="1"/>
      <c r="AA456" s="1"/>
      <c r="AB456" s="1"/>
      <c r="AC456" s="1"/>
      <c r="AD456" s="1"/>
      <c r="AE456" s="1"/>
      <c r="AF456" s="1"/>
      <c r="AG456" s="1"/>
      <c r="AH456" s="1"/>
      <c r="AI456" s="1"/>
      <c r="AJ456" s="1" t="str">
        <f>IFERROR(__xludf.DUMMYFUNCTION("""COMPUTED_VALUE"""),"Dragon's Breath")</f>
        <v>Dragon's Breath</v>
      </c>
      <c r="AK456" s="1" t="str">
        <f>IFERROR(__xludf.DUMMYFUNCTION("""COMPUTED_VALUE"""),"Bite")</f>
        <v>Bite</v>
      </c>
      <c r="AL456" s="1" t="str">
        <f>IFERROR(__xludf.DUMMYFUNCTION("""COMPUTED_VALUE"""),"Claws")</f>
        <v>Claws</v>
      </c>
      <c r="AM456" s="1" t="str">
        <f>IFERROR(__xludf.DUMMYFUNCTION("""COMPUTED_VALUE"""),"Berserk")</f>
        <v>Berserk</v>
      </c>
      <c r="AN456" s="1" t="str">
        <f>IFERROR(__xludf.DUMMYFUNCTION("""COMPUTED_VALUE"""),"Draconic Scream")</f>
        <v>Draconic Scream</v>
      </c>
      <c r="AO456" s="1" t="str">
        <f>IFERROR(__xludf.DUMMYFUNCTION("""COMPUTED_VALUE"""),"Draconic Scream")</f>
        <v>Draconic Scream</v>
      </c>
      <c r="AP456" s="1" t="str">
        <f>IFERROR(__xludf.DUMMYFUNCTION("""COMPUTED_VALUE"""),"A Deal With The Spirit World")</f>
        <v>A Deal With The Spirit World</v>
      </c>
      <c r="AQ456" s="1" t="str">
        <f>IFERROR(__xludf.DUMMYFUNCTION("""COMPUTED_VALUE"""),"Spirit Drain")</f>
        <v>Spirit Drain</v>
      </c>
      <c r="AR456" s="1" t="str">
        <f>IFERROR(__xludf.DUMMYFUNCTION("""COMPUTED_VALUE"""),"Possession")</f>
        <v>Possession</v>
      </c>
      <c r="AS456" s="1" t="str">
        <f>IFERROR(__xludf.DUMMYFUNCTION("""COMPUTED_VALUE"""),"Celestial Wrath")</f>
        <v>Celestial Wrath</v>
      </c>
      <c r="AT456" s="1" t="str">
        <f>IFERROR(__xludf.DUMMYFUNCTION("""COMPUTED_VALUE"""),"Spirit Fog")</f>
        <v>Spirit Fog</v>
      </c>
      <c r="AU456" s="1"/>
      <c r="AV456" s="1"/>
      <c r="AW456" s="1"/>
      <c r="AX456" s="1"/>
      <c r="AY456" s="1"/>
      <c r="AZ456" s="1"/>
      <c r="BA456" s="1"/>
      <c r="BB456" s="1"/>
      <c r="BC456" s="1"/>
      <c r="BD456" s="1">
        <f>IFERROR(__xludf.DUMMYFUNCTION("""COMPUTED_VALUE"""),0.0)</f>
        <v>0</v>
      </c>
      <c r="BE456" s="9">
        <f>IFERROR(__xludf.DUMMYFUNCTION("""COMPUTED_VALUE"""),10.0)</f>
        <v>10</v>
      </c>
      <c r="BF456" s="1" t="str">
        <f>IFERROR(__xludf.DUMMYFUNCTION("""COMPUTED_VALUE"""),"Dragons Luck: +5 can be added to this mobs d20 rolls.
Spirit - Immune to Blood and Possession, Will live on 1HP unless hit with a Light, Spirit, or Celestial attack. Cannot be immune to Light, Spirit, and Celestial.")</f>
        <v>Dragons Luck: +5 can be added to this mobs d20 rolls.
Spirit - Immune to Blood and Possession, Will live on 1HP unless hit with a Light, Spirit, or Celestial attack. Cannot be immune to Light, Spirit, and Celestial.</v>
      </c>
      <c r="BG456" s="1" t="str">
        <f>IFERROR(__xludf.DUMMYFUNCTION("""COMPUTED_VALUE"""),"All")</f>
        <v>All</v>
      </c>
      <c r="BH456" s="1" t="str">
        <f>IFERROR(__xludf.DUMMYFUNCTION("""COMPUTED_VALUE"""),"Land of Spira")</f>
        <v>Land of Spira</v>
      </c>
      <c r="BI456" s="1"/>
      <c r="BJ456" s="1"/>
      <c r="BK456" s="1"/>
      <c r="BL456" s="1" t="b">
        <f>IFERROR(__xludf.DUMMYFUNCTION("""COMPUTED_VALUE"""),FALSE)</f>
        <v>0</v>
      </c>
      <c r="BM456" s="1"/>
      <c r="BN456" s="1"/>
      <c r="BO456" s="1"/>
      <c r="BP456" s="1"/>
      <c r="BQ456" s="1"/>
    </row>
    <row r="457" ht="15.75" customHeight="1">
      <c r="A457" s="1"/>
      <c r="B457" s="1">
        <f>IFERROR(__xludf.DUMMYFUNCTION("""COMPUTED_VALUE"""),1.0)</f>
        <v>1</v>
      </c>
      <c r="C457" s="1"/>
      <c r="D457" s="1"/>
      <c r="E457" s="1">
        <f>IFERROR(__xludf.DUMMYFUNCTION("""COMPUTED_VALUE"""),1010.0)</f>
        <v>1010</v>
      </c>
      <c r="F457" s="7">
        <f>IFERROR(__xludf.DUMMYFUNCTION("""COMPUTED_VALUE"""),1010.0)</f>
        <v>1010</v>
      </c>
      <c r="G457" s="1">
        <f>IFERROR(__xludf.DUMMYFUNCTION("""COMPUTED_VALUE"""),1010.0)</f>
        <v>1010</v>
      </c>
      <c r="H457" s="1">
        <f>IFERROR(__xludf.DUMMYFUNCTION("""COMPUTED_VALUE"""),10.0)</f>
        <v>10</v>
      </c>
      <c r="I457" s="1">
        <f>IFERROR(__xludf.DUMMYFUNCTION("""COMPUTED_VALUE"""),0.0)</f>
        <v>0</v>
      </c>
      <c r="J457" s="1">
        <f>IFERROR(__xludf.DUMMYFUNCTION("""COMPUTED_VALUE"""),0.0)</f>
        <v>0</v>
      </c>
      <c r="K457" s="1">
        <f>IFERROR(__xludf.DUMMYFUNCTION("""COMPUTED_VALUE"""),100.0)</f>
        <v>100</v>
      </c>
      <c r="L457" s="1">
        <f>IFERROR(__xludf.DUMMYFUNCTION("""COMPUTED_VALUE"""),100.0)</f>
        <v>100</v>
      </c>
      <c r="M457" s="1" t="str">
        <f>IFERROR(__xludf.DUMMYFUNCTION("""COMPUTED_VALUE"""),"#N/A")</f>
        <v>#N/A</v>
      </c>
      <c r="N457" s="1" t="str">
        <f>IFERROR(__xludf.DUMMYFUNCTION("""COMPUTED_VALUE"""),"#N/A")</f>
        <v>#N/A</v>
      </c>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f>IFERROR(__xludf.DUMMYFUNCTION("""COMPUTED_VALUE"""),0.0)</f>
        <v>0</v>
      </c>
      <c r="BE457" s="9">
        <f>IFERROR(__xludf.DUMMYFUNCTION("""COMPUTED_VALUE"""),10.0)</f>
        <v>10</v>
      </c>
      <c r="BF457" s="1"/>
      <c r="BG457" s="1"/>
      <c r="BH457" s="1"/>
      <c r="BI457" s="1"/>
      <c r="BJ457" s="1"/>
      <c r="BK457" s="1"/>
      <c r="BL457" s="1" t="b">
        <f>IFERROR(__xludf.DUMMYFUNCTION("""COMPUTED_VALUE"""),FALSE)</f>
        <v>0</v>
      </c>
      <c r="BM457" s="1"/>
      <c r="BN457" s="1"/>
      <c r="BO457" s="1"/>
      <c r="BP457" s="1"/>
      <c r="BQ457" s="1"/>
    </row>
    <row r="458" ht="15.75" customHeight="1">
      <c r="A458" s="1"/>
      <c r="B458" s="1">
        <f>IFERROR(__xludf.DUMMYFUNCTION("""COMPUTED_VALUE"""),1.0)</f>
        <v>1</v>
      </c>
      <c r="C458" s="1"/>
      <c r="D458" s="1"/>
      <c r="E458" s="1">
        <f>IFERROR(__xludf.DUMMYFUNCTION("""COMPUTED_VALUE"""),1010.0)</f>
        <v>1010</v>
      </c>
      <c r="F458" s="7">
        <f>IFERROR(__xludf.DUMMYFUNCTION("""COMPUTED_VALUE"""),1010.0)</f>
        <v>1010</v>
      </c>
      <c r="G458" s="1">
        <f>IFERROR(__xludf.DUMMYFUNCTION("""COMPUTED_VALUE"""),1010.0)</f>
        <v>1010</v>
      </c>
      <c r="H458" s="1">
        <f>IFERROR(__xludf.DUMMYFUNCTION("""COMPUTED_VALUE"""),10.0)</f>
        <v>10</v>
      </c>
      <c r="I458" s="1">
        <f>IFERROR(__xludf.DUMMYFUNCTION("""COMPUTED_VALUE"""),0.0)</f>
        <v>0</v>
      </c>
      <c r="J458" s="1">
        <f>IFERROR(__xludf.DUMMYFUNCTION("""COMPUTED_VALUE"""),0.0)</f>
        <v>0</v>
      </c>
      <c r="K458" s="1">
        <f>IFERROR(__xludf.DUMMYFUNCTION("""COMPUTED_VALUE"""),100.0)</f>
        <v>100</v>
      </c>
      <c r="L458" s="1">
        <f>IFERROR(__xludf.DUMMYFUNCTION("""COMPUTED_VALUE"""),100.0)</f>
        <v>100</v>
      </c>
      <c r="M458" s="1" t="str">
        <f>IFERROR(__xludf.DUMMYFUNCTION("""COMPUTED_VALUE"""),"#N/A")</f>
        <v>#N/A</v>
      </c>
      <c r="N458" s="1" t="str">
        <f>IFERROR(__xludf.DUMMYFUNCTION("""COMPUTED_VALUE"""),"#N/A")</f>
        <v>#N/A</v>
      </c>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f>IFERROR(__xludf.DUMMYFUNCTION("""COMPUTED_VALUE"""),0.0)</f>
        <v>0</v>
      </c>
      <c r="BE458" s="9">
        <f>IFERROR(__xludf.DUMMYFUNCTION("""COMPUTED_VALUE"""),10.0)</f>
        <v>10</v>
      </c>
      <c r="BF458" s="1"/>
      <c r="BG458" s="1"/>
      <c r="BH458" s="1"/>
      <c r="BI458" s="1"/>
      <c r="BJ458" s="1"/>
      <c r="BK458" s="1"/>
      <c r="BL458" s="1" t="b">
        <f>IFERROR(__xludf.DUMMYFUNCTION("""COMPUTED_VALUE"""),FALSE)</f>
        <v>0</v>
      </c>
      <c r="BM458" s="1"/>
      <c r="BN458" s="1"/>
      <c r="BO458" s="1"/>
      <c r="BP458" s="1"/>
      <c r="BQ458" s="1"/>
    </row>
    <row r="459" ht="15.75" customHeight="1">
      <c r="A459" s="1" t="str">
        <f>IFERROR(__xludf.DUMMYFUNCTION("""COMPUTED_VALUE"""),"Undead Wyrm")</f>
        <v>Undead Wyrm</v>
      </c>
      <c r="B459" s="1">
        <f>IFERROR(__xludf.DUMMYFUNCTION("""COMPUTED_VALUE"""),1.0)</f>
        <v>1</v>
      </c>
      <c r="C459" s="1"/>
      <c r="D459" s="1" t="str">
        <f>IFERROR(__xludf.DUMMYFUNCTION("""COMPUTED_VALUE"""),"Undead")</f>
        <v>Undead</v>
      </c>
      <c r="E459" s="1">
        <f>IFERROR(__xludf.DUMMYFUNCTION("""COMPUTED_VALUE"""),1010.0)</f>
        <v>1010</v>
      </c>
      <c r="F459" s="7">
        <f>IFERROR(__xludf.DUMMYFUNCTION("""COMPUTED_VALUE"""),1010.0)</f>
        <v>1010</v>
      </c>
      <c r="G459" s="1">
        <f>IFERROR(__xludf.DUMMYFUNCTION("""COMPUTED_VALUE"""),1010.0)</f>
        <v>1010</v>
      </c>
      <c r="H459" s="1">
        <f>IFERROR(__xludf.DUMMYFUNCTION("""COMPUTED_VALUE"""),10.0)</f>
        <v>10</v>
      </c>
      <c r="I459" s="1">
        <f>IFERROR(__xludf.DUMMYFUNCTION("""COMPUTED_VALUE"""),0.0)</f>
        <v>0</v>
      </c>
      <c r="J459" s="1">
        <f>IFERROR(__xludf.DUMMYFUNCTION("""COMPUTED_VALUE"""),0.0)</f>
        <v>0</v>
      </c>
      <c r="K459" s="1">
        <f>IFERROR(__xludf.DUMMYFUNCTION("""COMPUTED_VALUE"""),100.0)</f>
        <v>100</v>
      </c>
      <c r="L459" s="1">
        <f>IFERROR(__xludf.DUMMYFUNCTION("""COMPUTED_VALUE"""),100.0)</f>
        <v>100</v>
      </c>
      <c r="M459" s="1" t="str">
        <f>IFERROR(__xludf.DUMMYFUNCTION("""COMPUTED_VALUE"""),"Dark:Immune, ")</f>
        <v>Dark:Immune, </v>
      </c>
      <c r="N459" s="1" t="str">
        <f>IFERROR(__xludf.DUMMYFUNCTION("""COMPUTED_VALUE"""),"Fire:50, Light:50, ")</f>
        <v>Fire:50, Light:50, </v>
      </c>
      <c r="O459" s="1"/>
      <c r="P459" s="1"/>
      <c r="Q459" s="1"/>
      <c r="R459" s="1"/>
      <c r="S459" s="1"/>
      <c r="T459" s="1"/>
      <c r="U459" s="1"/>
      <c r="V459" s="1"/>
      <c r="W459" s="1"/>
      <c r="X459" s="1"/>
      <c r="Y459" s="1"/>
      <c r="Z459" s="1"/>
      <c r="AA459" s="1"/>
      <c r="AB459" s="1"/>
      <c r="AC459" s="1"/>
      <c r="AD459" s="1"/>
      <c r="AE459" s="1"/>
      <c r="AF459" s="1"/>
      <c r="AG459" s="1"/>
      <c r="AH459" s="1"/>
      <c r="AI459" s="1"/>
      <c r="AJ459" s="1" t="str">
        <f>IFERROR(__xludf.DUMMYFUNCTION("""COMPUTED_VALUE"""),"Dragon's Breath")</f>
        <v>Dragon's Breath</v>
      </c>
      <c r="AK459" s="1" t="str">
        <f>IFERROR(__xludf.DUMMYFUNCTION("""COMPUTED_VALUE"""),"Bite")</f>
        <v>Bite</v>
      </c>
      <c r="AL459" s="1" t="str">
        <f>IFERROR(__xludf.DUMMYFUNCTION("""COMPUTED_VALUE"""),"Claws")</f>
        <v>Claws</v>
      </c>
      <c r="AM459" s="1" t="str">
        <f>IFERROR(__xludf.DUMMYFUNCTION("""COMPUTED_VALUE"""),"Berserk")</f>
        <v>Berserk</v>
      </c>
      <c r="AN459" s="1" t="str">
        <f>IFERROR(__xludf.DUMMYFUNCTION("""COMPUTED_VALUE"""),"Draconic Scream")</f>
        <v>Draconic Scream</v>
      </c>
      <c r="AO459" s="1" t="str">
        <f>IFERROR(__xludf.DUMMYFUNCTION("""COMPUTED_VALUE"""),"Chaincast")</f>
        <v>Chaincast</v>
      </c>
      <c r="AP459" s="1" t="str">
        <f>IFERROR(__xludf.DUMMYFUNCTION("""COMPUTED_VALUE"""),"Dark Curse")</f>
        <v>Dark Curse</v>
      </c>
      <c r="AQ459" s="1" t="str">
        <f>IFERROR(__xludf.DUMMYFUNCTION("""COMPUTED_VALUE"""),"Dark Bolt")</f>
        <v>Dark Bolt</v>
      </c>
      <c r="AR459" s="1" t="str">
        <f>IFERROR(__xludf.DUMMYFUNCTION("""COMPUTED_VALUE"""),"Darkest Abyss")</f>
        <v>Darkest Abyss</v>
      </c>
      <c r="AS459" s="1" t="str">
        <f>IFERROR(__xludf.DUMMYFUNCTION("""COMPUTED_VALUE"""),"Celestial Wrath")</f>
        <v>Celestial Wrath</v>
      </c>
      <c r="AT459" s="1"/>
      <c r="AU459" s="1"/>
      <c r="AV459" s="1"/>
      <c r="AW459" s="1"/>
      <c r="AX459" s="1"/>
      <c r="AY459" s="1"/>
      <c r="AZ459" s="1"/>
      <c r="BA459" s="1"/>
      <c r="BB459" s="1"/>
      <c r="BC459" s="1"/>
      <c r="BD459" s="1">
        <f>IFERROR(__xludf.DUMMYFUNCTION("""COMPUTED_VALUE"""),0.0)</f>
        <v>0</v>
      </c>
      <c r="BE459" s="9">
        <f>IFERROR(__xludf.DUMMYFUNCTION("""COMPUTED_VALUE"""),10.0)</f>
        <v>10</v>
      </c>
      <c r="BF459" s="1" t="str">
        <f>IFERROR(__xludf.DUMMYFUNCTION("""COMPUTED_VALUE"""),"Dragons Luck: +5 can be added to this mobs d20 rolls.
Undead - Immune to dark, Will live on 1HP unless hit with a Light, Fire, or Celestial attack. Cannot be immune to Light, Fire, and Celestial.")</f>
        <v>Dragons Luck: +5 can be added to this mobs d20 rolls.
Undead - Immune to dark, Will live on 1HP unless hit with a Light, Fire, or Celestial attack. Cannot be immune to Light, Fire, and Celestial.</v>
      </c>
      <c r="BG459" s="1" t="str">
        <f>IFERROR(__xludf.DUMMYFUNCTION("""COMPUTED_VALUE"""),"All")</f>
        <v>All</v>
      </c>
      <c r="BH459" s="1" t="str">
        <f>IFERROR(__xludf.DUMMYFUNCTION("""COMPUTED_VALUE"""),"Land of Spira")</f>
        <v>Land of Spira</v>
      </c>
      <c r="BI459" s="1"/>
      <c r="BJ459" s="1"/>
      <c r="BK459" s="1"/>
      <c r="BL459" s="1" t="b">
        <f>IFERROR(__xludf.DUMMYFUNCTION("""COMPUTED_VALUE"""),FALSE)</f>
        <v>0</v>
      </c>
      <c r="BM459" s="1"/>
      <c r="BN459" s="1"/>
      <c r="BO459" s="1"/>
      <c r="BP459" s="1"/>
      <c r="BQ459" s="1"/>
    </row>
    <row r="460" ht="15.75" customHeight="1">
      <c r="A460" s="1" t="str">
        <f>IFERROR(__xludf.DUMMYFUNCTION("""COMPUTED_VALUE"""),"Crystal Wyrm")</f>
        <v>Crystal Wyrm</v>
      </c>
      <c r="B460" s="1">
        <f>IFERROR(__xludf.DUMMYFUNCTION("""COMPUTED_VALUE"""),1.0)</f>
        <v>1</v>
      </c>
      <c r="C460" s="1"/>
      <c r="D460" s="1" t="str">
        <f>IFERROR(__xludf.DUMMYFUNCTION("""COMPUTED_VALUE"""),"Draconic")</f>
        <v>Draconic</v>
      </c>
      <c r="E460" s="1">
        <f>IFERROR(__xludf.DUMMYFUNCTION("""COMPUTED_VALUE"""),1010.0)</f>
        <v>1010</v>
      </c>
      <c r="F460" s="7">
        <f>IFERROR(__xludf.DUMMYFUNCTION("""COMPUTED_VALUE"""),1010.0)</f>
        <v>1010</v>
      </c>
      <c r="G460" s="1">
        <f>IFERROR(__xludf.DUMMYFUNCTION("""COMPUTED_VALUE"""),1010.0)</f>
        <v>1010</v>
      </c>
      <c r="H460" s="1">
        <f>IFERROR(__xludf.DUMMYFUNCTION("""COMPUTED_VALUE"""),10.0)</f>
        <v>10</v>
      </c>
      <c r="I460" s="1">
        <f>IFERROR(__xludf.DUMMYFUNCTION("""COMPUTED_VALUE"""),0.0)</f>
        <v>0</v>
      </c>
      <c r="J460" s="1">
        <f>IFERROR(__xludf.DUMMYFUNCTION("""COMPUTED_VALUE"""),0.0)</f>
        <v>0</v>
      </c>
      <c r="K460" s="1">
        <f>IFERROR(__xludf.DUMMYFUNCTION("""COMPUTED_VALUE"""),100.0)</f>
        <v>100</v>
      </c>
      <c r="L460" s="1">
        <f>IFERROR(__xludf.DUMMYFUNCTION("""COMPUTED_VALUE"""),100.0)</f>
        <v>100</v>
      </c>
      <c r="M460" s="1" t="str">
        <f>IFERROR(__xludf.DUMMYFUNCTION("""COMPUTED_VALUE"""),"")</f>
        <v/>
      </c>
      <c r="N460" s="1" t="str">
        <f>IFERROR(__xludf.DUMMYFUNCTION("""COMPUTED_VALUE"""),"Water:50, Storm:100, ")</f>
        <v>Water:50, Storm:100, </v>
      </c>
      <c r="O460" s="1"/>
      <c r="P460" s="1"/>
      <c r="Q460" s="1"/>
      <c r="R460" s="1"/>
      <c r="S460" s="1"/>
      <c r="T460" s="1"/>
      <c r="U460" s="1"/>
      <c r="V460" s="1"/>
      <c r="W460" s="1"/>
      <c r="X460" s="1"/>
      <c r="Y460" s="1"/>
      <c r="Z460" s="1"/>
      <c r="AA460" s="1"/>
      <c r="AB460" s="1"/>
      <c r="AC460" s="1"/>
      <c r="AD460" s="1"/>
      <c r="AE460" s="1"/>
      <c r="AF460" s="1"/>
      <c r="AG460" s="1"/>
      <c r="AH460" s="1"/>
      <c r="AI460" s="1"/>
      <c r="AJ460" s="1" t="str">
        <f>IFERROR(__xludf.DUMMYFUNCTION("""COMPUTED_VALUE"""),"Dragon's Breath")</f>
        <v>Dragon's Breath</v>
      </c>
      <c r="AK460" s="1" t="str">
        <f>IFERROR(__xludf.DUMMYFUNCTION("""COMPUTED_VALUE"""),"Bite")</f>
        <v>Bite</v>
      </c>
      <c r="AL460" s="1" t="str">
        <f>IFERROR(__xludf.DUMMYFUNCTION("""COMPUTED_VALUE"""),"Claws")</f>
        <v>Claws</v>
      </c>
      <c r="AM460" s="1" t="str">
        <f>IFERROR(__xludf.DUMMYFUNCTION("""COMPUTED_VALUE"""),"Berserk")</f>
        <v>Berserk</v>
      </c>
      <c r="AN460" s="1" t="str">
        <f>IFERROR(__xludf.DUMMYFUNCTION("""COMPUTED_VALUE"""),"Draconic Scream")</f>
        <v>Draconic Scream</v>
      </c>
      <c r="AO460" s="1" t="str">
        <f>IFERROR(__xludf.DUMMYFUNCTION("""COMPUTED_VALUE"""),"Chaincast")</f>
        <v>Chaincast</v>
      </c>
      <c r="AP460" s="1" t="str">
        <f>IFERROR(__xludf.DUMMYFUNCTION("""COMPUTED_VALUE"""),"Searing Saphire Strike")</f>
        <v>Searing Saphire Strike</v>
      </c>
      <c r="AQ460" s="1" t="str">
        <f>IFERROR(__xludf.DUMMYFUNCTION("""COMPUTED_VALUE"""),"Energizing Emerald Pulse")</f>
        <v>Energizing Emerald Pulse</v>
      </c>
      <c r="AR460" s="1" t="str">
        <f>IFERROR(__xludf.DUMMYFUNCTION("""COMPUTED_VALUE"""),"Molten Ruby Spikes")</f>
        <v>Molten Ruby Spikes</v>
      </c>
      <c r="AS460" s="1" t="str">
        <f>IFERROR(__xludf.DUMMYFUNCTION("""COMPUTED_VALUE"""),"Celestial Wrath")</f>
        <v>Celestial Wrath</v>
      </c>
      <c r="AT460" s="1"/>
      <c r="AU460" s="1"/>
      <c r="AV460" s="1"/>
      <c r="AW460" s="1"/>
      <c r="AX460" s="1"/>
      <c r="AY460" s="1"/>
      <c r="AZ460" s="1"/>
      <c r="BA460" s="1"/>
      <c r="BB460" s="1"/>
      <c r="BC460" s="1"/>
      <c r="BD460" s="1">
        <f>IFERROR(__xludf.DUMMYFUNCTION("""COMPUTED_VALUE"""),0.0)</f>
        <v>0</v>
      </c>
      <c r="BE460" s="9">
        <f>IFERROR(__xludf.DUMMYFUNCTION("""COMPUTED_VALUE"""),10.0)</f>
        <v>10</v>
      </c>
      <c r="BF460" s="1" t="str">
        <f>IFERROR(__xludf.DUMMYFUNCTION("""COMPUTED_VALUE"""),"Dragons Luck: +5 can be added to this mobs d20 rolls.")</f>
        <v>Dragons Luck: +5 can be added to this mobs d20 rolls.</v>
      </c>
      <c r="BG460" s="1" t="str">
        <f>IFERROR(__xludf.DUMMYFUNCTION("""COMPUTED_VALUE"""),"All")</f>
        <v>All</v>
      </c>
      <c r="BH460" s="1" t="str">
        <f>IFERROR(__xludf.DUMMYFUNCTION("""COMPUTED_VALUE"""),"Land of Spira")</f>
        <v>Land of Spira</v>
      </c>
      <c r="BI460" s="1"/>
      <c r="BJ460" s="1"/>
      <c r="BK460" s="1"/>
      <c r="BL460" s="1" t="b">
        <f>IFERROR(__xludf.DUMMYFUNCTION("""COMPUTED_VALUE"""),FALSE)</f>
        <v>0</v>
      </c>
      <c r="BM460" s="1"/>
      <c r="BN460" s="1"/>
      <c r="BO460" s="1"/>
      <c r="BP460" s="1"/>
      <c r="BQ460" s="1"/>
    </row>
    <row r="461" ht="15.75" customHeight="1">
      <c r="A461" s="1" t="str">
        <f>IFERROR(__xludf.DUMMYFUNCTION("""COMPUTED_VALUE"""),"Komodo Dragon")</f>
        <v>Komodo Dragon</v>
      </c>
      <c r="B461" s="1">
        <f>IFERROR(__xludf.DUMMYFUNCTION("""COMPUTED_VALUE"""),1.0)</f>
        <v>1</v>
      </c>
      <c r="C461" s="1"/>
      <c r="D461" s="1" t="str">
        <f>IFERROR(__xludf.DUMMYFUNCTION("""COMPUTED_VALUE"""),"Draconic")</f>
        <v>Draconic</v>
      </c>
      <c r="E461" s="1">
        <f>IFERROR(__xludf.DUMMYFUNCTION("""COMPUTED_VALUE"""),1010.0)</f>
        <v>1010</v>
      </c>
      <c r="F461" s="7">
        <f>IFERROR(__xludf.DUMMYFUNCTION("""COMPUTED_VALUE"""),1010.0)</f>
        <v>1010</v>
      </c>
      <c r="G461" s="1">
        <f>IFERROR(__xludf.DUMMYFUNCTION("""COMPUTED_VALUE"""),1010.0)</f>
        <v>1010</v>
      </c>
      <c r="H461" s="1">
        <f>IFERROR(__xludf.DUMMYFUNCTION("""COMPUTED_VALUE"""),10.0)</f>
        <v>10</v>
      </c>
      <c r="I461" s="1">
        <f>IFERROR(__xludf.DUMMYFUNCTION("""COMPUTED_VALUE"""),0.0)</f>
        <v>0</v>
      </c>
      <c r="J461" s="1">
        <f>IFERROR(__xludf.DUMMYFUNCTION("""COMPUTED_VALUE"""),0.0)</f>
        <v>0</v>
      </c>
      <c r="K461" s="1">
        <f>IFERROR(__xludf.DUMMYFUNCTION("""COMPUTED_VALUE"""),100.0)</f>
        <v>100</v>
      </c>
      <c r="L461" s="1">
        <f>IFERROR(__xludf.DUMMYFUNCTION("""COMPUTED_VALUE"""),100.0)</f>
        <v>100</v>
      </c>
      <c r="M461" s="1" t="str">
        <f>IFERROR(__xludf.DUMMYFUNCTION("""COMPUTED_VALUE"""),"Nature:Immune, ")</f>
        <v>Nature:Immune, </v>
      </c>
      <c r="N461" s="1" t="str">
        <f>IFERROR(__xludf.DUMMYFUNCTION("""COMPUTED_VALUE"""),"")</f>
        <v/>
      </c>
      <c r="O461" s="1"/>
      <c r="P461" s="1"/>
      <c r="Q461" s="1"/>
      <c r="R461" s="1"/>
      <c r="S461" s="1"/>
      <c r="T461" s="1"/>
      <c r="U461" s="1"/>
      <c r="V461" s="1"/>
      <c r="W461" s="1"/>
      <c r="X461" s="1"/>
      <c r="Y461" s="1"/>
      <c r="Z461" s="1"/>
      <c r="AA461" s="1"/>
      <c r="AB461" s="1"/>
      <c r="AC461" s="1"/>
      <c r="AD461" s="1"/>
      <c r="AE461" s="1"/>
      <c r="AF461" s="1"/>
      <c r="AG461" s="1"/>
      <c r="AH461" s="1"/>
      <c r="AI461" s="1"/>
      <c r="AJ461" s="1" t="str">
        <f>IFERROR(__xludf.DUMMYFUNCTION("""COMPUTED_VALUE"""),"Dragon's Breath")</f>
        <v>Dragon's Breath</v>
      </c>
      <c r="AK461" s="1" t="str">
        <f>IFERROR(__xludf.DUMMYFUNCTION("""COMPUTED_VALUE"""),"Acidic Spit")</f>
        <v>Acidic Spit</v>
      </c>
      <c r="AL461" s="1" t="str">
        <f>IFERROR(__xludf.DUMMYFUNCTION("""COMPUTED_VALUE"""),"Acidic Claws")</f>
        <v>Acidic Claws</v>
      </c>
      <c r="AM461" s="1" t="str">
        <f>IFERROR(__xludf.DUMMYFUNCTION("""COMPUTED_VALUE"""),"Acidic Jaws")</f>
        <v>Acidic Jaws</v>
      </c>
      <c r="AN461" s="1" t="str">
        <f>IFERROR(__xludf.DUMMYFUNCTION("""COMPUTED_VALUE"""),"Berserk")</f>
        <v>Berserk</v>
      </c>
      <c r="AO461" s="1" t="str">
        <f>IFERROR(__xludf.DUMMYFUNCTION("""COMPUTED_VALUE"""),"Double Strike")</f>
        <v>Double Strike</v>
      </c>
      <c r="AP461" s="1" t="str">
        <f>IFERROR(__xludf.DUMMYFUNCTION("""COMPUTED_VALUE"""),"Barkskin")</f>
        <v>Barkskin</v>
      </c>
      <c r="AQ461" s="1" t="str">
        <f>IFERROR(__xludf.DUMMYFUNCTION("""COMPUTED_VALUE"""),"Nature Ward")</f>
        <v>Nature Ward</v>
      </c>
      <c r="AR461" s="1" t="str">
        <f>IFERROR(__xludf.DUMMYFUNCTION("""COMPUTED_VALUE"""),"Entangle")</f>
        <v>Entangle</v>
      </c>
      <c r="AS461" s="1"/>
      <c r="AT461" s="1"/>
      <c r="AU461" s="1"/>
      <c r="AV461" s="1"/>
      <c r="AW461" s="1"/>
      <c r="AX461" s="1"/>
      <c r="AY461" s="1"/>
      <c r="AZ461" s="1"/>
      <c r="BA461" s="1"/>
      <c r="BB461" s="1"/>
      <c r="BC461" s="1"/>
      <c r="BD461" s="1">
        <f>IFERROR(__xludf.DUMMYFUNCTION("""COMPUTED_VALUE"""),0.0)</f>
        <v>0</v>
      </c>
      <c r="BE461" s="9">
        <f>IFERROR(__xludf.DUMMYFUNCTION("""COMPUTED_VALUE"""),10.0)</f>
        <v>10</v>
      </c>
      <c r="BF461" s="1" t="str">
        <f>IFERROR(__xludf.DUMMYFUNCTION("""COMPUTED_VALUE"""),"Dragons Luck: +5 can be added to this mobs d20 rolls.
Acidic Slash - When this mob deals damage to enemy(s) They Take Poison 1000 per round. 
Acidic Armor - When this mob takes damage the damager takes Poison 1000 per round.
Diseased Venom - When this "&amp;"mob attacks succesfully with a natural attack, 50% chance of inflicting the ""Draconic Venomflux"" Disease to the enemies affected.")</f>
        <v>Dragons Luck: +5 can be added to this mobs d20 rolls.
Acidic Slash - When this mob deals damage to enemy(s) They Take Poison 1000 per round. 
Acidic Armor - When this mob takes damage the damager takes Poison 1000 per round.
Diseased Venom - When this mob attacks succesfully with a natural attack, 50% chance of inflicting the "Draconic Venomflux" Disease to the enemies affected.</v>
      </c>
      <c r="BG461" s="1" t="str">
        <f>IFERROR(__xludf.DUMMYFUNCTION("""COMPUTED_VALUE"""),"All")</f>
        <v>All</v>
      </c>
      <c r="BH461" s="1" t="str">
        <f>IFERROR(__xludf.DUMMYFUNCTION("""COMPUTED_VALUE"""),"Dragonscale Island")</f>
        <v>Dragonscale Island</v>
      </c>
      <c r="BI461" s="1"/>
      <c r="BJ461" s="1"/>
      <c r="BK461" s="1"/>
      <c r="BL461" s="1" t="b">
        <f>IFERROR(__xludf.DUMMYFUNCTION("""COMPUTED_VALUE"""),FALSE)</f>
        <v>0</v>
      </c>
      <c r="BM461" s="1"/>
      <c r="BN461" s="1"/>
      <c r="BO461" s="1"/>
      <c r="BP461" s="1"/>
      <c r="BQ461" s="1"/>
    </row>
    <row r="462" ht="15.75" customHeight="1">
      <c r="A462" s="1" t="str">
        <f>IFERROR(__xludf.DUMMYFUNCTION("""COMPUTED_VALUE"""),"Lizardfolk Wizard")</f>
        <v>Lizardfolk Wizard</v>
      </c>
      <c r="B462" s="1">
        <f>IFERROR(__xludf.DUMMYFUNCTION("""COMPUTED_VALUE"""),1.0)</f>
        <v>1</v>
      </c>
      <c r="C462" s="1"/>
      <c r="D462" s="1" t="str">
        <f>IFERROR(__xludf.DUMMYFUNCTION("""COMPUTED_VALUE"""),"Humanoid")</f>
        <v>Humanoid</v>
      </c>
      <c r="E462" s="1">
        <f>IFERROR(__xludf.DUMMYFUNCTION("""COMPUTED_VALUE"""),1010.0)</f>
        <v>1010</v>
      </c>
      <c r="F462" s="7">
        <f>IFERROR(__xludf.DUMMYFUNCTION("""COMPUTED_VALUE"""),1010.0)</f>
        <v>1010</v>
      </c>
      <c r="G462" s="1">
        <f>IFERROR(__xludf.DUMMYFUNCTION("""COMPUTED_VALUE"""),1010.0)</f>
        <v>1010</v>
      </c>
      <c r="H462" s="1">
        <f>IFERROR(__xludf.DUMMYFUNCTION("""COMPUTED_VALUE"""),10.0)</f>
        <v>10</v>
      </c>
      <c r="I462" s="1">
        <f>IFERROR(__xludf.DUMMYFUNCTION("""COMPUTED_VALUE"""),0.0)</f>
        <v>0</v>
      </c>
      <c r="J462" s="1">
        <f>IFERROR(__xludf.DUMMYFUNCTION("""COMPUTED_VALUE"""),0.0)</f>
        <v>0</v>
      </c>
      <c r="K462" s="1">
        <f>IFERROR(__xludf.DUMMYFUNCTION("""COMPUTED_VALUE"""),100.0)</f>
        <v>100</v>
      </c>
      <c r="L462" s="1">
        <f>IFERROR(__xludf.DUMMYFUNCTION("""COMPUTED_VALUE"""),100.0)</f>
        <v>100</v>
      </c>
      <c r="M462" s="1" t="str">
        <f>IFERROR(__xludf.DUMMYFUNCTION("""COMPUTED_VALUE"""),"Fire:Immune, Water:Immune, Storm:Immune, Earth:Immune, Nature:Immune, Instant Death:Immune, ")</f>
        <v>Fire:Immune, Water:Immune, Storm:Immune, Earth:Immune, Nature:Immune, Instant Death:Immune, </v>
      </c>
      <c r="N462" s="1" t="str">
        <f>IFERROR(__xludf.DUMMYFUNCTION("""COMPUTED_VALUE"""),"")</f>
        <v/>
      </c>
      <c r="O462" s="1" t="str">
        <f>IFERROR(__xludf.DUMMYFUNCTION("""COMPUTED_VALUE"""),"Lizard Wizard Hat")</f>
        <v>Lizard Wizard Hat</v>
      </c>
      <c r="P462" s="1"/>
      <c r="Q462" s="1"/>
      <c r="R462" s="1"/>
      <c r="S462" s="1"/>
      <c r="T462" s="1" t="str">
        <f>IFERROR(__xludf.DUMMYFUNCTION("""COMPUTED_VALUE"""),"Lizard Wizard Robes")</f>
        <v>Lizard Wizard Robes</v>
      </c>
      <c r="U462" s="1"/>
      <c r="V462" s="1" t="str">
        <f>IFERROR(__xludf.DUMMYFUNCTION("""COMPUTED_VALUE"""),"Lizard Wizard Staff of Corroding Blizzard")</f>
        <v>Lizard Wizard Staff of Corroding Blizzard</v>
      </c>
      <c r="W462" s="1" t="str">
        <f>IFERROR(__xludf.DUMMYFUNCTION("""COMPUTED_VALUE"""),"Poison Staff")</f>
        <v>Poison Staff</v>
      </c>
      <c r="X462" s="1" t="str">
        <f>IFERROR(__xludf.DUMMYFUNCTION("""COMPUTED_VALUE"""),"Ring o’ Luck and Nature")</f>
        <v>Ring o’ Luck and Nature</v>
      </c>
      <c r="Y462" s="1" t="str">
        <f>IFERROR(__xludf.DUMMYFUNCTION("""COMPUTED_VALUE"""),"Lizard Wizard's Prized Ring")</f>
        <v>Lizard Wizard's Prized Ring</v>
      </c>
      <c r="Z462" s="1"/>
      <c r="AA462" s="1"/>
      <c r="AB462" s="1"/>
      <c r="AC462" s="1"/>
      <c r="AD462" s="1"/>
      <c r="AE462" s="1"/>
      <c r="AF462" s="1"/>
      <c r="AG462" s="1"/>
      <c r="AH462" s="1" t="str">
        <f>IFERROR(__xludf.DUMMYFUNCTION("""COMPUTED_VALUE"""),"Lizard Wizard Leggings")</f>
        <v>Lizard Wizard Leggings</v>
      </c>
      <c r="AI462" s="1" t="str">
        <f>IFERROR(__xludf.DUMMYFUNCTION("""COMPUTED_VALUE"""),"Lizard Wizard Pointed Shoes")</f>
        <v>Lizard Wizard Pointed Shoes</v>
      </c>
      <c r="AJ462" s="1" t="str">
        <f>IFERROR(__xludf.DUMMYFUNCTION("""COMPUTED_VALUE"""),"Acidic Spit")</f>
        <v>Acidic Spit</v>
      </c>
      <c r="AK462" s="1" t="str">
        <f>IFERROR(__xludf.DUMMYFUNCTION("""COMPUTED_VALUE"""),"Acidic Claws")</f>
        <v>Acidic Claws</v>
      </c>
      <c r="AL462" s="1" t="str">
        <f>IFERROR(__xludf.DUMMYFUNCTION("""COMPUTED_VALUE"""),"Berserk")</f>
        <v>Berserk</v>
      </c>
      <c r="AM462" s="1" t="str">
        <f>IFERROR(__xludf.DUMMYFUNCTION("""COMPUTED_VALUE"""),"Double Strike")</f>
        <v>Double Strike</v>
      </c>
      <c r="AN462" s="1" t="str">
        <f>IFERROR(__xludf.DUMMYFUNCTION("""COMPUTED_VALUE"""),"Nature Ward")</f>
        <v>Nature Ward</v>
      </c>
      <c r="AO462" s="1" t="str">
        <f>IFERROR(__xludf.DUMMYFUNCTION("""COMPUTED_VALUE"""),"Entangle")</f>
        <v>Entangle</v>
      </c>
      <c r="AP462" s="1" t="str">
        <f>IFERROR(__xludf.DUMMYFUNCTION("""COMPUTED_VALUE"""),"Landslide")</f>
        <v>Landslide</v>
      </c>
      <c r="AQ462" s="1" t="str">
        <f>IFERROR(__xludf.DUMMYFUNCTION("""COMPUTED_VALUE"""),"Sandstorm")</f>
        <v>Sandstorm</v>
      </c>
      <c r="AR462" s="1" t="str">
        <f>IFERROR(__xludf.DUMMYFUNCTION("""COMPUTED_VALUE"""),"Forgotten Fire")</f>
        <v>Forgotten Fire</v>
      </c>
      <c r="AS462" s="1" t="str">
        <f>IFERROR(__xludf.DUMMYFUNCTION("""COMPUTED_VALUE"""),"Flame Thrower")</f>
        <v>Flame Thrower</v>
      </c>
      <c r="AT462" s="1" t="str">
        <f>IFERROR(__xludf.DUMMYFUNCTION("""COMPUTED_VALUE"""),"Gust of Wind")</f>
        <v>Gust of Wind</v>
      </c>
      <c r="AU462" s="1" t="str">
        <f>IFERROR(__xludf.DUMMYFUNCTION("""COMPUTED_VALUE"""),"Elemental Storm")</f>
        <v>Elemental Storm</v>
      </c>
      <c r="AV462" s="1" t="str">
        <f>IFERROR(__xludf.DUMMYFUNCTION("""COMPUTED_VALUE"""),"Rain Storm")</f>
        <v>Rain Storm</v>
      </c>
      <c r="AW462" s="1" t="str">
        <f>IFERROR(__xludf.DUMMYFUNCTION("""COMPUTED_VALUE"""),"Blizzard")</f>
        <v>Blizzard</v>
      </c>
      <c r="AX462" s="1"/>
      <c r="AY462" s="1"/>
      <c r="AZ462" s="1"/>
      <c r="BA462" s="1"/>
      <c r="BB462" s="1"/>
      <c r="BC462" s="1"/>
      <c r="BD462" s="1">
        <f>IFERROR(__xludf.DUMMYFUNCTION("""COMPUTED_VALUE"""),0.0)</f>
        <v>0</v>
      </c>
      <c r="BE462" s="9">
        <f>IFERROR(__xludf.DUMMYFUNCTION("""COMPUTED_VALUE"""),10.0)</f>
        <v>10</v>
      </c>
      <c r="BF462" s="1" t="str">
        <f>IFERROR(__xludf.DUMMYFUNCTION("""COMPUTED_VALUE"""),"Dragonscale Luck: +5 Can be added to this mobs turn order roll.
Poison Immune.
This mob gains X2 additional Spell Damage.
This mob gains Haste 1 for the first round of battle.
Acidic Aura - When this mob is attacked or killed the attacker will take Po"&amp;"ison 20,000 per round.
Acidic Ward - When ""Acidic Aura"" activates this mobs HP and SP will be restored equal to 1.5% of the damage ""Acidic Aura"" deals to the enemy as long as this mob is still alive.")</f>
        <v>Dragonscale Luck: +5 Can be added to this mobs turn order roll.
Poison Immune.
This mob gains X2 additional Spell Damage.
This mob gains Haste 1 for the first round of battle.
Acidic Aura - When this mob is attacked or killed the attacker will take Poison 20,000 per round.
Acidic Ward - When "Acidic Aura" activates this mobs HP and SP will be restored equal to 1.5% of the damage "Acidic Aura" deals to the enemy as long as this mob is still alive.</v>
      </c>
      <c r="BG462" s="1" t="str">
        <f>IFERROR(__xludf.DUMMYFUNCTION("""COMPUTED_VALUE"""),"All")</f>
        <v>All</v>
      </c>
      <c r="BH462" s="1" t="str">
        <f>IFERROR(__xludf.DUMMYFUNCTION("""COMPUTED_VALUE"""),"Dragonscale Island")</f>
        <v>Dragonscale Island</v>
      </c>
      <c r="BI462" s="1"/>
      <c r="BJ462" s="1"/>
      <c r="BK462" s="1"/>
      <c r="BL462" s="1" t="b">
        <f>IFERROR(__xludf.DUMMYFUNCTION("""COMPUTED_VALUE"""),FALSE)</f>
        <v>0</v>
      </c>
      <c r="BM462" s="1"/>
      <c r="BN462" s="1"/>
      <c r="BO462" s="1"/>
      <c r="BP462" s="1"/>
      <c r="BQ462" s="1"/>
    </row>
    <row r="463" ht="15.75" customHeight="1">
      <c r="A463" s="1" t="str">
        <f>IFERROR(__xludf.DUMMYFUNCTION("""COMPUTED_VALUE"""),"Lizardfolk Thief")</f>
        <v>Lizardfolk Thief</v>
      </c>
      <c r="B463" s="1">
        <f>IFERROR(__xludf.DUMMYFUNCTION("""COMPUTED_VALUE"""),1.0)</f>
        <v>1</v>
      </c>
      <c r="C463" s="1"/>
      <c r="D463" s="1" t="str">
        <f>IFERROR(__xludf.DUMMYFUNCTION("""COMPUTED_VALUE"""),"Humanoid")</f>
        <v>Humanoid</v>
      </c>
      <c r="E463" s="1">
        <f>IFERROR(__xludf.DUMMYFUNCTION("""COMPUTED_VALUE"""),1010.0)</f>
        <v>1010</v>
      </c>
      <c r="F463" s="7">
        <f>IFERROR(__xludf.DUMMYFUNCTION("""COMPUTED_VALUE"""),1010.0)</f>
        <v>1010</v>
      </c>
      <c r="G463" s="1">
        <f>IFERROR(__xludf.DUMMYFUNCTION("""COMPUTED_VALUE"""),1010.0)</f>
        <v>1010</v>
      </c>
      <c r="H463" s="1">
        <f>IFERROR(__xludf.DUMMYFUNCTION("""COMPUTED_VALUE"""),10.0)</f>
        <v>10</v>
      </c>
      <c r="I463" s="1">
        <f>IFERROR(__xludf.DUMMYFUNCTION("""COMPUTED_VALUE"""),0.0)</f>
        <v>0</v>
      </c>
      <c r="J463" s="1">
        <f>IFERROR(__xludf.DUMMYFUNCTION("""COMPUTED_VALUE"""),0.0)</f>
        <v>0</v>
      </c>
      <c r="K463" s="1">
        <f>IFERROR(__xludf.DUMMYFUNCTION("""COMPUTED_VALUE"""),100.0)</f>
        <v>100</v>
      </c>
      <c r="L463" s="1">
        <f>IFERROR(__xludf.DUMMYFUNCTION("""COMPUTED_VALUE"""),100.0)</f>
        <v>100</v>
      </c>
      <c r="M463" s="1" t="str">
        <f>IFERROR(__xludf.DUMMYFUNCTION("""COMPUTED_VALUE"""),"Nature:Immune, ")</f>
        <v>Nature:Immune, </v>
      </c>
      <c r="N463" s="1" t="str">
        <f>IFERROR(__xludf.DUMMYFUNCTION("""COMPUTED_VALUE"""),"")</f>
        <v/>
      </c>
      <c r="O463" s="1" t="str">
        <f>IFERROR(__xludf.DUMMYFUNCTION("""COMPUTED_VALUE"""),"Lizard Thief's Bandana")</f>
        <v>Lizard Thief's Bandana</v>
      </c>
      <c r="P463" s="1"/>
      <c r="Q463" s="1"/>
      <c r="R463" s="1"/>
      <c r="S463" s="1"/>
      <c r="T463" s="1" t="str">
        <f>IFERROR(__xludf.DUMMYFUNCTION("""COMPUTED_VALUE"""),"Lizard Thief's Leathers")</f>
        <v>Lizard Thief's Leathers</v>
      </c>
      <c r="U463" s="1"/>
      <c r="V463" s="1" t="str">
        <f>IFERROR(__xludf.DUMMYFUNCTION("""COMPUTED_VALUE"""),"Lizard Thief's Shiny Swiper")</f>
        <v>Lizard Thief's Shiny Swiper</v>
      </c>
      <c r="W463" s="1" t="str">
        <f>IFERROR(__xludf.DUMMYFUNCTION("""COMPUTED_VALUE"""),"Poison Dart Gun")</f>
        <v>Poison Dart Gun</v>
      </c>
      <c r="X463" s="1" t="str">
        <f>IFERROR(__xludf.DUMMYFUNCTION("""COMPUTED_VALUE"""),"Ring o’ Luck and Nature")</f>
        <v>Ring o’ Luck and Nature</v>
      </c>
      <c r="Y463" s="1"/>
      <c r="Z463" s="1"/>
      <c r="AA463" s="1"/>
      <c r="AB463" s="1"/>
      <c r="AC463" s="1"/>
      <c r="AD463" s="1"/>
      <c r="AE463" s="1"/>
      <c r="AF463" s="1"/>
      <c r="AG463" s="1"/>
      <c r="AH463" s="1" t="str">
        <f>IFERROR(__xludf.DUMMYFUNCTION("""COMPUTED_VALUE"""),"Lizard Thief's Pants")</f>
        <v>Lizard Thief's Pants</v>
      </c>
      <c r="AI463" s="1" t="str">
        <f>IFERROR(__xludf.DUMMYFUNCTION("""COMPUTED_VALUE"""),"Lizard Thief's Boots")</f>
        <v>Lizard Thief's Boots</v>
      </c>
      <c r="AJ463" s="1" t="str">
        <f>IFERROR(__xludf.DUMMYFUNCTION("""COMPUTED_VALUE"""),"Acidic Spit")</f>
        <v>Acidic Spit</v>
      </c>
      <c r="AK463" s="1" t="str">
        <f>IFERROR(__xludf.DUMMYFUNCTION("""COMPUTED_VALUE"""),"Acidic Claws")</f>
        <v>Acidic Claws</v>
      </c>
      <c r="AL463" s="1" t="str">
        <f>IFERROR(__xludf.DUMMYFUNCTION("""COMPUTED_VALUE"""),"Berserk")</f>
        <v>Berserk</v>
      </c>
      <c r="AM463" s="1" t="str">
        <f>IFERROR(__xludf.DUMMYFUNCTION("""COMPUTED_VALUE"""),"Double Strike")</f>
        <v>Double Strike</v>
      </c>
      <c r="AN463" s="1" t="str">
        <f>IFERROR(__xludf.DUMMYFUNCTION("""COMPUTED_VALUE"""),"Nature Ward")</f>
        <v>Nature Ward</v>
      </c>
      <c r="AO463" s="1" t="str">
        <f>IFERROR(__xludf.DUMMYFUNCTION("""COMPUTED_VALUE"""),"Entangle")</f>
        <v>Entangle</v>
      </c>
      <c r="AP463" s="1" t="str">
        <f>IFERROR(__xludf.DUMMYFUNCTION("""COMPUTED_VALUE"""),"Confiscate")</f>
        <v>Confiscate</v>
      </c>
      <c r="AQ463" s="1" t="str">
        <f>IFERROR(__xludf.DUMMYFUNCTION("""COMPUTED_VALUE"""),"Take")</f>
        <v>Take</v>
      </c>
      <c r="AR463" s="1" t="str">
        <f>IFERROR(__xludf.DUMMYFUNCTION("""COMPUTED_VALUE"""),"Pick Pocket")</f>
        <v>Pick Pocket</v>
      </c>
      <c r="AS463" s="1"/>
      <c r="AT463" s="1"/>
      <c r="AU463" s="1"/>
      <c r="AV463" s="1"/>
      <c r="AW463" s="1"/>
      <c r="AX463" s="1"/>
      <c r="AY463" s="1"/>
      <c r="AZ463" s="1"/>
      <c r="BA463" s="1"/>
      <c r="BB463" s="1"/>
      <c r="BC463" s="1"/>
      <c r="BD463" s="1">
        <f>IFERROR(__xludf.DUMMYFUNCTION("""COMPUTED_VALUE"""),0.0)</f>
        <v>0</v>
      </c>
      <c r="BE463" s="9">
        <f>IFERROR(__xludf.DUMMYFUNCTION("""COMPUTED_VALUE"""),10.0)</f>
        <v>10</v>
      </c>
      <c r="BF463" s="1" t="str">
        <f>IFERROR(__xludf.DUMMYFUNCTION("""COMPUTED_VALUE"""),"Dragonscale Luck: +5 Can be added to this mobs turn order roll.
Steal Immune
Poison Immune.
This mob gains Haste 1 for the first round of battle.
Acidic Aura - When this mob is attacked or killed the attacker will take Poison 20,000 per round.
Acidic"&amp;" Ward - When ""Acidic Aura"" activates this mobs HP and SP will be restored equal to 1.5% of the damage ""Acidic Aura"" deals to the enemy as long as this mob is still alive.
Thief's Speed - This mob can make two weapon attacks each turn")</f>
        <v>Dragonscale Luck: +5 Can be added to this mobs turn order roll.
Steal Immune
Poison Immune.
This mob gains Haste 1 for the first round of battle.
Acidic Aura - When this mob is attacked or killed the attacker will take Poison 20,000 per round.
Acidic Ward - When "Acidic Aura" activates this mobs HP and SP will be restored equal to 1.5% of the damage "Acidic Aura" deals to the enemy as long as this mob is still alive.
Thief's Speed - This mob can make two weapon attacks each turn</v>
      </c>
      <c r="BG463" s="1" t="str">
        <f>IFERROR(__xludf.DUMMYFUNCTION("""COMPUTED_VALUE"""),"All")</f>
        <v>All</v>
      </c>
      <c r="BH463" s="1" t="str">
        <f>IFERROR(__xludf.DUMMYFUNCTION("""COMPUTED_VALUE"""),"Dragonscale Island")</f>
        <v>Dragonscale Island</v>
      </c>
      <c r="BI463" s="1"/>
      <c r="BJ463" s="1"/>
      <c r="BK463" s="1"/>
      <c r="BL463" s="1" t="b">
        <f>IFERROR(__xludf.DUMMYFUNCTION("""COMPUTED_VALUE"""),FALSE)</f>
        <v>0</v>
      </c>
      <c r="BM463" s="1"/>
      <c r="BN463" s="1"/>
      <c r="BO463" s="1"/>
      <c r="BP463" s="1"/>
      <c r="BQ463" s="1"/>
    </row>
    <row r="464" ht="15.75" customHeight="1">
      <c r="A464" s="1" t="str">
        <f>IFERROR(__xludf.DUMMYFUNCTION("""COMPUTED_VALUE"""),"Lizardfolk Warrior")</f>
        <v>Lizardfolk Warrior</v>
      </c>
      <c r="B464" s="1">
        <f>IFERROR(__xludf.DUMMYFUNCTION("""COMPUTED_VALUE"""),1.0)</f>
        <v>1</v>
      </c>
      <c r="C464" s="1"/>
      <c r="D464" s="1" t="str">
        <f>IFERROR(__xludf.DUMMYFUNCTION("""COMPUTED_VALUE"""),"Humanoid")</f>
        <v>Humanoid</v>
      </c>
      <c r="E464" s="1">
        <f>IFERROR(__xludf.DUMMYFUNCTION("""COMPUTED_VALUE"""),1010.0)</f>
        <v>1010</v>
      </c>
      <c r="F464" s="7">
        <f>IFERROR(__xludf.DUMMYFUNCTION("""COMPUTED_VALUE"""),1010.0)</f>
        <v>1010</v>
      </c>
      <c r="G464" s="1">
        <f>IFERROR(__xludf.DUMMYFUNCTION("""COMPUTED_VALUE"""),1010.0)</f>
        <v>1010</v>
      </c>
      <c r="H464" s="1">
        <f>IFERROR(__xludf.DUMMYFUNCTION("""COMPUTED_VALUE"""),10.0)</f>
        <v>10</v>
      </c>
      <c r="I464" s="1">
        <f>IFERROR(__xludf.DUMMYFUNCTION("""COMPUTED_VALUE"""),0.0)</f>
        <v>0</v>
      </c>
      <c r="J464" s="1">
        <f>IFERROR(__xludf.DUMMYFUNCTION("""COMPUTED_VALUE"""),0.0)</f>
        <v>0</v>
      </c>
      <c r="K464" s="1">
        <f>IFERROR(__xludf.DUMMYFUNCTION("""COMPUTED_VALUE"""),100.0)</f>
        <v>100</v>
      </c>
      <c r="L464" s="1">
        <f>IFERROR(__xludf.DUMMYFUNCTION("""COMPUTED_VALUE"""),100.0)</f>
        <v>100</v>
      </c>
      <c r="M464" s="1" t="str">
        <f>IFERROR(__xludf.DUMMYFUNCTION("""COMPUTED_VALUE"""),"Nature:Immune, Physical:100, ")</f>
        <v>Nature:Immune, Physical:100, </v>
      </c>
      <c r="N464" s="1" t="str">
        <f>IFERROR(__xludf.DUMMYFUNCTION("""COMPUTED_VALUE"""),"")</f>
        <v/>
      </c>
      <c r="O464" s="1" t="str">
        <f>IFERROR(__xludf.DUMMYFUNCTION("""COMPUTED_VALUE"""),"Lizard Warrior's Scale Helm")</f>
        <v>Lizard Warrior's Scale Helm</v>
      </c>
      <c r="P464" s="1"/>
      <c r="Q464" s="1"/>
      <c r="R464" s="1"/>
      <c r="S464" s="1" t="str">
        <f>IFERROR(__xludf.DUMMYFUNCTION("""COMPUTED_VALUE"""),"Lizard Warrior's Scaled Pauldrons")</f>
        <v>Lizard Warrior's Scaled Pauldrons</v>
      </c>
      <c r="T464" s="1" t="str">
        <f>IFERROR(__xludf.DUMMYFUNCTION("""COMPUTED_VALUE"""),"Lizard Warrior's Scaled Chest")</f>
        <v>Lizard Warrior's Scaled Chest</v>
      </c>
      <c r="U464" s="1" t="str">
        <f>IFERROR(__xludf.DUMMYFUNCTION("""COMPUTED_VALUE"""),"Lizard Warrior's Scaled Arms")</f>
        <v>Lizard Warrior's Scaled Arms</v>
      </c>
      <c r="V464" s="1" t="str">
        <f>IFERROR(__xludf.DUMMYFUNCTION("""COMPUTED_VALUE"""),"Lizard Warrior's Claw")</f>
        <v>Lizard Warrior's Claw</v>
      </c>
      <c r="W464" s="1" t="str">
        <f>IFERROR(__xludf.DUMMYFUNCTION("""COMPUTED_VALUE"""),"Lizard Warrior Guantlet")</f>
        <v>Lizard Warrior Guantlet</v>
      </c>
      <c r="X464" s="1" t="str">
        <f>IFERROR(__xludf.DUMMYFUNCTION("""COMPUTED_VALUE"""),"Ring o’ Luck and Nature")</f>
        <v>Ring o’ Luck and Nature</v>
      </c>
      <c r="Y464" s="1"/>
      <c r="Z464" s="1"/>
      <c r="AA464" s="1"/>
      <c r="AB464" s="1"/>
      <c r="AC464" s="1"/>
      <c r="AD464" s="1"/>
      <c r="AE464" s="1"/>
      <c r="AF464" s="1"/>
      <c r="AG464" s="1"/>
      <c r="AH464" s="1" t="str">
        <f>IFERROR(__xludf.DUMMYFUNCTION("""COMPUTED_VALUE"""),"Lizard Warrior's Scaled Legs")</f>
        <v>Lizard Warrior's Scaled Legs</v>
      </c>
      <c r="AI464" s="1" t="str">
        <f>IFERROR(__xludf.DUMMYFUNCTION("""COMPUTED_VALUE"""),"Lizard Warrior's Scaled Boots")</f>
        <v>Lizard Warrior's Scaled Boots</v>
      </c>
      <c r="AJ464" s="1" t="str">
        <f>IFERROR(__xludf.DUMMYFUNCTION("""COMPUTED_VALUE"""),"Acidic Spit")</f>
        <v>Acidic Spit</v>
      </c>
      <c r="AK464" s="1" t="str">
        <f>IFERROR(__xludf.DUMMYFUNCTION("""COMPUTED_VALUE"""),"Acidic Claws")</f>
        <v>Acidic Claws</v>
      </c>
      <c r="AL464" s="1" t="str">
        <f>IFERROR(__xludf.DUMMYFUNCTION("""COMPUTED_VALUE"""),"Berserk")</f>
        <v>Berserk</v>
      </c>
      <c r="AM464" s="1" t="str">
        <f>IFERROR(__xludf.DUMMYFUNCTION("""COMPUTED_VALUE"""),"Double Strike")</f>
        <v>Double Strike</v>
      </c>
      <c r="AN464" s="1" t="str">
        <f>IFERROR(__xludf.DUMMYFUNCTION("""COMPUTED_VALUE"""),"Nature Ward")</f>
        <v>Nature Ward</v>
      </c>
      <c r="AO464" s="1" t="str">
        <f>IFERROR(__xludf.DUMMYFUNCTION("""COMPUTED_VALUE"""),"Entangle")</f>
        <v>Entangle</v>
      </c>
      <c r="AP464" s="1"/>
      <c r="AQ464" s="1"/>
      <c r="AR464" s="1"/>
      <c r="AS464" s="1"/>
      <c r="AT464" s="1"/>
      <c r="AU464" s="1"/>
      <c r="AV464" s="1"/>
      <c r="AW464" s="1"/>
      <c r="AX464" s="1"/>
      <c r="AY464" s="1"/>
      <c r="AZ464" s="1"/>
      <c r="BA464" s="1"/>
      <c r="BB464" s="1"/>
      <c r="BC464" s="1"/>
      <c r="BD464" s="1">
        <f>IFERROR(__xludf.DUMMYFUNCTION("""COMPUTED_VALUE"""),0.0)</f>
        <v>0</v>
      </c>
      <c r="BE464" s="9">
        <f>IFERROR(__xludf.DUMMYFUNCTION("""COMPUTED_VALUE"""),10.0)</f>
        <v>10</v>
      </c>
      <c r="BF464" s="1" t="str">
        <f>IFERROR(__xludf.DUMMYFUNCTION("""COMPUTED_VALUE"""),"Dragonscale Luck: +5 Can be added to this mobs turn order roll.
Poison Immune.
This mob gains X2 additional Weapon Damage.
This mob gains Haste 1 for the first round of battle.
Acidic Aura - When this mob is attacked or killed the attacker will take P"&amp;"oison 20,000 per round.
Acidic Ward - When ""Acidic Aura"" activates this mobs HP and SP will be restored equal to 1.5% of the damage ""Acidic Aura"" deals to the enemy as long as this mob is still alive.
Acidic Skin - When this creature is hit with a m"&amp;"elee attack (Weapon/Natural) the target takes Poison 10,000 for 3 rounds (Stacks up to 5 times upon taking 5 stacks of this the target will die instantly)")</f>
        <v>Dragonscale Luck: +5 Can be added to this mobs turn order roll.
Poison Immune.
This mob gains X2 additional Weapon Damage.
This mob gains Haste 1 for the first round of battle.
Acidic Aura - When this mob is attacked or killed the attacker will take Poison 20,000 per round.
Acidic Ward - When "Acidic Aura" activates this mobs HP and SP will be restored equal to 1.5% of the damage "Acidic Aura" deals to the enemy as long as this mob is still alive.
Acidic Skin - When this creature is hit with a melee attack (Weapon/Natural) the target takes Poison 10,000 for 3 rounds (Stacks up to 5 times upon taking 5 stacks of this the target will die instantly)</v>
      </c>
      <c r="BG464" s="1" t="str">
        <f>IFERROR(__xludf.DUMMYFUNCTION("""COMPUTED_VALUE"""),"All")</f>
        <v>All</v>
      </c>
      <c r="BH464" s="1" t="str">
        <f>IFERROR(__xludf.DUMMYFUNCTION("""COMPUTED_VALUE"""),"Dragonscale Island")</f>
        <v>Dragonscale Island</v>
      </c>
      <c r="BI464" s="1"/>
      <c r="BJ464" s="1"/>
      <c r="BK464" s="1"/>
      <c r="BL464" s="1" t="b">
        <f>IFERROR(__xludf.DUMMYFUNCTION("""COMPUTED_VALUE"""),FALSE)</f>
        <v>0</v>
      </c>
      <c r="BM464" s="1"/>
      <c r="BN464" s="1"/>
      <c r="BO464" s="1"/>
      <c r="BP464" s="1"/>
      <c r="BQ464" s="1"/>
    </row>
    <row r="465" ht="15.75" customHeight="1">
      <c r="A465" s="1" t="str">
        <f>IFERROR(__xludf.DUMMYFUNCTION("""COMPUTED_VALUE"""),"Iguanian  Assassin")</f>
        <v>Iguanian  Assassin</v>
      </c>
      <c r="B465" s="1">
        <f>IFERROR(__xludf.DUMMYFUNCTION("""COMPUTED_VALUE"""),1.0)</f>
        <v>1</v>
      </c>
      <c r="C465" s="1"/>
      <c r="D465" s="1" t="str">
        <f>IFERROR(__xludf.DUMMYFUNCTION("""COMPUTED_VALUE"""),"Humanoid")</f>
        <v>Humanoid</v>
      </c>
      <c r="E465" s="1">
        <f>IFERROR(__xludf.DUMMYFUNCTION("""COMPUTED_VALUE"""),1010.0)</f>
        <v>1010</v>
      </c>
      <c r="F465" s="7">
        <f>IFERROR(__xludf.DUMMYFUNCTION("""COMPUTED_VALUE"""),1010.0)</f>
        <v>1010</v>
      </c>
      <c r="G465" s="1">
        <f>IFERROR(__xludf.DUMMYFUNCTION("""COMPUTED_VALUE"""),1010.0)</f>
        <v>1010</v>
      </c>
      <c r="H465" s="1">
        <f>IFERROR(__xludf.DUMMYFUNCTION("""COMPUTED_VALUE"""),10.0)</f>
        <v>10</v>
      </c>
      <c r="I465" s="1">
        <f>IFERROR(__xludf.DUMMYFUNCTION("""COMPUTED_VALUE"""),0.0)</f>
        <v>0</v>
      </c>
      <c r="J465" s="1">
        <f>IFERROR(__xludf.DUMMYFUNCTION("""COMPUTED_VALUE"""),0.0)</f>
        <v>0</v>
      </c>
      <c r="K465" s="1">
        <f>IFERROR(__xludf.DUMMYFUNCTION("""COMPUTED_VALUE"""),100.0)</f>
        <v>100</v>
      </c>
      <c r="L465" s="1">
        <f>IFERROR(__xludf.DUMMYFUNCTION("""COMPUTED_VALUE"""),100.0)</f>
        <v>100</v>
      </c>
      <c r="M465" s="1" t="str">
        <f>IFERROR(__xludf.DUMMYFUNCTION("""COMPUTED_VALUE"""),"Water:100, Instant Death:Immune, ")</f>
        <v>Water:100, Instant Death:Immune, </v>
      </c>
      <c r="N465" s="1" t="str">
        <f>IFERROR(__xludf.DUMMYFUNCTION("""COMPUTED_VALUE"""),"Nature:100, ")</f>
        <v>Nature:100, </v>
      </c>
      <c r="O465" s="1"/>
      <c r="P465" s="1"/>
      <c r="Q465" s="1"/>
      <c r="R465" s="1"/>
      <c r="S465" s="1"/>
      <c r="T465" s="1"/>
      <c r="U465" s="1"/>
      <c r="V465" s="1"/>
      <c r="W465" s="1" t="str">
        <f>IFERROR(__xludf.DUMMYFUNCTION("""COMPUTED_VALUE"""),"Dimensional Dagger")</f>
        <v>Dimensional Dagger</v>
      </c>
      <c r="X465" s="1" t="str">
        <f>IFERROR(__xludf.DUMMYFUNCTION("""COMPUTED_VALUE"""),"Ring o’ Luck and Nature")</f>
        <v>Ring o’ Luck and Nature</v>
      </c>
      <c r="Y465" s="1"/>
      <c r="Z465" s="1"/>
      <c r="AA465" s="1"/>
      <c r="AB465" s="1"/>
      <c r="AC465" s="1"/>
      <c r="AD465" s="1"/>
      <c r="AE465" s="1"/>
      <c r="AF465" s="1"/>
      <c r="AG465" s="1"/>
      <c r="AH465" s="1"/>
      <c r="AI465" s="1"/>
      <c r="AJ465" s="1" t="str">
        <f>IFERROR(__xludf.DUMMYFUNCTION("""COMPUTED_VALUE"""),"Distracting Blow")</f>
        <v>Distracting Blow</v>
      </c>
      <c r="AK465" s="1" t="str">
        <f>IFERROR(__xludf.DUMMYFUNCTION("""COMPUTED_VALUE"""),"Tackle")</f>
        <v>Tackle</v>
      </c>
      <c r="AL465" s="1" t="str">
        <f>IFERROR(__xludf.DUMMYFUNCTION("""COMPUTED_VALUE"""),"Berserk")</f>
        <v>Berserk</v>
      </c>
      <c r="AM465" s="1" t="str">
        <f>IFERROR(__xludf.DUMMYFUNCTION("""COMPUTED_VALUE"""),"Double Strike")</f>
        <v>Double Strike</v>
      </c>
      <c r="AN465" s="1" t="str">
        <f>IFERROR(__xludf.DUMMYFUNCTION("""COMPUTED_VALUE"""),"Nature Ward")</f>
        <v>Nature Ward</v>
      </c>
      <c r="AO465" s="1" t="str">
        <f>IFERROR(__xludf.DUMMYFUNCTION("""COMPUTED_VALUE"""),"Entangle")</f>
        <v>Entangle</v>
      </c>
      <c r="AP465" s="1" t="str">
        <f>IFERROR(__xludf.DUMMYFUNCTION("""COMPUTED_VALUE"""),"Landslide")</f>
        <v>Landslide</v>
      </c>
      <c r="AQ465" s="1" t="str">
        <f>IFERROR(__xludf.DUMMYFUNCTION("""COMPUTED_VALUE"""),"Avalanche")</f>
        <v>Avalanche</v>
      </c>
      <c r="AR465" s="1" t="str">
        <f>IFERROR(__xludf.DUMMYFUNCTION("""COMPUTED_VALUE"""),"Conceal")</f>
        <v>Conceal</v>
      </c>
      <c r="AS465" s="1" t="str">
        <f>IFERROR(__xludf.DUMMYFUNCTION("""COMPUTED_VALUE"""),"Shadow Vanish")</f>
        <v>Shadow Vanish</v>
      </c>
      <c r="AT465" s="1"/>
      <c r="AU465" s="1"/>
      <c r="AV465" s="1"/>
      <c r="AW465" s="1"/>
      <c r="AX465" s="1"/>
      <c r="AY465" s="1"/>
      <c r="AZ465" s="1"/>
      <c r="BA465" s="1"/>
      <c r="BB465" s="1"/>
      <c r="BC465" s="1"/>
      <c r="BD465" s="1">
        <f>IFERROR(__xludf.DUMMYFUNCTION("""COMPUTED_VALUE"""),0.0)</f>
        <v>0</v>
      </c>
      <c r="BE465" s="9">
        <f>IFERROR(__xludf.DUMMYFUNCTION("""COMPUTED_VALUE"""),10.0)</f>
        <v>10</v>
      </c>
      <c r="BF465" s="1" t="str">
        <f>IFERROR(__xludf.DUMMYFUNCTION("""COMPUTED_VALUE"""),"Dragonscale Luck: +5 Can be added to this mobs turn order roll.
This mob gains Haste 1 for the first round of battle.
Anytime this mob hides away or conceals itself before attacking either by an item effect or spell effect it will deal x4 damage as soon"&amp;" as it attacks.
This mob is guaranteed to succeed at the spell ""Iguanian Camoflauge""")</f>
        <v>Dragonscale Luck: +5 Can be added to this mobs turn order roll.
This mob gains Haste 1 for the first round of battle.
Anytime this mob hides away or conceals itself before attacking either by an item effect or spell effect it will deal x4 damage as soon as it attacks.
This mob is guaranteed to succeed at the spell "Iguanian Camoflauge"</v>
      </c>
      <c r="BG465" s="1" t="str">
        <f>IFERROR(__xludf.DUMMYFUNCTION("""COMPUTED_VALUE"""),"All")</f>
        <v>All</v>
      </c>
      <c r="BH465" s="1" t="str">
        <f>IFERROR(__xludf.DUMMYFUNCTION("""COMPUTED_VALUE"""),"Dragonscale Island")</f>
        <v>Dragonscale Island</v>
      </c>
      <c r="BI465" s="1"/>
      <c r="BJ465" s="1"/>
      <c r="BK465" s="1"/>
      <c r="BL465" s="1" t="b">
        <f>IFERROR(__xludf.DUMMYFUNCTION("""COMPUTED_VALUE"""),FALSE)</f>
        <v>0</v>
      </c>
      <c r="BM465" s="1"/>
      <c r="BN465" s="1"/>
      <c r="BO465" s="1"/>
      <c r="BP465" s="1"/>
      <c r="BQ465" s="1"/>
    </row>
    <row r="466" ht="15.75" customHeight="1">
      <c r="A466" s="1" t="str">
        <f>IFERROR(__xludf.DUMMYFUNCTION("""COMPUTED_VALUE"""),"Iguanian Brawler")</f>
        <v>Iguanian Brawler</v>
      </c>
      <c r="B466" s="1">
        <f>IFERROR(__xludf.DUMMYFUNCTION("""COMPUTED_VALUE"""),1.0)</f>
        <v>1</v>
      </c>
      <c r="C466" s="1"/>
      <c r="D466" s="1" t="str">
        <f>IFERROR(__xludf.DUMMYFUNCTION("""COMPUTED_VALUE"""),"Humanoid")</f>
        <v>Humanoid</v>
      </c>
      <c r="E466" s="1">
        <f>IFERROR(__xludf.DUMMYFUNCTION("""COMPUTED_VALUE"""),1010.0)</f>
        <v>1010</v>
      </c>
      <c r="F466" s="7">
        <f>IFERROR(__xludf.DUMMYFUNCTION("""COMPUTED_VALUE"""),1010.0)</f>
        <v>1010</v>
      </c>
      <c r="G466" s="1">
        <f>IFERROR(__xludf.DUMMYFUNCTION("""COMPUTED_VALUE"""),1010.0)</f>
        <v>1010</v>
      </c>
      <c r="H466" s="1">
        <f>IFERROR(__xludf.DUMMYFUNCTION("""COMPUTED_VALUE"""),10.0)</f>
        <v>10</v>
      </c>
      <c r="I466" s="1">
        <f>IFERROR(__xludf.DUMMYFUNCTION("""COMPUTED_VALUE"""),0.0)</f>
        <v>0</v>
      </c>
      <c r="J466" s="1">
        <f>IFERROR(__xludf.DUMMYFUNCTION("""COMPUTED_VALUE"""),0.0)</f>
        <v>0</v>
      </c>
      <c r="K466" s="1">
        <f>IFERROR(__xludf.DUMMYFUNCTION("""COMPUTED_VALUE"""),100.0)</f>
        <v>100</v>
      </c>
      <c r="L466" s="1">
        <f>IFERROR(__xludf.DUMMYFUNCTION("""COMPUTED_VALUE"""),100.0)</f>
        <v>100</v>
      </c>
      <c r="M466" s="1" t="str">
        <f>IFERROR(__xludf.DUMMYFUNCTION("""COMPUTED_VALUE"""),"Water:100, Physical:100, Natural:Immune, ")</f>
        <v>Water:100, Physical:100, Natural:Immune, </v>
      </c>
      <c r="N466" s="1" t="str">
        <f>IFERROR(__xludf.DUMMYFUNCTION("""COMPUTED_VALUE"""),"Nature:100, ")</f>
        <v>Nature:100, </v>
      </c>
      <c r="O466" s="1"/>
      <c r="P466" s="1"/>
      <c r="Q466" s="1"/>
      <c r="R466" s="1"/>
      <c r="S466" s="1"/>
      <c r="T466" s="1"/>
      <c r="U466" s="1"/>
      <c r="V466" s="1"/>
      <c r="W466" s="1" t="str">
        <f>IFERROR(__xludf.DUMMYFUNCTION("""COMPUTED_VALUE"""),"Eagles Claw")</f>
        <v>Eagles Claw</v>
      </c>
      <c r="X466" s="1" t="str">
        <f>IFERROR(__xludf.DUMMYFUNCTION("""COMPUTED_VALUE"""),"Ring o’ Luck and Nature")</f>
        <v>Ring o’ Luck and Nature</v>
      </c>
      <c r="Y466" s="1"/>
      <c r="Z466" s="1"/>
      <c r="AA466" s="1"/>
      <c r="AB466" s="1"/>
      <c r="AC466" s="1"/>
      <c r="AD466" s="1"/>
      <c r="AE466" s="1"/>
      <c r="AF466" s="1"/>
      <c r="AG466" s="1"/>
      <c r="AH466" s="1"/>
      <c r="AI466" s="1"/>
      <c r="AJ466" s="1" t="str">
        <f>IFERROR(__xludf.DUMMYFUNCTION("""COMPUTED_VALUE"""),"Distracting Blow")</f>
        <v>Distracting Blow</v>
      </c>
      <c r="AK466" s="1" t="str">
        <f>IFERROR(__xludf.DUMMYFUNCTION("""COMPUTED_VALUE"""),"Tackle")</f>
        <v>Tackle</v>
      </c>
      <c r="AL466" s="1" t="str">
        <f>IFERROR(__xludf.DUMMYFUNCTION("""COMPUTED_VALUE"""),"Berserk")</f>
        <v>Berserk</v>
      </c>
      <c r="AM466" s="1" t="str">
        <f>IFERROR(__xludf.DUMMYFUNCTION("""COMPUTED_VALUE"""),"Double Strike")</f>
        <v>Double Strike</v>
      </c>
      <c r="AN466" s="1" t="str">
        <f>IFERROR(__xludf.DUMMYFUNCTION("""COMPUTED_VALUE"""),"Nature Ward")</f>
        <v>Nature Ward</v>
      </c>
      <c r="AO466" s="1" t="str">
        <f>IFERROR(__xludf.DUMMYFUNCTION("""COMPUTED_VALUE"""),"Entangle")</f>
        <v>Entangle</v>
      </c>
      <c r="AP466" s="1" t="str">
        <f>IFERROR(__xludf.DUMMYFUNCTION("""COMPUTED_VALUE"""),"Landslide")</f>
        <v>Landslide</v>
      </c>
      <c r="AQ466" s="1" t="str">
        <f>IFERROR(__xludf.DUMMYFUNCTION("""COMPUTED_VALUE"""),"Avalanche")</f>
        <v>Avalanche</v>
      </c>
      <c r="AR466" s="1"/>
      <c r="AS466" s="1"/>
      <c r="AT466" s="1"/>
      <c r="AU466" s="1"/>
      <c r="AV466" s="1"/>
      <c r="AW466" s="1"/>
      <c r="AX466" s="1"/>
      <c r="AY466" s="1"/>
      <c r="AZ466" s="1"/>
      <c r="BA466" s="1"/>
      <c r="BB466" s="1"/>
      <c r="BC466" s="1"/>
      <c r="BD466" s="1">
        <f>IFERROR(__xludf.DUMMYFUNCTION("""COMPUTED_VALUE"""),0.0)</f>
        <v>0</v>
      </c>
      <c r="BE466" s="9">
        <f>IFERROR(__xludf.DUMMYFUNCTION("""COMPUTED_VALUE"""),10.0)</f>
        <v>10</v>
      </c>
      <c r="BF466" s="1" t="str">
        <f>IFERROR(__xludf.DUMMYFUNCTION("""COMPUTED_VALUE"""),"Dragonscale Luck: +5 Can be added to this mobs turn order roll.
This mob gains Haste 1 for the first round of battle.
This mob's Natural Attacks deal X4 additional damage.. ")</f>
        <v>Dragonscale Luck: +5 Can be added to this mobs turn order roll.
This mob gains Haste 1 for the first round of battle.
This mob's Natural Attacks deal X4 additional damage.. </v>
      </c>
      <c r="BG466" s="1" t="str">
        <f>IFERROR(__xludf.DUMMYFUNCTION("""COMPUTED_VALUE"""),"All")</f>
        <v>All</v>
      </c>
      <c r="BH466" s="1" t="str">
        <f>IFERROR(__xludf.DUMMYFUNCTION("""COMPUTED_VALUE"""),"Dragonscale Island")</f>
        <v>Dragonscale Island</v>
      </c>
      <c r="BI466" s="1"/>
      <c r="BJ466" s="1"/>
      <c r="BK466" s="1"/>
      <c r="BL466" s="1" t="b">
        <f>IFERROR(__xludf.DUMMYFUNCTION("""COMPUTED_VALUE"""),FALSE)</f>
        <v>0</v>
      </c>
      <c r="BM466" s="1"/>
      <c r="BN466" s="1"/>
      <c r="BO466" s="1"/>
      <c r="BP466" s="1"/>
      <c r="BQ466" s="1"/>
    </row>
    <row r="467" ht="15.75" customHeight="1">
      <c r="A467" s="1" t="str">
        <f>IFERROR(__xludf.DUMMYFUNCTION("""COMPUTED_VALUE"""),"Iguanian Mage")</f>
        <v>Iguanian Mage</v>
      </c>
      <c r="B467" s="1">
        <f>IFERROR(__xludf.DUMMYFUNCTION("""COMPUTED_VALUE"""),1.0)</f>
        <v>1</v>
      </c>
      <c r="C467" s="1"/>
      <c r="D467" s="1" t="str">
        <f>IFERROR(__xludf.DUMMYFUNCTION("""COMPUTED_VALUE"""),"Humanoid")</f>
        <v>Humanoid</v>
      </c>
      <c r="E467" s="1">
        <f>IFERROR(__xludf.DUMMYFUNCTION("""COMPUTED_VALUE"""),1010.0)</f>
        <v>1010</v>
      </c>
      <c r="F467" s="7">
        <f>IFERROR(__xludf.DUMMYFUNCTION("""COMPUTED_VALUE"""),1010.0)</f>
        <v>1010</v>
      </c>
      <c r="G467" s="1">
        <f>IFERROR(__xludf.DUMMYFUNCTION("""COMPUTED_VALUE"""),1010.0)</f>
        <v>1010</v>
      </c>
      <c r="H467" s="1">
        <f>IFERROR(__xludf.DUMMYFUNCTION("""COMPUTED_VALUE"""),10.0)</f>
        <v>10</v>
      </c>
      <c r="I467" s="1">
        <f>IFERROR(__xludf.DUMMYFUNCTION("""COMPUTED_VALUE"""),0.0)</f>
        <v>0</v>
      </c>
      <c r="J467" s="1">
        <f>IFERROR(__xludf.DUMMYFUNCTION("""COMPUTED_VALUE"""),0.0)</f>
        <v>0</v>
      </c>
      <c r="K467" s="1">
        <f>IFERROR(__xludf.DUMMYFUNCTION("""COMPUTED_VALUE"""),100.0)</f>
        <v>100</v>
      </c>
      <c r="L467" s="1">
        <f>IFERROR(__xludf.DUMMYFUNCTION("""COMPUTED_VALUE"""),100.0)</f>
        <v>100</v>
      </c>
      <c r="M467" s="1" t="str">
        <f>IFERROR(__xludf.DUMMYFUNCTION("""COMPUTED_VALUE"""),"Water:100, Blood:100, ")</f>
        <v>Water:100, Blood:100, </v>
      </c>
      <c r="N467" s="1" t="str">
        <f>IFERROR(__xludf.DUMMYFUNCTION("""COMPUTED_VALUE"""),"Nature:100, ")</f>
        <v>Nature:100, </v>
      </c>
      <c r="O467" s="1"/>
      <c r="P467" s="1"/>
      <c r="Q467" s="1"/>
      <c r="R467" s="1"/>
      <c r="S467" s="1"/>
      <c r="T467" s="1"/>
      <c r="U467" s="1"/>
      <c r="V467" s="1"/>
      <c r="W467" s="1" t="str">
        <f>IFERROR(__xludf.DUMMYFUNCTION("""COMPUTED_VALUE"""),"Tundra Staff")</f>
        <v>Tundra Staff</v>
      </c>
      <c r="X467" s="1" t="str">
        <f>IFERROR(__xludf.DUMMYFUNCTION("""COMPUTED_VALUE"""),"Ring o’ Luck and Nature")</f>
        <v>Ring o’ Luck and Nature</v>
      </c>
      <c r="Y467" s="1"/>
      <c r="Z467" s="1"/>
      <c r="AA467" s="1"/>
      <c r="AB467" s="1"/>
      <c r="AC467" s="1"/>
      <c r="AD467" s="1"/>
      <c r="AE467" s="1"/>
      <c r="AF467" s="1"/>
      <c r="AG467" s="1"/>
      <c r="AH467" s="1"/>
      <c r="AI467" s="1"/>
      <c r="AJ467" s="1" t="str">
        <f>IFERROR(__xludf.DUMMYFUNCTION("""COMPUTED_VALUE"""),"Distracting Blow")</f>
        <v>Distracting Blow</v>
      </c>
      <c r="AK467" s="1" t="str">
        <f>IFERROR(__xludf.DUMMYFUNCTION("""COMPUTED_VALUE"""),"Tackle")</f>
        <v>Tackle</v>
      </c>
      <c r="AL467" s="1" t="str">
        <f>IFERROR(__xludf.DUMMYFUNCTION("""COMPUTED_VALUE"""),"Berserk")</f>
        <v>Berserk</v>
      </c>
      <c r="AM467" s="1" t="str">
        <f>IFERROR(__xludf.DUMMYFUNCTION("""COMPUTED_VALUE"""),"Double Strike")</f>
        <v>Double Strike</v>
      </c>
      <c r="AN467" s="1" t="str">
        <f>IFERROR(__xludf.DUMMYFUNCTION("""COMPUTED_VALUE"""),"Nature Ward")</f>
        <v>Nature Ward</v>
      </c>
      <c r="AO467" s="1" t="str">
        <f>IFERROR(__xludf.DUMMYFUNCTION("""COMPUTED_VALUE"""),"Entangle")</f>
        <v>Entangle</v>
      </c>
      <c r="AP467" s="1" t="str">
        <f>IFERROR(__xludf.DUMMYFUNCTION("""COMPUTED_VALUE"""),"Landslide")</f>
        <v>Landslide</v>
      </c>
      <c r="AQ467" s="1" t="str">
        <f>IFERROR(__xludf.DUMMYFUNCTION("""COMPUTED_VALUE"""),"Avalanche")</f>
        <v>Avalanche</v>
      </c>
      <c r="AR467" s="1"/>
      <c r="AS467" s="1"/>
      <c r="AT467" s="1"/>
      <c r="AU467" s="1"/>
      <c r="AV467" s="1"/>
      <c r="AW467" s="1"/>
      <c r="AX467" s="1"/>
      <c r="AY467" s="1"/>
      <c r="AZ467" s="1"/>
      <c r="BA467" s="1"/>
      <c r="BB467" s="1"/>
      <c r="BC467" s="1"/>
      <c r="BD467" s="1">
        <f>IFERROR(__xludf.DUMMYFUNCTION("""COMPUTED_VALUE"""),0.0)</f>
        <v>0</v>
      </c>
      <c r="BE467" s="9">
        <f>IFERROR(__xludf.DUMMYFUNCTION("""COMPUTED_VALUE"""),10.0)</f>
        <v>10</v>
      </c>
      <c r="BF467" s="1" t="str">
        <f>IFERROR(__xludf.DUMMYFUNCTION("""COMPUTED_VALUE"""),"Dragonscale Luck: +5 Can be added to this mobs turn order roll.
This mob gains Haste 1 for the first round of battle.
This mob gains X4 additional Spell Damage. ")</f>
        <v>Dragonscale Luck: +5 Can be added to this mobs turn order roll.
This mob gains Haste 1 for the first round of battle.
This mob gains X4 additional Spell Damage. </v>
      </c>
      <c r="BG467" s="1" t="str">
        <f>IFERROR(__xludf.DUMMYFUNCTION("""COMPUTED_VALUE"""),"All")</f>
        <v>All</v>
      </c>
      <c r="BH467" s="1" t="str">
        <f>IFERROR(__xludf.DUMMYFUNCTION("""COMPUTED_VALUE"""),"Dragonscale Island")</f>
        <v>Dragonscale Island</v>
      </c>
      <c r="BI467" s="1"/>
      <c r="BJ467" s="1"/>
      <c r="BK467" s="1"/>
      <c r="BL467" s="1" t="b">
        <f>IFERROR(__xludf.DUMMYFUNCTION("""COMPUTED_VALUE"""),FALSE)</f>
        <v>0</v>
      </c>
      <c r="BM467" s="1"/>
      <c r="BN467" s="1"/>
      <c r="BO467" s="1"/>
      <c r="BP467" s="1"/>
      <c r="BQ467" s="1"/>
    </row>
    <row r="468" ht="15.75" customHeight="1">
      <c r="A468" s="1" t="str">
        <f>IFERROR(__xludf.DUMMYFUNCTION("""COMPUTED_VALUE"""),"Salamandrith Ranger")</f>
        <v>Salamandrith Ranger</v>
      </c>
      <c r="B468" s="1">
        <f>IFERROR(__xludf.DUMMYFUNCTION("""COMPUTED_VALUE"""),1.0)</f>
        <v>1</v>
      </c>
      <c r="C468" s="1"/>
      <c r="D468" s="1" t="str">
        <f>IFERROR(__xludf.DUMMYFUNCTION("""COMPUTED_VALUE"""),"Humanoid")</f>
        <v>Humanoid</v>
      </c>
      <c r="E468" s="1">
        <f>IFERROR(__xludf.DUMMYFUNCTION("""COMPUTED_VALUE"""),1010.0)</f>
        <v>1010</v>
      </c>
      <c r="F468" s="7">
        <f>IFERROR(__xludf.DUMMYFUNCTION("""COMPUTED_VALUE"""),1010.0)</f>
        <v>1010</v>
      </c>
      <c r="G468" s="1">
        <f>IFERROR(__xludf.DUMMYFUNCTION("""COMPUTED_VALUE"""),1010.0)</f>
        <v>1010</v>
      </c>
      <c r="H468" s="1">
        <f>IFERROR(__xludf.DUMMYFUNCTION("""COMPUTED_VALUE"""),10.0)</f>
        <v>10</v>
      </c>
      <c r="I468" s="1">
        <f>IFERROR(__xludf.DUMMYFUNCTION("""COMPUTED_VALUE"""),0.0)</f>
        <v>0</v>
      </c>
      <c r="J468" s="1">
        <f>IFERROR(__xludf.DUMMYFUNCTION("""COMPUTED_VALUE"""),0.0)</f>
        <v>0</v>
      </c>
      <c r="K468" s="1">
        <f>IFERROR(__xludf.DUMMYFUNCTION("""COMPUTED_VALUE"""),100.0)</f>
        <v>100</v>
      </c>
      <c r="L468" s="1">
        <f>IFERROR(__xludf.DUMMYFUNCTION("""COMPUTED_VALUE"""),100.0)</f>
        <v>100</v>
      </c>
      <c r="M468" s="1" t="str">
        <f>IFERROR(__xludf.DUMMYFUNCTION("""COMPUTED_VALUE"""),"Fire:100, Nature:100, ")</f>
        <v>Fire:100, Nature:100, </v>
      </c>
      <c r="N468" s="1" t="str">
        <f>IFERROR(__xludf.DUMMYFUNCTION("""COMPUTED_VALUE"""),"Water:100, ")</f>
        <v>Water:100, </v>
      </c>
      <c r="O468" s="1"/>
      <c r="P468" s="1"/>
      <c r="Q468" s="1"/>
      <c r="R468" s="1"/>
      <c r="S468" s="1"/>
      <c r="T468" s="1"/>
      <c r="U468" s="1"/>
      <c r="V468" s="1"/>
      <c r="W468" s="1" t="str">
        <f>IFERROR(__xludf.DUMMYFUNCTION("""COMPUTED_VALUE"""),"The Bow of the Pandarian")</f>
        <v>The Bow of the Pandarian</v>
      </c>
      <c r="X468" s="1" t="str">
        <f>IFERROR(__xludf.DUMMYFUNCTION("""COMPUTED_VALUE"""),"Ring o’ Luck and Nature")</f>
        <v>Ring o’ Luck and Nature</v>
      </c>
      <c r="Y468" s="1"/>
      <c r="Z468" s="1"/>
      <c r="AA468" s="1"/>
      <c r="AB468" s="1"/>
      <c r="AC468" s="1"/>
      <c r="AD468" s="1"/>
      <c r="AE468" s="1"/>
      <c r="AF468" s="1"/>
      <c r="AG468" s="1"/>
      <c r="AH468" s="1"/>
      <c r="AI468" s="1"/>
      <c r="AJ468" s="1" t="str">
        <f>IFERROR(__xludf.DUMMYFUNCTION("""COMPUTED_VALUE"""),"Distracting Blow")</f>
        <v>Distracting Blow</v>
      </c>
      <c r="AK468" s="1" t="str">
        <f>IFERROR(__xludf.DUMMYFUNCTION("""COMPUTED_VALUE"""),"Tackle")</f>
        <v>Tackle</v>
      </c>
      <c r="AL468" s="1" t="str">
        <f>IFERROR(__xludf.DUMMYFUNCTION("""COMPUTED_VALUE"""),"Berserk")</f>
        <v>Berserk</v>
      </c>
      <c r="AM468" s="1" t="str">
        <f>IFERROR(__xludf.DUMMYFUNCTION("""COMPUTED_VALUE"""),"Double Strike")</f>
        <v>Double Strike</v>
      </c>
      <c r="AN468" s="1" t="str">
        <f>IFERROR(__xludf.DUMMYFUNCTION("""COMPUTED_VALUE"""),"Nature Ward")</f>
        <v>Nature Ward</v>
      </c>
      <c r="AO468" s="1" t="str">
        <f>IFERROR(__xludf.DUMMYFUNCTION("""COMPUTED_VALUE"""),"Entangle")</f>
        <v>Entangle</v>
      </c>
      <c r="AP468" s="1" t="str">
        <f>IFERROR(__xludf.DUMMYFUNCTION("""COMPUTED_VALUE"""),"Landslide")</f>
        <v>Landslide</v>
      </c>
      <c r="AQ468" s="1" t="str">
        <f>IFERROR(__xludf.DUMMYFUNCTION("""COMPUTED_VALUE"""),"Solar Storm")</f>
        <v>Solar Storm</v>
      </c>
      <c r="AR468" s="1" t="str">
        <f>IFERROR(__xludf.DUMMYFUNCTION("""COMPUTED_VALUE"""),"Thousand Arrows")</f>
        <v>Thousand Arrows</v>
      </c>
      <c r="AS468" s="1" t="str">
        <f>IFERROR(__xludf.DUMMYFUNCTION("""COMPUTED_VALUE"""),"Bullseye")</f>
        <v>Bullseye</v>
      </c>
      <c r="AT468" s="1" t="str">
        <f>IFERROR(__xludf.DUMMYFUNCTION("""COMPUTED_VALUE"""),"Lock On")</f>
        <v>Lock On</v>
      </c>
      <c r="AU468" s="1" t="str">
        <f>IFERROR(__xludf.DUMMYFUNCTION("""COMPUTED_VALUE"""),"Spiritual Meld")</f>
        <v>Spiritual Meld</v>
      </c>
      <c r="AV468" s="1"/>
      <c r="AW468" s="1"/>
      <c r="AX468" s="1"/>
      <c r="AY468" s="1"/>
      <c r="AZ468" s="1"/>
      <c r="BA468" s="1"/>
      <c r="BB468" s="1"/>
      <c r="BC468" s="1"/>
      <c r="BD468" s="1">
        <f>IFERROR(__xludf.DUMMYFUNCTION("""COMPUTED_VALUE"""),0.0)</f>
        <v>0</v>
      </c>
      <c r="BE468" s="9">
        <f>IFERROR(__xludf.DUMMYFUNCTION("""COMPUTED_VALUE"""),10.0)</f>
        <v>10</v>
      </c>
      <c r="BF468" s="1" t="str">
        <f>IFERROR(__xludf.DUMMYFUNCTION("""COMPUTED_VALUE"""),"Dragonscale Luck: +5 Can be added to this mobs turn order roll.
This mob gains Haste 1 for the first round of battle.
This mob's Bow Attacks deal X6 additional damage.. ")</f>
        <v>Dragonscale Luck: +5 Can be added to this mobs turn order roll.
This mob gains Haste 1 for the first round of battle.
This mob's Bow Attacks deal X6 additional damage.. </v>
      </c>
      <c r="BG468" s="1" t="str">
        <f>IFERROR(__xludf.DUMMYFUNCTION("""COMPUTED_VALUE"""),"All")</f>
        <v>All</v>
      </c>
      <c r="BH468" s="1" t="str">
        <f>IFERROR(__xludf.DUMMYFUNCTION("""COMPUTED_VALUE"""),"Dragonscale Island")</f>
        <v>Dragonscale Island</v>
      </c>
      <c r="BI468" s="1"/>
      <c r="BJ468" s="1"/>
      <c r="BK468" s="1"/>
      <c r="BL468" s="1" t="b">
        <f>IFERROR(__xludf.DUMMYFUNCTION("""COMPUTED_VALUE"""),FALSE)</f>
        <v>0</v>
      </c>
      <c r="BM468" s="1"/>
      <c r="BN468" s="1"/>
      <c r="BO468" s="1"/>
      <c r="BP468" s="1"/>
      <c r="BQ468" s="1"/>
    </row>
    <row r="469" ht="15.75" customHeight="1">
      <c r="A469" s="1" t="str">
        <f>IFERROR(__xludf.DUMMYFUNCTION("""COMPUTED_VALUE"""),"Salamandrith Cultist")</f>
        <v>Salamandrith Cultist</v>
      </c>
      <c r="B469" s="1">
        <f>IFERROR(__xludf.DUMMYFUNCTION("""COMPUTED_VALUE"""),1.0)</f>
        <v>1</v>
      </c>
      <c r="C469" s="1"/>
      <c r="D469" s="1" t="str">
        <f>IFERROR(__xludf.DUMMYFUNCTION("""COMPUTED_VALUE"""),"Humanoid")</f>
        <v>Humanoid</v>
      </c>
      <c r="E469" s="1">
        <f>IFERROR(__xludf.DUMMYFUNCTION("""COMPUTED_VALUE"""),1010.0)</f>
        <v>1010</v>
      </c>
      <c r="F469" s="7">
        <f>IFERROR(__xludf.DUMMYFUNCTION("""COMPUTED_VALUE"""),1010.0)</f>
        <v>1010</v>
      </c>
      <c r="G469" s="1">
        <f>IFERROR(__xludf.DUMMYFUNCTION("""COMPUTED_VALUE"""),1010.0)</f>
        <v>1010</v>
      </c>
      <c r="H469" s="1">
        <f>IFERROR(__xludf.DUMMYFUNCTION("""COMPUTED_VALUE"""),10.0)</f>
        <v>10</v>
      </c>
      <c r="I469" s="1">
        <f>IFERROR(__xludf.DUMMYFUNCTION("""COMPUTED_VALUE"""),0.0)</f>
        <v>0</v>
      </c>
      <c r="J469" s="1">
        <f>IFERROR(__xludf.DUMMYFUNCTION("""COMPUTED_VALUE"""),0.0)</f>
        <v>0</v>
      </c>
      <c r="K469" s="1">
        <f>IFERROR(__xludf.DUMMYFUNCTION("""COMPUTED_VALUE"""),100.0)</f>
        <v>100</v>
      </c>
      <c r="L469" s="1">
        <f>IFERROR(__xludf.DUMMYFUNCTION("""COMPUTED_VALUE"""),100.0)</f>
        <v>100</v>
      </c>
      <c r="M469" s="1" t="str">
        <f>IFERROR(__xludf.DUMMYFUNCTION("""COMPUTED_VALUE"""),"Fire:100, Dark:100, Nature:100, Instant Death:Immune, ")</f>
        <v>Fire:100, Dark:100, Nature:100, Instant Death:Immune, </v>
      </c>
      <c r="N469" s="1" t="str">
        <f>IFERROR(__xludf.DUMMYFUNCTION("""COMPUTED_VALUE"""),"Water:100, Light:100, ")</f>
        <v>Water:100, Light:100, </v>
      </c>
      <c r="O469" s="1" t="str">
        <f>IFERROR(__xludf.DUMMYFUNCTION("""COMPUTED_VALUE"""),"Mask of the Cultist")</f>
        <v>Mask of the Cultist</v>
      </c>
      <c r="P469" s="1"/>
      <c r="Q469" s="1"/>
      <c r="R469" s="1"/>
      <c r="S469" s="1"/>
      <c r="T469" s="1" t="str">
        <f>IFERROR(__xludf.DUMMYFUNCTION("""COMPUTED_VALUE"""),"Robe of The Cultist")</f>
        <v>Robe of The Cultist</v>
      </c>
      <c r="U469" s="1"/>
      <c r="V469" s="1"/>
      <c r="W469" s="1" t="str">
        <f>IFERROR(__xludf.DUMMYFUNCTION("""COMPUTED_VALUE"""),"Dagger of The Cultist")</f>
        <v>Dagger of The Cultist</v>
      </c>
      <c r="X469" s="1" t="str">
        <f>IFERROR(__xludf.DUMMYFUNCTION("""COMPUTED_VALUE"""),"Ring o’ Luck and Nature")</f>
        <v>Ring o’ Luck and Nature</v>
      </c>
      <c r="Y469" s="1"/>
      <c r="Z469" s="1"/>
      <c r="AA469" s="1"/>
      <c r="AB469" s="1"/>
      <c r="AC469" s="1"/>
      <c r="AD469" s="1"/>
      <c r="AE469" s="1"/>
      <c r="AF469" s="1"/>
      <c r="AG469" s="1"/>
      <c r="AH469" s="1"/>
      <c r="AI469" s="1"/>
      <c r="AJ469" s="1" t="str">
        <f>IFERROR(__xludf.DUMMYFUNCTION("""COMPUTED_VALUE"""),"Distracting Blow")</f>
        <v>Distracting Blow</v>
      </c>
      <c r="AK469" s="1" t="str">
        <f>IFERROR(__xludf.DUMMYFUNCTION("""COMPUTED_VALUE"""),"Tackle")</f>
        <v>Tackle</v>
      </c>
      <c r="AL469" s="1" t="str">
        <f>IFERROR(__xludf.DUMMYFUNCTION("""COMPUTED_VALUE"""),"Berserk")</f>
        <v>Berserk</v>
      </c>
      <c r="AM469" s="1" t="str">
        <f>IFERROR(__xludf.DUMMYFUNCTION("""COMPUTED_VALUE"""),"Double Strike")</f>
        <v>Double Strike</v>
      </c>
      <c r="AN469" s="1" t="str">
        <f>IFERROR(__xludf.DUMMYFUNCTION("""COMPUTED_VALUE"""),"Nature Ward")</f>
        <v>Nature Ward</v>
      </c>
      <c r="AO469" s="1" t="str">
        <f>IFERROR(__xludf.DUMMYFUNCTION("""COMPUTED_VALUE"""),"Entangle")</f>
        <v>Entangle</v>
      </c>
      <c r="AP469" s="1" t="str">
        <f>IFERROR(__xludf.DUMMYFUNCTION("""COMPUTED_VALUE"""),"Landslide")</f>
        <v>Landslide</v>
      </c>
      <c r="AQ469" s="1" t="str">
        <f>IFERROR(__xludf.DUMMYFUNCTION("""COMPUTED_VALUE"""),"Solar Storm")</f>
        <v>Solar Storm</v>
      </c>
      <c r="AR469" s="1" t="str">
        <f>IFERROR(__xludf.DUMMYFUNCTION("""COMPUTED_VALUE"""),"Darkest Abyss")</f>
        <v>Darkest Abyss</v>
      </c>
      <c r="AS469" s="1" t="str">
        <f>IFERROR(__xludf.DUMMYFUNCTION("""COMPUTED_VALUE"""),"Dimensional Quake")</f>
        <v>Dimensional Quake</v>
      </c>
      <c r="AT469" s="1" t="str">
        <f>IFERROR(__xludf.DUMMYFUNCTION("""COMPUTED_VALUE"""),"Dark Curse")</f>
        <v>Dark Curse</v>
      </c>
      <c r="AU469" s="1" t="str">
        <f>IFERROR(__xludf.DUMMYFUNCTION("""COMPUTED_VALUE"""),"Spiritual Meld")</f>
        <v>Spiritual Meld</v>
      </c>
      <c r="AV469" s="1"/>
      <c r="AW469" s="1"/>
      <c r="AX469" s="1"/>
      <c r="AY469" s="1"/>
      <c r="AZ469" s="1"/>
      <c r="BA469" s="1"/>
      <c r="BB469" s="1"/>
      <c r="BC469" s="1"/>
      <c r="BD469" s="1">
        <f>IFERROR(__xludf.DUMMYFUNCTION("""COMPUTED_VALUE"""),0.0)</f>
        <v>0</v>
      </c>
      <c r="BE469" s="9">
        <f>IFERROR(__xludf.DUMMYFUNCTION("""COMPUTED_VALUE"""),10.0)</f>
        <v>10</v>
      </c>
      <c r="BF469" s="1" t="str">
        <f>IFERROR(__xludf.DUMMYFUNCTION("""COMPUTED_VALUE"""),"Dragonscale Luck: +5 Can be added to this mobs turn order roll.
This mob gains Haste 1 for the first round of battle.
25% chance to inflict the target that killed this mob with a random non-permanent curse.")</f>
        <v>Dragonscale Luck: +5 Can be added to this mobs turn order roll.
This mob gains Haste 1 for the first round of battle.
25% chance to inflict the target that killed this mob with a random non-permanent curse.</v>
      </c>
      <c r="BG469" s="1" t="str">
        <f>IFERROR(__xludf.DUMMYFUNCTION("""COMPUTED_VALUE"""),"All")</f>
        <v>All</v>
      </c>
      <c r="BH469" s="1" t="str">
        <f>IFERROR(__xludf.DUMMYFUNCTION("""COMPUTED_VALUE"""),"Dragonscale Island")</f>
        <v>Dragonscale Island</v>
      </c>
      <c r="BI469" s="1"/>
      <c r="BJ469" s="1"/>
      <c r="BK469" s="1"/>
      <c r="BL469" s="1" t="b">
        <f>IFERROR(__xludf.DUMMYFUNCTION("""COMPUTED_VALUE"""),FALSE)</f>
        <v>0</v>
      </c>
      <c r="BM469" s="1"/>
      <c r="BN469" s="1"/>
      <c r="BO469" s="1"/>
      <c r="BP469" s="1"/>
      <c r="BQ469" s="1"/>
    </row>
    <row r="470" ht="15.75" customHeight="1">
      <c r="A470" s="1" t="str">
        <f>IFERROR(__xludf.DUMMYFUNCTION("""COMPUTED_VALUE"""),"Salamandrith Shaman")</f>
        <v>Salamandrith Shaman</v>
      </c>
      <c r="B470" s="1">
        <f>IFERROR(__xludf.DUMMYFUNCTION("""COMPUTED_VALUE"""),1.0)</f>
        <v>1</v>
      </c>
      <c r="C470" s="1"/>
      <c r="D470" s="1" t="str">
        <f>IFERROR(__xludf.DUMMYFUNCTION("""COMPUTED_VALUE"""),"Humanoid")</f>
        <v>Humanoid</v>
      </c>
      <c r="E470" s="1">
        <f>IFERROR(__xludf.DUMMYFUNCTION("""COMPUTED_VALUE"""),1010.0)</f>
        <v>1010</v>
      </c>
      <c r="F470" s="7">
        <f>IFERROR(__xludf.DUMMYFUNCTION("""COMPUTED_VALUE"""),1010.0)</f>
        <v>1010</v>
      </c>
      <c r="G470" s="1">
        <f>IFERROR(__xludf.DUMMYFUNCTION("""COMPUTED_VALUE"""),1010.0)</f>
        <v>1010</v>
      </c>
      <c r="H470" s="1">
        <f>IFERROR(__xludf.DUMMYFUNCTION("""COMPUTED_VALUE"""),10.0)</f>
        <v>10</v>
      </c>
      <c r="I470" s="1">
        <f>IFERROR(__xludf.DUMMYFUNCTION("""COMPUTED_VALUE"""),0.0)</f>
        <v>0</v>
      </c>
      <c r="J470" s="1">
        <f>IFERROR(__xludf.DUMMYFUNCTION("""COMPUTED_VALUE"""),0.0)</f>
        <v>0</v>
      </c>
      <c r="K470" s="1">
        <f>IFERROR(__xludf.DUMMYFUNCTION("""COMPUTED_VALUE"""),100.0)</f>
        <v>100</v>
      </c>
      <c r="L470" s="1">
        <f>IFERROR(__xludf.DUMMYFUNCTION("""COMPUTED_VALUE"""),100.0)</f>
        <v>100</v>
      </c>
      <c r="M470" s="1" t="str">
        <f>IFERROR(__xludf.DUMMYFUNCTION("""COMPUTED_VALUE"""),"Fire:100, Nature:100, Voodoo:100, ")</f>
        <v>Fire:100, Nature:100, Voodoo:100, </v>
      </c>
      <c r="N470" s="1" t="str">
        <f>IFERROR(__xludf.DUMMYFUNCTION("""COMPUTED_VALUE"""),"Water:100, Spirit:100, ")</f>
        <v>Water:100, Spirit:100, </v>
      </c>
      <c r="O470" s="1"/>
      <c r="P470" s="1"/>
      <c r="Q470" s="1"/>
      <c r="R470" s="1"/>
      <c r="S470" s="1"/>
      <c r="T470" s="1"/>
      <c r="U470" s="1"/>
      <c r="V470" s="1"/>
      <c r="W470" s="1" t="str">
        <f>IFERROR(__xludf.DUMMYFUNCTION("""COMPUTED_VALUE"""),"Shamanic Staff")</f>
        <v>Shamanic Staff</v>
      </c>
      <c r="X470" s="1" t="str">
        <f>IFERROR(__xludf.DUMMYFUNCTION("""COMPUTED_VALUE"""),"Ring o’ Luck and Nature")</f>
        <v>Ring o’ Luck and Nature</v>
      </c>
      <c r="Y470" s="1"/>
      <c r="Z470" s="1"/>
      <c r="AA470" s="1"/>
      <c r="AB470" s="1"/>
      <c r="AC470" s="1"/>
      <c r="AD470" s="1"/>
      <c r="AE470" s="1"/>
      <c r="AF470" s="1"/>
      <c r="AG470" s="1"/>
      <c r="AH470" s="1"/>
      <c r="AI470" s="1"/>
      <c r="AJ470" s="1" t="str">
        <f>IFERROR(__xludf.DUMMYFUNCTION("""COMPUTED_VALUE"""),"Distracting Blow")</f>
        <v>Distracting Blow</v>
      </c>
      <c r="AK470" s="1" t="str">
        <f>IFERROR(__xludf.DUMMYFUNCTION("""COMPUTED_VALUE"""),"Tackle")</f>
        <v>Tackle</v>
      </c>
      <c r="AL470" s="1" t="str">
        <f>IFERROR(__xludf.DUMMYFUNCTION("""COMPUTED_VALUE"""),"Berserk")</f>
        <v>Berserk</v>
      </c>
      <c r="AM470" s="1" t="str">
        <f>IFERROR(__xludf.DUMMYFUNCTION("""COMPUTED_VALUE"""),"Double Strike")</f>
        <v>Double Strike</v>
      </c>
      <c r="AN470" s="1" t="str">
        <f>IFERROR(__xludf.DUMMYFUNCTION("""COMPUTED_VALUE"""),"Nature Ward")</f>
        <v>Nature Ward</v>
      </c>
      <c r="AO470" s="1" t="str">
        <f>IFERROR(__xludf.DUMMYFUNCTION("""COMPUTED_VALUE"""),"Entangle")</f>
        <v>Entangle</v>
      </c>
      <c r="AP470" s="1" t="str">
        <f>IFERROR(__xludf.DUMMYFUNCTION("""COMPUTED_VALUE"""),"Landslide")</f>
        <v>Landslide</v>
      </c>
      <c r="AQ470" s="1" t="str">
        <f>IFERROR(__xludf.DUMMYFUNCTION("""COMPUTED_VALUE"""),"Solar Storm")</f>
        <v>Solar Storm</v>
      </c>
      <c r="AR470" s="1" t="str">
        <f>IFERROR(__xludf.DUMMYFUNCTION("""COMPUTED_VALUE"""),"Spiritual Meld")</f>
        <v>Spiritual Meld</v>
      </c>
      <c r="AS470" s="1"/>
      <c r="AT470" s="1"/>
      <c r="AU470" s="1"/>
      <c r="AV470" s="1"/>
      <c r="AW470" s="1"/>
      <c r="AX470" s="1"/>
      <c r="AY470" s="1"/>
      <c r="AZ470" s="1"/>
      <c r="BA470" s="1"/>
      <c r="BB470" s="1"/>
      <c r="BC470" s="1"/>
      <c r="BD470" s="1">
        <f>IFERROR(__xludf.DUMMYFUNCTION("""COMPUTED_VALUE"""),0.0)</f>
        <v>0</v>
      </c>
      <c r="BE470" s="9">
        <f>IFERROR(__xludf.DUMMYFUNCTION("""COMPUTED_VALUE"""),10.0)</f>
        <v>10</v>
      </c>
      <c r="BF470" s="1" t="str">
        <f>IFERROR(__xludf.DUMMYFUNCTION("""COMPUTED_VALUE"""),"Dragonscale Luck: +5 Can be added to this mobs turn order roll.
This mob gains Haste 1 for the first round of battle.
50% Chance to turn one Spirit type enemy into an ally of the party at the beginning of battle if there is one.
When this mob is fighti"&amp;"ng alongside another Shaman this mob deals X4 damage")</f>
        <v>Dragonscale Luck: +5 Can be added to this mobs turn order roll.
This mob gains Haste 1 for the first round of battle.
50% Chance to turn one Spirit type enemy into an ally of the party at the beginning of battle if there is one.
When this mob is fighting alongside another Shaman this mob deals X4 damage</v>
      </c>
      <c r="BG470" s="1" t="str">
        <f>IFERROR(__xludf.DUMMYFUNCTION("""COMPUTED_VALUE"""),"All")</f>
        <v>All</v>
      </c>
      <c r="BH470" s="1" t="str">
        <f>IFERROR(__xludf.DUMMYFUNCTION("""COMPUTED_VALUE"""),"Dragonscale Island")</f>
        <v>Dragonscale Island</v>
      </c>
      <c r="BI470" s="1"/>
      <c r="BJ470" s="1"/>
      <c r="BK470" s="1"/>
      <c r="BL470" s="1" t="b">
        <f>IFERROR(__xludf.DUMMYFUNCTION("""COMPUTED_VALUE"""),FALSE)</f>
        <v>0</v>
      </c>
      <c r="BM470" s="1"/>
      <c r="BN470" s="1"/>
      <c r="BO470" s="1"/>
      <c r="BP470" s="1"/>
      <c r="BQ470" s="1"/>
    </row>
    <row r="471" ht="15.75" customHeight="1">
      <c r="A471" s="1" t="str">
        <f>IFERROR(__xludf.DUMMYFUNCTION("""COMPUTED_VALUE"""),"Geckorian Wandering Sword")</f>
        <v>Geckorian Wandering Sword</v>
      </c>
      <c r="B471" s="1">
        <f>IFERROR(__xludf.DUMMYFUNCTION("""COMPUTED_VALUE"""),1.0)</f>
        <v>1</v>
      </c>
      <c r="C471" s="1"/>
      <c r="D471" s="1" t="str">
        <f>IFERROR(__xludf.DUMMYFUNCTION("""COMPUTED_VALUE"""),"Humanoid")</f>
        <v>Humanoid</v>
      </c>
      <c r="E471" s="1">
        <f>IFERROR(__xludf.DUMMYFUNCTION("""COMPUTED_VALUE"""),1010.0)</f>
        <v>1010</v>
      </c>
      <c r="F471" s="7">
        <f>IFERROR(__xludf.DUMMYFUNCTION("""COMPUTED_VALUE"""),1010.0)</f>
        <v>1010</v>
      </c>
      <c r="G471" s="1">
        <f>IFERROR(__xludf.DUMMYFUNCTION("""COMPUTED_VALUE"""),1010.0)</f>
        <v>1010</v>
      </c>
      <c r="H471" s="1">
        <f>IFERROR(__xludf.DUMMYFUNCTION("""COMPUTED_VALUE"""),10.0)</f>
        <v>10</v>
      </c>
      <c r="I471" s="1">
        <f>IFERROR(__xludf.DUMMYFUNCTION("""COMPUTED_VALUE"""),0.0)</f>
        <v>0</v>
      </c>
      <c r="J471" s="1">
        <f>IFERROR(__xludf.DUMMYFUNCTION("""COMPUTED_VALUE"""),0.0)</f>
        <v>0</v>
      </c>
      <c r="K471" s="1">
        <f>IFERROR(__xludf.DUMMYFUNCTION("""COMPUTED_VALUE"""),100.0)</f>
        <v>100</v>
      </c>
      <c r="L471" s="1">
        <f>IFERROR(__xludf.DUMMYFUNCTION("""COMPUTED_VALUE"""),100.0)</f>
        <v>100</v>
      </c>
      <c r="M471" s="1" t="str">
        <f>IFERROR(__xludf.DUMMYFUNCTION("""COMPUTED_VALUE"""),"Light:100, Zen:100, ")</f>
        <v>Light:100, Zen:100, </v>
      </c>
      <c r="N471" s="1" t="str">
        <f>IFERROR(__xludf.DUMMYFUNCTION("""COMPUTED_VALUE"""),"Dark:100, ")</f>
        <v>Dark:100, </v>
      </c>
      <c r="O471" s="1"/>
      <c r="P471" s="1"/>
      <c r="Q471" s="1"/>
      <c r="R471" s="1"/>
      <c r="S471" s="1"/>
      <c r="T471" s="1"/>
      <c r="U471" s="1"/>
      <c r="V471" s="1" t="str">
        <f>IFERROR(__xludf.DUMMYFUNCTION("""COMPUTED_VALUE"""),"Cursed Blade")</f>
        <v>Cursed Blade</v>
      </c>
      <c r="W471" s="1" t="str">
        <f>IFERROR(__xludf.DUMMYFUNCTION("""COMPUTED_VALUE"""),"Cursed Blade")</f>
        <v>Cursed Blade</v>
      </c>
      <c r="X471" s="1" t="str">
        <f>IFERROR(__xludf.DUMMYFUNCTION("""COMPUTED_VALUE"""),"Ring o’ Luck and Nature")</f>
        <v>Ring o’ Luck and Nature</v>
      </c>
      <c r="Y471" s="1"/>
      <c r="Z471" s="1"/>
      <c r="AA471" s="1"/>
      <c r="AB471" s="1"/>
      <c r="AC471" s="1"/>
      <c r="AD471" s="1"/>
      <c r="AE471" s="1"/>
      <c r="AF471" s="1"/>
      <c r="AG471" s="1"/>
      <c r="AH471" s="1"/>
      <c r="AI471" s="1"/>
      <c r="AJ471" s="1" t="str">
        <f>IFERROR(__xludf.DUMMYFUNCTION("""COMPUTED_VALUE"""),"Distracting Blow")</f>
        <v>Distracting Blow</v>
      </c>
      <c r="AK471" s="1" t="str">
        <f>IFERROR(__xludf.DUMMYFUNCTION("""COMPUTED_VALUE"""),"Tackle")</f>
        <v>Tackle</v>
      </c>
      <c r="AL471" s="1" t="str">
        <f>IFERROR(__xludf.DUMMYFUNCTION("""COMPUTED_VALUE"""),"Berserk")</f>
        <v>Berserk</v>
      </c>
      <c r="AM471" s="1" t="str">
        <f>IFERROR(__xludf.DUMMYFUNCTION("""COMPUTED_VALUE"""),"Double Strike")</f>
        <v>Double Strike</v>
      </c>
      <c r="AN471" s="1" t="str">
        <f>IFERROR(__xludf.DUMMYFUNCTION("""COMPUTED_VALUE"""),"Nature Ward")</f>
        <v>Nature Ward</v>
      </c>
      <c r="AO471" s="1" t="str">
        <f>IFERROR(__xludf.DUMMYFUNCTION("""COMPUTED_VALUE"""),"Entangle")</f>
        <v>Entangle</v>
      </c>
      <c r="AP471" s="1" t="str">
        <f>IFERROR(__xludf.DUMMYFUNCTION("""COMPUTED_VALUE"""),"Obliterating Light of Blindness")</f>
        <v>Obliterating Light of Blindness</v>
      </c>
      <c r="AQ471" s="1" t="str">
        <f>IFERROR(__xludf.DUMMYFUNCTION("""COMPUTED_VALUE"""),"Hygiene")</f>
        <v>Hygiene</v>
      </c>
      <c r="AR471" s="1" t="str">
        <f>IFERROR(__xludf.DUMMYFUNCTION("""COMPUTED_VALUE"""),"Curse Of The Samurai")</f>
        <v>Curse Of The Samurai</v>
      </c>
      <c r="AS471" s="1" t="str">
        <f>IFERROR(__xludf.DUMMYFUNCTION("""COMPUTED_VALUE"""),"Pay Back")</f>
        <v>Pay Back</v>
      </c>
      <c r="AT471" s="1"/>
      <c r="AU471" s="1"/>
      <c r="AV471" s="1"/>
      <c r="AW471" s="1"/>
      <c r="AX471" s="1"/>
      <c r="AY471" s="1"/>
      <c r="AZ471" s="1"/>
      <c r="BA471" s="1"/>
      <c r="BB471" s="1"/>
      <c r="BC471" s="1"/>
      <c r="BD471" s="1">
        <f>IFERROR(__xludf.DUMMYFUNCTION("""COMPUTED_VALUE"""),0.0)</f>
        <v>0</v>
      </c>
      <c r="BE471" s="9">
        <f>IFERROR(__xludf.DUMMYFUNCTION("""COMPUTED_VALUE"""),10.0)</f>
        <v>10</v>
      </c>
      <c r="BF471" s="1" t="str">
        <f>IFERROR(__xludf.DUMMYFUNCTION("""COMPUTED_VALUE"""),"Dragonscale Luck: +5 Can be added to this mobs turn order roll.
This mob gains Haste 1 for the first round of battle.
At the start of battle roll a d4, This mob Curses that many enemies weapons making it so any damage they deal with that weapon deals ha"&amp;"lf the damage back to them and they cannot unequip it.")</f>
        <v>Dragonscale Luck: +5 Can be added to this mobs turn order roll.
This mob gains Haste 1 for the first round of battle.
At the start of battle roll a d4, This mob Curses that many enemies weapons making it so any damage they deal with that weapon deals half the damage back to them and they cannot unequip it.</v>
      </c>
      <c r="BG471" s="1" t="str">
        <f>IFERROR(__xludf.DUMMYFUNCTION("""COMPUTED_VALUE"""),"All")</f>
        <v>All</v>
      </c>
      <c r="BH471" s="1" t="str">
        <f>IFERROR(__xludf.DUMMYFUNCTION("""COMPUTED_VALUE"""),"Dragonscale Island")</f>
        <v>Dragonscale Island</v>
      </c>
      <c r="BI471" s="1"/>
      <c r="BJ471" s="1"/>
      <c r="BK471" s="1"/>
      <c r="BL471" s="1" t="b">
        <f>IFERROR(__xludf.DUMMYFUNCTION("""COMPUTED_VALUE"""),FALSE)</f>
        <v>0</v>
      </c>
      <c r="BM471" s="1"/>
      <c r="BN471" s="1"/>
      <c r="BO471" s="1"/>
      <c r="BP471" s="1"/>
      <c r="BQ471" s="1"/>
    </row>
    <row r="472" ht="15.75" customHeight="1">
      <c r="A472" s="1" t="str">
        <f>IFERROR(__xludf.DUMMYFUNCTION("""COMPUTED_VALUE"""),"Geckorian Minstrel")</f>
        <v>Geckorian Minstrel</v>
      </c>
      <c r="B472" s="1">
        <f>IFERROR(__xludf.DUMMYFUNCTION("""COMPUTED_VALUE"""),1.0)</f>
        <v>1</v>
      </c>
      <c r="C472" s="1"/>
      <c r="D472" s="1" t="str">
        <f>IFERROR(__xludf.DUMMYFUNCTION("""COMPUTED_VALUE"""),"Humanoid")</f>
        <v>Humanoid</v>
      </c>
      <c r="E472" s="1">
        <f>IFERROR(__xludf.DUMMYFUNCTION("""COMPUTED_VALUE"""),1010.0)</f>
        <v>1010</v>
      </c>
      <c r="F472" s="7">
        <f>IFERROR(__xludf.DUMMYFUNCTION("""COMPUTED_VALUE"""),1010.0)</f>
        <v>1010</v>
      </c>
      <c r="G472" s="1">
        <f>IFERROR(__xludf.DUMMYFUNCTION("""COMPUTED_VALUE"""),1010.0)</f>
        <v>1010</v>
      </c>
      <c r="H472" s="1">
        <f>IFERROR(__xludf.DUMMYFUNCTION("""COMPUTED_VALUE"""),10.0)</f>
        <v>10</v>
      </c>
      <c r="I472" s="1">
        <f>IFERROR(__xludf.DUMMYFUNCTION("""COMPUTED_VALUE"""),0.0)</f>
        <v>0</v>
      </c>
      <c r="J472" s="1">
        <f>IFERROR(__xludf.DUMMYFUNCTION("""COMPUTED_VALUE"""),0.0)</f>
        <v>0</v>
      </c>
      <c r="K472" s="1">
        <f>IFERROR(__xludf.DUMMYFUNCTION("""COMPUTED_VALUE"""),100.0)</f>
        <v>100</v>
      </c>
      <c r="L472" s="1">
        <f>IFERROR(__xludf.DUMMYFUNCTION("""COMPUTED_VALUE"""),100.0)</f>
        <v>100</v>
      </c>
      <c r="M472" s="1" t="str">
        <f>IFERROR(__xludf.DUMMYFUNCTION("""COMPUTED_VALUE"""),"Light:100, ")</f>
        <v>Light:100, </v>
      </c>
      <c r="N472" s="1" t="str">
        <f>IFERROR(__xludf.DUMMYFUNCTION("""COMPUTED_VALUE"""),"Dark:100, ")</f>
        <v>Dark:100, </v>
      </c>
      <c r="O472" s="1"/>
      <c r="P472" s="1"/>
      <c r="Q472" s="1"/>
      <c r="R472" s="1"/>
      <c r="S472" s="1"/>
      <c r="T472" s="1"/>
      <c r="U472" s="1"/>
      <c r="V472" s="1"/>
      <c r="W472" s="1" t="str">
        <f>IFERROR(__xludf.DUMMYFUNCTION("""COMPUTED_VALUE"""),"Flute of The Majestic Forest")</f>
        <v>Flute of The Majestic Forest</v>
      </c>
      <c r="X472" s="1" t="str">
        <f>IFERROR(__xludf.DUMMYFUNCTION("""COMPUTED_VALUE"""),"Ring o’ Luck and Nature")</f>
        <v>Ring o’ Luck and Nature</v>
      </c>
      <c r="Y472" s="1"/>
      <c r="Z472" s="1"/>
      <c r="AA472" s="1"/>
      <c r="AB472" s="1"/>
      <c r="AC472" s="1"/>
      <c r="AD472" s="1"/>
      <c r="AE472" s="1"/>
      <c r="AF472" s="1"/>
      <c r="AG472" s="1"/>
      <c r="AH472" s="1"/>
      <c r="AI472" s="1"/>
      <c r="AJ472" s="1" t="str">
        <f>IFERROR(__xludf.DUMMYFUNCTION("""COMPUTED_VALUE"""),"Distracting Blow")</f>
        <v>Distracting Blow</v>
      </c>
      <c r="AK472" s="1" t="str">
        <f>IFERROR(__xludf.DUMMYFUNCTION("""COMPUTED_VALUE"""),"Tackle")</f>
        <v>Tackle</v>
      </c>
      <c r="AL472" s="1" t="str">
        <f>IFERROR(__xludf.DUMMYFUNCTION("""COMPUTED_VALUE"""),"Berserk")</f>
        <v>Berserk</v>
      </c>
      <c r="AM472" s="1" t="str">
        <f>IFERROR(__xludf.DUMMYFUNCTION("""COMPUTED_VALUE"""),"Double Strike")</f>
        <v>Double Strike</v>
      </c>
      <c r="AN472" s="1" t="str">
        <f>IFERROR(__xludf.DUMMYFUNCTION("""COMPUTED_VALUE"""),"Nature Ward")</f>
        <v>Nature Ward</v>
      </c>
      <c r="AO472" s="1" t="str">
        <f>IFERROR(__xludf.DUMMYFUNCTION("""COMPUTED_VALUE"""),"Entangle")</f>
        <v>Entangle</v>
      </c>
      <c r="AP472" s="1" t="str">
        <f>IFERROR(__xludf.DUMMYFUNCTION("""COMPUTED_VALUE"""),"Obliterating Light of Blindness")</f>
        <v>Obliterating Light of Blindness</v>
      </c>
      <c r="AQ472" s="1" t="str">
        <f>IFERROR(__xludf.DUMMYFUNCTION("""COMPUTED_VALUE"""),"Hygiene")</f>
        <v>Hygiene</v>
      </c>
      <c r="AR472" s="1" t="str">
        <f>IFERROR(__xludf.DUMMYFUNCTION("""COMPUTED_VALUE"""),"Choir of 1000 Voices")</f>
        <v>Choir of 1000 Voices</v>
      </c>
      <c r="AS472" s="1" t="str">
        <f>IFERROR(__xludf.DUMMYFUNCTION("""COMPUTED_VALUE"""),"Thrash Sesh")</f>
        <v>Thrash Sesh</v>
      </c>
      <c r="AT472" s="1" t="str">
        <f>IFERROR(__xludf.DUMMYFUNCTION("""COMPUTED_VALUE"""),"Intimidating Song")</f>
        <v>Intimidating Song</v>
      </c>
      <c r="AU472" s="1"/>
      <c r="AV472" s="1"/>
      <c r="AW472" s="1"/>
      <c r="AX472" s="1"/>
      <c r="AY472" s="1"/>
      <c r="AZ472" s="1"/>
      <c r="BA472" s="1"/>
      <c r="BB472" s="1"/>
      <c r="BC472" s="1"/>
      <c r="BD472" s="1">
        <f>IFERROR(__xludf.DUMMYFUNCTION("""COMPUTED_VALUE"""),0.0)</f>
        <v>0</v>
      </c>
      <c r="BE472" s="9">
        <f>IFERROR(__xludf.DUMMYFUNCTION("""COMPUTED_VALUE"""),10.0)</f>
        <v>10</v>
      </c>
      <c r="BF472" s="1" t="str">
        <f>IFERROR(__xludf.DUMMYFUNCTION("""COMPUTED_VALUE"""),"Dragonscale Luck: +5 Can be added to this mobs turn order roll.
This mob gains Haste 1 for the first round of battle.
This mobs Acoustic Attacks deal X4 additional damage.
This mobs Instrument Attacks deal X4 additional damage.
This mobs Spell Attacks"&amp;" deal X2 additional damage as long as they have an instrument equipped.")</f>
        <v>Dragonscale Luck: +5 Can be added to this mobs turn order roll.
This mob gains Haste 1 for the first round of battle.
This mobs Acoustic Attacks deal X4 additional damage.
This mobs Instrument Attacks deal X4 additional damage.
This mobs Spell Attacks deal X2 additional damage as long as they have an instrument equipped.</v>
      </c>
      <c r="BG472" s="1" t="str">
        <f>IFERROR(__xludf.DUMMYFUNCTION("""COMPUTED_VALUE"""),"All")</f>
        <v>All</v>
      </c>
      <c r="BH472" s="1" t="str">
        <f>IFERROR(__xludf.DUMMYFUNCTION("""COMPUTED_VALUE"""),"Dragonscale Island")</f>
        <v>Dragonscale Island</v>
      </c>
      <c r="BI472" s="1"/>
      <c r="BJ472" s="1"/>
      <c r="BK472" s="1"/>
      <c r="BL472" s="1" t="b">
        <f>IFERROR(__xludf.DUMMYFUNCTION("""COMPUTED_VALUE"""),FALSE)</f>
        <v>0</v>
      </c>
      <c r="BM472" s="1"/>
      <c r="BN472" s="1"/>
      <c r="BO472" s="1"/>
      <c r="BP472" s="1"/>
      <c r="BQ472" s="1"/>
    </row>
    <row r="473" ht="15.75" customHeight="1">
      <c r="A473" s="1" t="str">
        <f>IFERROR(__xludf.DUMMYFUNCTION("""COMPUTED_VALUE"""),"Geckorian Warden")</f>
        <v>Geckorian Warden</v>
      </c>
      <c r="B473" s="1">
        <f>IFERROR(__xludf.DUMMYFUNCTION("""COMPUTED_VALUE"""),1.0)</f>
        <v>1</v>
      </c>
      <c r="C473" s="1"/>
      <c r="D473" s="1" t="str">
        <f>IFERROR(__xludf.DUMMYFUNCTION("""COMPUTED_VALUE"""),"Humanoid")</f>
        <v>Humanoid</v>
      </c>
      <c r="E473" s="1">
        <f>IFERROR(__xludf.DUMMYFUNCTION("""COMPUTED_VALUE"""),1010.0)</f>
        <v>1010</v>
      </c>
      <c r="F473" s="7">
        <f>IFERROR(__xludf.DUMMYFUNCTION("""COMPUTED_VALUE"""),1010.0)</f>
        <v>1010</v>
      </c>
      <c r="G473" s="1">
        <f>IFERROR(__xludf.DUMMYFUNCTION("""COMPUTED_VALUE"""),1010.0)</f>
        <v>1010</v>
      </c>
      <c r="H473" s="1">
        <f>IFERROR(__xludf.DUMMYFUNCTION("""COMPUTED_VALUE"""),10.0)</f>
        <v>10</v>
      </c>
      <c r="I473" s="1">
        <f>IFERROR(__xludf.DUMMYFUNCTION("""COMPUTED_VALUE"""),0.0)</f>
        <v>0</v>
      </c>
      <c r="J473" s="1">
        <f>IFERROR(__xludf.DUMMYFUNCTION("""COMPUTED_VALUE"""),0.0)</f>
        <v>0</v>
      </c>
      <c r="K473" s="1">
        <f>IFERROR(__xludf.DUMMYFUNCTION("""COMPUTED_VALUE"""),100.0)</f>
        <v>100</v>
      </c>
      <c r="L473" s="1">
        <f>IFERROR(__xludf.DUMMYFUNCTION("""COMPUTED_VALUE"""),100.0)</f>
        <v>100</v>
      </c>
      <c r="M473" s="1" t="str">
        <f>IFERROR(__xludf.DUMMYFUNCTION("""COMPUTED_VALUE"""),"Light:100, Order:100, Physical:100, ")</f>
        <v>Light:100, Order:100, Physical:100, </v>
      </c>
      <c r="N473" s="1" t="str">
        <f>IFERROR(__xludf.DUMMYFUNCTION("""COMPUTED_VALUE"""),"Dark:100, ")</f>
        <v>Dark:100, </v>
      </c>
      <c r="O473" s="1"/>
      <c r="P473" s="1"/>
      <c r="Q473" s="1"/>
      <c r="R473" s="1"/>
      <c r="S473" s="1"/>
      <c r="T473" s="1"/>
      <c r="U473" s="1"/>
      <c r="V473" s="1"/>
      <c r="W473" s="1" t="str">
        <f>IFERROR(__xludf.DUMMYFUNCTION("""COMPUTED_VALUE"""),"Guard Sword")</f>
        <v>Guard Sword</v>
      </c>
      <c r="X473" s="1" t="str">
        <f>IFERROR(__xludf.DUMMYFUNCTION("""COMPUTED_VALUE"""),"Ring o’ Luck and Nature")</f>
        <v>Ring o’ Luck and Nature</v>
      </c>
      <c r="Y473" s="1"/>
      <c r="Z473" s="1"/>
      <c r="AA473" s="1"/>
      <c r="AB473" s="1"/>
      <c r="AC473" s="1"/>
      <c r="AD473" s="1"/>
      <c r="AE473" s="1"/>
      <c r="AF473" s="1"/>
      <c r="AG473" s="1"/>
      <c r="AH473" s="1"/>
      <c r="AI473" s="1"/>
      <c r="AJ473" s="1" t="str">
        <f>IFERROR(__xludf.DUMMYFUNCTION("""COMPUTED_VALUE"""),"Distracting Blow")</f>
        <v>Distracting Blow</v>
      </c>
      <c r="AK473" s="1" t="str">
        <f>IFERROR(__xludf.DUMMYFUNCTION("""COMPUTED_VALUE"""),"Tackle")</f>
        <v>Tackle</v>
      </c>
      <c r="AL473" s="1" t="str">
        <f>IFERROR(__xludf.DUMMYFUNCTION("""COMPUTED_VALUE"""),"Berserk")</f>
        <v>Berserk</v>
      </c>
      <c r="AM473" s="1" t="str">
        <f>IFERROR(__xludf.DUMMYFUNCTION("""COMPUTED_VALUE"""),"Double Strike")</f>
        <v>Double Strike</v>
      </c>
      <c r="AN473" s="1" t="str">
        <f>IFERROR(__xludf.DUMMYFUNCTION("""COMPUTED_VALUE"""),"Nature Ward")</f>
        <v>Nature Ward</v>
      </c>
      <c r="AO473" s="1" t="str">
        <f>IFERROR(__xludf.DUMMYFUNCTION("""COMPUTED_VALUE"""),"Entangle")</f>
        <v>Entangle</v>
      </c>
      <c r="AP473" s="1" t="str">
        <f>IFERROR(__xludf.DUMMYFUNCTION("""COMPUTED_VALUE"""),"Arrest")</f>
        <v>Arrest</v>
      </c>
      <c r="AQ473" s="1" t="str">
        <f>IFERROR(__xludf.DUMMYFUNCTION("""COMPUTED_VALUE"""),"Obliterating Light of Blindness")</f>
        <v>Obliterating Light of Blindness</v>
      </c>
      <c r="AR473" s="1" t="str">
        <f>IFERROR(__xludf.DUMMYFUNCTION("""COMPUTED_VALUE"""),"Hygiene")</f>
        <v>Hygiene</v>
      </c>
      <c r="AS473" s="1"/>
      <c r="AT473" s="1"/>
      <c r="AU473" s="1"/>
      <c r="AV473" s="1"/>
      <c r="AW473" s="1"/>
      <c r="AX473" s="1"/>
      <c r="AY473" s="1"/>
      <c r="AZ473" s="1"/>
      <c r="BA473" s="1"/>
      <c r="BB473" s="1"/>
      <c r="BC473" s="1"/>
      <c r="BD473" s="1">
        <f>IFERROR(__xludf.DUMMYFUNCTION("""COMPUTED_VALUE"""),0.0)</f>
        <v>0</v>
      </c>
      <c r="BE473" s="9">
        <f>IFERROR(__xludf.DUMMYFUNCTION("""COMPUTED_VALUE"""),10.0)</f>
        <v>10</v>
      </c>
      <c r="BF473" s="1" t="str">
        <f>IFERROR(__xludf.DUMMYFUNCTION("""COMPUTED_VALUE"""),"Dragonscale Luck: +5 Can be added to this mobs turn order roll.
This mob gains Haste 1 for the first round of battle.
Arrest Immune.
This mob can use the arrest power twice in one turn if it was their first action.")</f>
        <v>Dragonscale Luck: +5 Can be added to this mobs turn order roll.
This mob gains Haste 1 for the first round of battle.
Arrest Immune.
This mob can use the arrest power twice in one turn if it was their first action.</v>
      </c>
      <c r="BG473" s="1" t="str">
        <f>IFERROR(__xludf.DUMMYFUNCTION("""COMPUTED_VALUE"""),"All")</f>
        <v>All</v>
      </c>
      <c r="BH473" s="1" t="str">
        <f>IFERROR(__xludf.DUMMYFUNCTION("""COMPUTED_VALUE"""),"Dragonscale Island")</f>
        <v>Dragonscale Island</v>
      </c>
      <c r="BI473" s="1"/>
      <c r="BJ473" s="1"/>
      <c r="BK473" s="1"/>
      <c r="BL473" s="1" t="b">
        <f>IFERROR(__xludf.DUMMYFUNCTION("""COMPUTED_VALUE"""),FALSE)</f>
        <v>0</v>
      </c>
      <c r="BM473" s="1"/>
      <c r="BN473" s="1"/>
      <c r="BO473" s="1"/>
      <c r="BP473" s="1"/>
      <c r="BQ473" s="1"/>
    </row>
    <row r="474" ht="15.75" customHeight="1">
      <c r="A474" s="1" t="str">
        <f>IFERROR(__xludf.DUMMYFUNCTION("""COMPUTED_VALUE"""),"Chameldrian Infiltrator")</f>
        <v>Chameldrian Infiltrator</v>
      </c>
      <c r="B474" s="1">
        <f>IFERROR(__xludf.DUMMYFUNCTION("""COMPUTED_VALUE"""),1.0)</f>
        <v>1</v>
      </c>
      <c r="C474" s="1"/>
      <c r="D474" s="1" t="str">
        <f>IFERROR(__xludf.DUMMYFUNCTION("""COMPUTED_VALUE"""),"Humanoid")</f>
        <v>Humanoid</v>
      </c>
      <c r="E474" s="1">
        <f>IFERROR(__xludf.DUMMYFUNCTION("""COMPUTED_VALUE"""),1010.0)</f>
        <v>1010</v>
      </c>
      <c r="F474" s="7">
        <f>IFERROR(__xludf.DUMMYFUNCTION("""COMPUTED_VALUE"""),1010.0)</f>
        <v>1010</v>
      </c>
      <c r="G474" s="1">
        <f>IFERROR(__xludf.DUMMYFUNCTION("""COMPUTED_VALUE"""),1010.0)</f>
        <v>1010</v>
      </c>
      <c r="H474" s="1">
        <f>IFERROR(__xludf.DUMMYFUNCTION("""COMPUTED_VALUE"""),10.0)</f>
        <v>10</v>
      </c>
      <c r="I474" s="1">
        <f>IFERROR(__xludf.DUMMYFUNCTION("""COMPUTED_VALUE"""),0.0)</f>
        <v>0</v>
      </c>
      <c r="J474" s="1">
        <f>IFERROR(__xludf.DUMMYFUNCTION("""COMPUTED_VALUE"""),0.0)</f>
        <v>0</v>
      </c>
      <c r="K474" s="1">
        <f>IFERROR(__xludf.DUMMYFUNCTION("""COMPUTED_VALUE"""),100.0)</f>
        <v>100</v>
      </c>
      <c r="L474" s="1">
        <f>IFERROR(__xludf.DUMMYFUNCTION("""COMPUTED_VALUE"""),100.0)</f>
        <v>100</v>
      </c>
      <c r="M474" s="1" t="str">
        <f>IFERROR(__xludf.DUMMYFUNCTION("""COMPUTED_VALUE"""),"Physical:100, ")</f>
        <v>Physical:100, </v>
      </c>
      <c r="N474" s="1" t="str">
        <f>IFERROR(__xludf.DUMMYFUNCTION("""COMPUTED_VALUE"""),"Order:100, ")</f>
        <v>Order:100, </v>
      </c>
      <c r="O474" s="1"/>
      <c r="P474" s="1"/>
      <c r="Q474" s="1"/>
      <c r="R474" s="1"/>
      <c r="S474" s="1"/>
      <c r="T474" s="1" t="str">
        <f>IFERROR(__xludf.DUMMYFUNCTION("""COMPUTED_VALUE"""),"Robe of Vanish")</f>
        <v>Robe of Vanish</v>
      </c>
      <c r="U474" s="1"/>
      <c r="V474" s="1"/>
      <c r="W474" s="1"/>
      <c r="X474" s="1" t="str">
        <f>IFERROR(__xludf.DUMMYFUNCTION("""COMPUTED_VALUE"""),"Ring o’ Luck and Nature")</f>
        <v>Ring o’ Luck and Nature</v>
      </c>
      <c r="Y474" s="1"/>
      <c r="Z474" s="1"/>
      <c r="AA474" s="1"/>
      <c r="AB474" s="1"/>
      <c r="AC474" s="1"/>
      <c r="AD474" s="1"/>
      <c r="AE474" s="1"/>
      <c r="AF474" s="1"/>
      <c r="AG474" s="1"/>
      <c r="AH474" s="1"/>
      <c r="AI474" s="1"/>
      <c r="AJ474" s="1" t="str">
        <f>IFERROR(__xludf.DUMMYFUNCTION("""COMPUTED_VALUE"""),"Camouflage")</f>
        <v>Camouflage</v>
      </c>
      <c r="AK474" s="1" t="str">
        <f>IFERROR(__xludf.DUMMYFUNCTION("""COMPUTED_VALUE"""),"Distracting Blow")</f>
        <v>Distracting Blow</v>
      </c>
      <c r="AL474" s="1" t="str">
        <f>IFERROR(__xludf.DUMMYFUNCTION("""COMPUTED_VALUE"""),"Berserk")</f>
        <v>Berserk</v>
      </c>
      <c r="AM474" s="1" t="str">
        <f>IFERROR(__xludf.DUMMYFUNCTION("""COMPUTED_VALUE"""),"Double Strike")</f>
        <v>Double Strike</v>
      </c>
      <c r="AN474" s="1" t="str">
        <f>IFERROR(__xludf.DUMMYFUNCTION("""COMPUTED_VALUE"""),"Nature Ward")</f>
        <v>Nature Ward</v>
      </c>
      <c r="AO474" s="1" t="str">
        <f>IFERROR(__xludf.DUMMYFUNCTION("""COMPUTED_VALUE"""),"Entangle")</f>
        <v>Entangle</v>
      </c>
      <c r="AP474" s="1" t="str">
        <f>IFERROR(__xludf.DUMMYFUNCTION("""COMPUTED_VALUE"""),"Landslide")</f>
        <v>Landslide</v>
      </c>
      <c r="AQ474" s="1" t="str">
        <f>IFERROR(__xludf.DUMMYFUNCTION("""COMPUTED_VALUE"""),"Beast Form")</f>
        <v>Beast Form</v>
      </c>
      <c r="AR474" s="1" t="str">
        <f>IFERROR(__xludf.DUMMYFUNCTION("""COMPUTED_VALUE"""),"Chameldrian Camoflauge")</f>
        <v>Chameldrian Camoflauge</v>
      </c>
      <c r="AS474" s="1"/>
      <c r="AT474" s="1"/>
      <c r="AU474" s="1"/>
      <c r="AV474" s="1"/>
      <c r="AW474" s="1"/>
      <c r="AX474" s="1"/>
      <c r="AY474" s="1"/>
      <c r="AZ474" s="1"/>
      <c r="BA474" s="1"/>
      <c r="BB474" s="1"/>
      <c r="BC474" s="1"/>
      <c r="BD474" s="1">
        <f>IFERROR(__xludf.DUMMYFUNCTION("""COMPUTED_VALUE"""),0.0)</f>
        <v>0</v>
      </c>
      <c r="BE474" s="9">
        <f>IFERROR(__xludf.DUMMYFUNCTION("""COMPUTED_VALUE"""),10.0)</f>
        <v>10</v>
      </c>
      <c r="BF474" s="1" t="str">
        <f>IFERROR(__xludf.DUMMYFUNCTION("""COMPUTED_VALUE"""),"Dragonscale Luck: +5 Can be added to this mobs turn order roll.
This mob gains Haste 1 for the first round of battle.
Steal Immune
At the beginning of battle this mob may make a Fail/Succeed roll to transform into a enemy it currently sees for 3 rounds"&amp;", It's stats, abilities, spells/powers, and equipment become the same as the target it transformed into. 
25% chance to use the power ""Chameldrian Camouflage"" at the beginning of battle.
Natural Power ""Chameldrian Camouflage is guaranteed to succeed.")</f>
        <v>Dragonscale Luck: +5 Can be added to this mobs turn order roll.
This mob gains Haste 1 for the first round of battle.
Steal Immune
At the beginning of battle this mob may make a Fail/Succeed roll to transform into a enemy it currently sees for 3 rounds, It's stats, abilities, spells/powers, and equipment become the same as the target it transformed into. 
25% chance to use the power "Chameldrian Camouflage" at the beginning of battle.
Natural Power "Chameldrian Camouflage is guaranteed to succeed.</v>
      </c>
      <c r="BG474" s="1" t="str">
        <f>IFERROR(__xludf.DUMMYFUNCTION("""COMPUTED_VALUE"""),"All")</f>
        <v>All</v>
      </c>
      <c r="BH474" s="1" t="str">
        <f>IFERROR(__xludf.DUMMYFUNCTION("""COMPUTED_VALUE"""),"Dragonscale Island")</f>
        <v>Dragonscale Island</v>
      </c>
      <c r="BI474" s="1"/>
      <c r="BJ474" s="1"/>
      <c r="BK474" s="1"/>
      <c r="BL474" s="1" t="b">
        <f>IFERROR(__xludf.DUMMYFUNCTION("""COMPUTED_VALUE"""),FALSE)</f>
        <v>0</v>
      </c>
      <c r="BM474" s="1"/>
      <c r="BN474" s="1"/>
      <c r="BO474" s="1"/>
      <c r="BP474" s="1"/>
      <c r="BQ474" s="1"/>
    </row>
    <row r="475" ht="15.75" customHeight="1">
      <c r="A475" s="1" t="str">
        <f>IFERROR(__xludf.DUMMYFUNCTION("""COMPUTED_VALUE"""),"Chameldrian Druid")</f>
        <v>Chameldrian Druid</v>
      </c>
      <c r="B475" s="1">
        <f>IFERROR(__xludf.DUMMYFUNCTION("""COMPUTED_VALUE"""),1.0)</f>
        <v>1</v>
      </c>
      <c r="C475" s="1"/>
      <c r="D475" s="1" t="str">
        <f>IFERROR(__xludf.DUMMYFUNCTION("""COMPUTED_VALUE"""),"Humanoid")</f>
        <v>Humanoid</v>
      </c>
      <c r="E475" s="1">
        <f>IFERROR(__xludf.DUMMYFUNCTION("""COMPUTED_VALUE"""),1010.0)</f>
        <v>1010</v>
      </c>
      <c r="F475" s="7">
        <f>IFERROR(__xludf.DUMMYFUNCTION("""COMPUTED_VALUE"""),1010.0)</f>
        <v>1010</v>
      </c>
      <c r="G475" s="1">
        <f>IFERROR(__xludf.DUMMYFUNCTION("""COMPUTED_VALUE"""),1010.0)</f>
        <v>1010</v>
      </c>
      <c r="H475" s="1">
        <f>IFERROR(__xludf.DUMMYFUNCTION("""COMPUTED_VALUE"""),10.0)</f>
        <v>10</v>
      </c>
      <c r="I475" s="1">
        <f>IFERROR(__xludf.DUMMYFUNCTION("""COMPUTED_VALUE"""),0.0)</f>
        <v>0</v>
      </c>
      <c r="J475" s="1">
        <f>IFERROR(__xludf.DUMMYFUNCTION("""COMPUTED_VALUE"""),0.0)</f>
        <v>0</v>
      </c>
      <c r="K475" s="1">
        <f>IFERROR(__xludf.DUMMYFUNCTION("""COMPUTED_VALUE"""),100.0)</f>
        <v>100</v>
      </c>
      <c r="L475" s="1">
        <f>IFERROR(__xludf.DUMMYFUNCTION("""COMPUTED_VALUE"""),100.0)</f>
        <v>100</v>
      </c>
      <c r="M475" s="1" t="str">
        <f>IFERROR(__xludf.DUMMYFUNCTION("""COMPUTED_VALUE"""),"Nature:100, Physical:100, ")</f>
        <v>Nature:100, Physical:100, </v>
      </c>
      <c r="N475" s="1" t="str">
        <f>IFERROR(__xludf.DUMMYFUNCTION("""COMPUTED_VALUE"""),"Fire:100, Order:100, ")</f>
        <v>Fire:100, Order:100, </v>
      </c>
      <c r="O475" s="1"/>
      <c r="P475" s="1"/>
      <c r="Q475" s="1"/>
      <c r="R475" s="1"/>
      <c r="S475" s="1"/>
      <c r="T475" s="1"/>
      <c r="U475" s="1"/>
      <c r="V475" s="1"/>
      <c r="W475" s="1" t="str">
        <f>IFERROR(__xludf.DUMMYFUNCTION("""COMPUTED_VALUE"""),"Chameldrians Staff of Thriving Blossoms")</f>
        <v>Chameldrians Staff of Thriving Blossoms</v>
      </c>
      <c r="X475" s="1" t="str">
        <f>IFERROR(__xludf.DUMMYFUNCTION("""COMPUTED_VALUE"""),"Ring o’ Luck and Nature")</f>
        <v>Ring o’ Luck and Nature</v>
      </c>
      <c r="Y475" s="1"/>
      <c r="Z475" s="1"/>
      <c r="AA475" s="1"/>
      <c r="AB475" s="1"/>
      <c r="AC475" s="1"/>
      <c r="AD475" s="1"/>
      <c r="AE475" s="1"/>
      <c r="AF475" s="1"/>
      <c r="AG475" s="1"/>
      <c r="AH475" s="1"/>
      <c r="AI475" s="1"/>
      <c r="AJ475" s="1" t="str">
        <f>IFERROR(__xludf.DUMMYFUNCTION("""COMPUTED_VALUE"""),"Camouflage")</f>
        <v>Camouflage</v>
      </c>
      <c r="AK475" s="1" t="str">
        <f>IFERROR(__xludf.DUMMYFUNCTION("""COMPUTED_VALUE"""),"Distracting Blow")</f>
        <v>Distracting Blow</v>
      </c>
      <c r="AL475" s="1" t="str">
        <f>IFERROR(__xludf.DUMMYFUNCTION("""COMPUTED_VALUE"""),"Berserk")</f>
        <v>Berserk</v>
      </c>
      <c r="AM475" s="1" t="str">
        <f>IFERROR(__xludf.DUMMYFUNCTION("""COMPUTED_VALUE"""),"Double Strike")</f>
        <v>Double Strike</v>
      </c>
      <c r="AN475" s="1" t="str">
        <f>IFERROR(__xludf.DUMMYFUNCTION("""COMPUTED_VALUE"""),"Nature Ward")</f>
        <v>Nature Ward</v>
      </c>
      <c r="AO475" s="1" t="str">
        <f>IFERROR(__xludf.DUMMYFUNCTION("""COMPUTED_VALUE"""),"Entangle")</f>
        <v>Entangle</v>
      </c>
      <c r="AP475" s="1" t="str">
        <f>IFERROR(__xludf.DUMMYFUNCTION("""COMPUTED_VALUE"""),"Landslide")</f>
        <v>Landslide</v>
      </c>
      <c r="AQ475" s="1" t="str">
        <f>IFERROR(__xludf.DUMMYFUNCTION("""COMPUTED_VALUE"""),"The World Tree")</f>
        <v>The World Tree</v>
      </c>
      <c r="AR475" s="1" t="str">
        <f>IFERROR(__xludf.DUMMYFUNCTION("""COMPUTED_VALUE"""),"The Orb of Life")</f>
        <v>The Orb of Life</v>
      </c>
      <c r="AS475" s="1" t="str">
        <f>IFERROR(__xludf.DUMMYFUNCTION("""COMPUTED_VALUE"""),"Chameldrian Camoflauge")</f>
        <v>Chameldrian Camoflauge</v>
      </c>
      <c r="AT475" s="1"/>
      <c r="AU475" s="1"/>
      <c r="AV475" s="1"/>
      <c r="AW475" s="1"/>
      <c r="AX475" s="1"/>
      <c r="AY475" s="1"/>
      <c r="AZ475" s="1"/>
      <c r="BA475" s="1"/>
      <c r="BB475" s="1"/>
      <c r="BC475" s="1"/>
      <c r="BD475" s="1">
        <f>IFERROR(__xludf.DUMMYFUNCTION("""COMPUTED_VALUE"""),0.0)</f>
        <v>0</v>
      </c>
      <c r="BE475" s="9">
        <f>IFERROR(__xludf.DUMMYFUNCTION("""COMPUTED_VALUE"""),10.0)</f>
        <v>10</v>
      </c>
      <c r="BF475" s="1" t="str">
        <f>IFERROR(__xludf.DUMMYFUNCTION("""COMPUTED_VALUE"""),"Dragonscale Luck: +5 Can be added to this mobs turn order roll.
This mob gains Haste 1 for the first round of battle.
20% chance of recruiting an enemy to the mobs side at the beginning of battle.
25% chance to use the power ""Chameldrian Camouflage"" "&amp;"at the beginning of battle.")</f>
        <v>Dragonscale Luck: +5 Can be added to this mobs turn order roll.
This mob gains Haste 1 for the first round of battle.
20% chance of recruiting an enemy to the mobs side at the beginning of battle.
25% chance to use the power "Chameldrian Camouflage" at the beginning of battle.</v>
      </c>
      <c r="BG475" s="1" t="str">
        <f>IFERROR(__xludf.DUMMYFUNCTION("""COMPUTED_VALUE"""),"All")</f>
        <v>All</v>
      </c>
      <c r="BH475" s="1" t="str">
        <f>IFERROR(__xludf.DUMMYFUNCTION("""COMPUTED_VALUE"""),"Dragonscale Island")</f>
        <v>Dragonscale Island</v>
      </c>
      <c r="BI475" s="1"/>
      <c r="BJ475" s="1"/>
      <c r="BK475" s="1"/>
      <c r="BL475" s="1" t="b">
        <f>IFERROR(__xludf.DUMMYFUNCTION("""COMPUTED_VALUE"""),FALSE)</f>
        <v>0</v>
      </c>
      <c r="BM475" s="1"/>
      <c r="BN475" s="1"/>
      <c r="BO475" s="1"/>
      <c r="BP475" s="1"/>
      <c r="BQ475" s="1"/>
    </row>
    <row r="476" ht="15.75" customHeight="1">
      <c r="A476" s="1" t="str">
        <f>IFERROR(__xludf.DUMMYFUNCTION("""COMPUTED_VALUE"""),"Chameldrian Berserker")</f>
        <v>Chameldrian Berserker</v>
      </c>
      <c r="B476" s="1">
        <f>IFERROR(__xludf.DUMMYFUNCTION("""COMPUTED_VALUE"""),1.0)</f>
        <v>1</v>
      </c>
      <c r="C476" s="1"/>
      <c r="D476" s="1" t="str">
        <f>IFERROR(__xludf.DUMMYFUNCTION("""COMPUTED_VALUE"""),"Humanoid")</f>
        <v>Humanoid</v>
      </c>
      <c r="E476" s="1">
        <f>IFERROR(__xludf.DUMMYFUNCTION("""COMPUTED_VALUE"""),1010.0)</f>
        <v>1010</v>
      </c>
      <c r="F476" s="7">
        <f>IFERROR(__xludf.DUMMYFUNCTION("""COMPUTED_VALUE"""),1010.0)</f>
        <v>1010</v>
      </c>
      <c r="G476" s="1">
        <f>IFERROR(__xludf.DUMMYFUNCTION("""COMPUTED_VALUE"""),1010.0)</f>
        <v>1010</v>
      </c>
      <c r="H476" s="1">
        <f>IFERROR(__xludf.DUMMYFUNCTION("""COMPUTED_VALUE"""),10.0)</f>
        <v>10</v>
      </c>
      <c r="I476" s="1">
        <f>IFERROR(__xludf.DUMMYFUNCTION("""COMPUTED_VALUE"""),0.0)</f>
        <v>0</v>
      </c>
      <c r="J476" s="1">
        <f>IFERROR(__xludf.DUMMYFUNCTION("""COMPUTED_VALUE"""),0.0)</f>
        <v>0</v>
      </c>
      <c r="K476" s="1">
        <f>IFERROR(__xludf.DUMMYFUNCTION("""COMPUTED_VALUE"""),100.0)</f>
        <v>100</v>
      </c>
      <c r="L476" s="1">
        <f>IFERROR(__xludf.DUMMYFUNCTION("""COMPUTED_VALUE"""),100.0)</f>
        <v>100</v>
      </c>
      <c r="M476" s="1" t="str">
        <f>IFERROR(__xludf.DUMMYFUNCTION("""COMPUTED_VALUE"""),"Physical:100, ")</f>
        <v>Physical:100, </v>
      </c>
      <c r="N476" s="1" t="str">
        <f>IFERROR(__xludf.DUMMYFUNCTION("""COMPUTED_VALUE"""),"Order:100, ")</f>
        <v>Order:100, </v>
      </c>
      <c r="O476" s="1"/>
      <c r="P476" s="1"/>
      <c r="Q476" s="1"/>
      <c r="R476" s="1"/>
      <c r="S476" s="1"/>
      <c r="T476" s="1"/>
      <c r="U476" s="1"/>
      <c r="V476" s="1"/>
      <c r="W476" s="1" t="str">
        <f>IFERROR(__xludf.DUMMYFUNCTION("""COMPUTED_VALUE"""),"Nature's Sword")</f>
        <v>Nature's Sword</v>
      </c>
      <c r="X476" s="1" t="str">
        <f>IFERROR(__xludf.DUMMYFUNCTION("""COMPUTED_VALUE"""),"Ring o’ Luck and Nature")</f>
        <v>Ring o’ Luck and Nature</v>
      </c>
      <c r="Y476" s="1"/>
      <c r="Z476" s="1"/>
      <c r="AA476" s="1"/>
      <c r="AB476" s="1"/>
      <c r="AC476" s="1"/>
      <c r="AD476" s="1"/>
      <c r="AE476" s="1"/>
      <c r="AF476" s="1"/>
      <c r="AG476" s="1"/>
      <c r="AH476" s="1"/>
      <c r="AI476" s="1"/>
      <c r="AJ476" s="1" t="str">
        <f>IFERROR(__xludf.DUMMYFUNCTION("""COMPUTED_VALUE"""),"Camouflage")</f>
        <v>Camouflage</v>
      </c>
      <c r="AK476" s="1" t="str">
        <f>IFERROR(__xludf.DUMMYFUNCTION("""COMPUTED_VALUE"""),"Distracting Blow")</f>
        <v>Distracting Blow</v>
      </c>
      <c r="AL476" s="1" t="str">
        <f>IFERROR(__xludf.DUMMYFUNCTION("""COMPUTED_VALUE"""),"Berserk")</f>
        <v>Berserk</v>
      </c>
      <c r="AM476" s="1" t="str">
        <f>IFERROR(__xludf.DUMMYFUNCTION("""COMPUTED_VALUE"""),"Double Strike")</f>
        <v>Double Strike</v>
      </c>
      <c r="AN476" s="1" t="str">
        <f>IFERROR(__xludf.DUMMYFUNCTION("""COMPUTED_VALUE"""),"Nature Ward")</f>
        <v>Nature Ward</v>
      </c>
      <c r="AO476" s="1" t="str">
        <f>IFERROR(__xludf.DUMMYFUNCTION("""COMPUTED_VALUE"""),"Entangle")</f>
        <v>Entangle</v>
      </c>
      <c r="AP476" s="1" t="str">
        <f>IFERROR(__xludf.DUMMYFUNCTION("""COMPUTED_VALUE"""),"Landslide")</f>
        <v>Landslide</v>
      </c>
      <c r="AQ476" s="1" t="str">
        <f>IFERROR(__xludf.DUMMYFUNCTION("""COMPUTED_VALUE"""),"Chameldrian Camoflauge")</f>
        <v>Chameldrian Camoflauge</v>
      </c>
      <c r="AR476" s="1"/>
      <c r="AS476" s="1"/>
      <c r="AT476" s="1"/>
      <c r="AU476" s="1"/>
      <c r="AV476" s="1"/>
      <c r="AW476" s="1"/>
      <c r="AX476" s="1"/>
      <c r="AY476" s="1"/>
      <c r="AZ476" s="1"/>
      <c r="BA476" s="1"/>
      <c r="BB476" s="1"/>
      <c r="BC476" s="1"/>
      <c r="BD476" s="1">
        <f>IFERROR(__xludf.DUMMYFUNCTION("""COMPUTED_VALUE"""),0.0)</f>
        <v>0</v>
      </c>
      <c r="BE476" s="9">
        <f>IFERROR(__xludf.DUMMYFUNCTION("""COMPUTED_VALUE"""),10.0)</f>
        <v>10</v>
      </c>
      <c r="BF476" s="1" t="str">
        <f>IFERROR(__xludf.DUMMYFUNCTION("""COMPUTED_VALUE"""),"Dragonscale Luck: +5 Can be added to this mobs turn order roll.
This mob gains Haste 1 for the first round of battle.
Immune to Weapon Attacks, Cannot resist or be immune to Spell Attacks.
This mobs Weapon Attacks deal X4 additional damage.
25% chance"&amp;" to use the power ""Chameldrian Camouflage"" at the beginning of battle.")</f>
        <v>Dragonscale Luck: +5 Can be added to this mobs turn order roll.
This mob gains Haste 1 for the first round of battle.
Immune to Weapon Attacks, Cannot resist or be immune to Spell Attacks.
This mobs Weapon Attacks deal X4 additional damage.
25% chance to use the power "Chameldrian Camouflage" at the beginning of battle.</v>
      </c>
      <c r="BG476" s="1" t="str">
        <f>IFERROR(__xludf.DUMMYFUNCTION("""COMPUTED_VALUE"""),"All")</f>
        <v>All</v>
      </c>
      <c r="BH476" s="1" t="str">
        <f>IFERROR(__xludf.DUMMYFUNCTION("""COMPUTED_VALUE"""),"Dragonscale Island")</f>
        <v>Dragonscale Island</v>
      </c>
      <c r="BI476" s="1"/>
      <c r="BJ476" s="1"/>
      <c r="BK476" s="1"/>
      <c r="BL476" s="1" t="b">
        <f>IFERROR(__xludf.DUMMYFUNCTION("""COMPUTED_VALUE"""),FALSE)</f>
        <v>0</v>
      </c>
      <c r="BM476" s="1"/>
      <c r="BN476" s="1"/>
      <c r="BO476" s="1"/>
      <c r="BP476" s="1"/>
      <c r="BQ476" s="1"/>
    </row>
    <row r="477" ht="15.75" customHeight="1">
      <c r="A477" s="1" t="str">
        <f>IFERROR(__xludf.DUMMYFUNCTION("""COMPUTED_VALUE"""),"Ancient Wood Dragon")</f>
        <v>Ancient Wood Dragon</v>
      </c>
      <c r="B477" s="1">
        <f>IFERROR(__xludf.DUMMYFUNCTION("""COMPUTED_VALUE"""),1.0)</f>
        <v>1</v>
      </c>
      <c r="C477" s="1"/>
      <c r="D477" s="1" t="str">
        <f>IFERROR(__xludf.DUMMYFUNCTION("""COMPUTED_VALUE"""),"Draconic")</f>
        <v>Draconic</v>
      </c>
      <c r="E477" s="1">
        <f>IFERROR(__xludf.DUMMYFUNCTION("""COMPUTED_VALUE"""),1010.0)</f>
        <v>1010</v>
      </c>
      <c r="F477" s="7">
        <f>IFERROR(__xludf.DUMMYFUNCTION("""COMPUTED_VALUE"""),1010.0)</f>
        <v>1010</v>
      </c>
      <c r="G477" s="1">
        <f>IFERROR(__xludf.DUMMYFUNCTION("""COMPUTED_VALUE"""),1010.0)</f>
        <v>1010</v>
      </c>
      <c r="H477" s="1">
        <f>IFERROR(__xludf.DUMMYFUNCTION("""COMPUTED_VALUE"""),10.0)</f>
        <v>10</v>
      </c>
      <c r="I477" s="1">
        <f>IFERROR(__xludf.DUMMYFUNCTION("""COMPUTED_VALUE"""),0.0)</f>
        <v>0</v>
      </c>
      <c r="J477" s="1">
        <f>IFERROR(__xludf.DUMMYFUNCTION("""COMPUTED_VALUE"""),0.0)</f>
        <v>0</v>
      </c>
      <c r="K477" s="1">
        <f>IFERROR(__xludf.DUMMYFUNCTION("""COMPUTED_VALUE"""),100.0)</f>
        <v>100</v>
      </c>
      <c r="L477" s="1">
        <f>IFERROR(__xludf.DUMMYFUNCTION("""COMPUTED_VALUE"""),100.0)</f>
        <v>100</v>
      </c>
      <c r="M477" s="1" t="str">
        <f>IFERROR(__xludf.DUMMYFUNCTION("""COMPUTED_VALUE"""),"Water:100, Nature:Immune, Instant Death:Immune, Banishment:Immune, ")</f>
        <v>Water:100, Nature:Immune, Instant Death:Immune, Banishment:Immune, </v>
      </c>
      <c r="N477" s="1" t="str">
        <f>IFERROR(__xludf.DUMMYFUNCTION("""COMPUTED_VALUE"""),"Fire:100, ")</f>
        <v>Fire:100, </v>
      </c>
      <c r="O477" s="1"/>
      <c r="P477" s="1"/>
      <c r="Q477" s="1"/>
      <c r="R477" s="1"/>
      <c r="S477" s="1"/>
      <c r="T477" s="1"/>
      <c r="U477" s="1"/>
      <c r="V477" s="1"/>
      <c r="W477" s="1"/>
      <c r="X477" s="1"/>
      <c r="Y477" s="1"/>
      <c r="Z477" s="1"/>
      <c r="AA477" s="1"/>
      <c r="AB477" s="1"/>
      <c r="AC477" s="1"/>
      <c r="AD477" s="1"/>
      <c r="AE477" s="1"/>
      <c r="AF477" s="1"/>
      <c r="AG477" s="1"/>
      <c r="AH477" s="1"/>
      <c r="AI477" s="1"/>
      <c r="AJ477" s="1" t="str">
        <f>IFERROR(__xludf.DUMMYFUNCTION("""COMPUTED_VALUE"""),"Greater Dragon's Breath")</f>
        <v>Greater Dragon's Breath</v>
      </c>
      <c r="AK477" s="1" t="str">
        <f>IFERROR(__xludf.DUMMYFUNCTION("""COMPUTED_VALUE"""),"Claws")</f>
        <v>Claws</v>
      </c>
      <c r="AL477" s="1" t="str">
        <f>IFERROR(__xludf.DUMMYFUNCTION("""COMPUTED_VALUE"""),"The World Tree")</f>
        <v>The World Tree</v>
      </c>
      <c r="AM477" s="1" t="str">
        <f>IFERROR(__xludf.DUMMYFUNCTION("""COMPUTED_VALUE"""),"Cancel")</f>
        <v>Cancel</v>
      </c>
      <c r="AN477" s="1" t="str">
        <f>IFERROR(__xludf.DUMMYFUNCTION("""COMPUTED_VALUE"""),"Nature Ward")</f>
        <v>Nature Ward</v>
      </c>
      <c r="AO477" s="1" t="str">
        <f>IFERROR(__xludf.DUMMYFUNCTION("""COMPUTED_VALUE"""),"Nature's Wrath")</f>
        <v>Nature's Wrath</v>
      </c>
      <c r="AP477" s="1" t="str">
        <f>IFERROR(__xludf.DUMMYFUNCTION("""COMPUTED_VALUE"""),"Grounds")</f>
        <v>Grounds</v>
      </c>
      <c r="AQ477" s="1" t="str">
        <f>IFERROR(__xludf.DUMMYFUNCTION("""COMPUTED_VALUE"""),"Berserk")</f>
        <v>Berserk</v>
      </c>
      <c r="AR477" s="1" t="str">
        <f>IFERROR(__xludf.DUMMYFUNCTION("""COMPUTED_VALUE"""),"Multishot")</f>
        <v>Multishot</v>
      </c>
      <c r="AS477" s="1" t="str">
        <f>IFERROR(__xludf.DUMMYFUNCTION("""COMPUTED_VALUE"""),"Chaincast")</f>
        <v>Chaincast</v>
      </c>
      <c r="AT477" s="1" t="str">
        <f>IFERROR(__xludf.DUMMYFUNCTION("""COMPUTED_VALUE"""),"Mass Destruction")</f>
        <v>Mass Destruction</v>
      </c>
      <c r="AU477" s="1"/>
      <c r="AV477" s="1"/>
      <c r="AW477" s="1"/>
      <c r="AX477" s="1"/>
      <c r="AY477" s="1"/>
      <c r="AZ477" s="1"/>
      <c r="BA477" s="1"/>
      <c r="BB477" s="1"/>
      <c r="BC477" s="1"/>
      <c r="BD477" s="1">
        <f>IFERROR(__xludf.DUMMYFUNCTION("""COMPUTED_VALUE"""),0.0)</f>
        <v>0</v>
      </c>
      <c r="BE477" s="9">
        <f>IFERROR(__xludf.DUMMYFUNCTION("""COMPUTED_VALUE"""),10.0)</f>
        <v>10</v>
      </c>
      <c r="BF477" s="1" t="str">
        <f>IFERROR(__xludf.DUMMYFUNCTION("""COMPUTED_VALUE"""),"Dragonscale Luck: +5 Can be added to this mobs turn order roll.
75% chance to be unaffected by any spells affecting this mob
Dragons Luck II: +10 can be added to this mobs d20 rolls.")</f>
        <v>Dragonscale Luck: +5 Can be added to this mobs turn order roll.
75% chance to be unaffected by any spells affecting this mob
Dragons Luck II: +10 can be added to this mobs d20 rolls.</v>
      </c>
      <c r="BG477" s="1" t="str">
        <f>IFERROR(__xludf.DUMMYFUNCTION("""COMPUTED_VALUE"""),"Wildwood")</f>
        <v>Wildwood</v>
      </c>
      <c r="BH477" s="1" t="str">
        <f>IFERROR(__xludf.DUMMYFUNCTION("""COMPUTED_VALUE"""),"Land of Spira")</f>
        <v>Land of Spira</v>
      </c>
      <c r="BI477" s="1"/>
      <c r="BJ477" s="1" t="str">
        <f>IFERROR(__xludf.DUMMYFUNCTION("""COMPUTED_VALUE"""),"Lunar New Year")</f>
        <v>Lunar New Year</v>
      </c>
      <c r="BK477" s="1"/>
      <c r="BL477" s="1" t="b">
        <f>IFERROR(__xludf.DUMMYFUNCTION("""COMPUTED_VALUE"""),FALSE)</f>
        <v>0</v>
      </c>
      <c r="BM477" s="1"/>
      <c r="BN477" s="1"/>
      <c r="BO477" s="1"/>
      <c r="BP477" s="1"/>
      <c r="BQ477" s="1"/>
    </row>
    <row r="478" ht="15.75" customHeight="1">
      <c r="A478" s="1" t="str">
        <f>IFERROR(__xludf.DUMMYFUNCTION("""COMPUTED_VALUE"""),"Nereid")</f>
        <v>Nereid</v>
      </c>
      <c r="B478" s="1">
        <f>IFERROR(__xludf.DUMMYFUNCTION("""COMPUTED_VALUE"""),1.0)</f>
        <v>1</v>
      </c>
      <c r="C478" s="1"/>
      <c r="D478" s="1" t="str">
        <f>IFERROR(__xludf.DUMMYFUNCTION("""COMPUTED_VALUE"""),"Spirit")</f>
        <v>Spirit</v>
      </c>
      <c r="E478" s="1">
        <f>IFERROR(__xludf.DUMMYFUNCTION("""COMPUTED_VALUE"""),1010.0)</f>
        <v>1010</v>
      </c>
      <c r="F478" s="7">
        <f>IFERROR(__xludf.DUMMYFUNCTION("""COMPUTED_VALUE"""),31010.0)</f>
        <v>31010</v>
      </c>
      <c r="G478" s="1">
        <f>IFERROR(__xludf.DUMMYFUNCTION("""COMPUTED_VALUE"""),1010.0)</f>
        <v>1010</v>
      </c>
      <c r="H478" s="1">
        <f>IFERROR(__xludf.DUMMYFUNCTION("""COMPUTED_VALUE"""),10.0)</f>
        <v>10</v>
      </c>
      <c r="I478" s="1">
        <f>IFERROR(__xludf.DUMMYFUNCTION("""COMPUTED_VALUE"""),0.0)</f>
        <v>0</v>
      </c>
      <c r="J478" s="1">
        <f>IFERROR(__xludf.DUMMYFUNCTION("""COMPUTED_VALUE"""),20.0)</f>
        <v>20</v>
      </c>
      <c r="K478" s="1">
        <f>IFERROR(__xludf.DUMMYFUNCTION("""COMPUTED_VALUE"""),100.0)</f>
        <v>100</v>
      </c>
      <c r="L478" s="7">
        <f>IFERROR(__xludf.DUMMYFUNCTION("""COMPUTED_VALUE"""),500100.0)</f>
        <v>500100</v>
      </c>
      <c r="M478" s="1" t="str">
        <f>IFERROR(__xludf.DUMMYFUNCTION("""COMPUTED_VALUE"""),"Fire:Immune, Water:Immune, Blood:Immune, Instant Death:Immune, ")</f>
        <v>Fire:Immune, Water:Immune, Blood:Immune, Instant Death:Immune, </v>
      </c>
      <c r="N478" s="1" t="str">
        <f>IFERROR(__xludf.DUMMYFUNCTION("""COMPUTED_VALUE"""),"Spirit:100, Nature:100, ")</f>
        <v>Spirit:100, Nature:100, </v>
      </c>
      <c r="O478" s="1"/>
      <c r="P478" s="1"/>
      <c r="Q478" s="1"/>
      <c r="R478" s="1"/>
      <c r="S478" s="1"/>
      <c r="T478" s="1"/>
      <c r="U478" s="1"/>
      <c r="V478" s="1"/>
      <c r="W478" s="1"/>
      <c r="X478" s="1"/>
      <c r="Y478" s="1"/>
      <c r="Z478" s="1"/>
      <c r="AA478" s="1"/>
      <c r="AB478" s="1"/>
      <c r="AC478" s="1"/>
      <c r="AD478" s="1"/>
      <c r="AE478" s="1"/>
      <c r="AF478" s="1"/>
      <c r="AG478" s="1"/>
      <c r="AH478" s="1"/>
      <c r="AI478" s="1"/>
      <c r="AJ478" s="1" t="str">
        <f>IFERROR(__xludf.DUMMYFUNCTION("""COMPUTED_VALUE"""),"Torrential Downpour")</f>
        <v>Torrential Downpour</v>
      </c>
      <c r="AK478" s="1" t="str">
        <f>IFERROR(__xludf.DUMMYFUNCTION("""COMPUTED_VALUE"""),"Water Ward")</f>
        <v>Water Ward</v>
      </c>
      <c r="AL478" s="1" t="str">
        <f>IFERROR(__xludf.DUMMYFUNCTION("""COMPUTED_VALUE"""),"Hyper Whirlpool")</f>
        <v>Hyper Whirlpool</v>
      </c>
      <c r="AM478" s="1" t="str">
        <f>IFERROR(__xludf.DUMMYFUNCTION("""COMPUTED_VALUE"""),"Deep Freeze")</f>
        <v>Deep Freeze</v>
      </c>
      <c r="AN478" s="1" t="str">
        <f>IFERROR(__xludf.DUMMYFUNCTION("""COMPUTED_VALUE"""),"Vengeful Strike")</f>
        <v>Vengeful Strike</v>
      </c>
      <c r="AO478" s="1"/>
      <c r="AP478" s="1" t="str">
        <f>IFERROR(__xludf.DUMMYFUNCTION("""COMPUTED_VALUE"""),"Celestial Blast")</f>
        <v>Celestial Blast</v>
      </c>
      <c r="AQ478" s="1"/>
      <c r="AR478" s="1"/>
      <c r="AS478" s="1"/>
      <c r="AT478" s="1"/>
      <c r="AU478" s="1"/>
      <c r="AV478" s="1"/>
      <c r="AW478" s="1"/>
      <c r="AX478" s="1"/>
      <c r="AY478" s="1"/>
      <c r="AZ478" s="1"/>
      <c r="BA478" s="1"/>
      <c r="BB478" s="1"/>
      <c r="BC478" s="1"/>
      <c r="BD478" s="1">
        <f>IFERROR(__xludf.DUMMYFUNCTION("""COMPUTED_VALUE"""),0.0)</f>
        <v>0</v>
      </c>
      <c r="BE478" s="9">
        <f>IFERROR(__xludf.DUMMYFUNCTION("""COMPUTED_VALUE"""),10.0)</f>
        <v>10</v>
      </c>
      <c r="BF478" s="1" t="str">
        <f>IFERROR(__xludf.DUMMYFUNCTION("""COMPUTED_VALUE"""),"Dragonscale Luck: +5 Can be added to this mob's turn order roll
Water Elemental II: X9 Water Damage
10% Chance to be Unaffected by a weapon attack")</f>
        <v>Dragonscale Luck: +5 Can be added to this mob's turn order roll
Water Elemental II: X9 Water Damage
10% Chance to be Unaffected by a weapon attack</v>
      </c>
      <c r="BG478" s="1" t="str">
        <f>IFERROR(__xludf.DUMMYFUNCTION("""COMPUTED_VALUE"""),"Ocean")</f>
        <v>Ocean</v>
      </c>
      <c r="BH478" s="1" t="str">
        <f>IFERROR(__xludf.DUMMYFUNCTION("""COMPUTED_VALUE"""),"Dragonscale Island")</f>
        <v>Dragonscale Island</v>
      </c>
      <c r="BI478" s="1"/>
      <c r="BJ478" s="1"/>
      <c r="BK478" s="1"/>
      <c r="BL478" s="1" t="b">
        <f>IFERROR(__xludf.DUMMYFUNCTION("""COMPUTED_VALUE"""),FALSE)</f>
        <v>0</v>
      </c>
      <c r="BM478" s="1"/>
      <c r="BN478" s="1"/>
      <c r="BO478" s="1"/>
      <c r="BP478" s="1"/>
      <c r="BQ478" s="1"/>
    </row>
    <row r="479" ht="15.75" customHeight="1">
      <c r="A479" s="1" t="str">
        <f>IFERROR(__xludf.DUMMYFUNCTION("""COMPUTED_VALUE"""),"Ancient Water Elemental")</f>
        <v>Ancient Water Elemental</v>
      </c>
      <c r="B479" s="1">
        <f>IFERROR(__xludf.DUMMYFUNCTION("""COMPUTED_VALUE"""),1.0)</f>
        <v>1</v>
      </c>
      <c r="C479" s="1"/>
      <c r="D479" s="1" t="str">
        <f>IFERROR(__xludf.DUMMYFUNCTION("""COMPUTED_VALUE"""),"Spirit")</f>
        <v>Spirit</v>
      </c>
      <c r="E479" s="1">
        <f>IFERROR(__xludf.DUMMYFUNCTION("""COMPUTED_VALUE"""),1010.0)</f>
        <v>1010</v>
      </c>
      <c r="F479" s="7">
        <f>IFERROR(__xludf.DUMMYFUNCTION("""COMPUTED_VALUE"""),1010.0)</f>
        <v>1010</v>
      </c>
      <c r="G479" s="1">
        <f>IFERROR(__xludf.DUMMYFUNCTION("""COMPUTED_VALUE"""),1010.0)</f>
        <v>1010</v>
      </c>
      <c r="H479" s="1">
        <f>IFERROR(__xludf.DUMMYFUNCTION("""COMPUTED_VALUE"""),20.0)</f>
        <v>20</v>
      </c>
      <c r="I479" s="1">
        <f>IFERROR(__xludf.DUMMYFUNCTION("""COMPUTED_VALUE"""),0.0)</f>
        <v>0</v>
      </c>
      <c r="J479" s="1">
        <f>IFERROR(__xludf.DUMMYFUNCTION("""COMPUTED_VALUE"""),20.0)</f>
        <v>20</v>
      </c>
      <c r="K479" s="1">
        <f>IFERROR(__xludf.DUMMYFUNCTION("""COMPUTED_VALUE"""),100.0)</f>
        <v>100</v>
      </c>
      <c r="L479" s="1">
        <f>IFERROR(__xludf.DUMMYFUNCTION("""COMPUTED_VALUE"""),100.0)</f>
        <v>100</v>
      </c>
      <c r="M479" s="1" t="str">
        <f>IFERROR(__xludf.DUMMYFUNCTION("""COMPUTED_VALUE"""),"Fire:Immune, Water:Immune, Blood:Immune, Instant Death:Immune, Banishment:Immune, ")</f>
        <v>Fire:Immune, Water:Immune, Blood:Immune, Instant Death:Immune, Banishment:Immune, </v>
      </c>
      <c r="N479" s="1" t="str">
        <f>IFERROR(__xludf.DUMMYFUNCTION("""COMPUTED_VALUE"""),"Spirit:50, Nature:50, ")</f>
        <v>Spirit:50, Nature:50, </v>
      </c>
      <c r="O479" s="1"/>
      <c r="P479" s="1"/>
      <c r="Q479" s="1"/>
      <c r="R479" s="1"/>
      <c r="S479" s="1"/>
      <c r="T479" s="1"/>
      <c r="U479" s="1"/>
      <c r="V479" s="1"/>
      <c r="W479" s="1"/>
      <c r="X479" s="1"/>
      <c r="Y479" s="1"/>
      <c r="Z479" s="1"/>
      <c r="AA479" s="1"/>
      <c r="AB479" s="1"/>
      <c r="AC479" s="1"/>
      <c r="AD479" s="1"/>
      <c r="AE479" s="1"/>
      <c r="AF479" s="1"/>
      <c r="AG479" s="1"/>
      <c r="AH479" s="1"/>
      <c r="AI479" s="1"/>
      <c r="AJ479" s="1" t="str">
        <f>IFERROR(__xludf.DUMMYFUNCTION("""COMPUTED_VALUE"""),"Torrential Downpour")</f>
        <v>Torrential Downpour</v>
      </c>
      <c r="AK479" s="1" t="str">
        <f>IFERROR(__xludf.DUMMYFUNCTION("""COMPUTED_VALUE"""),"Water Ward")</f>
        <v>Water Ward</v>
      </c>
      <c r="AL479" s="1" t="str">
        <f>IFERROR(__xludf.DUMMYFUNCTION("""COMPUTED_VALUE"""),"Hyper Whirlpool")</f>
        <v>Hyper Whirlpool</v>
      </c>
      <c r="AM479" s="1" t="str">
        <f>IFERROR(__xludf.DUMMYFUNCTION("""COMPUTED_VALUE"""),"Deep Freeze")</f>
        <v>Deep Freeze</v>
      </c>
      <c r="AN479" s="1" t="str">
        <f>IFERROR(__xludf.DUMMYFUNCTION("""COMPUTED_VALUE"""),"Geyser (Enhanced)")</f>
        <v>Geyser (Enhanced)</v>
      </c>
      <c r="AO479" s="1" t="str">
        <f>IFERROR(__xludf.DUMMYFUNCTION("""COMPUTED_VALUE"""),"Tower Of Atlantis")</f>
        <v>Tower Of Atlantis</v>
      </c>
      <c r="AP479" s="1"/>
      <c r="AQ479" s="1"/>
      <c r="AR479" s="1" t="str">
        <f>IFERROR(__xludf.DUMMYFUNCTION("""COMPUTED_VALUE"""),"Mass Destruction")</f>
        <v>Mass Destruction</v>
      </c>
      <c r="AS479" s="1" t="str">
        <f>IFERROR(__xludf.DUMMYFUNCTION("""COMPUTED_VALUE"""),"Celestial Blast")</f>
        <v>Celestial Blast</v>
      </c>
      <c r="AT479" s="1" t="str">
        <f>IFERROR(__xludf.DUMMYFUNCTION("""COMPUTED_VALUE"""),"Chaincast")</f>
        <v>Chaincast</v>
      </c>
      <c r="AU479" s="1" t="str">
        <f>IFERROR(__xludf.DUMMYFUNCTION("""COMPUTED_VALUE"""),"Multishot")</f>
        <v>Multishot</v>
      </c>
      <c r="AV479" s="1"/>
      <c r="AW479" s="1"/>
      <c r="AX479" s="1"/>
      <c r="AY479" s="1"/>
      <c r="AZ479" s="1"/>
      <c r="BA479" s="1"/>
      <c r="BB479" s="1"/>
      <c r="BC479" s="1"/>
      <c r="BD479" s="1">
        <f>IFERROR(__xludf.DUMMYFUNCTION("""COMPUTED_VALUE"""),0.0)</f>
        <v>0</v>
      </c>
      <c r="BE479" s="9">
        <f>IFERROR(__xludf.DUMMYFUNCTION("""COMPUTED_VALUE"""),10.0)</f>
        <v>10</v>
      </c>
      <c r="BF479" s="1" t="str">
        <f>IFERROR(__xludf.DUMMYFUNCTION("""COMPUTED_VALUE"""),"Greater Elemental: +5 Can be added to all of the mob's rolls
Greater Water Elemental: X12 Water Damage
25% chance to be unaffected by a weapon attack")</f>
        <v>Greater Elemental: +5 Can be added to all of the mob's rolls
Greater Water Elemental: X12 Water Damage
25% chance to be unaffected by a weapon attack</v>
      </c>
      <c r="BG479" s="1" t="str">
        <f>IFERROR(__xludf.DUMMYFUNCTION("""COMPUTED_VALUE"""),"Dungeon")</f>
        <v>Dungeon</v>
      </c>
      <c r="BH479" s="1" t="str">
        <f>IFERROR(__xludf.DUMMYFUNCTION("""COMPUTED_VALUE"""),"Dragonscale Island")</f>
        <v>Dragonscale Island</v>
      </c>
      <c r="BI479" s="1"/>
      <c r="BJ479" s="1"/>
      <c r="BK479" s="1"/>
      <c r="BL479" s="1" t="b">
        <f>IFERROR(__xludf.DUMMYFUNCTION("""COMPUTED_VALUE"""),FALSE)</f>
        <v>0</v>
      </c>
      <c r="BM479" s="1"/>
      <c r="BN479" s="1"/>
      <c r="BO479" s="1"/>
      <c r="BP479" s="1"/>
      <c r="BQ479" s="1"/>
    </row>
    <row r="480" ht="15.75" customHeight="1">
      <c r="A480" s="1" t="str">
        <f>IFERROR(__xludf.DUMMYFUNCTION("""COMPUTED_VALUE"""),"Fire Elemental")</f>
        <v>Fire Elemental</v>
      </c>
      <c r="B480" s="1">
        <f>IFERROR(__xludf.DUMMYFUNCTION("""COMPUTED_VALUE"""),1.0)</f>
        <v>1</v>
      </c>
      <c r="C480" s="1"/>
      <c r="D480" s="1" t="str">
        <f>IFERROR(__xludf.DUMMYFUNCTION("""COMPUTED_VALUE"""),"Spirit")</f>
        <v>Spirit</v>
      </c>
      <c r="E480" s="1">
        <f>IFERROR(__xludf.DUMMYFUNCTION("""COMPUTED_VALUE"""),1010.0)</f>
        <v>1010</v>
      </c>
      <c r="F480" s="7">
        <f>IFERROR(__xludf.DUMMYFUNCTION("""COMPUTED_VALUE"""),1010.0)</f>
        <v>1010</v>
      </c>
      <c r="G480" s="1">
        <f>IFERROR(__xludf.DUMMYFUNCTION("""COMPUTED_VALUE"""),1010.0)</f>
        <v>1010</v>
      </c>
      <c r="H480" s="1">
        <f>IFERROR(__xludf.DUMMYFUNCTION("""COMPUTED_VALUE"""),10.0)</f>
        <v>10</v>
      </c>
      <c r="I480" s="1">
        <f>IFERROR(__xludf.DUMMYFUNCTION("""COMPUTED_VALUE"""),0.0)</f>
        <v>0</v>
      </c>
      <c r="J480" s="1">
        <f>IFERROR(__xludf.DUMMYFUNCTION("""COMPUTED_VALUE"""),0.0)</f>
        <v>0</v>
      </c>
      <c r="K480" s="1">
        <f>IFERROR(__xludf.DUMMYFUNCTION("""COMPUTED_VALUE"""),100.0)</f>
        <v>100</v>
      </c>
      <c r="L480" s="1">
        <f>IFERROR(__xludf.DUMMYFUNCTION("""COMPUTED_VALUE"""),100.0)</f>
        <v>100</v>
      </c>
      <c r="M480" s="1" t="str">
        <f>IFERROR(__xludf.DUMMYFUNCTION("""COMPUTED_VALUE"""),"Fire:Immune, Nature:100, Blood:Immune, Instant Death:Immune, Banishment:Immune, ")</f>
        <v>Fire:Immune, Nature:100, Blood:Immune, Instant Death:Immune, Banishment:Immune, </v>
      </c>
      <c r="N480" s="1" t="str">
        <f>IFERROR(__xludf.DUMMYFUNCTION("""COMPUTED_VALUE"""),"Water:100, Spirit:100, ")</f>
        <v>Water:100, Spirit:100, </v>
      </c>
      <c r="O480" s="1"/>
      <c r="P480" s="1"/>
      <c r="Q480" s="1"/>
      <c r="R480" s="1"/>
      <c r="S480" s="1"/>
      <c r="T480" s="1"/>
      <c r="U480" s="1"/>
      <c r="V480" s="1"/>
      <c r="W480" s="1"/>
      <c r="X480" s="1"/>
      <c r="Y480" s="1"/>
      <c r="Z480" s="1"/>
      <c r="AA480" s="1"/>
      <c r="AB480" s="1"/>
      <c r="AC480" s="1"/>
      <c r="AD480" s="1"/>
      <c r="AE480" s="1"/>
      <c r="AF480" s="1"/>
      <c r="AG480" s="1"/>
      <c r="AH480" s="1"/>
      <c r="AI480" s="1"/>
      <c r="AJ480" s="1" t="str">
        <f>IFERROR(__xludf.DUMMYFUNCTION("""COMPUTED_VALUE"""),"Fire Bolt")</f>
        <v>Fire Bolt</v>
      </c>
      <c r="AK480" s="1" t="str">
        <f>IFERROR(__xludf.DUMMYFUNCTION("""COMPUTED_VALUE"""),"Last Resort")</f>
        <v>Last Resort</v>
      </c>
      <c r="AL480" s="1" t="str">
        <f>IFERROR(__xludf.DUMMYFUNCTION("""COMPUTED_VALUE"""),"Flame Thrower")</f>
        <v>Flame Thrower</v>
      </c>
      <c r="AM480" s="1" t="str">
        <f>IFERROR(__xludf.DUMMYFUNCTION("""COMPUTED_VALUE"""),"Volcanic Wall")</f>
        <v>Volcanic Wall</v>
      </c>
      <c r="AN480" s="1" t="str">
        <f>IFERROR(__xludf.DUMMYFUNCTION("""COMPUTED_VALUE"""),"Flame Thrower")</f>
        <v>Flame Thrower</v>
      </c>
      <c r="AO480" s="1"/>
      <c r="AP480" s="1"/>
      <c r="AQ480" s="1"/>
      <c r="AR480" s="1"/>
      <c r="AS480" s="1"/>
      <c r="AT480" s="1"/>
      <c r="AU480" s="1"/>
      <c r="AV480" s="1"/>
      <c r="AW480" s="1"/>
      <c r="AX480" s="1"/>
      <c r="AY480" s="1"/>
      <c r="AZ480" s="1"/>
      <c r="BA480" s="1"/>
      <c r="BB480" s="1"/>
      <c r="BC480" s="1"/>
      <c r="BD480" s="1">
        <f>IFERROR(__xludf.DUMMYFUNCTION("""COMPUTED_VALUE"""),0.0)</f>
        <v>0</v>
      </c>
      <c r="BE480" s="9">
        <f>IFERROR(__xludf.DUMMYFUNCTION("""COMPUTED_VALUE"""),10.0)</f>
        <v>10</v>
      </c>
      <c r="BF480" s="1" t="str">
        <f>IFERROR(__xludf.DUMMYFUNCTION("""COMPUTED_VALUE"""),"Fire Elemental: X6 Fire Damage
10% chance to deal 25,000 fire damage to any enemy that deals damage to this mob")</f>
        <v>Fire Elemental: X6 Fire Damage
10% chance to deal 25,000 fire damage to any enemy that deals damage to this mob</v>
      </c>
      <c r="BG480" s="1" t="str">
        <f>IFERROR(__xludf.DUMMYFUNCTION("""COMPUTED_VALUE"""),"All")</f>
        <v>All</v>
      </c>
      <c r="BH480" s="1" t="str">
        <f>IFERROR(__xludf.DUMMYFUNCTION("""COMPUTED_VALUE"""),"Land of Spira")</f>
        <v>Land of Spira</v>
      </c>
      <c r="BI480" s="1"/>
      <c r="BJ480" s="1"/>
      <c r="BK480" s="1"/>
      <c r="BL480" s="1" t="b">
        <f>IFERROR(__xludf.DUMMYFUNCTION("""COMPUTED_VALUE"""),FALSE)</f>
        <v>0</v>
      </c>
      <c r="BM480" s="1"/>
      <c r="BN480" s="1"/>
      <c r="BO480" s="1"/>
      <c r="BP480" s="1"/>
      <c r="BQ480" s="1"/>
    </row>
    <row r="481" ht="15.75" customHeight="1">
      <c r="A481" s="1" t="str">
        <f>IFERROR(__xludf.DUMMYFUNCTION("""COMPUTED_VALUE"""),"Volcanic Elemental")</f>
        <v>Volcanic Elemental</v>
      </c>
      <c r="B481" s="1">
        <f>IFERROR(__xludf.DUMMYFUNCTION("""COMPUTED_VALUE"""),1.0)</f>
        <v>1</v>
      </c>
      <c r="C481" s="1"/>
      <c r="D481" s="1" t="str">
        <f>IFERROR(__xludf.DUMMYFUNCTION("""COMPUTED_VALUE"""),"Spirit")</f>
        <v>Spirit</v>
      </c>
      <c r="E481" s="1">
        <f>IFERROR(__xludf.DUMMYFUNCTION("""COMPUTED_VALUE"""),1010.0)</f>
        <v>1010</v>
      </c>
      <c r="F481" s="7">
        <f>IFERROR(__xludf.DUMMYFUNCTION("""COMPUTED_VALUE"""),1010.0)</f>
        <v>1010</v>
      </c>
      <c r="G481" s="1">
        <f>IFERROR(__xludf.DUMMYFUNCTION("""COMPUTED_VALUE"""),1010.0)</f>
        <v>1010</v>
      </c>
      <c r="H481" s="1">
        <f>IFERROR(__xludf.DUMMYFUNCTION("""COMPUTED_VALUE"""),10.0)</f>
        <v>10</v>
      </c>
      <c r="I481" s="1">
        <f>IFERROR(__xludf.DUMMYFUNCTION("""COMPUTED_VALUE"""),0.0)</f>
        <v>0</v>
      </c>
      <c r="J481" s="1">
        <f>IFERROR(__xludf.DUMMYFUNCTION("""COMPUTED_VALUE"""),0.0)</f>
        <v>0</v>
      </c>
      <c r="K481" s="1">
        <f>IFERROR(__xludf.DUMMYFUNCTION("""COMPUTED_VALUE"""),100.0)</f>
        <v>100</v>
      </c>
      <c r="L481" s="1">
        <f>IFERROR(__xludf.DUMMYFUNCTION("""COMPUTED_VALUE"""),100.0)</f>
        <v>100</v>
      </c>
      <c r="M481" s="1" t="str">
        <f>IFERROR(__xludf.DUMMYFUNCTION("""COMPUTED_VALUE"""),"Fire:Immune, Nature:500, Blood:Immune, Instant Death:Immune, ")</f>
        <v>Fire:Immune, Nature:500, Blood:Immune, Instant Death:Immune, </v>
      </c>
      <c r="N481" s="1" t="str">
        <f>IFERROR(__xludf.DUMMYFUNCTION("""COMPUTED_VALUE"""),"Water:50, Spirit:50, ")</f>
        <v>Water:50, Spirit:50, </v>
      </c>
      <c r="O481" s="1"/>
      <c r="P481" s="1"/>
      <c r="Q481" s="1"/>
      <c r="R481" s="1"/>
      <c r="S481" s="1"/>
      <c r="T481" s="1"/>
      <c r="U481" s="1"/>
      <c r="V481" s="1"/>
      <c r="W481" s="1"/>
      <c r="X481" s="1"/>
      <c r="Y481" s="1"/>
      <c r="Z481" s="1"/>
      <c r="AA481" s="1"/>
      <c r="AB481" s="1"/>
      <c r="AC481" s="1"/>
      <c r="AD481" s="1"/>
      <c r="AE481" s="1"/>
      <c r="AF481" s="1"/>
      <c r="AG481" s="1"/>
      <c r="AH481" s="1"/>
      <c r="AI481" s="1"/>
      <c r="AJ481" s="1" t="str">
        <f>IFERROR(__xludf.DUMMYFUNCTION("""COMPUTED_VALUE"""),"Forgotten Fire")</f>
        <v>Forgotten Fire</v>
      </c>
      <c r="AK481" s="1" t="str">
        <f>IFERROR(__xludf.DUMMYFUNCTION("""COMPUTED_VALUE"""),"Ignite")</f>
        <v>Ignite</v>
      </c>
      <c r="AL481" s="1" t="str">
        <f>IFERROR(__xludf.DUMMYFUNCTION("""COMPUTED_VALUE"""),"Last Resort")</f>
        <v>Last Resort</v>
      </c>
      <c r="AM481" s="1" t="str">
        <f>IFERROR(__xludf.DUMMYFUNCTION("""COMPUTED_VALUE"""),"Flame Sanctuary")</f>
        <v>Flame Sanctuary</v>
      </c>
      <c r="AN481" s="1" t="str">
        <f>IFERROR(__xludf.DUMMYFUNCTION("""COMPUTED_VALUE"""),"Meteor Shower")</f>
        <v>Meteor Shower</v>
      </c>
      <c r="AO481" s="1" t="str">
        <f>IFERROR(__xludf.DUMMYFUNCTION("""COMPUTED_VALUE"""),"Volcanic Rain")</f>
        <v>Volcanic Rain</v>
      </c>
      <c r="AP481" s="1" t="str">
        <f>IFERROR(__xludf.DUMMYFUNCTION("""COMPUTED_VALUE"""),"Volcanic Wall")</f>
        <v>Volcanic Wall</v>
      </c>
      <c r="AQ481" s="1" t="str">
        <f>IFERROR(__xludf.DUMMYFUNCTION("""COMPUTED_VALUE"""),"Mass Ignition")</f>
        <v>Mass Ignition</v>
      </c>
      <c r="AR481" s="1" t="str">
        <f>IFERROR(__xludf.DUMMYFUNCTION("""COMPUTED_VALUE"""),"Multishot")</f>
        <v>Multishot</v>
      </c>
      <c r="AS481" s="1"/>
      <c r="AT481" s="1"/>
      <c r="AU481" s="1"/>
      <c r="AV481" s="1"/>
      <c r="AW481" s="1"/>
      <c r="AX481" s="1"/>
      <c r="AY481" s="1"/>
      <c r="AZ481" s="1"/>
      <c r="BA481" s="1"/>
      <c r="BB481" s="1"/>
      <c r="BC481" s="1"/>
      <c r="BD481" s="1">
        <f>IFERROR(__xludf.DUMMYFUNCTION("""COMPUTED_VALUE"""),0.0)</f>
        <v>0</v>
      </c>
      <c r="BE481" s="9">
        <f>IFERROR(__xludf.DUMMYFUNCTION("""COMPUTED_VALUE"""),10.0)</f>
        <v>10</v>
      </c>
      <c r="BF481" s="1" t="str">
        <f>IFERROR(__xludf.DUMMYFUNCTION("""COMPUTED_VALUE"""),"Dragonscale Luck: +5 can be added to this mob's turn order rolls
Fire Elemental II: X9 Fire Damage
20% chance to deal 50,000 fire damage to any enemy that deals damage to this mob")</f>
        <v>Dragonscale Luck: +5 can be added to this mob's turn order rolls
Fire Elemental II: X9 Fire Damage
20% chance to deal 50,000 fire damage to any enemy that deals damage to this mob</v>
      </c>
      <c r="BG481" s="1" t="str">
        <f>IFERROR(__xludf.DUMMYFUNCTION("""COMPUTED_VALUE"""),"All")</f>
        <v>All</v>
      </c>
      <c r="BH481" s="1" t="str">
        <f>IFERROR(__xludf.DUMMYFUNCTION("""COMPUTED_VALUE"""),"Dragonscale Island")</f>
        <v>Dragonscale Island</v>
      </c>
      <c r="BI481" s="1"/>
      <c r="BJ481" s="1"/>
      <c r="BK481" s="1"/>
      <c r="BL481" s="1" t="b">
        <f>IFERROR(__xludf.DUMMYFUNCTION("""COMPUTED_VALUE"""),FALSE)</f>
        <v>0</v>
      </c>
      <c r="BM481" s="1"/>
      <c r="BN481" s="1"/>
      <c r="BO481" s="1"/>
      <c r="BP481" s="1"/>
      <c r="BQ481" s="1"/>
    </row>
    <row r="482" ht="15.75" customHeight="1">
      <c r="A482" s="1" t="str">
        <f>IFERROR(__xludf.DUMMYFUNCTION("""COMPUTED_VALUE"""),"Ancient Fire Elemental")</f>
        <v>Ancient Fire Elemental</v>
      </c>
      <c r="B482" s="1">
        <f>IFERROR(__xludf.DUMMYFUNCTION("""COMPUTED_VALUE"""),1.0)</f>
        <v>1</v>
      </c>
      <c r="C482" s="1"/>
      <c r="D482" s="1" t="str">
        <f>IFERROR(__xludf.DUMMYFUNCTION("""COMPUTED_VALUE"""),"Spirit")</f>
        <v>Spirit</v>
      </c>
      <c r="E482" s="1">
        <f>IFERROR(__xludf.DUMMYFUNCTION("""COMPUTED_VALUE"""),1010.0)</f>
        <v>1010</v>
      </c>
      <c r="F482" s="7">
        <f>IFERROR(__xludf.DUMMYFUNCTION("""COMPUTED_VALUE"""),1010.0)</f>
        <v>1010</v>
      </c>
      <c r="G482" s="1">
        <f>IFERROR(__xludf.DUMMYFUNCTION("""COMPUTED_VALUE"""),1010.0)</f>
        <v>1010</v>
      </c>
      <c r="H482" s="1">
        <f>IFERROR(__xludf.DUMMYFUNCTION("""COMPUTED_VALUE"""),10.0)</f>
        <v>10</v>
      </c>
      <c r="I482" s="1">
        <f>IFERROR(__xludf.DUMMYFUNCTION("""COMPUTED_VALUE"""),0.0)</f>
        <v>0</v>
      </c>
      <c r="J482" s="1">
        <f>IFERROR(__xludf.DUMMYFUNCTION("""COMPUTED_VALUE"""),25.0)</f>
        <v>25</v>
      </c>
      <c r="K482" s="1">
        <f>IFERROR(__xludf.DUMMYFUNCTION("""COMPUTED_VALUE"""),100.0)</f>
        <v>100</v>
      </c>
      <c r="L482" s="1">
        <f>IFERROR(__xludf.DUMMYFUNCTION("""COMPUTED_VALUE"""),100.0)</f>
        <v>100</v>
      </c>
      <c r="M482" s="1" t="str">
        <f>IFERROR(__xludf.DUMMYFUNCTION("""COMPUTED_VALUE"""),"Fire:Immune, Nature:Immune, Blood:Immune, Instant Death:Immune, Banishment:Immune, ")</f>
        <v>Fire:Immune, Nature:Immune, Blood:Immune, Instant Death:Immune, Banishment:Immune, </v>
      </c>
      <c r="N482" s="1" t="str">
        <f>IFERROR(__xludf.DUMMYFUNCTION("""COMPUTED_VALUE"""),"Water:50, Spirit:50, ")</f>
        <v>Water:50, Spirit:50, </v>
      </c>
      <c r="O482" s="1"/>
      <c r="P482" s="1"/>
      <c r="Q482" s="1"/>
      <c r="R482" s="1"/>
      <c r="S482" s="1"/>
      <c r="T482" s="1"/>
      <c r="U482" s="1"/>
      <c r="V482" s="1"/>
      <c r="W482" s="1"/>
      <c r="X482" s="1"/>
      <c r="Y482" s="1"/>
      <c r="Z482" s="1"/>
      <c r="AA482" s="1"/>
      <c r="AB482" s="1"/>
      <c r="AC482" s="1"/>
      <c r="AD482" s="1"/>
      <c r="AE482" s="1"/>
      <c r="AF482" s="1"/>
      <c r="AG482" s="1"/>
      <c r="AH482" s="1"/>
      <c r="AI482" s="1"/>
      <c r="AJ482" s="1" t="str">
        <f>IFERROR(__xludf.DUMMYFUNCTION("""COMPUTED_VALUE"""),"Forgotten Fire")</f>
        <v>Forgotten Fire</v>
      </c>
      <c r="AK482" s="1" t="str">
        <f>IFERROR(__xludf.DUMMYFUNCTION("""COMPUTED_VALUE"""),"Ignite")</f>
        <v>Ignite</v>
      </c>
      <c r="AL482" s="1" t="str">
        <f>IFERROR(__xludf.DUMMYFUNCTION("""COMPUTED_VALUE"""),"Meteor Shower")</f>
        <v>Meteor Shower</v>
      </c>
      <c r="AM482" s="1" t="str">
        <f>IFERROR(__xludf.DUMMYFUNCTION("""COMPUTED_VALUE"""),"Solar Storm")</f>
        <v>Solar Storm</v>
      </c>
      <c r="AN482" s="1" t="str">
        <f>IFERROR(__xludf.DUMMYFUNCTION("""COMPUTED_VALUE"""),"Flame Sanctuary")</f>
        <v>Flame Sanctuary</v>
      </c>
      <c r="AO482" s="1" t="str">
        <f>IFERROR(__xludf.DUMMYFUNCTION("""COMPUTED_VALUE"""),"Mass Ignition")</f>
        <v>Mass Ignition</v>
      </c>
      <c r="AP482" s="1" t="str">
        <f>IFERROR(__xludf.DUMMYFUNCTION("""COMPUTED_VALUE"""),"Volcanic Rain")</f>
        <v>Volcanic Rain</v>
      </c>
      <c r="AQ482" s="1" t="str">
        <f>IFERROR(__xludf.DUMMYFUNCTION("""COMPUTED_VALUE"""),"Volcanic Wall")</f>
        <v>Volcanic Wall</v>
      </c>
      <c r="AR482" s="1" t="str">
        <f>IFERROR(__xludf.DUMMYFUNCTION("""COMPUTED_VALUE"""),"Meltdown")</f>
        <v>Meltdown</v>
      </c>
      <c r="AS482" s="1" t="str">
        <f>IFERROR(__xludf.DUMMYFUNCTION("""COMPUTED_VALUE"""),"Multishot")</f>
        <v>Multishot</v>
      </c>
      <c r="AT482" s="1" t="str">
        <f>IFERROR(__xludf.DUMMYFUNCTION("""COMPUTED_VALUE"""),"Chaincast")</f>
        <v>Chaincast</v>
      </c>
      <c r="AU482" s="1"/>
      <c r="AV482" s="1"/>
      <c r="AW482" s="1"/>
      <c r="AX482" s="1"/>
      <c r="AY482" s="1"/>
      <c r="AZ482" s="1"/>
      <c r="BA482" s="1"/>
      <c r="BB482" s="1"/>
      <c r="BC482" s="1"/>
      <c r="BD482" s="1">
        <f>IFERROR(__xludf.DUMMYFUNCTION("""COMPUTED_VALUE"""),0.0)</f>
        <v>0</v>
      </c>
      <c r="BE482" s="9">
        <f>IFERROR(__xludf.DUMMYFUNCTION("""COMPUTED_VALUE"""),10.0)</f>
        <v>10</v>
      </c>
      <c r="BF482" s="1" t="str">
        <f>IFERROR(__xludf.DUMMYFUNCTION("""COMPUTED_VALUE"""),"Greater Elemental: +5 Can be added to all of the mob's d20 rolls
Greater Fire Elemental: X12 Fire Damage
25% chance to deal 100,000 Fire damage to any enemy that deals damage to this mob")</f>
        <v>Greater Elemental: +5 Can be added to all of the mob's d20 rolls
Greater Fire Elemental: X12 Fire Damage
25% chance to deal 100,000 Fire damage to any enemy that deals damage to this mob</v>
      </c>
      <c r="BG482" s="1" t="str">
        <f>IFERROR(__xludf.DUMMYFUNCTION("""COMPUTED_VALUE"""),"Dungeon")</f>
        <v>Dungeon</v>
      </c>
      <c r="BH482" s="1" t="str">
        <f>IFERROR(__xludf.DUMMYFUNCTION("""COMPUTED_VALUE"""),"Land of Spira")</f>
        <v>Land of Spira</v>
      </c>
      <c r="BI482" s="1"/>
      <c r="BJ482" s="1"/>
      <c r="BK482" s="1"/>
      <c r="BL482" s="1" t="b">
        <f>IFERROR(__xludf.DUMMYFUNCTION("""COMPUTED_VALUE"""),FALSE)</f>
        <v>0</v>
      </c>
      <c r="BM482" s="1"/>
      <c r="BN482" s="1"/>
      <c r="BO482" s="1"/>
      <c r="BP482" s="1"/>
      <c r="BQ482" s="1"/>
    </row>
    <row r="483" ht="15.75" customHeight="1">
      <c r="A483" s="1" t="str">
        <f>IFERROR(__xludf.DUMMYFUNCTION("""COMPUTED_VALUE"""),"Nature Elemental")</f>
        <v>Nature Elemental</v>
      </c>
      <c r="B483" s="1">
        <f>IFERROR(__xludf.DUMMYFUNCTION("""COMPUTED_VALUE"""),1.0)</f>
        <v>1</v>
      </c>
      <c r="C483" s="1"/>
      <c r="D483" s="1" t="str">
        <f>IFERROR(__xludf.DUMMYFUNCTION("""COMPUTED_VALUE"""),"Spirit")</f>
        <v>Spirit</v>
      </c>
      <c r="E483" s="1">
        <f>IFERROR(__xludf.DUMMYFUNCTION("""COMPUTED_VALUE"""),1010.0)</f>
        <v>1010</v>
      </c>
      <c r="F483" s="7">
        <f>IFERROR(__xludf.DUMMYFUNCTION("""COMPUTED_VALUE"""),1010.0)</f>
        <v>1010</v>
      </c>
      <c r="G483" s="1">
        <f>IFERROR(__xludf.DUMMYFUNCTION("""COMPUTED_VALUE"""),1010.0)</f>
        <v>1010</v>
      </c>
      <c r="H483" s="1">
        <f>IFERROR(__xludf.DUMMYFUNCTION("""COMPUTED_VALUE"""),10.0)</f>
        <v>10</v>
      </c>
      <c r="I483" s="1">
        <f>IFERROR(__xludf.DUMMYFUNCTION("""COMPUTED_VALUE"""),0.0)</f>
        <v>0</v>
      </c>
      <c r="J483" s="1">
        <f>IFERROR(__xludf.DUMMYFUNCTION("""COMPUTED_VALUE"""),0.0)</f>
        <v>0</v>
      </c>
      <c r="K483" s="1">
        <f>IFERROR(__xludf.DUMMYFUNCTION("""COMPUTED_VALUE"""),100.0)</f>
        <v>100</v>
      </c>
      <c r="L483" s="1">
        <f>IFERROR(__xludf.DUMMYFUNCTION("""COMPUTED_VALUE"""),100.0)</f>
        <v>100</v>
      </c>
      <c r="M483" s="1" t="str">
        <f>IFERROR(__xludf.DUMMYFUNCTION("""COMPUTED_VALUE"""),"Water:Immune, Nature:Immune, Blood:Immune, Instant Death:Immune, ")</f>
        <v>Water:Immune, Nature:Immune, Blood:Immune, Instant Death:Immune, </v>
      </c>
      <c r="N483" s="1" t="str">
        <f>IFERROR(__xludf.DUMMYFUNCTION("""COMPUTED_VALUE"""),"Fire:150, Storm:150, Spirit:150, ")</f>
        <v>Fire:150, Storm:150, Spirit:150, </v>
      </c>
      <c r="O483" s="1"/>
      <c r="P483" s="1"/>
      <c r="Q483" s="1"/>
      <c r="R483" s="1"/>
      <c r="S483" s="1"/>
      <c r="T483" s="1"/>
      <c r="U483" s="1"/>
      <c r="V483" s="1"/>
      <c r="W483" s="1"/>
      <c r="X483" s="1"/>
      <c r="Y483" s="1"/>
      <c r="Z483" s="1"/>
      <c r="AA483" s="1"/>
      <c r="AB483" s="1"/>
      <c r="AC483" s="1"/>
      <c r="AD483" s="1"/>
      <c r="AE483" s="1"/>
      <c r="AF483" s="1"/>
      <c r="AG483" s="1"/>
      <c r="AH483" s="1"/>
      <c r="AI483" s="1"/>
      <c r="AJ483" s="1" t="str">
        <f>IFERROR(__xludf.DUMMYFUNCTION("""COMPUTED_VALUE"""),"Vine Whip")</f>
        <v>Vine Whip</v>
      </c>
      <c r="AK483" s="1" t="str">
        <f>IFERROR(__xludf.DUMMYFUNCTION("""COMPUTED_VALUE"""),"Poison Ivy")</f>
        <v>Poison Ivy</v>
      </c>
      <c r="AL483" s="1" t="str">
        <f>IFERROR(__xludf.DUMMYFUNCTION("""COMPUTED_VALUE"""),"Razor Leaves")</f>
        <v>Razor Leaves</v>
      </c>
      <c r="AM483" s="1" t="str">
        <f>IFERROR(__xludf.DUMMYFUNCTION("""COMPUTED_VALUE"""),"Thorn Bush")</f>
        <v>Thorn Bush</v>
      </c>
      <c r="AN483" s="1" t="str">
        <f>IFERROR(__xludf.DUMMYFUNCTION("""COMPUTED_VALUE"""),"Tree Stance")</f>
        <v>Tree Stance</v>
      </c>
      <c r="AO483" s="1" t="str">
        <f>IFERROR(__xludf.DUMMYFUNCTION("""COMPUTED_VALUE"""),"Tower Of The Forest")</f>
        <v>Tower Of The Forest</v>
      </c>
      <c r="AP483" s="1" t="str">
        <f>IFERROR(__xludf.DUMMYFUNCTION("""COMPUTED_VALUE"""),"Cocoon")</f>
        <v>Cocoon</v>
      </c>
      <c r="AQ483" s="1" t="str">
        <f>IFERROR(__xludf.DUMMYFUNCTION("""COMPUTED_VALUE"""),"Nature's Light")</f>
        <v>Nature's Light</v>
      </c>
      <c r="AR483" s="1" t="str">
        <f>IFERROR(__xludf.DUMMYFUNCTION("""COMPUTED_VALUE"""),"Soul Shot")</f>
        <v>Soul Shot</v>
      </c>
      <c r="AS483" s="1" t="str">
        <f>IFERROR(__xludf.DUMMYFUNCTION("""COMPUTED_VALUE"""),"Dread")</f>
        <v>Dread</v>
      </c>
      <c r="AT483" s="1" t="str">
        <f>IFERROR(__xludf.DUMMYFUNCTION("""COMPUTED_VALUE"""),"Spirit Fog")</f>
        <v>Spirit Fog</v>
      </c>
      <c r="AU483" s="1" t="str">
        <f>IFERROR(__xludf.DUMMYFUNCTION("""COMPUTED_VALUE"""),"Burning Dread")</f>
        <v>Burning Dread</v>
      </c>
      <c r="AV483" s="1" t="str">
        <f>IFERROR(__xludf.DUMMYFUNCTION("""COMPUTED_VALUE"""),"Spectral Lash")</f>
        <v>Spectral Lash</v>
      </c>
      <c r="AW483" s="1" t="str">
        <f>IFERROR(__xludf.DUMMYFUNCTION("""COMPUTED_VALUE"""),"Incorporeal Form")</f>
        <v>Incorporeal Form</v>
      </c>
      <c r="AX483" s="1"/>
      <c r="AY483" s="1"/>
      <c r="AZ483" s="1"/>
      <c r="BA483" s="1"/>
      <c r="BB483" s="1"/>
      <c r="BC483" s="1"/>
      <c r="BD483" s="1">
        <f>IFERROR(__xludf.DUMMYFUNCTION("""COMPUTED_VALUE"""),0.0)</f>
        <v>0</v>
      </c>
      <c r="BE483" s="9">
        <f>IFERROR(__xludf.DUMMYFUNCTION("""COMPUTED_VALUE"""),10.0)</f>
        <v>10</v>
      </c>
      <c r="BF483" s="1" t="str">
        <f>IFERROR(__xludf.DUMMYFUNCTION("""COMPUTED_VALUE"""),"Nature Elemental: X6 Nature damage
10% chance to stun any enemy that attacks this mob for 2 rounds.")</f>
        <v>Nature Elemental: X6 Nature damage
10% chance to stun any enemy that attacks this mob for 2 rounds.</v>
      </c>
      <c r="BG483" s="1" t="str">
        <f>IFERROR(__xludf.DUMMYFUNCTION("""COMPUTED_VALUE"""),"All")</f>
        <v>All</v>
      </c>
      <c r="BH483" s="1" t="str">
        <f>IFERROR(__xludf.DUMMYFUNCTION("""COMPUTED_VALUE"""),"Land of Spira")</f>
        <v>Land of Spira</v>
      </c>
      <c r="BI483" s="1"/>
      <c r="BJ483" s="1"/>
      <c r="BK483" s="1"/>
      <c r="BL483" s="1" t="b">
        <f>IFERROR(__xludf.DUMMYFUNCTION("""COMPUTED_VALUE"""),FALSE)</f>
        <v>0</v>
      </c>
      <c r="BM483" s="1"/>
      <c r="BN483" s="1"/>
      <c r="BO483" s="1"/>
      <c r="BP483" s="1"/>
      <c r="BQ483" s="1"/>
    </row>
    <row r="484" ht="15.75" customHeight="1">
      <c r="A484" s="1" t="str">
        <f>IFERROR(__xludf.DUMMYFUNCTION("""COMPUTED_VALUE"""),"Forest Elemental")</f>
        <v>Forest Elemental</v>
      </c>
      <c r="B484" s="1">
        <f>IFERROR(__xludf.DUMMYFUNCTION("""COMPUTED_VALUE"""),1.0)</f>
        <v>1</v>
      </c>
      <c r="C484" s="1"/>
      <c r="D484" s="1" t="str">
        <f>IFERROR(__xludf.DUMMYFUNCTION("""COMPUTED_VALUE"""),"Spirit")</f>
        <v>Spirit</v>
      </c>
      <c r="E484" s="1">
        <f>IFERROR(__xludf.DUMMYFUNCTION("""COMPUTED_VALUE"""),1010.0)</f>
        <v>1010</v>
      </c>
      <c r="F484" s="7">
        <f>IFERROR(__xludf.DUMMYFUNCTION("""COMPUTED_VALUE"""),1010.0)</f>
        <v>1010</v>
      </c>
      <c r="G484" s="1">
        <f>IFERROR(__xludf.DUMMYFUNCTION("""COMPUTED_VALUE"""),1010.0)</f>
        <v>1010</v>
      </c>
      <c r="H484" s="1">
        <f>IFERROR(__xludf.DUMMYFUNCTION("""COMPUTED_VALUE"""),10.0)</f>
        <v>10</v>
      </c>
      <c r="I484" s="1">
        <f>IFERROR(__xludf.DUMMYFUNCTION("""COMPUTED_VALUE"""),0.0)</f>
        <v>0</v>
      </c>
      <c r="J484" s="1">
        <f>IFERROR(__xludf.DUMMYFUNCTION("""COMPUTED_VALUE"""),0.0)</f>
        <v>0</v>
      </c>
      <c r="K484" s="1">
        <f>IFERROR(__xludf.DUMMYFUNCTION("""COMPUTED_VALUE"""),100.0)</f>
        <v>100</v>
      </c>
      <c r="L484" s="1">
        <f>IFERROR(__xludf.DUMMYFUNCTION("""COMPUTED_VALUE"""),100.0)</f>
        <v>100</v>
      </c>
      <c r="M484" s="1" t="str">
        <f>IFERROR(__xludf.DUMMYFUNCTION("""COMPUTED_VALUE"""),"Water:Immune, Nature:Immune, Blood:Immune, Instant Death:Immune, ")</f>
        <v>Water:Immune, Nature:Immune, Blood:Immune, Instant Death:Immune, </v>
      </c>
      <c r="N484" s="1" t="str">
        <f>IFERROR(__xludf.DUMMYFUNCTION("""COMPUTED_VALUE"""),"Fire:100, Storm:100, Spirit:100, ")</f>
        <v>Fire:100, Storm:100, Spirit:100, </v>
      </c>
      <c r="O484" s="1"/>
      <c r="P484" s="1"/>
      <c r="Q484" s="1"/>
      <c r="R484" s="1"/>
      <c r="S484" s="1"/>
      <c r="T484" s="1"/>
      <c r="U484" s="1"/>
      <c r="V484" s="1"/>
      <c r="W484" s="1"/>
      <c r="X484" s="1"/>
      <c r="Y484" s="1"/>
      <c r="Z484" s="1"/>
      <c r="AA484" s="1"/>
      <c r="AB484" s="1"/>
      <c r="AC484" s="1"/>
      <c r="AD484" s="1"/>
      <c r="AE484" s="1"/>
      <c r="AF484" s="1"/>
      <c r="AG484" s="1"/>
      <c r="AH484" s="1"/>
      <c r="AI484" s="1"/>
      <c r="AJ484" s="1" t="str">
        <f>IFERROR(__xludf.DUMMYFUNCTION("""COMPUTED_VALUE"""),"Vine Whip")</f>
        <v>Vine Whip</v>
      </c>
      <c r="AK484" s="1" t="str">
        <f>IFERROR(__xludf.DUMMYFUNCTION("""COMPUTED_VALUE"""),"Poison Ivy")</f>
        <v>Poison Ivy</v>
      </c>
      <c r="AL484" s="1" t="str">
        <f>IFERROR(__xludf.DUMMYFUNCTION("""COMPUTED_VALUE"""),"Razor Leaves")</f>
        <v>Razor Leaves</v>
      </c>
      <c r="AM484" s="1" t="str">
        <f>IFERROR(__xludf.DUMMYFUNCTION("""COMPUTED_VALUE"""),"Thorn Bush")</f>
        <v>Thorn Bush</v>
      </c>
      <c r="AN484" s="1" t="str">
        <f>IFERROR(__xludf.DUMMYFUNCTION("""COMPUTED_VALUE"""),"Tree Stance")</f>
        <v>Tree Stance</v>
      </c>
      <c r="AO484" s="1" t="str">
        <f>IFERROR(__xludf.DUMMYFUNCTION("""COMPUTED_VALUE"""),"Tower Of The Forest")</f>
        <v>Tower Of The Forest</v>
      </c>
      <c r="AP484" s="1" t="str">
        <f>IFERROR(__xludf.DUMMYFUNCTION("""COMPUTED_VALUE"""),"Cocoon")</f>
        <v>Cocoon</v>
      </c>
      <c r="AQ484" s="1" t="str">
        <f>IFERROR(__xludf.DUMMYFUNCTION("""COMPUTED_VALUE"""),"Nature's Light")</f>
        <v>Nature's Light</v>
      </c>
      <c r="AR484" s="1" t="str">
        <f>IFERROR(__xludf.DUMMYFUNCTION("""COMPUTED_VALUE"""),"Nature Ward")</f>
        <v>Nature Ward</v>
      </c>
      <c r="AS484" s="1" t="str">
        <f>IFERROR(__xludf.DUMMYFUNCTION("""COMPUTED_VALUE"""),"Soul Shot")</f>
        <v>Soul Shot</v>
      </c>
      <c r="AT484" s="1" t="str">
        <f>IFERROR(__xludf.DUMMYFUNCTION("""COMPUTED_VALUE"""),"Dread")</f>
        <v>Dread</v>
      </c>
      <c r="AU484" s="1" t="str">
        <f>IFERROR(__xludf.DUMMYFUNCTION("""COMPUTED_VALUE"""),"Spirit Fog")</f>
        <v>Spirit Fog</v>
      </c>
      <c r="AV484" s="1" t="str">
        <f>IFERROR(__xludf.DUMMYFUNCTION("""COMPUTED_VALUE"""),"Burning Dread")</f>
        <v>Burning Dread</v>
      </c>
      <c r="AW484" s="1" t="str">
        <f>IFERROR(__xludf.DUMMYFUNCTION("""COMPUTED_VALUE"""),"Spectral Lash")</f>
        <v>Spectral Lash</v>
      </c>
      <c r="AX484" s="1" t="str">
        <f>IFERROR(__xludf.DUMMYFUNCTION("""COMPUTED_VALUE"""),"Incorporeal Form")</f>
        <v>Incorporeal Form</v>
      </c>
      <c r="AY484" s="1" t="str">
        <f>IFERROR(__xludf.DUMMYFUNCTION("""COMPUTED_VALUE"""),"Multishot")</f>
        <v>Multishot</v>
      </c>
      <c r="AZ484" s="1" t="str">
        <f>IFERROR(__xludf.DUMMYFUNCTION("""COMPUTED_VALUE"""),"Mass Destruction")</f>
        <v>Mass Destruction</v>
      </c>
      <c r="BA484" s="1"/>
      <c r="BB484" s="1"/>
      <c r="BC484" s="1"/>
      <c r="BD484" s="1">
        <f>IFERROR(__xludf.DUMMYFUNCTION("""COMPUTED_VALUE"""),0.0)</f>
        <v>0</v>
      </c>
      <c r="BE484" s="9">
        <f>IFERROR(__xludf.DUMMYFUNCTION("""COMPUTED_VALUE"""),10.0)</f>
        <v>10</v>
      </c>
      <c r="BF484" s="1" t="str">
        <f>IFERROR(__xludf.DUMMYFUNCTION("""COMPUTED_VALUE"""),"Dragonscale Luck: +5 can be added to this mob's turn order rolls
Nature Elemental: X9 Nature damage
20% chance to stun any enemy that attacks this mob for 2 rounds.")</f>
        <v>Dragonscale Luck: +5 can be added to this mob's turn order rolls
Nature Elemental: X9 Nature damage
20% chance to stun any enemy that attacks this mob for 2 rounds.</v>
      </c>
      <c r="BG484" s="1" t="str">
        <f>IFERROR(__xludf.DUMMYFUNCTION("""COMPUTED_VALUE"""),"All")</f>
        <v>All</v>
      </c>
      <c r="BH484" s="1" t="str">
        <f>IFERROR(__xludf.DUMMYFUNCTION("""COMPUTED_VALUE"""),"Dragonscale Island")</f>
        <v>Dragonscale Island</v>
      </c>
      <c r="BI484" s="1"/>
      <c r="BJ484" s="1"/>
      <c r="BK484" s="1"/>
      <c r="BL484" s="1" t="b">
        <f>IFERROR(__xludf.DUMMYFUNCTION("""COMPUTED_VALUE"""),FALSE)</f>
        <v>0</v>
      </c>
      <c r="BM484" s="1"/>
      <c r="BN484" s="1"/>
      <c r="BO484" s="1"/>
      <c r="BP484" s="1"/>
      <c r="BQ484" s="1"/>
    </row>
    <row r="485" ht="15.75" customHeight="1">
      <c r="A485" s="1" t="str">
        <f>IFERROR(__xludf.DUMMYFUNCTION("""COMPUTED_VALUE"""),"Ancient Nature Elemental")</f>
        <v>Ancient Nature Elemental</v>
      </c>
      <c r="B485" s="1">
        <f>IFERROR(__xludf.DUMMYFUNCTION("""COMPUTED_VALUE"""),1.0)</f>
        <v>1</v>
      </c>
      <c r="C485" s="1"/>
      <c r="D485" s="1" t="str">
        <f>IFERROR(__xludf.DUMMYFUNCTION("""COMPUTED_VALUE"""),"Spirit")</f>
        <v>Spirit</v>
      </c>
      <c r="E485" s="1">
        <f>IFERROR(__xludf.DUMMYFUNCTION("""COMPUTED_VALUE"""),1010.0)</f>
        <v>1010</v>
      </c>
      <c r="F485" s="7">
        <f>IFERROR(__xludf.DUMMYFUNCTION("""COMPUTED_VALUE"""),1010.0)</f>
        <v>1010</v>
      </c>
      <c r="G485" s="1">
        <f>IFERROR(__xludf.DUMMYFUNCTION("""COMPUTED_VALUE"""),1010.0)</f>
        <v>1010</v>
      </c>
      <c r="H485" s="1">
        <f>IFERROR(__xludf.DUMMYFUNCTION("""COMPUTED_VALUE"""),10.0)</f>
        <v>10</v>
      </c>
      <c r="I485" s="1">
        <f>IFERROR(__xludf.DUMMYFUNCTION("""COMPUTED_VALUE"""),0.0)</f>
        <v>0</v>
      </c>
      <c r="J485" s="1">
        <f>IFERROR(__xludf.DUMMYFUNCTION("""COMPUTED_VALUE"""),25.0)</f>
        <v>25</v>
      </c>
      <c r="K485" s="1">
        <f>IFERROR(__xludf.DUMMYFUNCTION("""COMPUTED_VALUE"""),100.0)</f>
        <v>100</v>
      </c>
      <c r="L485" s="1">
        <f>IFERROR(__xludf.DUMMYFUNCTION("""COMPUTED_VALUE"""),100.0)</f>
        <v>100</v>
      </c>
      <c r="M485" s="1" t="str">
        <f>IFERROR(__xludf.DUMMYFUNCTION("""COMPUTED_VALUE"""),"Water:Immune, Nature:Immune, Blood:Immune, Instant Death:Immune, Banishment:Immune, ")</f>
        <v>Water:Immune, Nature:Immune, Blood:Immune, Instant Death:Immune, Banishment:Immune, </v>
      </c>
      <c r="N485" s="1" t="str">
        <f>IFERROR(__xludf.DUMMYFUNCTION("""COMPUTED_VALUE"""),"Fire:50, Storm:50, Spirit:50, ")</f>
        <v>Fire:50, Storm:50, Spirit:50, </v>
      </c>
      <c r="O485" s="1"/>
      <c r="P485" s="1"/>
      <c r="Q485" s="1"/>
      <c r="R485" s="1"/>
      <c r="S485" s="1"/>
      <c r="T485" s="1"/>
      <c r="U485" s="1"/>
      <c r="V485" s="1"/>
      <c r="W485" s="1"/>
      <c r="X485" s="1"/>
      <c r="Y485" s="1"/>
      <c r="Z485" s="1"/>
      <c r="AA485" s="1"/>
      <c r="AB485" s="1"/>
      <c r="AC485" s="1"/>
      <c r="AD485" s="1"/>
      <c r="AE485" s="1"/>
      <c r="AF485" s="1"/>
      <c r="AG485" s="1"/>
      <c r="AH485" s="1"/>
      <c r="AI485" s="1"/>
      <c r="AJ485" s="1" t="str">
        <f>IFERROR(__xludf.DUMMYFUNCTION("""COMPUTED_VALUE"""),"Vine Whip")</f>
        <v>Vine Whip</v>
      </c>
      <c r="AK485" s="1" t="str">
        <f>IFERROR(__xludf.DUMMYFUNCTION("""COMPUTED_VALUE"""),"Poison Ivy")</f>
        <v>Poison Ivy</v>
      </c>
      <c r="AL485" s="1" t="str">
        <f>IFERROR(__xludf.DUMMYFUNCTION("""COMPUTED_VALUE"""),"Razor Leaves")</f>
        <v>Razor Leaves</v>
      </c>
      <c r="AM485" s="1" t="str">
        <f>IFERROR(__xludf.DUMMYFUNCTION("""COMPUTED_VALUE"""),"Thorn Bush")</f>
        <v>Thorn Bush</v>
      </c>
      <c r="AN485" s="1" t="str">
        <f>IFERROR(__xludf.DUMMYFUNCTION("""COMPUTED_VALUE"""),"Tower Of The Forest")</f>
        <v>Tower Of The Forest</v>
      </c>
      <c r="AO485" s="1" t="str">
        <f>IFERROR(__xludf.DUMMYFUNCTION("""COMPUTED_VALUE"""),"Cocoon")</f>
        <v>Cocoon</v>
      </c>
      <c r="AP485" s="1" t="str">
        <f>IFERROR(__xludf.DUMMYFUNCTION("""COMPUTED_VALUE"""),"Nature's Light")</f>
        <v>Nature's Light</v>
      </c>
      <c r="AQ485" s="1" t="str">
        <f>IFERROR(__xludf.DUMMYFUNCTION("""COMPUTED_VALUE"""),"Nature's Wrath")</f>
        <v>Nature's Wrath</v>
      </c>
      <c r="AR485" s="1" t="str">
        <f>IFERROR(__xludf.DUMMYFUNCTION("""COMPUTED_VALUE"""),"Cancel")</f>
        <v>Cancel</v>
      </c>
      <c r="AS485" s="1" t="str">
        <f>IFERROR(__xludf.DUMMYFUNCTION("""COMPUTED_VALUE"""),"Nature Ward")</f>
        <v>Nature Ward</v>
      </c>
      <c r="AT485" s="1" t="str">
        <f>IFERROR(__xludf.DUMMYFUNCTION("""COMPUTED_VALUE"""),"Soul Shot")</f>
        <v>Soul Shot</v>
      </c>
      <c r="AU485" s="1" t="str">
        <f>IFERROR(__xludf.DUMMYFUNCTION("""COMPUTED_VALUE"""),"Dread")</f>
        <v>Dread</v>
      </c>
      <c r="AV485" s="1" t="str">
        <f>IFERROR(__xludf.DUMMYFUNCTION("""COMPUTED_VALUE"""),"Spirit Fog")</f>
        <v>Spirit Fog</v>
      </c>
      <c r="AW485" s="1" t="str">
        <f>IFERROR(__xludf.DUMMYFUNCTION("""COMPUTED_VALUE"""),"Burning Dread")</f>
        <v>Burning Dread</v>
      </c>
      <c r="AX485" s="1" t="str">
        <f>IFERROR(__xludf.DUMMYFUNCTION("""COMPUTED_VALUE"""),"Spectral Lash")</f>
        <v>Spectral Lash</v>
      </c>
      <c r="AY485" s="1" t="str">
        <f>IFERROR(__xludf.DUMMYFUNCTION("""COMPUTED_VALUE"""),"Incorporeal Form")</f>
        <v>Incorporeal Form</v>
      </c>
      <c r="AZ485" s="1" t="str">
        <f>IFERROR(__xludf.DUMMYFUNCTION("""COMPUTED_VALUE"""),"Multishot")</f>
        <v>Multishot</v>
      </c>
      <c r="BA485" s="1" t="str">
        <f>IFERROR(__xludf.DUMMYFUNCTION("""COMPUTED_VALUE"""),"Mass Destruction")</f>
        <v>Mass Destruction</v>
      </c>
      <c r="BB485" s="1"/>
      <c r="BC485" s="1"/>
      <c r="BD485" s="1">
        <f>IFERROR(__xludf.DUMMYFUNCTION("""COMPUTED_VALUE"""),0.0)</f>
        <v>0</v>
      </c>
      <c r="BE485" s="9">
        <f>IFERROR(__xludf.DUMMYFUNCTION("""COMPUTED_VALUE"""),10.0)</f>
        <v>10</v>
      </c>
      <c r="BF485" s="1" t="str">
        <f>IFERROR(__xludf.DUMMYFUNCTION("""COMPUTED_VALUE"""),"Greater Elemental: +5 Can be added to all of the mob's d20 rolls
Greater Nature Elemental: X12 Nature
25% chance to stun any enemy that attacks this mob for 3 rounds.")</f>
        <v>Greater Elemental: +5 Can be added to all of the mob's d20 rolls
Greater Nature Elemental: X12 Nature
25% chance to stun any enemy that attacks this mob for 3 rounds.</v>
      </c>
      <c r="BG485" s="1" t="str">
        <f>IFERROR(__xludf.DUMMYFUNCTION("""COMPUTED_VALUE"""),"Dungeon")</f>
        <v>Dungeon</v>
      </c>
      <c r="BH485" s="1" t="str">
        <f>IFERROR(__xludf.DUMMYFUNCTION("""COMPUTED_VALUE"""),"Dragonscale Island")</f>
        <v>Dragonscale Island</v>
      </c>
      <c r="BI485" s="1"/>
      <c r="BJ485" s="1"/>
      <c r="BK485" s="1"/>
      <c r="BL485" s="1" t="b">
        <f>IFERROR(__xludf.DUMMYFUNCTION("""COMPUTED_VALUE"""),FALSE)</f>
        <v>0</v>
      </c>
      <c r="BM485" s="1"/>
      <c r="BN485" s="1"/>
      <c r="BO485" s="1"/>
      <c r="BP485" s="1"/>
      <c r="BQ485" s="1"/>
    </row>
    <row r="486" ht="15.75" customHeight="1">
      <c r="A486" s="1" t="str">
        <f>IFERROR(__xludf.DUMMYFUNCTION("""COMPUTED_VALUE"""),"Earth Elemental")</f>
        <v>Earth Elemental</v>
      </c>
      <c r="B486" s="1">
        <f>IFERROR(__xludf.DUMMYFUNCTION("""COMPUTED_VALUE"""),1.0)</f>
        <v>1</v>
      </c>
      <c r="C486" s="1"/>
      <c r="D486" s="1" t="str">
        <f>IFERROR(__xludf.DUMMYFUNCTION("""COMPUTED_VALUE"""),"Spirit")</f>
        <v>Spirit</v>
      </c>
      <c r="E486" s="1">
        <f>IFERROR(__xludf.DUMMYFUNCTION("""COMPUTED_VALUE"""),1010.0)</f>
        <v>1010</v>
      </c>
      <c r="F486" s="7">
        <f>IFERROR(__xludf.DUMMYFUNCTION("""COMPUTED_VALUE"""),1010.0)</f>
        <v>1010</v>
      </c>
      <c r="G486" s="1">
        <f>IFERROR(__xludf.DUMMYFUNCTION("""COMPUTED_VALUE"""),1010.0)</f>
        <v>1010</v>
      </c>
      <c r="H486" s="1">
        <f>IFERROR(__xludf.DUMMYFUNCTION("""COMPUTED_VALUE"""),10.0)</f>
        <v>10</v>
      </c>
      <c r="I486" s="1">
        <f>IFERROR(__xludf.DUMMYFUNCTION("""COMPUTED_VALUE"""),0.0)</f>
        <v>0</v>
      </c>
      <c r="J486" s="1">
        <f>IFERROR(__xludf.DUMMYFUNCTION("""COMPUTED_VALUE"""),0.0)</f>
        <v>0</v>
      </c>
      <c r="K486" s="1">
        <f>IFERROR(__xludf.DUMMYFUNCTION("""COMPUTED_VALUE"""),100.0)</f>
        <v>100</v>
      </c>
      <c r="L486" s="1">
        <f>IFERROR(__xludf.DUMMYFUNCTION("""COMPUTED_VALUE"""),100.0)</f>
        <v>100</v>
      </c>
      <c r="M486" s="1" t="str">
        <f>IFERROR(__xludf.DUMMYFUNCTION("""COMPUTED_VALUE"""),"Fire:Immune, Blood:Immune, Instant Death:Immune, ")</f>
        <v>Fire:Immune, Blood:Immune, Instant Death:Immune, </v>
      </c>
      <c r="N486" s="1" t="str">
        <f>IFERROR(__xludf.DUMMYFUNCTION("""COMPUTED_VALUE"""),"Water:150, Storm:150, Spirit:150, ")</f>
        <v>Water:150, Storm:150, Spirit:150, </v>
      </c>
      <c r="O486" s="1"/>
      <c r="P486" s="1"/>
      <c r="Q486" s="1"/>
      <c r="R486" s="1"/>
      <c r="S486" s="1"/>
      <c r="T486" s="1"/>
      <c r="U486" s="1"/>
      <c r="V486" s="1"/>
      <c r="W486" s="1"/>
      <c r="X486" s="1"/>
      <c r="Y486" s="1"/>
      <c r="Z486" s="1"/>
      <c r="AA486" s="1"/>
      <c r="AB486" s="1"/>
      <c r="AC486" s="1"/>
      <c r="AD486" s="1"/>
      <c r="AE486" s="1"/>
      <c r="AF486" s="1"/>
      <c r="AG486" s="1"/>
      <c r="AH486" s="1"/>
      <c r="AI486" s="1"/>
      <c r="AJ486" s="1" t="str">
        <f>IFERROR(__xludf.DUMMYFUNCTION("""COMPUTED_VALUE"""),"Ancient Monolith Of Earth")</f>
        <v>Ancient Monolith Of Earth</v>
      </c>
      <c r="AK486" s="1" t="str">
        <f>IFERROR(__xludf.DUMMYFUNCTION("""COMPUTED_VALUE"""),"Rock Shot")</f>
        <v>Rock Shot</v>
      </c>
      <c r="AL486" s="1" t="str">
        <f>IFERROR(__xludf.DUMMYFUNCTION("""COMPUTED_VALUE"""),"Breaking Earth")</f>
        <v>Breaking Earth</v>
      </c>
      <c r="AM486" s="1" t="str">
        <f>IFERROR(__xludf.DUMMYFUNCTION("""COMPUTED_VALUE"""),"Petrification")</f>
        <v>Petrification</v>
      </c>
      <c r="AN486" s="1" t="str">
        <f>IFERROR(__xludf.DUMMYFUNCTION("""COMPUTED_VALUE"""),"Mass Petrification")</f>
        <v>Mass Petrification</v>
      </c>
      <c r="AO486" s="1" t="str">
        <f>IFERROR(__xludf.DUMMYFUNCTION("""COMPUTED_VALUE"""),"Sling Stone")</f>
        <v>Sling Stone</v>
      </c>
      <c r="AP486" s="1" t="str">
        <f>IFERROR(__xludf.DUMMYFUNCTION("""COMPUTED_VALUE"""),"Mud Sling")</f>
        <v>Mud Sling</v>
      </c>
      <c r="AQ486" s="1" t="str">
        <f>IFERROR(__xludf.DUMMYFUNCTION("""COMPUTED_VALUE"""),"Soul Shot")</f>
        <v>Soul Shot</v>
      </c>
      <c r="AR486" s="1" t="str">
        <f>IFERROR(__xludf.DUMMYFUNCTION("""COMPUTED_VALUE"""),"Spirit Fog")</f>
        <v>Spirit Fog</v>
      </c>
      <c r="AS486" s="1" t="str">
        <f>IFERROR(__xludf.DUMMYFUNCTION("""COMPUTED_VALUE"""),"Dread")</f>
        <v>Dread</v>
      </c>
      <c r="AT486" s="1" t="str">
        <f>IFERROR(__xludf.DUMMYFUNCTION("""COMPUTED_VALUE"""),"Burning Dread")</f>
        <v>Burning Dread</v>
      </c>
      <c r="AU486" s="1" t="str">
        <f>IFERROR(__xludf.DUMMYFUNCTION("""COMPUTED_VALUE"""),"Vengeful Strike")</f>
        <v>Vengeful Strike</v>
      </c>
      <c r="AV486" s="1" t="str">
        <f>IFERROR(__xludf.DUMMYFUNCTION("""COMPUTED_VALUE"""),"Spectral Lash")</f>
        <v>Spectral Lash</v>
      </c>
      <c r="AW486" s="1" t="str">
        <f>IFERROR(__xludf.DUMMYFUNCTION("""COMPUTED_VALUE"""),"Celestial Wave")</f>
        <v>Celestial Wave</v>
      </c>
      <c r="AX486" s="1"/>
      <c r="AY486" s="1"/>
      <c r="AZ486" s="1"/>
      <c r="BA486" s="1"/>
      <c r="BB486" s="1"/>
      <c r="BC486" s="1"/>
      <c r="BD486" s="1">
        <f>IFERROR(__xludf.DUMMYFUNCTION("""COMPUTED_VALUE"""),0.0)</f>
        <v>0</v>
      </c>
      <c r="BE486" s="9">
        <f>IFERROR(__xludf.DUMMYFUNCTION("""COMPUTED_VALUE"""),10.0)</f>
        <v>10</v>
      </c>
      <c r="BF486" s="1" t="str">
        <f>IFERROR(__xludf.DUMMYFUNCTION("""COMPUTED_VALUE"""),"Earth Elemental: X6 Earth Damage
10% chance to be unaffected by any natural power, spell, or item effect")</f>
        <v>Earth Elemental: X6 Earth Damage
10% chance to be unaffected by any natural power, spell, or item effect</v>
      </c>
      <c r="BG486" s="1" t="str">
        <f>IFERROR(__xludf.DUMMYFUNCTION("""COMPUTED_VALUE"""),"All")</f>
        <v>All</v>
      </c>
      <c r="BH486" s="1" t="str">
        <f>IFERROR(__xludf.DUMMYFUNCTION("""COMPUTED_VALUE"""),"Land of Spira")</f>
        <v>Land of Spira</v>
      </c>
      <c r="BI486" s="1"/>
      <c r="BJ486" s="1"/>
      <c r="BK486" s="1"/>
      <c r="BL486" s="1" t="b">
        <f>IFERROR(__xludf.DUMMYFUNCTION("""COMPUTED_VALUE"""),FALSE)</f>
        <v>0</v>
      </c>
      <c r="BM486" s="1"/>
      <c r="BN486" s="1"/>
      <c r="BO486" s="1"/>
      <c r="BP486" s="1"/>
      <c r="BQ486" s="1"/>
    </row>
    <row r="487" ht="15.75" customHeight="1">
      <c r="A487" s="1" t="str">
        <f>IFERROR(__xludf.DUMMYFUNCTION("""COMPUTED_VALUE"""),"Mountain Elemental")</f>
        <v>Mountain Elemental</v>
      </c>
      <c r="B487" s="1">
        <f>IFERROR(__xludf.DUMMYFUNCTION("""COMPUTED_VALUE"""),1.0)</f>
        <v>1</v>
      </c>
      <c r="C487" s="1"/>
      <c r="D487" s="1" t="str">
        <f>IFERROR(__xludf.DUMMYFUNCTION("""COMPUTED_VALUE"""),"Spirit")</f>
        <v>Spirit</v>
      </c>
      <c r="E487" s="1">
        <f>IFERROR(__xludf.DUMMYFUNCTION("""COMPUTED_VALUE"""),1010.0)</f>
        <v>1010</v>
      </c>
      <c r="F487" s="7">
        <f>IFERROR(__xludf.DUMMYFUNCTION("""COMPUTED_VALUE"""),1010.0)</f>
        <v>1010</v>
      </c>
      <c r="G487" s="1">
        <f>IFERROR(__xludf.DUMMYFUNCTION("""COMPUTED_VALUE"""),1010.0)</f>
        <v>1010</v>
      </c>
      <c r="H487" s="1">
        <f>IFERROR(__xludf.DUMMYFUNCTION("""COMPUTED_VALUE"""),10.0)</f>
        <v>10</v>
      </c>
      <c r="I487" s="1">
        <f>IFERROR(__xludf.DUMMYFUNCTION("""COMPUTED_VALUE"""),0.0)</f>
        <v>0</v>
      </c>
      <c r="J487" s="1">
        <f>IFERROR(__xludf.DUMMYFUNCTION("""COMPUTED_VALUE"""),0.0)</f>
        <v>0</v>
      </c>
      <c r="K487" s="1">
        <f>IFERROR(__xludf.DUMMYFUNCTION("""COMPUTED_VALUE"""),100.0)</f>
        <v>100</v>
      </c>
      <c r="L487" s="1">
        <f>IFERROR(__xludf.DUMMYFUNCTION("""COMPUTED_VALUE"""),100.0)</f>
        <v>100</v>
      </c>
      <c r="M487" s="1" t="str">
        <f>IFERROR(__xludf.DUMMYFUNCTION("""COMPUTED_VALUE"""),"Fire:Immune, Blood:Immune, Instant Death:Immune, ")</f>
        <v>Fire:Immune, Blood:Immune, Instant Death:Immune, </v>
      </c>
      <c r="N487" s="1" t="str">
        <f>IFERROR(__xludf.DUMMYFUNCTION("""COMPUTED_VALUE"""),"Water:100, Storm:100, Spirit:100, ")</f>
        <v>Water:100, Storm:100, Spirit:100, </v>
      </c>
      <c r="O487" s="1"/>
      <c r="P487" s="1"/>
      <c r="Q487" s="1"/>
      <c r="R487" s="1"/>
      <c r="S487" s="1"/>
      <c r="T487" s="1"/>
      <c r="U487" s="1"/>
      <c r="V487" s="1"/>
      <c r="W487" s="1"/>
      <c r="X487" s="1"/>
      <c r="Y487" s="1"/>
      <c r="Z487" s="1"/>
      <c r="AA487" s="1"/>
      <c r="AB487" s="1"/>
      <c r="AC487" s="1"/>
      <c r="AD487" s="1"/>
      <c r="AE487" s="1"/>
      <c r="AF487" s="1"/>
      <c r="AG487" s="1"/>
      <c r="AH487" s="1"/>
      <c r="AI487" s="1"/>
      <c r="AJ487" s="1" t="str">
        <f>IFERROR(__xludf.DUMMYFUNCTION("""COMPUTED_VALUE"""),"Ancient Monolith Of Earth")</f>
        <v>Ancient Monolith Of Earth</v>
      </c>
      <c r="AK487" s="1" t="str">
        <f>IFERROR(__xludf.DUMMYFUNCTION("""COMPUTED_VALUE"""),"Rock Shot")</f>
        <v>Rock Shot</v>
      </c>
      <c r="AL487" s="1" t="str">
        <f>IFERROR(__xludf.DUMMYFUNCTION("""COMPUTED_VALUE"""),"Breaking Earth")</f>
        <v>Breaking Earth</v>
      </c>
      <c r="AM487" s="1" t="str">
        <f>IFERROR(__xludf.DUMMYFUNCTION("""COMPUTED_VALUE"""),"Petrification")</f>
        <v>Petrification</v>
      </c>
      <c r="AN487" s="1" t="str">
        <f>IFERROR(__xludf.DUMMYFUNCTION("""COMPUTED_VALUE"""),"Mass Petrification")</f>
        <v>Mass Petrification</v>
      </c>
      <c r="AO487" s="1" t="str">
        <f>IFERROR(__xludf.DUMMYFUNCTION("""COMPUTED_VALUE"""),"Sling Stone")</f>
        <v>Sling Stone</v>
      </c>
      <c r="AP487" s="1" t="str">
        <f>IFERROR(__xludf.DUMMYFUNCTION("""COMPUTED_VALUE"""),"Sand Hole")</f>
        <v>Sand Hole</v>
      </c>
      <c r="AQ487" s="1" t="str">
        <f>IFERROR(__xludf.DUMMYFUNCTION("""COMPUTED_VALUE"""),"Rock Cycle")</f>
        <v>Rock Cycle</v>
      </c>
      <c r="AR487" s="1" t="str">
        <f>IFERROR(__xludf.DUMMYFUNCTION("""COMPUTED_VALUE"""),"Mud Wave")</f>
        <v>Mud Wave</v>
      </c>
      <c r="AS487" s="1" t="str">
        <f>IFERROR(__xludf.DUMMYFUNCTION("""COMPUTED_VALUE"""),"Soul Shot")</f>
        <v>Soul Shot</v>
      </c>
      <c r="AT487" s="1" t="str">
        <f>IFERROR(__xludf.DUMMYFUNCTION("""COMPUTED_VALUE"""),"Spirit Fog")</f>
        <v>Spirit Fog</v>
      </c>
      <c r="AU487" s="1" t="str">
        <f>IFERROR(__xludf.DUMMYFUNCTION("""COMPUTED_VALUE"""),"Dread")</f>
        <v>Dread</v>
      </c>
      <c r="AV487" s="1" t="str">
        <f>IFERROR(__xludf.DUMMYFUNCTION("""COMPUTED_VALUE"""),"Burning Dread")</f>
        <v>Burning Dread</v>
      </c>
      <c r="AW487" s="1" t="str">
        <f>IFERROR(__xludf.DUMMYFUNCTION("""COMPUTED_VALUE"""),"Vengeful Strike")</f>
        <v>Vengeful Strike</v>
      </c>
      <c r="AX487" s="1" t="str">
        <f>IFERROR(__xludf.DUMMYFUNCTION("""COMPUTED_VALUE"""),"Spectral Lash")</f>
        <v>Spectral Lash</v>
      </c>
      <c r="AY487" s="1" t="str">
        <f>IFERROR(__xludf.DUMMYFUNCTION("""COMPUTED_VALUE"""),"Celestial Wave")</f>
        <v>Celestial Wave</v>
      </c>
      <c r="AZ487" s="1"/>
      <c r="BA487" s="1"/>
      <c r="BB487" s="1"/>
      <c r="BC487" s="1"/>
      <c r="BD487" s="1">
        <f>IFERROR(__xludf.DUMMYFUNCTION("""COMPUTED_VALUE"""),0.0)</f>
        <v>0</v>
      </c>
      <c r="BE487" s="9">
        <f>IFERROR(__xludf.DUMMYFUNCTION("""COMPUTED_VALUE"""),10.0)</f>
        <v>10</v>
      </c>
      <c r="BF487" s="1" t="str">
        <f>IFERROR(__xludf.DUMMYFUNCTION("""COMPUTED_VALUE"""),"Dragonscale Luck: +5 can be added to this mob's turn order rolls
Earth Elemental II: X9 Earth damage
20% chance to be unaffected by any natural power, spell, or item effect")</f>
        <v>Dragonscale Luck: +5 can be added to this mob's turn order rolls
Earth Elemental II: X9 Earth damage
20% chance to be unaffected by any natural power, spell, or item effect</v>
      </c>
      <c r="BG487" s="1" t="str">
        <f>IFERROR(__xludf.DUMMYFUNCTION("""COMPUTED_VALUE"""),"All")</f>
        <v>All</v>
      </c>
      <c r="BH487" s="1" t="str">
        <f>IFERROR(__xludf.DUMMYFUNCTION("""COMPUTED_VALUE"""),"Dragonscale Island")</f>
        <v>Dragonscale Island</v>
      </c>
      <c r="BI487" s="1"/>
      <c r="BJ487" s="1"/>
      <c r="BK487" s="1"/>
      <c r="BL487" s="1" t="b">
        <f>IFERROR(__xludf.DUMMYFUNCTION("""COMPUTED_VALUE"""),FALSE)</f>
        <v>0</v>
      </c>
      <c r="BM487" s="1"/>
      <c r="BN487" s="1"/>
      <c r="BO487" s="1"/>
      <c r="BP487" s="1"/>
      <c r="BQ487" s="1"/>
    </row>
    <row r="488" ht="15.75" customHeight="1">
      <c r="A488" s="1" t="str">
        <f>IFERROR(__xludf.DUMMYFUNCTION("""COMPUTED_VALUE"""),"Ancient Earth Elemental")</f>
        <v>Ancient Earth Elemental</v>
      </c>
      <c r="B488" s="1">
        <f>IFERROR(__xludf.DUMMYFUNCTION("""COMPUTED_VALUE"""),1.0)</f>
        <v>1</v>
      </c>
      <c r="C488" s="1"/>
      <c r="D488" s="1" t="str">
        <f>IFERROR(__xludf.DUMMYFUNCTION("""COMPUTED_VALUE"""),"Spirit")</f>
        <v>Spirit</v>
      </c>
      <c r="E488" s="1">
        <f>IFERROR(__xludf.DUMMYFUNCTION("""COMPUTED_VALUE"""),1010.0)</f>
        <v>1010</v>
      </c>
      <c r="F488" s="7">
        <f>IFERROR(__xludf.DUMMYFUNCTION("""COMPUTED_VALUE"""),1010.0)</f>
        <v>1010</v>
      </c>
      <c r="G488" s="1">
        <f>IFERROR(__xludf.DUMMYFUNCTION("""COMPUTED_VALUE"""),1010.0)</f>
        <v>1010</v>
      </c>
      <c r="H488" s="1">
        <f>IFERROR(__xludf.DUMMYFUNCTION("""COMPUTED_VALUE"""),10.0)</f>
        <v>10</v>
      </c>
      <c r="I488" s="1">
        <f>IFERROR(__xludf.DUMMYFUNCTION("""COMPUTED_VALUE"""),0.0)</f>
        <v>0</v>
      </c>
      <c r="J488" s="1">
        <f>IFERROR(__xludf.DUMMYFUNCTION("""COMPUTED_VALUE"""),25.0)</f>
        <v>25</v>
      </c>
      <c r="K488" s="1">
        <f>IFERROR(__xludf.DUMMYFUNCTION("""COMPUTED_VALUE"""),100.0)</f>
        <v>100</v>
      </c>
      <c r="L488" s="1">
        <f>IFERROR(__xludf.DUMMYFUNCTION("""COMPUTED_VALUE"""),100.0)</f>
        <v>100</v>
      </c>
      <c r="M488" s="1" t="str">
        <f>IFERROR(__xludf.DUMMYFUNCTION("""COMPUTED_VALUE"""),"Fire:Immune, Blood:Immune, Instant Death:Immune, Banishment:Immune, ")</f>
        <v>Fire:Immune, Blood:Immune, Instant Death:Immune, Banishment:Immune, </v>
      </c>
      <c r="N488" s="1" t="str">
        <f>IFERROR(__xludf.DUMMYFUNCTION("""COMPUTED_VALUE"""),"Water:50, Storm:50, Spirit:50, ")</f>
        <v>Water:50, Storm:50, Spirit:50, </v>
      </c>
      <c r="O488" s="1"/>
      <c r="P488" s="1"/>
      <c r="Q488" s="1"/>
      <c r="R488" s="1"/>
      <c r="S488" s="1"/>
      <c r="T488" s="1"/>
      <c r="U488" s="1"/>
      <c r="V488" s="1"/>
      <c r="W488" s="1"/>
      <c r="X488" s="1"/>
      <c r="Y488" s="1"/>
      <c r="Z488" s="1"/>
      <c r="AA488" s="1"/>
      <c r="AB488" s="1"/>
      <c r="AC488" s="1"/>
      <c r="AD488" s="1"/>
      <c r="AE488" s="1"/>
      <c r="AF488" s="1"/>
      <c r="AG488" s="1"/>
      <c r="AH488" s="1"/>
      <c r="AI488" s="1"/>
      <c r="AJ488" s="1" t="str">
        <f>IFERROR(__xludf.DUMMYFUNCTION("""COMPUTED_VALUE"""),"Ancient Monolith Of Earth")</f>
        <v>Ancient Monolith Of Earth</v>
      </c>
      <c r="AK488" s="1" t="str">
        <f>IFERROR(__xludf.DUMMYFUNCTION("""COMPUTED_VALUE"""),"Rock Shot")</f>
        <v>Rock Shot</v>
      </c>
      <c r="AL488" s="1" t="str">
        <f>IFERROR(__xludf.DUMMYFUNCTION("""COMPUTED_VALUE"""),"Breaking Earth")</f>
        <v>Breaking Earth</v>
      </c>
      <c r="AM488" s="1" t="str">
        <f>IFERROR(__xludf.DUMMYFUNCTION("""COMPUTED_VALUE"""),"Petrification")</f>
        <v>Petrification</v>
      </c>
      <c r="AN488" s="1" t="str">
        <f>IFERROR(__xludf.DUMMYFUNCTION("""COMPUTED_VALUE"""),"Mass Petrification")</f>
        <v>Mass Petrification</v>
      </c>
      <c r="AO488" s="1" t="str">
        <f>IFERROR(__xludf.DUMMYFUNCTION("""COMPUTED_VALUE"""),"Sling Stone")</f>
        <v>Sling Stone</v>
      </c>
      <c r="AP488" s="1" t="str">
        <f>IFERROR(__xludf.DUMMYFUNCTION("""COMPUTED_VALUE"""),"Sand Hole")</f>
        <v>Sand Hole</v>
      </c>
      <c r="AQ488" s="1" t="str">
        <f>IFERROR(__xludf.DUMMYFUNCTION("""COMPUTED_VALUE"""),"Rock Cycle")</f>
        <v>Rock Cycle</v>
      </c>
      <c r="AR488" s="1" t="str">
        <f>IFERROR(__xludf.DUMMYFUNCTION("""COMPUTED_VALUE"""),"Mud Wave")</f>
        <v>Mud Wave</v>
      </c>
      <c r="AS488" s="1" t="str">
        <f>IFERROR(__xludf.DUMMYFUNCTION("""COMPUTED_VALUE"""),"Soul Shot")</f>
        <v>Soul Shot</v>
      </c>
      <c r="AT488" s="1" t="str">
        <f>IFERROR(__xludf.DUMMYFUNCTION("""COMPUTED_VALUE"""),"Spirit Fog")</f>
        <v>Spirit Fog</v>
      </c>
      <c r="AU488" s="1" t="str">
        <f>IFERROR(__xludf.DUMMYFUNCTION("""COMPUTED_VALUE"""),"Dread")</f>
        <v>Dread</v>
      </c>
      <c r="AV488" s="1" t="str">
        <f>IFERROR(__xludf.DUMMYFUNCTION("""COMPUTED_VALUE"""),"Burning Dread")</f>
        <v>Burning Dread</v>
      </c>
      <c r="AW488" s="1" t="str">
        <f>IFERROR(__xludf.DUMMYFUNCTION("""COMPUTED_VALUE"""),"Spectral Lash")</f>
        <v>Spectral Lash</v>
      </c>
      <c r="AX488" s="1" t="str">
        <f>IFERROR(__xludf.DUMMYFUNCTION("""COMPUTED_VALUE"""),"Celestial Wave")</f>
        <v>Celestial Wave</v>
      </c>
      <c r="AY488" s="1"/>
      <c r="AZ488" s="1"/>
      <c r="BA488" s="1"/>
      <c r="BB488" s="1"/>
      <c r="BC488" s="1"/>
      <c r="BD488" s="1">
        <f>IFERROR(__xludf.DUMMYFUNCTION("""COMPUTED_VALUE"""),0.0)</f>
        <v>0</v>
      </c>
      <c r="BE488" s="9">
        <f>IFERROR(__xludf.DUMMYFUNCTION("""COMPUTED_VALUE"""),10.0)</f>
        <v>10</v>
      </c>
      <c r="BF488" s="1" t="str">
        <f>IFERROR(__xludf.DUMMYFUNCTION("""COMPUTED_VALUE"""),"Greater Elemental: +5 can be added to this Mob's d20 Rolls
Greater Earth Elemental: X12 Earth Damage
25% chance to be unaffected by any natural power, spell, or item effect")</f>
        <v>Greater Elemental: +5 can be added to this Mob's d20 Rolls
Greater Earth Elemental: X12 Earth Damage
25% chance to be unaffected by any natural power, spell, or item effect</v>
      </c>
      <c r="BG488" s="1" t="str">
        <f>IFERROR(__xludf.DUMMYFUNCTION("""COMPUTED_VALUE"""),"Dungeon")</f>
        <v>Dungeon</v>
      </c>
      <c r="BH488" s="1" t="str">
        <f>IFERROR(__xludf.DUMMYFUNCTION("""COMPUTED_VALUE"""),"Dragonscale Island")</f>
        <v>Dragonscale Island</v>
      </c>
      <c r="BI488" s="1"/>
      <c r="BJ488" s="1"/>
      <c r="BK488" s="1"/>
      <c r="BL488" s="1" t="b">
        <f>IFERROR(__xludf.DUMMYFUNCTION("""COMPUTED_VALUE"""),FALSE)</f>
        <v>0</v>
      </c>
      <c r="BM488" s="1"/>
      <c r="BN488" s="1"/>
      <c r="BO488" s="1"/>
      <c r="BP488" s="1"/>
      <c r="BQ488" s="1"/>
    </row>
    <row r="489" ht="15.75" customHeight="1">
      <c r="A489" s="1" t="str">
        <f>IFERROR(__xludf.DUMMYFUNCTION("""COMPUTED_VALUE"""),"Storm Elemental")</f>
        <v>Storm Elemental</v>
      </c>
      <c r="B489" s="1">
        <f>IFERROR(__xludf.DUMMYFUNCTION("""COMPUTED_VALUE"""),1.0)</f>
        <v>1</v>
      </c>
      <c r="C489" s="1"/>
      <c r="D489" s="1" t="str">
        <f>IFERROR(__xludf.DUMMYFUNCTION("""COMPUTED_VALUE"""),"Spirit")</f>
        <v>Spirit</v>
      </c>
      <c r="E489" s="1">
        <f>IFERROR(__xludf.DUMMYFUNCTION("""COMPUTED_VALUE"""),1010.0)</f>
        <v>1010</v>
      </c>
      <c r="F489" s="7">
        <f>IFERROR(__xludf.DUMMYFUNCTION("""COMPUTED_VALUE"""),1010.0)</f>
        <v>1010</v>
      </c>
      <c r="G489" s="1">
        <f>IFERROR(__xludf.DUMMYFUNCTION("""COMPUTED_VALUE"""),1010.0)</f>
        <v>1010</v>
      </c>
      <c r="H489" s="1">
        <f>IFERROR(__xludf.DUMMYFUNCTION("""COMPUTED_VALUE"""),10.0)</f>
        <v>10</v>
      </c>
      <c r="I489" s="1">
        <f>IFERROR(__xludf.DUMMYFUNCTION("""COMPUTED_VALUE"""),0.0)</f>
        <v>0</v>
      </c>
      <c r="J489" s="1">
        <f>IFERROR(__xludf.DUMMYFUNCTION("""COMPUTED_VALUE"""),0.0)</f>
        <v>0</v>
      </c>
      <c r="K489" s="1">
        <f>IFERROR(__xludf.DUMMYFUNCTION("""COMPUTED_VALUE"""),100.0)</f>
        <v>100</v>
      </c>
      <c r="L489" s="1">
        <f>IFERROR(__xludf.DUMMYFUNCTION("""COMPUTED_VALUE"""),100.0)</f>
        <v>100</v>
      </c>
      <c r="M489" s="1" t="str">
        <f>IFERROR(__xludf.DUMMYFUNCTION("""COMPUTED_VALUE"""),"Storm:Immune, Earth:Immune, Nature:Immune, Blood:Immune, Instant Death:Immune, ")</f>
        <v>Storm:Immune, Earth:Immune, Nature:Immune, Blood:Immune, Instant Death:Immune, </v>
      </c>
      <c r="N489" s="1" t="str">
        <f>IFERROR(__xludf.DUMMYFUNCTION("""COMPUTED_VALUE"""),"Spirit:150, ")</f>
        <v>Spirit:150, </v>
      </c>
      <c r="O489" s="1"/>
      <c r="P489" s="1"/>
      <c r="Q489" s="1"/>
      <c r="R489" s="1"/>
      <c r="S489" s="1"/>
      <c r="T489" s="1"/>
      <c r="U489" s="1"/>
      <c r="V489" s="1"/>
      <c r="W489" s="1"/>
      <c r="X489" s="1"/>
      <c r="Y489" s="1"/>
      <c r="Z489" s="1"/>
      <c r="AA489" s="1"/>
      <c r="AB489" s="1"/>
      <c r="AC489" s="1"/>
      <c r="AD489" s="1"/>
      <c r="AE489" s="1"/>
      <c r="AF489" s="1"/>
      <c r="AG489" s="1"/>
      <c r="AH489" s="1"/>
      <c r="AI489" s="1"/>
      <c r="AJ489" s="1" t="str">
        <f>IFERROR(__xludf.DUMMYFUNCTION("""COMPUTED_VALUE"""),"Lightning Strike")</f>
        <v>Lightning Strike</v>
      </c>
      <c r="AK489" s="1" t="str">
        <f>IFERROR(__xludf.DUMMYFUNCTION("""COMPUTED_VALUE"""),"Chain Lightning")</f>
        <v>Chain Lightning</v>
      </c>
      <c r="AL489" s="1" t="str">
        <f>IFERROR(__xludf.DUMMYFUNCTION("""COMPUTED_VALUE"""),"Shocking Touch")</f>
        <v>Shocking Touch</v>
      </c>
      <c r="AM489" s="1" t="str">
        <f>IFERROR(__xludf.DUMMYFUNCTION("""COMPUTED_VALUE"""),"Mass Charge")</f>
        <v>Mass Charge</v>
      </c>
      <c r="AN489" s="1" t="str">
        <f>IFERROR(__xludf.DUMMYFUNCTION("""COMPUTED_VALUE"""),"Tower Of Storm")</f>
        <v>Tower Of Storm</v>
      </c>
      <c r="AO489" s="1" t="str">
        <f>IFERROR(__xludf.DUMMYFUNCTION("""COMPUTED_VALUE"""),"Stun Wave")</f>
        <v>Stun Wave</v>
      </c>
      <c r="AP489" s="1" t="str">
        <f>IFERROR(__xludf.DUMMYFUNCTION("""COMPUTED_VALUE"""),"Brewing Storm")</f>
        <v>Brewing Storm</v>
      </c>
      <c r="AQ489" s="1" t="str">
        <f>IFERROR(__xludf.DUMMYFUNCTION("""COMPUTED_VALUE"""),"Soul Shot")</f>
        <v>Soul Shot</v>
      </c>
      <c r="AR489" s="1" t="str">
        <f>IFERROR(__xludf.DUMMYFUNCTION("""COMPUTED_VALUE"""),"Spirit Fog")</f>
        <v>Spirit Fog</v>
      </c>
      <c r="AS489" s="1" t="str">
        <f>IFERROR(__xludf.DUMMYFUNCTION("""COMPUTED_VALUE"""),"Dread")</f>
        <v>Dread</v>
      </c>
      <c r="AT489" s="1" t="str">
        <f>IFERROR(__xludf.DUMMYFUNCTION("""COMPUTED_VALUE"""),"Burning Dread")</f>
        <v>Burning Dread</v>
      </c>
      <c r="AU489" s="1" t="str">
        <f>IFERROR(__xludf.DUMMYFUNCTION("""COMPUTED_VALUE"""),"Vengeful Strike")</f>
        <v>Vengeful Strike</v>
      </c>
      <c r="AV489" s="1" t="str">
        <f>IFERROR(__xludf.DUMMYFUNCTION("""COMPUTED_VALUE"""),"Spectral Lash")</f>
        <v>Spectral Lash</v>
      </c>
      <c r="AW489" s="1" t="str">
        <f>IFERROR(__xludf.DUMMYFUNCTION("""COMPUTED_VALUE"""),"Celestial Wave")</f>
        <v>Celestial Wave</v>
      </c>
      <c r="AX489" s="1"/>
      <c r="AY489" s="1"/>
      <c r="AZ489" s="1"/>
      <c r="BA489" s="1"/>
      <c r="BB489" s="1"/>
      <c r="BC489" s="1"/>
      <c r="BD489" s="1">
        <f>IFERROR(__xludf.DUMMYFUNCTION("""COMPUTED_VALUE"""),0.0)</f>
        <v>0</v>
      </c>
      <c r="BE489" s="9">
        <f>IFERROR(__xludf.DUMMYFUNCTION("""COMPUTED_VALUE"""),10.0)</f>
        <v>10</v>
      </c>
      <c r="BF489" s="1" t="str">
        <f>IFERROR(__xludf.DUMMYFUNCTION("""COMPUTED_VALUE"""),"Storm Elemental: X6 Storm Damage
10% chance to stun any enemy who targets this creature for 2 rounds")</f>
        <v>Storm Elemental: X6 Storm Damage
10% chance to stun any enemy who targets this creature for 2 rounds</v>
      </c>
      <c r="BG489" s="1" t="str">
        <f>IFERROR(__xludf.DUMMYFUNCTION("""COMPUTED_VALUE"""),"All")</f>
        <v>All</v>
      </c>
      <c r="BH489" s="1" t="str">
        <f>IFERROR(__xludf.DUMMYFUNCTION("""COMPUTED_VALUE"""),"Land of Spira")</f>
        <v>Land of Spira</v>
      </c>
      <c r="BI489" s="1"/>
      <c r="BJ489" s="1"/>
      <c r="BK489" s="1"/>
      <c r="BL489" s="1" t="b">
        <f>IFERROR(__xludf.DUMMYFUNCTION("""COMPUTED_VALUE"""),FALSE)</f>
        <v>0</v>
      </c>
      <c r="BM489" s="1"/>
      <c r="BN489" s="1"/>
      <c r="BO489" s="1"/>
      <c r="BP489" s="1"/>
      <c r="BQ489" s="1"/>
    </row>
    <row r="490" ht="15.75" customHeight="1">
      <c r="A490" s="1" t="str">
        <f>IFERROR(__xludf.DUMMYFUNCTION("""COMPUTED_VALUE"""),"Lightning Elemental")</f>
        <v>Lightning Elemental</v>
      </c>
      <c r="B490" s="1">
        <f>IFERROR(__xludf.DUMMYFUNCTION("""COMPUTED_VALUE"""),1.0)</f>
        <v>1</v>
      </c>
      <c r="C490" s="1"/>
      <c r="D490" s="1" t="str">
        <f>IFERROR(__xludf.DUMMYFUNCTION("""COMPUTED_VALUE"""),"Spirit")</f>
        <v>Spirit</v>
      </c>
      <c r="E490" s="1">
        <f>IFERROR(__xludf.DUMMYFUNCTION("""COMPUTED_VALUE"""),1010.0)</f>
        <v>1010</v>
      </c>
      <c r="F490" s="7">
        <f>IFERROR(__xludf.DUMMYFUNCTION("""COMPUTED_VALUE"""),1010.0)</f>
        <v>1010</v>
      </c>
      <c r="G490" s="1">
        <f>IFERROR(__xludf.DUMMYFUNCTION("""COMPUTED_VALUE"""),1010.0)</f>
        <v>1010</v>
      </c>
      <c r="H490" s="1">
        <f>IFERROR(__xludf.DUMMYFUNCTION("""COMPUTED_VALUE"""),10.0)</f>
        <v>10</v>
      </c>
      <c r="I490" s="1">
        <f>IFERROR(__xludf.DUMMYFUNCTION("""COMPUTED_VALUE"""),0.0)</f>
        <v>0</v>
      </c>
      <c r="J490" s="1">
        <f>IFERROR(__xludf.DUMMYFUNCTION("""COMPUTED_VALUE"""),0.0)</f>
        <v>0</v>
      </c>
      <c r="K490" s="1">
        <f>IFERROR(__xludf.DUMMYFUNCTION("""COMPUTED_VALUE"""),100.0)</f>
        <v>100</v>
      </c>
      <c r="L490" s="1">
        <f>IFERROR(__xludf.DUMMYFUNCTION("""COMPUTED_VALUE"""),100.0)</f>
        <v>100</v>
      </c>
      <c r="M490" s="1" t="str">
        <f>IFERROR(__xludf.DUMMYFUNCTION("""COMPUTED_VALUE"""),"Storm:Immune, Earth:Immune, Nature:Immune, Blood:Immune, Instant Death:Immune, ")</f>
        <v>Storm:Immune, Earth:Immune, Nature:Immune, Blood:Immune, Instant Death:Immune, </v>
      </c>
      <c r="N490" s="1" t="str">
        <f>IFERROR(__xludf.DUMMYFUNCTION("""COMPUTED_VALUE"""),"Spirit:100, ")</f>
        <v>Spirit:100, </v>
      </c>
      <c r="O490" s="1"/>
      <c r="P490" s="1"/>
      <c r="Q490" s="1"/>
      <c r="R490" s="1"/>
      <c r="S490" s="1"/>
      <c r="T490" s="1"/>
      <c r="U490" s="1"/>
      <c r="V490" s="1"/>
      <c r="W490" s="1"/>
      <c r="X490" s="1"/>
      <c r="Y490" s="1"/>
      <c r="Z490" s="1"/>
      <c r="AA490" s="1"/>
      <c r="AB490" s="1"/>
      <c r="AC490" s="1"/>
      <c r="AD490" s="1"/>
      <c r="AE490" s="1"/>
      <c r="AF490" s="1"/>
      <c r="AG490" s="1"/>
      <c r="AH490" s="1"/>
      <c r="AI490" s="1"/>
      <c r="AJ490" s="1" t="str">
        <f>IFERROR(__xludf.DUMMYFUNCTION("""COMPUTED_VALUE"""),"Lightning Strike")</f>
        <v>Lightning Strike</v>
      </c>
      <c r="AK490" s="1" t="str">
        <f>IFERROR(__xludf.DUMMYFUNCTION("""COMPUTED_VALUE"""),"Chain Lightning")</f>
        <v>Chain Lightning</v>
      </c>
      <c r="AL490" s="1" t="str">
        <f>IFERROR(__xludf.DUMMYFUNCTION("""COMPUTED_VALUE"""),"Shocking Touch")</f>
        <v>Shocking Touch</v>
      </c>
      <c r="AM490" s="1" t="str">
        <f>IFERROR(__xludf.DUMMYFUNCTION("""COMPUTED_VALUE"""),"Mass Charge")</f>
        <v>Mass Charge</v>
      </c>
      <c r="AN490" s="1" t="str">
        <f>IFERROR(__xludf.DUMMYFUNCTION("""COMPUTED_VALUE"""),"Tower Of Storm")</f>
        <v>Tower Of Storm</v>
      </c>
      <c r="AO490" s="1" t="str">
        <f>IFERROR(__xludf.DUMMYFUNCTION("""COMPUTED_VALUE"""),"Stun Wave")</f>
        <v>Stun Wave</v>
      </c>
      <c r="AP490" s="1" t="str">
        <f>IFERROR(__xludf.DUMMYFUNCTION("""COMPUTED_VALUE"""),"Brewing Storm")</f>
        <v>Brewing Storm</v>
      </c>
      <c r="AQ490" s="1" t="str">
        <f>IFERROR(__xludf.DUMMYFUNCTION("""COMPUTED_VALUE"""),"Soul Shot")</f>
        <v>Soul Shot</v>
      </c>
      <c r="AR490" s="1" t="str">
        <f>IFERROR(__xludf.DUMMYFUNCTION("""COMPUTED_VALUE"""),"Spirit Fog")</f>
        <v>Spirit Fog</v>
      </c>
      <c r="AS490" s="1" t="str">
        <f>IFERROR(__xludf.DUMMYFUNCTION("""COMPUTED_VALUE"""),"Dread")</f>
        <v>Dread</v>
      </c>
      <c r="AT490" s="1" t="str">
        <f>IFERROR(__xludf.DUMMYFUNCTION("""COMPUTED_VALUE"""),"Burning Dread")</f>
        <v>Burning Dread</v>
      </c>
      <c r="AU490" s="1" t="str">
        <f>IFERROR(__xludf.DUMMYFUNCTION("""COMPUTED_VALUE"""),"Vengeful Strike")</f>
        <v>Vengeful Strike</v>
      </c>
      <c r="AV490" s="1" t="str">
        <f>IFERROR(__xludf.DUMMYFUNCTION("""COMPUTED_VALUE"""),"Spectral Lash")</f>
        <v>Spectral Lash</v>
      </c>
      <c r="AW490" s="1" t="str">
        <f>IFERROR(__xludf.DUMMYFUNCTION("""COMPUTED_VALUE"""),"Celestial Wave")</f>
        <v>Celestial Wave</v>
      </c>
      <c r="AX490" s="1"/>
      <c r="AY490" s="1"/>
      <c r="AZ490" s="1"/>
      <c r="BA490" s="1"/>
      <c r="BB490" s="1"/>
      <c r="BC490" s="1"/>
      <c r="BD490" s="1">
        <f>IFERROR(__xludf.DUMMYFUNCTION("""COMPUTED_VALUE"""),0.0)</f>
        <v>0</v>
      </c>
      <c r="BE490" s="9">
        <f>IFERROR(__xludf.DUMMYFUNCTION("""COMPUTED_VALUE"""),10.0)</f>
        <v>10</v>
      </c>
      <c r="BF490" s="1" t="str">
        <f>IFERROR(__xludf.DUMMYFUNCTION("""COMPUTED_VALUE"""),"Dragonscale Luck: +5 can be added to this mob's turn order rolls
Storm Elemental II: X9 Storm Damage
20% chance to stun any enemy who targets this creature for 2 rounds")</f>
        <v>Dragonscale Luck: +5 can be added to this mob's turn order rolls
Storm Elemental II: X9 Storm Damage
20% chance to stun any enemy who targets this creature for 2 rounds</v>
      </c>
      <c r="BG490" s="1" t="str">
        <f>IFERROR(__xludf.DUMMYFUNCTION("""COMPUTED_VALUE"""),"All")</f>
        <v>All</v>
      </c>
      <c r="BH490" s="1" t="str">
        <f>IFERROR(__xludf.DUMMYFUNCTION("""COMPUTED_VALUE"""),"Dragonscale Island")</f>
        <v>Dragonscale Island</v>
      </c>
      <c r="BI490" s="1"/>
      <c r="BJ490" s="1"/>
      <c r="BK490" s="1"/>
      <c r="BL490" s="1" t="b">
        <f>IFERROR(__xludf.DUMMYFUNCTION("""COMPUTED_VALUE"""),FALSE)</f>
        <v>0</v>
      </c>
      <c r="BM490" s="1"/>
      <c r="BN490" s="1"/>
      <c r="BO490" s="1"/>
      <c r="BP490" s="1"/>
      <c r="BQ490" s="1"/>
    </row>
    <row r="491" ht="15.75" customHeight="1">
      <c r="A491" s="1" t="str">
        <f>IFERROR(__xludf.DUMMYFUNCTION("""COMPUTED_VALUE"""),"Ancient Storm Elemental")</f>
        <v>Ancient Storm Elemental</v>
      </c>
      <c r="B491" s="1">
        <f>IFERROR(__xludf.DUMMYFUNCTION("""COMPUTED_VALUE"""),1.0)</f>
        <v>1</v>
      </c>
      <c r="C491" s="1"/>
      <c r="D491" s="1" t="str">
        <f>IFERROR(__xludf.DUMMYFUNCTION("""COMPUTED_VALUE"""),"Spirit")</f>
        <v>Spirit</v>
      </c>
      <c r="E491" s="1">
        <f>IFERROR(__xludf.DUMMYFUNCTION("""COMPUTED_VALUE"""),1010.0)</f>
        <v>1010</v>
      </c>
      <c r="F491" s="7">
        <f>IFERROR(__xludf.DUMMYFUNCTION("""COMPUTED_VALUE"""),1010.0)</f>
        <v>1010</v>
      </c>
      <c r="G491" s="1">
        <f>IFERROR(__xludf.DUMMYFUNCTION("""COMPUTED_VALUE"""),1010.0)</f>
        <v>1010</v>
      </c>
      <c r="H491" s="1">
        <f>IFERROR(__xludf.DUMMYFUNCTION("""COMPUTED_VALUE"""),10.0)</f>
        <v>10</v>
      </c>
      <c r="I491" s="1">
        <f>IFERROR(__xludf.DUMMYFUNCTION("""COMPUTED_VALUE"""),0.0)</f>
        <v>0</v>
      </c>
      <c r="J491" s="1">
        <f>IFERROR(__xludf.DUMMYFUNCTION("""COMPUTED_VALUE"""),25.0)</f>
        <v>25</v>
      </c>
      <c r="K491" s="1">
        <f>IFERROR(__xludf.DUMMYFUNCTION("""COMPUTED_VALUE"""),100.0)</f>
        <v>100</v>
      </c>
      <c r="L491" s="1">
        <f>IFERROR(__xludf.DUMMYFUNCTION("""COMPUTED_VALUE"""),100.0)</f>
        <v>100</v>
      </c>
      <c r="M491" s="1" t="str">
        <f>IFERROR(__xludf.DUMMYFUNCTION("""COMPUTED_VALUE"""),"Storm:Immune, Earth:Immune, Nature:Immune, Blood:Immune, Instant Death:Immune, Banishment:Immune, ")</f>
        <v>Storm:Immune, Earth:Immune, Nature:Immune, Blood:Immune, Instant Death:Immune, Banishment:Immune, </v>
      </c>
      <c r="N491" s="1" t="str">
        <f>IFERROR(__xludf.DUMMYFUNCTION("""COMPUTED_VALUE"""),"Spirit:50, ")</f>
        <v>Spirit:50, </v>
      </c>
      <c r="O491" s="1"/>
      <c r="P491" s="1"/>
      <c r="Q491" s="1"/>
      <c r="R491" s="1"/>
      <c r="S491" s="1"/>
      <c r="T491" s="1"/>
      <c r="U491" s="1"/>
      <c r="V491" s="1"/>
      <c r="W491" s="1"/>
      <c r="X491" s="1"/>
      <c r="Y491" s="1"/>
      <c r="Z491" s="1"/>
      <c r="AA491" s="1"/>
      <c r="AB491" s="1"/>
      <c r="AC491" s="1"/>
      <c r="AD491" s="1"/>
      <c r="AE491" s="1"/>
      <c r="AF491" s="1"/>
      <c r="AG491" s="1"/>
      <c r="AH491" s="1"/>
      <c r="AI491" s="1"/>
      <c r="AJ491" s="1" t="str">
        <f>IFERROR(__xludf.DUMMYFUNCTION("""COMPUTED_VALUE"""),"Lightning Strike")</f>
        <v>Lightning Strike</v>
      </c>
      <c r="AK491" s="1" t="str">
        <f>IFERROR(__xludf.DUMMYFUNCTION("""COMPUTED_VALUE"""),"Chain Lightning")</f>
        <v>Chain Lightning</v>
      </c>
      <c r="AL491" s="1" t="str">
        <f>IFERROR(__xludf.DUMMYFUNCTION("""COMPUTED_VALUE"""),"Shocking Touch")</f>
        <v>Shocking Touch</v>
      </c>
      <c r="AM491" s="1" t="str">
        <f>IFERROR(__xludf.DUMMYFUNCTION("""COMPUTED_VALUE"""),"Mass Charge")</f>
        <v>Mass Charge</v>
      </c>
      <c r="AN491" s="1" t="str">
        <f>IFERROR(__xludf.DUMMYFUNCTION("""COMPUTED_VALUE"""),"Tower Of Storm")</f>
        <v>Tower Of Storm</v>
      </c>
      <c r="AO491" s="1" t="str">
        <f>IFERROR(__xludf.DUMMYFUNCTION("""COMPUTED_VALUE"""),"Freezing Fog")</f>
        <v>Freezing Fog</v>
      </c>
      <c r="AP491" s="1" t="str">
        <f>IFERROR(__xludf.DUMMYFUNCTION("""COMPUTED_VALUE"""),"Gust of Wind")</f>
        <v>Gust of Wind</v>
      </c>
      <c r="AQ491" s="1" t="str">
        <f>IFERROR(__xludf.DUMMYFUNCTION("""COMPUTED_VALUE"""),"Stun Wave")</f>
        <v>Stun Wave</v>
      </c>
      <c r="AR491" s="1" t="str">
        <f>IFERROR(__xludf.DUMMYFUNCTION("""COMPUTED_VALUE"""),"Brewing Storm")</f>
        <v>Brewing Storm</v>
      </c>
      <c r="AS491" s="1" t="str">
        <f>IFERROR(__xludf.DUMMYFUNCTION("""COMPUTED_VALUE"""),"Soul Shot")</f>
        <v>Soul Shot</v>
      </c>
      <c r="AT491" s="1" t="str">
        <f>IFERROR(__xludf.DUMMYFUNCTION("""COMPUTED_VALUE"""),"Spirit Fog")</f>
        <v>Spirit Fog</v>
      </c>
      <c r="AU491" s="1" t="str">
        <f>IFERROR(__xludf.DUMMYFUNCTION("""COMPUTED_VALUE"""),"Dread")</f>
        <v>Dread</v>
      </c>
      <c r="AV491" s="1" t="str">
        <f>IFERROR(__xludf.DUMMYFUNCTION("""COMPUTED_VALUE"""),"Burning Dread")</f>
        <v>Burning Dread</v>
      </c>
      <c r="AW491" s="1" t="str">
        <f>IFERROR(__xludf.DUMMYFUNCTION("""COMPUTED_VALUE"""),"Vengeful Strike")</f>
        <v>Vengeful Strike</v>
      </c>
      <c r="AX491" s="1" t="str">
        <f>IFERROR(__xludf.DUMMYFUNCTION("""COMPUTED_VALUE"""),"Spectral Lash")</f>
        <v>Spectral Lash</v>
      </c>
      <c r="AY491" s="1" t="str">
        <f>IFERROR(__xludf.DUMMYFUNCTION("""COMPUTED_VALUE"""),"Celestial Wave")</f>
        <v>Celestial Wave</v>
      </c>
      <c r="AZ491" s="1"/>
      <c r="BA491" s="1"/>
      <c r="BB491" s="1"/>
      <c r="BC491" s="1"/>
      <c r="BD491" s="1">
        <f>IFERROR(__xludf.DUMMYFUNCTION("""COMPUTED_VALUE"""),0.0)</f>
        <v>0</v>
      </c>
      <c r="BE491" s="9">
        <f>IFERROR(__xludf.DUMMYFUNCTION("""COMPUTED_VALUE"""),10.0)</f>
        <v>10</v>
      </c>
      <c r="BF491" s="1" t="str">
        <f>IFERROR(__xludf.DUMMYFUNCTION("""COMPUTED_VALUE"""),"Greater Elemental: +5 can be added this mob's rolls
Greater Storm Elemental: X12 Storm Damage
25% chance to stun any enemy who targets this creature for 2 rounds")</f>
        <v>Greater Elemental: +5 can be added this mob's rolls
Greater Storm Elemental: X12 Storm Damage
25% chance to stun any enemy who targets this creature for 2 rounds</v>
      </c>
      <c r="BG491" s="1" t="str">
        <f>IFERROR(__xludf.DUMMYFUNCTION("""COMPUTED_VALUE"""),"Dungeon")</f>
        <v>Dungeon</v>
      </c>
      <c r="BH491" s="1" t="str">
        <f>IFERROR(__xludf.DUMMYFUNCTION("""COMPUTED_VALUE"""),"Dragonscale Island")</f>
        <v>Dragonscale Island</v>
      </c>
      <c r="BI491" s="1"/>
      <c r="BJ491" s="1"/>
      <c r="BK491" s="1"/>
      <c r="BL491" s="1" t="b">
        <f>IFERROR(__xludf.DUMMYFUNCTION("""COMPUTED_VALUE"""),FALSE)</f>
        <v>0</v>
      </c>
      <c r="BM491" s="1"/>
      <c r="BN491" s="1"/>
      <c r="BO491" s="1"/>
      <c r="BP491" s="1"/>
      <c r="BQ491" s="1"/>
    </row>
    <row r="492" ht="15.75" customHeight="1">
      <c r="A492" s="1" t="str">
        <f>IFERROR(__xludf.DUMMYFUNCTION("""COMPUTED_VALUE"""),"Lathom, Ancient Penumbral Elemental of Insanity")</f>
        <v>Lathom, Ancient Penumbral Elemental of Insanity</v>
      </c>
      <c r="B492" s="1">
        <f>IFERROR(__xludf.DUMMYFUNCTION("""COMPUTED_VALUE"""),1.0)</f>
        <v>1</v>
      </c>
      <c r="C492" s="1"/>
      <c r="D492" s="1" t="str">
        <f>IFERROR(__xludf.DUMMYFUNCTION("""COMPUTED_VALUE"""),"Spirit")</f>
        <v>Spirit</v>
      </c>
      <c r="E492" s="1">
        <f>IFERROR(__xludf.DUMMYFUNCTION("""COMPUTED_VALUE"""),1010.0)</f>
        <v>1010</v>
      </c>
      <c r="F492" s="7">
        <f>IFERROR(__xludf.DUMMYFUNCTION("""COMPUTED_VALUE"""),1010.0)</f>
        <v>1010</v>
      </c>
      <c r="G492" s="1">
        <f>IFERROR(__xludf.DUMMYFUNCTION("""COMPUTED_VALUE"""),1010.0)</f>
        <v>1010</v>
      </c>
      <c r="H492" s="1">
        <f>IFERROR(__xludf.DUMMYFUNCTION("""COMPUTED_VALUE"""),15.0)</f>
        <v>15</v>
      </c>
      <c r="I492" s="1">
        <f>IFERROR(__xludf.DUMMYFUNCTION("""COMPUTED_VALUE"""),0.0)</f>
        <v>0</v>
      </c>
      <c r="J492" s="1">
        <f>IFERROR(__xludf.DUMMYFUNCTION("""COMPUTED_VALUE"""),35.0)</f>
        <v>35</v>
      </c>
      <c r="K492" s="1">
        <f>IFERROR(__xludf.DUMMYFUNCTION("""COMPUTED_VALUE"""),100.0)</f>
        <v>100</v>
      </c>
      <c r="L492" s="1">
        <f>IFERROR(__xludf.DUMMYFUNCTION("""COMPUTED_VALUE"""),100.0)</f>
        <v>100</v>
      </c>
      <c r="M492" s="1" t="str">
        <f>IFERROR(__xludf.DUMMYFUNCTION("""COMPUTED_VALUE"""),"Fire:250, Water:250, Storm:250, Earth:250, Dark:Immune, Chaos:Immune, Nature:250, Blood:Immune, Instant Death:Immune, Banishment:Immune, ")</f>
        <v>Fire:250, Water:250, Storm:250, Earth:250, Dark:Immune, Chaos:Immune, Nature:250, Blood:Immune, Instant Death:Immune, Banishment:Immune, </v>
      </c>
      <c r="N492" s="1" t="str">
        <f>IFERROR(__xludf.DUMMYFUNCTION("""COMPUTED_VALUE"""),"Light:25, Spirit:25, Order:25, ")</f>
        <v>Light:25, Spirit:25, Order:25, </v>
      </c>
      <c r="O492" s="1"/>
      <c r="P492" s="1"/>
      <c r="Q492" s="1"/>
      <c r="R492" s="1"/>
      <c r="S492" s="1"/>
      <c r="T492" s="1"/>
      <c r="U492" s="1"/>
      <c r="V492" s="1"/>
      <c r="W492" s="1"/>
      <c r="X492" s="1"/>
      <c r="Y492" s="1"/>
      <c r="Z492" s="1"/>
      <c r="AA492" s="1"/>
      <c r="AB492" s="1"/>
      <c r="AC492" s="1"/>
      <c r="AD492" s="1"/>
      <c r="AE492" s="1"/>
      <c r="AF492" s="1"/>
      <c r="AG492" s="1"/>
      <c r="AH492" s="1"/>
      <c r="AI492" s="1"/>
      <c r="AJ492" s="1" t="str">
        <f>IFERROR(__xludf.DUMMYFUNCTION("""COMPUTED_VALUE"""),"Insanity Pulse")</f>
        <v>Insanity Pulse</v>
      </c>
      <c r="AK492" s="1" t="str">
        <f>IFERROR(__xludf.DUMMYFUNCTION("""COMPUTED_VALUE"""),"Chaos Beam")</f>
        <v>Chaos Beam</v>
      </c>
      <c r="AL492" s="1" t="str">
        <f>IFERROR(__xludf.DUMMYFUNCTION("""COMPUTED_VALUE"""),"Chaotic Implosion")</f>
        <v>Chaotic Implosion</v>
      </c>
      <c r="AM492" s="1" t="str">
        <f>IFERROR(__xludf.DUMMYFUNCTION("""COMPUTED_VALUE"""),"Chaotic Collapse")</f>
        <v>Chaotic Collapse</v>
      </c>
      <c r="AN492" s="1" t="str">
        <f>IFERROR(__xludf.DUMMYFUNCTION("""COMPUTED_VALUE"""),"Mass Chaotic Collapse")</f>
        <v>Mass Chaotic Collapse</v>
      </c>
      <c r="AO492" s="1" t="str">
        <f>IFERROR(__xludf.DUMMYFUNCTION("""COMPUTED_VALUE"""),"Dimensional Quake")</f>
        <v>Dimensional Quake</v>
      </c>
      <c r="AP492" s="1" t="str">
        <f>IFERROR(__xludf.DUMMYFUNCTION("""COMPUTED_VALUE"""),"Disruption")</f>
        <v>Disruption</v>
      </c>
      <c r="AQ492" s="1" t="str">
        <f>IFERROR(__xludf.DUMMYFUNCTION("""COMPUTED_VALUE"""),"Mad shot")</f>
        <v>Mad shot</v>
      </c>
      <c r="AR492" s="1" t="str">
        <f>IFERROR(__xludf.DUMMYFUNCTION("""COMPUTED_VALUE"""),"Deflect (Random)")</f>
        <v>Deflect (Random)</v>
      </c>
      <c r="AS492" s="1" t="str">
        <f>IFERROR(__xludf.DUMMYFUNCTION("""COMPUTED_VALUE"""),"Spirit Fog")</f>
        <v>Spirit Fog</v>
      </c>
      <c r="AT492" s="1" t="str">
        <f>IFERROR(__xludf.DUMMYFUNCTION("""COMPUTED_VALUE"""),"Dread")</f>
        <v>Dread</v>
      </c>
      <c r="AU492" s="1" t="str">
        <f>IFERROR(__xludf.DUMMYFUNCTION("""COMPUTED_VALUE"""),"Burning Dread")</f>
        <v>Burning Dread</v>
      </c>
      <c r="AV492" s="1" t="str">
        <f>IFERROR(__xludf.DUMMYFUNCTION("""COMPUTED_VALUE"""),"Vengeful Strike")</f>
        <v>Vengeful Strike</v>
      </c>
      <c r="AW492" s="1" t="str">
        <f>IFERROR(__xludf.DUMMYFUNCTION("""COMPUTED_VALUE"""),"Spectral Lash")</f>
        <v>Spectral Lash</v>
      </c>
      <c r="AX492" s="1" t="str">
        <f>IFERROR(__xludf.DUMMYFUNCTION("""COMPUTED_VALUE"""),"Mass Destruction")</f>
        <v>Mass Destruction</v>
      </c>
      <c r="AY492" s="1" t="str">
        <f>IFERROR(__xludf.DUMMYFUNCTION("""COMPUTED_VALUE"""),"Devolve")</f>
        <v>Devolve</v>
      </c>
      <c r="AZ492" s="1" t="str">
        <f>IFERROR(__xludf.DUMMYFUNCTION("""COMPUTED_VALUE"""),"Chaincast")</f>
        <v>Chaincast</v>
      </c>
      <c r="BA492" s="1" t="str">
        <f>IFERROR(__xludf.DUMMYFUNCTION("""COMPUTED_VALUE"""),"Darkest Abyss")</f>
        <v>Darkest Abyss</v>
      </c>
      <c r="BB492" s="1"/>
      <c r="BC492" s="1"/>
      <c r="BD492" s="1">
        <f>IFERROR(__xludf.DUMMYFUNCTION("""COMPUTED_VALUE"""),0.0)</f>
        <v>0</v>
      </c>
      <c r="BE492" s="9">
        <f>IFERROR(__xludf.DUMMYFUNCTION("""COMPUTED_VALUE"""),10.0)</f>
        <v>10</v>
      </c>
      <c r="BF492" s="1" t="str">
        <f>IFERROR(__xludf.DUMMYFUNCTION("""COMPUTED_VALUE"""),"Greater Elemental II: +10 can be added to this mob's rolls
Greater Chaos Elemental II: X15 Chaos Damage
35% chance to deflect any attack targetting this creature back at the attacker")</f>
        <v>Greater Elemental II: +10 can be added to this mob's rolls
Greater Chaos Elemental II: X15 Chaos Damage
35% chance to deflect any attack targetting this creature back at the attacker</v>
      </c>
      <c r="BG492" s="1" t="str">
        <f>IFERROR(__xludf.DUMMYFUNCTION("""COMPUTED_VALUE"""),"Dungeon")</f>
        <v>Dungeon</v>
      </c>
      <c r="BH492" s="1" t="str">
        <f>IFERROR(__xludf.DUMMYFUNCTION("""COMPUTED_VALUE"""),"Dragonscale Island")</f>
        <v>Dragonscale Island</v>
      </c>
      <c r="BI492" s="1"/>
      <c r="BJ492" s="1"/>
      <c r="BK492" s="1"/>
      <c r="BL492" s="1" t="b">
        <f>IFERROR(__xludf.DUMMYFUNCTION("""COMPUTED_VALUE"""),FALSE)</f>
        <v>0</v>
      </c>
      <c r="BM492" s="1"/>
      <c r="BN492" s="1"/>
      <c r="BO492" s="1"/>
      <c r="BP492" s="1"/>
      <c r="BQ492" s="1"/>
    </row>
    <row r="493" ht="15.75" customHeight="1">
      <c r="A493" s="1" t="str">
        <f>IFERROR(__xludf.DUMMYFUNCTION("""COMPUTED_VALUE"""),"Aspect of The First Dragon Keeper (Easy)")</f>
        <v>Aspect of The First Dragon Keeper (Easy)</v>
      </c>
      <c r="B493" s="1">
        <f>IFERROR(__xludf.DUMMYFUNCTION("""COMPUTED_VALUE"""),1.0)</f>
        <v>1</v>
      </c>
      <c r="C493" s="1"/>
      <c r="D493" s="1" t="str">
        <f>IFERROR(__xludf.DUMMYFUNCTION("""COMPUTED_VALUE"""),"Construct")</f>
        <v>Construct</v>
      </c>
      <c r="E493" s="1">
        <f>IFERROR(__xludf.DUMMYFUNCTION("""COMPUTED_VALUE"""),1010.0)</f>
        <v>1010</v>
      </c>
      <c r="F493" s="7">
        <f>IFERROR(__xludf.DUMMYFUNCTION("""COMPUTED_VALUE"""),1010.0)</f>
        <v>1010</v>
      </c>
      <c r="G493" s="1">
        <f>IFERROR(__xludf.DUMMYFUNCTION("""COMPUTED_VALUE"""),1010.0)</f>
        <v>1010</v>
      </c>
      <c r="H493" s="1">
        <f>IFERROR(__xludf.DUMMYFUNCTION("""COMPUTED_VALUE"""),10.0)</f>
        <v>10</v>
      </c>
      <c r="I493" s="1">
        <f>IFERROR(__xludf.DUMMYFUNCTION("""COMPUTED_VALUE"""),0.0)</f>
        <v>0</v>
      </c>
      <c r="J493" s="1">
        <f>IFERROR(__xludf.DUMMYFUNCTION("""COMPUTED_VALUE"""),0.0)</f>
        <v>0</v>
      </c>
      <c r="K493" s="1">
        <f>IFERROR(__xludf.DUMMYFUNCTION("""COMPUTED_VALUE"""),100.0)</f>
        <v>100</v>
      </c>
      <c r="L493" s="1">
        <f>IFERROR(__xludf.DUMMYFUNCTION("""COMPUTED_VALUE"""),100.0)</f>
        <v>100</v>
      </c>
      <c r="M493" s="1" t="str">
        <f>IFERROR(__xludf.DUMMYFUNCTION("""COMPUTED_VALUE"""),"Fire:250, Water:250, Storm:250, Earth:250, Light:250, Dark:250, Spirit:250, Order:250, Chaos:250, Nature:250, Stasis:250, Twilight:250, Voodoo:250, Blood:250, Delta:250, Zen:250, Time:250, Astral:250, Celestial:250, Instant Death:Immune, Banishment:Immune"&amp;", ")</f>
        <v>Fire:250, Water:250, Storm:250, Earth:250, Light:250, Dark:250, Spirit:250, Order:250, Chaos:250, Nature:250, Stasis:250, Twilight:250, Voodoo:250, Blood:250, Delta:250, Zen:250, Time:250, Astral:250, Celestial:250, Instant Death:Immune, Banishment:Immune, </v>
      </c>
      <c r="N493" s="1" t="str">
        <f>IFERROR(__xludf.DUMMYFUNCTION("""COMPUTED_VALUE"""),"")</f>
        <v/>
      </c>
      <c r="O493" s="1"/>
      <c r="P493" s="1"/>
      <c r="Q493" s="1"/>
      <c r="R493" s="1"/>
      <c r="S493" s="1"/>
      <c r="T493" s="1"/>
      <c r="U493" s="1"/>
      <c r="V493" s="1"/>
      <c r="W493" s="1"/>
      <c r="X493" s="1"/>
      <c r="Y493" s="1"/>
      <c r="Z493" s="1"/>
      <c r="AA493" s="1"/>
      <c r="AB493" s="1"/>
      <c r="AC493" s="1"/>
      <c r="AD493" s="1"/>
      <c r="AE493" s="1"/>
      <c r="AF493" s="1"/>
      <c r="AG493" s="1"/>
      <c r="AH493" s="1"/>
      <c r="AI493" s="1"/>
      <c r="AJ493" s="1" t="str">
        <f>IFERROR(__xludf.DUMMYFUNCTION("""COMPUTED_VALUE"""),"Chaincast")</f>
        <v>Chaincast</v>
      </c>
      <c r="AK493" s="1" t="str">
        <f>IFERROR(__xludf.DUMMYFUNCTION("""COMPUTED_VALUE"""),"Chaos Ward")</f>
        <v>Chaos Ward</v>
      </c>
      <c r="AL493" s="1" t="str">
        <f>IFERROR(__xludf.DUMMYFUNCTION("""COMPUTED_VALUE"""),"Conceal")</f>
        <v>Conceal</v>
      </c>
      <c r="AM493" s="1" t="str">
        <f>IFERROR(__xludf.DUMMYFUNCTION("""COMPUTED_VALUE"""),"Last Gamble")</f>
        <v>Last Gamble</v>
      </c>
      <c r="AN493" s="1" t="str">
        <f>IFERROR(__xludf.DUMMYFUNCTION("""COMPUTED_VALUE"""),"Cancel")</f>
        <v>Cancel</v>
      </c>
      <c r="AO493" s="1" t="str">
        <f>IFERROR(__xludf.DUMMYFUNCTION("""COMPUTED_VALUE"""),"Dimension Portal")</f>
        <v>Dimension Portal</v>
      </c>
      <c r="AP493" s="1" t="str">
        <f>IFERROR(__xludf.DUMMYFUNCTION("""COMPUTED_VALUE"""),"Celestial Summon")</f>
        <v>Celestial Summon</v>
      </c>
      <c r="AQ493" s="1" t="str">
        <f>IFERROR(__xludf.DUMMYFUNCTION("""COMPUTED_VALUE"""),"Devolve")</f>
        <v>Devolve</v>
      </c>
      <c r="AR493" s="1" t="str">
        <f>IFERROR(__xludf.DUMMYFUNCTION("""COMPUTED_VALUE"""),"Berserk")</f>
        <v>Berserk</v>
      </c>
      <c r="AS493" s="1"/>
      <c r="AT493" s="1"/>
      <c r="AU493" s="1"/>
      <c r="AV493" s="1"/>
      <c r="AW493" s="1"/>
      <c r="AX493" s="1"/>
      <c r="AY493" s="1"/>
      <c r="AZ493" s="1"/>
      <c r="BA493" s="1"/>
      <c r="BB493" s="1"/>
      <c r="BC493" s="1"/>
      <c r="BD493" s="1">
        <f>IFERROR(__xludf.DUMMYFUNCTION("""COMPUTED_VALUE"""),0.0)</f>
        <v>0</v>
      </c>
      <c r="BE493" s="9">
        <f>IFERROR(__xludf.DUMMYFUNCTION("""COMPUTED_VALUE"""),10.0)</f>
        <v>10</v>
      </c>
      <c r="BF493" s="1" t="str">
        <f>IFERROR(__xludf.DUMMYFUNCTION("""COMPUTED_VALUE"""),"Draconic Bond - As long as any Draconic Allies are alive, Has a 15% chance to resist all damage taken
Draconic Summoner - Can summon a number of times up to the amount of members in the party, if the previously summoned creatures are killed, can summon a"&amp;"gain up to the number of party members.
Draconic Luck MAX - +5 can be added to this mob's d20 rolls")</f>
        <v>Draconic Bond - As long as any Draconic Allies are alive, Has a 15% chance to resist all damage taken
Draconic Summoner - Can summon a number of times up to the amount of members in the party, if the previously summoned creatures are killed, can summon again up to the number of party members.
Draconic Luck MAX - +5 can be added to this mob's d20 rolls</v>
      </c>
      <c r="BG493" s="1" t="str">
        <f>IFERROR(__xludf.DUMMYFUNCTION("""COMPUTED_VALUE"""),"Dungeon")</f>
        <v>Dungeon</v>
      </c>
      <c r="BH493" s="1" t="str">
        <f>IFERROR(__xludf.DUMMYFUNCTION("""COMPUTED_VALUE"""),"Dragonscale Island")</f>
        <v>Dragonscale Island</v>
      </c>
      <c r="BI493" s="1"/>
      <c r="BJ493" s="1"/>
      <c r="BK493" s="1"/>
      <c r="BL493" s="1" t="b">
        <f>IFERROR(__xludf.DUMMYFUNCTION("""COMPUTED_VALUE"""),FALSE)</f>
        <v>0</v>
      </c>
      <c r="BM493" s="1"/>
      <c r="BN493" s="1"/>
      <c r="BO493" s="1"/>
      <c r="BP493" s="1"/>
      <c r="BQ493" s="1"/>
    </row>
    <row r="494" ht="15.75" customHeight="1">
      <c r="A494" s="1" t="str">
        <f>IFERROR(__xludf.DUMMYFUNCTION("""COMPUTED_VALUE"""),"Aspect of The First Dragon Keeper (Medium)")</f>
        <v>Aspect of The First Dragon Keeper (Medium)</v>
      </c>
      <c r="B494" s="1">
        <f>IFERROR(__xludf.DUMMYFUNCTION("""COMPUTED_VALUE"""),1.0)</f>
        <v>1</v>
      </c>
      <c r="C494" s="1"/>
      <c r="D494" s="1" t="str">
        <f>IFERROR(__xludf.DUMMYFUNCTION("""COMPUTED_VALUE"""),"Construct")</f>
        <v>Construct</v>
      </c>
      <c r="E494" s="1">
        <f>IFERROR(__xludf.DUMMYFUNCTION("""COMPUTED_VALUE"""),1010.0)</f>
        <v>1010</v>
      </c>
      <c r="F494" s="7">
        <f>IFERROR(__xludf.DUMMYFUNCTION("""COMPUTED_VALUE"""),1010.0)</f>
        <v>1010</v>
      </c>
      <c r="G494" s="1">
        <f>IFERROR(__xludf.DUMMYFUNCTION("""COMPUTED_VALUE"""),1010.0)</f>
        <v>1010</v>
      </c>
      <c r="H494" s="1">
        <f>IFERROR(__xludf.DUMMYFUNCTION("""COMPUTED_VALUE"""),10.0)</f>
        <v>10</v>
      </c>
      <c r="I494" s="1">
        <f>IFERROR(__xludf.DUMMYFUNCTION("""COMPUTED_VALUE"""),0.0)</f>
        <v>0</v>
      </c>
      <c r="J494" s="1">
        <f>IFERROR(__xludf.DUMMYFUNCTION("""COMPUTED_VALUE"""),0.0)</f>
        <v>0</v>
      </c>
      <c r="K494" s="1">
        <f>IFERROR(__xludf.DUMMYFUNCTION("""COMPUTED_VALUE"""),100.0)</f>
        <v>100</v>
      </c>
      <c r="L494" s="1">
        <f>IFERROR(__xludf.DUMMYFUNCTION("""COMPUTED_VALUE"""),100.0)</f>
        <v>100</v>
      </c>
      <c r="M494" s="1" t="str">
        <f>IFERROR(__xludf.DUMMYFUNCTION("""COMPUTED_VALUE"""),"Fire:500, Water:500, Storm:500, Earth:500, Light:500, Dark:500, Spirit:500, Order:500, Chaos:500, Nature:500, Stasis:500, Twilight:500, Voodoo:500, Blood:500, Delta:500, Zen:500, Time:500, Astral:500, Celestial:500, Instant Death:Immune, Banishment:Immune"&amp;", ")</f>
        <v>Fire:500, Water:500, Storm:500, Earth:500, Light:500, Dark:500, Spirit:500, Order:500, Chaos:500, Nature:500, Stasis:500, Twilight:500, Voodoo:500, Blood:500, Delta:500, Zen:500, Time:500, Astral:500, Celestial:500, Instant Death:Immune, Banishment:Immune, </v>
      </c>
      <c r="N494" s="1" t="str">
        <f>IFERROR(__xludf.DUMMYFUNCTION("""COMPUTED_VALUE"""),"")</f>
        <v/>
      </c>
      <c r="O494" s="1"/>
      <c r="P494" s="1"/>
      <c r="Q494" s="1"/>
      <c r="R494" s="1"/>
      <c r="S494" s="1"/>
      <c r="T494" s="1"/>
      <c r="U494" s="1"/>
      <c r="V494" s="1"/>
      <c r="W494" s="1"/>
      <c r="X494" s="1"/>
      <c r="Y494" s="1"/>
      <c r="Z494" s="1"/>
      <c r="AA494" s="1"/>
      <c r="AB494" s="1"/>
      <c r="AC494" s="1"/>
      <c r="AD494" s="1"/>
      <c r="AE494" s="1"/>
      <c r="AF494" s="1"/>
      <c r="AG494" s="1"/>
      <c r="AH494" s="1"/>
      <c r="AI494" s="1"/>
      <c r="AJ494" s="1" t="str">
        <f>IFERROR(__xludf.DUMMYFUNCTION("""COMPUTED_VALUE"""),"Chaincast")</f>
        <v>Chaincast</v>
      </c>
      <c r="AK494" s="1" t="str">
        <f>IFERROR(__xludf.DUMMYFUNCTION("""COMPUTED_VALUE"""),"Chaos Ward")</f>
        <v>Chaos Ward</v>
      </c>
      <c r="AL494" s="1" t="str">
        <f>IFERROR(__xludf.DUMMYFUNCTION("""COMPUTED_VALUE"""),"Conceal")</f>
        <v>Conceal</v>
      </c>
      <c r="AM494" s="1" t="str">
        <f>IFERROR(__xludf.DUMMYFUNCTION("""COMPUTED_VALUE"""),"Last Gamble")</f>
        <v>Last Gamble</v>
      </c>
      <c r="AN494" s="1" t="str">
        <f>IFERROR(__xludf.DUMMYFUNCTION("""COMPUTED_VALUE"""),"Cancel")</f>
        <v>Cancel</v>
      </c>
      <c r="AO494" s="1" t="str">
        <f>IFERROR(__xludf.DUMMYFUNCTION("""COMPUTED_VALUE"""),"Dimension Portal")</f>
        <v>Dimension Portal</v>
      </c>
      <c r="AP494" s="1" t="str">
        <f>IFERROR(__xludf.DUMMYFUNCTION("""COMPUTED_VALUE"""),"Celestial Summon")</f>
        <v>Celestial Summon</v>
      </c>
      <c r="AQ494" s="1" t="str">
        <f>IFERROR(__xludf.DUMMYFUNCTION("""COMPUTED_VALUE"""),"Devolve")</f>
        <v>Devolve</v>
      </c>
      <c r="AR494" s="1" t="str">
        <f>IFERROR(__xludf.DUMMYFUNCTION("""COMPUTED_VALUE"""),"Berserk")</f>
        <v>Berserk</v>
      </c>
      <c r="AS494" s="1"/>
      <c r="AT494" s="1"/>
      <c r="AU494" s="1"/>
      <c r="AV494" s="1"/>
      <c r="AW494" s="1"/>
      <c r="AX494" s="1"/>
      <c r="AY494" s="1"/>
      <c r="AZ494" s="1"/>
      <c r="BA494" s="1"/>
      <c r="BB494" s="1"/>
      <c r="BC494" s="1"/>
      <c r="BD494" s="1">
        <f>IFERROR(__xludf.DUMMYFUNCTION("""COMPUTED_VALUE"""),0.0)</f>
        <v>0</v>
      </c>
      <c r="BE494" s="9">
        <f>IFERROR(__xludf.DUMMYFUNCTION("""COMPUTED_VALUE"""),10.0)</f>
        <v>10</v>
      </c>
      <c r="BF494" s="1" t="str">
        <f>IFERROR(__xludf.DUMMYFUNCTION("""COMPUTED_VALUE"""),"Draconic Bond - As long as any Draconic Allies are alive, Has a 25% chance to resist all damage taken
Draconic Summoner - Can summon a number of times up to the amount of members in the party, if the previously summoned creatures are killed, can summon a"&amp;"gain up to the number of party members.
Draconic Luck MAX - +5 Can be added to all d20 rolls
Draconic Life - Upon Dying revives with 2 Elder Celestial Dragons (once per battle)")</f>
        <v>Draconic Bond - As long as any Draconic Allies are alive, Has a 25% chance to resist all damage taken
Draconic Summoner - Can summon a number of times up to the amount of members in the party, if the previously summoned creatures are killed, can summon again up to the number of party members.
Draconic Luck MAX - +5 Can be added to all d20 rolls
Draconic Life - Upon Dying revives with 2 Elder Celestial Dragons (once per battle)</v>
      </c>
      <c r="BG494" s="1" t="str">
        <f>IFERROR(__xludf.DUMMYFUNCTION("""COMPUTED_VALUE"""),"Dungeon")</f>
        <v>Dungeon</v>
      </c>
      <c r="BH494" s="1" t="str">
        <f>IFERROR(__xludf.DUMMYFUNCTION("""COMPUTED_VALUE"""),"Dragonscale Island")</f>
        <v>Dragonscale Island</v>
      </c>
      <c r="BI494" s="1"/>
      <c r="BJ494" s="1"/>
      <c r="BK494" s="1"/>
      <c r="BL494" s="1" t="b">
        <f>IFERROR(__xludf.DUMMYFUNCTION("""COMPUTED_VALUE"""),FALSE)</f>
        <v>0</v>
      </c>
      <c r="BM494" s="1"/>
      <c r="BN494" s="1"/>
      <c r="BO494" s="1"/>
      <c r="BP494" s="1"/>
      <c r="BQ494" s="1"/>
    </row>
    <row r="495" ht="15.75" customHeight="1">
      <c r="A495" s="1" t="str">
        <f>IFERROR(__xludf.DUMMYFUNCTION("""COMPUTED_VALUE"""),"Aspect of The First Dragon Keeper (Hard)")</f>
        <v>Aspect of The First Dragon Keeper (Hard)</v>
      </c>
      <c r="B495" s="1">
        <f>IFERROR(__xludf.DUMMYFUNCTION("""COMPUTED_VALUE"""),1.0)</f>
        <v>1</v>
      </c>
      <c r="C495" s="1"/>
      <c r="D495" s="1" t="str">
        <f>IFERROR(__xludf.DUMMYFUNCTION("""COMPUTED_VALUE"""),"Construct")</f>
        <v>Construct</v>
      </c>
      <c r="E495" s="1">
        <f>IFERROR(__xludf.DUMMYFUNCTION("""COMPUTED_VALUE"""),1010.0)</f>
        <v>1010</v>
      </c>
      <c r="F495" s="7">
        <f>IFERROR(__xludf.DUMMYFUNCTION("""COMPUTED_VALUE"""),1010.0)</f>
        <v>1010</v>
      </c>
      <c r="G495" s="1">
        <f>IFERROR(__xludf.DUMMYFUNCTION("""COMPUTED_VALUE"""),1010.0)</f>
        <v>1010</v>
      </c>
      <c r="H495" s="1">
        <f>IFERROR(__xludf.DUMMYFUNCTION("""COMPUTED_VALUE"""),10.0)</f>
        <v>10</v>
      </c>
      <c r="I495" s="1">
        <f>IFERROR(__xludf.DUMMYFUNCTION("""COMPUTED_VALUE"""),0.0)</f>
        <v>0</v>
      </c>
      <c r="J495" s="1">
        <f>IFERROR(__xludf.DUMMYFUNCTION("""COMPUTED_VALUE"""),0.0)</f>
        <v>0</v>
      </c>
      <c r="K495" s="1">
        <f>IFERROR(__xludf.DUMMYFUNCTION("""COMPUTED_VALUE"""),100.0)</f>
        <v>100</v>
      </c>
      <c r="L495" s="1">
        <f>IFERROR(__xludf.DUMMYFUNCTION("""COMPUTED_VALUE"""),100.0)</f>
        <v>100</v>
      </c>
      <c r="M495" s="1" t="str">
        <f>IFERROR(__xludf.DUMMYFUNCTION("""COMPUTED_VALUE"""),"Fire:750, Water:750, Storm:750, Earth:750, Light:750, Dark:750, Spirit:750, Order:750, Chaos:750, Nature:750, Stasis:750, Twilight:750, Voodoo:750, Blood:750, Delta:750, Zen:750, Time:750, Astral:750, Celestial:750, Instant Death:Immune, Banishment:Immune"&amp;", ")</f>
        <v>Fire:750, Water:750, Storm:750, Earth:750, Light:750, Dark:750, Spirit:750, Order:750, Chaos:750, Nature:750, Stasis:750, Twilight:750, Voodoo:750, Blood:750, Delta:750, Zen:750, Time:750, Astral:750, Celestial:750, Instant Death:Immune, Banishment:Immune, </v>
      </c>
      <c r="N495" s="1" t="str">
        <f>IFERROR(__xludf.DUMMYFUNCTION("""COMPUTED_VALUE"""),"")</f>
        <v/>
      </c>
      <c r="O495" s="1"/>
      <c r="P495" s="1"/>
      <c r="Q495" s="1"/>
      <c r="R495" s="1"/>
      <c r="S495" s="1"/>
      <c r="T495" s="1"/>
      <c r="U495" s="1"/>
      <c r="V495" s="1"/>
      <c r="W495" s="1"/>
      <c r="X495" s="1"/>
      <c r="Y495" s="1"/>
      <c r="Z495" s="1"/>
      <c r="AA495" s="1"/>
      <c r="AB495" s="1"/>
      <c r="AC495" s="1"/>
      <c r="AD495" s="1"/>
      <c r="AE495" s="1"/>
      <c r="AF495" s="1"/>
      <c r="AG495" s="1"/>
      <c r="AH495" s="1"/>
      <c r="AI495" s="1"/>
      <c r="AJ495" s="1" t="str">
        <f>IFERROR(__xludf.DUMMYFUNCTION("""COMPUTED_VALUE"""),"Chaincast")</f>
        <v>Chaincast</v>
      </c>
      <c r="AK495" s="1" t="str">
        <f>IFERROR(__xludf.DUMMYFUNCTION("""COMPUTED_VALUE"""),"Chaos Ward")</f>
        <v>Chaos Ward</v>
      </c>
      <c r="AL495" s="1" t="str">
        <f>IFERROR(__xludf.DUMMYFUNCTION("""COMPUTED_VALUE"""),"Conceal")</f>
        <v>Conceal</v>
      </c>
      <c r="AM495" s="1" t="str">
        <f>IFERROR(__xludf.DUMMYFUNCTION("""COMPUTED_VALUE"""),"Last Gamble")</f>
        <v>Last Gamble</v>
      </c>
      <c r="AN495" s="1" t="str">
        <f>IFERROR(__xludf.DUMMYFUNCTION("""COMPUTED_VALUE"""),"Cancel")</f>
        <v>Cancel</v>
      </c>
      <c r="AO495" s="1" t="str">
        <f>IFERROR(__xludf.DUMMYFUNCTION("""COMPUTED_VALUE"""),"Dimension Portal")</f>
        <v>Dimension Portal</v>
      </c>
      <c r="AP495" s="1" t="str">
        <f>IFERROR(__xludf.DUMMYFUNCTION("""COMPUTED_VALUE"""),"Celestial Summon")</f>
        <v>Celestial Summon</v>
      </c>
      <c r="AQ495" s="1" t="str">
        <f>IFERROR(__xludf.DUMMYFUNCTION("""COMPUTED_VALUE"""),"Devolve")</f>
        <v>Devolve</v>
      </c>
      <c r="AR495" s="1" t="str">
        <f>IFERROR(__xludf.DUMMYFUNCTION("""COMPUTED_VALUE"""),"Berserk")</f>
        <v>Berserk</v>
      </c>
      <c r="AS495" s="1" t="str">
        <f>IFERROR(__xludf.DUMMYFUNCTION("""COMPUTED_VALUE"""),"Cannon Bombardment")</f>
        <v>Cannon Bombardment</v>
      </c>
      <c r="AT495" s="1" t="str">
        <f>IFERROR(__xludf.DUMMYFUNCTION("""COMPUTED_VALUE"""),"Thousand Arrows")</f>
        <v>Thousand Arrows</v>
      </c>
      <c r="AU495" s="1" t="str">
        <f>IFERROR(__xludf.DUMMYFUNCTION("""COMPUTED_VALUE"""),"Bullseye")</f>
        <v>Bullseye</v>
      </c>
      <c r="AV495" s="1" t="str">
        <f>IFERROR(__xludf.DUMMYFUNCTION("""COMPUTED_VALUE"""),"Good shot")</f>
        <v>Good shot</v>
      </c>
      <c r="AW495" s="1" t="str">
        <f>IFERROR(__xludf.DUMMYFUNCTION("""COMPUTED_VALUE"""),"Accuracy Boost")</f>
        <v>Accuracy Boost</v>
      </c>
      <c r="AX495" s="1"/>
      <c r="AY495" s="1"/>
      <c r="AZ495" s="1"/>
      <c r="BA495" s="1"/>
      <c r="BB495" s="1"/>
      <c r="BC495" s="1"/>
      <c r="BD495" s="1">
        <f>IFERROR(__xludf.DUMMYFUNCTION("""COMPUTED_VALUE"""),0.0)</f>
        <v>0</v>
      </c>
      <c r="BE495" s="9">
        <f>IFERROR(__xludf.DUMMYFUNCTION("""COMPUTED_VALUE"""),10.0)</f>
        <v>10</v>
      </c>
      <c r="BF495" s="1" t="str">
        <f>IFERROR(__xludf.DUMMYFUNCTION("""COMPUTED_VALUE"""),"Draconic Bond - As long as any Draconic Allies are alive, Has a 35% chance to resist all damage taken
Draconic Summoner - Can summon a number of times up to the amount of members in the party, if the previously summoned creatures are killed, can summon a"&amp;"gain up to the number of party members.
Draconic Luck MAX - +10 Can be added to all d20 rolls
Draconic Life - Upon Dying revives with 1 Ancient Celestial Dragons (twice per battle)")</f>
        <v>Draconic Bond - As long as any Draconic Allies are alive, Has a 35% chance to resist all damage taken
Draconic Summoner - Can summon a number of times up to the amount of members in the party, if the previously summoned creatures are killed, can summon again up to the number of party members.
Draconic Luck MAX - +10 Can be added to all d20 rolls
Draconic Life - Upon Dying revives with 1 Ancient Celestial Dragons (twice per battle)</v>
      </c>
      <c r="BG495" s="1" t="str">
        <f>IFERROR(__xludf.DUMMYFUNCTION("""COMPUTED_VALUE"""),"Dungeon")</f>
        <v>Dungeon</v>
      </c>
      <c r="BH495" s="1" t="str">
        <f>IFERROR(__xludf.DUMMYFUNCTION("""COMPUTED_VALUE"""),"Dragonscale Island")</f>
        <v>Dragonscale Island</v>
      </c>
      <c r="BI495" s="1"/>
      <c r="BJ495" s="1"/>
      <c r="BK495" s="1"/>
      <c r="BL495" s="1" t="b">
        <f>IFERROR(__xludf.DUMMYFUNCTION("""COMPUTED_VALUE"""),FALSE)</f>
        <v>0</v>
      </c>
      <c r="BM495" s="1"/>
      <c r="BN495" s="1"/>
      <c r="BO495" s="1"/>
      <c r="BP495" s="1"/>
      <c r="BQ495" s="1"/>
    </row>
    <row r="496" ht="15.75" customHeight="1">
      <c r="A496" s="1" t="str">
        <f>IFERROR(__xludf.DUMMYFUNCTION("""COMPUTED_VALUE"""),"Aspect of The First Dragon Keeper (Insane)")</f>
        <v>Aspect of The First Dragon Keeper (Insane)</v>
      </c>
      <c r="B496" s="1">
        <f>IFERROR(__xludf.DUMMYFUNCTION("""COMPUTED_VALUE"""),1.0)</f>
        <v>1</v>
      </c>
      <c r="C496" s="1"/>
      <c r="D496" s="1" t="str">
        <f>IFERROR(__xludf.DUMMYFUNCTION("""COMPUTED_VALUE"""),"Construct")</f>
        <v>Construct</v>
      </c>
      <c r="E496" s="1">
        <f>IFERROR(__xludf.DUMMYFUNCTION("""COMPUTED_VALUE"""),1010.0)</f>
        <v>1010</v>
      </c>
      <c r="F496" s="7">
        <f>IFERROR(__xludf.DUMMYFUNCTION("""COMPUTED_VALUE"""),1010.0)</f>
        <v>1010</v>
      </c>
      <c r="G496" s="1">
        <f>IFERROR(__xludf.DUMMYFUNCTION("""COMPUTED_VALUE"""),1010.0)</f>
        <v>1010</v>
      </c>
      <c r="H496" s="1">
        <f>IFERROR(__xludf.DUMMYFUNCTION("""COMPUTED_VALUE"""),10.0)</f>
        <v>10</v>
      </c>
      <c r="I496" s="1">
        <f>IFERROR(__xludf.DUMMYFUNCTION("""COMPUTED_VALUE"""),0.0)</f>
        <v>0</v>
      </c>
      <c r="J496" s="1">
        <f>IFERROR(__xludf.DUMMYFUNCTION("""COMPUTED_VALUE"""),0.0)</f>
        <v>0</v>
      </c>
      <c r="K496" s="1">
        <f>IFERROR(__xludf.DUMMYFUNCTION("""COMPUTED_VALUE"""),100.0)</f>
        <v>100</v>
      </c>
      <c r="L496" s="1">
        <f>IFERROR(__xludf.DUMMYFUNCTION("""COMPUTED_VALUE"""),100.0)</f>
        <v>100</v>
      </c>
      <c r="M496" s="1" t="str">
        <f>IFERROR(__xludf.DUMMYFUNCTION("""COMPUTED_VALUE"""),"Fire:1000, Water:1000, Storm:1000, Earth:1000, Light:1000, Dark:1000, Spirit:1000, Order:1000, Chaos:1000, Nature:1000, Stasis:1000, Twilight:1000, Voodoo:1000, Blood:1000, Delta:1000, Zen:1000, Time:1000, Astral:1000, Celestial:1000, Instant Death:Immune"&amp;", Banishment:Immune, ")</f>
        <v>Fire:1000, Water:1000, Storm:1000, Earth:1000, Light:1000, Dark:1000, Spirit:1000, Order:1000, Chaos:1000, Nature:1000, Stasis:1000, Twilight:1000, Voodoo:1000, Blood:1000, Delta:1000, Zen:1000, Time:1000, Astral:1000, Celestial:1000, Instant Death:Immune, Banishment:Immune, </v>
      </c>
      <c r="N496" s="1" t="str">
        <f>IFERROR(__xludf.DUMMYFUNCTION("""COMPUTED_VALUE"""),"")</f>
        <v/>
      </c>
      <c r="O496" s="1"/>
      <c r="P496" s="1"/>
      <c r="Q496" s="1"/>
      <c r="R496" s="1"/>
      <c r="S496" s="1"/>
      <c r="T496" s="1"/>
      <c r="U496" s="1"/>
      <c r="V496" s="1"/>
      <c r="W496" s="1"/>
      <c r="X496" s="1"/>
      <c r="Y496" s="1"/>
      <c r="Z496" s="1"/>
      <c r="AA496" s="1"/>
      <c r="AB496" s="1"/>
      <c r="AC496" s="1"/>
      <c r="AD496" s="1"/>
      <c r="AE496" s="1"/>
      <c r="AF496" s="1"/>
      <c r="AG496" s="1"/>
      <c r="AH496" s="1"/>
      <c r="AI496" s="1"/>
      <c r="AJ496" s="1" t="str">
        <f>IFERROR(__xludf.DUMMYFUNCTION("""COMPUTED_VALUE"""),"Chaincast")</f>
        <v>Chaincast</v>
      </c>
      <c r="AK496" s="1" t="str">
        <f>IFERROR(__xludf.DUMMYFUNCTION("""COMPUTED_VALUE"""),"Chaos Ward")</f>
        <v>Chaos Ward</v>
      </c>
      <c r="AL496" s="1" t="str">
        <f>IFERROR(__xludf.DUMMYFUNCTION("""COMPUTED_VALUE"""),"Conceal")</f>
        <v>Conceal</v>
      </c>
      <c r="AM496" s="1" t="str">
        <f>IFERROR(__xludf.DUMMYFUNCTION("""COMPUTED_VALUE"""),"Last Gamble")</f>
        <v>Last Gamble</v>
      </c>
      <c r="AN496" s="1" t="str">
        <f>IFERROR(__xludf.DUMMYFUNCTION("""COMPUTED_VALUE"""),"Cancel")</f>
        <v>Cancel</v>
      </c>
      <c r="AO496" s="1" t="str">
        <f>IFERROR(__xludf.DUMMYFUNCTION("""COMPUTED_VALUE"""),"Dimension Portal")</f>
        <v>Dimension Portal</v>
      </c>
      <c r="AP496" s="1" t="str">
        <f>IFERROR(__xludf.DUMMYFUNCTION("""COMPUTED_VALUE"""),"Celestial Summon")</f>
        <v>Celestial Summon</v>
      </c>
      <c r="AQ496" s="1" t="str">
        <f>IFERROR(__xludf.DUMMYFUNCTION("""COMPUTED_VALUE"""),"Devolve")</f>
        <v>Devolve</v>
      </c>
      <c r="AR496" s="1" t="str">
        <f>IFERROR(__xludf.DUMMYFUNCTION("""COMPUTED_VALUE"""),"Berserk")</f>
        <v>Berserk</v>
      </c>
      <c r="AS496" s="1"/>
      <c r="AT496" s="1"/>
      <c r="AU496" s="1"/>
      <c r="AV496" s="1"/>
      <c r="AW496" s="1"/>
      <c r="AX496" s="1"/>
      <c r="AY496" s="1"/>
      <c r="AZ496" s="1"/>
      <c r="BA496" s="1"/>
      <c r="BB496" s="1"/>
      <c r="BC496" s="1"/>
      <c r="BD496" s="1">
        <f>IFERROR(__xludf.DUMMYFUNCTION("""COMPUTED_VALUE"""),0.0)</f>
        <v>0</v>
      </c>
      <c r="BE496" s="9">
        <f>IFERROR(__xludf.DUMMYFUNCTION("""COMPUTED_VALUE"""),10.0)</f>
        <v>10</v>
      </c>
      <c r="BF496" s="1" t="str">
        <f>IFERROR(__xludf.DUMMYFUNCTION("""COMPUTED_VALUE"""),"Draconic Bond - As long as any Draconic Allies are alive, Has a 60% chance to resist all damage taken
Draconic Summoner - Can summon a number of times up to the amount of members in the party, if the previously summoned creatures are killed, can summon a"&amp;"gain up to the number of party members.
Draconic Luck MAX - +15 Can be added to all d20 rolls
Draconic Life - Upon Dying revives with 2 Divine Celestial Dragons (Once per battle)")</f>
        <v>Draconic Bond - As long as any Draconic Allies are alive, Has a 60% chance to resist all damage taken
Draconic Summoner - Can summon a number of times up to the amount of members in the party, if the previously summoned creatures are killed, can summon again up to the number of party members.
Draconic Luck MAX - +15 Can be added to all d20 rolls
Draconic Life - Upon Dying revives with 2 Divine Celestial Dragons (Once per battle)</v>
      </c>
      <c r="BG496" s="1" t="str">
        <f>IFERROR(__xludf.DUMMYFUNCTION("""COMPUTED_VALUE"""),"Dungeon")</f>
        <v>Dungeon</v>
      </c>
      <c r="BH496" s="1" t="str">
        <f>IFERROR(__xludf.DUMMYFUNCTION("""COMPUTED_VALUE"""),"Dragonscale Island")</f>
        <v>Dragonscale Island</v>
      </c>
      <c r="BI496" s="1"/>
      <c r="BJ496" s="1"/>
      <c r="BK496" s="1"/>
      <c r="BL496" s="1" t="b">
        <f>IFERROR(__xludf.DUMMYFUNCTION("""COMPUTED_VALUE"""),FALSE)</f>
        <v>0</v>
      </c>
      <c r="BM496" s="1"/>
      <c r="BN496" s="1"/>
      <c r="BO496" s="1"/>
      <c r="BP496" s="1"/>
      <c r="BQ496" s="1"/>
    </row>
    <row r="497" ht="15.75" customHeight="1">
      <c r="A497" s="1" t="str">
        <f>IFERROR(__xludf.DUMMYFUNCTION("""COMPUTED_VALUE"""),"Slime Dragon")</f>
        <v>Slime Dragon</v>
      </c>
      <c r="B497" s="1">
        <f>IFERROR(__xludf.DUMMYFUNCTION("""COMPUTED_VALUE"""),1.0)</f>
        <v>1</v>
      </c>
      <c r="C497" s="1"/>
      <c r="D497" s="7" t="str">
        <f>IFERROR(__xludf.DUMMYFUNCTION("""COMPUTED_VALUE"""),"Draconic")</f>
        <v>Draconic</v>
      </c>
      <c r="E497" s="7">
        <f>IFERROR(__xludf.DUMMYFUNCTION("""COMPUTED_VALUE"""),1010.0)</f>
        <v>1010</v>
      </c>
      <c r="F497" s="7">
        <f>IFERROR(__xludf.DUMMYFUNCTION("""COMPUTED_VALUE"""),1010.0)</f>
        <v>1010</v>
      </c>
      <c r="G497" s="7">
        <f>IFERROR(__xludf.DUMMYFUNCTION("""COMPUTED_VALUE"""),1010.0)</f>
        <v>1010</v>
      </c>
      <c r="H497" s="1">
        <f>IFERROR(__xludf.DUMMYFUNCTION("""COMPUTED_VALUE"""),10.0)</f>
        <v>10</v>
      </c>
      <c r="I497" s="1">
        <f>IFERROR(__xludf.DUMMYFUNCTION("""COMPUTED_VALUE"""),0.0)</f>
        <v>0</v>
      </c>
      <c r="J497" s="1">
        <f>IFERROR(__xludf.DUMMYFUNCTION("""COMPUTED_VALUE"""),0.0)</f>
        <v>0</v>
      </c>
      <c r="K497" s="1">
        <f>IFERROR(__xludf.DUMMYFUNCTION("""COMPUTED_VALUE"""),100.0)</f>
        <v>100</v>
      </c>
      <c r="L497" s="1">
        <f>IFERROR(__xludf.DUMMYFUNCTION("""COMPUTED_VALUE"""),100.0)</f>
        <v>100</v>
      </c>
      <c r="M497" s="1" t="str">
        <f>IFERROR(__xludf.DUMMYFUNCTION("""COMPUTED_VALUE"""),"")</f>
        <v/>
      </c>
      <c r="N497" s="1" t="str">
        <f>IFERROR(__xludf.DUMMYFUNCTION("""COMPUTED_VALUE"""),"")</f>
        <v/>
      </c>
      <c r="O497" s="1"/>
      <c r="P497" s="1"/>
      <c r="Q497" s="1"/>
      <c r="R497" s="1"/>
      <c r="S497" s="1"/>
      <c r="T497" s="1"/>
      <c r="U497" s="1"/>
      <c r="V497" s="1"/>
      <c r="W497" s="1"/>
      <c r="X497" s="1"/>
      <c r="Y497" s="1"/>
      <c r="Z497" s="1"/>
      <c r="AA497" s="1"/>
      <c r="AB497" s="1"/>
      <c r="AC497" s="1"/>
      <c r="AD497" s="1"/>
      <c r="AE497" s="1"/>
      <c r="AF497" s="1"/>
      <c r="AG497" s="1"/>
      <c r="AH497" s="1"/>
      <c r="AI497" s="1"/>
      <c r="AJ497" s="1" t="str">
        <f>IFERROR(__xludf.DUMMYFUNCTION("""COMPUTED_VALUE"""),"Latch on")</f>
        <v>Latch on</v>
      </c>
      <c r="AK497" s="1" t="str">
        <f>IFERROR(__xludf.DUMMYFUNCTION("""COMPUTED_VALUE"""),"Absorb")</f>
        <v>Absorb</v>
      </c>
      <c r="AL497" s="1" t="str">
        <f>IFERROR(__xludf.DUMMYFUNCTION("""COMPUTED_VALUE"""),"Absorb Enemy ")</f>
        <v>Absorb Enemy </v>
      </c>
      <c r="AM497" s="1" t="str">
        <f>IFERROR(__xludf.DUMMYFUNCTION("""COMPUTED_VALUE"""),"Dragon's Breath")</f>
        <v>Dragon's Breath</v>
      </c>
      <c r="AN497" s="1" t="str">
        <f>IFERROR(__xludf.DUMMYFUNCTION("""COMPUTED_VALUE"""),"Bite")</f>
        <v>Bite</v>
      </c>
      <c r="AO497" s="1" t="str">
        <f>IFERROR(__xludf.DUMMYFUNCTION("""COMPUTED_VALUE"""),"Tail Smash")</f>
        <v>Tail Smash</v>
      </c>
      <c r="AP497" s="1" t="str">
        <f>IFERROR(__xludf.DUMMYFUNCTION("""COMPUTED_VALUE"""),"Claws")</f>
        <v>Claws</v>
      </c>
      <c r="AQ497" s="1" t="str">
        <f>IFERROR(__xludf.DUMMYFUNCTION("""COMPUTED_VALUE"""),"Berserk")</f>
        <v>Berserk</v>
      </c>
      <c r="AR497" s="1" t="str">
        <f>IFERROR(__xludf.DUMMYFUNCTION("""COMPUTED_VALUE"""),"Multishot")</f>
        <v>Multishot</v>
      </c>
      <c r="AS497" s="1" t="str">
        <f>IFERROR(__xludf.DUMMYFUNCTION("""COMPUTED_VALUE"""),"Draconic Scream")</f>
        <v>Draconic Scream</v>
      </c>
      <c r="AT497" s="1" t="str">
        <f>IFERROR(__xludf.DUMMYFUNCTION("""COMPUTED_VALUE"""),"Chaincast")</f>
        <v>Chaincast</v>
      </c>
      <c r="AU497" s="1"/>
      <c r="AV497" s="1"/>
      <c r="AW497" s="1"/>
      <c r="AX497" s="1"/>
      <c r="AY497" s="1"/>
      <c r="AZ497" s="1"/>
      <c r="BA497" s="1"/>
      <c r="BB497" s="1"/>
      <c r="BC497" s="1"/>
      <c r="BD497" s="1">
        <f>IFERROR(__xludf.DUMMYFUNCTION("""COMPUTED_VALUE"""),0.0)</f>
        <v>0</v>
      </c>
      <c r="BE497" s="9">
        <f>IFERROR(__xludf.DUMMYFUNCTION("""COMPUTED_VALUE"""),15.0)</f>
        <v>15</v>
      </c>
      <c r="BF497" s="1" t="str">
        <f>IFERROR(__xludf.DUMMYFUNCTION("""COMPUTED_VALUE"""),"Absorption: 25% chance to absorb a spell or attack affecting this creature
Dragons Luck: +5 can be added to this mobs d20 rolls.")</f>
        <v>Absorption: 25% chance to absorb a spell or attack affecting this creature
Dragons Luck: +5 can be added to this mobs d20 rolls.</v>
      </c>
      <c r="BG497" s="1" t="str">
        <f>IFERROR(__xludf.DUMMYFUNCTION("""COMPUTED_VALUE"""),"All")</f>
        <v>All</v>
      </c>
      <c r="BH497" s="1" t="str">
        <f>IFERROR(__xludf.DUMMYFUNCTION("""COMPUTED_VALUE"""),"Dragonscale Island")</f>
        <v>Dragonscale Island</v>
      </c>
      <c r="BI497" s="1"/>
      <c r="BJ497" s="1"/>
      <c r="BK497" s="1"/>
      <c r="BL497" s="1" t="b">
        <f>IFERROR(__xludf.DUMMYFUNCTION("""COMPUTED_VALUE"""),FALSE)</f>
        <v>0</v>
      </c>
      <c r="BM497" s="1"/>
      <c r="BN497" s="1"/>
      <c r="BO497" s="1"/>
      <c r="BP497" s="1"/>
      <c r="BQ497" s="1"/>
    </row>
    <row r="498" ht="15.75" customHeight="1">
      <c r="A498" s="1" t="str">
        <f>IFERROR(__xludf.DUMMYFUNCTION("""COMPUTED_VALUE"""),"Elder Slime Dragon")</f>
        <v>Elder Slime Dragon</v>
      </c>
      <c r="B498" s="1">
        <f>IFERROR(__xludf.DUMMYFUNCTION("""COMPUTED_VALUE"""),1.0)</f>
        <v>1</v>
      </c>
      <c r="C498" s="1"/>
      <c r="D498" s="7" t="str">
        <f>IFERROR(__xludf.DUMMYFUNCTION("""COMPUTED_VALUE"""),"Draconic")</f>
        <v>Draconic</v>
      </c>
      <c r="E498" s="7">
        <f>IFERROR(__xludf.DUMMYFUNCTION("""COMPUTED_VALUE"""),1010.0)</f>
        <v>1010</v>
      </c>
      <c r="F498" s="7">
        <f>IFERROR(__xludf.DUMMYFUNCTION("""COMPUTED_VALUE"""),1010.0)</f>
        <v>1010</v>
      </c>
      <c r="G498" s="7">
        <f>IFERROR(__xludf.DUMMYFUNCTION("""COMPUTED_VALUE"""),1010.0)</f>
        <v>1010</v>
      </c>
      <c r="H498" s="1">
        <f>IFERROR(__xludf.DUMMYFUNCTION("""COMPUTED_VALUE"""),10.0)</f>
        <v>10</v>
      </c>
      <c r="I498" s="1">
        <f>IFERROR(__xludf.DUMMYFUNCTION("""COMPUTED_VALUE"""),0.0)</f>
        <v>0</v>
      </c>
      <c r="J498" s="1">
        <f>IFERROR(__xludf.DUMMYFUNCTION("""COMPUTED_VALUE"""),0.0)</f>
        <v>0</v>
      </c>
      <c r="K498" s="1">
        <f>IFERROR(__xludf.DUMMYFUNCTION("""COMPUTED_VALUE"""),100.0)</f>
        <v>100</v>
      </c>
      <c r="L498" s="1">
        <f>IFERROR(__xludf.DUMMYFUNCTION("""COMPUTED_VALUE"""),100.0)</f>
        <v>100</v>
      </c>
      <c r="M498" s="1" t="str">
        <f>IFERROR(__xludf.DUMMYFUNCTION("""COMPUTED_VALUE"""),"")</f>
        <v/>
      </c>
      <c r="N498" s="1" t="str">
        <f>IFERROR(__xludf.DUMMYFUNCTION("""COMPUTED_VALUE"""),"")</f>
        <v/>
      </c>
      <c r="O498" s="1"/>
      <c r="P498" s="1"/>
      <c r="Q498" s="1"/>
      <c r="R498" s="1"/>
      <c r="S498" s="1"/>
      <c r="T498" s="1"/>
      <c r="U498" s="1"/>
      <c r="V498" s="1"/>
      <c r="W498" s="1"/>
      <c r="X498" s="1"/>
      <c r="Y498" s="1"/>
      <c r="Z498" s="1"/>
      <c r="AA498" s="1"/>
      <c r="AB498" s="1"/>
      <c r="AC498" s="1"/>
      <c r="AD498" s="1"/>
      <c r="AE498" s="1"/>
      <c r="AF498" s="1"/>
      <c r="AG498" s="1"/>
      <c r="AH498" s="1"/>
      <c r="AI498" s="1"/>
      <c r="AJ498" s="1" t="str">
        <f>IFERROR(__xludf.DUMMYFUNCTION("""COMPUTED_VALUE"""),"Latch on")</f>
        <v>Latch on</v>
      </c>
      <c r="AK498" s="1" t="str">
        <f>IFERROR(__xludf.DUMMYFUNCTION("""COMPUTED_VALUE"""),"Absorb")</f>
        <v>Absorb</v>
      </c>
      <c r="AL498" s="1" t="str">
        <f>IFERROR(__xludf.DUMMYFUNCTION("""COMPUTED_VALUE"""),"Absorb Enemy ")</f>
        <v>Absorb Enemy </v>
      </c>
      <c r="AM498" s="1" t="str">
        <f>IFERROR(__xludf.DUMMYFUNCTION("""COMPUTED_VALUE"""),"Greater Dragon's Breath")</f>
        <v>Greater Dragon's Breath</v>
      </c>
      <c r="AN498" s="1" t="str">
        <f>IFERROR(__xludf.DUMMYFUNCTION("""COMPUTED_VALUE"""),"Bite")</f>
        <v>Bite</v>
      </c>
      <c r="AO498" s="1" t="str">
        <f>IFERROR(__xludf.DUMMYFUNCTION("""COMPUTED_VALUE"""),"Tail Smash")</f>
        <v>Tail Smash</v>
      </c>
      <c r="AP498" s="1" t="str">
        <f>IFERROR(__xludf.DUMMYFUNCTION("""COMPUTED_VALUE"""),"Claws")</f>
        <v>Claws</v>
      </c>
      <c r="AQ498" s="1" t="str">
        <f>IFERROR(__xludf.DUMMYFUNCTION("""COMPUTED_VALUE"""),"Berserk")</f>
        <v>Berserk</v>
      </c>
      <c r="AR498" s="1" t="str">
        <f>IFERROR(__xludf.DUMMYFUNCTION("""COMPUTED_VALUE"""),"Multishot")</f>
        <v>Multishot</v>
      </c>
      <c r="AS498" s="1" t="str">
        <f>IFERROR(__xludf.DUMMYFUNCTION("""COMPUTED_VALUE"""),"Draconic Scream")</f>
        <v>Draconic Scream</v>
      </c>
      <c r="AT498" s="1" t="str">
        <f>IFERROR(__xludf.DUMMYFUNCTION("""COMPUTED_VALUE"""),"Chaincast")</f>
        <v>Chaincast</v>
      </c>
      <c r="AU498" s="1"/>
      <c r="AV498" s="1"/>
      <c r="AW498" s="1"/>
      <c r="AX498" s="1"/>
      <c r="AY498" s="1"/>
      <c r="AZ498" s="1"/>
      <c r="BA498" s="1"/>
      <c r="BB498" s="1"/>
      <c r="BC498" s="1"/>
      <c r="BD498" s="1">
        <f>IFERROR(__xludf.DUMMYFUNCTION("""COMPUTED_VALUE"""),0.0)</f>
        <v>0</v>
      </c>
      <c r="BE498" s="9">
        <f>IFERROR(__xludf.DUMMYFUNCTION("""COMPUTED_VALUE"""),15.0)</f>
        <v>15</v>
      </c>
      <c r="BF498" s="1" t="str">
        <f>IFERROR(__xludf.DUMMYFUNCTION("""COMPUTED_VALUE"""),"Absorption: 50% chance to absorb a spell or attack affecting this creature
Dragons Luck II: +10 can be added to this mobs d20 rolls.")</f>
        <v>Absorption: 50% chance to absorb a spell or attack affecting this creature
Dragons Luck II: +10 can be added to this mobs d20 rolls.</v>
      </c>
      <c r="BG498" s="1" t="str">
        <f>IFERROR(__xludf.DUMMYFUNCTION("""COMPUTED_VALUE"""),"All")</f>
        <v>All</v>
      </c>
      <c r="BH498" s="1" t="str">
        <f>IFERROR(__xludf.DUMMYFUNCTION("""COMPUTED_VALUE"""),"Dragonscale Island")</f>
        <v>Dragonscale Island</v>
      </c>
      <c r="BI498" s="1"/>
      <c r="BJ498" s="1"/>
      <c r="BK498" s="1"/>
      <c r="BL498" s="1" t="b">
        <f>IFERROR(__xludf.DUMMYFUNCTION("""COMPUTED_VALUE"""),FALSE)</f>
        <v>0</v>
      </c>
      <c r="BM498" s="1"/>
      <c r="BN498" s="1"/>
      <c r="BO498" s="1"/>
      <c r="BP498" s="1"/>
      <c r="BQ498" s="1"/>
    </row>
    <row r="499" ht="15.75" customHeight="1">
      <c r="A499" s="1" t="str">
        <f>IFERROR(__xludf.DUMMYFUNCTION("""COMPUTED_VALUE"""),"Ancient Slime Dragon")</f>
        <v>Ancient Slime Dragon</v>
      </c>
      <c r="B499" s="1">
        <f>IFERROR(__xludf.DUMMYFUNCTION("""COMPUTED_VALUE"""),1.0)</f>
        <v>1</v>
      </c>
      <c r="C499" s="1"/>
      <c r="D499" s="7" t="str">
        <f>IFERROR(__xludf.DUMMYFUNCTION("""COMPUTED_VALUE"""),"Draconic")</f>
        <v>Draconic</v>
      </c>
      <c r="E499" s="7">
        <f>IFERROR(__xludf.DUMMYFUNCTION("""COMPUTED_VALUE"""),1010.0)</f>
        <v>1010</v>
      </c>
      <c r="F499" s="7">
        <f>IFERROR(__xludf.DUMMYFUNCTION("""COMPUTED_VALUE"""),1010.0)</f>
        <v>1010</v>
      </c>
      <c r="G499" s="7">
        <f>IFERROR(__xludf.DUMMYFUNCTION("""COMPUTED_VALUE"""),1010.0)</f>
        <v>1010</v>
      </c>
      <c r="H499" s="1">
        <f>IFERROR(__xludf.DUMMYFUNCTION("""COMPUTED_VALUE"""),10.0)</f>
        <v>10</v>
      </c>
      <c r="I499" s="1">
        <f>IFERROR(__xludf.DUMMYFUNCTION("""COMPUTED_VALUE"""),0.0)</f>
        <v>0</v>
      </c>
      <c r="J499" s="1">
        <f>IFERROR(__xludf.DUMMYFUNCTION("""COMPUTED_VALUE"""),0.0)</f>
        <v>0</v>
      </c>
      <c r="K499" s="1">
        <f>IFERROR(__xludf.DUMMYFUNCTION("""COMPUTED_VALUE"""),100.0)</f>
        <v>100</v>
      </c>
      <c r="L499" s="1">
        <f>IFERROR(__xludf.DUMMYFUNCTION("""COMPUTED_VALUE"""),100.0)</f>
        <v>100</v>
      </c>
      <c r="M499" s="1" t="str">
        <f>IFERROR(__xludf.DUMMYFUNCTION("""COMPUTED_VALUE"""),"")</f>
        <v/>
      </c>
      <c r="N499" s="1" t="str">
        <f>IFERROR(__xludf.DUMMYFUNCTION("""COMPUTED_VALUE"""),"")</f>
        <v/>
      </c>
      <c r="O499" s="1"/>
      <c r="P499" s="1"/>
      <c r="Q499" s="1"/>
      <c r="R499" s="1"/>
      <c r="S499" s="1"/>
      <c r="T499" s="1"/>
      <c r="U499" s="1"/>
      <c r="V499" s="1"/>
      <c r="W499" s="1"/>
      <c r="X499" s="1"/>
      <c r="Y499" s="1"/>
      <c r="Z499" s="1"/>
      <c r="AA499" s="1"/>
      <c r="AB499" s="1"/>
      <c r="AC499" s="1"/>
      <c r="AD499" s="1"/>
      <c r="AE499" s="1"/>
      <c r="AF499" s="1"/>
      <c r="AG499" s="1"/>
      <c r="AH499" s="1"/>
      <c r="AI499" s="1"/>
      <c r="AJ499" s="1" t="str">
        <f>IFERROR(__xludf.DUMMYFUNCTION("""COMPUTED_VALUE"""),"Latch on")</f>
        <v>Latch on</v>
      </c>
      <c r="AK499" s="1" t="str">
        <f>IFERROR(__xludf.DUMMYFUNCTION("""COMPUTED_VALUE"""),"Absorb")</f>
        <v>Absorb</v>
      </c>
      <c r="AL499" s="1" t="str">
        <f>IFERROR(__xludf.DUMMYFUNCTION("""COMPUTED_VALUE"""),"Absorb Enemy ")</f>
        <v>Absorb Enemy </v>
      </c>
      <c r="AM499" s="1" t="str">
        <f>IFERROR(__xludf.DUMMYFUNCTION("""COMPUTED_VALUE"""),"Greater Dragon's Breath")</f>
        <v>Greater Dragon's Breath</v>
      </c>
      <c r="AN499" s="1" t="str">
        <f>IFERROR(__xludf.DUMMYFUNCTION("""COMPUTED_VALUE"""),"Bite")</f>
        <v>Bite</v>
      </c>
      <c r="AO499" s="1" t="str">
        <f>IFERROR(__xludf.DUMMYFUNCTION("""COMPUTED_VALUE"""),"Tail Smash")</f>
        <v>Tail Smash</v>
      </c>
      <c r="AP499" s="1" t="str">
        <f>IFERROR(__xludf.DUMMYFUNCTION("""COMPUTED_VALUE"""),"Claws")</f>
        <v>Claws</v>
      </c>
      <c r="AQ499" s="1" t="str">
        <f>IFERROR(__xludf.DUMMYFUNCTION("""COMPUTED_VALUE"""),"Berserk")</f>
        <v>Berserk</v>
      </c>
      <c r="AR499" s="1" t="str">
        <f>IFERROR(__xludf.DUMMYFUNCTION("""COMPUTED_VALUE"""),"Multishot")</f>
        <v>Multishot</v>
      </c>
      <c r="AS499" s="1" t="str">
        <f>IFERROR(__xludf.DUMMYFUNCTION("""COMPUTED_VALUE"""),"Draconic Scream")</f>
        <v>Draconic Scream</v>
      </c>
      <c r="AT499" s="1" t="str">
        <f>IFERROR(__xludf.DUMMYFUNCTION("""COMPUTED_VALUE"""),"Chaincast")</f>
        <v>Chaincast</v>
      </c>
      <c r="AU499" s="1"/>
      <c r="AV499" s="1"/>
      <c r="AW499" s="1"/>
      <c r="AX499" s="1"/>
      <c r="AY499" s="1"/>
      <c r="AZ499" s="1"/>
      <c r="BA499" s="1"/>
      <c r="BB499" s="1"/>
      <c r="BC499" s="1"/>
      <c r="BD499" s="1">
        <f>IFERROR(__xludf.DUMMYFUNCTION("""COMPUTED_VALUE"""),0.0)</f>
        <v>0</v>
      </c>
      <c r="BE499" s="9">
        <f>IFERROR(__xludf.DUMMYFUNCTION("""COMPUTED_VALUE"""),15.0)</f>
        <v>15</v>
      </c>
      <c r="BF499" s="1" t="str">
        <f>IFERROR(__xludf.DUMMYFUNCTION("""COMPUTED_VALUE"""),"Absorption: 75% chance to absorb a spell or attack affecting this creature
Dragons Luck II: +10 can be added to this mobs d20 rolls.")</f>
        <v>Absorption: 75% chance to absorb a spell or attack affecting this creature
Dragons Luck II: +10 can be added to this mobs d20 rolls.</v>
      </c>
      <c r="BG499" s="1" t="str">
        <f>IFERROR(__xludf.DUMMYFUNCTION("""COMPUTED_VALUE"""),"All")</f>
        <v>All</v>
      </c>
      <c r="BH499" s="1" t="str">
        <f>IFERROR(__xludf.DUMMYFUNCTION("""COMPUTED_VALUE"""),"Dragonscale Island")</f>
        <v>Dragonscale Island</v>
      </c>
      <c r="BI499" s="1"/>
      <c r="BJ499" s="1"/>
      <c r="BK499" s="1"/>
      <c r="BL499" s="1" t="b">
        <f>IFERROR(__xludf.DUMMYFUNCTION("""COMPUTED_VALUE"""),FALSE)</f>
        <v>0</v>
      </c>
      <c r="BM499" s="1"/>
      <c r="BN499" s="1"/>
      <c r="BO499" s="1"/>
      <c r="BP499" s="1"/>
      <c r="BQ499" s="1"/>
    </row>
    <row r="500" ht="15.75" customHeight="1">
      <c r="A500" s="1" t="str">
        <f>IFERROR(__xludf.DUMMYFUNCTION("""COMPUTED_VALUE"""),"Divine Slime Dragon")</f>
        <v>Divine Slime Dragon</v>
      </c>
      <c r="B500" s="1">
        <f>IFERROR(__xludf.DUMMYFUNCTION("""COMPUTED_VALUE"""),1.0)</f>
        <v>1</v>
      </c>
      <c r="C500" s="1"/>
      <c r="D500" s="7" t="str">
        <f>IFERROR(__xludf.DUMMYFUNCTION("""COMPUTED_VALUE"""),"Draconic")</f>
        <v>Draconic</v>
      </c>
      <c r="E500" s="7">
        <f>IFERROR(__xludf.DUMMYFUNCTION("""COMPUTED_VALUE"""),1010.0)</f>
        <v>1010</v>
      </c>
      <c r="F500" s="7">
        <f>IFERROR(__xludf.DUMMYFUNCTION("""COMPUTED_VALUE"""),1010.0)</f>
        <v>1010</v>
      </c>
      <c r="G500" s="7">
        <f>IFERROR(__xludf.DUMMYFUNCTION("""COMPUTED_VALUE"""),1010.0)</f>
        <v>1010</v>
      </c>
      <c r="H500" s="1">
        <f>IFERROR(__xludf.DUMMYFUNCTION("""COMPUTED_VALUE"""),10.0)</f>
        <v>10</v>
      </c>
      <c r="I500" s="1">
        <f>IFERROR(__xludf.DUMMYFUNCTION("""COMPUTED_VALUE"""),0.0)</f>
        <v>0</v>
      </c>
      <c r="J500" s="1">
        <f>IFERROR(__xludf.DUMMYFUNCTION("""COMPUTED_VALUE"""),0.0)</f>
        <v>0</v>
      </c>
      <c r="K500" s="1">
        <f>IFERROR(__xludf.DUMMYFUNCTION("""COMPUTED_VALUE"""),100.0)</f>
        <v>100</v>
      </c>
      <c r="L500" s="1">
        <f>IFERROR(__xludf.DUMMYFUNCTION("""COMPUTED_VALUE"""),100.0)</f>
        <v>100</v>
      </c>
      <c r="M500" s="1" t="str">
        <f>IFERROR(__xludf.DUMMYFUNCTION("""COMPUTED_VALUE"""),"")</f>
        <v/>
      </c>
      <c r="N500" s="1" t="str">
        <f>IFERROR(__xludf.DUMMYFUNCTION("""COMPUTED_VALUE"""),"")</f>
        <v/>
      </c>
      <c r="O500" s="1"/>
      <c r="P500" s="1"/>
      <c r="Q500" s="1"/>
      <c r="R500" s="1"/>
      <c r="S500" s="1"/>
      <c r="T500" s="1"/>
      <c r="U500" s="1"/>
      <c r="V500" s="1"/>
      <c r="W500" s="1"/>
      <c r="X500" s="1"/>
      <c r="Y500" s="1"/>
      <c r="Z500" s="1"/>
      <c r="AA500" s="1"/>
      <c r="AB500" s="1"/>
      <c r="AC500" s="1"/>
      <c r="AD500" s="1"/>
      <c r="AE500" s="1"/>
      <c r="AF500" s="1"/>
      <c r="AG500" s="1"/>
      <c r="AH500" s="1"/>
      <c r="AI500" s="1"/>
      <c r="AJ500" s="1" t="str">
        <f>IFERROR(__xludf.DUMMYFUNCTION("""COMPUTED_VALUE"""),"Latch on")</f>
        <v>Latch on</v>
      </c>
      <c r="AK500" s="1" t="str">
        <f>IFERROR(__xludf.DUMMYFUNCTION("""COMPUTED_VALUE"""),"Absorb")</f>
        <v>Absorb</v>
      </c>
      <c r="AL500" s="1" t="str">
        <f>IFERROR(__xludf.DUMMYFUNCTION("""COMPUTED_VALUE"""),"Absorb Enemy ")</f>
        <v>Absorb Enemy </v>
      </c>
      <c r="AM500" s="1" t="str">
        <f>IFERROR(__xludf.DUMMYFUNCTION("""COMPUTED_VALUE"""),"Divine Dragon's Breath")</f>
        <v>Divine Dragon's Breath</v>
      </c>
      <c r="AN500" s="1" t="str">
        <f>IFERROR(__xludf.DUMMYFUNCTION("""COMPUTED_VALUE"""),"Bite")</f>
        <v>Bite</v>
      </c>
      <c r="AO500" s="1" t="str">
        <f>IFERROR(__xludf.DUMMYFUNCTION("""COMPUTED_VALUE"""),"Tail Smash")</f>
        <v>Tail Smash</v>
      </c>
      <c r="AP500" s="1" t="str">
        <f>IFERROR(__xludf.DUMMYFUNCTION("""COMPUTED_VALUE"""),"Claws")</f>
        <v>Claws</v>
      </c>
      <c r="AQ500" s="1" t="str">
        <f>IFERROR(__xludf.DUMMYFUNCTION("""COMPUTED_VALUE"""),"Berserk")</f>
        <v>Berserk</v>
      </c>
      <c r="AR500" s="1" t="str">
        <f>IFERROR(__xludf.DUMMYFUNCTION("""COMPUTED_VALUE"""),"Multishot")</f>
        <v>Multishot</v>
      </c>
      <c r="AS500" s="1" t="str">
        <f>IFERROR(__xludf.DUMMYFUNCTION("""COMPUTED_VALUE"""),"Draconic Scream")</f>
        <v>Draconic Scream</v>
      </c>
      <c r="AT500" s="1" t="str">
        <f>IFERROR(__xludf.DUMMYFUNCTION("""COMPUTED_VALUE"""),"Chaincast")</f>
        <v>Chaincast</v>
      </c>
      <c r="AU500" s="1"/>
      <c r="AV500" s="1"/>
      <c r="AW500" s="1"/>
      <c r="AX500" s="1"/>
      <c r="AY500" s="1"/>
      <c r="AZ500" s="1"/>
      <c r="BA500" s="1"/>
      <c r="BB500" s="1"/>
      <c r="BC500" s="1"/>
      <c r="BD500" s="1">
        <f>IFERROR(__xludf.DUMMYFUNCTION("""COMPUTED_VALUE"""),0.0)</f>
        <v>0</v>
      </c>
      <c r="BE500" s="9">
        <f>IFERROR(__xludf.DUMMYFUNCTION("""COMPUTED_VALUE"""),15.0)</f>
        <v>15</v>
      </c>
      <c r="BF500" s="1" t="str">
        <f>IFERROR(__xludf.DUMMYFUNCTION("""COMPUTED_VALUE"""),"Absorption: 100% chance to absorb a spell or attack affecting this creature
Dragons Luck II: +10 can be added to this mobs d20 rolls.")</f>
        <v>Absorption: 100% chance to absorb a spell or attack affecting this creature
Dragons Luck II: +10 can be added to this mobs d20 rolls.</v>
      </c>
      <c r="BG500" s="1" t="str">
        <f>IFERROR(__xludf.DUMMYFUNCTION("""COMPUTED_VALUE"""),"All")</f>
        <v>All</v>
      </c>
      <c r="BH500" s="1" t="str">
        <f>IFERROR(__xludf.DUMMYFUNCTION("""COMPUTED_VALUE"""),"Dragonscale Island")</f>
        <v>Dragonscale Island</v>
      </c>
      <c r="BI500" s="1"/>
      <c r="BJ500" s="1"/>
      <c r="BK500" s="1"/>
      <c r="BL500" s="1" t="b">
        <f>IFERROR(__xludf.DUMMYFUNCTION("""COMPUTED_VALUE"""),FALSE)</f>
        <v>0</v>
      </c>
      <c r="BM500" s="1"/>
      <c r="BN500" s="1"/>
      <c r="BO500" s="1"/>
      <c r="BP500" s="1"/>
      <c r="BQ500" s="1"/>
    </row>
    <row r="501" ht="15.75" customHeight="1">
      <c r="A501" s="1" t="str">
        <f>IFERROR(__xludf.DUMMYFUNCTION("""COMPUTED_VALUE"""),"Slime Wyrm")</f>
        <v>Slime Wyrm</v>
      </c>
      <c r="B501" s="1">
        <f>IFERROR(__xludf.DUMMYFUNCTION("""COMPUTED_VALUE"""),1.0)</f>
        <v>1</v>
      </c>
      <c r="C501" s="1"/>
      <c r="D501" s="7" t="str">
        <f>IFERROR(__xludf.DUMMYFUNCTION("""COMPUTED_VALUE"""),"Draconic")</f>
        <v>Draconic</v>
      </c>
      <c r="E501" s="7">
        <f>IFERROR(__xludf.DUMMYFUNCTION("""COMPUTED_VALUE"""),1010.0)</f>
        <v>1010</v>
      </c>
      <c r="F501" s="7">
        <f>IFERROR(__xludf.DUMMYFUNCTION("""COMPUTED_VALUE"""),1010.0)</f>
        <v>1010</v>
      </c>
      <c r="G501" s="7">
        <f>IFERROR(__xludf.DUMMYFUNCTION("""COMPUTED_VALUE"""),1010.0)</f>
        <v>1010</v>
      </c>
      <c r="H501" s="1">
        <f>IFERROR(__xludf.DUMMYFUNCTION("""COMPUTED_VALUE"""),10.0)</f>
        <v>10</v>
      </c>
      <c r="I501" s="1">
        <f>IFERROR(__xludf.DUMMYFUNCTION("""COMPUTED_VALUE"""),0.0)</f>
        <v>0</v>
      </c>
      <c r="J501" s="1">
        <f>IFERROR(__xludf.DUMMYFUNCTION("""COMPUTED_VALUE"""),0.0)</f>
        <v>0</v>
      </c>
      <c r="K501" s="1">
        <f>IFERROR(__xludf.DUMMYFUNCTION("""COMPUTED_VALUE"""),100.0)</f>
        <v>100</v>
      </c>
      <c r="L501" s="1">
        <f>IFERROR(__xludf.DUMMYFUNCTION("""COMPUTED_VALUE"""),100.0)</f>
        <v>100</v>
      </c>
      <c r="M501" s="1" t="str">
        <f>IFERROR(__xludf.DUMMYFUNCTION("""COMPUTED_VALUE"""),"")</f>
        <v/>
      </c>
      <c r="N501" s="1" t="str">
        <f>IFERROR(__xludf.DUMMYFUNCTION("""COMPUTED_VALUE"""),"")</f>
        <v/>
      </c>
      <c r="O501" s="1"/>
      <c r="P501" s="1"/>
      <c r="Q501" s="1"/>
      <c r="R501" s="1"/>
      <c r="S501" s="1"/>
      <c r="T501" s="1"/>
      <c r="U501" s="1"/>
      <c r="V501" s="1"/>
      <c r="W501" s="1"/>
      <c r="X501" s="1"/>
      <c r="Y501" s="1"/>
      <c r="Z501" s="1"/>
      <c r="AA501" s="1"/>
      <c r="AB501" s="1"/>
      <c r="AC501" s="1"/>
      <c r="AD501" s="1"/>
      <c r="AE501" s="1"/>
      <c r="AF501" s="1"/>
      <c r="AG501" s="1"/>
      <c r="AH501" s="1"/>
      <c r="AI501" s="1"/>
      <c r="AJ501" s="1" t="str">
        <f>IFERROR(__xludf.DUMMYFUNCTION("""COMPUTED_VALUE"""),"Latch on")</f>
        <v>Latch on</v>
      </c>
      <c r="AK501" s="1" t="str">
        <f>IFERROR(__xludf.DUMMYFUNCTION("""COMPUTED_VALUE"""),"Absorb")</f>
        <v>Absorb</v>
      </c>
      <c r="AL501" s="1" t="str">
        <f>IFERROR(__xludf.DUMMYFUNCTION("""COMPUTED_VALUE"""),"Absorb Enemy ")</f>
        <v>Absorb Enemy </v>
      </c>
      <c r="AM501" s="1" t="str">
        <f>IFERROR(__xludf.DUMMYFUNCTION("""COMPUTED_VALUE"""),"Dragon's Breath")</f>
        <v>Dragon's Breath</v>
      </c>
      <c r="AN501" s="1" t="str">
        <f>IFERROR(__xludf.DUMMYFUNCTION("""COMPUTED_VALUE"""),"Bite")</f>
        <v>Bite</v>
      </c>
      <c r="AO501" s="1" t="str">
        <f>IFERROR(__xludf.DUMMYFUNCTION("""COMPUTED_VALUE"""),"Tail Smash")</f>
        <v>Tail Smash</v>
      </c>
      <c r="AP501" s="1" t="str">
        <f>IFERROR(__xludf.DUMMYFUNCTION("""COMPUTED_VALUE"""),"Claws")</f>
        <v>Claws</v>
      </c>
      <c r="AQ501" s="1" t="str">
        <f>IFERROR(__xludf.DUMMYFUNCTION("""COMPUTED_VALUE"""),"Berserk")</f>
        <v>Berserk</v>
      </c>
      <c r="AR501" s="1" t="str">
        <f>IFERROR(__xludf.DUMMYFUNCTION("""COMPUTED_VALUE"""),"Multishot")</f>
        <v>Multishot</v>
      </c>
      <c r="AS501" s="1" t="str">
        <f>IFERROR(__xludf.DUMMYFUNCTION("""COMPUTED_VALUE"""),"Draconic Scream")</f>
        <v>Draconic Scream</v>
      </c>
      <c r="AT501" s="1" t="str">
        <f>IFERROR(__xludf.DUMMYFUNCTION("""COMPUTED_VALUE"""),"Chaincast")</f>
        <v>Chaincast</v>
      </c>
      <c r="AU501" s="1"/>
      <c r="AV501" s="1"/>
      <c r="AW501" s="1"/>
      <c r="AX501" s="1"/>
      <c r="AY501" s="1"/>
      <c r="AZ501" s="1"/>
      <c r="BA501" s="1"/>
      <c r="BB501" s="1"/>
      <c r="BC501" s="1"/>
      <c r="BD501" s="1">
        <f>IFERROR(__xludf.DUMMYFUNCTION("""COMPUTED_VALUE"""),0.0)</f>
        <v>0</v>
      </c>
      <c r="BE501" s="9">
        <f>IFERROR(__xludf.DUMMYFUNCTION("""COMPUTED_VALUE"""),15.0)</f>
        <v>15</v>
      </c>
      <c r="BF501" s="1" t="str">
        <f>IFERROR(__xludf.DUMMYFUNCTION("""COMPUTED_VALUE"""),"Absorption: 15% chance to absorb a spell or attack affecting this creature")</f>
        <v>Absorption: 15% chance to absorb a spell or attack affecting this creature</v>
      </c>
      <c r="BG501" s="1" t="str">
        <f>IFERROR(__xludf.DUMMYFUNCTION("""COMPUTED_VALUE"""),"All")</f>
        <v>All</v>
      </c>
      <c r="BH501" s="1" t="str">
        <f>IFERROR(__xludf.DUMMYFUNCTION("""COMPUTED_VALUE"""),"Dragonscale Island")</f>
        <v>Dragonscale Island</v>
      </c>
      <c r="BI501" s="1"/>
      <c r="BJ501" s="1"/>
      <c r="BK501" s="1"/>
      <c r="BL501" s="1" t="b">
        <f>IFERROR(__xludf.DUMMYFUNCTION("""COMPUTED_VALUE"""),FALSE)</f>
        <v>0</v>
      </c>
      <c r="BM501" s="1"/>
      <c r="BN501" s="1"/>
      <c r="BO501" s="1"/>
      <c r="BP501" s="1"/>
      <c r="BQ501" s="1"/>
    </row>
    <row r="502" ht="15.75" customHeight="1">
      <c r="A502" s="1" t="str">
        <f>IFERROR(__xludf.DUMMYFUNCTION("""COMPUTED_VALUE"""),"Dragonian Inmate")</f>
        <v>Dragonian Inmate</v>
      </c>
      <c r="B502" s="1">
        <f>IFERROR(__xludf.DUMMYFUNCTION("""COMPUTED_VALUE"""),1.0)</f>
        <v>1</v>
      </c>
      <c r="C502" s="1"/>
      <c r="D502" s="1" t="str">
        <f>IFERROR(__xludf.DUMMYFUNCTION("""COMPUTED_VALUE"""),"Draconic")</f>
        <v>Draconic</v>
      </c>
      <c r="E502" s="1">
        <f>IFERROR(__xludf.DUMMYFUNCTION("""COMPUTED_VALUE"""),1010.0)</f>
        <v>1010</v>
      </c>
      <c r="F502" s="7">
        <f>IFERROR(__xludf.DUMMYFUNCTION("""COMPUTED_VALUE"""),1010.0)</f>
        <v>1010</v>
      </c>
      <c r="G502" s="1">
        <f>IFERROR(__xludf.DUMMYFUNCTION("""COMPUTED_VALUE"""),1010.0)</f>
        <v>1010</v>
      </c>
      <c r="H502" s="1">
        <f>IFERROR(__xludf.DUMMYFUNCTION("""COMPUTED_VALUE"""),20.0)</f>
        <v>20</v>
      </c>
      <c r="I502" s="1">
        <f>IFERROR(__xludf.DUMMYFUNCTION("""COMPUTED_VALUE"""),0.0)</f>
        <v>0</v>
      </c>
      <c r="J502" s="1">
        <f>IFERROR(__xludf.DUMMYFUNCTION("""COMPUTED_VALUE"""),0.0)</f>
        <v>0</v>
      </c>
      <c r="K502" s="1">
        <f>IFERROR(__xludf.DUMMYFUNCTION("""COMPUTED_VALUE"""),100.0)</f>
        <v>100</v>
      </c>
      <c r="L502" s="1">
        <f>IFERROR(__xludf.DUMMYFUNCTION("""COMPUTED_VALUE"""),100.0)</f>
        <v>100</v>
      </c>
      <c r="M502" s="1" t="str">
        <f>IFERROR(__xludf.DUMMYFUNCTION("""COMPUTED_VALUE"""),"Order:100, ")</f>
        <v>Order:100, </v>
      </c>
      <c r="N502" s="1" t="str">
        <f>IFERROR(__xludf.DUMMYFUNCTION("""COMPUTED_VALUE"""),"Order:100, Stasis:100, ")</f>
        <v>Order:100, Stasis:100, </v>
      </c>
      <c r="O502" s="1" t="str">
        <f>IFERROR(__xludf.DUMMYFUNCTION("""COMPUTED_VALUE"""),"Inmate's Cap")</f>
        <v>Inmate's Cap</v>
      </c>
      <c r="P502" s="1" t="str">
        <f>IFERROR(__xludf.DUMMYFUNCTION("""COMPUTED_VALUE"""),"Confining Collar")</f>
        <v>Confining Collar</v>
      </c>
      <c r="Q502" s="1"/>
      <c r="R502" s="1"/>
      <c r="S502" s="1"/>
      <c r="T502" s="1" t="str">
        <f>IFERROR(__xludf.DUMMYFUNCTION("""COMPUTED_VALUE"""),"Inmate's Shirt")</f>
        <v>Inmate's Shirt</v>
      </c>
      <c r="U502" s="1"/>
      <c r="V502" s="1" t="str">
        <f>IFERROR(__xludf.DUMMYFUNCTION("""COMPUTED_VALUE"""),"Shiv")</f>
        <v>Shiv</v>
      </c>
      <c r="W502" s="1"/>
      <c r="X502" s="1"/>
      <c r="Y502" s="1"/>
      <c r="Z502" s="1"/>
      <c r="AA502" s="1"/>
      <c r="AB502" s="1"/>
      <c r="AC502" s="1"/>
      <c r="AD502" s="1"/>
      <c r="AE502" s="1"/>
      <c r="AF502" s="1"/>
      <c r="AG502" s="1"/>
      <c r="AH502" s="1" t="str">
        <f>IFERROR(__xludf.DUMMYFUNCTION("""COMPUTED_VALUE"""),"Inmate's Pants")</f>
        <v>Inmate's Pants</v>
      </c>
      <c r="AI502" s="1"/>
      <c r="AJ502" s="1" t="str">
        <f>IFERROR(__xludf.DUMMYFUNCTION("""COMPUTED_VALUE"""),"Berserk")</f>
        <v>Berserk</v>
      </c>
      <c r="AK502" s="1" t="str">
        <f>IFERROR(__xludf.DUMMYFUNCTION("""COMPUTED_VALUE"""),"Heighten Reflexes")</f>
        <v>Heighten Reflexes</v>
      </c>
      <c r="AL502" s="1" t="str">
        <f>IFERROR(__xludf.DUMMYFUNCTION("""COMPUTED_VALUE"""),"Increase")</f>
        <v>Increase</v>
      </c>
      <c r="AM502" s="1" t="str">
        <f>IFERROR(__xludf.DUMMYFUNCTION("""COMPUTED_VALUE"""),"Taunt (Mob)")</f>
        <v>Taunt (Mob)</v>
      </c>
      <c r="AN502" s="1" t="str">
        <f>IFERROR(__xludf.DUMMYFUNCTION("""COMPUTED_VALUE"""),"Melee Boost")</f>
        <v>Melee Boost</v>
      </c>
      <c r="AO502" s="1" t="str">
        <f>IFERROR(__xludf.DUMMYFUNCTION("""COMPUTED_VALUE"""),"Go For The Vitals")</f>
        <v>Go For The Vitals</v>
      </c>
      <c r="AP502" s="1" t="str">
        <f>IFERROR(__xludf.DUMMYFUNCTION("""COMPUTED_VALUE"""),"Marauder's Rage")</f>
        <v>Marauder's Rage</v>
      </c>
      <c r="AQ502" s="1" t="str">
        <f>IFERROR(__xludf.DUMMYFUNCTION("""COMPUTED_VALUE"""),"Defender's Tenacity")</f>
        <v>Defender's Tenacity</v>
      </c>
      <c r="AR502" s="1" t="str">
        <f>IFERROR(__xludf.DUMMYFUNCTION("""COMPUTED_VALUE"""),"Protection")</f>
        <v>Protection</v>
      </c>
      <c r="AS502" s="1"/>
      <c r="AT502" s="1"/>
      <c r="AU502" s="1"/>
      <c r="AV502" s="1"/>
      <c r="AW502" s="1"/>
      <c r="AX502" s="1"/>
      <c r="AY502" s="1"/>
      <c r="AZ502" s="1"/>
      <c r="BA502" s="1"/>
      <c r="BB502" s="1"/>
      <c r="BC502" s="1"/>
      <c r="BD502" s="1">
        <f>IFERROR(__xludf.DUMMYFUNCTION("""COMPUTED_VALUE"""),0.0)</f>
        <v>0</v>
      </c>
      <c r="BE502" s="9">
        <f>IFERROR(__xludf.DUMMYFUNCTION("""COMPUTED_VALUE"""),15.0)</f>
        <v>15</v>
      </c>
      <c r="BF502" s="1" t="str">
        <f>IFERROR(__xludf.DUMMYFUNCTION("""COMPUTED_VALUE"""),"25% chance to resist arrest")</f>
        <v>25% chance to resist arrest</v>
      </c>
      <c r="BG502" s="1" t="str">
        <f>IFERROR(__xludf.DUMMYFUNCTION("""COMPUTED_VALUE"""),"Dungeon")</f>
        <v>Dungeon</v>
      </c>
      <c r="BH502" s="1" t="str">
        <f>IFERROR(__xludf.DUMMYFUNCTION("""COMPUTED_VALUE"""),"Dragonscale Island")</f>
        <v>Dragonscale Island</v>
      </c>
      <c r="BI502" s="1"/>
      <c r="BJ502" s="1"/>
      <c r="BK502" s="1"/>
      <c r="BL502" s="1" t="b">
        <f>IFERROR(__xludf.DUMMYFUNCTION("""COMPUTED_VALUE"""),FALSE)</f>
        <v>0</v>
      </c>
      <c r="BM502" s="1"/>
      <c r="BN502" s="1"/>
      <c r="BO502" s="1"/>
      <c r="BP502" s="1"/>
      <c r="BQ502" s="1"/>
    </row>
    <row r="503" ht="15.75" customHeight="1">
      <c r="A503" s="1" t="str">
        <f>IFERROR(__xludf.DUMMYFUNCTION("""COMPUTED_VALUE"""),"Dragonian Warden")</f>
        <v>Dragonian Warden</v>
      </c>
      <c r="B503" s="1">
        <f>IFERROR(__xludf.DUMMYFUNCTION("""COMPUTED_VALUE"""),1.0)</f>
        <v>1</v>
      </c>
      <c r="C503" s="1"/>
      <c r="D503" s="1" t="str">
        <f>IFERROR(__xludf.DUMMYFUNCTION("""COMPUTED_VALUE"""),"Draconic")</f>
        <v>Draconic</v>
      </c>
      <c r="E503" s="1">
        <f>IFERROR(__xludf.DUMMYFUNCTION("""COMPUTED_VALUE"""),1010.0)</f>
        <v>1010</v>
      </c>
      <c r="F503" s="7">
        <f>IFERROR(__xludf.DUMMYFUNCTION("""COMPUTED_VALUE"""),1010.0)</f>
        <v>1010</v>
      </c>
      <c r="G503" s="1">
        <f>IFERROR(__xludf.DUMMYFUNCTION("""COMPUTED_VALUE"""),1010.0)</f>
        <v>1010</v>
      </c>
      <c r="H503" s="1">
        <f>IFERROR(__xludf.DUMMYFUNCTION("""COMPUTED_VALUE"""),10.0)</f>
        <v>10</v>
      </c>
      <c r="I503" s="1">
        <f>IFERROR(__xludf.DUMMYFUNCTION("""COMPUTED_VALUE"""),0.0)</f>
        <v>0</v>
      </c>
      <c r="J503" s="1">
        <f>IFERROR(__xludf.DUMMYFUNCTION("""COMPUTED_VALUE"""),0.0)</f>
        <v>0</v>
      </c>
      <c r="K503" s="1">
        <f>IFERROR(__xludf.DUMMYFUNCTION("""COMPUTED_VALUE"""),100.0)</f>
        <v>100</v>
      </c>
      <c r="L503" s="1">
        <f>IFERROR(__xludf.DUMMYFUNCTION("""COMPUTED_VALUE"""),100.0)</f>
        <v>100</v>
      </c>
      <c r="M503" s="1" t="str">
        <f>IFERROR(__xludf.DUMMYFUNCTION("""COMPUTED_VALUE"""),"Chaos:100, Instant Death:Immune, Banishment:Immune, ")</f>
        <v>Chaos:100, Instant Death:Immune, Banishment:Immune, </v>
      </c>
      <c r="N503" s="1" t="str">
        <f>IFERROR(__xludf.DUMMYFUNCTION("""COMPUTED_VALUE"""),"Dark:100, Chaos:100, ")</f>
        <v>Dark:100, Chaos:100, </v>
      </c>
      <c r="O503" s="1" t="str">
        <f>IFERROR(__xludf.DUMMYFUNCTION("""COMPUTED_VALUE"""),"Warden's Cap")</f>
        <v>Warden's Cap</v>
      </c>
      <c r="P503" s="1"/>
      <c r="Q503" s="1"/>
      <c r="R503" s="1"/>
      <c r="S503" s="1"/>
      <c r="T503" s="1" t="str">
        <f>IFERROR(__xludf.DUMMYFUNCTION("""COMPUTED_VALUE"""),"Warden's Shirt")</f>
        <v>Warden's Shirt</v>
      </c>
      <c r="U503" s="1"/>
      <c r="V503" s="1"/>
      <c r="W503" s="1"/>
      <c r="X503" s="1"/>
      <c r="Y503" s="1"/>
      <c r="Z503" s="1"/>
      <c r="AA503" s="1"/>
      <c r="AB503" s="1"/>
      <c r="AC503" s="1"/>
      <c r="AD503" s="1"/>
      <c r="AE503" s="1"/>
      <c r="AF503" s="1"/>
      <c r="AG503" s="1"/>
      <c r="AH503" s="1" t="str">
        <f>IFERROR(__xludf.DUMMYFUNCTION("""COMPUTED_VALUE"""),"Warden's Pants")</f>
        <v>Warden's Pants</v>
      </c>
      <c r="AI503" s="1" t="str">
        <f>IFERROR(__xludf.DUMMYFUNCTION("""COMPUTED_VALUE"""),"Warden's Boots")</f>
        <v>Warden's Boots</v>
      </c>
      <c r="AJ503" s="1" t="str">
        <f>IFERROR(__xludf.DUMMYFUNCTION("""COMPUTED_VALUE"""),"Confiscate (Enhanced)")</f>
        <v>Confiscate (Enhanced)</v>
      </c>
      <c r="AK503" s="1" t="str">
        <f>IFERROR(__xludf.DUMMYFUNCTION("""COMPUTED_VALUE"""),"Berserk")</f>
        <v>Berserk</v>
      </c>
      <c r="AL503" s="1" t="str">
        <f>IFERROR(__xludf.DUMMYFUNCTION("""COMPUTED_VALUE"""),"Increase")</f>
        <v>Increase</v>
      </c>
      <c r="AM503" s="1" t="str">
        <f>IFERROR(__xludf.DUMMYFUNCTION("""COMPUTED_VALUE"""),"Tackle")</f>
        <v>Tackle</v>
      </c>
      <c r="AN503" s="1" t="str">
        <f>IFERROR(__xludf.DUMMYFUNCTION("""COMPUTED_VALUE"""),"Taunt (Mob)")</f>
        <v>Taunt (Mob)</v>
      </c>
      <c r="AO503" s="1" t="str">
        <f>IFERROR(__xludf.DUMMYFUNCTION("""COMPUTED_VALUE"""),"Parry")</f>
        <v>Parry</v>
      </c>
      <c r="AP503" s="1" t="str">
        <f>IFERROR(__xludf.DUMMYFUNCTION("""COMPUTED_VALUE"""),"Melee Boost")</f>
        <v>Melee Boost</v>
      </c>
      <c r="AQ503" s="1" t="str">
        <f>IFERROR(__xludf.DUMMYFUNCTION("""COMPUTED_VALUE"""),"Go For The Vitals")</f>
        <v>Go For The Vitals</v>
      </c>
      <c r="AR503" s="1" t="str">
        <f>IFERROR(__xludf.DUMMYFUNCTION("""COMPUTED_VALUE"""),"Marauder's Rage")</f>
        <v>Marauder's Rage</v>
      </c>
      <c r="AS503" s="1" t="str">
        <f>IFERROR(__xludf.DUMMYFUNCTION("""COMPUTED_VALUE"""),"Defender's Tenacity")</f>
        <v>Defender's Tenacity</v>
      </c>
      <c r="AT503" s="1" t="str">
        <f>IFERROR(__xludf.DUMMYFUNCTION("""COMPUTED_VALUE"""),"Mass Judgement")</f>
        <v>Mass Judgement</v>
      </c>
      <c r="AU503" s="1" t="str">
        <f>IFERROR(__xludf.DUMMYFUNCTION("""COMPUTED_VALUE"""),"Cancel")</f>
        <v>Cancel</v>
      </c>
      <c r="AV503" s="1" t="str">
        <f>IFERROR(__xludf.DUMMYFUNCTION("""COMPUTED_VALUE"""),"Protection")</f>
        <v>Protection</v>
      </c>
      <c r="AW503" s="1" t="str">
        <f>IFERROR(__xludf.DUMMYFUNCTION("""COMPUTED_VALUE"""),"Warden Call")</f>
        <v>Warden Call</v>
      </c>
      <c r="AX503" s="1" t="str">
        <f>IFERROR(__xludf.DUMMYFUNCTION("""COMPUTED_VALUE"""),"Confine")</f>
        <v>Confine</v>
      </c>
      <c r="AY503" s="1"/>
      <c r="AZ503" s="1"/>
      <c r="BA503" s="1"/>
      <c r="BB503" s="1"/>
      <c r="BC503" s="1"/>
      <c r="BD503" s="1">
        <f>IFERROR(__xludf.DUMMYFUNCTION("""COMPUTED_VALUE"""),0.0)</f>
        <v>0</v>
      </c>
      <c r="BE503" s="9">
        <f>IFERROR(__xludf.DUMMYFUNCTION("""COMPUTED_VALUE"""),15.0)</f>
        <v>15</v>
      </c>
      <c r="BF503" s="1" t="str">
        <f>IFERROR(__xludf.DUMMYFUNCTION("""COMPUTED_VALUE"""),"For every enemy wearing a Confinement Collar, +5 Mobility and +20000 ATK")</f>
        <v>For every enemy wearing a Confinement Collar, +5 Mobility and +20000 ATK</v>
      </c>
      <c r="BG503" s="1" t="str">
        <f>IFERROR(__xludf.DUMMYFUNCTION("""COMPUTED_VALUE"""),"Dungeon")</f>
        <v>Dungeon</v>
      </c>
      <c r="BH503" s="1" t="str">
        <f>IFERROR(__xludf.DUMMYFUNCTION("""COMPUTED_VALUE"""),"Dragonscale Island")</f>
        <v>Dragonscale Island</v>
      </c>
      <c r="BI503" s="1"/>
      <c r="BJ503" s="1"/>
      <c r="BK503" s="1"/>
      <c r="BL503" s="1" t="b">
        <f>IFERROR(__xludf.DUMMYFUNCTION("""COMPUTED_VALUE"""),FALSE)</f>
        <v>0</v>
      </c>
      <c r="BM503" s="1"/>
      <c r="BN503" s="1"/>
      <c r="BO503" s="1"/>
      <c r="BP503" s="1"/>
      <c r="BQ503" s="1"/>
    </row>
    <row r="504" ht="15.75" customHeight="1">
      <c r="A504" s="1" t="str">
        <f>IFERROR(__xludf.DUMMYFUNCTION("""COMPUTED_VALUE"""),"Sand Worm Queen")</f>
        <v>Sand Worm Queen</v>
      </c>
      <c r="B504" s="1">
        <f>IFERROR(__xludf.DUMMYFUNCTION("""COMPUTED_VALUE"""),1.0)</f>
        <v>1</v>
      </c>
      <c r="C504" s="1"/>
      <c r="D504" s="1" t="str">
        <f>IFERROR(__xludf.DUMMYFUNCTION("""COMPUTED_VALUE"""),"Beast")</f>
        <v>Beast</v>
      </c>
      <c r="E504" s="1">
        <f>IFERROR(__xludf.DUMMYFUNCTION("""COMPUTED_VALUE"""),1010.0)</f>
        <v>1010</v>
      </c>
      <c r="F504" s="7">
        <f>IFERROR(__xludf.DUMMYFUNCTION("""COMPUTED_VALUE"""),1010.0)</f>
        <v>1010</v>
      </c>
      <c r="G504" s="1">
        <f>IFERROR(__xludf.DUMMYFUNCTION("""COMPUTED_VALUE"""),1010.0)</f>
        <v>1010</v>
      </c>
      <c r="H504" s="1">
        <f>IFERROR(__xludf.DUMMYFUNCTION("""COMPUTED_VALUE"""),10.0)</f>
        <v>10</v>
      </c>
      <c r="I504" s="1">
        <f>IFERROR(__xludf.DUMMYFUNCTION("""COMPUTED_VALUE"""),0.0)</f>
        <v>0</v>
      </c>
      <c r="J504" s="1">
        <f>IFERROR(__xludf.DUMMYFUNCTION("""COMPUTED_VALUE"""),0.0)</f>
        <v>0</v>
      </c>
      <c r="K504" s="1">
        <f>IFERROR(__xludf.DUMMYFUNCTION("""COMPUTED_VALUE"""),100.0)</f>
        <v>100</v>
      </c>
      <c r="L504" s="1">
        <f>IFERROR(__xludf.DUMMYFUNCTION("""COMPUTED_VALUE"""),100.0)</f>
        <v>100</v>
      </c>
      <c r="M504" s="1" t="str">
        <f>IFERROR(__xludf.DUMMYFUNCTION("""COMPUTED_VALUE"""),"Fire:Immune, Water:Immune, Instant Death:Immune, Banishment:Immune, ")</f>
        <v>Fire:Immune, Water:Immune, Instant Death:Immune, Banishment:Immune, </v>
      </c>
      <c r="N504" s="1" t="str">
        <f>IFERROR(__xludf.DUMMYFUNCTION("""COMPUTED_VALUE"""),"Storm:100, ")</f>
        <v>Storm:100, </v>
      </c>
      <c r="O504" s="1"/>
      <c r="P504" s="1"/>
      <c r="Q504" s="1"/>
      <c r="R504" s="1"/>
      <c r="S504" s="1"/>
      <c r="T504" s="1"/>
      <c r="U504" s="1"/>
      <c r="V504" s="1"/>
      <c r="W504" s="1"/>
      <c r="X504" s="1"/>
      <c r="Y504" s="1"/>
      <c r="Z504" s="1"/>
      <c r="AA504" s="1"/>
      <c r="AB504" s="1"/>
      <c r="AC504" s="1"/>
      <c r="AD504" s="1"/>
      <c r="AE504" s="1"/>
      <c r="AF504" s="1"/>
      <c r="AG504" s="1"/>
      <c r="AH504" s="1"/>
      <c r="AI504" s="1"/>
      <c r="AJ504" s="1" t="str">
        <f>IFERROR(__xludf.DUMMYFUNCTION("""COMPUTED_VALUE"""),"Absorb Enemy ")</f>
        <v>Absorb Enemy </v>
      </c>
      <c r="AK504" s="1" t="str">
        <f>IFERROR(__xludf.DUMMYFUNCTION("""COMPUTED_VALUE"""),"Rock Shot")</f>
        <v>Rock Shot</v>
      </c>
      <c r="AL504" s="1" t="str">
        <f>IFERROR(__xludf.DUMMYFUNCTION("""COMPUTED_VALUE"""),"Sand Hole")</f>
        <v>Sand Hole</v>
      </c>
      <c r="AM504" s="1" t="str">
        <f>IFERROR(__xludf.DUMMYFUNCTION("""COMPUTED_VALUE"""),"Quicksand")</f>
        <v>Quicksand</v>
      </c>
      <c r="AN504" s="1" t="str">
        <f>IFERROR(__xludf.DUMMYFUNCTION("""COMPUTED_VALUE"""),"Earthquake")</f>
        <v>Earthquake</v>
      </c>
      <c r="AO504" s="1" t="str">
        <f>IFERROR(__xludf.DUMMYFUNCTION("""COMPUTED_VALUE"""),"Rock Cycle")</f>
        <v>Rock Cycle</v>
      </c>
      <c r="AP504" s="1" t="str">
        <f>IFERROR(__xludf.DUMMYFUNCTION("""COMPUTED_VALUE"""),"Taunt (Mob)")</f>
        <v>Taunt (Mob)</v>
      </c>
      <c r="AQ504" s="1"/>
      <c r="AR504" s="1"/>
      <c r="AS504" s="1"/>
      <c r="AT504" s="1"/>
      <c r="AU504" s="1"/>
      <c r="AV504" s="1"/>
      <c r="AW504" s="1"/>
      <c r="AX504" s="1"/>
      <c r="AY504" s="1"/>
      <c r="AZ504" s="1"/>
      <c r="BA504" s="1"/>
      <c r="BB504" s="1"/>
      <c r="BC504" s="1"/>
      <c r="BD504" s="1">
        <f>IFERROR(__xludf.DUMMYFUNCTION("""COMPUTED_VALUE"""),0.0)</f>
        <v>0</v>
      </c>
      <c r="BE504" s="9">
        <f>IFERROR(__xludf.DUMMYFUNCTION("""COMPUTED_VALUE"""),10.0)</f>
        <v>10</v>
      </c>
      <c r="BF504" s="1" t="str">
        <f>IFERROR(__xludf.DUMMYFUNCTION("""COMPUTED_VALUE"""),"Absorption II: has a 75% to absorb an attack or spell affecting this creature.")</f>
        <v>Absorption II: has a 75% to absorb an attack or spell affecting this creature.</v>
      </c>
      <c r="BG504" s="1" t="str">
        <f>IFERROR(__xludf.DUMMYFUNCTION("""COMPUTED_VALUE"""),"Desert")</f>
        <v>Desert</v>
      </c>
      <c r="BH504" s="1" t="str">
        <f>IFERROR(__xludf.DUMMYFUNCTION("""COMPUTED_VALUE"""),"Land of Spira")</f>
        <v>Land of Spira</v>
      </c>
      <c r="BI504" s="1"/>
      <c r="BJ504" s="1"/>
      <c r="BK504" s="1"/>
      <c r="BL504" s="1" t="b">
        <f>IFERROR(__xludf.DUMMYFUNCTION("""COMPUTED_VALUE"""),FALSE)</f>
        <v>0</v>
      </c>
      <c r="BM504" s="1"/>
      <c r="BN504" s="1"/>
      <c r="BO504" s="1"/>
      <c r="BP504" s="1"/>
      <c r="BQ504" s="1"/>
    </row>
    <row r="505" ht="15.75" customHeight="1">
      <c r="A505" s="1"/>
      <c r="B505" s="1">
        <f>IFERROR(__xludf.DUMMYFUNCTION("""COMPUTED_VALUE"""),1.0)</f>
        <v>1</v>
      </c>
      <c r="C505" s="1"/>
      <c r="D505" s="1"/>
      <c r="E505" s="1">
        <f>IFERROR(__xludf.DUMMYFUNCTION("""COMPUTED_VALUE"""),1010.0)</f>
        <v>1010</v>
      </c>
      <c r="F505" s="7">
        <f>IFERROR(__xludf.DUMMYFUNCTION("""COMPUTED_VALUE"""),1010.0)</f>
        <v>1010</v>
      </c>
      <c r="G505" s="1">
        <f>IFERROR(__xludf.DUMMYFUNCTION("""COMPUTED_VALUE"""),1010.0)</f>
        <v>1010</v>
      </c>
      <c r="H505" s="1">
        <f>IFERROR(__xludf.DUMMYFUNCTION("""COMPUTED_VALUE"""),10.0)</f>
        <v>10</v>
      </c>
      <c r="I505" s="1">
        <f>IFERROR(__xludf.DUMMYFUNCTION("""COMPUTED_VALUE"""),0.0)</f>
        <v>0</v>
      </c>
      <c r="J505" s="1">
        <f>IFERROR(__xludf.DUMMYFUNCTION("""COMPUTED_VALUE"""),0.0)</f>
        <v>0</v>
      </c>
      <c r="K505" s="1">
        <f>IFERROR(__xludf.DUMMYFUNCTION("""COMPUTED_VALUE"""),100.0)</f>
        <v>100</v>
      </c>
      <c r="L505" s="1">
        <f>IFERROR(__xludf.DUMMYFUNCTION("""COMPUTED_VALUE"""),100.0)</f>
        <v>100</v>
      </c>
      <c r="M505" s="1" t="str">
        <f>IFERROR(__xludf.DUMMYFUNCTION("""COMPUTED_VALUE"""),"#N/A")</f>
        <v>#N/A</v>
      </c>
      <c r="N505" s="1" t="str">
        <f>IFERROR(__xludf.DUMMYFUNCTION("""COMPUTED_VALUE"""),"#N/A")</f>
        <v>#N/A</v>
      </c>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f>IFERROR(__xludf.DUMMYFUNCTION("""COMPUTED_VALUE"""),0.0)</f>
        <v>0</v>
      </c>
      <c r="BE505" s="9">
        <f>IFERROR(__xludf.DUMMYFUNCTION("""COMPUTED_VALUE"""),10.0)</f>
        <v>10</v>
      </c>
      <c r="BF505" s="1"/>
      <c r="BG505" s="1"/>
      <c r="BH505" s="1"/>
      <c r="BI505" s="1"/>
      <c r="BJ505" s="1"/>
      <c r="BK505" s="1"/>
      <c r="BL505" s="1" t="b">
        <f>IFERROR(__xludf.DUMMYFUNCTION("""COMPUTED_VALUE"""),FALSE)</f>
        <v>0</v>
      </c>
      <c r="BM505" s="1"/>
      <c r="BN505" s="1"/>
      <c r="BO505" s="1"/>
      <c r="BP505" s="1"/>
      <c r="BQ505" s="1"/>
    </row>
    <row r="506" ht="15.75" customHeight="1">
      <c r="A506" s="1"/>
      <c r="B506" s="1">
        <f>IFERROR(__xludf.DUMMYFUNCTION("""COMPUTED_VALUE"""),1.0)</f>
        <v>1</v>
      </c>
      <c r="C506" s="1"/>
      <c r="D506" s="1"/>
      <c r="E506" s="1">
        <f>IFERROR(__xludf.DUMMYFUNCTION("""COMPUTED_VALUE"""),1010.0)</f>
        <v>1010</v>
      </c>
      <c r="F506" s="7">
        <f>IFERROR(__xludf.DUMMYFUNCTION("""COMPUTED_VALUE"""),1010.0)</f>
        <v>1010</v>
      </c>
      <c r="G506" s="1">
        <f>IFERROR(__xludf.DUMMYFUNCTION("""COMPUTED_VALUE"""),1010.0)</f>
        <v>1010</v>
      </c>
      <c r="H506" s="1">
        <f>IFERROR(__xludf.DUMMYFUNCTION("""COMPUTED_VALUE"""),10.0)</f>
        <v>10</v>
      </c>
      <c r="I506" s="1">
        <f>IFERROR(__xludf.DUMMYFUNCTION("""COMPUTED_VALUE"""),0.0)</f>
        <v>0</v>
      </c>
      <c r="J506" s="1">
        <f>IFERROR(__xludf.DUMMYFUNCTION("""COMPUTED_VALUE"""),0.0)</f>
        <v>0</v>
      </c>
      <c r="K506" s="1">
        <f>IFERROR(__xludf.DUMMYFUNCTION("""COMPUTED_VALUE"""),100.0)</f>
        <v>100</v>
      </c>
      <c r="L506" s="1">
        <f>IFERROR(__xludf.DUMMYFUNCTION("""COMPUTED_VALUE"""),100.0)</f>
        <v>100</v>
      </c>
      <c r="M506" s="1" t="str">
        <f>IFERROR(__xludf.DUMMYFUNCTION("""COMPUTED_VALUE"""),"#N/A")</f>
        <v>#N/A</v>
      </c>
      <c r="N506" s="1" t="str">
        <f>IFERROR(__xludf.DUMMYFUNCTION("""COMPUTED_VALUE"""),"#N/A")</f>
        <v>#N/A</v>
      </c>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f>IFERROR(__xludf.DUMMYFUNCTION("""COMPUTED_VALUE"""),0.0)</f>
        <v>0</v>
      </c>
      <c r="BE506" s="9">
        <f>IFERROR(__xludf.DUMMYFUNCTION("""COMPUTED_VALUE"""),10.0)</f>
        <v>10</v>
      </c>
      <c r="BF506" s="1"/>
      <c r="BG506" s="1"/>
      <c r="BH506" s="1"/>
      <c r="BI506" s="1"/>
      <c r="BJ506" s="1"/>
      <c r="BK506" s="1"/>
      <c r="BL506" s="1" t="b">
        <f>IFERROR(__xludf.DUMMYFUNCTION("""COMPUTED_VALUE"""),FALSE)</f>
        <v>0</v>
      </c>
      <c r="BM506" s="1"/>
      <c r="BN506" s="1"/>
      <c r="BO506" s="1"/>
      <c r="BP506" s="1"/>
      <c r="BQ506" s="1"/>
    </row>
    <row r="507" ht="15.75" customHeight="1">
      <c r="A507" s="1"/>
      <c r="B507" s="1">
        <f>IFERROR(__xludf.DUMMYFUNCTION("""COMPUTED_VALUE"""),1.0)</f>
        <v>1</v>
      </c>
      <c r="C507" s="1"/>
      <c r="D507" s="1"/>
      <c r="E507" s="1">
        <f>IFERROR(__xludf.DUMMYFUNCTION("""COMPUTED_VALUE"""),1010.0)</f>
        <v>1010</v>
      </c>
      <c r="F507" s="7">
        <f>IFERROR(__xludf.DUMMYFUNCTION("""COMPUTED_VALUE"""),1010.0)</f>
        <v>1010</v>
      </c>
      <c r="G507" s="1">
        <f>IFERROR(__xludf.DUMMYFUNCTION("""COMPUTED_VALUE"""),1010.0)</f>
        <v>1010</v>
      </c>
      <c r="H507" s="1">
        <f>IFERROR(__xludf.DUMMYFUNCTION("""COMPUTED_VALUE"""),10.0)</f>
        <v>10</v>
      </c>
      <c r="I507" s="1">
        <f>IFERROR(__xludf.DUMMYFUNCTION("""COMPUTED_VALUE"""),0.0)</f>
        <v>0</v>
      </c>
      <c r="J507" s="1">
        <f>IFERROR(__xludf.DUMMYFUNCTION("""COMPUTED_VALUE"""),0.0)</f>
        <v>0</v>
      </c>
      <c r="K507" s="1">
        <f>IFERROR(__xludf.DUMMYFUNCTION("""COMPUTED_VALUE"""),100.0)</f>
        <v>100</v>
      </c>
      <c r="L507" s="1">
        <f>IFERROR(__xludf.DUMMYFUNCTION("""COMPUTED_VALUE"""),100.0)</f>
        <v>100</v>
      </c>
      <c r="M507" s="1" t="str">
        <f>IFERROR(__xludf.DUMMYFUNCTION("""COMPUTED_VALUE"""),"#N/A")</f>
        <v>#N/A</v>
      </c>
      <c r="N507" s="1" t="str">
        <f>IFERROR(__xludf.DUMMYFUNCTION("""COMPUTED_VALUE"""),"#N/A")</f>
        <v>#N/A</v>
      </c>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f>IFERROR(__xludf.DUMMYFUNCTION("""COMPUTED_VALUE"""),0.0)</f>
        <v>0</v>
      </c>
      <c r="BE507" s="9">
        <f>IFERROR(__xludf.DUMMYFUNCTION("""COMPUTED_VALUE"""),10.0)</f>
        <v>10</v>
      </c>
      <c r="BF507" s="1"/>
      <c r="BG507" s="1"/>
      <c r="BH507" s="1"/>
      <c r="BI507" s="1"/>
      <c r="BJ507" s="1"/>
      <c r="BK507" s="1"/>
      <c r="BL507" s="1" t="b">
        <f>IFERROR(__xludf.DUMMYFUNCTION("""COMPUTED_VALUE"""),FALSE)</f>
        <v>0</v>
      </c>
      <c r="BM507" s="1"/>
      <c r="BN507" s="1"/>
      <c r="BO507" s="1"/>
      <c r="BP507" s="1"/>
      <c r="BQ507" s="1"/>
    </row>
    <row r="508" ht="15.75" customHeight="1">
      <c r="A508" s="1"/>
      <c r="B508" s="1">
        <f>IFERROR(__xludf.DUMMYFUNCTION("""COMPUTED_VALUE"""),1.0)</f>
        <v>1</v>
      </c>
      <c r="C508" s="1"/>
      <c r="D508" s="1"/>
      <c r="E508" s="1">
        <f>IFERROR(__xludf.DUMMYFUNCTION("""COMPUTED_VALUE"""),1010.0)</f>
        <v>1010</v>
      </c>
      <c r="F508" s="7">
        <f>IFERROR(__xludf.DUMMYFUNCTION("""COMPUTED_VALUE"""),1010.0)</f>
        <v>1010</v>
      </c>
      <c r="G508" s="1">
        <f>IFERROR(__xludf.DUMMYFUNCTION("""COMPUTED_VALUE"""),1010.0)</f>
        <v>1010</v>
      </c>
      <c r="H508" s="1">
        <f>IFERROR(__xludf.DUMMYFUNCTION("""COMPUTED_VALUE"""),10.0)</f>
        <v>10</v>
      </c>
      <c r="I508" s="1">
        <f>IFERROR(__xludf.DUMMYFUNCTION("""COMPUTED_VALUE"""),0.0)</f>
        <v>0</v>
      </c>
      <c r="J508" s="1">
        <f>IFERROR(__xludf.DUMMYFUNCTION("""COMPUTED_VALUE"""),0.0)</f>
        <v>0</v>
      </c>
      <c r="K508" s="1">
        <f>IFERROR(__xludf.DUMMYFUNCTION("""COMPUTED_VALUE"""),100.0)</f>
        <v>100</v>
      </c>
      <c r="L508" s="1">
        <f>IFERROR(__xludf.DUMMYFUNCTION("""COMPUTED_VALUE"""),100.0)</f>
        <v>100</v>
      </c>
      <c r="M508" s="1" t="str">
        <f>IFERROR(__xludf.DUMMYFUNCTION("""COMPUTED_VALUE"""),"#N/A")</f>
        <v>#N/A</v>
      </c>
      <c r="N508" s="1" t="str">
        <f>IFERROR(__xludf.DUMMYFUNCTION("""COMPUTED_VALUE"""),"#N/A")</f>
        <v>#N/A</v>
      </c>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f>IFERROR(__xludf.DUMMYFUNCTION("""COMPUTED_VALUE"""),0.0)</f>
        <v>0</v>
      </c>
      <c r="BE508" s="9">
        <f>IFERROR(__xludf.DUMMYFUNCTION("""COMPUTED_VALUE"""),10.0)</f>
        <v>10</v>
      </c>
      <c r="BF508" s="1"/>
      <c r="BG508" s="1"/>
      <c r="BH508" s="1"/>
      <c r="BI508" s="1"/>
      <c r="BJ508" s="1"/>
      <c r="BK508" s="1"/>
      <c r="BL508" s="1" t="b">
        <f>IFERROR(__xludf.DUMMYFUNCTION("""COMPUTED_VALUE"""),FALSE)</f>
        <v>0</v>
      </c>
      <c r="BM508" s="1"/>
      <c r="BN508" s="1"/>
      <c r="BO508" s="1"/>
      <c r="BP508" s="1"/>
      <c r="BQ508" s="1"/>
    </row>
    <row r="509" ht="15.75" customHeight="1">
      <c r="A509" s="1"/>
      <c r="B509" s="1">
        <f>IFERROR(__xludf.DUMMYFUNCTION("""COMPUTED_VALUE"""),1.0)</f>
        <v>1</v>
      </c>
      <c r="C509" s="1"/>
      <c r="D509" s="1"/>
      <c r="E509" s="1">
        <f>IFERROR(__xludf.DUMMYFUNCTION("""COMPUTED_VALUE"""),1010.0)</f>
        <v>1010</v>
      </c>
      <c r="F509" s="7">
        <f>IFERROR(__xludf.DUMMYFUNCTION("""COMPUTED_VALUE"""),1010.0)</f>
        <v>1010</v>
      </c>
      <c r="G509" s="1">
        <f>IFERROR(__xludf.DUMMYFUNCTION("""COMPUTED_VALUE"""),1010.0)</f>
        <v>1010</v>
      </c>
      <c r="H509" s="1">
        <f>IFERROR(__xludf.DUMMYFUNCTION("""COMPUTED_VALUE"""),10.0)</f>
        <v>10</v>
      </c>
      <c r="I509" s="1">
        <f>IFERROR(__xludf.DUMMYFUNCTION("""COMPUTED_VALUE"""),0.0)</f>
        <v>0</v>
      </c>
      <c r="J509" s="1">
        <f>IFERROR(__xludf.DUMMYFUNCTION("""COMPUTED_VALUE"""),0.0)</f>
        <v>0</v>
      </c>
      <c r="K509" s="1">
        <f>IFERROR(__xludf.DUMMYFUNCTION("""COMPUTED_VALUE"""),100.0)</f>
        <v>100</v>
      </c>
      <c r="L509" s="1">
        <f>IFERROR(__xludf.DUMMYFUNCTION("""COMPUTED_VALUE"""),100.0)</f>
        <v>100</v>
      </c>
      <c r="M509" s="1" t="str">
        <f>IFERROR(__xludf.DUMMYFUNCTION("""COMPUTED_VALUE"""),"#N/A")</f>
        <v>#N/A</v>
      </c>
      <c r="N509" s="1" t="str">
        <f>IFERROR(__xludf.DUMMYFUNCTION("""COMPUTED_VALUE"""),"#N/A")</f>
        <v>#N/A</v>
      </c>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f>IFERROR(__xludf.DUMMYFUNCTION("""COMPUTED_VALUE"""),0.0)</f>
        <v>0</v>
      </c>
      <c r="BE509" s="9">
        <f>IFERROR(__xludf.DUMMYFUNCTION("""COMPUTED_VALUE"""),10.0)</f>
        <v>10</v>
      </c>
      <c r="BF509" s="1"/>
      <c r="BG509" s="1"/>
      <c r="BH509" s="1"/>
      <c r="BI509" s="1"/>
      <c r="BJ509" s="1"/>
      <c r="BK509" s="1"/>
      <c r="BL509" s="1" t="b">
        <f>IFERROR(__xludf.DUMMYFUNCTION("""COMPUTED_VALUE"""),FALSE)</f>
        <v>0</v>
      </c>
      <c r="BM509" s="1"/>
      <c r="BN509" s="1"/>
      <c r="BO509" s="1"/>
      <c r="BP509" s="1"/>
      <c r="BQ509" s="1"/>
    </row>
    <row r="510" ht="15.75" customHeight="1">
      <c r="A510" s="1"/>
      <c r="B510" s="1">
        <f>IFERROR(__xludf.DUMMYFUNCTION("""COMPUTED_VALUE"""),1.0)</f>
        <v>1</v>
      </c>
      <c r="C510" s="1"/>
      <c r="D510" s="1"/>
      <c r="E510" s="1">
        <f>IFERROR(__xludf.DUMMYFUNCTION("""COMPUTED_VALUE"""),1010.0)</f>
        <v>1010</v>
      </c>
      <c r="F510" s="7">
        <f>IFERROR(__xludf.DUMMYFUNCTION("""COMPUTED_VALUE"""),1010.0)</f>
        <v>1010</v>
      </c>
      <c r="G510" s="1">
        <f>IFERROR(__xludf.DUMMYFUNCTION("""COMPUTED_VALUE"""),1010.0)</f>
        <v>1010</v>
      </c>
      <c r="H510" s="1">
        <f>IFERROR(__xludf.DUMMYFUNCTION("""COMPUTED_VALUE"""),10.0)</f>
        <v>10</v>
      </c>
      <c r="I510" s="1">
        <f>IFERROR(__xludf.DUMMYFUNCTION("""COMPUTED_VALUE"""),0.0)</f>
        <v>0</v>
      </c>
      <c r="J510" s="1">
        <f>IFERROR(__xludf.DUMMYFUNCTION("""COMPUTED_VALUE"""),0.0)</f>
        <v>0</v>
      </c>
      <c r="K510" s="1">
        <f>IFERROR(__xludf.DUMMYFUNCTION("""COMPUTED_VALUE"""),100.0)</f>
        <v>100</v>
      </c>
      <c r="L510" s="1">
        <f>IFERROR(__xludf.DUMMYFUNCTION("""COMPUTED_VALUE"""),100.0)</f>
        <v>100</v>
      </c>
      <c r="M510" s="1" t="str">
        <f>IFERROR(__xludf.DUMMYFUNCTION("""COMPUTED_VALUE"""),"#N/A")</f>
        <v>#N/A</v>
      </c>
      <c r="N510" s="1" t="str">
        <f>IFERROR(__xludf.DUMMYFUNCTION("""COMPUTED_VALUE"""),"#N/A")</f>
        <v>#N/A</v>
      </c>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f>IFERROR(__xludf.DUMMYFUNCTION("""COMPUTED_VALUE"""),0.0)</f>
        <v>0</v>
      </c>
      <c r="BE510" s="9">
        <f>IFERROR(__xludf.DUMMYFUNCTION("""COMPUTED_VALUE"""),10.0)</f>
        <v>10</v>
      </c>
      <c r="BF510" s="1"/>
      <c r="BG510" s="1"/>
      <c r="BH510" s="1"/>
      <c r="BI510" s="1"/>
      <c r="BJ510" s="1"/>
      <c r="BK510" s="1"/>
      <c r="BL510" s="1" t="b">
        <f>IFERROR(__xludf.DUMMYFUNCTION("""COMPUTED_VALUE"""),FALSE)</f>
        <v>0</v>
      </c>
      <c r="BM510" s="1"/>
      <c r="BN510" s="1"/>
      <c r="BO510" s="1"/>
      <c r="BP510" s="1"/>
      <c r="BQ510" s="1"/>
    </row>
    <row r="511" ht="15.75" customHeight="1">
      <c r="A511" s="1"/>
      <c r="B511" s="1">
        <f>IFERROR(__xludf.DUMMYFUNCTION("""COMPUTED_VALUE"""),1.0)</f>
        <v>1</v>
      </c>
      <c r="C511" s="1"/>
      <c r="D511" s="1"/>
      <c r="E511" s="1">
        <f>IFERROR(__xludf.DUMMYFUNCTION("""COMPUTED_VALUE"""),1010.0)</f>
        <v>1010</v>
      </c>
      <c r="F511" s="7">
        <f>IFERROR(__xludf.DUMMYFUNCTION("""COMPUTED_VALUE"""),1010.0)</f>
        <v>1010</v>
      </c>
      <c r="G511" s="1">
        <f>IFERROR(__xludf.DUMMYFUNCTION("""COMPUTED_VALUE"""),1010.0)</f>
        <v>1010</v>
      </c>
      <c r="H511" s="1">
        <f>IFERROR(__xludf.DUMMYFUNCTION("""COMPUTED_VALUE"""),10.0)</f>
        <v>10</v>
      </c>
      <c r="I511" s="1">
        <f>IFERROR(__xludf.DUMMYFUNCTION("""COMPUTED_VALUE"""),0.0)</f>
        <v>0</v>
      </c>
      <c r="J511" s="1">
        <f>IFERROR(__xludf.DUMMYFUNCTION("""COMPUTED_VALUE"""),0.0)</f>
        <v>0</v>
      </c>
      <c r="K511" s="1">
        <f>IFERROR(__xludf.DUMMYFUNCTION("""COMPUTED_VALUE"""),100.0)</f>
        <v>100</v>
      </c>
      <c r="L511" s="1">
        <f>IFERROR(__xludf.DUMMYFUNCTION("""COMPUTED_VALUE"""),100.0)</f>
        <v>100</v>
      </c>
      <c r="M511" s="1" t="str">
        <f>IFERROR(__xludf.DUMMYFUNCTION("""COMPUTED_VALUE"""),"#N/A")</f>
        <v>#N/A</v>
      </c>
      <c r="N511" s="1" t="str">
        <f>IFERROR(__xludf.DUMMYFUNCTION("""COMPUTED_VALUE"""),"#N/A")</f>
        <v>#N/A</v>
      </c>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f>IFERROR(__xludf.DUMMYFUNCTION("""COMPUTED_VALUE"""),0.0)</f>
        <v>0</v>
      </c>
      <c r="BE511" s="9">
        <f>IFERROR(__xludf.DUMMYFUNCTION("""COMPUTED_VALUE"""),10.0)</f>
        <v>10</v>
      </c>
      <c r="BF511" s="1"/>
      <c r="BG511" s="1"/>
      <c r="BH511" s="1"/>
      <c r="BI511" s="1"/>
      <c r="BJ511" s="1"/>
      <c r="BK511" s="1"/>
      <c r="BL511" s="1" t="b">
        <f>IFERROR(__xludf.DUMMYFUNCTION("""COMPUTED_VALUE"""),FALSE)</f>
        <v>0</v>
      </c>
      <c r="BM511" s="1"/>
      <c r="BN511" s="1"/>
      <c r="BO511" s="1"/>
      <c r="BP511" s="1"/>
      <c r="BQ511" s="1"/>
    </row>
    <row r="512" ht="15.75" customHeight="1">
      <c r="A512" s="1"/>
      <c r="B512" s="1">
        <f>IFERROR(__xludf.DUMMYFUNCTION("""COMPUTED_VALUE"""),1.0)</f>
        <v>1</v>
      </c>
      <c r="C512" s="1"/>
      <c r="D512" s="1"/>
      <c r="E512" s="1">
        <f>IFERROR(__xludf.DUMMYFUNCTION("""COMPUTED_VALUE"""),1010.0)</f>
        <v>1010</v>
      </c>
      <c r="F512" s="7">
        <f>IFERROR(__xludf.DUMMYFUNCTION("""COMPUTED_VALUE"""),1010.0)</f>
        <v>1010</v>
      </c>
      <c r="G512" s="1">
        <f>IFERROR(__xludf.DUMMYFUNCTION("""COMPUTED_VALUE"""),1010.0)</f>
        <v>1010</v>
      </c>
      <c r="H512" s="1">
        <f>IFERROR(__xludf.DUMMYFUNCTION("""COMPUTED_VALUE"""),10.0)</f>
        <v>10</v>
      </c>
      <c r="I512" s="1">
        <f>IFERROR(__xludf.DUMMYFUNCTION("""COMPUTED_VALUE"""),0.0)</f>
        <v>0</v>
      </c>
      <c r="J512" s="1">
        <f>IFERROR(__xludf.DUMMYFUNCTION("""COMPUTED_VALUE"""),0.0)</f>
        <v>0</v>
      </c>
      <c r="K512" s="1">
        <f>IFERROR(__xludf.DUMMYFUNCTION("""COMPUTED_VALUE"""),100.0)</f>
        <v>100</v>
      </c>
      <c r="L512" s="1">
        <f>IFERROR(__xludf.DUMMYFUNCTION("""COMPUTED_VALUE"""),100.0)</f>
        <v>100</v>
      </c>
      <c r="M512" s="1" t="str">
        <f>IFERROR(__xludf.DUMMYFUNCTION("""COMPUTED_VALUE"""),"#N/A")</f>
        <v>#N/A</v>
      </c>
      <c r="N512" s="1" t="str">
        <f>IFERROR(__xludf.DUMMYFUNCTION("""COMPUTED_VALUE"""),"#N/A")</f>
        <v>#N/A</v>
      </c>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f>IFERROR(__xludf.DUMMYFUNCTION("""COMPUTED_VALUE"""),0.0)</f>
        <v>0</v>
      </c>
      <c r="BE512" s="9">
        <f>IFERROR(__xludf.DUMMYFUNCTION("""COMPUTED_VALUE"""),10.0)</f>
        <v>10</v>
      </c>
      <c r="BF512" s="1"/>
      <c r="BG512" s="1"/>
      <c r="BH512" s="1"/>
      <c r="BI512" s="1"/>
      <c r="BJ512" s="1"/>
      <c r="BK512" s="1"/>
      <c r="BL512" s="1" t="b">
        <f>IFERROR(__xludf.DUMMYFUNCTION("""COMPUTED_VALUE"""),FALSE)</f>
        <v>0</v>
      </c>
      <c r="BM512" s="1"/>
      <c r="BN512" s="1"/>
      <c r="BO512" s="1"/>
      <c r="BP512" s="1"/>
      <c r="BQ512" s="1"/>
    </row>
    <row r="513" ht="15.75" customHeight="1">
      <c r="A513" s="1"/>
      <c r="B513" s="1">
        <f>IFERROR(__xludf.DUMMYFUNCTION("""COMPUTED_VALUE"""),1.0)</f>
        <v>1</v>
      </c>
      <c r="C513" s="1"/>
      <c r="D513" s="1"/>
      <c r="E513" s="1">
        <f>IFERROR(__xludf.DUMMYFUNCTION("""COMPUTED_VALUE"""),1010.0)</f>
        <v>1010</v>
      </c>
      <c r="F513" s="7">
        <f>IFERROR(__xludf.DUMMYFUNCTION("""COMPUTED_VALUE"""),1010.0)</f>
        <v>1010</v>
      </c>
      <c r="G513" s="1">
        <f>IFERROR(__xludf.DUMMYFUNCTION("""COMPUTED_VALUE"""),1010.0)</f>
        <v>1010</v>
      </c>
      <c r="H513" s="1">
        <f>IFERROR(__xludf.DUMMYFUNCTION("""COMPUTED_VALUE"""),10.0)</f>
        <v>10</v>
      </c>
      <c r="I513" s="1">
        <f>IFERROR(__xludf.DUMMYFUNCTION("""COMPUTED_VALUE"""),0.0)</f>
        <v>0</v>
      </c>
      <c r="J513" s="1">
        <f>IFERROR(__xludf.DUMMYFUNCTION("""COMPUTED_VALUE"""),0.0)</f>
        <v>0</v>
      </c>
      <c r="K513" s="1">
        <f>IFERROR(__xludf.DUMMYFUNCTION("""COMPUTED_VALUE"""),100.0)</f>
        <v>100</v>
      </c>
      <c r="L513" s="1">
        <f>IFERROR(__xludf.DUMMYFUNCTION("""COMPUTED_VALUE"""),100.0)</f>
        <v>100</v>
      </c>
      <c r="M513" s="1" t="str">
        <f>IFERROR(__xludf.DUMMYFUNCTION("""COMPUTED_VALUE"""),"#N/A")</f>
        <v>#N/A</v>
      </c>
      <c r="N513" s="1" t="str">
        <f>IFERROR(__xludf.DUMMYFUNCTION("""COMPUTED_VALUE"""),"#N/A")</f>
        <v>#N/A</v>
      </c>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f>IFERROR(__xludf.DUMMYFUNCTION("""COMPUTED_VALUE"""),0.0)</f>
        <v>0</v>
      </c>
      <c r="BE513" s="9">
        <f>IFERROR(__xludf.DUMMYFUNCTION("""COMPUTED_VALUE"""),10.0)</f>
        <v>10</v>
      </c>
      <c r="BF513" s="1"/>
      <c r="BG513" s="1"/>
      <c r="BH513" s="1"/>
      <c r="BI513" s="1"/>
      <c r="BJ513" s="1"/>
      <c r="BK513" s="1"/>
      <c r="BL513" s="1" t="b">
        <f>IFERROR(__xludf.DUMMYFUNCTION("""COMPUTED_VALUE"""),FALSE)</f>
        <v>0</v>
      </c>
      <c r="BM513" s="1"/>
      <c r="BN513" s="1"/>
      <c r="BO513" s="1"/>
      <c r="BP513" s="1"/>
      <c r="BQ513" s="1"/>
    </row>
    <row r="514" ht="15.75" customHeight="1">
      <c r="A514" s="1"/>
      <c r="B514" s="1">
        <f>IFERROR(__xludf.DUMMYFUNCTION("""COMPUTED_VALUE"""),1.0)</f>
        <v>1</v>
      </c>
      <c r="C514" s="1"/>
      <c r="D514" s="1"/>
      <c r="E514" s="1">
        <f>IFERROR(__xludf.DUMMYFUNCTION("""COMPUTED_VALUE"""),1010.0)</f>
        <v>1010</v>
      </c>
      <c r="F514" s="7">
        <f>IFERROR(__xludf.DUMMYFUNCTION("""COMPUTED_VALUE"""),1010.0)</f>
        <v>1010</v>
      </c>
      <c r="G514" s="1">
        <f>IFERROR(__xludf.DUMMYFUNCTION("""COMPUTED_VALUE"""),1010.0)</f>
        <v>1010</v>
      </c>
      <c r="H514" s="1">
        <f>IFERROR(__xludf.DUMMYFUNCTION("""COMPUTED_VALUE"""),10.0)</f>
        <v>10</v>
      </c>
      <c r="I514" s="1">
        <f>IFERROR(__xludf.DUMMYFUNCTION("""COMPUTED_VALUE"""),0.0)</f>
        <v>0</v>
      </c>
      <c r="J514" s="1">
        <f>IFERROR(__xludf.DUMMYFUNCTION("""COMPUTED_VALUE"""),0.0)</f>
        <v>0</v>
      </c>
      <c r="K514" s="1">
        <f>IFERROR(__xludf.DUMMYFUNCTION("""COMPUTED_VALUE"""),100.0)</f>
        <v>100</v>
      </c>
      <c r="L514" s="1">
        <f>IFERROR(__xludf.DUMMYFUNCTION("""COMPUTED_VALUE"""),100.0)</f>
        <v>100</v>
      </c>
      <c r="M514" s="1" t="str">
        <f>IFERROR(__xludf.DUMMYFUNCTION("""COMPUTED_VALUE"""),"#N/A")</f>
        <v>#N/A</v>
      </c>
      <c r="N514" s="1" t="str">
        <f>IFERROR(__xludf.DUMMYFUNCTION("""COMPUTED_VALUE"""),"#N/A")</f>
        <v>#N/A</v>
      </c>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f>IFERROR(__xludf.DUMMYFUNCTION("""COMPUTED_VALUE"""),0.0)</f>
        <v>0</v>
      </c>
      <c r="BE514" s="9">
        <f>IFERROR(__xludf.DUMMYFUNCTION("""COMPUTED_VALUE"""),10.0)</f>
        <v>10</v>
      </c>
      <c r="BF514" s="1"/>
      <c r="BG514" s="1"/>
      <c r="BH514" s="1"/>
      <c r="BI514" s="1"/>
      <c r="BJ514" s="1"/>
      <c r="BK514" s="1"/>
      <c r="BL514" s="1" t="b">
        <f>IFERROR(__xludf.DUMMYFUNCTION("""COMPUTED_VALUE"""),FALSE)</f>
        <v>0</v>
      </c>
      <c r="BM514" s="1"/>
      <c r="BN514" s="1"/>
      <c r="BO514" s="1"/>
      <c r="BP514" s="1"/>
      <c r="BQ514" s="1"/>
    </row>
    <row r="515" ht="15.75" customHeight="1">
      <c r="A515" s="1"/>
      <c r="B515" s="1">
        <f>IFERROR(__xludf.DUMMYFUNCTION("""COMPUTED_VALUE"""),1.0)</f>
        <v>1</v>
      </c>
      <c r="C515" s="1"/>
      <c r="D515" s="1"/>
      <c r="E515" s="1">
        <f>IFERROR(__xludf.DUMMYFUNCTION("""COMPUTED_VALUE"""),1010.0)</f>
        <v>1010</v>
      </c>
      <c r="F515" s="7">
        <f>IFERROR(__xludf.DUMMYFUNCTION("""COMPUTED_VALUE"""),1010.0)</f>
        <v>1010</v>
      </c>
      <c r="G515" s="1">
        <f>IFERROR(__xludf.DUMMYFUNCTION("""COMPUTED_VALUE"""),1010.0)</f>
        <v>1010</v>
      </c>
      <c r="H515" s="1">
        <f>IFERROR(__xludf.DUMMYFUNCTION("""COMPUTED_VALUE"""),10.0)</f>
        <v>10</v>
      </c>
      <c r="I515" s="1">
        <f>IFERROR(__xludf.DUMMYFUNCTION("""COMPUTED_VALUE"""),0.0)</f>
        <v>0</v>
      </c>
      <c r="J515" s="1">
        <f>IFERROR(__xludf.DUMMYFUNCTION("""COMPUTED_VALUE"""),0.0)</f>
        <v>0</v>
      </c>
      <c r="K515" s="1">
        <f>IFERROR(__xludf.DUMMYFUNCTION("""COMPUTED_VALUE"""),100.0)</f>
        <v>100</v>
      </c>
      <c r="L515" s="1">
        <f>IFERROR(__xludf.DUMMYFUNCTION("""COMPUTED_VALUE"""),100.0)</f>
        <v>100</v>
      </c>
      <c r="M515" s="1" t="str">
        <f>IFERROR(__xludf.DUMMYFUNCTION("""COMPUTED_VALUE"""),"#N/A")</f>
        <v>#N/A</v>
      </c>
      <c r="N515" s="1" t="str">
        <f>IFERROR(__xludf.DUMMYFUNCTION("""COMPUTED_VALUE"""),"#N/A")</f>
        <v>#N/A</v>
      </c>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f>IFERROR(__xludf.DUMMYFUNCTION("""COMPUTED_VALUE"""),0.0)</f>
        <v>0</v>
      </c>
      <c r="BE515" s="9">
        <f>IFERROR(__xludf.DUMMYFUNCTION("""COMPUTED_VALUE"""),10.0)</f>
        <v>10</v>
      </c>
      <c r="BF515" s="1"/>
      <c r="BG515" s="1"/>
      <c r="BH515" s="1"/>
      <c r="BI515" s="1"/>
      <c r="BJ515" s="1"/>
      <c r="BK515" s="1"/>
      <c r="BL515" s="1" t="b">
        <f>IFERROR(__xludf.DUMMYFUNCTION("""COMPUTED_VALUE"""),FALSE)</f>
        <v>0</v>
      </c>
      <c r="BM515" s="1"/>
      <c r="BN515" s="1"/>
      <c r="BO515" s="1"/>
      <c r="BP515" s="1"/>
      <c r="BQ515" s="1"/>
    </row>
    <row r="516" ht="15.75" customHeight="1">
      <c r="A516" s="1"/>
      <c r="B516" s="1">
        <f>IFERROR(__xludf.DUMMYFUNCTION("""COMPUTED_VALUE"""),1.0)</f>
        <v>1</v>
      </c>
      <c r="C516" s="1"/>
      <c r="D516" s="1"/>
      <c r="E516" s="1">
        <f>IFERROR(__xludf.DUMMYFUNCTION("""COMPUTED_VALUE"""),1010.0)</f>
        <v>1010</v>
      </c>
      <c r="F516" s="7">
        <f>IFERROR(__xludf.DUMMYFUNCTION("""COMPUTED_VALUE"""),1010.0)</f>
        <v>1010</v>
      </c>
      <c r="G516" s="1">
        <f>IFERROR(__xludf.DUMMYFUNCTION("""COMPUTED_VALUE"""),1010.0)</f>
        <v>1010</v>
      </c>
      <c r="H516" s="1">
        <f>IFERROR(__xludf.DUMMYFUNCTION("""COMPUTED_VALUE"""),10.0)</f>
        <v>10</v>
      </c>
      <c r="I516" s="1">
        <f>IFERROR(__xludf.DUMMYFUNCTION("""COMPUTED_VALUE"""),0.0)</f>
        <v>0</v>
      </c>
      <c r="J516" s="1">
        <f>IFERROR(__xludf.DUMMYFUNCTION("""COMPUTED_VALUE"""),0.0)</f>
        <v>0</v>
      </c>
      <c r="K516" s="1">
        <f>IFERROR(__xludf.DUMMYFUNCTION("""COMPUTED_VALUE"""),100.0)</f>
        <v>100</v>
      </c>
      <c r="L516" s="1">
        <f>IFERROR(__xludf.DUMMYFUNCTION("""COMPUTED_VALUE"""),100.0)</f>
        <v>100</v>
      </c>
      <c r="M516" s="1" t="str">
        <f>IFERROR(__xludf.DUMMYFUNCTION("""COMPUTED_VALUE"""),"#N/A")</f>
        <v>#N/A</v>
      </c>
      <c r="N516" s="1" t="str">
        <f>IFERROR(__xludf.DUMMYFUNCTION("""COMPUTED_VALUE"""),"#N/A")</f>
        <v>#N/A</v>
      </c>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f>IFERROR(__xludf.DUMMYFUNCTION("""COMPUTED_VALUE"""),0.0)</f>
        <v>0</v>
      </c>
      <c r="BE516" s="9">
        <f>IFERROR(__xludf.DUMMYFUNCTION("""COMPUTED_VALUE"""),10.0)</f>
        <v>10</v>
      </c>
      <c r="BF516" s="1"/>
      <c r="BG516" s="1"/>
      <c r="BH516" s="1"/>
      <c r="BI516" s="1"/>
      <c r="BJ516" s="1"/>
      <c r="BK516" s="1"/>
      <c r="BL516" s="1" t="b">
        <f>IFERROR(__xludf.DUMMYFUNCTION("""COMPUTED_VALUE"""),FALSE)</f>
        <v>0</v>
      </c>
      <c r="BM516" s="1"/>
      <c r="BN516" s="1"/>
      <c r="BO516" s="1"/>
      <c r="BP516" s="1"/>
      <c r="BQ516" s="1"/>
    </row>
    <row r="517" ht="15.75" customHeight="1">
      <c r="A517" s="1"/>
      <c r="B517" s="1">
        <f>IFERROR(__xludf.DUMMYFUNCTION("""COMPUTED_VALUE"""),1.0)</f>
        <v>1</v>
      </c>
      <c r="C517" s="1"/>
      <c r="D517" s="1"/>
      <c r="E517" s="1">
        <f>IFERROR(__xludf.DUMMYFUNCTION("""COMPUTED_VALUE"""),1010.0)</f>
        <v>1010</v>
      </c>
      <c r="F517" s="7">
        <f>IFERROR(__xludf.DUMMYFUNCTION("""COMPUTED_VALUE"""),1010.0)</f>
        <v>1010</v>
      </c>
      <c r="G517" s="1">
        <f>IFERROR(__xludf.DUMMYFUNCTION("""COMPUTED_VALUE"""),1010.0)</f>
        <v>1010</v>
      </c>
      <c r="H517" s="1">
        <f>IFERROR(__xludf.DUMMYFUNCTION("""COMPUTED_VALUE"""),10.0)</f>
        <v>10</v>
      </c>
      <c r="I517" s="1">
        <f>IFERROR(__xludf.DUMMYFUNCTION("""COMPUTED_VALUE"""),0.0)</f>
        <v>0</v>
      </c>
      <c r="J517" s="1">
        <f>IFERROR(__xludf.DUMMYFUNCTION("""COMPUTED_VALUE"""),0.0)</f>
        <v>0</v>
      </c>
      <c r="K517" s="1">
        <f>IFERROR(__xludf.DUMMYFUNCTION("""COMPUTED_VALUE"""),100.0)</f>
        <v>100</v>
      </c>
      <c r="L517" s="1">
        <f>IFERROR(__xludf.DUMMYFUNCTION("""COMPUTED_VALUE"""),100.0)</f>
        <v>100</v>
      </c>
      <c r="M517" s="1" t="str">
        <f>IFERROR(__xludf.DUMMYFUNCTION("""COMPUTED_VALUE"""),"#N/A")</f>
        <v>#N/A</v>
      </c>
      <c r="N517" s="1" t="str">
        <f>IFERROR(__xludf.DUMMYFUNCTION("""COMPUTED_VALUE"""),"#N/A")</f>
        <v>#N/A</v>
      </c>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f>IFERROR(__xludf.DUMMYFUNCTION("""COMPUTED_VALUE"""),0.0)</f>
        <v>0</v>
      </c>
      <c r="BE517" s="9">
        <f>IFERROR(__xludf.DUMMYFUNCTION("""COMPUTED_VALUE"""),10.0)</f>
        <v>10</v>
      </c>
      <c r="BF517" s="1"/>
      <c r="BG517" s="1"/>
      <c r="BH517" s="1"/>
      <c r="BI517" s="1"/>
      <c r="BJ517" s="1"/>
      <c r="BK517" s="1"/>
      <c r="BL517" s="1" t="b">
        <f>IFERROR(__xludf.DUMMYFUNCTION("""COMPUTED_VALUE"""),FALSE)</f>
        <v>0</v>
      </c>
      <c r="BM517" s="1"/>
      <c r="BN517" s="1"/>
      <c r="BO517" s="1"/>
      <c r="BP517" s="1"/>
      <c r="BQ517" s="1"/>
    </row>
    <row r="518" ht="15.75" customHeight="1">
      <c r="A518" s="1"/>
      <c r="B518" s="1">
        <f>IFERROR(__xludf.DUMMYFUNCTION("""COMPUTED_VALUE"""),1.0)</f>
        <v>1</v>
      </c>
      <c r="C518" s="1"/>
      <c r="D518" s="1"/>
      <c r="E518" s="1">
        <f>IFERROR(__xludf.DUMMYFUNCTION("""COMPUTED_VALUE"""),1010.0)</f>
        <v>1010</v>
      </c>
      <c r="F518" s="7">
        <f>IFERROR(__xludf.DUMMYFUNCTION("""COMPUTED_VALUE"""),1010.0)</f>
        <v>1010</v>
      </c>
      <c r="G518" s="1">
        <f>IFERROR(__xludf.DUMMYFUNCTION("""COMPUTED_VALUE"""),1010.0)</f>
        <v>1010</v>
      </c>
      <c r="H518" s="1">
        <f>IFERROR(__xludf.DUMMYFUNCTION("""COMPUTED_VALUE"""),10.0)</f>
        <v>10</v>
      </c>
      <c r="I518" s="1">
        <f>IFERROR(__xludf.DUMMYFUNCTION("""COMPUTED_VALUE"""),0.0)</f>
        <v>0</v>
      </c>
      <c r="J518" s="1">
        <f>IFERROR(__xludf.DUMMYFUNCTION("""COMPUTED_VALUE"""),0.0)</f>
        <v>0</v>
      </c>
      <c r="K518" s="1">
        <f>IFERROR(__xludf.DUMMYFUNCTION("""COMPUTED_VALUE"""),100.0)</f>
        <v>100</v>
      </c>
      <c r="L518" s="1">
        <f>IFERROR(__xludf.DUMMYFUNCTION("""COMPUTED_VALUE"""),100.0)</f>
        <v>100</v>
      </c>
      <c r="M518" s="1" t="str">
        <f>IFERROR(__xludf.DUMMYFUNCTION("""COMPUTED_VALUE"""),"#N/A")</f>
        <v>#N/A</v>
      </c>
      <c r="N518" s="1" t="str">
        <f>IFERROR(__xludf.DUMMYFUNCTION("""COMPUTED_VALUE"""),"#N/A")</f>
        <v>#N/A</v>
      </c>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f>IFERROR(__xludf.DUMMYFUNCTION("""COMPUTED_VALUE"""),0.0)</f>
        <v>0</v>
      </c>
      <c r="BE518" s="9">
        <f>IFERROR(__xludf.DUMMYFUNCTION("""COMPUTED_VALUE"""),10.0)</f>
        <v>10</v>
      </c>
      <c r="BF518" s="1"/>
      <c r="BG518" s="1"/>
      <c r="BH518" s="1"/>
      <c r="BI518" s="1"/>
      <c r="BJ518" s="1"/>
      <c r="BK518" s="1"/>
      <c r="BL518" s="1" t="b">
        <f>IFERROR(__xludf.DUMMYFUNCTION("""COMPUTED_VALUE"""),FALSE)</f>
        <v>0</v>
      </c>
      <c r="BM518" s="1"/>
      <c r="BN518" s="1"/>
      <c r="BO518" s="1"/>
      <c r="BP518" s="1"/>
      <c r="BQ518" s="1"/>
    </row>
    <row r="519" ht="15.75" customHeight="1">
      <c r="A519" s="1"/>
      <c r="B519" s="1">
        <f>IFERROR(__xludf.DUMMYFUNCTION("""COMPUTED_VALUE"""),1.0)</f>
        <v>1</v>
      </c>
      <c r="C519" s="1"/>
      <c r="D519" s="1"/>
      <c r="E519" s="1">
        <f>IFERROR(__xludf.DUMMYFUNCTION("""COMPUTED_VALUE"""),1010.0)</f>
        <v>1010</v>
      </c>
      <c r="F519" s="7">
        <f>IFERROR(__xludf.DUMMYFUNCTION("""COMPUTED_VALUE"""),1010.0)</f>
        <v>1010</v>
      </c>
      <c r="G519" s="1">
        <f>IFERROR(__xludf.DUMMYFUNCTION("""COMPUTED_VALUE"""),1010.0)</f>
        <v>1010</v>
      </c>
      <c r="H519" s="1">
        <f>IFERROR(__xludf.DUMMYFUNCTION("""COMPUTED_VALUE"""),10.0)</f>
        <v>10</v>
      </c>
      <c r="I519" s="1">
        <f>IFERROR(__xludf.DUMMYFUNCTION("""COMPUTED_VALUE"""),0.0)</f>
        <v>0</v>
      </c>
      <c r="J519" s="1">
        <f>IFERROR(__xludf.DUMMYFUNCTION("""COMPUTED_VALUE"""),0.0)</f>
        <v>0</v>
      </c>
      <c r="K519" s="1">
        <f>IFERROR(__xludf.DUMMYFUNCTION("""COMPUTED_VALUE"""),100.0)</f>
        <v>100</v>
      </c>
      <c r="L519" s="1">
        <f>IFERROR(__xludf.DUMMYFUNCTION("""COMPUTED_VALUE"""),100.0)</f>
        <v>100</v>
      </c>
      <c r="M519" s="1" t="str">
        <f>IFERROR(__xludf.DUMMYFUNCTION("""COMPUTED_VALUE"""),"#N/A")</f>
        <v>#N/A</v>
      </c>
      <c r="N519" s="1" t="str">
        <f>IFERROR(__xludf.DUMMYFUNCTION("""COMPUTED_VALUE"""),"#N/A")</f>
        <v>#N/A</v>
      </c>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f>IFERROR(__xludf.DUMMYFUNCTION("""COMPUTED_VALUE"""),0.0)</f>
        <v>0</v>
      </c>
      <c r="BE519" s="9">
        <f>IFERROR(__xludf.DUMMYFUNCTION("""COMPUTED_VALUE"""),10.0)</f>
        <v>10</v>
      </c>
      <c r="BF519" s="1"/>
      <c r="BG519" s="1"/>
      <c r="BH519" s="1"/>
      <c r="BI519" s="1"/>
      <c r="BJ519" s="1"/>
      <c r="BK519" s="1"/>
      <c r="BL519" s="1" t="b">
        <f>IFERROR(__xludf.DUMMYFUNCTION("""COMPUTED_VALUE"""),FALSE)</f>
        <v>0</v>
      </c>
      <c r="BM519" s="1"/>
      <c r="BN519" s="1"/>
      <c r="BO519" s="1"/>
      <c r="BP519" s="1"/>
      <c r="BQ519" s="1"/>
    </row>
    <row r="520" ht="15.75" customHeight="1">
      <c r="A520" s="1"/>
      <c r="B520" s="1">
        <f>IFERROR(__xludf.DUMMYFUNCTION("""COMPUTED_VALUE"""),1.0)</f>
        <v>1</v>
      </c>
      <c r="C520" s="1"/>
      <c r="D520" s="1"/>
      <c r="E520" s="1">
        <f>IFERROR(__xludf.DUMMYFUNCTION("""COMPUTED_VALUE"""),1010.0)</f>
        <v>1010</v>
      </c>
      <c r="F520" s="7">
        <f>IFERROR(__xludf.DUMMYFUNCTION("""COMPUTED_VALUE"""),1010.0)</f>
        <v>1010</v>
      </c>
      <c r="G520" s="1">
        <f>IFERROR(__xludf.DUMMYFUNCTION("""COMPUTED_VALUE"""),1010.0)</f>
        <v>1010</v>
      </c>
      <c r="H520" s="1">
        <f>IFERROR(__xludf.DUMMYFUNCTION("""COMPUTED_VALUE"""),10.0)</f>
        <v>10</v>
      </c>
      <c r="I520" s="1">
        <f>IFERROR(__xludf.DUMMYFUNCTION("""COMPUTED_VALUE"""),0.0)</f>
        <v>0</v>
      </c>
      <c r="J520" s="1">
        <f>IFERROR(__xludf.DUMMYFUNCTION("""COMPUTED_VALUE"""),0.0)</f>
        <v>0</v>
      </c>
      <c r="K520" s="1">
        <f>IFERROR(__xludf.DUMMYFUNCTION("""COMPUTED_VALUE"""),100.0)</f>
        <v>100</v>
      </c>
      <c r="L520" s="1">
        <f>IFERROR(__xludf.DUMMYFUNCTION("""COMPUTED_VALUE"""),100.0)</f>
        <v>100</v>
      </c>
      <c r="M520" s="1" t="str">
        <f>IFERROR(__xludf.DUMMYFUNCTION("""COMPUTED_VALUE"""),"#N/A")</f>
        <v>#N/A</v>
      </c>
      <c r="N520" s="1" t="str">
        <f>IFERROR(__xludf.DUMMYFUNCTION("""COMPUTED_VALUE"""),"#N/A")</f>
        <v>#N/A</v>
      </c>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f>IFERROR(__xludf.DUMMYFUNCTION("""COMPUTED_VALUE"""),0.0)</f>
        <v>0</v>
      </c>
      <c r="BE520" s="9">
        <f>IFERROR(__xludf.DUMMYFUNCTION("""COMPUTED_VALUE"""),10.0)</f>
        <v>10</v>
      </c>
      <c r="BF520" s="1"/>
      <c r="BG520" s="1"/>
      <c r="BH520" s="1"/>
      <c r="BI520" s="1"/>
      <c r="BJ520" s="1"/>
      <c r="BK520" s="1"/>
      <c r="BL520" s="1" t="b">
        <f>IFERROR(__xludf.DUMMYFUNCTION("""COMPUTED_VALUE"""),FALSE)</f>
        <v>0</v>
      </c>
      <c r="BM520" s="1"/>
      <c r="BN520" s="1"/>
      <c r="BO520" s="1"/>
      <c r="BP520" s="1"/>
      <c r="BQ520" s="1"/>
    </row>
    <row r="521" ht="15.75" customHeight="1">
      <c r="A521" s="1"/>
      <c r="B521" s="1">
        <f>IFERROR(__xludf.DUMMYFUNCTION("""COMPUTED_VALUE"""),1.0)</f>
        <v>1</v>
      </c>
      <c r="C521" s="1"/>
      <c r="D521" s="1"/>
      <c r="E521" s="1">
        <f>IFERROR(__xludf.DUMMYFUNCTION("""COMPUTED_VALUE"""),1010.0)</f>
        <v>1010</v>
      </c>
      <c r="F521" s="7">
        <f>IFERROR(__xludf.DUMMYFUNCTION("""COMPUTED_VALUE"""),1010.0)</f>
        <v>1010</v>
      </c>
      <c r="G521" s="1">
        <f>IFERROR(__xludf.DUMMYFUNCTION("""COMPUTED_VALUE"""),1010.0)</f>
        <v>1010</v>
      </c>
      <c r="H521" s="1">
        <f>IFERROR(__xludf.DUMMYFUNCTION("""COMPUTED_VALUE"""),10.0)</f>
        <v>10</v>
      </c>
      <c r="I521" s="1">
        <f>IFERROR(__xludf.DUMMYFUNCTION("""COMPUTED_VALUE"""),0.0)</f>
        <v>0</v>
      </c>
      <c r="J521" s="1">
        <f>IFERROR(__xludf.DUMMYFUNCTION("""COMPUTED_VALUE"""),0.0)</f>
        <v>0</v>
      </c>
      <c r="K521" s="1">
        <f>IFERROR(__xludf.DUMMYFUNCTION("""COMPUTED_VALUE"""),100.0)</f>
        <v>100</v>
      </c>
      <c r="L521" s="1">
        <f>IFERROR(__xludf.DUMMYFUNCTION("""COMPUTED_VALUE"""),100.0)</f>
        <v>100</v>
      </c>
      <c r="M521" s="1" t="str">
        <f>IFERROR(__xludf.DUMMYFUNCTION("""COMPUTED_VALUE"""),"#N/A")</f>
        <v>#N/A</v>
      </c>
      <c r="N521" s="1" t="str">
        <f>IFERROR(__xludf.DUMMYFUNCTION("""COMPUTED_VALUE"""),"#N/A")</f>
        <v>#N/A</v>
      </c>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f>IFERROR(__xludf.DUMMYFUNCTION("""COMPUTED_VALUE"""),0.0)</f>
        <v>0</v>
      </c>
      <c r="BE521" s="9">
        <f>IFERROR(__xludf.DUMMYFUNCTION("""COMPUTED_VALUE"""),10.0)</f>
        <v>10</v>
      </c>
      <c r="BF521" s="1"/>
      <c r="BG521" s="1"/>
      <c r="BH521" s="1"/>
      <c r="BI521" s="1"/>
      <c r="BJ521" s="1"/>
      <c r="BK521" s="1"/>
      <c r="BL521" s="1" t="b">
        <f>IFERROR(__xludf.DUMMYFUNCTION("""COMPUTED_VALUE"""),FALSE)</f>
        <v>0</v>
      </c>
      <c r="BM521" s="1"/>
      <c r="BN521" s="1"/>
      <c r="BO521" s="1"/>
      <c r="BP521" s="1"/>
      <c r="BQ521" s="1"/>
    </row>
    <row r="522" ht="15.75" customHeight="1">
      <c r="A522" s="1"/>
      <c r="B522" s="1">
        <f>IFERROR(__xludf.DUMMYFUNCTION("""COMPUTED_VALUE"""),1.0)</f>
        <v>1</v>
      </c>
      <c r="C522" s="1"/>
      <c r="D522" s="1"/>
      <c r="E522" s="1">
        <f>IFERROR(__xludf.DUMMYFUNCTION("""COMPUTED_VALUE"""),1010.0)</f>
        <v>1010</v>
      </c>
      <c r="F522" s="7">
        <f>IFERROR(__xludf.DUMMYFUNCTION("""COMPUTED_VALUE"""),1010.0)</f>
        <v>1010</v>
      </c>
      <c r="G522" s="1">
        <f>IFERROR(__xludf.DUMMYFUNCTION("""COMPUTED_VALUE"""),1010.0)</f>
        <v>1010</v>
      </c>
      <c r="H522" s="1">
        <f>IFERROR(__xludf.DUMMYFUNCTION("""COMPUTED_VALUE"""),10.0)</f>
        <v>10</v>
      </c>
      <c r="I522" s="1">
        <f>IFERROR(__xludf.DUMMYFUNCTION("""COMPUTED_VALUE"""),0.0)</f>
        <v>0</v>
      </c>
      <c r="J522" s="1">
        <f>IFERROR(__xludf.DUMMYFUNCTION("""COMPUTED_VALUE"""),0.0)</f>
        <v>0</v>
      </c>
      <c r="K522" s="1">
        <f>IFERROR(__xludf.DUMMYFUNCTION("""COMPUTED_VALUE"""),100.0)</f>
        <v>100</v>
      </c>
      <c r="L522" s="1">
        <f>IFERROR(__xludf.DUMMYFUNCTION("""COMPUTED_VALUE"""),100.0)</f>
        <v>100</v>
      </c>
      <c r="M522" s="1" t="str">
        <f>IFERROR(__xludf.DUMMYFUNCTION("""COMPUTED_VALUE"""),"#N/A")</f>
        <v>#N/A</v>
      </c>
      <c r="N522" s="1" t="str">
        <f>IFERROR(__xludf.DUMMYFUNCTION("""COMPUTED_VALUE"""),"#N/A")</f>
        <v>#N/A</v>
      </c>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f>IFERROR(__xludf.DUMMYFUNCTION("""COMPUTED_VALUE"""),0.0)</f>
        <v>0</v>
      </c>
      <c r="BE522" s="9">
        <f>IFERROR(__xludf.DUMMYFUNCTION("""COMPUTED_VALUE"""),10.0)</f>
        <v>10</v>
      </c>
      <c r="BF522" s="1"/>
      <c r="BG522" s="1"/>
      <c r="BH522" s="1"/>
      <c r="BI522" s="1"/>
      <c r="BJ522" s="1"/>
      <c r="BK522" s="1"/>
      <c r="BL522" s="1" t="b">
        <f>IFERROR(__xludf.DUMMYFUNCTION("""COMPUTED_VALUE"""),FALSE)</f>
        <v>0</v>
      </c>
      <c r="BM522" s="1"/>
      <c r="BN522" s="1"/>
      <c r="BO522" s="1"/>
      <c r="BP522" s="1"/>
      <c r="BQ522" s="1"/>
    </row>
    <row r="523" ht="15.75" customHeight="1">
      <c r="A523" s="1"/>
      <c r="B523" s="1">
        <f>IFERROR(__xludf.DUMMYFUNCTION("""COMPUTED_VALUE"""),1.0)</f>
        <v>1</v>
      </c>
      <c r="C523" s="1"/>
      <c r="D523" s="1"/>
      <c r="E523" s="1">
        <f>IFERROR(__xludf.DUMMYFUNCTION("""COMPUTED_VALUE"""),1010.0)</f>
        <v>1010</v>
      </c>
      <c r="F523" s="7">
        <f>IFERROR(__xludf.DUMMYFUNCTION("""COMPUTED_VALUE"""),1010.0)</f>
        <v>1010</v>
      </c>
      <c r="G523" s="1">
        <f>IFERROR(__xludf.DUMMYFUNCTION("""COMPUTED_VALUE"""),1010.0)</f>
        <v>1010</v>
      </c>
      <c r="H523" s="1">
        <f>IFERROR(__xludf.DUMMYFUNCTION("""COMPUTED_VALUE"""),10.0)</f>
        <v>10</v>
      </c>
      <c r="I523" s="1">
        <f>IFERROR(__xludf.DUMMYFUNCTION("""COMPUTED_VALUE"""),0.0)</f>
        <v>0</v>
      </c>
      <c r="J523" s="1">
        <f>IFERROR(__xludf.DUMMYFUNCTION("""COMPUTED_VALUE"""),0.0)</f>
        <v>0</v>
      </c>
      <c r="K523" s="1">
        <f>IFERROR(__xludf.DUMMYFUNCTION("""COMPUTED_VALUE"""),100.0)</f>
        <v>100</v>
      </c>
      <c r="L523" s="1">
        <f>IFERROR(__xludf.DUMMYFUNCTION("""COMPUTED_VALUE"""),100.0)</f>
        <v>100</v>
      </c>
      <c r="M523" s="1" t="str">
        <f>IFERROR(__xludf.DUMMYFUNCTION("""COMPUTED_VALUE"""),"#N/A")</f>
        <v>#N/A</v>
      </c>
      <c r="N523" s="1" t="str">
        <f>IFERROR(__xludf.DUMMYFUNCTION("""COMPUTED_VALUE"""),"#N/A")</f>
        <v>#N/A</v>
      </c>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f>IFERROR(__xludf.DUMMYFUNCTION("""COMPUTED_VALUE"""),0.0)</f>
        <v>0</v>
      </c>
      <c r="BE523" s="9">
        <f>IFERROR(__xludf.DUMMYFUNCTION("""COMPUTED_VALUE"""),10.0)</f>
        <v>10</v>
      </c>
      <c r="BF523" s="1"/>
      <c r="BG523" s="1"/>
      <c r="BH523" s="1"/>
      <c r="BI523" s="1"/>
      <c r="BJ523" s="1"/>
      <c r="BK523" s="1"/>
      <c r="BL523" s="1" t="b">
        <f>IFERROR(__xludf.DUMMYFUNCTION("""COMPUTED_VALUE"""),FALSE)</f>
        <v>0</v>
      </c>
      <c r="BM523" s="1"/>
      <c r="BN523" s="1"/>
      <c r="BO523" s="1"/>
      <c r="BP523" s="1"/>
      <c r="BQ523" s="1"/>
    </row>
    <row r="524" ht="15.75" customHeight="1">
      <c r="A524" s="1"/>
      <c r="B524" s="1">
        <f>IFERROR(__xludf.DUMMYFUNCTION("""COMPUTED_VALUE"""),1.0)</f>
        <v>1</v>
      </c>
      <c r="C524" s="1"/>
      <c r="D524" s="1"/>
      <c r="E524" s="1">
        <f>IFERROR(__xludf.DUMMYFUNCTION("""COMPUTED_VALUE"""),1010.0)</f>
        <v>1010</v>
      </c>
      <c r="F524" s="7">
        <f>IFERROR(__xludf.DUMMYFUNCTION("""COMPUTED_VALUE"""),1010.0)</f>
        <v>1010</v>
      </c>
      <c r="G524" s="1">
        <f>IFERROR(__xludf.DUMMYFUNCTION("""COMPUTED_VALUE"""),1010.0)</f>
        <v>1010</v>
      </c>
      <c r="H524" s="1">
        <f>IFERROR(__xludf.DUMMYFUNCTION("""COMPUTED_VALUE"""),10.0)</f>
        <v>10</v>
      </c>
      <c r="I524" s="1">
        <f>IFERROR(__xludf.DUMMYFUNCTION("""COMPUTED_VALUE"""),0.0)</f>
        <v>0</v>
      </c>
      <c r="J524" s="1">
        <f>IFERROR(__xludf.DUMMYFUNCTION("""COMPUTED_VALUE"""),0.0)</f>
        <v>0</v>
      </c>
      <c r="K524" s="1">
        <f>IFERROR(__xludf.DUMMYFUNCTION("""COMPUTED_VALUE"""),100.0)</f>
        <v>100</v>
      </c>
      <c r="L524" s="1">
        <f>IFERROR(__xludf.DUMMYFUNCTION("""COMPUTED_VALUE"""),100.0)</f>
        <v>100</v>
      </c>
      <c r="M524" s="1" t="str">
        <f>IFERROR(__xludf.DUMMYFUNCTION("""COMPUTED_VALUE"""),"#N/A")</f>
        <v>#N/A</v>
      </c>
      <c r="N524" s="1" t="str">
        <f>IFERROR(__xludf.DUMMYFUNCTION("""COMPUTED_VALUE"""),"#N/A")</f>
        <v>#N/A</v>
      </c>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f>IFERROR(__xludf.DUMMYFUNCTION("""COMPUTED_VALUE"""),0.0)</f>
        <v>0</v>
      </c>
      <c r="BE524" s="9">
        <f>IFERROR(__xludf.DUMMYFUNCTION("""COMPUTED_VALUE"""),10.0)</f>
        <v>10</v>
      </c>
      <c r="BF524" s="1"/>
      <c r="BG524" s="1"/>
      <c r="BH524" s="1"/>
      <c r="BI524" s="1"/>
      <c r="BJ524" s="1"/>
      <c r="BK524" s="1"/>
      <c r="BL524" s="1" t="b">
        <f>IFERROR(__xludf.DUMMYFUNCTION("""COMPUTED_VALUE"""),FALSE)</f>
        <v>0</v>
      </c>
      <c r="BM524" s="1"/>
      <c r="BN524" s="1"/>
      <c r="BO524" s="1"/>
      <c r="BP524" s="1"/>
      <c r="BQ524" s="1"/>
    </row>
    <row r="525" ht="15.75" customHeight="1">
      <c r="A525" s="1"/>
      <c r="B525" s="1">
        <f>IFERROR(__xludf.DUMMYFUNCTION("""COMPUTED_VALUE"""),1.0)</f>
        <v>1</v>
      </c>
      <c r="C525" s="1"/>
      <c r="D525" s="1"/>
      <c r="E525" s="1">
        <f>IFERROR(__xludf.DUMMYFUNCTION("""COMPUTED_VALUE"""),1010.0)</f>
        <v>1010</v>
      </c>
      <c r="F525" s="7">
        <f>IFERROR(__xludf.DUMMYFUNCTION("""COMPUTED_VALUE"""),1010.0)</f>
        <v>1010</v>
      </c>
      <c r="G525" s="1">
        <f>IFERROR(__xludf.DUMMYFUNCTION("""COMPUTED_VALUE"""),1010.0)</f>
        <v>1010</v>
      </c>
      <c r="H525" s="1">
        <f>IFERROR(__xludf.DUMMYFUNCTION("""COMPUTED_VALUE"""),10.0)</f>
        <v>10</v>
      </c>
      <c r="I525" s="1">
        <f>IFERROR(__xludf.DUMMYFUNCTION("""COMPUTED_VALUE"""),0.0)</f>
        <v>0</v>
      </c>
      <c r="J525" s="1">
        <f>IFERROR(__xludf.DUMMYFUNCTION("""COMPUTED_VALUE"""),0.0)</f>
        <v>0</v>
      </c>
      <c r="K525" s="1">
        <f>IFERROR(__xludf.DUMMYFUNCTION("""COMPUTED_VALUE"""),100.0)</f>
        <v>100</v>
      </c>
      <c r="L525" s="1">
        <f>IFERROR(__xludf.DUMMYFUNCTION("""COMPUTED_VALUE"""),100.0)</f>
        <v>100</v>
      </c>
      <c r="M525" s="1" t="str">
        <f>IFERROR(__xludf.DUMMYFUNCTION("""COMPUTED_VALUE"""),"#N/A")</f>
        <v>#N/A</v>
      </c>
      <c r="N525" s="1" t="str">
        <f>IFERROR(__xludf.DUMMYFUNCTION("""COMPUTED_VALUE"""),"#N/A")</f>
        <v>#N/A</v>
      </c>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f>IFERROR(__xludf.DUMMYFUNCTION("""COMPUTED_VALUE"""),0.0)</f>
        <v>0</v>
      </c>
      <c r="BE525" s="9">
        <f>IFERROR(__xludf.DUMMYFUNCTION("""COMPUTED_VALUE"""),10.0)</f>
        <v>10</v>
      </c>
      <c r="BF525" s="1"/>
      <c r="BG525" s="1"/>
      <c r="BH525" s="1"/>
      <c r="BI525" s="1"/>
      <c r="BJ525" s="1"/>
      <c r="BK525" s="1"/>
      <c r="BL525" s="1" t="b">
        <f>IFERROR(__xludf.DUMMYFUNCTION("""COMPUTED_VALUE"""),FALSE)</f>
        <v>0</v>
      </c>
      <c r="BM525" s="1"/>
      <c r="BN525" s="1"/>
      <c r="BO525" s="1"/>
      <c r="BP525" s="1"/>
      <c r="BQ525" s="1"/>
    </row>
    <row r="526" ht="15.75" customHeight="1">
      <c r="A526" s="1"/>
      <c r="B526" s="1">
        <f>IFERROR(__xludf.DUMMYFUNCTION("""COMPUTED_VALUE"""),1.0)</f>
        <v>1</v>
      </c>
      <c r="C526" s="1"/>
      <c r="D526" s="1"/>
      <c r="E526" s="1">
        <f>IFERROR(__xludf.DUMMYFUNCTION("""COMPUTED_VALUE"""),1010.0)</f>
        <v>1010</v>
      </c>
      <c r="F526" s="7">
        <f>IFERROR(__xludf.DUMMYFUNCTION("""COMPUTED_VALUE"""),1010.0)</f>
        <v>1010</v>
      </c>
      <c r="G526" s="1">
        <f>IFERROR(__xludf.DUMMYFUNCTION("""COMPUTED_VALUE"""),1010.0)</f>
        <v>1010</v>
      </c>
      <c r="H526" s="1">
        <f>IFERROR(__xludf.DUMMYFUNCTION("""COMPUTED_VALUE"""),10.0)</f>
        <v>10</v>
      </c>
      <c r="I526" s="1">
        <f>IFERROR(__xludf.DUMMYFUNCTION("""COMPUTED_VALUE"""),0.0)</f>
        <v>0</v>
      </c>
      <c r="J526" s="1">
        <f>IFERROR(__xludf.DUMMYFUNCTION("""COMPUTED_VALUE"""),0.0)</f>
        <v>0</v>
      </c>
      <c r="K526" s="1">
        <f>IFERROR(__xludf.DUMMYFUNCTION("""COMPUTED_VALUE"""),100.0)</f>
        <v>100</v>
      </c>
      <c r="L526" s="1">
        <f>IFERROR(__xludf.DUMMYFUNCTION("""COMPUTED_VALUE"""),100.0)</f>
        <v>100</v>
      </c>
      <c r="M526" s="1" t="str">
        <f>IFERROR(__xludf.DUMMYFUNCTION("""COMPUTED_VALUE"""),"#N/A")</f>
        <v>#N/A</v>
      </c>
      <c r="N526" s="1" t="str">
        <f>IFERROR(__xludf.DUMMYFUNCTION("""COMPUTED_VALUE"""),"#N/A")</f>
        <v>#N/A</v>
      </c>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f>IFERROR(__xludf.DUMMYFUNCTION("""COMPUTED_VALUE"""),0.0)</f>
        <v>0</v>
      </c>
      <c r="BE526" s="9">
        <f>IFERROR(__xludf.DUMMYFUNCTION("""COMPUTED_VALUE"""),10.0)</f>
        <v>10</v>
      </c>
      <c r="BF526" s="1"/>
      <c r="BG526" s="1"/>
      <c r="BH526" s="1"/>
      <c r="BI526" s="1"/>
      <c r="BJ526" s="1"/>
      <c r="BK526" s="1"/>
      <c r="BL526" s="1" t="b">
        <f>IFERROR(__xludf.DUMMYFUNCTION("""COMPUTED_VALUE"""),FALSE)</f>
        <v>0</v>
      </c>
      <c r="BM526" s="1"/>
      <c r="BN526" s="1"/>
      <c r="BO526" s="1"/>
      <c r="BP526" s="1"/>
      <c r="BQ526" s="1"/>
    </row>
    <row r="527" ht="15.75" customHeight="1">
      <c r="A527" s="1"/>
      <c r="B527" s="1">
        <f>IFERROR(__xludf.DUMMYFUNCTION("""COMPUTED_VALUE"""),1.0)</f>
        <v>1</v>
      </c>
      <c r="C527" s="1"/>
      <c r="D527" s="1"/>
      <c r="E527" s="1">
        <f>IFERROR(__xludf.DUMMYFUNCTION("""COMPUTED_VALUE"""),1010.0)</f>
        <v>1010</v>
      </c>
      <c r="F527" s="7">
        <f>IFERROR(__xludf.DUMMYFUNCTION("""COMPUTED_VALUE"""),1010.0)</f>
        <v>1010</v>
      </c>
      <c r="G527" s="1">
        <f>IFERROR(__xludf.DUMMYFUNCTION("""COMPUTED_VALUE"""),1010.0)</f>
        <v>1010</v>
      </c>
      <c r="H527" s="1">
        <f>IFERROR(__xludf.DUMMYFUNCTION("""COMPUTED_VALUE"""),10.0)</f>
        <v>10</v>
      </c>
      <c r="I527" s="1">
        <f>IFERROR(__xludf.DUMMYFUNCTION("""COMPUTED_VALUE"""),0.0)</f>
        <v>0</v>
      </c>
      <c r="J527" s="1">
        <f>IFERROR(__xludf.DUMMYFUNCTION("""COMPUTED_VALUE"""),0.0)</f>
        <v>0</v>
      </c>
      <c r="K527" s="1">
        <f>IFERROR(__xludf.DUMMYFUNCTION("""COMPUTED_VALUE"""),100.0)</f>
        <v>100</v>
      </c>
      <c r="L527" s="1">
        <f>IFERROR(__xludf.DUMMYFUNCTION("""COMPUTED_VALUE"""),100.0)</f>
        <v>100</v>
      </c>
      <c r="M527" s="1" t="str">
        <f>IFERROR(__xludf.DUMMYFUNCTION("""COMPUTED_VALUE"""),"#N/A")</f>
        <v>#N/A</v>
      </c>
      <c r="N527" s="1" t="str">
        <f>IFERROR(__xludf.DUMMYFUNCTION("""COMPUTED_VALUE"""),"#N/A")</f>
        <v>#N/A</v>
      </c>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f>IFERROR(__xludf.DUMMYFUNCTION("""COMPUTED_VALUE"""),0.0)</f>
        <v>0</v>
      </c>
      <c r="BE527" s="9">
        <f>IFERROR(__xludf.DUMMYFUNCTION("""COMPUTED_VALUE"""),10.0)</f>
        <v>10</v>
      </c>
      <c r="BF527" s="1"/>
      <c r="BG527" s="1"/>
      <c r="BH527" s="1"/>
      <c r="BI527" s="1"/>
      <c r="BJ527" s="1"/>
      <c r="BK527" s="1"/>
      <c r="BL527" s="1" t="b">
        <f>IFERROR(__xludf.DUMMYFUNCTION("""COMPUTED_VALUE"""),FALSE)</f>
        <v>0</v>
      </c>
      <c r="BM527" s="1"/>
      <c r="BN527" s="1"/>
      <c r="BO527" s="1"/>
      <c r="BP527" s="1"/>
      <c r="BQ527" s="1"/>
    </row>
    <row r="528" ht="15.75" customHeight="1">
      <c r="A528" s="1"/>
      <c r="B528" s="1">
        <f>IFERROR(__xludf.DUMMYFUNCTION("""COMPUTED_VALUE"""),1.0)</f>
        <v>1</v>
      </c>
      <c r="C528" s="1"/>
      <c r="D528" s="1"/>
      <c r="E528" s="1">
        <f>IFERROR(__xludf.DUMMYFUNCTION("""COMPUTED_VALUE"""),1010.0)</f>
        <v>1010</v>
      </c>
      <c r="F528" s="7">
        <f>IFERROR(__xludf.DUMMYFUNCTION("""COMPUTED_VALUE"""),1010.0)</f>
        <v>1010</v>
      </c>
      <c r="G528" s="1">
        <f>IFERROR(__xludf.DUMMYFUNCTION("""COMPUTED_VALUE"""),1010.0)</f>
        <v>1010</v>
      </c>
      <c r="H528" s="1">
        <f>IFERROR(__xludf.DUMMYFUNCTION("""COMPUTED_VALUE"""),10.0)</f>
        <v>10</v>
      </c>
      <c r="I528" s="1">
        <f>IFERROR(__xludf.DUMMYFUNCTION("""COMPUTED_VALUE"""),0.0)</f>
        <v>0</v>
      </c>
      <c r="J528" s="1">
        <f>IFERROR(__xludf.DUMMYFUNCTION("""COMPUTED_VALUE"""),0.0)</f>
        <v>0</v>
      </c>
      <c r="K528" s="1">
        <f>IFERROR(__xludf.DUMMYFUNCTION("""COMPUTED_VALUE"""),100.0)</f>
        <v>100</v>
      </c>
      <c r="L528" s="1">
        <f>IFERROR(__xludf.DUMMYFUNCTION("""COMPUTED_VALUE"""),100.0)</f>
        <v>100</v>
      </c>
      <c r="M528" s="1" t="str">
        <f>IFERROR(__xludf.DUMMYFUNCTION("""COMPUTED_VALUE"""),"#N/A")</f>
        <v>#N/A</v>
      </c>
      <c r="N528" s="1" t="str">
        <f>IFERROR(__xludf.DUMMYFUNCTION("""COMPUTED_VALUE"""),"#N/A")</f>
        <v>#N/A</v>
      </c>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f>IFERROR(__xludf.DUMMYFUNCTION("""COMPUTED_VALUE"""),0.0)</f>
        <v>0</v>
      </c>
      <c r="BE528" s="9">
        <f>IFERROR(__xludf.DUMMYFUNCTION("""COMPUTED_VALUE"""),10.0)</f>
        <v>10</v>
      </c>
      <c r="BF528" s="1"/>
      <c r="BG528" s="1"/>
      <c r="BH528" s="1"/>
      <c r="BI528" s="1"/>
      <c r="BJ528" s="1"/>
      <c r="BK528" s="1"/>
      <c r="BL528" s="1" t="b">
        <f>IFERROR(__xludf.DUMMYFUNCTION("""COMPUTED_VALUE"""),FALSE)</f>
        <v>0</v>
      </c>
      <c r="BM528" s="1"/>
      <c r="BN528" s="1"/>
      <c r="BO528" s="1"/>
      <c r="BP528" s="1"/>
      <c r="BQ528" s="1"/>
    </row>
    <row r="529" ht="15.75" customHeight="1">
      <c r="A529" s="1"/>
      <c r="B529" s="1">
        <f>IFERROR(__xludf.DUMMYFUNCTION("""COMPUTED_VALUE"""),1.0)</f>
        <v>1</v>
      </c>
      <c r="C529" s="1"/>
      <c r="D529" s="1"/>
      <c r="E529" s="1">
        <f>IFERROR(__xludf.DUMMYFUNCTION("""COMPUTED_VALUE"""),1010.0)</f>
        <v>1010</v>
      </c>
      <c r="F529" s="7">
        <f>IFERROR(__xludf.DUMMYFUNCTION("""COMPUTED_VALUE"""),1010.0)</f>
        <v>1010</v>
      </c>
      <c r="G529" s="1">
        <f>IFERROR(__xludf.DUMMYFUNCTION("""COMPUTED_VALUE"""),1010.0)</f>
        <v>1010</v>
      </c>
      <c r="H529" s="1">
        <f>IFERROR(__xludf.DUMMYFUNCTION("""COMPUTED_VALUE"""),10.0)</f>
        <v>10</v>
      </c>
      <c r="I529" s="1">
        <f>IFERROR(__xludf.DUMMYFUNCTION("""COMPUTED_VALUE"""),0.0)</f>
        <v>0</v>
      </c>
      <c r="J529" s="1">
        <f>IFERROR(__xludf.DUMMYFUNCTION("""COMPUTED_VALUE"""),0.0)</f>
        <v>0</v>
      </c>
      <c r="K529" s="1">
        <f>IFERROR(__xludf.DUMMYFUNCTION("""COMPUTED_VALUE"""),100.0)</f>
        <v>100</v>
      </c>
      <c r="L529" s="1">
        <f>IFERROR(__xludf.DUMMYFUNCTION("""COMPUTED_VALUE"""),100.0)</f>
        <v>100</v>
      </c>
      <c r="M529" s="1" t="str">
        <f>IFERROR(__xludf.DUMMYFUNCTION("""COMPUTED_VALUE"""),"#N/A")</f>
        <v>#N/A</v>
      </c>
      <c r="N529" s="1" t="str">
        <f>IFERROR(__xludf.DUMMYFUNCTION("""COMPUTED_VALUE"""),"#N/A")</f>
        <v>#N/A</v>
      </c>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f>IFERROR(__xludf.DUMMYFUNCTION("""COMPUTED_VALUE"""),0.0)</f>
        <v>0</v>
      </c>
      <c r="BE529" s="9">
        <f>IFERROR(__xludf.DUMMYFUNCTION("""COMPUTED_VALUE"""),10.0)</f>
        <v>10</v>
      </c>
      <c r="BF529" s="1"/>
      <c r="BG529" s="1"/>
      <c r="BH529" s="1"/>
      <c r="BI529" s="1"/>
      <c r="BJ529" s="1"/>
      <c r="BK529" s="1"/>
      <c r="BL529" s="1" t="b">
        <f>IFERROR(__xludf.DUMMYFUNCTION("""COMPUTED_VALUE"""),FALSE)</f>
        <v>0</v>
      </c>
      <c r="BM529" s="1"/>
      <c r="BN529" s="1"/>
      <c r="BO529" s="1"/>
      <c r="BP529" s="1"/>
      <c r="BQ529" s="1"/>
    </row>
    <row r="530" ht="15.75" customHeight="1">
      <c r="A530" s="1"/>
      <c r="B530" s="1">
        <f>IFERROR(__xludf.DUMMYFUNCTION("""COMPUTED_VALUE"""),1.0)</f>
        <v>1</v>
      </c>
      <c r="C530" s="1"/>
      <c r="D530" s="1"/>
      <c r="E530" s="1">
        <f>IFERROR(__xludf.DUMMYFUNCTION("""COMPUTED_VALUE"""),1010.0)</f>
        <v>1010</v>
      </c>
      <c r="F530" s="7">
        <f>IFERROR(__xludf.DUMMYFUNCTION("""COMPUTED_VALUE"""),1010.0)</f>
        <v>1010</v>
      </c>
      <c r="G530" s="1">
        <f>IFERROR(__xludf.DUMMYFUNCTION("""COMPUTED_VALUE"""),1010.0)</f>
        <v>1010</v>
      </c>
      <c r="H530" s="1">
        <f>IFERROR(__xludf.DUMMYFUNCTION("""COMPUTED_VALUE"""),10.0)</f>
        <v>10</v>
      </c>
      <c r="I530" s="1">
        <f>IFERROR(__xludf.DUMMYFUNCTION("""COMPUTED_VALUE"""),0.0)</f>
        <v>0</v>
      </c>
      <c r="J530" s="1">
        <f>IFERROR(__xludf.DUMMYFUNCTION("""COMPUTED_VALUE"""),0.0)</f>
        <v>0</v>
      </c>
      <c r="K530" s="1">
        <f>IFERROR(__xludf.DUMMYFUNCTION("""COMPUTED_VALUE"""),100.0)</f>
        <v>100</v>
      </c>
      <c r="L530" s="1">
        <f>IFERROR(__xludf.DUMMYFUNCTION("""COMPUTED_VALUE"""),100.0)</f>
        <v>100</v>
      </c>
      <c r="M530" s="1" t="str">
        <f>IFERROR(__xludf.DUMMYFUNCTION("""COMPUTED_VALUE"""),"#N/A")</f>
        <v>#N/A</v>
      </c>
      <c r="N530" s="1" t="str">
        <f>IFERROR(__xludf.DUMMYFUNCTION("""COMPUTED_VALUE"""),"#N/A")</f>
        <v>#N/A</v>
      </c>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f>IFERROR(__xludf.DUMMYFUNCTION("""COMPUTED_VALUE"""),0.0)</f>
        <v>0</v>
      </c>
      <c r="BE530" s="9">
        <f>IFERROR(__xludf.DUMMYFUNCTION("""COMPUTED_VALUE"""),10.0)</f>
        <v>10</v>
      </c>
      <c r="BF530" s="1"/>
      <c r="BG530" s="1"/>
      <c r="BH530" s="1"/>
      <c r="BI530" s="1"/>
      <c r="BJ530" s="1"/>
      <c r="BK530" s="1"/>
      <c r="BL530" s="1" t="b">
        <f>IFERROR(__xludf.DUMMYFUNCTION("""COMPUTED_VALUE"""),FALSE)</f>
        <v>0</v>
      </c>
      <c r="BM530" s="1"/>
      <c r="BN530" s="1"/>
      <c r="BO530" s="1"/>
      <c r="BP530" s="1"/>
      <c r="BQ530" s="1"/>
    </row>
    <row r="531" ht="15.75" customHeight="1">
      <c r="A531" s="1"/>
      <c r="B531" s="1">
        <f>IFERROR(__xludf.DUMMYFUNCTION("""COMPUTED_VALUE"""),1.0)</f>
        <v>1</v>
      </c>
      <c r="C531" s="1"/>
      <c r="D531" s="1"/>
      <c r="E531" s="1">
        <f>IFERROR(__xludf.DUMMYFUNCTION("""COMPUTED_VALUE"""),1010.0)</f>
        <v>1010</v>
      </c>
      <c r="F531" s="7">
        <f>IFERROR(__xludf.DUMMYFUNCTION("""COMPUTED_VALUE"""),1010.0)</f>
        <v>1010</v>
      </c>
      <c r="G531" s="1">
        <f>IFERROR(__xludf.DUMMYFUNCTION("""COMPUTED_VALUE"""),1010.0)</f>
        <v>1010</v>
      </c>
      <c r="H531" s="1">
        <f>IFERROR(__xludf.DUMMYFUNCTION("""COMPUTED_VALUE"""),10.0)</f>
        <v>10</v>
      </c>
      <c r="I531" s="1">
        <f>IFERROR(__xludf.DUMMYFUNCTION("""COMPUTED_VALUE"""),0.0)</f>
        <v>0</v>
      </c>
      <c r="J531" s="1">
        <f>IFERROR(__xludf.DUMMYFUNCTION("""COMPUTED_VALUE"""),0.0)</f>
        <v>0</v>
      </c>
      <c r="K531" s="1">
        <f>IFERROR(__xludf.DUMMYFUNCTION("""COMPUTED_VALUE"""),100.0)</f>
        <v>100</v>
      </c>
      <c r="L531" s="1">
        <f>IFERROR(__xludf.DUMMYFUNCTION("""COMPUTED_VALUE"""),100.0)</f>
        <v>100</v>
      </c>
      <c r="M531" s="1" t="str">
        <f>IFERROR(__xludf.DUMMYFUNCTION("""COMPUTED_VALUE"""),"#N/A")</f>
        <v>#N/A</v>
      </c>
      <c r="N531" s="1" t="str">
        <f>IFERROR(__xludf.DUMMYFUNCTION("""COMPUTED_VALUE"""),"#N/A")</f>
        <v>#N/A</v>
      </c>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f>IFERROR(__xludf.DUMMYFUNCTION("""COMPUTED_VALUE"""),0.0)</f>
        <v>0</v>
      </c>
      <c r="BE531" s="9">
        <f>IFERROR(__xludf.DUMMYFUNCTION("""COMPUTED_VALUE"""),10.0)</f>
        <v>10</v>
      </c>
      <c r="BF531" s="1"/>
      <c r="BG531" s="1"/>
      <c r="BH531" s="1"/>
      <c r="BI531" s="1"/>
      <c r="BJ531" s="1"/>
      <c r="BK531" s="1"/>
      <c r="BL531" s="1" t="b">
        <f>IFERROR(__xludf.DUMMYFUNCTION("""COMPUTED_VALUE"""),FALSE)</f>
        <v>0</v>
      </c>
      <c r="BM531" s="1"/>
      <c r="BN531" s="1"/>
      <c r="BO531" s="1"/>
      <c r="BP531" s="1"/>
      <c r="BQ531" s="1"/>
    </row>
    <row r="532" ht="15.75" customHeight="1">
      <c r="A532" s="1"/>
      <c r="B532" s="1">
        <f>IFERROR(__xludf.DUMMYFUNCTION("""COMPUTED_VALUE"""),1.0)</f>
        <v>1</v>
      </c>
      <c r="C532" s="1"/>
      <c r="D532" s="1"/>
      <c r="E532" s="1">
        <f>IFERROR(__xludf.DUMMYFUNCTION("""COMPUTED_VALUE"""),1010.0)</f>
        <v>1010</v>
      </c>
      <c r="F532" s="7">
        <f>IFERROR(__xludf.DUMMYFUNCTION("""COMPUTED_VALUE"""),1010.0)</f>
        <v>1010</v>
      </c>
      <c r="G532" s="1">
        <f>IFERROR(__xludf.DUMMYFUNCTION("""COMPUTED_VALUE"""),1010.0)</f>
        <v>1010</v>
      </c>
      <c r="H532" s="1">
        <f>IFERROR(__xludf.DUMMYFUNCTION("""COMPUTED_VALUE"""),10.0)</f>
        <v>10</v>
      </c>
      <c r="I532" s="1">
        <f>IFERROR(__xludf.DUMMYFUNCTION("""COMPUTED_VALUE"""),0.0)</f>
        <v>0</v>
      </c>
      <c r="J532" s="1">
        <f>IFERROR(__xludf.DUMMYFUNCTION("""COMPUTED_VALUE"""),0.0)</f>
        <v>0</v>
      </c>
      <c r="K532" s="1">
        <f>IFERROR(__xludf.DUMMYFUNCTION("""COMPUTED_VALUE"""),100.0)</f>
        <v>100</v>
      </c>
      <c r="L532" s="1">
        <f>IFERROR(__xludf.DUMMYFUNCTION("""COMPUTED_VALUE"""),100.0)</f>
        <v>100</v>
      </c>
      <c r="M532" s="1" t="str">
        <f>IFERROR(__xludf.DUMMYFUNCTION("""COMPUTED_VALUE"""),"#N/A")</f>
        <v>#N/A</v>
      </c>
      <c r="N532" s="1" t="str">
        <f>IFERROR(__xludf.DUMMYFUNCTION("""COMPUTED_VALUE"""),"#N/A")</f>
        <v>#N/A</v>
      </c>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f>IFERROR(__xludf.DUMMYFUNCTION("""COMPUTED_VALUE"""),0.0)</f>
        <v>0</v>
      </c>
      <c r="BE532" s="9">
        <f>IFERROR(__xludf.DUMMYFUNCTION("""COMPUTED_VALUE"""),10.0)</f>
        <v>10</v>
      </c>
      <c r="BF532" s="1"/>
      <c r="BG532" s="1"/>
      <c r="BH532" s="1"/>
      <c r="BI532" s="1"/>
      <c r="BJ532" s="1"/>
      <c r="BK532" s="1"/>
      <c r="BL532" s="1" t="b">
        <f>IFERROR(__xludf.DUMMYFUNCTION("""COMPUTED_VALUE"""),FALSE)</f>
        <v>0</v>
      </c>
      <c r="BM532" s="1"/>
      <c r="BN532" s="1"/>
      <c r="BO532" s="1"/>
      <c r="BP532" s="1"/>
      <c r="BQ532" s="1"/>
    </row>
    <row r="533" ht="15.75" customHeight="1">
      <c r="A533" s="1"/>
      <c r="B533" s="1">
        <f>IFERROR(__xludf.DUMMYFUNCTION("""COMPUTED_VALUE"""),1.0)</f>
        <v>1</v>
      </c>
      <c r="C533" s="1"/>
      <c r="D533" s="1"/>
      <c r="E533" s="1">
        <f>IFERROR(__xludf.DUMMYFUNCTION("""COMPUTED_VALUE"""),1010.0)</f>
        <v>1010</v>
      </c>
      <c r="F533" s="7">
        <f>IFERROR(__xludf.DUMMYFUNCTION("""COMPUTED_VALUE"""),1010.0)</f>
        <v>1010</v>
      </c>
      <c r="G533" s="1">
        <f>IFERROR(__xludf.DUMMYFUNCTION("""COMPUTED_VALUE"""),1010.0)</f>
        <v>1010</v>
      </c>
      <c r="H533" s="1">
        <f>IFERROR(__xludf.DUMMYFUNCTION("""COMPUTED_VALUE"""),10.0)</f>
        <v>10</v>
      </c>
      <c r="I533" s="1">
        <f>IFERROR(__xludf.DUMMYFUNCTION("""COMPUTED_VALUE"""),0.0)</f>
        <v>0</v>
      </c>
      <c r="J533" s="1">
        <f>IFERROR(__xludf.DUMMYFUNCTION("""COMPUTED_VALUE"""),0.0)</f>
        <v>0</v>
      </c>
      <c r="K533" s="1">
        <f>IFERROR(__xludf.DUMMYFUNCTION("""COMPUTED_VALUE"""),100.0)</f>
        <v>100</v>
      </c>
      <c r="L533" s="1">
        <f>IFERROR(__xludf.DUMMYFUNCTION("""COMPUTED_VALUE"""),100.0)</f>
        <v>100</v>
      </c>
      <c r="M533" s="1" t="str">
        <f>IFERROR(__xludf.DUMMYFUNCTION("""COMPUTED_VALUE"""),"#N/A")</f>
        <v>#N/A</v>
      </c>
      <c r="N533" s="1" t="str">
        <f>IFERROR(__xludf.DUMMYFUNCTION("""COMPUTED_VALUE"""),"#N/A")</f>
        <v>#N/A</v>
      </c>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f>IFERROR(__xludf.DUMMYFUNCTION("""COMPUTED_VALUE"""),0.0)</f>
        <v>0</v>
      </c>
      <c r="BE533" s="9">
        <f>IFERROR(__xludf.DUMMYFUNCTION("""COMPUTED_VALUE"""),10.0)</f>
        <v>10</v>
      </c>
      <c r="BF533" s="1"/>
      <c r="BG533" s="1"/>
      <c r="BH533" s="1"/>
      <c r="BI533" s="1"/>
      <c r="BJ533" s="1"/>
      <c r="BK533" s="1"/>
      <c r="BL533" s="1" t="b">
        <f>IFERROR(__xludf.DUMMYFUNCTION("""COMPUTED_VALUE"""),FALSE)</f>
        <v>0</v>
      </c>
      <c r="BM533" s="1"/>
      <c r="BN533" s="1"/>
      <c r="BO533" s="1"/>
      <c r="BP533" s="1"/>
      <c r="BQ533" s="1"/>
    </row>
    <row r="534" ht="15.75" customHeight="1">
      <c r="A534" s="1"/>
      <c r="B534" s="1">
        <f>IFERROR(__xludf.DUMMYFUNCTION("""COMPUTED_VALUE"""),1.0)</f>
        <v>1</v>
      </c>
      <c r="C534" s="1"/>
      <c r="D534" s="1"/>
      <c r="E534" s="1">
        <f>IFERROR(__xludf.DUMMYFUNCTION("""COMPUTED_VALUE"""),1010.0)</f>
        <v>1010</v>
      </c>
      <c r="F534" s="7">
        <f>IFERROR(__xludf.DUMMYFUNCTION("""COMPUTED_VALUE"""),1010.0)</f>
        <v>1010</v>
      </c>
      <c r="G534" s="1">
        <f>IFERROR(__xludf.DUMMYFUNCTION("""COMPUTED_VALUE"""),1010.0)</f>
        <v>1010</v>
      </c>
      <c r="H534" s="1">
        <f>IFERROR(__xludf.DUMMYFUNCTION("""COMPUTED_VALUE"""),10.0)</f>
        <v>10</v>
      </c>
      <c r="I534" s="1">
        <f>IFERROR(__xludf.DUMMYFUNCTION("""COMPUTED_VALUE"""),0.0)</f>
        <v>0</v>
      </c>
      <c r="J534" s="1">
        <f>IFERROR(__xludf.DUMMYFUNCTION("""COMPUTED_VALUE"""),0.0)</f>
        <v>0</v>
      </c>
      <c r="K534" s="1">
        <f>IFERROR(__xludf.DUMMYFUNCTION("""COMPUTED_VALUE"""),100.0)</f>
        <v>100</v>
      </c>
      <c r="L534" s="1">
        <f>IFERROR(__xludf.DUMMYFUNCTION("""COMPUTED_VALUE"""),100.0)</f>
        <v>100</v>
      </c>
      <c r="M534" s="1" t="str">
        <f>IFERROR(__xludf.DUMMYFUNCTION("""COMPUTED_VALUE"""),"#N/A")</f>
        <v>#N/A</v>
      </c>
      <c r="N534" s="1" t="str">
        <f>IFERROR(__xludf.DUMMYFUNCTION("""COMPUTED_VALUE"""),"#N/A")</f>
        <v>#N/A</v>
      </c>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f>IFERROR(__xludf.DUMMYFUNCTION("""COMPUTED_VALUE"""),0.0)</f>
        <v>0</v>
      </c>
      <c r="BE534" s="9">
        <f>IFERROR(__xludf.DUMMYFUNCTION("""COMPUTED_VALUE"""),10.0)</f>
        <v>10</v>
      </c>
      <c r="BF534" s="1"/>
      <c r="BG534" s="1"/>
      <c r="BH534" s="1"/>
      <c r="BI534" s="1"/>
      <c r="BJ534" s="1"/>
      <c r="BK534" s="1"/>
      <c r="BL534" s="1" t="b">
        <f>IFERROR(__xludf.DUMMYFUNCTION("""COMPUTED_VALUE"""),FALSE)</f>
        <v>0</v>
      </c>
      <c r="BM534" s="1"/>
      <c r="BN534" s="1"/>
      <c r="BO534" s="1"/>
      <c r="BP534" s="1"/>
      <c r="BQ534" s="1"/>
    </row>
    <row r="535" ht="15.75" customHeight="1">
      <c r="A535" s="1"/>
      <c r="B535" s="1">
        <f>IFERROR(__xludf.DUMMYFUNCTION("""COMPUTED_VALUE"""),1.0)</f>
        <v>1</v>
      </c>
      <c r="C535" s="1"/>
      <c r="D535" s="1"/>
      <c r="E535" s="1">
        <f>IFERROR(__xludf.DUMMYFUNCTION("""COMPUTED_VALUE"""),1010.0)</f>
        <v>1010</v>
      </c>
      <c r="F535" s="7">
        <f>IFERROR(__xludf.DUMMYFUNCTION("""COMPUTED_VALUE"""),1010.0)</f>
        <v>1010</v>
      </c>
      <c r="G535" s="1">
        <f>IFERROR(__xludf.DUMMYFUNCTION("""COMPUTED_VALUE"""),1010.0)</f>
        <v>1010</v>
      </c>
      <c r="H535" s="1">
        <f>IFERROR(__xludf.DUMMYFUNCTION("""COMPUTED_VALUE"""),10.0)</f>
        <v>10</v>
      </c>
      <c r="I535" s="1">
        <f>IFERROR(__xludf.DUMMYFUNCTION("""COMPUTED_VALUE"""),0.0)</f>
        <v>0</v>
      </c>
      <c r="J535" s="1">
        <f>IFERROR(__xludf.DUMMYFUNCTION("""COMPUTED_VALUE"""),0.0)</f>
        <v>0</v>
      </c>
      <c r="K535" s="1">
        <f>IFERROR(__xludf.DUMMYFUNCTION("""COMPUTED_VALUE"""),100.0)</f>
        <v>100</v>
      </c>
      <c r="L535" s="1">
        <f>IFERROR(__xludf.DUMMYFUNCTION("""COMPUTED_VALUE"""),100.0)</f>
        <v>100</v>
      </c>
      <c r="M535" s="1" t="str">
        <f>IFERROR(__xludf.DUMMYFUNCTION("""COMPUTED_VALUE"""),"#N/A")</f>
        <v>#N/A</v>
      </c>
      <c r="N535" s="1" t="str">
        <f>IFERROR(__xludf.DUMMYFUNCTION("""COMPUTED_VALUE"""),"#N/A")</f>
        <v>#N/A</v>
      </c>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f>IFERROR(__xludf.DUMMYFUNCTION("""COMPUTED_VALUE"""),0.0)</f>
        <v>0</v>
      </c>
      <c r="BE535" s="9">
        <f>IFERROR(__xludf.DUMMYFUNCTION("""COMPUTED_VALUE"""),10.0)</f>
        <v>10</v>
      </c>
      <c r="BF535" s="1"/>
      <c r="BG535" s="1"/>
      <c r="BH535" s="1"/>
      <c r="BI535" s="1"/>
      <c r="BJ535" s="1"/>
      <c r="BK535" s="1"/>
      <c r="BL535" s="1" t="b">
        <f>IFERROR(__xludf.DUMMYFUNCTION("""COMPUTED_VALUE"""),FALSE)</f>
        <v>0</v>
      </c>
      <c r="BM535" s="1"/>
      <c r="BN535" s="1"/>
      <c r="BO535" s="1"/>
      <c r="BP535" s="1"/>
      <c r="BQ535" s="1"/>
    </row>
    <row r="536" ht="15.75" customHeight="1">
      <c r="A536" s="1"/>
      <c r="B536" s="1">
        <f>IFERROR(__xludf.DUMMYFUNCTION("""COMPUTED_VALUE"""),1.0)</f>
        <v>1</v>
      </c>
      <c r="C536" s="1"/>
      <c r="D536" s="1"/>
      <c r="E536" s="1">
        <f>IFERROR(__xludf.DUMMYFUNCTION("""COMPUTED_VALUE"""),1010.0)</f>
        <v>1010</v>
      </c>
      <c r="F536" s="7">
        <f>IFERROR(__xludf.DUMMYFUNCTION("""COMPUTED_VALUE"""),1010.0)</f>
        <v>1010</v>
      </c>
      <c r="G536" s="1">
        <f>IFERROR(__xludf.DUMMYFUNCTION("""COMPUTED_VALUE"""),1010.0)</f>
        <v>1010</v>
      </c>
      <c r="H536" s="1">
        <f>IFERROR(__xludf.DUMMYFUNCTION("""COMPUTED_VALUE"""),10.0)</f>
        <v>10</v>
      </c>
      <c r="I536" s="1">
        <f>IFERROR(__xludf.DUMMYFUNCTION("""COMPUTED_VALUE"""),0.0)</f>
        <v>0</v>
      </c>
      <c r="J536" s="1">
        <f>IFERROR(__xludf.DUMMYFUNCTION("""COMPUTED_VALUE"""),0.0)</f>
        <v>0</v>
      </c>
      <c r="K536" s="1">
        <f>IFERROR(__xludf.DUMMYFUNCTION("""COMPUTED_VALUE"""),100.0)</f>
        <v>100</v>
      </c>
      <c r="L536" s="1">
        <f>IFERROR(__xludf.DUMMYFUNCTION("""COMPUTED_VALUE"""),100.0)</f>
        <v>100</v>
      </c>
      <c r="M536" s="1" t="str">
        <f>IFERROR(__xludf.DUMMYFUNCTION("""COMPUTED_VALUE"""),"#N/A")</f>
        <v>#N/A</v>
      </c>
      <c r="N536" s="1" t="str">
        <f>IFERROR(__xludf.DUMMYFUNCTION("""COMPUTED_VALUE"""),"#N/A")</f>
        <v>#N/A</v>
      </c>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f>IFERROR(__xludf.DUMMYFUNCTION("""COMPUTED_VALUE"""),0.0)</f>
        <v>0</v>
      </c>
      <c r="BE536" s="9">
        <f>IFERROR(__xludf.DUMMYFUNCTION("""COMPUTED_VALUE"""),10.0)</f>
        <v>10</v>
      </c>
      <c r="BF536" s="1"/>
      <c r="BG536" s="1"/>
      <c r="BH536" s="1"/>
      <c r="BI536" s="1"/>
      <c r="BJ536" s="1"/>
      <c r="BK536" s="1"/>
      <c r="BL536" s="1" t="b">
        <f>IFERROR(__xludf.DUMMYFUNCTION("""COMPUTED_VALUE"""),FALSE)</f>
        <v>0</v>
      </c>
      <c r="BM536" s="1"/>
      <c r="BN536" s="1"/>
      <c r="BO536" s="1"/>
      <c r="BP536" s="1"/>
      <c r="BQ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9"/>
      <c r="BF537" s="1"/>
      <c r="BG537" s="1"/>
      <c r="BH537" s="1"/>
      <c r="BI537" s="1"/>
      <c r="BJ537" s="1"/>
      <c r="BK537" s="1"/>
      <c r="BL537" s="1" t="b">
        <f>IFERROR(__xludf.DUMMYFUNCTION("""COMPUTED_VALUE"""),FALSE)</f>
        <v>0</v>
      </c>
      <c r="BM537" s="1"/>
      <c r="BN537" s="1"/>
      <c r="BO537" s="1"/>
      <c r="BP537" s="1"/>
      <c r="BQ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9"/>
      <c r="BF538" s="1"/>
      <c r="BG538" s="1"/>
      <c r="BH538" s="1"/>
      <c r="BI538" s="1"/>
      <c r="BJ538" s="1"/>
      <c r="BK538" s="1"/>
      <c r="BL538" s="1" t="b">
        <f>IFERROR(__xludf.DUMMYFUNCTION("""COMPUTED_VALUE"""),FALSE)</f>
        <v>0</v>
      </c>
      <c r="BM538" s="1"/>
      <c r="BN538" s="1"/>
      <c r="BO538" s="1"/>
      <c r="BP538" s="1"/>
      <c r="BQ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9"/>
      <c r="BF539" s="1"/>
      <c r="BG539" s="1"/>
      <c r="BH539" s="1"/>
      <c r="BI539" s="1"/>
      <c r="BJ539" s="1"/>
      <c r="BK539" s="1"/>
      <c r="BL539" s="1" t="b">
        <f>IFERROR(__xludf.DUMMYFUNCTION("""COMPUTED_VALUE"""),FALSE)</f>
        <v>0</v>
      </c>
      <c r="BM539" s="1"/>
      <c r="BN539" s="1"/>
      <c r="BO539" s="1"/>
      <c r="BP539" s="1"/>
      <c r="BQ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9"/>
      <c r="BF540" s="1"/>
      <c r="BG540" s="1"/>
      <c r="BH540" s="1"/>
      <c r="BI540" s="1"/>
      <c r="BJ540" s="1"/>
      <c r="BK540" s="1"/>
      <c r="BL540" s="1" t="b">
        <f>IFERROR(__xludf.DUMMYFUNCTION("""COMPUTED_VALUE"""),FALSE)</f>
        <v>0</v>
      </c>
      <c r="BM540" s="1"/>
      <c r="BN540" s="1"/>
      <c r="BO540" s="1"/>
      <c r="BP540" s="1"/>
      <c r="BQ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9"/>
      <c r="BF541" s="1"/>
      <c r="BG541" s="1"/>
      <c r="BH541" s="1"/>
      <c r="BI541" s="1"/>
      <c r="BJ541" s="1"/>
      <c r="BK541" s="1"/>
      <c r="BL541" s="1" t="b">
        <f>IFERROR(__xludf.DUMMYFUNCTION("""COMPUTED_VALUE"""),FALSE)</f>
        <v>0</v>
      </c>
      <c r="BM541" s="1"/>
      <c r="BN541" s="1"/>
      <c r="BO541" s="1"/>
      <c r="BP541" s="1"/>
      <c r="BQ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9"/>
      <c r="BF542" s="1"/>
      <c r="BG542" s="1"/>
      <c r="BH542" s="1"/>
      <c r="BI542" s="1"/>
      <c r="BJ542" s="1"/>
      <c r="BK542" s="1"/>
      <c r="BL542" s="1" t="b">
        <f>IFERROR(__xludf.DUMMYFUNCTION("""COMPUTED_VALUE"""),FALSE)</f>
        <v>0</v>
      </c>
      <c r="BM542" s="1"/>
      <c r="BN542" s="1"/>
      <c r="BO542" s="1"/>
      <c r="BP542" s="1"/>
      <c r="BQ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9"/>
      <c r="BF543" s="1"/>
      <c r="BG543" s="1"/>
      <c r="BH543" s="1"/>
      <c r="BI543" s="1"/>
      <c r="BJ543" s="1"/>
      <c r="BK543" s="1"/>
      <c r="BL543" s="1" t="b">
        <f>IFERROR(__xludf.DUMMYFUNCTION("""COMPUTED_VALUE"""),FALSE)</f>
        <v>0</v>
      </c>
      <c r="BM543" s="1"/>
      <c r="BN543" s="1"/>
      <c r="BO543" s="1"/>
      <c r="BP543" s="1"/>
      <c r="BQ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9"/>
      <c r="BF544" s="1"/>
      <c r="BG544" s="1"/>
      <c r="BH544" s="1"/>
      <c r="BI544" s="1"/>
      <c r="BJ544" s="1"/>
      <c r="BK544" s="1"/>
      <c r="BL544" s="1" t="b">
        <f>IFERROR(__xludf.DUMMYFUNCTION("""COMPUTED_VALUE"""),FALSE)</f>
        <v>0</v>
      </c>
      <c r="BM544" s="1"/>
      <c r="BN544" s="1"/>
      <c r="BO544" s="1"/>
      <c r="BP544" s="1"/>
      <c r="BQ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9"/>
      <c r="BF545" s="1"/>
      <c r="BG545" s="1"/>
      <c r="BH545" s="1"/>
      <c r="BI545" s="1"/>
      <c r="BJ545" s="1"/>
      <c r="BK545" s="1"/>
      <c r="BL545" s="1" t="b">
        <f>IFERROR(__xludf.DUMMYFUNCTION("""COMPUTED_VALUE"""),FALSE)</f>
        <v>0</v>
      </c>
      <c r="BM545" s="1"/>
      <c r="BN545" s="1"/>
      <c r="BO545" s="1"/>
      <c r="BP545" s="1"/>
      <c r="BQ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9"/>
      <c r="BF546" s="1"/>
      <c r="BG546" s="1"/>
      <c r="BH546" s="1"/>
      <c r="BI546" s="1"/>
      <c r="BJ546" s="1"/>
      <c r="BK546" s="1"/>
      <c r="BL546" s="1" t="b">
        <f>IFERROR(__xludf.DUMMYFUNCTION("""COMPUTED_VALUE"""),FALSE)</f>
        <v>0</v>
      </c>
      <c r="BM546" s="1"/>
      <c r="BN546" s="1"/>
      <c r="BO546" s="1"/>
      <c r="BP546" s="1"/>
      <c r="BQ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9"/>
      <c r="BF547" s="1"/>
      <c r="BG547" s="1"/>
      <c r="BH547" s="1"/>
      <c r="BI547" s="1"/>
      <c r="BJ547" s="1"/>
      <c r="BK547" s="1"/>
      <c r="BL547" s="1" t="b">
        <f>IFERROR(__xludf.DUMMYFUNCTION("""COMPUTED_VALUE"""),FALSE)</f>
        <v>0</v>
      </c>
      <c r="BM547" s="1"/>
      <c r="BN547" s="1"/>
      <c r="BO547" s="1"/>
      <c r="BP547" s="1"/>
      <c r="BQ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9"/>
      <c r="BF548" s="1"/>
      <c r="BG548" s="1"/>
      <c r="BH548" s="1"/>
      <c r="BI548" s="1"/>
      <c r="BJ548" s="1"/>
      <c r="BK548" s="1"/>
      <c r="BL548" s="1" t="b">
        <f>IFERROR(__xludf.DUMMYFUNCTION("""COMPUTED_VALUE"""),FALSE)</f>
        <v>0</v>
      </c>
      <c r="BM548" s="1"/>
      <c r="BN548" s="1"/>
      <c r="BO548" s="1"/>
      <c r="BP548" s="1"/>
      <c r="BQ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9"/>
      <c r="BF549" s="1"/>
      <c r="BG549" s="1"/>
      <c r="BH549" s="1"/>
      <c r="BI549" s="1"/>
      <c r="BJ549" s="1"/>
      <c r="BK549" s="1"/>
      <c r="BL549" s="1" t="b">
        <f>IFERROR(__xludf.DUMMYFUNCTION("""COMPUTED_VALUE"""),FALSE)</f>
        <v>0</v>
      </c>
      <c r="BM549" s="1"/>
      <c r="BN549" s="1"/>
      <c r="BO549" s="1"/>
      <c r="BP549" s="1"/>
      <c r="BQ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9"/>
      <c r="BF550" s="1"/>
      <c r="BG550" s="1"/>
      <c r="BH550" s="1"/>
      <c r="BI550" s="1"/>
      <c r="BJ550" s="1"/>
      <c r="BK550" s="1"/>
      <c r="BL550" s="1" t="b">
        <f>IFERROR(__xludf.DUMMYFUNCTION("""COMPUTED_VALUE"""),FALSE)</f>
        <v>0</v>
      </c>
      <c r="BM550" s="1"/>
      <c r="BN550" s="1"/>
      <c r="BO550" s="1"/>
      <c r="BP550" s="1"/>
      <c r="BQ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9"/>
      <c r="BF551" s="1"/>
      <c r="BG551" s="1"/>
      <c r="BH551" s="1"/>
      <c r="BI551" s="1"/>
      <c r="BJ551" s="1"/>
      <c r="BK551" s="1"/>
      <c r="BL551" s="1" t="b">
        <f>IFERROR(__xludf.DUMMYFUNCTION("""COMPUTED_VALUE"""),FALSE)</f>
        <v>0</v>
      </c>
      <c r="BM551" s="1"/>
      <c r="BN551" s="1"/>
      <c r="BO551" s="1"/>
      <c r="BP551" s="1"/>
      <c r="BQ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9"/>
      <c r="BF552" s="1"/>
      <c r="BG552" s="1"/>
      <c r="BH552" s="1"/>
      <c r="BI552" s="1"/>
      <c r="BJ552" s="1"/>
      <c r="BK552" s="1"/>
      <c r="BL552" s="1" t="b">
        <f>IFERROR(__xludf.DUMMYFUNCTION("""COMPUTED_VALUE"""),FALSE)</f>
        <v>0</v>
      </c>
      <c r="BM552" s="1"/>
      <c r="BN552" s="1"/>
      <c r="BO552" s="1"/>
      <c r="BP552" s="1"/>
      <c r="BQ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9"/>
      <c r="BF553" s="1"/>
      <c r="BG553" s="1"/>
      <c r="BH553" s="1"/>
      <c r="BI553" s="1"/>
      <c r="BJ553" s="1"/>
      <c r="BK553" s="1"/>
      <c r="BL553" s="1" t="b">
        <f>IFERROR(__xludf.DUMMYFUNCTION("""COMPUTED_VALUE"""),FALSE)</f>
        <v>0</v>
      </c>
      <c r="BM553" s="1"/>
      <c r="BN553" s="1"/>
      <c r="BO553" s="1"/>
      <c r="BP553" s="1"/>
      <c r="BQ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9"/>
      <c r="BF554" s="1"/>
      <c r="BG554" s="1"/>
      <c r="BH554" s="1"/>
      <c r="BI554" s="1"/>
      <c r="BJ554" s="1"/>
      <c r="BK554" s="1"/>
      <c r="BL554" s="1" t="b">
        <f>IFERROR(__xludf.DUMMYFUNCTION("""COMPUTED_VALUE"""),FALSE)</f>
        <v>0</v>
      </c>
      <c r="BM554" s="1"/>
      <c r="BN554" s="1"/>
      <c r="BO554" s="1"/>
      <c r="BP554" s="1"/>
      <c r="BQ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9"/>
      <c r="BF555" s="1"/>
      <c r="BG555" s="1"/>
      <c r="BH555" s="1"/>
      <c r="BI555" s="1"/>
      <c r="BJ555" s="1"/>
      <c r="BK555" s="1"/>
      <c r="BL555" s="1" t="b">
        <f>IFERROR(__xludf.DUMMYFUNCTION("""COMPUTED_VALUE"""),FALSE)</f>
        <v>0</v>
      </c>
      <c r="BM555" s="1"/>
      <c r="BN555" s="1"/>
      <c r="BO555" s="1"/>
      <c r="BP555" s="1"/>
      <c r="BQ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9"/>
      <c r="BF556" s="1"/>
      <c r="BG556" s="1"/>
      <c r="BH556" s="1"/>
      <c r="BI556" s="1"/>
      <c r="BJ556" s="1"/>
      <c r="BK556" s="1"/>
      <c r="BL556" s="1" t="b">
        <f>IFERROR(__xludf.DUMMYFUNCTION("""COMPUTED_VALUE"""),FALSE)</f>
        <v>0</v>
      </c>
      <c r="BM556" s="1"/>
      <c r="BN556" s="1"/>
      <c r="BO556" s="1"/>
      <c r="BP556" s="1"/>
      <c r="BQ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9"/>
      <c r="BF557" s="1"/>
      <c r="BG557" s="1"/>
      <c r="BH557" s="1"/>
      <c r="BI557" s="1"/>
      <c r="BJ557" s="1"/>
      <c r="BK557" s="1"/>
      <c r="BL557" s="1" t="b">
        <f>IFERROR(__xludf.DUMMYFUNCTION("""COMPUTED_VALUE"""),FALSE)</f>
        <v>0</v>
      </c>
      <c r="BM557" s="1"/>
      <c r="BN557" s="1"/>
      <c r="BO557" s="1"/>
      <c r="BP557" s="1"/>
      <c r="BQ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9"/>
      <c r="BF558" s="1"/>
      <c r="BG558" s="1"/>
      <c r="BH558" s="1"/>
      <c r="BI558" s="1"/>
      <c r="BJ558" s="1"/>
      <c r="BK558" s="1"/>
      <c r="BL558" s="1" t="b">
        <f>IFERROR(__xludf.DUMMYFUNCTION("""COMPUTED_VALUE"""),FALSE)</f>
        <v>0</v>
      </c>
      <c r="BM558" s="1"/>
      <c r="BN558" s="1"/>
      <c r="BO558" s="1"/>
      <c r="BP558" s="1"/>
      <c r="BQ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9"/>
      <c r="BF559" s="1"/>
      <c r="BG559" s="1"/>
      <c r="BH559" s="1"/>
      <c r="BI559" s="1"/>
      <c r="BJ559" s="1"/>
      <c r="BK559" s="1"/>
      <c r="BL559" s="1" t="b">
        <f>IFERROR(__xludf.DUMMYFUNCTION("""COMPUTED_VALUE"""),FALSE)</f>
        <v>0</v>
      </c>
      <c r="BM559" s="1"/>
      <c r="BN559" s="1"/>
      <c r="BO559" s="1"/>
      <c r="BP559" s="1"/>
      <c r="BQ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9"/>
      <c r="BF560" s="1"/>
      <c r="BG560" s="1"/>
      <c r="BH560" s="1"/>
      <c r="BI560" s="1"/>
      <c r="BJ560" s="1"/>
      <c r="BK560" s="1"/>
      <c r="BL560" s="1" t="b">
        <f>IFERROR(__xludf.DUMMYFUNCTION("""COMPUTED_VALUE"""),FALSE)</f>
        <v>0</v>
      </c>
      <c r="BM560" s="1"/>
      <c r="BN560" s="1"/>
      <c r="BO560" s="1"/>
      <c r="BP560" s="1"/>
      <c r="BQ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9"/>
      <c r="BF561" s="1"/>
      <c r="BG561" s="1"/>
      <c r="BH561" s="1"/>
      <c r="BI561" s="1"/>
      <c r="BJ561" s="1"/>
      <c r="BK561" s="1"/>
      <c r="BL561" s="1" t="b">
        <f>IFERROR(__xludf.DUMMYFUNCTION("""COMPUTED_VALUE"""),FALSE)</f>
        <v>0</v>
      </c>
      <c r="BM561" s="1"/>
      <c r="BN561" s="1"/>
      <c r="BO561" s="1"/>
      <c r="BP561" s="1"/>
      <c r="BQ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9"/>
      <c r="BF562" s="1"/>
      <c r="BG562" s="1"/>
      <c r="BH562" s="1"/>
      <c r="BI562" s="1"/>
      <c r="BJ562" s="1"/>
      <c r="BK562" s="1"/>
      <c r="BL562" s="1" t="b">
        <f>IFERROR(__xludf.DUMMYFUNCTION("""COMPUTED_VALUE"""),FALSE)</f>
        <v>0</v>
      </c>
      <c r="BM562" s="1"/>
      <c r="BN562" s="1"/>
      <c r="BO562" s="1"/>
      <c r="BP562" s="1"/>
      <c r="BQ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9"/>
      <c r="BF563" s="1"/>
      <c r="BG563" s="1"/>
      <c r="BH563" s="1"/>
      <c r="BI563" s="1"/>
      <c r="BJ563" s="1"/>
      <c r="BK563" s="1"/>
      <c r="BL563" s="1" t="b">
        <f>IFERROR(__xludf.DUMMYFUNCTION("""COMPUTED_VALUE"""),FALSE)</f>
        <v>0</v>
      </c>
      <c r="BM563" s="1"/>
      <c r="BN563" s="1"/>
      <c r="BO563" s="1"/>
      <c r="BP563" s="1"/>
      <c r="BQ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9"/>
      <c r="BF564" s="1"/>
      <c r="BG564" s="1"/>
      <c r="BH564" s="1"/>
      <c r="BI564" s="1"/>
      <c r="BJ564" s="1"/>
      <c r="BK564" s="1"/>
      <c r="BL564" s="1" t="b">
        <f>IFERROR(__xludf.DUMMYFUNCTION("""COMPUTED_VALUE"""),FALSE)</f>
        <v>0</v>
      </c>
      <c r="BM564" s="1"/>
      <c r="BN564" s="1"/>
      <c r="BO564" s="1"/>
      <c r="BP564" s="1"/>
      <c r="BQ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9"/>
      <c r="BF565" s="1"/>
      <c r="BG565" s="1"/>
      <c r="BH565" s="1"/>
      <c r="BI565" s="1"/>
      <c r="BJ565" s="1"/>
      <c r="BK565" s="1"/>
      <c r="BL565" s="1" t="b">
        <f>IFERROR(__xludf.DUMMYFUNCTION("""COMPUTED_VALUE"""),FALSE)</f>
        <v>0</v>
      </c>
      <c r="BM565" s="1"/>
      <c r="BN565" s="1"/>
      <c r="BO565" s="1"/>
      <c r="BP565" s="1"/>
      <c r="BQ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9"/>
      <c r="BF566" s="1"/>
      <c r="BG566" s="1"/>
      <c r="BH566" s="1"/>
      <c r="BI566" s="1"/>
      <c r="BJ566" s="1"/>
      <c r="BK566" s="1"/>
      <c r="BL566" s="1" t="b">
        <f>IFERROR(__xludf.DUMMYFUNCTION("""COMPUTED_VALUE"""),FALSE)</f>
        <v>0</v>
      </c>
      <c r="BM566" s="1"/>
      <c r="BN566" s="1"/>
      <c r="BO566" s="1"/>
      <c r="BP566" s="1"/>
      <c r="BQ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9"/>
      <c r="BF567" s="1"/>
      <c r="BG567" s="1"/>
      <c r="BH567" s="1"/>
      <c r="BI567" s="1"/>
      <c r="BJ567" s="1"/>
      <c r="BK567" s="1"/>
      <c r="BL567" s="1" t="b">
        <f>IFERROR(__xludf.DUMMYFUNCTION("""COMPUTED_VALUE"""),FALSE)</f>
        <v>0</v>
      </c>
      <c r="BM567" s="1"/>
      <c r="BN567" s="1"/>
      <c r="BO567" s="1"/>
      <c r="BP567" s="1"/>
      <c r="BQ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9"/>
      <c r="BF568" s="1"/>
      <c r="BG568" s="1"/>
      <c r="BH568" s="1"/>
      <c r="BI568" s="1"/>
      <c r="BJ568" s="1"/>
      <c r="BK568" s="1"/>
      <c r="BL568" s="1" t="b">
        <f>IFERROR(__xludf.DUMMYFUNCTION("""COMPUTED_VALUE"""),FALSE)</f>
        <v>0</v>
      </c>
      <c r="BM568" s="1"/>
      <c r="BN568" s="1"/>
      <c r="BO568" s="1"/>
      <c r="BP568" s="1"/>
      <c r="BQ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9"/>
      <c r="BF569" s="1"/>
      <c r="BG569" s="1"/>
      <c r="BH569" s="1"/>
      <c r="BI569" s="1"/>
      <c r="BJ569" s="1"/>
      <c r="BK569" s="1"/>
      <c r="BL569" s="1" t="b">
        <f>IFERROR(__xludf.DUMMYFUNCTION("""COMPUTED_VALUE"""),FALSE)</f>
        <v>0</v>
      </c>
      <c r="BM569" s="1"/>
      <c r="BN569" s="1"/>
      <c r="BO569" s="1"/>
      <c r="BP569" s="1"/>
      <c r="BQ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9"/>
      <c r="BF570" s="1"/>
      <c r="BG570" s="1"/>
      <c r="BH570" s="1"/>
      <c r="BI570" s="1"/>
      <c r="BJ570" s="1"/>
      <c r="BK570" s="1"/>
      <c r="BL570" s="1" t="b">
        <f>IFERROR(__xludf.DUMMYFUNCTION("""COMPUTED_VALUE"""),FALSE)</f>
        <v>0</v>
      </c>
      <c r="BM570" s="1"/>
      <c r="BN570" s="1"/>
      <c r="BO570" s="1"/>
      <c r="BP570" s="1"/>
      <c r="BQ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9"/>
      <c r="BF571" s="1"/>
      <c r="BG571" s="1"/>
      <c r="BH571" s="1"/>
      <c r="BI571" s="1"/>
      <c r="BJ571" s="1"/>
      <c r="BK571" s="1"/>
      <c r="BL571" s="1" t="b">
        <f>IFERROR(__xludf.DUMMYFUNCTION("""COMPUTED_VALUE"""),FALSE)</f>
        <v>0</v>
      </c>
      <c r="BM571" s="1"/>
      <c r="BN571" s="1"/>
      <c r="BO571" s="1"/>
      <c r="BP571" s="1"/>
      <c r="BQ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9"/>
      <c r="BF572" s="1"/>
      <c r="BG572" s="1"/>
      <c r="BH572" s="1"/>
      <c r="BI572" s="1"/>
      <c r="BJ572" s="1"/>
      <c r="BK572" s="1"/>
      <c r="BL572" s="1" t="b">
        <f>IFERROR(__xludf.DUMMYFUNCTION("""COMPUTED_VALUE"""),FALSE)</f>
        <v>0</v>
      </c>
      <c r="BM572" s="1"/>
      <c r="BN572" s="1"/>
      <c r="BO572" s="1"/>
      <c r="BP572" s="1"/>
      <c r="BQ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9"/>
      <c r="BF573" s="1"/>
      <c r="BG573" s="1"/>
      <c r="BH573" s="1"/>
      <c r="BI573" s="1"/>
      <c r="BJ573" s="1"/>
      <c r="BK573" s="1"/>
      <c r="BL573" s="1" t="b">
        <f>IFERROR(__xludf.DUMMYFUNCTION("""COMPUTED_VALUE"""),FALSE)</f>
        <v>0</v>
      </c>
      <c r="BM573" s="1"/>
      <c r="BN573" s="1"/>
      <c r="BO573" s="1"/>
      <c r="BP573" s="1"/>
      <c r="BQ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9"/>
      <c r="BF574" s="1"/>
      <c r="BG574" s="1"/>
      <c r="BH574" s="1"/>
      <c r="BI574" s="1"/>
      <c r="BJ574" s="1"/>
      <c r="BK574" s="1"/>
      <c r="BL574" s="1" t="b">
        <f>IFERROR(__xludf.DUMMYFUNCTION("""COMPUTED_VALUE"""),FALSE)</f>
        <v>0</v>
      </c>
      <c r="BM574" s="1"/>
      <c r="BN574" s="1"/>
      <c r="BO574" s="1"/>
      <c r="BP574" s="1"/>
      <c r="BQ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9"/>
      <c r="BF575" s="1"/>
      <c r="BG575" s="1"/>
      <c r="BH575" s="1"/>
      <c r="BI575" s="1"/>
      <c r="BJ575" s="1"/>
      <c r="BK575" s="1"/>
      <c r="BL575" s="1" t="b">
        <f>IFERROR(__xludf.DUMMYFUNCTION("""COMPUTED_VALUE"""),FALSE)</f>
        <v>0</v>
      </c>
      <c r="BM575" s="1"/>
      <c r="BN575" s="1"/>
      <c r="BO575" s="1"/>
      <c r="BP575" s="1"/>
      <c r="BQ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9"/>
      <c r="BF576" s="1"/>
      <c r="BG576" s="1"/>
      <c r="BH576" s="1"/>
      <c r="BI576" s="1"/>
      <c r="BJ576" s="1"/>
      <c r="BK576" s="1"/>
      <c r="BL576" s="1" t="b">
        <f>IFERROR(__xludf.DUMMYFUNCTION("""COMPUTED_VALUE"""),FALSE)</f>
        <v>0</v>
      </c>
      <c r="BM576" s="1"/>
      <c r="BN576" s="1"/>
      <c r="BO576" s="1"/>
      <c r="BP576" s="1"/>
      <c r="BQ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9"/>
      <c r="BF577" s="1"/>
      <c r="BG577" s="1"/>
      <c r="BH577" s="1"/>
      <c r="BI577" s="1"/>
      <c r="BJ577" s="1"/>
      <c r="BK577" s="1"/>
      <c r="BL577" s="1" t="b">
        <f>IFERROR(__xludf.DUMMYFUNCTION("""COMPUTED_VALUE"""),FALSE)</f>
        <v>0</v>
      </c>
      <c r="BM577" s="1"/>
      <c r="BN577" s="1"/>
      <c r="BO577" s="1"/>
      <c r="BP577" s="1"/>
      <c r="BQ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9"/>
      <c r="BF578" s="1"/>
      <c r="BG578" s="1"/>
      <c r="BH578" s="1"/>
      <c r="BI578" s="1"/>
      <c r="BJ578" s="1"/>
      <c r="BK578" s="1"/>
      <c r="BL578" s="1" t="b">
        <f>IFERROR(__xludf.DUMMYFUNCTION("""COMPUTED_VALUE"""),FALSE)</f>
        <v>0</v>
      </c>
      <c r="BM578" s="1"/>
      <c r="BN578" s="1"/>
      <c r="BO578" s="1"/>
      <c r="BP578" s="1"/>
      <c r="BQ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9"/>
      <c r="BF579" s="1"/>
      <c r="BG579" s="1"/>
      <c r="BH579" s="1"/>
      <c r="BI579" s="1"/>
      <c r="BJ579" s="1"/>
      <c r="BK579" s="1"/>
      <c r="BL579" s="1" t="b">
        <f>IFERROR(__xludf.DUMMYFUNCTION("""COMPUTED_VALUE"""),FALSE)</f>
        <v>0</v>
      </c>
      <c r="BM579" s="1"/>
      <c r="BN579" s="1"/>
      <c r="BO579" s="1"/>
      <c r="BP579" s="1"/>
      <c r="BQ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9"/>
      <c r="BF580" s="1"/>
      <c r="BG580" s="1"/>
      <c r="BH580" s="1"/>
      <c r="BI580" s="1"/>
      <c r="BJ580" s="1"/>
      <c r="BK580" s="1"/>
      <c r="BL580" s="1" t="b">
        <f>IFERROR(__xludf.DUMMYFUNCTION("""COMPUTED_VALUE"""),FALSE)</f>
        <v>0</v>
      </c>
      <c r="BM580" s="1"/>
      <c r="BN580" s="1"/>
      <c r="BO580" s="1"/>
      <c r="BP580" s="1"/>
      <c r="BQ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9"/>
      <c r="BF581" s="1"/>
      <c r="BG581" s="1"/>
      <c r="BH581" s="1"/>
      <c r="BI581" s="1"/>
      <c r="BJ581" s="1"/>
      <c r="BK581" s="1"/>
      <c r="BL581" s="1" t="b">
        <f>IFERROR(__xludf.DUMMYFUNCTION("""COMPUTED_VALUE"""),FALSE)</f>
        <v>0</v>
      </c>
      <c r="BM581" s="1"/>
      <c r="BN581" s="1"/>
      <c r="BO581" s="1"/>
      <c r="BP581" s="1"/>
      <c r="BQ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9"/>
      <c r="BF582" s="1"/>
      <c r="BG582" s="1"/>
      <c r="BH582" s="1"/>
      <c r="BI582" s="1"/>
      <c r="BJ582" s="1"/>
      <c r="BK582" s="1"/>
      <c r="BL582" s="1" t="b">
        <f>IFERROR(__xludf.DUMMYFUNCTION("""COMPUTED_VALUE"""),FALSE)</f>
        <v>0</v>
      </c>
      <c r="BM582" s="1"/>
      <c r="BN582" s="1"/>
      <c r="BO582" s="1"/>
      <c r="BP582" s="1"/>
      <c r="BQ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9"/>
      <c r="BF583" s="1"/>
      <c r="BG583" s="1"/>
      <c r="BH583" s="1"/>
      <c r="BI583" s="1"/>
      <c r="BJ583" s="1"/>
      <c r="BK583" s="1"/>
      <c r="BL583" s="1" t="b">
        <f>IFERROR(__xludf.DUMMYFUNCTION("""COMPUTED_VALUE"""),FALSE)</f>
        <v>0</v>
      </c>
      <c r="BM583" s="1"/>
      <c r="BN583" s="1"/>
      <c r="BO583" s="1"/>
      <c r="BP583" s="1"/>
      <c r="BQ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9"/>
      <c r="BF584" s="1"/>
      <c r="BG584" s="1"/>
      <c r="BH584" s="1"/>
      <c r="BI584" s="1"/>
      <c r="BJ584" s="1"/>
      <c r="BK584" s="1"/>
      <c r="BL584" s="1" t="b">
        <f>IFERROR(__xludf.DUMMYFUNCTION("""COMPUTED_VALUE"""),FALSE)</f>
        <v>0</v>
      </c>
      <c r="BM584" s="1"/>
      <c r="BN584" s="1"/>
      <c r="BO584" s="1"/>
      <c r="BP584" s="1"/>
      <c r="BQ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9"/>
      <c r="BF585" s="1"/>
      <c r="BG585" s="1"/>
      <c r="BH585" s="1"/>
      <c r="BI585" s="1"/>
      <c r="BJ585" s="1"/>
      <c r="BK585" s="1"/>
      <c r="BL585" s="1" t="b">
        <f>IFERROR(__xludf.DUMMYFUNCTION("""COMPUTED_VALUE"""),FALSE)</f>
        <v>0</v>
      </c>
      <c r="BM585" s="1"/>
      <c r="BN585" s="1"/>
      <c r="BO585" s="1"/>
      <c r="BP585" s="1"/>
      <c r="BQ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9"/>
      <c r="BF586" s="1"/>
      <c r="BG586" s="1"/>
      <c r="BH586" s="1"/>
      <c r="BI586" s="1"/>
      <c r="BJ586" s="1"/>
      <c r="BK586" s="1"/>
      <c r="BL586" s="1" t="b">
        <f>IFERROR(__xludf.DUMMYFUNCTION("""COMPUTED_VALUE"""),FALSE)</f>
        <v>0</v>
      </c>
      <c r="BM586" s="1"/>
      <c r="BN586" s="1"/>
      <c r="BO586" s="1"/>
      <c r="BP586" s="1"/>
      <c r="BQ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9"/>
      <c r="BF587" s="1"/>
      <c r="BG587" s="1"/>
      <c r="BH587" s="1"/>
      <c r="BI587" s="1"/>
      <c r="BJ587" s="1"/>
      <c r="BK587" s="1"/>
      <c r="BL587" s="1" t="b">
        <f>IFERROR(__xludf.DUMMYFUNCTION("""COMPUTED_VALUE"""),FALSE)</f>
        <v>0</v>
      </c>
      <c r="BM587" s="1"/>
      <c r="BN587" s="1"/>
      <c r="BO587" s="1"/>
      <c r="BP587" s="1"/>
      <c r="BQ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9"/>
      <c r="BF588" s="1"/>
      <c r="BG588" s="1"/>
      <c r="BH588" s="1"/>
      <c r="BI588" s="1"/>
      <c r="BJ588" s="1"/>
      <c r="BK588" s="1"/>
      <c r="BL588" s="1" t="b">
        <f>IFERROR(__xludf.DUMMYFUNCTION("""COMPUTED_VALUE"""),FALSE)</f>
        <v>0</v>
      </c>
      <c r="BM588" s="1"/>
      <c r="BN588" s="1"/>
      <c r="BO588" s="1"/>
      <c r="BP588" s="1"/>
      <c r="BQ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9"/>
      <c r="BF589" s="1"/>
      <c r="BG589" s="1"/>
      <c r="BH589" s="1"/>
      <c r="BI589" s="1"/>
      <c r="BJ589" s="1"/>
      <c r="BK589" s="1"/>
      <c r="BL589" s="1" t="b">
        <f>IFERROR(__xludf.DUMMYFUNCTION("""COMPUTED_VALUE"""),FALSE)</f>
        <v>0</v>
      </c>
      <c r="BM589" s="1"/>
      <c r="BN589" s="1"/>
      <c r="BO589" s="1"/>
      <c r="BP589" s="1"/>
      <c r="BQ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9"/>
      <c r="BF590" s="1"/>
      <c r="BG590" s="1"/>
      <c r="BH590" s="1"/>
      <c r="BI590" s="1"/>
      <c r="BJ590" s="1"/>
      <c r="BK590" s="1"/>
      <c r="BL590" s="1" t="b">
        <f>IFERROR(__xludf.DUMMYFUNCTION("""COMPUTED_VALUE"""),FALSE)</f>
        <v>0</v>
      </c>
      <c r="BM590" s="1"/>
      <c r="BN590" s="1"/>
      <c r="BO590" s="1"/>
      <c r="BP590" s="1"/>
      <c r="BQ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9"/>
      <c r="BF591" s="1"/>
      <c r="BG591" s="1"/>
      <c r="BH591" s="1"/>
      <c r="BI591" s="1"/>
      <c r="BJ591" s="1"/>
      <c r="BK591" s="1"/>
      <c r="BL591" s="1" t="b">
        <f>IFERROR(__xludf.DUMMYFUNCTION("""COMPUTED_VALUE"""),FALSE)</f>
        <v>0</v>
      </c>
      <c r="BM591" s="1"/>
      <c r="BN591" s="1"/>
      <c r="BO591" s="1"/>
      <c r="BP591" s="1"/>
      <c r="BQ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9"/>
      <c r="BF592" s="1"/>
      <c r="BG592" s="1"/>
      <c r="BH592" s="1"/>
      <c r="BI592" s="1"/>
      <c r="BJ592" s="1"/>
      <c r="BK592" s="1"/>
      <c r="BL592" s="1" t="b">
        <f>IFERROR(__xludf.DUMMYFUNCTION("""COMPUTED_VALUE"""),FALSE)</f>
        <v>0</v>
      </c>
      <c r="BM592" s="1"/>
      <c r="BN592" s="1"/>
      <c r="BO592" s="1"/>
      <c r="BP592" s="1"/>
      <c r="BQ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9"/>
      <c r="BF593" s="1"/>
      <c r="BG593" s="1"/>
      <c r="BH593" s="1"/>
      <c r="BI593" s="1"/>
      <c r="BJ593" s="1"/>
      <c r="BK593" s="1"/>
      <c r="BL593" s="1" t="b">
        <f>IFERROR(__xludf.DUMMYFUNCTION("""COMPUTED_VALUE"""),FALSE)</f>
        <v>0</v>
      </c>
      <c r="BM593" s="1"/>
      <c r="BN593" s="1"/>
      <c r="BO593" s="1"/>
      <c r="BP593" s="1"/>
      <c r="BQ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9"/>
      <c r="BF594" s="1"/>
      <c r="BG594" s="1"/>
      <c r="BH594" s="1"/>
      <c r="BI594" s="1"/>
      <c r="BJ594" s="1"/>
      <c r="BK594" s="1"/>
      <c r="BL594" s="1" t="b">
        <f>IFERROR(__xludf.DUMMYFUNCTION("""COMPUTED_VALUE"""),FALSE)</f>
        <v>0</v>
      </c>
      <c r="BM594" s="1"/>
      <c r="BN594" s="1"/>
      <c r="BO594" s="1"/>
      <c r="BP594" s="1"/>
      <c r="BQ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9"/>
      <c r="BF595" s="1"/>
      <c r="BG595" s="1"/>
      <c r="BH595" s="1"/>
      <c r="BI595" s="1"/>
      <c r="BJ595" s="1"/>
      <c r="BK595" s="1"/>
      <c r="BL595" s="1" t="b">
        <f>IFERROR(__xludf.DUMMYFUNCTION("""COMPUTED_VALUE"""),FALSE)</f>
        <v>0</v>
      </c>
      <c r="BM595" s="1"/>
      <c r="BN595" s="1"/>
      <c r="BO595" s="1"/>
      <c r="BP595" s="1"/>
      <c r="BQ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9"/>
      <c r="BF596" s="1"/>
      <c r="BG596" s="1"/>
      <c r="BH596" s="1"/>
      <c r="BI596" s="1"/>
      <c r="BJ596" s="1"/>
      <c r="BK596" s="1"/>
      <c r="BL596" s="1" t="b">
        <f>IFERROR(__xludf.DUMMYFUNCTION("""COMPUTED_VALUE"""),FALSE)</f>
        <v>0</v>
      </c>
      <c r="BM596" s="1"/>
      <c r="BN596" s="1"/>
      <c r="BO596" s="1"/>
      <c r="BP596" s="1"/>
      <c r="BQ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9"/>
      <c r="BF597" s="1"/>
      <c r="BG597" s="1"/>
      <c r="BH597" s="1"/>
      <c r="BI597" s="1"/>
      <c r="BJ597" s="1"/>
      <c r="BK597" s="1"/>
      <c r="BL597" s="1" t="b">
        <f>IFERROR(__xludf.DUMMYFUNCTION("""COMPUTED_VALUE"""),FALSE)</f>
        <v>0</v>
      </c>
      <c r="BM597" s="1"/>
      <c r="BN597" s="1"/>
      <c r="BO597" s="1"/>
      <c r="BP597" s="1"/>
      <c r="BQ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9"/>
      <c r="BF598" s="1"/>
      <c r="BG598" s="1"/>
      <c r="BH598" s="1"/>
      <c r="BI598" s="1"/>
      <c r="BJ598" s="1"/>
      <c r="BK598" s="1"/>
      <c r="BL598" s="1" t="b">
        <f>IFERROR(__xludf.DUMMYFUNCTION("""COMPUTED_VALUE"""),FALSE)</f>
        <v>0</v>
      </c>
      <c r="BM598" s="1"/>
      <c r="BN598" s="1"/>
      <c r="BO598" s="1"/>
      <c r="BP598" s="1"/>
      <c r="BQ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9"/>
      <c r="BF599" s="1"/>
      <c r="BG599" s="1"/>
      <c r="BH599" s="1"/>
      <c r="BI599" s="1"/>
      <c r="BJ599" s="1"/>
      <c r="BK599" s="1"/>
      <c r="BL599" s="1" t="b">
        <f>IFERROR(__xludf.DUMMYFUNCTION("""COMPUTED_VALUE"""),FALSE)</f>
        <v>0</v>
      </c>
      <c r="BM599" s="1"/>
      <c r="BN599" s="1"/>
      <c r="BO599" s="1"/>
      <c r="BP599" s="1"/>
      <c r="BQ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9"/>
      <c r="BF600" s="1"/>
      <c r="BG600" s="1"/>
      <c r="BH600" s="1"/>
      <c r="BI600" s="1"/>
      <c r="BJ600" s="1"/>
      <c r="BK600" s="1"/>
      <c r="BL600" s="1" t="b">
        <f>IFERROR(__xludf.DUMMYFUNCTION("""COMPUTED_VALUE"""),FALSE)</f>
        <v>0</v>
      </c>
      <c r="BM600" s="1"/>
      <c r="BN600" s="1"/>
      <c r="BO600" s="1"/>
      <c r="BP600" s="1"/>
      <c r="BQ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9"/>
      <c r="BF601" s="1"/>
      <c r="BG601" s="1"/>
      <c r="BH601" s="1"/>
      <c r="BI601" s="1"/>
      <c r="BJ601" s="1"/>
      <c r="BK601" s="1"/>
      <c r="BL601" s="1" t="b">
        <f>IFERROR(__xludf.DUMMYFUNCTION("""COMPUTED_VALUE"""),FALSE)</f>
        <v>0</v>
      </c>
      <c r="BM601" s="1"/>
      <c r="BN601" s="1"/>
      <c r="BO601" s="1"/>
      <c r="BP601" s="1"/>
      <c r="BQ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9"/>
      <c r="BF602" s="1"/>
      <c r="BG602" s="1"/>
      <c r="BH602" s="1"/>
      <c r="BI602" s="1"/>
      <c r="BJ602" s="1"/>
      <c r="BK602" s="1"/>
      <c r="BL602" s="1" t="b">
        <f>IFERROR(__xludf.DUMMYFUNCTION("""COMPUTED_VALUE"""),FALSE)</f>
        <v>0</v>
      </c>
      <c r="BM602" s="1"/>
      <c r="BN602" s="1"/>
      <c r="BO602" s="1"/>
      <c r="BP602" s="1"/>
      <c r="BQ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9"/>
      <c r="BF603" s="1"/>
      <c r="BG603" s="1"/>
      <c r="BH603" s="1"/>
      <c r="BI603" s="1"/>
      <c r="BJ603" s="1"/>
      <c r="BK603" s="1"/>
      <c r="BL603" s="1" t="b">
        <f>IFERROR(__xludf.DUMMYFUNCTION("""COMPUTED_VALUE"""),FALSE)</f>
        <v>0</v>
      </c>
      <c r="BM603" s="1"/>
      <c r="BN603" s="1"/>
      <c r="BO603" s="1"/>
      <c r="BP603" s="1"/>
      <c r="BQ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9"/>
      <c r="BF604" s="1"/>
      <c r="BG604" s="1"/>
      <c r="BH604" s="1"/>
      <c r="BI604" s="1"/>
      <c r="BJ604" s="1"/>
      <c r="BK604" s="1"/>
      <c r="BL604" s="1" t="b">
        <f>IFERROR(__xludf.DUMMYFUNCTION("""COMPUTED_VALUE"""),FALSE)</f>
        <v>0</v>
      </c>
      <c r="BM604" s="1"/>
      <c r="BN604" s="1"/>
      <c r="BO604" s="1"/>
      <c r="BP604" s="1"/>
      <c r="BQ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9"/>
      <c r="BF605" s="1"/>
      <c r="BG605" s="1"/>
      <c r="BH605" s="1"/>
      <c r="BI605" s="1"/>
      <c r="BJ605" s="1"/>
      <c r="BK605" s="1"/>
      <c r="BL605" s="1" t="b">
        <f>IFERROR(__xludf.DUMMYFUNCTION("""COMPUTED_VALUE"""),FALSE)</f>
        <v>0</v>
      </c>
      <c r="BM605" s="1"/>
      <c r="BN605" s="1"/>
      <c r="BO605" s="1"/>
      <c r="BP605" s="1"/>
      <c r="BQ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9"/>
      <c r="BF606" s="1"/>
      <c r="BG606" s="1"/>
      <c r="BH606" s="1"/>
      <c r="BI606" s="1"/>
      <c r="BJ606" s="1"/>
      <c r="BK606" s="1"/>
      <c r="BL606" s="1" t="b">
        <f>IFERROR(__xludf.DUMMYFUNCTION("""COMPUTED_VALUE"""),FALSE)</f>
        <v>0</v>
      </c>
      <c r="BM606" s="1"/>
      <c r="BN606" s="1"/>
      <c r="BO606" s="1"/>
      <c r="BP606" s="1"/>
      <c r="BQ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9"/>
      <c r="BF607" s="1"/>
      <c r="BG607" s="1"/>
      <c r="BH607" s="1"/>
      <c r="BI607" s="1"/>
      <c r="BJ607" s="1"/>
      <c r="BK607" s="1"/>
      <c r="BL607" s="1" t="b">
        <f>IFERROR(__xludf.DUMMYFUNCTION("""COMPUTED_VALUE"""),FALSE)</f>
        <v>0</v>
      </c>
      <c r="BM607" s="1"/>
      <c r="BN607" s="1"/>
      <c r="BO607" s="1"/>
      <c r="BP607" s="1"/>
      <c r="BQ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9"/>
      <c r="BF608" s="1"/>
      <c r="BG608" s="1"/>
      <c r="BH608" s="1"/>
      <c r="BI608" s="1"/>
      <c r="BJ608" s="1"/>
      <c r="BK608" s="1"/>
      <c r="BL608" s="1" t="b">
        <f>IFERROR(__xludf.DUMMYFUNCTION("""COMPUTED_VALUE"""),FALSE)</f>
        <v>0</v>
      </c>
      <c r="BM608" s="1"/>
      <c r="BN608" s="1"/>
      <c r="BO608" s="1"/>
      <c r="BP608" s="1"/>
      <c r="BQ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9"/>
      <c r="BF609" s="1"/>
      <c r="BG609" s="1"/>
      <c r="BH609" s="1"/>
      <c r="BI609" s="1"/>
      <c r="BJ609" s="1"/>
      <c r="BK609" s="1"/>
      <c r="BL609" s="1" t="b">
        <f>IFERROR(__xludf.DUMMYFUNCTION("""COMPUTED_VALUE"""),FALSE)</f>
        <v>0</v>
      </c>
      <c r="BM609" s="1"/>
      <c r="BN609" s="1"/>
      <c r="BO609" s="1"/>
      <c r="BP609" s="1"/>
      <c r="BQ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9"/>
      <c r="BF610" s="1"/>
      <c r="BG610" s="1"/>
      <c r="BH610" s="1"/>
      <c r="BI610" s="1"/>
      <c r="BJ610" s="1"/>
      <c r="BK610" s="1"/>
      <c r="BL610" s="1" t="b">
        <f>IFERROR(__xludf.DUMMYFUNCTION("""COMPUTED_VALUE"""),FALSE)</f>
        <v>0</v>
      </c>
      <c r="BM610" s="1"/>
      <c r="BN610" s="1"/>
      <c r="BO610" s="1"/>
      <c r="BP610" s="1"/>
      <c r="BQ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9"/>
      <c r="BF611" s="1"/>
      <c r="BG611" s="1"/>
      <c r="BH611" s="1"/>
      <c r="BI611" s="1"/>
      <c r="BJ611" s="1"/>
      <c r="BK611" s="1"/>
      <c r="BL611" s="1" t="b">
        <f>IFERROR(__xludf.DUMMYFUNCTION("""COMPUTED_VALUE"""),FALSE)</f>
        <v>0</v>
      </c>
      <c r="BM611" s="1"/>
      <c r="BN611" s="1"/>
      <c r="BO611" s="1"/>
      <c r="BP611" s="1"/>
      <c r="BQ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9"/>
      <c r="BF612" s="1"/>
      <c r="BG612" s="1"/>
      <c r="BH612" s="1"/>
      <c r="BI612" s="1"/>
      <c r="BJ612" s="1"/>
      <c r="BK612" s="1"/>
      <c r="BL612" s="1" t="b">
        <f>IFERROR(__xludf.DUMMYFUNCTION("""COMPUTED_VALUE"""),FALSE)</f>
        <v>0</v>
      </c>
      <c r="BM612" s="1"/>
      <c r="BN612" s="1"/>
      <c r="BO612" s="1"/>
      <c r="BP612" s="1"/>
      <c r="BQ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9"/>
      <c r="BF613" s="1"/>
      <c r="BG613" s="1"/>
      <c r="BH613" s="1"/>
      <c r="BI613" s="1"/>
      <c r="BJ613" s="1"/>
      <c r="BK613" s="1"/>
      <c r="BL613" s="1" t="b">
        <f>IFERROR(__xludf.DUMMYFUNCTION("""COMPUTED_VALUE"""),FALSE)</f>
        <v>0</v>
      </c>
      <c r="BM613" s="1"/>
      <c r="BN613" s="1"/>
      <c r="BO613" s="1"/>
      <c r="BP613" s="1"/>
      <c r="BQ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9"/>
      <c r="BF614" s="1"/>
      <c r="BG614" s="1"/>
      <c r="BH614" s="1"/>
      <c r="BI614" s="1"/>
      <c r="BJ614" s="1"/>
      <c r="BK614" s="1"/>
      <c r="BL614" s="1" t="b">
        <f>IFERROR(__xludf.DUMMYFUNCTION("""COMPUTED_VALUE"""),FALSE)</f>
        <v>0</v>
      </c>
      <c r="BM614" s="1"/>
      <c r="BN614" s="1"/>
      <c r="BO614" s="1"/>
      <c r="BP614" s="1"/>
      <c r="BQ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9"/>
      <c r="BF615" s="1"/>
      <c r="BG615" s="1"/>
      <c r="BH615" s="1"/>
      <c r="BI615" s="1"/>
      <c r="BJ615" s="1"/>
      <c r="BK615" s="1"/>
      <c r="BL615" s="1" t="b">
        <f>IFERROR(__xludf.DUMMYFUNCTION("""COMPUTED_VALUE"""),FALSE)</f>
        <v>0</v>
      </c>
      <c r="BM615" s="1"/>
      <c r="BN615" s="1"/>
      <c r="BO615" s="1"/>
      <c r="BP615" s="1"/>
      <c r="BQ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9"/>
      <c r="BF616" s="1"/>
      <c r="BG616" s="1"/>
      <c r="BH616" s="1"/>
      <c r="BI616" s="1"/>
      <c r="BJ616" s="1"/>
      <c r="BK616" s="1"/>
      <c r="BL616" s="1" t="b">
        <f>IFERROR(__xludf.DUMMYFUNCTION("""COMPUTED_VALUE"""),FALSE)</f>
        <v>0</v>
      </c>
      <c r="BM616" s="1"/>
      <c r="BN616" s="1"/>
      <c r="BO616" s="1"/>
      <c r="BP616" s="1"/>
      <c r="BQ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9"/>
      <c r="BF617" s="1"/>
      <c r="BG617" s="1"/>
      <c r="BH617" s="1"/>
      <c r="BI617" s="1"/>
      <c r="BJ617" s="1"/>
      <c r="BK617" s="1"/>
      <c r="BL617" s="1" t="b">
        <f>IFERROR(__xludf.DUMMYFUNCTION("""COMPUTED_VALUE"""),FALSE)</f>
        <v>0</v>
      </c>
      <c r="BM617" s="1"/>
      <c r="BN617" s="1"/>
      <c r="BO617" s="1"/>
      <c r="BP617" s="1"/>
      <c r="BQ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9"/>
      <c r="BF618" s="1"/>
      <c r="BG618" s="1"/>
      <c r="BH618" s="1"/>
      <c r="BI618" s="1"/>
      <c r="BJ618" s="1"/>
      <c r="BK618" s="1"/>
      <c r="BL618" s="1" t="b">
        <f>IFERROR(__xludf.DUMMYFUNCTION("""COMPUTED_VALUE"""),FALSE)</f>
        <v>0</v>
      </c>
      <c r="BM618" s="1"/>
      <c r="BN618" s="1"/>
      <c r="BO618" s="1"/>
      <c r="BP618" s="1"/>
      <c r="BQ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9"/>
      <c r="BF619" s="1"/>
      <c r="BG619" s="1"/>
      <c r="BH619" s="1"/>
      <c r="BI619" s="1"/>
      <c r="BJ619" s="1"/>
      <c r="BK619" s="1"/>
      <c r="BL619" s="1" t="b">
        <f>IFERROR(__xludf.DUMMYFUNCTION("""COMPUTED_VALUE"""),FALSE)</f>
        <v>0</v>
      </c>
      <c r="BM619" s="1"/>
      <c r="BN619" s="1"/>
      <c r="BO619" s="1"/>
      <c r="BP619" s="1"/>
      <c r="BQ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9"/>
      <c r="BF620" s="1"/>
      <c r="BG620" s="1"/>
      <c r="BH620" s="1"/>
      <c r="BI620" s="1"/>
      <c r="BJ620" s="1"/>
      <c r="BK620" s="1"/>
      <c r="BL620" s="1" t="b">
        <f>IFERROR(__xludf.DUMMYFUNCTION("""COMPUTED_VALUE"""),FALSE)</f>
        <v>0</v>
      </c>
      <c r="BM620" s="1"/>
      <c r="BN620" s="1"/>
      <c r="BO620" s="1"/>
      <c r="BP620" s="1"/>
      <c r="BQ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9"/>
      <c r="BF621" s="1"/>
      <c r="BG621" s="1"/>
      <c r="BH621" s="1"/>
      <c r="BI621" s="1"/>
      <c r="BJ621" s="1"/>
      <c r="BK621" s="1"/>
      <c r="BL621" s="1" t="b">
        <f>IFERROR(__xludf.DUMMYFUNCTION("""COMPUTED_VALUE"""),FALSE)</f>
        <v>0</v>
      </c>
      <c r="BM621" s="1"/>
      <c r="BN621" s="1"/>
      <c r="BO621" s="1"/>
      <c r="BP621" s="1"/>
      <c r="BQ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9"/>
      <c r="BF622" s="1"/>
      <c r="BG622" s="1"/>
      <c r="BH622" s="1"/>
      <c r="BI622" s="1"/>
      <c r="BJ622" s="1"/>
      <c r="BK622" s="1"/>
      <c r="BL622" s="1" t="b">
        <f>IFERROR(__xludf.DUMMYFUNCTION("""COMPUTED_VALUE"""),FALSE)</f>
        <v>0</v>
      </c>
      <c r="BM622" s="1"/>
      <c r="BN622" s="1"/>
      <c r="BO622" s="1"/>
      <c r="BP622" s="1"/>
      <c r="BQ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9"/>
      <c r="BF623" s="1"/>
      <c r="BG623" s="1"/>
      <c r="BH623" s="1"/>
      <c r="BI623" s="1"/>
      <c r="BJ623" s="1"/>
      <c r="BK623" s="1"/>
      <c r="BL623" s="1" t="b">
        <f>IFERROR(__xludf.DUMMYFUNCTION("""COMPUTED_VALUE"""),FALSE)</f>
        <v>0</v>
      </c>
      <c r="BM623" s="1"/>
      <c r="BN623" s="1"/>
      <c r="BO623" s="1"/>
      <c r="BP623" s="1"/>
      <c r="BQ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9"/>
      <c r="BF624" s="1"/>
      <c r="BG624" s="1"/>
      <c r="BH624" s="1"/>
      <c r="BI624" s="1"/>
      <c r="BJ624" s="1"/>
      <c r="BK624" s="1"/>
      <c r="BL624" s="1" t="b">
        <f>IFERROR(__xludf.DUMMYFUNCTION("""COMPUTED_VALUE"""),FALSE)</f>
        <v>0</v>
      </c>
      <c r="BM624" s="1"/>
      <c r="BN624" s="1"/>
      <c r="BO624" s="1"/>
      <c r="BP624" s="1"/>
      <c r="BQ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9"/>
      <c r="BF625" s="1"/>
      <c r="BG625" s="1"/>
      <c r="BH625" s="1"/>
      <c r="BI625" s="1"/>
      <c r="BJ625" s="1"/>
      <c r="BK625" s="1"/>
      <c r="BL625" s="1" t="b">
        <f>IFERROR(__xludf.DUMMYFUNCTION("""COMPUTED_VALUE"""),FALSE)</f>
        <v>0</v>
      </c>
      <c r="BM625" s="1"/>
      <c r="BN625" s="1"/>
      <c r="BO625" s="1"/>
      <c r="BP625" s="1"/>
      <c r="BQ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9"/>
      <c r="BF626" s="1"/>
      <c r="BG626" s="1"/>
      <c r="BH626" s="1"/>
      <c r="BI626" s="1"/>
      <c r="BJ626" s="1"/>
      <c r="BK626" s="1"/>
      <c r="BL626" s="1" t="b">
        <f>IFERROR(__xludf.DUMMYFUNCTION("""COMPUTED_VALUE"""),FALSE)</f>
        <v>0</v>
      </c>
      <c r="BM626" s="1"/>
      <c r="BN626" s="1"/>
      <c r="BO626" s="1"/>
      <c r="BP626" s="1"/>
      <c r="BQ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9"/>
      <c r="BF627" s="1"/>
      <c r="BG627" s="1"/>
      <c r="BH627" s="1"/>
      <c r="BI627" s="1"/>
      <c r="BJ627" s="1"/>
      <c r="BK627" s="1"/>
      <c r="BL627" s="1" t="b">
        <f>IFERROR(__xludf.DUMMYFUNCTION("""COMPUTED_VALUE"""),FALSE)</f>
        <v>0</v>
      </c>
      <c r="BM627" s="1"/>
      <c r="BN627" s="1"/>
      <c r="BO627" s="1"/>
      <c r="BP627" s="1"/>
      <c r="BQ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9"/>
      <c r="BF628" s="1"/>
      <c r="BG628" s="1"/>
      <c r="BH628" s="1"/>
      <c r="BI628" s="1"/>
      <c r="BJ628" s="1"/>
      <c r="BK628" s="1"/>
      <c r="BL628" s="1" t="b">
        <f>IFERROR(__xludf.DUMMYFUNCTION("""COMPUTED_VALUE"""),FALSE)</f>
        <v>0</v>
      </c>
      <c r="BM628" s="1"/>
      <c r="BN628" s="1"/>
      <c r="BO628" s="1"/>
      <c r="BP628" s="1"/>
      <c r="BQ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9"/>
      <c r="BF629" s="1"/>
      <c r="BG629" s="1"/>
      <c r="BH629" s="1"/>
      <c r="BI629" s="1"/>
      <c r="BJ629" s="1"/>
      <c r="BK629" s="1"/>
      <c r="BL629" s="1" t="b">
        <f>IFERROR(__xludf.DUMMYFUNCTION("""COMPUTED_VALUE"""),FALSE)</f>
        <v>0</v>
      </c>
      <c r="BM629" s="1"/>
      <c r="BN629" s="1"/>
      <c r="BO629" s="1"/>
      <c r="BP629" s="1"/>
      <c r="BQ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9"/>
      <c r="BF630" s="1"/>
      <c r="BG630" s="1"/>
      <c r="BH630" s="1"/>
      <c r="BI630" s="1"/>
      <c r="BJ630" s="1"/>
      <c r="BK630" s="1"/>
      <c r="BL630" s="1" t="b">
        <f>IFERROR(__xludf.DUMMYFUNCTION("""COMPUTED_VALUE"""),FALSE)</f>
        <v>0</v>
      </c>
      <c r="BM630" s="1"/>
      <c r="BN630" s="1"/>
      <c r="BO630" s="1"/>
      <c r="BP630" s="1"/>
      <c r="BQ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9"/>
      <c r="BF631" s="1"/>
      <c r="BG631" s="1"/>
      <c r="BH631" s="1"/>
      <c r="BI631" s="1"/>
      <c r="BJ631" s="1"/>
      <c r="BK631" s="1"/>
      <c r="BL631" s="1" t="b">
        <f>IFERROR(__xludf.DUMMYFUNCTION("""COMPUTED_VALUE"""),FALSE)</f>
        <v>0</v>
      </c>
      <c r="BM631" s="1"/>
      <c r="BN631" s="1"/>
      <c r="BO631" s="1"/>
      <c r="BP631" s="1"/>
      <c r="BQ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9"/>
      <c r="BF632" s="1"/>
      <c r="BG632" s="1"/>
      <c r="BH632" s="1"/>
      <c r="BI632" s="1"/>
      <c r="BJ632" s="1"/>
      <c r="BK632" s="1"/>
      <c r="BL632" s="1" t="b">
        <f>IFERROR(__xludf.DUMMYFUNCTION("""COMPUTED_VALUE"""),FALSE)</f>
        <v>0</v>
      </c>
      <c r="BM632" s="1"/>
      <c r="BN632" s="1"/>
      <c r="BO632" s="1"/>
      <c r="BP632" s="1"/>
      <c r="BQ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9"/>
      <c r="BF633" s="1"/>
      <c r="BG633" s="1"/>
      <c r="BH633" s="1"/>
      <c r="BI633" s="1"/>
      <c r="BJ633" s="1"/>
      <c r="BK633" s="1"/>
      <c r="BL633" s="1" t="b">
        <f>IFERROR(__xludf.DUMMYFUNCTION("""COMPUTED_VALUE"""),FALSE)</f>
        <v>0</v>
      </c>
      <c r="BM633" s="1"/>
      <c r="BN633" s="1"/>
      <c r="BO633" s="1"/>
      <c r="BP633" s="1"/>
      <c r="BQ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9"/>
      <c r="BF634" s="1"/>
      <c r="BG634" s="1"/>
      <c r="BH634" s="1"/>
      <c r="BI634" s="1"/>
      <c r="BJ634" s="1"/>
      <c r="BK634" s="1"/>
      <c r="BL634" s="1" t="b">
        <f>IFERROR(__xludf.DUMMYFUNCTION("""COMPUTED_VALUE"""),FALSE)</f>
        <v>0</v>
      </c>
      <c r="BM634" s="1"/>
      <c r="BN634" s="1"/>
      <c r="BO634" s="1"/>
      <c r="BP634" s="1"/>
      <c r="BQ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9"/>
      <c r="BF635" s="1"/>
      <c r="BG635" s="1"/>
      <c r="BH635" s="1"/>
      <c r="BI635" s="1"/>
      <c r="BJ635" s="1"/>
      <c r="BK635" s="1"/>
      <c r="BL635" s="1" t="b">
        <f>IFERROR(__xludf.DUMMYFUNCTION("""COMPUTED_VALUE"""),FALSE)</f>
        <v>0</v>
      </c>
      <c r="BM635" s="1"/>
      <c r="BN635" s="1"/>
      <c r="BO635" s="1"/>
      <c r="BP635" s="1"/>
      <c r="BQ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9"/>
      <c r="BF636" s="1"/>
      <c r="BG636" s="1"/>
      <c r="BH636" s="1"/>
      <c r="BI636" s="1"/>
      <c r="BJ636" s="1"/>
      <c r="BK636" s="1"/>
      <c r="BL636" s="1" t="b">
        <f>IFERROR(__xludf.DUMMYFUNCTION("""COMPUTED_VALUE"""),FALSE)</f>
        <v>0</v>
      </c>
      <c r="BM636" s="1"/>
      <c r="BN636" s="1"/>
      <c r="BO636" s="1"/>
      <c r="BP636" s="1"/>
      <c r="BQ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9"/>
      <c r="BF637" s="1"/>
      <c r="BG637" s="1"/>
      <c r="BH637" s="1"/>
      <c r="BI637" s="1"/>
      <c r="BJ637" s="1"/>
      <c r="BK637" s="1"/>
      <c r="BL637" s="1" t="b">
        <f>IFERROR(__xludf.DUMMYFUNCTION("""COMPUTED_VALUE"""),FALSE)</f>
        <v>0</v>
      </c>
      <c r="BM637" s="1"/>
      <c r="BN637" s="1"/>
      <c r="BO637" s="1"/>
      <c r="BP637" s="1"/>
      <c r="BQ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9"/>
      <c r="BF638" s="1"/>
      <c r="BG638" s="1"/>
      <c r="BH638" s="1"/>
      <c r="BI638" s="1"/>
      <c r="BJ638" s="1"/>
      <c r="BK638" s="1"/>
      <c r="BL638" s="1" t="b">
        <f>IFERROR(__xludf.DUMMYFUNCTION("""COMPUTED_VALUE"""),FALSE)</f>
        <v>0</v>
      </c>
      <c r="BM638" s="1"/>
      <c r="BN638" s="1"/>
      <c r="BO638" s="1"/>
      <c r="BP638" s="1"/>
      <c r="BQ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9"/>
      <c r="BF639" s="1"/>
      <c r="BG639" s="1"/>
      <c r="BH639" s="1"/>
      <c r="BI639" s="1"/>
      <c r="BJ639" s="1"/>
      <c r="BK639" s="1"/>
      <c r="BL639" s="1" t="b">
        <f>IFERROR(__xludf.DUMMYFUNCTION("""COMPUTED_VALUE"""),FALSE)</f>
        <v>0</v>
      </c>
      <c r="BM639" s="1"/>
      <c r="BN639" s="1"/>
      <c r="BO639" s="1"/>
      <c r="BP639" s="1"/>
      <c r="BQ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9"/>
      <c r="BF640" s="1"/>
      <c r="BG640" s="1"/>
      <c r="BH640" s="1"/>
      <c r="BI640" s="1"/>
      <c r="BJ640" s="1"/>
      <c r="BK640" s="1"/>
      <c r="BL640" s="1" t="b">
        <f>IFERROR(__xludf.DUMMYFUNCTION("""COMPUTED_VALUE"""),FALSE)</f>
        <v>0</v>
      </c>
      <c r="BM640" s="1"/>
      <c r="BN640" s="1"/>
      <c r="BO640" s="1"/>
      <c r="BP640" s="1"/>
      <c r="BQ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9"/>
      <c r="BF641" s="1"/>
      <c r="BG641" s="1"/>
      <c r="BH641" s="1"/>
      <c r="BI641" s="1"/>
      <c r="BJ641" s="1"/>
      <c r="BK641" s="1"/>
      <c r="BL641" s="1" t="b">
        <f>IFERROR(__xludf.DUMMYFUNCTION("""COMPUTED_VALUE"""),FALSE)</f>
        <v>0</v>
      </c>
      <c r="BM641" s="1"/>
      <c r="BN641" s="1"/>
      <c r="BO641" s="1"/>
      <c r="BP641" s="1"/>
      <c r="BQ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9"/>
      <c r="BF642" s="1"/>
      <c r="BG642" s="1"/>
      <c r="BH642" s="1"/>
      <c r="BI642" s="1"/>
      <c r="BJ642" s="1"/>
      <c r="BK642" s="1"/>
      <c r="BL642" s="1" t="b">
        <f>IFERROR(__xludf.DUMMYFUNCTION("""COMPUTED_VALUE"""),FALSE)</f>
        <v>0</v>
      </c>
      <c r="BM642" s="1"/>
      <c r="BN642" s="1"/>
      <c r="BO642" s="1"/>
      <c r="BP642" s="1"/>
      <c r="BQ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9"/>
      <c r="BF643" s="1"/>
      <c r="BG643" s="1"/>
      <c r="BH643" s="1"/>
      <c r="BI643" s="1"/>
      <c r="BJ643" s="1"/>
      <c r="BK643" s="1"/>
      <c r="BL643" s="1" t="b">
        <f>IFERROR(__xludf.DUMMYFUNCTION("""COMPUTED_VALUE"""),FALSE)</f>
        <v>0</v>
      </c>
      <c r="BM643" s="1"/>
      <c r="BN643" s="1"/>
      <c r="BO643" s="1"/>
      <c r="BP643" s="1"/>
      <c r="BQ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9"/>
      <c r="BF644" s="1"/>
      <c r="BG644" s="1"/>
      <c r="BH644" s="1"/>
      <c r="BI644" s="1"/>
      <c r="BJ644" s="1"/>
      <c r="BK644" s="1"/>
      <c r="BL644" s="1" t="b">
        <f>IFERROR(__xludf.DUMMYFUNCTION("""COMPUTED_VALUE"""),FALSE)</f>
        <v>0</v>
      </c>
      <c r="BM644" s="1"/>
      <c r="BN644" s="1"/>
      <c r="BO644" s="1"/>
      <c r="BP644" s="1"/>
      <c r="BQ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9"/>
      <c r="BF645" s="1"/>
      <c r="BG645" s="1"/>
      <c r="BH645" s="1"/>
      <c r="BI645" s="1"/>
      <c r="BJ645" s="1"/>
      <c r="BK645" s="1"/>
      <c r="BL645" s="1" t="b">
        <f>IFERROR(__xludf.DUMMYFUNCTION("""COMPUTED_VALUE"""),FALSE)</f>
        <v>0</v>
      </c>
      <c r="BM645" s="1"/>
      <c r="BN645" s="1"/>
      <c r="BO645" s="1"/>
      <c r="BP645" s="1"/>
      <c r="BQ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9"/>
      <c r="BF646" s="1"/>
      <c r="BG646" s="1"/>
      <c r="BH646" s="1"/>
      <c r="BI646" s="1"/>
      <c r="BJ646" s="1"/>
      <c r="BK646" s="1"/>
      <c r="BL646" s="1" t="b">
        <f>IFERROR(__xludf.DUMMYFUNCTION("""COMPUTED_VALUE"""),FALSE)</f>
        <v>0</v>
      </c>
      <c r="BM646" s="1"/>
      <c r="BN646" s="1"/>
      <c r="BO646" s="1"/>
      <c r="BP646" s="1"/>
      <c r="BQ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9"/>
      <c r="BF647" s="1"/>
      <c r="BG647" s="1"/>
      <c r="BH647" s="1"/>
      <c r="BI647" s="1"/>
      <c r="BJ647" s="1"/>
      <c r="BK647" s="1"/>
      <c r="BL647" s="1" t="b">
        <f>IFERROR(__xludf.DUMMYFUNCTION("""COMPUTED_VALUE"""),FALSE)</f>
        <v>0</v>
      </c>
      <c r="BM647" s="1"/>
      <c r="BN647" s="1"/>
      <c r="BO647" s="1"/>
      <c r="BP647" s="1"/>
      <c r="BQ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9"/>
      <c r="BF648" s="1"/>
      <c r="BG648" s="1"/>
      <c r="BH648" s="1"/>
      <c r="BI648" s="1"/>
      <c r="BJ648" s="1"/>
      <c r="BK648" s="1"/>
      <c r="BL648" s="1" t="b">
        <f>IFERROR(__xludf.DUMMYFUNCTION("""COMPUTED_VALUE"""),FALSE)</f>
        <v>0</v>
      </c>
      <c r="BM648" s="1"/>
      <c r="BN648" s="1"/>
      <c r="BO648" s="1"/>
      <c r="BP648" s="1"/>
      <c r="BQ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9"/>
      <c r="BF649" s="1"/>
      <c r="BG649" s="1"/>
      <c r="BH649" s="1"/>
      <c r="BI649" s="1"/>
      <c r="BJ649" s="1"/>
      <c r="BK649" s="1"/>
      <c r="BL649" s="1" t="b">
        <f>IFERROR(__xludf.DUMMYFUNCTION("""COMPUTED_VALUE"""),FALSE)</f>
        <v>0</v>
      </c>
      <c r="BM649" s="1"/>
      <c r="BN649" s="1"/>
      <c r="BO649" s="1"/>
      <c r="BP649" s="1"/>
      <c r="BQ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9"/>
      <c r="BF650" s="1"/>
      <c r="BG650" s="1"/>
      <c r="BH650" s="1"/>
      <c r="BI650" s="1"/>
      <c r="BJ650" s="1"/>
      <c r="BK650" s="1"/>
      <c r="BL650" s="1" t="b">
        <f>IFERROR(__xludf.DUMMYFUNCTION("""COMPUTED_VALUE"""),FALSE)</f>
        <v>0</v>
      </c>
      <c r="BM650" s="1"/>
      <c r="BN650" s="1"/>
      <c r="BO650" s="1"/>
      <c r="BP650" s="1"/>
      <c r="BQ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9"/>
      <c r="BF651" s="1"/>
      <c r="BG651" s="1"/>
      <c r="BH651" s="1"/>
      <c r="BI651" s="1"/>
      <c r="BJ651" s="1"/>
      <c r="BK651" s="1"/>
      <c r="BL651" s="1" t="b">
        <f>IFERROR(__xludf.DUMMYFUNCTION("""COMPUTED_VALUE"""),FALSE)</f>
        <v>0</v>
      </c>
      <c r="BM651" s="1"/>
      <c r="BN651" s="1"/>
      <c r="BO651" s="1"/>
      <c r="BP651" s="1"/>
      <c r="BQ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9"/>
      <c r="BF652" s="1"/>
      <c r="BG652" s="1"/>
      <c r="BH652" s="1"/>
      <c r="BI652" s="1"/>
      <c r="BJ652" s="1"/>
      <c r="BK652" s="1"/>
      <c r="BL652" s="1" t="b">
        <f>IFERROR(__xludf.DUMMYFUNCTION("""COMPUTED_VALUE"""),FALSE)</f>
        <v>0</v>
      </c>
      <c r="BM652" s="1"/>
      <c r="BN652" s="1"/>
      <c r="BO652" s="1"/>
      <c r="BP652" s="1"/>
      <c r="BQ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9"/>
      <c r="BF653" s="1"/>
      <c r="BG653" s="1"/>
      <c r="BH653" s="1"/>
      <c r="BI653" s="1"/>
      <c r="BJ653" s="1"/>
      <c r="BK653" s="1"/>
      <c r="BL653" s="1" t="b">
        <f>IFERROR(__xludf.DUMMYFUNCTION("""COMPUTED_VALUE"""),FALSE)</f>
        <v>0</v>
      </c>
      <c r="BM653" s="1"/>
      <c r="BN653" s="1"/>
      <c r="BO653" s="1"/>
      <c r="BP653" s="1"/>
      <c r="BQ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9"/>
      <c r="BF654" s="1"/>
      <c r="BG654" s="1"/>
      <c r="BH654" s="1"/>
      <c r="BI654" s="1"/>
      <c r="BJ654" s="1"/>
      <c r="BK654" s="1"/>
      <c r="BL654" s="1" t="b">
        <f>IFERROR(__xludf.DUMMYFUNCTION("""COMPUTED_VALUE"""),FALSE)</f>
        <v>0</v>
      </c>
      <c r="BM654" s="1"/>
      <c r="BN654" s="1"/>
      <c r="BO654" s="1"/>
      <c r="BP654" s="1"/>
      <c r="BQ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9"/>
      <c r="BF655" s="1"/>
      <c r="BG655" s="1"/>
      <c r="BH655" s="1"/>
      <c r="BI655" s="1"/>
      <c r="BJ655" s="1"/>
      <c r="BK655" s="1"/>
      <c r="BL655" s="1" t="b">
        <f>IFERROR(__xludf.DUMMYFUNCTION("""COMPUTED_VALUE"""),FALSE)</f>
        <v>0</v>
      </c>
      <c r="BM655" s="1"/>
      <c r="BN655" s="1"/>
      <c r="BO655" s="1"/>
      <c r="BP655" s="1"/>
      <c r="BQ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9"/>
      <c r="BF656" s="1"/>
      <c r="BG656" s="1"/>
      <c r="BH656" s="1"/>
      <c r="BI656" s="1"/>
      <c r="BJ656" s="1"/>
      <c r="BK656" s="1"/>
      <c r="BL656" s="1" t="b">
        <f>IFERROR(__xludf.DUMMYFUNCTION("""COMPUTED_VALUE"""),FALSE)</f>
        <v>0</v>
      </c>
      <c r="BM656" s="1"/>
      <c r="BN656" s="1"/>
      <c r="BO656" s="1"/>
      <c r="BP656" s="1"/>
      <c r="BQ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9"/>
      <c r="BF657" s="1"/>
      <c r="BG657" s="1"/>
      <c r="BH657" s="1"/>
      <c r="BI657" s="1"/>
      <c r="BJ657" s="1"/>
      <c r="BK657" s="1"/>
      <c r="BL657" s="1" t="b">
        <f>IFERROR(__xludf.DUMMYFUNCTION("""COMPUTED_VALUE"""),FALSE)</f>
        <v>0</v>
      </c>
      <c r="BM657" s="1"/>
      <c r="BN657" s="1"/>
      <c r="BO657" s="1"/>
      <c r="BP657" s="1"/>
      <c r="BQ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9"/>
      <c r="BF658" s="1"/>
      <c r="BG658" s="1"/>
      <c r="BH658" s="1"/>
      <c r="BI658" s="1"/>
      <c r="BJ658" s="1"/>
      <c r="BK658" s="1"/>
      <c r="BL658" s="1" t="b">
        <f>IFERROR(__xludf.DUMMYFUNCTION("""COMPUTED_VALUE"""),FALSE)</f>
        <v>0</v>
      </c>
      <c r="BM658" s="1"/>
      <c r="BN658" s="1"/>
      <c r="BO658" s="1"/>
      <c r="BP658" s="1"/>
      <c r="BQ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9"/>
      <c r="BF659" s="1"/>
      <c r="BG659" s="1"/>
      <c r="BH659" s="1"/>
      <c r="BI659" s="1"/>
      <c r="BJ659" s="1"/>
      <c r="BK659" s="1"/>
      <c r="BL659" s="1" t="b">
        <f>IFERROR(__xludf.DUMMYFUNCTION("""COMPUTED_VALUE"""),FALSE)</f>
        <v>0</v>
      </c>
      <c r="BM659" s="1"/>
      <c r="BN659" s="1"/>
      <c r="BO659" s="1"/>
      <c r="BP659" s="1"/>
      <c r="BQ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9"/>
      <c r="BF660" s="1"/>
      <c r="BG660" s="1"/>
      <c r="BH660" s="1"/>
      <c r="BI660" s="1"/>
      <c r="BJ660" s="1"/>
      <c r="BK660" s="1"/>
      <c r="BL660" s="1" t="b">
        <f>IFERROR(__xludf.DUMMYFUNCTION("""COMPUTED_VALUE"""),FALSE)</f>
        <v>0</v>
      </c>
      <c r="BM660" s="1"/>
      <c r="BN660" s="1"/>
      <c r="BO660" s="1"/>
      <c r="BP660" s="1"/>
      <c r="BQ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9"/>
      <c r="BF661" s="1"/>
      <c r="BG661" s="1"/>
      <c r="BH661" s="1"/>
      <c r="BI661" s="1"/>
      <c r="BJ661" s="1"/>
      <c r="BK661" s="1"/>
      <c r="BL661" s="1" t="b">
        <f>IFERROR(__xludf.DUMMYFUNCTION("""COMPUTED_VALUE"""),FALSE)</f>
        <v>0</v>
      </c>
      <c r="BM661" s="1"/>
      <c r="BN661" s="1"/>
      <c r="BO661" s="1"/>
      <c r="BP661" s="1"/>
      <c r="BQ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9"/>
      <c r="BF662" s="1"/>
      <c r="BG662" s="1"/>
      <c r="BH662" s="1"/>
      <c r="BI662" s="1"/>
      <c r="BJ662" s="1"/>
      <c r="BK662" s="1"/>
      <c r="BL662" s="1" t="b">
        <f>IFERROR(__xludf.DUMMYFUNCTION("""COMPUTED_VALUE"""),FALSE)</f>
        <v>0</v>
      </c>
      <c r="BM662" s="1"/>
      <c r="BN662" s="1"/>
      <c r="BO662" s="1"/>
      <c r="BP662" s="1"/>
      <c r="BQ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9"/>
      <c r="BF663" s="1"/>
      <c r="BG663" s="1"/>
      <c r="BH663" s="1"/>
      <c r="BI663" s="1"/>
      <c r="BJ663" s="1"/>
      <c r="BK663" s="1"/>
      <c r="BL663" s="1" t="b">
        <f>IFERROR(__xludf.DUMMYFUNCTION("""COMPUTED_VALUE"""),FALSE)</f>
        <v>0</v>
      </c>
      <c r="BM663" s="1"/>
      <c r="BN663" s="1"/>
      <c r="BO663" s="1"/>
      <c r="BP663" s="1"/>
      <c r="BQ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9"/>
      <c r="BF664" s="1"/>
      <c r="BG664" s="1"/>
      <c r="BH664" s="1"/>
      <c r="BI664" s="1"/>
      <c r="BJ664" s="1"/>
      <c r="BK664" s="1"/>
      <c r="BL664" s="1" t="b">
        <f>IFERROR(__xludf.DUMMYFUNCTION("""COMPUTED_VALUE"""),FALSE)</f>
        <v>0</v>
      </c>
      <c r="BM664" s="1"/>
      <c r="BN664" s="1"/>
      <c r="BO664" s="1"/>
      <c r="BP664" s="1"/>
      <c r="BQ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9"/>
      <c r="BF665" s="1"/>
      <c r="BG665" s="1"/>
      <c r="BH665" s="1"/>
      <c r="BI665" s="1"/>
      <c r="BJ665" s="1"/>
      <c r="BK665" s="1"/>
      <c r="BL665" s="1" t="b">
        <f>IFERROR(__xludf.DUMMYFUNCTION("""COMPUTED_VALUE"""),FALSE)</f>
        <v>0</v>
      </c>
      <c r="BM665" s="1"/>
      <c r="BN665" s="1"/>
      <c r="BO665" s="1"/>
      <c r="BP665" s="1"/>
      <c r="BQ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9"/>
      <c r="BF666" s="1"/>
      <c r="BG666" s="1"/>
      <c r="BH666" s="1"/>
      <c r="BI666" s="1"/>
      <c r="BJ666" s="1"/>
      <c r="BK666" s="1"/>
      <c r="BL666" s="1" t="b">
        <f>IFERROR(__xludf.DUMMYFUNCTION("""COMPUTED_VALUE"""),FALSE)</f>
        <v>0</v>
      </c>
      <c r="BM666" s="1"/>
      <c r="BN666" s="1"/>
      <c r="BO666" s="1"/>
      <c r="BP666" s="1"/>
      <c r="BQ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9"/>
      <c r="BF667" s="1"/>
      <c r="BG667" s="1"/>
      <c r="BH667" s="1"/>
      <c r="BI667" s="1"/>
      <c r="BJ667" s="1"/>
      <c r="BK667" s="1"/>
      <c r="BL667" s="1" t="b">
        <f>IFERROR(__xludf.DUMMYFUNCTION("""COMPUTED_VALUE"""),FALSE)</f>
        <v>0</v>
      </c>
      <c r="BM667" s="1"/>
      <c r="BN667" s="1"/>
      <c r="BO667" s="1"/>
      <c r="BP667" s="1"/>
      <c r="BQ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9"/>
      <c r="BF668" s="1"/>
      <c r="BG668" s="1"/>
      <c r="BH668" s="1"/>
      <c r="BI668" s="1"/>
      <c r="BJ668" s="1"/>
      <c r="BK668" s="1"/>
      <c r="BL668" s="1" t="b">
        <f>IFERROR(__xludf.DUMMYFUNCTION("""COMPUTED_VALUE"""),FALSE)</f>
        <v>0</v>
      </c>
      <c r="BM668" s="1"/>
      <c r="BN668" s="1"/>
      <c r="BO668" s="1"/>
      <c r="BP668" s="1"/>
      <c r="BQ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9"/>
      <c r="BF669" s="1"/>
      <c r="BG669" s="1"/>
      <c r="BH669" s="1"/>
      <c r="BI669" s="1"/>
      <c r="BJ669" s="1"/>
      <c r="BK669" s="1"/>
      <c r="BL669" s="1" t="b">
        <f>IFERROR(__xludf.DUMMYFUNCTION("""COMPUTED_VALUE"""),FALSE)</f>
        <v>0</v>
      </c>
      <c r="BM669" s="1"/>
      <c r="BN669" s="1"/>
      <c r="BO669" s="1"/>
      <c r="BP669" s="1"/>
      <c r="BQ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9"/>
      <c r="BF670" s="1"/>
      <c r="BG670" s="1"/>
      <c r="BH670" s="1"/>
      <c r="BI670" s="1"/>
      <c r="BJ670" s="1"/>
      <c r="BK670" s="1"/>
      <c r="BL670" s="1" t="b">
        <f>IFERROR(__xludf.DUMMYFUNCTION("""COMPUTED_VALUE"""),FALSE)</f>
        <v>0</v>
      </c>
      <c r="BM670" s="1"/>
      <c r="BN670" s="1"/>
      <c r="BO670" s="1"/>
      <c r="BP670" s="1"/>
      <c r="BQ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9"/>
      <c r="BF671" s="1"/>
      <c r="BG671" s="1"/>
      <c r="BH671" s="1"/>
      <c r="BI671" s="1"/>
      <c r="BJ671" s="1"/>
      <c r="BK671" s="1"/>
      <c r="BL671" s="1" t="b">
        <f>IFERROR(__xludf.DUMMYFUNCTION("""COMPUTED_VALUE"""),FALSE)</f>
        <v>0</v>
      </c>
      <c r="BM671" s="1"/>
      <c r="BN671" s="1"/>
      <c r="BO671" s="1"/>
      <c r="BP671" s="1"/>
      <c r="BQ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9"/>
      <c r="BF672" s="1"/>
      <c r="BG672" s="1"/>
      <c r="BH672" s="1"/>
      <c r="BI672" s="1"/>
      <c r="BJ672" s="1"/>
      <c r="BK672" s="1"/>
      <c r="BL672" s="1" t="b">
        <f>IFERROR(__xludf.DUMMYFUNCTION("""COMPUTED_VALUE"""),FALSE)</f>
        <v>0</v>
      </c>
      <c r="BM672" s="1"/>
      <c r="BN672" s="1"/>
      <c r="BO672" s="1"/>
      <c r="BP672" s="1"/>
      <c r="BQ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9"/>
      <c r="BF673" s="1"/>
      <c r="BG673" s="1"/>
      <c r="BH673" s="1"/>
      <c r="BI673" s="1"/>
      <c r="BJ673" s="1"/>
      <c r="BK673" s="1"/>
      <c r="BL673" s="1" t="b">
        <f>IFERROR(__xludf.DUMMYFUNCTION("""COMPUTED_VALUE"""),FALSE)</f>
        <v>0</v>
      </c>
      <c r="BM673" s="1"/>
      <c r="BN673" s="1"/>
      <c r="BO673" s="1"/>
      <c r="BP673" s="1"/>
      <c r="BQ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9"/>
      <c r="BF674" s="1"/>
      <c r="BG674" s="1"/>
      <c r="BH674" s="1"/>
      <c r="BI674" s="1"/>
      <c r="BJ674" s="1"/>
      <c r="BK674" s="1"/>
      <c r="BL674" s="1" t="b">
        <f>IFERROR(__xludf.DUMMYFUNCTION("""COMPUTED_VALUE"""),FALSE)</f>
        <v>0</v>
      </c>
      <c r="BM674" s="1"/>
      <c r="BN674" s="1"/>
      <c r="BO674" s="1"/>
      <c r="BP674" s="1"/>
      <c r="BQ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9"/>
      <c r="BF675" s="1"/>
      <c r="BG675" s="1"/>
      <c r="BH675" s="1"/>
      <c r="BI675" s="1"/>
      <c r="BJ675" s="1"/>
      <c r="BK675" s="1"/>
      <c r="BL675" s="1" t="b">
        <f>IFERROR(__xludf.DUMMYFUNCTION("""COMPUTED_VALUE"""),FALSE)</f>
        <v>0</v>
      </c>
      <c r="BM675" s="1"/>
      <c r="BN675" s="1"/>
      <c r="BO675" s="1"/>
      <c r="BP675" s="1"/>
      <c r="BQ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9"/>
      <c r="BF676" s="1"/>
      <c r="BG676" s="1"/>
      <c r="BH676" s="1"/>
      <c r="BI676" s="1"/>
      <c r="BJ676" s="1"/>
      <c r="BK676" s="1"/>
      <c r="BL676" s="1" t="b">
        <f>IFERROR(__xludf.DUMMYFUNCTION("""COMPUTED_VALUE"""),FALSE)</f>
        <v>0</v>
      </c>
      <c r="BM676" s="1"/>
      <c r="BN676" s="1"/>
      <c r="BO676" s="1"/>
      <c r="BP676" s="1"/>
      <c r="BQ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9"/>
      <c r="BF677" s="1"/>
      <c r="BG677" s="1"/>
      <c r="BH677" s="1"/>
      <c r="BI677" s="1"/>
      <c r="BJ677" s="1"/>
      <c r="BK677" s="1"/>
      <c r="BL677" s="1" t="b">
        <f>IFERROR(__xludf.DUMMYFUNCTION("""COMPUTED_VALUE"""),FALSE)</f>
        <v>0</v>
      </c>
      <c r="BM677" s="1"/>
      <c r="BN677" s="1"/>
      <c r="BO677" s="1"/>
      <c r="BP677" s="1"/>
      <c r="BQ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9"/>
      <c r="BF678" s="1"/>
      <c r="BG678" s="1"/>
      <c r="BH678" s="1"/>
      <c r="BI678" s="1"/>
      <c r="BJ678" s="1"/>
      <c r="BK678" s="1"/>
      <c r="BL678" s="1" t="b">
        <f>IFERROR(__xludf.DUMMYFUNCTION("""COMPUTED_VALUE"""),FALSE)</f>
        <v>0</v>
      </c>
      <c r="BM678" s="1"/>
      <c r="BN678" s="1"/>
      <c r="BO678" s="1"/>
      <c r="BP678" s="1"/>
      <c r="BQ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9"/>
      <c r="BF679" s="1"/>
      <c r="BG679" s="1"/>
      <c r="BH679" s="1"/>
      <c r="BI679" s="1"/>
      <c r="BJ679" s="1"/>
      <c r="BK679" s="1"/>
      <c r="BL679" s="1" t="b">
        <f>IFERROR(__xludf.DUMMYFUNCTION("""COMPUTED_VALUE"""),FALSE)</f>
        <v>0</v>
      </c>
      <c r="BM679" s="1"/>
      <c r="BN679" s="1"/>
      <c r="BO679" s="1"/>
      <c r="BP679" s="1"/>
      <c r="BQ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9"/>
      <c r="BF680" s="1"/>
      <c r="BG680" s="1"/>
      <c r="BH680" s="1"/>
      <c r="BI680" s="1"/>
      <c r="BJ680" s="1"/>
      <c r="BK680" s="1"/>
      <c r="BL680" s="1" t="b">
        <f>IFERROR(__xludf.DUMMYFUNCTION("""COMPUTED_VALUE"""),FALSE)</f>
        <v>0</v>
      </c>
      <c r="BM680" s="1"/>
      <c r="BN680" s="1"/>
      <c r="BO680" s="1"/>
      <c r="BP680" s="1"/>
      <c r="BQ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9"/>
      <c r="BF681" s="1"/>
      <c r="BG681" s="1"/>
      <c r="BH681" s="1"/>
      <c r="BI681" s="1"/>
      <c r="BJ681" s="1"/>
      <c r="BK681" s="1"/>
      <c r="BL681" s="1" t="b">
        <f>IFERROR(__xludf.DUMMYFUNCTION("""COMPUTED_VALUE"""),FALSE)</f>
        <v>0</v>
      </c>
      <c r="BM681" s="1"/>
      <c r="BN681" s="1"/>
      <c r="BO681" s="1"/>
      <c r="BP681" s="1"/>
      <c r="BQ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9"/>
      <c r="BF682" s="1"/>
      <c r="BG682" s="1"/>
      <c r="BH682" s="1"/>
      <c r="BI682" s="1"/>
      <c r="BJ682" s="1"/>
      <c r="BK682" s="1"/>
      <c r="BL682" s="1" t="b">
        <f>IFERROR(__xludf.DUMMYFUNCTION("""COMPUTED_VALUE"""),FALSE)</f>
        <v>0</v>
      </c>
      <c r="BM682" s="1"/>
      <c r="BN682" s="1"/>
      <c r="BO682" s="1"/>
      <c r="BP682" s="1"/>
      <c r="BQ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9"/>
      <c r="BF683" s="1"/>
      <c r="BG683" s="1"/>
      <c r="BH683" s="1"/>
      <c r="BI683" s="1"/>
      <c r="BJ683" s="1"/>
      <c r="BK683" s="1"/>
      <c r="BL683" s="1" t="b">
        <f>IFERROR(__xludf.DUMMYFUNCTION("""COMPUTED_VALUE"""),FALSE)</f>
        <v>0</v>
      </c>
      <c r="BM683" s="1"/>
      <c r="BN683" s="1"/>
      <c r="BO683" s="1"/>
      <c r="BP683" s="1"/>
      <c r="BQ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9"/>
      <c r="BF684" s="1"/>
      <c r="BG684" s="1"/>
      <c r="BH684" s="1"/>
      <c r="BI684" s="1"/>
      <c r="BJ684" s="1"/>
      <c r="BK684" s="1"/>
      <c r="BL684" s="1" t="b">
        <f>IFERROR(__xludf.DUMMYFUNCTION("""COMPUTED_VALUE"""),FALSE)</f>
        <v>0</v>
      </c>
      <c r="BM684" s="1"/>
      <c r="BN684" s="1"/>
      <c r="BO684" s="1"/>
      <c r="BP684" s="1"/>
      <c r="BQ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9"/>
      <c r="BF685" s="1"/>
      <c r="BG685" s="1"/>
      <c r="BH685" s="1"/>
      <c r="BI685" s="1"/>
      <c r="BJ685" s="1"/>
      <c r="BK685" s="1"/>
      <c r="BL685" s="1" t="b">
        <f>IFERROR(__xludf.DUMMYFUNCTION("""COMPUTED_VALUE"""),FALSE)</f>
        <v>0</v>
      </c>
      <c r="BM685" s="1"/>
      <c r="BN685" s="1"/>
      <c r="BO685" s="1"/>
      <c r="BP685" s="1"/>
      <c r="BQ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9"/>
      <c r="BF686" s="1"/>
      <c r="BG686" s="1"/>
      <c r="BH686" s="1"/>
      <c r="BI686" s="1"/>
      <c r="BJ686" s="1"/>
      <c r="BK686" s="1"/>
      <c r="BL686" s="1" t="b">
        <f>IFERROR(__xludf.DUMMYFUNCTION("""COMPUTED_VALUE"""),FALSE)</f>
        <v>0</v>
      </c>
      <c r="BM686" s="1"/>
      <c r="BN686" s="1"/>
      <c r="BO686" s="1"/>
      <c r="BP686" s="1"/>
      <c r="BQ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9"/>
      <c r="BF687" s="1"/>
      <c r="BG687" s="1"/>
      <c r="BH687" s="1"/>
      <c r="BI687" s="1"/>
      <c r="BJ687" s="1"/>
      <c r="BK687" s="1"/>
      <c r="BL687" s="1" t="b">
        <f>IFERROR(__xludf.DUMMYFUNCTION("""COMPUTED_VALUE"""),FALSE)</f>
        <v>0</v>
      </c>
      <c r="BM687" s="1"/>
      <c r="BN687" s="1"/>
      <c r="BO687" s="1"/>
      <c r="BP687" s="1"/>
      <c r="BQ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9"/>
      <c r="BF688" s="1"/>
      <c r="BG688" s="1"/>
      <c r="BH688" s="1"/>
      <c r="BI688" s="1"/>
      <c r="BJ688" s="1"/>
      <c r="BK688" s="1"/>
      <c r="BL688" s="1" t="b">
        <f>IFERROR(__xludf.DUMMYFUNCTION("""COMPUTED_VALUE"""),FALSE)</f>
        <v>0</v>
      </c>
      <c r="BM688" s="1"/>
      <c r="BN688" s="1"/>
      <c r="BO688" s="1"/>
      <c r="BP688" s="1"/>
      <c r="BQ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9"/>
      <c r="BF689" s="1"/>
      <c r="BG689" s="1"/>
      <c r="BH689" s="1"/>
      <c r="BI689" s="1"/>
      <c r="BJ689" s="1"/>
      <c r="BK689" s="1"/>
      <c r="BL689" s="1" t="b">
        <f>IFERROR(__xludf.DUMMYFUNCTION("""COMPUTED_VALUE"""),FALSE)</f>
        <v>0</v>
      </c>
      <c r="BM689" s="1"/>
      <c r="BN689" s="1"/>
      <c r="BO689" s="1"/>
      <c r="BP689" s="1"/>
      <c r="BQ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9"/>
      <c r="BF690" s="1"/>
      <c r="BG690" s="1"/>
      <c r="BH690" s="1"/>
      <c r="BI690" s="1"/>
      <c r="BJ690" s="1"/>
      <c r="BK690" s="1"/>
      <c r="BL690" s="1" t="b">
        <f>IFERROR(__xludf.DUMMYFUNCTION("""COMPUTED_VALUE"""),FALSE)</f>
        <v>0</v>
      </c>
      <c r="BM690" s="1"/>
      <c r="BN690" s="1"/>
      <c r="BO690" s="1"/>
      <c r="BP690" s="1"/>
      <c r="BQ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9"/>
      <c r="BF691" s="1"/>
      <c r="BG691" s="1"/>
      <c r="BH691" s="1"/>
      <c r="BI691" s="1"/>
      <c r="BJ691" s="1"/>
      <c r="BK691" s="1"/>
      <c r="BL691" s="1" t="b">
        <f>IFERROR(__xludf.DUMMYFUNCTION("""COMPUTED_VALUE"""),FALSE)</f>
        <v>0</v>
      </c>
      <c r="BM691" s="1"/>
      <c r="BN691" s="1"/>
      <c r="BO691" s="1"/>
      <c r="BP691" s="1"/>
      <c r="BQ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9"/>
      <c r="BF692" s="1"/>
      <c r="BG692" s="1"/>
      <c r="BH692" s="1"/>
      <c r="BI692" s="1"/>
      <c r="BJ692" s="1"/>
      <c r="BK692" s="1"/>
      <c r="BL692" s="1" t="b">
        <f>IFERROR(__xludf.DUMMYFUNCTION("""COMPUTED_VALUE"""),FALSE)</f>
        <v>0</v>
      </c>
      <c r="BM692" s="1"/>
      <c r="BN692" s="1"/>
      <c r="BO692" s="1"/>
      <c r="BP692" s="1"/>
      <c r="BQ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9"/>
      <c r="BF693" s="1"/>
      <c r="BG693" s="1"/>
      <c r="BH693" s="1"/>
      <c r="BI693" s="1"/>
      <c r="BJ693" s="1"/>
      <c r="BK693" s="1"/>
      <c r="BL693" s="1" t="b">
        <f>IFERROR(__xludf.DUMMYFUNCTION("""COMPUTED_VALUE"""),FALSE)</f>
        <v>0</v>
      </c>
      <c r="BM693" s="1"/>
      <c r="BN693" s="1"/>
      <c r="BO693" s="1"/>
      <c r="BP693" s="1"/>
      <c r="BQ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9"/>
      <c r="BF694" s="1"/>
      <c r="BG694" s="1"/>
      <c r="BH694" s="1"/>
      <c r="BI694" s="1"/>
      <c r="BJ694" s="1"/>
      <c r="BK694" s="1"/>
      <c r="BL694" s="1" t="b">
        <f>IFERROR(__xludf.DUMMYFUNCTION("""COMPUTED_VALUE"""),FALSE)</f>
        <v>0</v>
      </c>
      <c r="BM694" s="1"/>
      <c r="BN694" s="1"/>
      <c r="BO694" s="1"/>
      <c r="BP694" s="1"/>
      <c r="BQ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9"/>
      <c r="BF695" s="1"/>
      <c r="BG695" s="1"/>
      <c r="BH695" s="1"/>
      <c r="BI695" s="1"/>
      <c r="BJ695" s="1"/>
      <c r="BK695" s="1"/>
      <c r="BL695" s="1" t="b">
        <f>IFERROR(__xludf.DUMMYFUNCTION("""COMPUTED_VALUE"""),FALSE)</f>
        <v>0</v>
      </c>
      <c r="BM695" s="1"/>
      <c r="BN695" s="1"/>
      <c r="BO695" s="1"/>
      <c r="BP695" s="1"/>
      <c r="BQ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9"/>
      <c r="BF696" s="1"/>
      <c r="BG696" s="1"/>
      <c r="BH696" s="1"/>
      <c r="BI696" s="1"/>
      <c r="BJ696" s="1"/>
      <c r="BK696" s="1"/>
      <c r="BL696" s="1" t="b">
        <f>IFERROR(__xludf.DUMMYFUNCTION("""COMPUTED_VALUE"""),FALSE)</f>
        <v>0</v>
      </c>
      <c r="BM696" s="1"/>
      <c r="BN696" s="1"/>
      <c r="BO696" s="1"/>
      <c r="BP696" s="1"/>
      <c r="BQ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9"/>
      <c r="BF697" s="1"/>
      <c r="BG697" s="1"/>
      <c r="BH697" s="1"/>
      <c r="BI697" s="1"/>
      <c r="BJ697" s="1"/>
      <c r="BK697" s="1"/>
      <c r="BL697" s="1" t="b">
        <f>IFERROR(__xludf.DUMMYFUNCTION("""COMPUTED_VALUE"""),FALSE)</f>
        <v>0</v>
      </c>
      <c r="BM697" s="1"/>
      <c r="BN697" s="1"/>
      <c r="BO697" s="1"/>
      <c r="BP697" s="1"/>
      <c r="BQ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9"/>
      <c r="BF698" s="1"/>
      <c r="BG698" s="1"/>
      <c r="BH698" s="1"/>
      <c r="BI698" s="1"/>
      <c r="BJ698" s="1"/>
      <c r="BK698" s="1"/>
      <c r="BL698" s="1" t="b">
        <f>IFERROR(__xludf.DUMMYFUNCTION("""COMPUTED_VALUE"""),FALSE)</f>
        <v>0</v>
      </c>
      <c r="BM698" s="1"/>
      <c r="BN698" s="1"/>
      <c r="BO698" s="1"/>
      <c r="BP698" s="1"/>
      <c r="BQ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9"/>
      <c r="BF699" s="1"/>
      <c r="BG699" s="1"/>
      <c r="BH699" s="1"/>
      <c r="BI699" s="1"/>
      <c r="BJ699" s="1"/>
      <c r="BK699" s="1"/>
      <c r="BL699" s="1" t="b">
        <f>IFERROR(__xludf.DUMMYFUNCTION("""COMPUTED_VALUE"""),FALSE)</f>
        <v>0</v>
      </c>
      <c r="BM699" s="1"/>
      <c r="BN699" s="1"/>
      <c r="BO699" s="1"/>
      <c r="BP699" s="1"/>
      <c r="BQ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9"/>
      <c r="BF700" s="1"/>
      <c r="BG700" s="1"/>
      <c r="BH700" s="1"/>
      <c r="BI700" s="1"/>
      <c r="BJ700" s="1"/>
      <c r="BK700" s="1"/>
      <c r="BL700" s="1" t="b">
        <f>IFERROR(__xludf.DUMMYFUNCTION("""COMPUTED_VALUE"""),FALSE)</f>
        <v>0</v>
      </c>
      <c r="BM700" s="1"/>
      <c r="BN700" s="1"/>
      <c r="BO700" s="1"/>
      <c r="BP700" s="1"/>
      <c r="BQ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9"/>
      <c r="BF701" s="1"/>
      <c r="BG701" s="1"/>
      <c r="BH701" s="1"/>
      <c r="BI701" s="1"/>
      <c r="BJ701" s="1"/>
      <c r="BK701" s="1"/>
      <c r="BL701" s="1" t="b">
        <f>IFERROR(__xludf.DUMMYFUNCTION("""COMPUTED_VALUE"""),FALSE)</f>
        <v>0</v>
      </c>
      <c r="BM701" s="1"/>
      <c r="BN701" s="1"/>
      <c r="BO701" s="1"/>
      <c r="BP701" s="1"/>
      <c r="BQ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9"/>
      <c r="BF702" s="1"/>
      <c r="BG702" s="1"/>
      <c r="BH702" s="1"/>
      <c r="BI702" s="1"/>
      <c r="BJ702" s="1"/>
      <c r="BK702" s="1"/>
      <c r="BL702" s="1" t="b">
        <f>IFERROR(__xludf.DUMMYFUNCTION("""COMPUTED_VALUE"""),FALSE)</f>
        <v>0</v>
      </c>
      <c r="BM702" s="1"/>
      <c r="BN702" s="1"/>
      <c r="BO702" s="1"/>
      <c r="BP702" s="1"/>
      <c r="BQ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9"/>
      <c r="BF703" s="1"/>
      <c r="BG703" s="1"/>
      <c r="BH703" s="1"/>
      <c r="BI703" s="1"/>
      <c r="BJ703" s="1"/>
      <c r="BK703" s="1"/>
      <c r="BL703" s="1" t="b">
        <f>IFERROR(__xludf.DUMMYFUNCTION("""COMPUTED_VALUE"""),FALSE)</f>
        <v>0</v>
      </c>
      <c r="BM703" s="1"/>
      <c r="BN703" s="1"/>
      <c r="BO703" s="1"/>
      <c r="BP703" s="1"/>
      <c r="BQ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9"/>
      <c r="BF704" s="1"/>
      <c r="BG704" s="1"/>
      <c r="BH704" s="1"/>
      <c r="BI704" s="1"/>
      <c r="BJ704" s="1"/>
      <c r="BK704" s="1"/>
      <c r="BL704" s="1" t="b">
        <f>IFERROR(__xludf.DUMMYFUNCTION("""COMPUTED_VALUE"""),FALSE)</f>
        <v>0</v>
      </c>
      <c r="BM704" s="1"/>
      <c r="BN704" s="1"/>
      <c r="BO704" s="1"/>
      <c r="BP704" s="1"/>
      <c r="BQ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9"/>
      <c r="BF705" s="1"/>
      <c r="BG705" s="1"/>
      <c r="BH705" s="1"/>
      <c r="BI705" s="1"/>
      <c r="BJ705" s="1"/>
      <c r="BK705" s="1"/>
      <c r="BL705" s="1" t="b">
        <f>IFERROR(__xludf.DUMMYFUNCTION("""COMPUTED_VALUE"""),FALSE)</f>
        <v>0</v>
      </c>
      <c r="BM705" s="1"/>
      <c r="BN705" s="1"/>
      <c r="BO705" s="1"/>
      <c r="BP705" s="1"/>
      <c r="BQ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9"/>
      <c r="BF706" s="1"/>
      <c r="BG706" s="1"/>
      <c r="BH706" s="1"/>
      <c r="BI706" s="1"/>
      <c r="BJ706" s="1"/>
      <c r="BK706" s="1"/>
      <c r="BL706" s="1" t="b">
        <f>IFERROR(__xludf.DUMMYFUNCTION("""COMPUTED_VALUE"""),FALSE)</f>
        <v>0</v>
      </c>
      <c r="BM706" s="1"/>
      <c r="BN706" s="1"/>
      <c r="BO706" s="1"/>
      <c r="BP706" s="1"/>
      <c r="BQ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9"/>
      <c r="BF707" s="1"/>
      <c r="BG707" s="1"/>
      <c r="BH707" s="1"/>
      <c r="BI707" s="1"/>
      <c r="BJ707" s="1"/>
      <c r="BK707" s="1"/>
      <c r="BL707" s="1" t="b">
        <f>IFERROR(__xludf.DUMMYFUNCTION("""COMPUTED_VALUE"""),FALSE)</f>
        <v>0</v>
      </c>
      <c r="BM707" s="1"/>
      <c r="BN707" s="1"/>
      <c r="BO707" s="1"/>
      <c r="BP707" s="1"/>
      <c r="BQ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9"/>
      <c r="BF708" s="1"/>
      <c r="BG708" s="1"/>
      <c r="BH708" s="1"/>
      <c r="BI708" s="1"/>
      <c r="BJ708" s="1"/>
      <c r="BK708" s="1"/>
      <c r="BL708" s="1" t="b">
        <f>IFERROR(__xludf.DUMMYFUNCTION("""COMPUTED_VALUE"""),FALSE)</f>
        <v>0</v>
      </c>
      <c r="BM708" s="1"/>
      <c r="BN708" s="1"/>
      <c r="BO708" s="1"/>
      <c r="BP708" s="1"/>
      <c r="BQ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9"/>
      <c r="BF709" s="1"/>
      <c r="BG709" s="1"/>
      <c r="BH709" s="1"/>
      <c r="BI709" s="1"/>
      <c r="BJ709" s="1"/>
      <c r="BK709" s="1"/>
      <c r="BL709" s="1" t="b">
        <f>IFERROR(__xludf.DUMMYFUNCTION("""COMPUTED_VALUE"""),FALSE)</f>
        <v>0</v>
      </c>
      <c r="BM709" s="1"/>
      <c r="BN709" s="1"/>
      <c r="BO709" s="1"/>
      <c r="BP709" s="1"/>
      <c r="BQ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9"/>
      <c r="BF710" s="1"/>
      <c r="BG710" s="1"/>
      <c r="BH710" s="1"/>
      <c r="BI710" s="1"/>
      <c r="BJ710" s="1"/>
      <c r="BK710" s="1"/>
      <c r="BL710" s="1" t="b">
        <f>IFERROR(__xludf.DUMMYFUNCTION("""COMPUTED_VALUE"""),FALSE)</f>
        <v>0</v>
      </c>
      <c r="BM710" s="1"/>
      <c r="BN710" s="1"/>
      <c r="BO710" s="1"/>
      <c r="BP710" s="1"/>
      <c r="BQ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9"/>
      <c r="BF711" s="1"/>
      <c r="BG711" s="1"/>
      <c r="BH711" s="1"/>
      <c r="BI711" s="1"/>
      <c r="BJ711" s="1"/>
      <c r="BK711" s="1"/>
      <c r="BL711" s="1" t="b">
        <f>IFERROR(__xludf.DUMMYFUNCTION("""COMPUTED_VALUE"""),FALSE)</f>
        <v>0</v>
      </c>
      <c r="BM711" s="1"/>
      <c r="BN711" s="1"/>
      <c r="BO711" s="1"/>
      <c r="BP711" s="1"/>
      <c r="BQ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9"/>
      <c r="BF712" s="1"/>
      <c r="BG712" s="1"/>
      <c r="BH712" s="1"/>
      <c r="BI712" s="1"/>
      <c r="BJ712" s="1"/>
      <c r="BK712" s="1"/>
      <c r="BL712" s="1" t="b">
        <f>IFERROR(__xludf.DUMMYFUNCTION("""COMPUTED_VALUE"""),FALSE)</f>
        <v>0</v>
      </c>
      <c r="BM712" s="1"/>
      <c r="BN712" s="1"/>
      <c r="BO712" s="1"/>
      <c r="BP712" s="1"/>
      <c r="BQ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9"/>
      <c r="BF713" s="1"/>
      <c r="BG713" s="1"/>
      <c r="BH713" s="1"/>
      <c r="BI713" s="1"/>
      <c r="BJ713" s="1"/>
      <c r="BK713" s="1"/>
      <c r="BL713" s="1" t="b">
        <f>IFERROR(__xludf.DUMMYFUNCTION("""COMPUTED_VALUE"""),FALSE)</f>
        <v>0</v>
      </c>
      <c r="BM713" s="1"/>
      <c r="BN713" s="1"/>
      <c r="BO713" s="1"/>
      <c r="BP713" s="1"/>
      <c r="BQ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9"/>
      <c r="BF714" s="1"/>
      <c r="BG714" s="1"/>
      <c r="BH714" s="1"/>
      <c r="BI714" s="1"/>
      <c r="BJ714" s="1"/>
      <c r="BK714" s="1"/>
      <c r="BL714" s="1" t="b">
        <f>IFERROR(__xludf.DUMMYFUNCTION("""COMPUTED_VALUE"""),FALSE)</f>
        <v>0</v>
      </c>
      <c r="BM714" s="1"/>
      <c r="BN714" s="1"/>
      <c r="BO714" s="1"/>
      <c r="BP714" s="1"/>
      <c r="BQ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9"/>
      <c r="BF715" s="1"/>
      <c r="BG715" s="1"/>
      <c r="BH715" s="1"/>
      <c r="BI715" s="1"/>
      <c r="BJ715" s="1"/>
      <c r="BK715" s="1"/>
      <c r="BL715" s="1" t="b">
        <f>IFERROR(__xludf.DUMMYFUNCTION("""COMPUTED_VALUE"""),FALSE)</f>
        <v>0</v>
      </c>
      <c r="BM715" s="1"/>
      <c r="BN715" s="1"/>
      <c r="BO715" s="1"/>
      <c r="BP715" s="1"/>
      <c r="BQ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9"/>
      <c r="BF716" s="1"/>
      <c r="BG716" s="1"/>
      <c r="BH716" s="1"/>
      <c r="BI716" s="1"/>
      <c r="BJ716" s="1"/>
      <c r="BK716" s="1"/>
      <c r="BL716" s="1" t="b">
        <f>IFERROR(__xludf.DUMMYFUNCTION("""COMPUTED_VALUE"""),FALSE)</f>
        <v>0</v>
      </c>
      <c r="BM716" s="1"/>
      <c r="BN716" s="1"/>
      <c r="BO716" s="1"/>
      <c r="BP716" s="1"/>
      <c r="BQ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9"/>
      <c r="BF717" s="1"/>
      <c r="BG717" s="1"/>
      <c r="BH717" s="1"/>
      <c r="BI717" s="1"/>
      <c r="BJ717" s="1"/>
      <c r="BK717" s="1"/>
      <c r="BL717" s="1" t="b">
        <f>IFERROR(__xludf.DUMMYFUNCTION("""COMPUTED_VALUE"""),FALSE)</f>
        <v>0</v>
      </c>
      <c r="BM717" s="1"/>
      <c r="BN717" s="1"/>
      <c r="BO717" s="1"/>
      <c r="BP717" s="1"/>
      <c r="BQ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9"/>
      <c r="BF718" s="1"/>
      <c r="BG718" s="1"/>
      <c r="BH718" s="1"/>
      <c r="BI718" s="1"/>
      <c r="BJ718" s="1"/>
      <c r="BK718" s="1"/>
      <c r="BL718" s="1" t="b">
        <f>IFERROR(__xludf.DUMMYFUNCTION("""COMPUTED_VALUE"""),FALSE)</f>
        <v>0</v>
      </c>
      <c r="BM718" s="1"/>
      <c r="BN718" s="1"/>
      <c r="BO718" s="1"/>
      <c r="BP718" s="1"/>
      <c r="BQ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9"/>
      <c r="BF719" s="1"/>
      <c r="BG719" s="1"/>
      <c r="BH719" s="1"/>
      <c r="BI719" s="1"/>
      <c r="BJ719" s="1"/>
      <c r="BK719" s="1"/>
      <c r="BL719" s="1" t="b">
        <f>IFERROR(__xludf.DUMMYFUNCTION("""COMPUTED_VALUE"""),FALSE)</f>
        <v>0</v>
      </c>
      <c r="BM719" s="1"/>
      <c r="BN719" s="1"/>
      <c r="BO719" s="1"/>
      <c r="BP719" s="1"/>
      <c r="BQ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9"/>
      <c r="BF720" s="1"/>
      <c r="BG720" s="1"/>
      <c r="BH720" s="1"/>
      <c r="BI720" s="1"/>
      <c r="BJ720" s="1"/>
      <c r="BK720" s="1"/>
      <c r="BL720" s="1" t="b">
        <f>IFERROR(__xludf.DUMMYFUNCTION("""COMPUTED_VALUE"""),FALSE)</f>
        <v>0</v>
      </c>
      <c r="BM720" s="1"/>
      <c r="BN720" s="1"/>
      <c r="BO720" s="1"/>
      <c r="BP720" s="1"/>
      <c r="BQ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9"/>
      <c r="BF721" s="1"/>
      <c r="BG721" s="1"/>
      <c r="BH721" s="1"/>
      <c r="BI721" s="1"/>
      <c r="BJ721" s="1"/>
      <c r="BK721" s="1"/>
      <c r="BL721" s="1" t="b">
        <f>IFERROR(__xludf.DUMMYFUNCTION("""COMPUTED_VALUE"""),FALSE)</f>
        <v>0</v>
      </c>
      <c r="BM721" s="1"/>
      <c r="BN721" s="1"/>
      <c r="BO721" s="1"/>
      <c r="BP721" s="1"/>
      <c r="BQ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9"/>
      <c r="BF722" s="1"/>
      <c r="BG722" s="1"/>
      <c r="BH722" s="1"/>
      <c r="BI722" s="1"/>
      <c r="BJ722" s="1"/>
      <c r="BK722" s="1"/>
      <c r="BL722" s="1" t="b">
        <f>IFERROR(__xludf.DUMMYFUNCTION("""COMPUTED_VALUE"""),FALSE)</f>
        <v>0</v>
      </c>
      <c r="BM722" s="1"/>
      <c r="BN722" s="1"/>
      <c r="BO722" s="1"/>
      <c r="BP722" s="1"/>
      <c r="BQ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9"/>
      <c r="BF723" s="1"/>
      <c r="BG723" s="1"/>
      <c r="BH723" s="1"/>
      <c r="BI723" s="1"/>
      <c r="BJ723" s="1"/>
      <c r="BK723" s="1"/>
      <c r="BL723" s="1" t="b">
        <f>IFERROR(__xludf.DUMMYFUNCTION("""COMPUTED_VALUE"""),FALSE)</f>
        <v>0</v>
      </c>
      <c r="BM723" s="1"/>
      <c r="BN723" s="1"/>
      <c r="BO723" s="1"/>
      <c r="BP723" s="1"/>
      <c r="BQ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9"/>
      <c r="BF724" s="1"/>
      <c r="BG724" s="1"/>
      <c r="BH724" s="1"/>
      <c r="BI724" s="1"/>
      <c r="BJ724" s="1"/>
      <c r="BK724" s="1"/>
      <c r="BL724" s="1" t="b">
        <f>IFERROR(__xludf.DUMMYFUNCTION("""COMPUTED_VALUE"""),FALSE)</f>
        <v>0</v>
      </c>
      <c r="BM724" s="1"/>
      <c r="BN724" s="1"/>
      <c r="BO724" s="1"/>
      <c r="BP724" s="1"/>
      <c r="BQ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9"/>
      <c r="BF725" s="1"/>
      <c r="BG725" s="1"/>
      <c r="BH725" s="1"/>
      <c r="BI725" s="1"/>
      <c r="BJ725" s="1"/>
      <c r="BK725" s="1"/>
      <c r="BL725" s="1" t="b">
        <f>IFERROR(__xludf.DUMMYFUNCTION("""COMPUTED_VALUE"""),FALSE)</f>
        <v>0</v>
      </c>
      <c r="BM725" s="1"/>
      <c r="BN725" s="1"/>
      <c r="BO725" s="1"/>
      <c r="BP725" s="1"/>
      <c r="BQ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9"/>
      <c r="BF726" s="1"/>
      <c r="BG726" s="1"/>
      <c r="BH726" s="1"/>
      <c r="BI726" s="1"/>
      <c r="BJ726" s="1"/>
      <c r="BK726" s="1"/>
      <c r="BL726" s="1" t="b">
        <f>IFERROR(__xludf.DUMMYFUNCTION("""COMPUTED_VALUE"""),FALSE)</f>
        <v>0</v>
      </c>
      <c r="BM726" s="1"/>
      <c r="BN726" s="1"/>
      <c r="BO726" s="1"/>
      <c r="BP726" s="1"/>
      <c r="BQ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9"/>
      <c r="BF727" s="1"/>
      <c r="BG727" s="1"/>
      <c r="BH727" s="1"/>
      <c r="BI727" s="1"/>
      <c r="BJ727" s="1"/>
      <c r="BK727" s="1"/>
      <c r="BL727" s="1" t="b">
        <f>IFERROR(__xludf.DUMMYFUNCTION("""COMPUTED_VALUE"""),FALSE)</f>
        <v>0</v>
      </c>
      <c r="BM727" s="1"/>
      <c r="BN727" s="1"/>
      <c r="BO727" s="1"/>
      <c r="BP727" s="1"/>
      <c r="BQ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9"/>
      <c r="BF728" s="1"/>
      <c r="BG728" s="1"/>
      <c r="BH728" s="1"/>
      <c r="BI728" s="1"/>
      <c r="BJ728" s="1"/>
      <c r="BK728" s="1"/>
      <c r="BL728" s="1" t="b">
        <f>IFERROR(__xludf.DUMMYFUNCTION("""COMPUTED_VALUE"""),FALSE)</f>
        <v>0</v>
      </c>
      <c r="BM728" s="1"/>
      <c r="BN728" s="1"/>
      <c r="BO728" s="1"/>
      <c r="BP728" s="1"/>
      <c r="BQ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9"/>
      <c r="BF729" s="1"/>
      <c r="BG729" s="1"/>
      <c r="BH729" s="1"/>
      <c r="BI729" s="1"/>
      <c r="BJ729" s="1"/>
      <c r="BK729" s="1"/>
      <c r="BL729" s="1" t="b">
        <f>IFERROR(__xludf.DUMMYFUNCTION("""COMPUTED_VALUE"""),FALSE)</f>
        <v>0</v>
      </c>
      <c r="BM729" s="1"/>
      <c r="BN729" s="1"/>
      <c r="BO729" s="1"/>
      <c r="BP729" s="1"/>
      <c r="BQ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9"/>
      <c r="BF730" s="1"/>
      <c r="BG730" s="1"/>
      <c r="BH730" s="1"/>
      <c r="BI730" s="1"/>
      <c r="BJ730" s="1"/>
      <c r="BK730" s="1"/>
      <c r="BL730" s="1" t="b">
        <f>IFERROR(__xludf.DUMMYFUNCTION("""COMPUTED_VALUE"""),FALSE)</f>
        <v>0</v>
      </c>
      <c r="BM730" s="1"/>
      <c r="BN730" s="1"/>
      <c r="BO730" s="1"/>
      <c r="BP730" s="1"/>
      <c r="BQ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9"/>
      <c r="BF731" s="1"/>
      <c r="BG731" s="1"/>
      <c r="BH731" s="1"/>
      <c r="BI731" s="1"/>
      <c r="BJ731" s="1"/>
      <c r="BK731" s="1"/>
      <c r="BL731" s="1" t="b">
        <f>IFERROR(__xludf.DUMMYFUNCTION("""COMPUTED_VALUE"""),FALSE)</f>
        <v>0</v>
      </c>
      <c r="BM731" s="1"/>
      <c r="BN731" s="1"/>
      <c r="BO731" s="1"/>
      <c r="BP731" s="1"/>
      <c r="BQ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9"/>
      <c r="BF732" s="1"/>
      <c r="BG732" s="1"/>
      <c r="BH732" s="1"/>
      <c r="BI732" s="1"/>
      <c r="BJ732" s="1"/>
      <c r="BK732" s="1"/>
      <c r="BL732" s="1" t="b">
        <f>IFERROR(__xludf.DUMMYFUNCTION("""COMPUTED_VALUE"""),FALSE)</f>
        <v>0</v>
      </c>
      <c r="BM732" s="1"/>
      <c r="BN732" s="1"/>
      <c r="BO732" s="1"/>
      <c r="BP732" s="1"/>
      <c r="BQ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9"/>
      <c r="BF733" s="1"/>
      <c r="BG733" s="1"/>
      <c r="BH733" s="1"/>
      <c r="BI733" s="1"/>
      <c r="BJ733" s="1"/>
      <c r="BK733" s="1"/>
      <c r="BL733" s="1" t="b">
        <f>IFERROR(__xludf.DUMMYFUNCTION("""COMPUTED_VALUE"""),FALSE)</f>
        <v>0</v>
      </c>
      <c r="BM733" s="1"/>
      <c r="BN733" s="1"/>
      <c r="BO733" s="1"/>
      <c r="BP733" s="1"/>
      <c r="BQ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9"/>
      <c r="BF734" s="1"/>
      <c r="BG734" s="1"/>
      <c r="BH734" s="1"/>
      <c r="BI734" s="1"/>
      <c r="BJ734" s="1"/>
      <c r="BK734" s="1"/>
      <c r="BL734" s="1" t="b">
        <f>IFERROR(__xludf.DUMMYFUNCTION("""COMPUTED_VALUE"""),FALSE)</f>
        <v>0</v>
      </c>
      <c r="BM734" s="1"/>
      <c r="BN734" s="1"/>
      <c r="BO734" s="1"/>
      <c r="BP734" s="1"/>
      <c r="BQ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9"/>
      <c r="BF735" s="1"/>
      <c r="BG735" s="1"/>
      <c r="BH735" s="1"/>
      <c r="BI735" s="1"/>
      <c r="BJ735" s="1"/>
      <c r="BK735" s="1"/>
      <c r="BL735" s="1" t="b">
        <f>IFERROR(__xludf.DUMMYFUNCTION("""COMPUTED_VALUE"""),FALSE)</f>
        <v>0</v>
      </c>
      <c r="BM735" s="1"/>
      <c r="BN735" s="1"/>
      <c r="BO735" s="1"/>
      <c r="BP735" s="1"/>
      <c r="BQ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9"/>
      <c r="BF736" s="1"/>
      <c r="BG736" s="1"/>
      <c r="BH736" s="1"/>
      <c r="BI736" s="1"/>
      <c r="BJ736" s="1"/>
      <c r="BK736" s="1"/>
      <c r="BL736" s="1" t="b">
        <f>IFERROR(__xludf.DUMMYFUNCTION("""COMPUTED_VALUE"""),FALSE)</f>
        <v>0</v>
      </c>
      <c r="BM736" s="1"/>
      <c r="BN736" s="1"/>
      <c r="BO736" s="1"/>
      <c r="BP736" s="1"/>
      <c r="BQ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9"/>
      <c r="BF737" s="1"/>
      <c r="BG737" s="1"/>
      <c r="BH737" s="1"/>
      <c r="BI737" s="1"/>
      <c r="BJ737" s="1"/>
      <c r="BK737" s="1"/>
      <c r="BL737" s="1" t="b">
        <f>IFERROR(__xludf.DUMMYFUNCTION("""COMPUTED_VALUE"""),FALSE)</f>
        <v>0</v>
      </c>
      <c r="BM737" s="1"/>
      <c r="BN737" s="1"/>
      <c r="BO737" s="1"/>
      <c r="BP737" s="1"/>
      <c r="BQ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9"/>
      <c r="BF738" s="1"/>
      <c r="BG738" s="1"/>
      <c r="BH738" s="1"/>
      <c r="BI738" s="1"/>
      <c r="BJ738" s="1"/>
      <c r="BK738" s="1"/>
      <c r="BL738" s="1" t="b">
        <f>IFERROR(__xludf.DUMMYFUNCTION("""COMPUTED_VALUE"""),FALSE)</f>
        <v>0</v>
      </c>
      <c r="BM738" s="1"/>
      <c r="BN738" s="1"/>
      <c r="BO738" s="1"/>
      <c r="BP738" s="1"/>
      <c r="BQ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9"/>
      <c r="BF739" s="1"/>
      <c r="BG739" s="1"/>
      <c r="BH739" s="1"/>
      <c r="BI739" s="1"/>
      <c r="BJ739" s="1"/>
      <c r="BK739" s="1"/>
      <c r="BL739" s="1" t="b">
        <f>IFERROR(__xludf.DUMMYFUNCTION("""COMPUTED_VALUE"""),FALSE)</f>
        <v>0</v>
      </c>
      <c r="BM739" s="1"/>
      <c r="BN739" s="1"/>
      <c r="BO739" s="1"/>
      <c r="BP739" s="1"/>
      <c r="BQ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9"/>
      <c r="BF740" s="1"/>
      <c r="BG740" s="1"/>
      <c r="BH740" s="1"/>
      <c r="BI740" s="1"/>
      <c r="BJ740" s="1"/>
      <c r="BK740" s="1"/>
      <c r="BL740" s="1" t="b">
        <f>IFERROR(__xludf.DUMMYFUNCTION("""COMPUTED_VALUE"""),FALSE)</f>
        <v>0</v>
      </c>
      <c r="BM740" s="1"/>
      <c r="BN740" s="1"/>
      <c r="BO740" s="1"/>
      <c r="BP740" s="1"/>
      <c r="BQ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9"/>
      <c r="BF741" s="1"/>
      <c r="BG741" s="1"/>
      <c r="BH741" s="1"/>
      <c r="BI741" s="1"/>
      <c r="BJ741" s="1"/>
      <c r="BK741" s="1"/>
      <c r="BL741" s="1" t="b">
        <f>IFERROR(__xludf.DUMMYFUNCTION("""COMPUTED_VALUE"""),FALSE)</f>
        <v>0</v>
      </c>
      <c r="BM741" s="1"/>
      <c r="BN741" s="1"/>
      <c r="BO741" s="1"/>
      <c r="BP741" s="1"/>
      <c r="BQ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9"/>
      <c r="BF742" s="1"/>
      <c r="BG742" s="1"/>
      <c r="BH742" s="1"/>
      <c r="BI742" s="1"/>
      <c r="BJ742" s="1"/>
      <c r="BK742" s="1"/>
      <c r="BL742" s="1" t="b">
        <f>IFERROR(__xludf.DUMMYFUNCTION("""COMPUTED_VALUE"""),FALSE)</f>
        <v>0</v>
      </c>
      <c r="BM742" s="1"/>
      <c r="BN742" s="1"/>
      <c r="BO742" s="1"/>
      <c r="BP742" s="1"/>
      <c r="BQ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9"/>
      <c r="BF743" s="1"/>
      <c r="BG743" s="1"/>
      <c r="BH743" s="1"/>
      <c r="BI743" s="1"/>
      <c r="BJ743" s="1"/>
      <c r="BK743" s="1"/>
      <c r="BL743" s="1" t="b">
        <f>IFERROR(__xludf.DUMMYFUNCTION("""COMPUTED_VALUE"""),FALSE)</f>
        <v>0</v>
      </c>
      <c r="BM743" s="1"/>
      <c r="BN743" s="1"/>
      <c r="BO743" s="1"/>
      <c r="BP743" s="1"/>
      <c r="BQ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9"/>
      <c r="BF744" s="1"/>
      <c r="BG744" s="1"/>
      <c r="BH744" s="1"/>
      <c r="BI744" s="1"/>
      <c r="BJ744" s="1"/>
      <c r="BK744" s="1"/>
      <c r="BL744" s="1" t="b">
        <f>IFERROR(__xludf.DUMMYFUNCTION("""COMPUTED_VALUE"""),FALSE)</f>
        <v>0</v>
      </c>
      <c r="BM744" s="1"/>
      <c r="BN744" s="1"/>
      <c r="BO744" s="1"/>
      <c r="BP744" s="1"/>
      <c r="BQ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9"/>
      <c r="BF745" s="1"/>
      <c r="BG745" s="1"/>
      <c r="BH745" s="1"/>
      <c r="BI745" s="1"/>
      <c r="BJ745" s="1"/>
      <c r="BK745" s="1"/>
      <c r="BL745" s="1" t="b">
        <f>IFERROR(__xludf.DUMMYFUNCTION("""COMPUTED_VALUE"""),FALSE)</f>
        <v>0</v>
      </c>
      <c r="BM745" s="1"/>
      <c r="BN745" s="1"/>
      <c r="BO745" s="1"/>
      <c r="BP745" s="1"/>
      <c r="BQ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9"/>
      <c r="BF746" s="1"/>
      <c r="BG746" s="1"/>
      <c r="BH746" s="1"/>
      <c r="BI746" s="1"/>
      <c r="BJ746" s="1"/>
      <c r="BK746" s="1"/>
      <c r="BL746" s="1" t="b">
        <f>IFERROR(__xludf.DUMMYFUNCTION("""COMPUTED_VALUE"""),FALSE)</f>
        <v>0</v>
      </c>
      <c r="BM746" s="1"/>
      <c r="BN746" s="1"/>
      <c r="BO746" s="1"/>
      <c r="BP746" s="1"/>
      <c r="BQ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9"/>
      <c r="BF747" s="1"/>
      <c r="BG747" s="1"/>
      <c r="BH747" s="1"/>
      <c r="BI747" s="1"/>
      <c r="BJ747" s="1"/>
      <c r="BK747" s="1"/>
      <c r="BL747" s="1" t="b">
        <f>IFERROR(__xludf.DUMMYFUNCTION("""COMPUTED_VALUE"""),FALSE)</f>
        <v>0</v>
      </c>
      <c r="BM747" s="1"/>
      <c r="BN747" s="1"/>
      <c r="BO747" s="1"/>
      <c r="BP747" s="1"/>
      <c r="BQ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9"/>
      <c r="BF748" s="1"/>
      <c r="BG748" s="1"/>
      <c r="BH748" s="1"/>
      <c r="BI748" s="1"/>
      <c r="BJ748" s="1"/>
      <c r="BK748" s="1"/>
      <c r="BL748" s="1" t="b">
        <f>IFERROR(__xludf.DUMMYFUNCTION("""COMPUTED_VALUE"""),FALSE)</f>
        <v>0</v>
      </c>
      <c r="BM748" s="1"/>
      <c r="BN748" s="1"/>
      <c r="BO748" s="1"/>
      <c r="BP748" s="1"/>
      <c r="BQ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9"/>
      <c r="BF749" s="1"/>
      <c r="BG749" s="1"/>
      <c r="BH749" s="1"/>
      <c r="BI749" s="1"/>
      <c r="BJ749" s="1"/>
      <c r="BK749" s="1"/>
      <c r="BL749" s="1" t="b">
        <f>IFERROR(__xludf.DUMMYFUNCTION("""COMPUTED_VALUE"""),FALSE)</f>
        <v>0</v>
      </c>
      <c r="BM749" s="1"/>
      <c r="BN749" s="1"/>
      <c r="BO749" s="1"/>
      <c r="BP749" s="1"/>
      <c r="BQ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9"/>
      <c r="BF750" s="1"/>
      <c r="BG750" s="1"/>
      <c r="BH750" s="1"/>
      <c r="BI750" s="1"/>
      <c r="BJ750" s="1"/>
      <c r="BK750" s="1"/>
      <c r="BL750" s="1" t="b">
        <f>IFERROR(__xludf.DUMMYFUNCTION("""COMPUTED_VALUE"""),FALSE)</f>
        <v>0</v>
      </c>
      <c r="BM750" s="1"/>
      <c r="BN750" s="1"/>
      <c r="BO750" s="1"/>
      <c r="BP750" s="1"/>
      <c r="BQ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9"/>
      <c r="BF751" s="1"/>
      <c r="BG751" s="1"/>
      <c r="BH751" s="1"/>
      <c r="BI751" s="1"/>
      <c r="BJ751" s="1"/>
      <c r="BK751" s="1"/>
      <c r="BL751" s="1" t="b">
        <f>IFERROR(__xludf.DUMMYFUNCTION("""COMPUTED_VALUE"""),FALSE)</f>
        <v>0</v>
      </c>
      <c r="BM751" s="1"/>
      <c r="BN751" s="1"/>
      <c r="BO751" s="1"/>
      <c r="BP751" s="1"/>
      <c r="BQ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9"/>
      <c r="BF752" s="1"/>
      <c r="BG752" s="1"/>
      <c r="BH752" s="1"/>
      <c r="BI752" s="1"/>
      <c r="BJ752" s="1"/>
      <c r="BK752" s="1"/>
      <c r="BL752" s="1" t="b">
        <f>IFERROR(__xludf.DUMMYFUNCTION("""COMPUTED_VALUE"""),FALSE)</f>
        <v>0</v>
      </c>
      <c r="BM752" s="1"/>
      <c r="BN752" s="1"/>
      <c r="BO752" s="1"/>
      <c r="BP752" s="1"/>
      <c r="BQ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9"/>
      <c r="BF753" s="1"/>
      <c r="BG753" s="1"/>
      <c r="BH753" s="1"/>
      <c r="BI753" s="1"/>
      <c r="BJ753" s="1"/>
      <c r="BK753" s="1"/>
      <c r="BL753" s="1" t="b">
        <f>IFERROR(__xludf.DUMMYFUNCTION("""COMPUTED_VALUE"""),FALSE)</f>
        <v>0</v>
      </c>
      <c r="BM753" s="1"/>
      <c r="BN753" s="1"/>
      <c r="BO753" s="1"/>
      <c r="BP753" s="1"/>
      <c r="BQ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9"/>
      <c r="BF754" s="1"/>
      <c r="BG754" s="1"/>
      <c r="BH754" s="1"/>
      <c r="BI754" s="1"/>
      <c r="BJ754" s="1"/>
      <c r="BK754" s="1"/>
      <c r="BL754" s="1" t="b">
        <f>IFERROR(__xludf.DUMMYFUNCTION("""COMPUTED_VALUE"""),FALSE)</f>
        <v>0</v>
      </c>
      <c r="BM754" s="1"/>
      <c r="BN754" s="1"/>
      <c r="BO754" s="1"/>
      <c r="BP754" s="1"/>
      <c r="BQ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9"/>
      <c r="BF755" s="1"/>
      <c r="BG755" s="1"/>
      <c r="BH755" s="1"/>
      <c r="BI755" s="1"/>
      <c r="BJ755" s="1"/>
      <c r="BK755" s="1"/>
      <c r="BL755" s="1" t="b">
        <f>IFERROR(__xludf.DUMMYFUNCTION("""COMPUTED_VALUE"""),FALSE)</f>
        <v>0</v>
      </c>
      <c r="BM755" s="1"/>
      <c r="BN755" s="1"/>
      <c r="BO755" s="1"/>
      <c r="BP755" s="1"/>
      <c r="BQ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9"/>
      <c r="BF756" s="1"/>
      <c r="BG756" s="1"/>
      <c r="BH756" s="1"/>
      <c r="BI756" s="1"/>
      <c r="BJ756" s="1"/>
      <c r="BK756" s="1"/>
      <c r="BL756" s="1" t="b">
        <f>IFERROR(__xludf.DUMMYFUNCTION("""COMPUTED_VALUE"""),FALSE)</f>
        <v>0</v>
      </c>
      <c r="BM756" s="1"/>
      <c r="BN756" s="1"/>
      <c r="BO756" s="1"/>
      <c r="BP756" s="1"/>
      <c r="BQ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9"/>
      <c r="BF757" s="1"/>
      <c r="BG757" s="1"/>
      <c r="BH757" s="1"/>
      <c r="BI757" s="1"/>
      <c r="BJ757" s="1"/>
      <c r="BK757" s="1"/>
      <c r="BL757" s="1" t="b">
        <f>IFERROR(__xludf.DUMMYFUNCTION("""COMPUTED_VALUE"""),FALSE)</f>
        <v>0</v>
      </c>
      <c r="BM757" s="1"/>
      <c r="BN757" s="1"/>
      <c r="BO757" s="1"/>
      <c r="BP757" s="1"/>
      <c r="BQ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9"/>
      <c r="BF758" s="1"/>
      <c r="BG758" s="1"/>
      <c r="BH758" s="1"/>
      <c r="BI758" s="1"/>
      <c r="BJ758" s="1"/>
      <c r="BK758" s="1"/>
      <c r="BL758" s="1" t="b">
        <f>IFERROR(__xludf.DUMMYFUNCTION("""COMPUTED_VALUE"""),FALSE)</f>
        <v>0</v>
      </c>
      <c r="BM758" s="1"/>
      <c r="BN758" s="1"/>
      <c r="BO758" s="1"/>
      <c r="BP758" s="1"/>
      <c r="BQ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9"/>
      <c r="BF759" s="1"/>
      <c r="BG759" s="1"/>
      <c r="BH759" s="1"/>
      <c r="BI759" s="1"/>
      <c r="BJ759" s="1"/>
      <c r="BK759" s="1"/>
      <c r="BL759" s="1" t="b">
        <f>IFERROR(__xludf.DUMMYFUNCTION("""COMPUTED_VALUE"""),FALSE)</f>
        <v>0</v>
      </c>
      <c r="BM759" s="1"/>
      <c r="BN759" s="1"/>
      <c r="BO759" s="1"/>
      <c r="BP759" s="1"/>
      <c r="BQ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9"/>
      <c r="BF760" s="1"/>
      <c r="BG760" s="1"/>
      <c r="BH760" s="1"/>
      <c r="BI760" s="1"/>
      <c r="BJ760" s="1"/>
      <c r="BK760" s="1"/>
      <c r="BL760" s="1" t="b">
        <f>IFERROR(__xludf.DUMMYFUNCTION("""COMPUTED_VALUE"""),FALSE)</f>
        <v>0</v>
      </c>
      <c r="BM760" s="1"/>
      <c r="BN760" s="1"/>
      <c r="BO760" s="1"/>
      <c r="BP760" s="1"/>
      <c r="BQ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9"/>
      <c r="BF761" s="1"/>
      <c r="BG761" s="1"/>
      <c r="BH761" s="1"/>
      <c r="BI761" s="1"/>
      <c r="BJ761" s="1"/>
      <c r="BK761" s="1"/>
      <c r="BL761" s="1" t="b">
        <f>IFERROR(__xludf.DUMMYFUNCTION("""COMPUTED_VALUE"""),FALSE)</f>
        <v>0</v>
      </c>
      <c r="BM761" s="1"/>
      <c r="BN761" s="1"/>
      <c r="BO761" s="1"/>
      <c r="BP761" s="1"/>
      <c r="BQ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9"/>
      <c r="BF762" s="1"/>
      <c r="BG762" s="1"/>
      <c r="BH762" s="1"/>
      <c r="BI762" s="1"/>
      <c r="BJ762" s="1"/>
      <c r="BK762" s="1"/>
      <c r="BL762" s="1" t="b">
        <f>IFERROR(__xludf.DUMMYFUNCTION("""COMPUTED_VALUE"""),FALSE)</f>
        <v>0</v>
      </c>
      <c r="BM762" s="1"/>
      <c r="BN762" s="1"/>
      <c r="BO762" s="1"/>
      <c r="BP762" s="1"/>
      <c r="BQ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9"/>
      <c r="BF763" s="1"/>
      <c r="BG763" s="1"/>
      <c r="BH763" s="1"/>
      <c r="BI763" s="1"/>
      <c r="BJ763" s="1"/>
      <c r="BK763" s="1"/>
      <c r="BL763" s="1" t="b">
        <f>IFERROR(__xludf.DUMMYFUNCTION("""COMPUTED_VALUE"""),FALSE)</f>
        <v>0</v>
      </c>
      <c r="BM763" s="1"/>
      <c r="BN763" s="1"/>
      <c r="BO763" s="1"/>
      <c r="BP763" s="1"/>
      <c r="BQ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9"/>
      <c r="BF764" s="1"/>
      <c r="BG764" s="1"/>
      <c r="BH764" s="1"/>
      <c r="BI764" s="1"/>
      <c r="BJ764" s="1"/>
      <c r="BK764" s="1"/>
      <c r="BL764" s="1" t="b">
        <f>IFERROR(__xludf.DUMMYFUNCTION("""COMPUTED_VALUE"""),FALSE)</f>
        <v>0</v>
      </c>
      <c r="BM764" s="1"/>
      <c r="BN764" s="1"/>
      <c r="BO764" s="1"/>
      <c r="BP764" s="1"/>
      <c r="BQ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9"/>
      <c r="BF765" s="1"/>
      <c r="BG765" s="1"/>
      <c r="BH765" s="1"/>
      <c r="BI765" s="1"/>
      <c r="BJ765" s="1"/>
      <c r="BK765" s="1"/>
      <c r="BL765" s="1" t="b">
        <f>IFERROR(__xludf.DUMMYFUNCTION("""COMPUTED_VALUE"""),FALSE)</f>
        <v>0</v>
      </c>
      <c r="BM765" s="1"/>
      <c r="BN765" s="1"/>
      <c r="BO765" s="1"/>
      <c r="BP765" s="1"/>
      <c r="BQ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9"/>
      <c r="BF766" s="1"/>
      <c r="BG766" s="1"/>
      <c r="BH766" s="1"/>
      <c r="BI766" s="1"/>
      <c r="BJ766" s="1"/>
      <c r="BK766" s="1"/>
      <c r="BL766" s="1" t="b">
        <f>IFERROR(__xludf.DUMMYFUNCTION("""COMPUTED_VALUE"""),FALSE)</f>
        <v>0</v>
      </c>
      <c r="BM766" s="1"/>
      <c r="BN766" s="1"/>
      <c r="BO766" s="1"/>
      <c r="BP766" s="1"/>
      <c r="BQ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9"/>
      <c r="BF767" s="1"/>
      <c r="BG767" s="1"/>
      <c r="BH767" s="1"/>
      <c r="BI767" s="1"/>
      <c r="BJ767" s="1"/>
      <c r="BK767" s="1"/>
      <c r="BL767" s="1" t="b">
        <f>IFERROR(__xludf.DUMMYFUNCTION("""COMPUTED_VALUE"""),FALSE)</f>
        <v>0</v>
      </c>
      <c r="BM767" s="1"/>
      <c r="BN767" s="1"/>
      <c r="BO767" s="1"/>
      <c r="BP767" s="1"/>
      <c r="BQ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9"/>
      <c r="BF768" s="1"/>
      <c r="BG768" s="1"/>
      <c r="BH768" s="1"/>
      <c r="BI768" s="1"/>
      <c r="BJ768" s="1"/>
      <c r="BK768" s="1"/>
      <c r="BL768" s="1" t="b">
        <f>IFERROR(__xludf.DUMMYFUNCTION("""COMPUTED_VALUE"""),FALSE)</f>
        <v>0</v>
      </c>
      <c r="BM768" s="1"/>
      <c r="BN768" s="1"/>
      <c r="BO768" s="1"/>
      <c r="BP768" s="1"/>
      <c r="BQ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9"/>
      <c r="BF769" s="1"/>
      <c r="BG769" s="1"/>
      <c r="BH769" s="1"/>
      <c r="BI769" s="1"/>
      <c r="BJ769" s="1"/>
      <c r="BK769" s="1"/>
      <c r="BL769" s="1" t="b">
        <f>IFERROR(__xludf.DUMMYFUNCTION("""COMPUTED_VALUE"""),FALSE)</f>
        <v>0</v>
      </c>
      <c r="BM769" s="1"/>
      <c r="BN769" s="1"/>
      <c r="BO769" s="1"/>
      <c r="BP769" s="1"/>
      <c r="BQ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9"/>
      <c r="BF770" s="1"/>
      <c r="BG770" s="1"/>
      <c r="BH770" s="1"/>
      <c r="BI770" s="1"/>
      <c r="BJ770" s="1"/>
      <c r="BK770" s="1"/>
      <c r="BL770" s="1" t="b">
        <f>IFERROR(__xludf.DUMMYFUNCTION("""COMPUTED_VALUE"""),FALSE)</f>
        <v>0</v>
      </c>
      <c r="BM770" s="1"/>
      <c r="BN770" s="1"/>
      <c r="BO770" s="1"/>
      <c r="BP770" s="1"/>
      <c r="BQ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9"/>
      <c r="BF771" s="1"/>
      <c r="BG771" s="1"/>
      <c r="BH771" s="1"/>
      <c r="BI771" s="1"/>
      <c r="BJ771" s="1"/>
      <c r="BK771" s="1"/>
      <c r="BL771" s="1" t="b">
        <f>IFERROR(__xludf.DUMMYFUNCTION("""COMPUTED_VALUE"""),FALSE)</f>
        <v>0</v>
      </c>
      <c r="BM771" s="1"/>
      <c r="BN771" s="1"/>
      <c r="BO771" s="1"/>
      <c r="BP771" s="1"/>
      <c r="BQ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9"/>
      <c r="BF772" s="1"/>
      <c r="BG772" s="1"/>
      <c r="BH772" s="1"/>
      <c r="BI772" s="1"/>
      <c r="BJ772" s="1"/>
      <c r="BK772" s="1"/>
      <c r="BL772" s="1" t="b">
        <f>IFERROR(__xludf.DUMMYFUNCTION("""COMPUTED_VALUE"""),FALSE)</f>
        <v>0</v>
      </c>
      <c r="BM772" s="1"/>
      <c r="BN772" s="1"/>
      <c r="BO772" s="1"/>
      <c r="BP772" s="1"/>
      <c r="BQ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9"/>
      <c r="BF773" s="1"/>
      <c r="BG773" s="1"/>
      <c r="BH773" s="1"/>
      <c r="BI773" s="1"/>
      <c r="BJ773" s="1"/>
      <c r="BK773" s="1"/>
      <c r="BL773" s="1" t="b">
        <f>IFERROR(__xludf.DUMMYFUNCTION("""COMPUTED_VALUE"""),FALSE)</f>
        <v>0</v>
      </c>
      <c r="BM773" s="1"/>
      <c r="BN773" s="1"/>
      <c r="BO773" s="1"/>
      <c r="BP773" s="1"/>
      <c r="BQ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9"/>
      <c r="BF774" s="1"/>
      <c r="BG774" s="1"/>
      <c r="BH774" s="1"/>
      <c r="BI774" s="1"/>
      <c r="BJ774" s="1"/>
      <c r="BK774" s="1"/>
      <c r="BL774" s="1" t="b">
        <f>IFERROR(__xludf.DUMMYFUNCTION("""COMPUTED_VALUE"""),FALSE)</f>
        <v>0</v>
      </c>
      <c r="BM774" s="1"/>
      <c r="BN774" s="1"/>
      <c r="BO774" s="1"/>
      <c r="BP774" s="1"/>
      <c r="BQ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9"/>
      <c r="BF775" s="1"/>
      <c r="BG775" s="1"/>
      <c r="BH775" s="1"/>
      <c r="BI775" s="1"/>
      <c r="BJ775" s="1"/>
      <c r="BK775" s="1"/>
      <c r="BL775" s="1" t="b">
        <f>IFERROR(__xludf.DUMMYFUNCTION("""COMPUTED_VALUE"""),FALSE)</f>
        <v>0</v>
      </c>
      <c r="BM775" s="1"/>
      <c r="BN775" s="1"/>
      <c r="BO775" s="1"/>
      <c r="BP775" s="1"/>
      <c r="BQ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9"/>
      <c r="BF776" s="1"/>
      <c r="BG776" s="1"/>
      <c r="BH776" s="1"/>
      <c r="BI776" s="1"/>
      <c r="BJ776" s="1"/>
      <c r="BK776" s="1"/>
      <c r="BL776" s="1" t="b">
        <f>IFERROR(__xludf.DUMMYFUNCTION("""COMPUTED_VALUE"""),FALSE)</f>
        <v>0</v>
      </c>
      <c r="BM776" s="1"/>
      <c r="BN776" s="1"/>
      <c r="BO776" s="1"/>
      <c r="BP776" s="1"/>
      <c r="BQ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9"/>
      <c r="BF777" s="1"/>
      <c r="BG777" s="1"/>
      <c r="BH777" s="1"/>
      <c r="BI777" s="1"/>
      <c r="BJ777" s="1"/>
      <c r="BK777" s="1"/>
      <c r="BL777" s="1" t="b">
        <f>IFERROR(__xludf.DUMMYFUNCTION("""COMPUTED_VALUE"""),FALSE)</f>
        <v>0</v>
      </c>
      <c r="BM777" s="1"/>
      <c r="BN777" s="1"/>
      <c r="BO777" s="1"/>
      <c r="BP777" s="1"/>
      <c r="BQ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9"/>
      <c r="BF778" s="1"/>
      <c r="BG778" s="1"/>
      <c r="BH778" s="1"/>
      <c r="BI778" s="1"/>
      <c r="BJ778" s="1"/>
      <c r="BK778" s="1"/>
      <c r="BL778" s="1" t="b">
        <f>IFERROR(__xludf.DUMMYFUNCTION("""COMPUTED_VALUE"""),FALSE)</f>
        <v>0</v>
      </c>
      <c r="BM778" s="1"/>
      <c r="BN778" s="1"/>
      <c r="BO778" s="1"/>
      <c r="BP778" s="1"/>
      <c r="BQ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9"/>
      <c r="BF779" s="1"/>
      <c r="BG779" s="1"/>
      <c r="BH779" s="1"/>
      <c r="BI779" s="1"/>
      <c r="BJ779" s="1"/>
      <c r="BK779" s="1"/>
      <c r="BL779" s="1" t="b">
        <f>IFERROR(__xludf.DUMMYFUNCTION("""COMPUTED_VALUE"""),FALSE)</f>
        <v>0</v>
      </c>
      <c r="BM779" s="1"/>
      <c r="BN779" s="1"/>
      <c r="BO779" s="1"/>
      <c r="BP779" s="1"/>
      <c r="BQ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9"/>
      <c r="BF780" s="1"/>
      <c r="BG780" s="1"/>
      <c r="BH780" s="1"/>
      <c r="BI780" s="1"/>
      <c r="BJ780" s="1"/>
      <c r="BK780" s="1"/>
      <c r="BL780" s="1" t="b">
        <f>IFERROR(__xludf.DUMMYFUNCTION("""COMPUTED_VALUE"""),FALSE)</f>
        <v>0</v>
      </c>
      <c r="BM780" s="1"/>
      <c r="BN780" s="1"/>
      <c r="BO780" s="1"/>
      <c r="BP780" s="1"/>
      <c r="BQ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9"/>
      <c r="BF781" s="1"/>
      <c r="BG781" s="1"/>
      <c r="BH781" s="1"/>
      <c r="BI781" s="1"/>
      <c r="BJ781" s="1"/>
      <c r="BK781" s="1"/>
      <c r="BL781" s="1" t="b">
        <f>IFERROR(__xludf.DUMMYFUNCTION("""COMPUTED_VALUE"""),FALSE)</f>
        <v>0</v>
      </c>
      <c r="BM781" s="1"/>
      <c r="BN781" s="1"/>
      <c r="BO781" s="1"/>
      <c r="BP781" s="1"/>
      <c r="BQ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9"/>
      <c r="BF782" s="1"/>
      <c r="BG782" s="1"/>
      <c r="BH782" s="1"/>
      <c r="BI782" s="1"/>
      <c r="BJ782" s="1"/>
      <c r="BK782" s="1"/>
      <c r="BL782" s="1" t="b">
        <f>IFERROR(__xludf.DUMMYFUNCTION("""COMPUTED_VALUE"""),FALSE)</f>
        <v>0</v>
      </c>
      <c r="BM782" s="1"/>
      <c r="BN782" s="1"/>
      <c r="BO782" s="1"/>
      <c r="BP782" s="1"/>
      <c r="BQ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9"/>
      <c r="BF783" s="1"/>
      <c r="BG783" s="1"/>
      <c r="BH783" s="1"/>
      <c r="BI783" s="1"/>
      <c r="BJ783" s="1"/>
      <c r="BK783" s="1"/>
      <c r="BL783" s="1" t="b">
        <f>IFERROR(__xludf.DUMMYFUNCTION("""COMPUTED_VALUE"""),FALSE)</f>
        <v>0</v>
      </c>
      <c r="BM783" s="1"/>
      <c r="BN783" s="1"/>
      <c r="BO783" s="1"/>
      <c r="BP783" s="1"/>
      <c r="BQ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9"/>
      <c r="BF784" s="1"/>
      <c r="BG784" s="1"/>
      <c r="BH784" s="1"/>
      <c r="BI784" s="1"/>
      <c r="BJ784" s="1"/>
      <c r="BK784" s="1"/>
      <c r="BL784" s="1" t="b">
        <f>IFERROR(__xludf.DUMMYFUNCTION("""COMPUTED_VALUE"""),FALSE)</f>
        <v>0</v>
      </c>
      <c r="BM784" s="1"/>
      <c r="BN784" s="1"/>
      <c r="BO784" s="1"/>
      <c r="BP784" s="1"/>
      <c r="BQ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9"/>
      <c r="BF785" s="1"/>
      <c r="BG785" s="1"/>
      <c r="BH785" s="1"/>
      <c r="BI785" s="1"/>
      <c r="BJ785" s="1"/>
      <c r="BK785" s="1"/>
      <c r="BL785" s="1" t="b">
        <f>IFERROR(__xludf.DUMMYFUNCTION("""COMPUTED_VALUE"""),FALSE)</f>
        <v>0</v>
      </c>
      <c r="BM785" s="1"/>
      <c r="BN785" s="1"/>
      <c r="BO785" s="1"/>
      <c r="BP785" s="1"/>
      <c r="BQ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9"/>
      <c r="BF786" s="1"/>
      <c r="BG786" s="1"/>
      <c r="BH786" s="1"/>
      <c r="BI786" s="1"/>
      <c r="BJ786" s="1"/>
      <c r="BK786" s="1"/>
      <c r="BL786" s="1" t="b">
        <f>IFERROR(__xludf.DUMMYFUNCTION("""COMPUTED_VALUE"""),FALSE)</f>
        <v>0</v>
      </c>
      <c r="BM786" s="1"/>
      <c r="BN786" s="1"/>
      <c r="BO786" s="1"/>
      <c r="BP786" s="1"/>
      <c r="BQ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9"/>
      <c r="BF787" s="1"/>
      <c r="BG787" s="1"/>
      <c r="BH787" s="1"/>
      <c r="BI787" s="1"/>
      <c r="BJ787" s="1"/>
      <c r="BK787" s="1"/>
      <c r="BL787" s="1" t="b">
        <f>IFERROR(__xludf.DUMMYFUNCTION("""COMPUTED_VALUE"""),FALSE)</f>
        <v>0</v>
      </c>
      <c r="BM787" s="1"/>
      <c r="BN787" s="1"/>
      <c r="BO787" s="1"/>
      <c r="BP787" s="1"/>
      <c r="BQ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9"/>
      <c r="BF788" s="1"/>
      <c r="BG788" s="1"/>
      <c r="BH788" s="1"/>
      <c r="BI788" s="1"/>
      <c r="BJ788" s="1"/>
      <c r="BK788" s="1"/>
      <c r="BL788" s="1" t="b">
        <f>IFERROR(__xludf.DUMMYFUNCTION("""COMPUTED_VALUE"""),FALSE)</f>
        <v>0</v>
      </c>
      <c r="BM788" s="1"/>
      <c r="BN788" s="1"/>
      <c r="BO788" s="1"/>
      <c r="BP788" s="1"/>
      <c r="BQ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9"/>
      <c r="BF789" s="1"/>
      <c r="BG789" s="1"/>
      <c r="BH789" s="1"/>
      <c r="BI789" s="1"/>
      <c r="BJ789" s="1"/>
      <c r="BK789" s="1"/>
      <c r="BL789" s="1" t="b">
        <f>IFERROR(__xludf.DUMMYFUNCTION("""COMPUTED_VALUE"""),FALSE)</f>
        <v>0</v>
      </c>
      <c r="BM789" s="1"/>
      <c r="BN789" s="1"/>
      <c r="BO789" s="1"/>
      <c r="BP789" s="1"/>
      <c r="BQ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9"/>
      <c r="BF790" s="1"/>
      <c r="BG790" s="1"/>
      <c r="BH790" s="1"/>
      <c r="BI790" s="1"/>
      <c r="BJ790" s="1"/>
      <c r="BK790" s="1"/>
      <c r="BL790" s="1" t="b">
        <f>IFERROR(__xludf.DUMMYFUNCTION("""COMPUTED_VALUE"""),FALSE)</f>
        <v>0</v>
      </c>
      <c r="BM790" s="1"/>
      <c r="BN790" s="1"/>
      <c r="BO790" s="1"/>
      <c r="BP790" s="1"/>
      <c r="BQ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9"/>
      <c r="BF791" s="1"/>
      <c r="BG791" s="1"/>
      <c r="BH791" s="1"/>
      <c r="BI791" s="1"/>
      <c r="BJ791" s="1"/>
      <c r="BK791" s="1"/>
      <c r="BL791" s="1" t="b">
        <f>IFERROR(__xludf.DUMMYFUNCTION("""COMPUTED_VALUE"""),FALSE)</f>
        <v>0</v>
      </c>
      <c r="BM791" s="1"/>
      <c r="BN791" s="1"/>
      <c r="BO791" s="1"/>
      <c r="BP791" s="1"/>
      <c r="BQ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9"/>
      <c r="BF792" s="1"/>
      <c r="BG792" s="1"/>
      <c r="BH792" s="1"/>
      <c r="BI792" s="1"/>
      <c r="BJ792" s="1"/>
      <c r="BK792" s="1"/>
      <c r="BL792" s="1" t="b">
        <f>IFERROR(__xludf.DUMMYFUNCTION("""COMPUTED_VALUE"""),FALSE)</f>
        <v>0</v>
      </c>
      <c r="BM792" s="1"/>
      <c r="BN792" s="1"/>
      <c r="BO792" s="1"/>
      <c r="BP792" s="1"/>
      <c r="BQ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9"/>
      <c r="BF793" s="1"/>
      <c r="BG793" s="1"/>
      <c r="BH793" s="1"/>
      <c r="BI793" s="1"/>
      <c r="BJ793" s="1"/>
      <c r="BK793" s="1"/>
      <c r="BL793" s="1" t="b">
        <f>IFERROR(__xludf.DUMMYFUNCTION("""COMPUTED_VALUE"""),FALSE)</f>
        <v>0</v>
      </c>
      <c r="BM793" s="1"/>
      <c r="BN793" s="1"/>
      <c r="BO793" s="1"/>
      <c r="BP793" s="1"/>
      <c r="BQ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9"/>
      <c r="BF794" s="1"/>
      <c r="BG794" s="1"/>
      <c r="BH794" s="1"/>
      <c r="BI794" s="1"/>
      <c r="BJ794" s="1"/>
      <c r="BK794" s="1"/>
      <c r="BL794" s="1" t="b">
        <f>IFERROR(__xludf.DUMMYFUNCTION("""COMPUTED_VALUE"""),FALSE)</f>
        <v>0</v>
      </c>
      <c r="BM794" s="1"/>
      <c r="BN794" s="1"/>
      <c r="BO794" s="1"/>
      <c r="BP794" s="1"/>
      <c r="BQ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9"/>
      <c r="BF795" s="1"/>
      <c r="BG795" s="1"/>
      <c r="BH795" s="1"/>
      <c r="BI795" s="1"/>
      <c r="BJ795" s="1"/>
      <c r="BK795" s="1"/>
      <c r="BL795" s="1" t="b">
        <f>IFERROR(__xludf.DUMMYFUNCTION("""COMPUTED_VALUE"""),FALSE)</f>
        <v>0</v>
      </c>
      <c r="BM795" s="1"/>
      <c r="BN795" s="1"/>
      <c r="BO795" s="1"/>
      <c r="BP795" s="1"/>
      <c r="BQ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9"/>
      <c r="BF796" s="1"/>
      <c r="BG796" s="1"/>
      <c r="BH796" s="1"/>
      <c r="BI796" s="1"/>
      <c r="BJ796" s="1"/>
      <c r="BK796" s="1"/>
      <c r="BL796" s="1" t="b">
        <f>IFERROR(__xludf.DUMMYFUNCTION("""COMPUTED_VALUE"""),FALSE)</f>
        <v>0</v>
      </c>
      <c r="BM796" s="1"/>
      <c r="BN796" s="1"/>
      <c r="BO796" s="1"/>
      <c r="BP796" s="1"/>
      <c r="BQ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9"/>
      <c r="BF797" s="1"/>
      <c r="BG797" s="1"/>
      <c r="BH797" s="1"/>
      <c r="BI797" s="1"/>
      <c r="BJ797" s="1"/>
      <c r="BK797" s="1"/>
      <c r="BL797" s="1" t="b">
        <f>IFERROR(__xludf.DUMMYFUNCTION("""COMPUTED_VALUE"""),FALSE)</f>
        <v>0</v>
      </c>
      <c r="BM797" s="1"/>
      <c r="BN797" s="1"/>
      <c r="BO797" s="1"/>
      <c r="BP797" s="1"/>
      <c r="BQ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9"/>
      <c r="BF798" s="1"/>
      <c r="BG798" s="1"/>
      <c r="BH798" s="1"/>
      <c r="BI798" s="1"/>
      <c r="BJ798" s="1"/>
      <c r="BK798" s="1"/>
      <c r="BL798" s="1" t="b">
        <f>IFERROR(__xludf.DUMMYFUNCTION("""COMPUTED_VALUE"""),FALSE)</f>
        <v>0</v>
      </c>
      <c r="BM798" s="1"/>
      <c r="BN798" s="1"/>
      <c r="BO798" s="1"/>
      <c r="BP798" s="1"/>
      <c r="BQ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9"/>
      <c r="BF799" s="1"/>
      <c r="BG799" s="1"/>
      <c r="BH799" s="1"/>
      <c r="BI799" s="1"/>
      <c r="BJ799" s="1"/>
      <c r="BK799" s="1"/>
      <c r="BL799" s="1" t="b">
        <f>IFERROR(__xludf.DUMMYFUNCTION("""COMPUTED_VALUE"""),FALSE)</f>
        <v>0</v>
      </c>
      <c r="BM799" s="1"/>
      <c r="BN799" s="1"/>
      <c r="BO799" s="1"/>
      <c r="BP799" s="1"/>
      <c r="BQ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9"/>
      <c r="BF800" s="1"/>
      <c r="BG800" s="1"/>
      <c r="BH800" s="1"/>
      <c r="BI800" s="1"/>
      <c r="BJ800" s="1"/>
      <c r="BK800" s="1"/>
      <c r="BL800" s="1" t="b">
        <f>IFERROR(__xludf.DUMMYFUNCTION("""COMPUTED_VALUE"""),FALSE)</f>
        <v>0</v>
      </c>
      <c r="BM800" s="1"/>
      <c r="BN800" s="1"/>
      <c r="BO800" s="1"/>
      <c r="BP800" s="1"/>
      <c r="BQ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9"/>
      <c r="BF801" s="1"/>
      <c r="BG801" s="1"/>
      <c r="BH801" s="1"/>
      <c r="BI801" s="1"/>
      <c r="BJ801" s="1"/>
      <c r="BK801" s="1"/>
      <c r="BL801" s="1" t="b">
        <f>IFERROR(__xludf.DUMMYFUNCTION("""COMPUTED_VALUE"""),FALSE)</f>
        <v>0</v>
      </c>
      <c r="BM801" s="1"/>
      <c r="BN801" s="1"/>
      <c r="BO801" s="1"/>
      <c r="BP801" s="1"/>
      <c r="BQ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9"/>
      <c r="BF802" s="1"/>
      <c r="BG802" s="1"/>
      <c r="BH802" s="1"/>
      <c r="BI802" s="1"/>
      <c r="BJ802" s="1"/>
      <c r="BK802" s="1"/>
      <c r="BL802" s="1" t="b">
        <f>IFERROR(__xludf.DUMMYFUNCTION("""COMPUTED_VALUE"""),FALSE)</f>
        <v>0</v>
      </c>
      <c r="BM802" s="1"/>
      <c r="BN802" s="1"/>
      <c r="BO802" s="1"/>
      <c r="BP802" s="1"/>
      <c r="BQ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9"/>
      <c r="BF803" s="1"/>
      <c r="BG803" s="1"/>
      <c r="BH803" s="1"/>
      <c r="BI803" s="1"/>
      <c r="BJ803" s="1"/>
      <c r="BK803" s="1"/>
      <c r="BL803" s="1" t="b">
        <f>IFERROR(__xludf.DUMMYFUNCTION("""COMPUTED_VALUE"""),FALSE)</f>
        <v>0</v>
      </c>
      <c r="BM803" s="1"/>
      <c r="BN803" s="1"/>
      <c r="BO803" s="1"/>
      <c r="BP803" s="1"/>
      <c r="BQ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9"/>
      <c r="BF804" s="1"/>
      <c r="BG804" s="1"/>
      <c r="BH804" s="1"/>
      <c r="BI804" s="1"/>
      <c r="BJ804" s="1"/>
      <c r="BK804" s="1"/>
      <c r="BL804" s="1" t="b">
        <f>IFERROR(__xludf.DUMMYFUNCTION("""COMPUTED_VALUE"""),FALSE)</f>
        <v>0</v>
      </c>
      <c r="BM804" s="1"/>
      <c r="BN804" s="1"/>
      <c r="BO804" s="1"/>
      <c r="BP804" s="1"/>
      <c r="BQ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9"/>
      <c r="BF805" s="1"/>
      <c r="BG805" s="1"/>
      <c r="BH805" s="1"/>
      <c r="BI805" s="1"/>
      <c r="BJ805" s="1"/>
      <c r="BK805" s="1"/>
      <c r="BL805" s="1" t="b">
        <f>IFERROR(__xludf.DUMMYFUNCTION("""COMPUTED_VALUE"""),FALSE)</f>
        <v>0</v>
      </c>
      <c r="BM805" s="1"/>
      <c r="BN805" s="1"/>
      <c r="BO805" s="1"/>
      <c r="BP805" s="1"/>
      <c r="BQ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9"/>
      <c r="BF806" s="1"/>
      <c r="BG806" s="1"/>
      <c r="BH806" s="1"/>
      <c r="BI806" s="1"/>
      <c r="BJ806" s="1"/>
      <c r="BK806" s="1"/>
      <c r="BL806" s="1" t="b">
        <f>IFERROR(__xludf.DUMMYFUNCTION("""COMPUTED_VALUE"""),FALSE)</f>
        <v>0</v>
      </c>
      <c r="BM806" s="1"/>
      <c r="BN806" s="1"/>
      <c r="BO806" s="1"/>
      <c r="BP806" s="1"/>
      <c r="BQ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9"/>
      <c r="BF807" s="1"/>
      <c r="BG807" s="1"/>
      <c r="BH807" s="1"/>
      <c r="BI807" s="1"/>
      <c r="BJ807" s="1"/>
      <c r="BK807" s="1"/>
      <c r="BL807" s="1" t="b">
        <f>IFERROR(__xludf.DUMMYFUNCTION("""COMPUTED_VALUE"""),FALSE)</f>
        <v>0</v>
      </c>
      <c r="BM807" s="1"/>
      <c r="BN807" s="1"/>
      <c r="BO807" s="1"/>
      <c r="BP807" s="1"/>
      <c r="BQ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9"/>
      <c r="BF808" s="1"/>
      <c r="BG808" s="1"/>
      <c r="BH808" s="1"/>
      <c r="BI808" s="1"/>
      <c r="BJ808" s="1"/>
      <c r="BK808" s="1"/>
      <c r="BL808" s="1" t="b">
        <f>IFERROR(__xludf.DUMMYFUNCTION("""COMPUTED_VALUE"""),FALSE)</f>
        <v>0</v>
      </c>
      <c r="BM808" s="1"/>
      <c r="BN808" s="1"/>
      <c r="BO808" s="1"/>
      <c r="BP808" s="1"/>
      <c r="BQ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9"/>
      <c r="BF809" s="1"/>
      <c r="BG809" s="1"/>
      <c r="BH809" s="1"/>
      <c r="BI809" s="1"/>
      <c r="BJ809" s="1"/>
      <c r="BK809" s="1"/>
      <c r="BL809" s="1" t="b">
        <f>IFERROR(__xludf.DUMMYFUNCTION("""COMPUTED_VALUE"""),FALSE)</f>
        <v>0</v>
      </c>
      <c r="BM809" s="1"/>
      <c r="BN809" s="1"/>
      <c r="BO809" s="1"/>
      <c r="BP809" s="1"/>
      <c r="BQ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9"/>
      <c r="BF810" s="1"/>
      <c r="BG810" s="1"/>
      <c r="BH810" s="1"/>
      <c r="BI810" s="1"/>
      <c r="BJ810" s="1"/>
      <c r="BK810" s="1"/>
      <c r="BL810" s="1" t="b">
        <f>IFERROR(__xludf.DUMMYFUNCTION("""COMPUTED_VALUE"""),FALSE)</f>
        <v>0</v>
      </c>
      <c r="BM810" s="1"/>
      <c r="BN810" s="1"/>
      <c r="BO810" s="1"/>
      <c r="BP810" s="1"/>
      <c r="BQ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9"/>
      <c r="BF811" s="1"/>
      <c r="BG811" s="1"/>
      <c r="BH811" s="1"/>
      <c r="BI811" s="1"/>
      <c r="BJ811" s="1"/>
      <c r="BK811" s="1"/>
      <c r="BL811" s="1" t="b">
        <f>IFERROR(__xludf.DUMMYFUNCTION("""COMPUTED_VALUE"""),FALSE)</f>
        <v>0</v>
      </c>
      <c r="BM811" s="1"/>
      <c r="BN811" s="1"/>
      <c r="BO811" s="1"/>
      <c r="BP811" s="1"/>
      <c r="BQ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9"/>
      <c r="BF812" s="1"/>
      <c r="BG812" s="1"/>
      <c r="BH812" s="1"/>
      <c r="BI812" s="1"/>
      <c r="BJ812" s="1"/>
      <c r="BK812" s="1"/>
      <c r="BL812" s="1" t="b">
        <f>IFERROR(__xludf.DUMMYFUNCTION("""COMPUTED_VALUE"""),FALSE)</f>
        <v>0</v>
      </c>
      <c r="BM812" s="1"/>
      <c r="BN812" s="1"/>
      <c r="BO812" s="1"/>
      <c r="BP812" s="1"/>
      <c r="BQ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9"/>
      <c r="BF813" s="1"/>
      <c r="BG813" s="1"/>
      <c r="BH813" s="1"/>
      <c r="BI813" s="1"/>
      <c r="BJ813" s="1"/>
      <c r="BK813" s="1"/>
      <c r="BL813" s="1" t="b">
        <f>IFERROR(__xludf.DUMMYFUNCTION("""COMPUTED_VALUE"""),FALSE)</f>
        <v>0</v>
      </c>
      <c r="BM813" s="1"/>
      <c r="BN813" s="1"/>
      <c r="BO813" s="1"/>
      <c r="BP813" s="1"/>
      <c r="BQ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9"/>
      <c r="BF814" s="1"/>
      <c r="BG814" s="1"/>
      <c r="BH814" s="1"/>
      <c r="BI814" s="1"/>
      <c r="BJ814" s="1"/>
      <c r="BK814" s="1"/>
      <c r="BL814" s="1" t="b">
        <f>IFERROR(__xludf.DUMMYFUNCTION("""COMPUTED_VALUE"""),FALSE)</f>
        <v>0</v>
      </c>
      <c r="BM814" s="1"/>
      <c r="BN814" s="1"/>
      <c r="BO814" s="1"/>
      <c r="BP814" s="1"/>
      <c r="BQ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9"/>
      <c r="BF815" s="1"/>
      <c r="BG815" s="1"/>
      <c r="BH815" s="1"/>
      <c r="BI815" s="1"/>
      <c r="BJ815" s="1"/>
      <c r="BK815" s="1"/>
      <c r="BL815" s="1" t="b">
        <f>IFERROR(__xludf.DUMMYFUNCTION("""COMPUTED_VALUE"""),FALSE)</f>
        <v>0</v>
      </c>
      <c r="BM815" s="1"/>
      <c r="BN815" s="1"/>
      <c r="BO815" s="1"/>
      <c r="BP815" s="1"/>
      <c r="BQ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9"/>
      <c r="BF816" s="1"/>
      <c r="BG816" s="1"/>
      <c r="BH816" s="1"/>
      <c r="BI816" s="1"/>
      <c r="BJ816" s="1"/>
      <c r="BK816" s="1"/>
      <c r="BL816" s="1" t="b">
        <f>IFERROR(__xludf.DUMMYFUNCTION("""COMPUTED_VALUE"""),FALSE)</f>
        <v>0</v>
      </c>
      <c r="BM816" s="1"/>
      <c r="BN816" s="1"/>
      <c r="BO816" s="1"/>
      <c r="BP816" s="1"/>
      <c r="BQ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9"/>
      <c r="BF817" s="1"/>
      <c r="BG817" s="1"/>
      <c r="BH817" s="1"/>
      <c r="BI817" s="1"/>
      <c r="BJ817" s="1"/>
      <c r="BK817" s="1"/>
      <c r="BL817" s="1" t="b">
        <f>IFERROR(__xludf.DUMMYFUNCTION("""COMPUTED_VALUE"""),FALSE)</f>
        <v>0</v>
      </c>
      <c r="BM817" s="1"/>
      <c r="BN817" s="1"/>
      <c r="BO817" s="1"/>
      <c r="BP817" s="1"/>
      <c r="BQ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9"/>
      <c r="BF818" s="1"/>
      <c r="BG818" s="1"/>
      <c r="BH818" s="1"/>
      <c r="BI818" s="1"/>
      <c r="BJ818" s="1"/>
      <c r="BK818" s="1"/>
      <c r="BL818" s="1" t="b">
        <f>IFERROR(__xludf.DUMMYFUNCTION("""COMPUTED_VALUE"""),FALSE)</f>
        <v>0</v>
      </c>
      <c r="BM818" s="1"/>
      <c r="BN818" s="1"/>
      <c r="BO818" s="1"/>
      <c r="BP818" s="1"/>
      <c r="BQ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9"/>
      <c r="BF819" s="1"/>
      <c r="BG819" s="1"/>
      <c r="BH819" s="1"/>
      <c r="BI819" s="1"/>
      <c r="BJ819" s="1"/>
      <c r="BK819" s="1"/>
      <c r="BL819" s="1" t="b">
        <f>IFERROR(__xludf.DUMMYFUNCTION("""COMPUTED_VALUE"""),FALSE)</f>
        <v>0</v>
      </c>
      <c r="BM819" s="1"/>
      <c r="BN819" s="1"/>
      <c r="BO819" s="1"/>
      <c r="BP819" s="1"/>
      <c r="BQ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9"/>
      <c r="BF820" s="1"/>
      <c r="BG820" s="1"/>
      <c r="BH820" s="1"/>
      <c r="BI820" s="1"/>
      <c r="BJ820" s="1"/>
      <c r="BK820" s="1"/>
      <c r="BL820" s="1" t="b">
        <f>IFERROR(__xludf.DUMMYFUNCTION("""COMPUTED_VALUE"""),FALSE)</f>
        <v>0</v>
      </c>
      <c r="BM820" s="1"/>
      <c r="BN820" s="1"/>
      <c r="BO820" s="1"/>
      <c r="BP820" s="1"/>
      <c r="BQ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9"/>
      <c r="BF821" s="1"/>
      <c r="BG821" s="1"/>
      <c r="BH821" s="1"/>
      <c r="BI821" s="1"/>
      <c r="BJ821" s="1"/>
      <c r="BK821" s="1"/>
      <c r="BL821" s="1" t="b">
        <f>IFERROR(__xludf.DUMMYFUNCTION("""COMPUTED_VALUE"""),FALSE)</f>
        <v>0</v>
      </c>
      <c r="BM821" s="1"/>
      <c r="BN821" s="1"/>
      <c r="BO821" s="1"/>
      <c r="BP821" s="1"/>
      <c r="BQ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9"/>
      <c r="BF822" s="1"/>
      <c r="BG822" s="1"/>
      <c r="BH822" s="1"/>
      <c r="BI822" s="1"/>
      <c r="BJ822" s="1"/>
      <c r="BK822" s="1"/>
      <c r="BL822" s="1" t="b">
        <f>IFERROR(__xludf.DUMMYFUNCTION("""COMPUTED_VALUE"""),FALSE)</f>
        <v>0</v>
      </c>
      <c r="BM822" s="1"/>
      <c r="BN822" s="1"/>
      <c r="BO822" s="1"/>
      <c r="BP822" s="1"/>
      <c r="BQ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9"/>
      <c r="BF823" s="1"/>
      <c r="BG823" s="1"/>
      <c r="BH823" s="1"/>
      <c r="BI823" s="1"/>
      <c r="BJ823" s="1"/>
      <c r="BK823" s="1"/>
      <c r="BL823" s="1" t="b">
        <f>IFERROR(__xludf.DUMMYFUNCTION("""COMPUTED_VALUE"""),FALSE)</f>
        <v>0</v>
      </c>
      <c r="BM823" s="1"/>
      <c r="BN823" s="1"/>
      <c r="BO823" s="1"/>
      <c r="BP823" s="1"/>
      <c r="BQ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9"/>
      <c r="BF824" s="1"/>
      <c r="BG824" s="1"/>
      <c r="BH824" s="1"/>
      <c r="BI824" s="1"/>
      <c r="BJ824" s="1"/>
      <c r="BK824" s="1"/>
      <c r="BL824" s="1" t="b">
        <f>IFERROR(__xludf.DUMMYFUNCTION("""COMPUTED_VALUE"""),FALSE)</f>
        <v>0</v>
      </c>
      <c r="BM824" s="1"/>
      <c r="BN824" s="1"/>
      <c r="BO824" s="1"/>
      <c r="BP824" s="1"/>
      <c r="BQ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9"/>
      <c r="BF825" s="1"/>
      <c r="BG825" s="1"/>
      <c r="BH825" s="1"/>
      <c r="BI825" s="1"/>
      <c r="BJ825" s="1"/>
      <c r="BK825" s="1"/>
      <c r="BL825" s="1" t="b">
        <f>IFERROR(__xludf.DUMMYFUNCTION("""COMPUTED_VALUE"""),FALSE)</f>
        <v>0</v>
      </c>
      <c r="BM825" s="1"/>
      <c r="BN825" s="1"/>
      <c r="BO825" s="1"/>
      <c r="BP825" s="1"/>
      <c r="BQ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9"/>
      <c r="BF826" s="1"/>
      <c r="BG826" s="1"/>
      <c r="BH826" s="1"/>
      <c r="BI826" s="1"/>
      <c r="BJ826" s="1"/>
      <c r="BK826" s="1"/>
      <c r="BL826" s="1" t="b">
        <f>IFERROR(__xludf.DUMMYFUNCTION("""COMPUTED_VALUE"""),FALSE)</f>
        <v>0</v>
      </c>
      <c r="BM826" s="1"/>
      <c r="BN826" s="1"/>
      <c r="BO826" s="1"/>
      <c r="BP826" s="1"/>
      <c r="BQ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9"/>
      <c r="BF827" s="1"/>
      <c r="BG827" s="1"/>
      <c r="BH827" s="1"/>
      <c r="BI827" s="1"/>
      <c r="BJ827" s="1"/>
      <c r="BK827" s="1"/>
      <c r="BL827" s="1" t="b">
        <f>IFERROR(__xludf.DUMMYFUNCTION("""COMPUTED_VALUE"""),FALSE)</f>
        <v>0</v>
      </c>
      <c r="BM827" s="1"/>
      <c r="BN827" s="1"/>
      <c r="BO827" s="1"/>
      <c r="BP827" s="1"/>
      <c r="BQ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9"/>
      <c r="BF828" s="1"/>
      <c r="BG828" s="1"/>
      <c r="BH828" s="1"/>
      <c r="BI828" s="1"/>
      <c r="BJ828" s="1"/>
      <c r="BK828" s="1"/>
      <c r="BL828" s="1" t="b">
        <f>IFERROR(__xludf.DUMMYFUNCTION("""COMPUTED_VALUE"""),FALSE)</f>
        <v>0</v>
      </c>
      <c r="BM828" s="1"/>
      <c r="BN828" s="1"/>
      <c r="BO828" s="1"/>
      <c r="BP828" s="1"/>
      <c r="BQ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9"/>
      <c r="BF829" s="1"/>
      <c r="BG829" s="1"/>
      <c r="BH829" s="1"/>
      <c r="BI829" s="1"/>
      <c r="BJ829" s="1"/>
      <c r="BK829" s="1"/>
      <c r="BL829" s="1" t="b">
        <f>IFERROR(__xludf.DUMMYFUNCTION("""COMPUTED_VALUE"""),FALSE)</f>
        <v>0</v>
      </c>
      <c r="BM829" s="1"/>
      <c r="BN829" s="1"/>
      <c r="BO829" s="1"/>
      <c r="BP829" s="1"/>
      <c r="BQ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9"/>
      <c r="BF830" s="1"/>
      <c r="BG830" s="1"/>
      <c r="BH830" s="1"/>
      <c r="BI830" s="1"/>
      <c r="BJ830" s="1"/>
      <c r="BK830" s="1"/>
      <c r="BL830" s="1" t="b">
        <f>IFERROR(__xludf.DUMMYFUNCTION("""COMPUTED_VALUE"""),FALSE)</f>
        <v>0</v>
      </c>
      <c r="BM830" s="1"/>
      <c r="BN830" s="1"/>
      <c r="BO830" s="1"/>
      <c r="BP830" s="1"/>
      <c r="BQ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9"/>
      <c r="BF831" s="1"/>
      <c r="BG831" s="1"/>
      <c r="BH831" s="1"/>
      <c r="BI831" s="1"/>
      <c r="BJ831" s="1"/>
      <c r="BK831" s="1"/>
      <c r="BL831" s="1" t="b">
        <f>IFERROR(__xludf.DUMMYFUNCTION("""COMPUTED_VALUE"""),FALSE)</f>
        <v>0</v>
      </c>
      <c r="BM831" s="1"/>
      <c r="BN831" s="1"/>
      <c r="BO831" s="1"/>
      <c r="BP831" s="1"/>
      <c r="BQ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9"/>
      <c r="BF832" s="1"/>
      <c r="BG832" s="1"/>
      <c r="BH832" s="1"/>
      <c r="BI832" s="1"/>
      <c r="BJ832" s="1"/>
      <c r="BK832" s="1"/>
      <c r="BL832" s="1" t="b">
        <f>IFERROR(__xludf.DUMMYFUNCTION("""COMPUTED_VALUE"""),FALSE)</f>
        <v>0</v>
      </c>
      <c r="BM832" s="1"/>
      <c r="BN832" s="1"/>
      <c r="BO832" s="1"/>
      <c r="BP832" s="1"/>
      <c r="BQ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9"/>
      <c r="BF833" s="1"/>
      <c r="BG833" s="1"/>
      <c r="BH833" s="1"/>
      <c r="BI833" s="1"/>
      <c r="BJ833" s="1"/>
      <c r="BK833" s="1"/>
      <c r="BL833" s="1" t="b">
        <f>IFERROR(__xludf.DUMMYFUNCTION("""COMPUTED_VALUE"""),FALSE)</f>
        <v>0</v>
      </c>
      <c r="BM833" s="1"/>
      <c r="BN833" s="1"/>
      <c r="BO833" s="1"/>
      <c r="BP833" s="1"/>
      <c r="BQ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9"/>
      <c r="BF834" s="1"/>
      <c r="BG834" s="1"/>
      <c r="BH834" s="1"/>
      <c r="BI834" s="1"/>
      <c r="BJ834" s="1"/>
      <c r="BK834" s="1"/>
      <c r="BL834" s="1" t="b">
        <f>IFERROR(__xludf.DUMMYFUNCTION("""COMPUTED_VALUE"""),FALSE)</f>
        <v>0</v>
      </c>
      <c r="BM834" s="1"/>
      <c r="BN834" s="1"/>
      <c r="BO834" s="1"/>
      <c r="BP834" s="1"/>
      <c r="BQ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9"/>
      <c r="BF835" s="1"/>
      <c r="BG835" s="1"/>
      <c r="BH835" s="1"/>
      <c r="BI835" s="1"/>
      <c r="BJ835" s="1"/>
      <c r="BK835" s="1"/>
      <c r="BL835" s="1" t="b">
        <f>IFERROR(__xludf.DUMMYFUNCTION("""COMPUTED_VALUE"""),FALSE)</f>
        <v>0</v>
      </c>
      <c r="BM835" s="1"/>
      <c r="BN835" s="1"/>
      <c r="BO835" s="1"/>
      <c r="BP835" s="1"/>
      <c r="BQ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9"/>
      <c r="BF836" s="1"/>
      <c r="BG836" s="1"/>
      <c r="BH836" s="1"/>
      <c r="BI836" s="1"/>
      <c r="BJ836" s="1"/>
      <c r="BK836" s="1"/>
      <c r="BL836" s="1" t="b">
        <f>IFERROR(__xludf.DUMMYFUNCTION("""COMPUTED_VALUE"""),FALSE)</f>
        <v>0</v>
      </c>
      <c r="BM836" s="1"/>
      <c r="BN836" s="1"/>
      <c r="BO836" s="1"/>
      <c r="BP836" s="1"/>
      <c r="BQ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9"/>
      <c r="BF837" s="1"/>
      <c r="BG837" s="1"/>
      <c r="BH837" s="1"/>
      <c r="BI837" s="1"/>
      <c r="BJ837" s="1"/>
      <c r="BK837" s="1"/>
      <c r="BL837" s="1" t="b">
        <f>IFERROR(__xludf.DUMMYFUNCTION("""COMPUTED_VALUE"""),FALSE)</f>
        <v>0</v>
      </c>
      <c r="BM837" s="1"/>
      <c r="BN837" s="1"/>
      <c r="BO837" s="1"/>
      <c r="BP837" s="1"/>
      <c r="BQ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9"/>
      <c r="BF838" s="1"/>
      <c r="BG838" s="1"/>
      <c r="BH838" s="1"/>
      <c r="BI838" s="1"/>
      <c r="BJ838" s="1"/>
      <c r="BK838" s="1"/>
      <c r="BL838" s="1" t="b">
        <f>IFERROR(__xludf.DUMMYFUNCTION("""COMPUTED_VALUE"""),FALSE)</f>
        <v>0</v>
      </c>
      <c r="BM838" s="1"/>
      <c r="BN838" s="1"/>
      <c r="BO838" s="1"/>
      <c r="BP838" s="1"/>
      <c r="BQ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9"/>
      <c r="BF839" s="1"/>
      <c r="BG839" s="1"/>
      <c r="BH839" s="1"/>
      <c r="BI839" s="1"/>
      <c r="BJ839" s="1"/>
      <c r="BK839" s="1"/>
      <c r="BL839" s="1" t="b">
        <f>IFERROR(__xludf.DUMMYFUNCTION("""COMPUTED_VALUE"""),FALSE)</f>
        <v>0</v>
      </c>
      <c r="BM839" s="1"/>
      <c r="BN839" s="1"/>
      <c r="BO839" s="1"/>
      <c r="BP839" s="1"/>
      <c r="BQ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9"/>
      <c r="BF840" s="1"/>
      <c r="BG840" s="1"/>
      <c r="BH840" s="1"/>
      <c r="BI840" s="1"/>
      <c r="BJ840" s="1"/>
      <c r="BK840" s="1"/>
      <c r="BL840" s="1" t="b">
        <f>IFERROR(__xludf.DUMMYFUNCTION("""COMPUTED_VALUE"""),FALSE)</f>
        <v>0</v>
      </c>
      <c r="BM840" s="1"/>
      <c r="BN840" s="1"/>
      <c r="BO840" s="1"/>
      <c r="BP840" s="1"/>
      <c r="BQ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9"/>
      <c r="BF841" s="1"/>
      <c r="BG841" s="1"/>
      <c r="BH841" s="1"/>
      <c r="BI841" s="1"/>
      <c r="BJ841" s="1"/>
      <c r="BK841" s="1"/>
      <c r="BL841" s="1" t="b">
        <f>IFERROR(__xludf.DUMMYFUNCTION("""COMPUTED_VALUE"""),FALSE)</f>
        <v>0</v>
      </c>
      <c r="BM841" s="1"/>
      <c r="BN841" s="1"/>
      <c r="BO841" s="1"/>
      <c r="BP841" s="1"/>
      <c r="BQ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9"/>
      <c r="BF842" s="1"/>
      <c r="BG842" s="1"/>
      <c r="BH842" s="1"/>
      <c r="BI842" s="1"/>
      <c r="BJ842" s="1"/>
      <c r="BK842" s="1"/>
      <c r="BL842" s="1" t="b">
        <f>IFERROR(__xludf.DUMMYFUNCTION("""COMPUTED_VALUE"""),FALSE)</f>
        <v>0</v>
      </c>
      <c r="BM842" s="1"/>
      <c r="BN842" s="1"/>
      <c r="BO842" s="1"/>
      <c r="BP842" s="1"/>
      <c r="BQ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9"/>
      <c r="BF843" s="1"/>
      <c r="BG843" s="1"/>
      <c r="BH843" s="1"/>
      <c r="BI843" s="1"/>
      <c r="BJ843" s="1"/>
      <c r="BK843" s="1"/>
      <c r="BL843" s="1" t="b">
        <f>IFERROR(__xludf.DUMMYFUNCTION("""COMPUTED_VALUE"""),FALSE)</f>
        <v>0</v>
      </c>
      <c r="BM843" s="1"/>
      <c r="BN843" s="1"/>
      <c r="BO843" s="1"/>
      <c r="BP843" s="1"/>
      <c r="BQ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9"/>
      <c r="BF844" s="1"/>
      <c r="BG844" s="1"/>
      <c r="BH844" s="1"/>
      <c r="BI844" s="1"/>
      <c r="BJ844" s="1"/>
      <c r="BK844" s="1"/>
      <c r="BL844" s="1" t="b">
        <f>IFERROR(__xludf.DUMMYFUNCTION("""COMPUTED_VALUE"""),FALSE)</f>
        <v>0</v>
      </c>
      <c r="BM844" s="1"/>
      <c r="BN844" s="1"/>
      <c r="BO844" s="1"/>
      <c r="BP844" s="1"/>
      <c r="BQ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9"/>
      <c r="BF845" s="1"/>
      <c r="BG845" s="1"/>
      <c r="BH845" s="1"/>
      <c r="BI845" s="1"/>
      <c r="BJ845" s="1"/>
      <c r="BK845" s="1"/>
      <c r="BL845" s="1" t="b">
        <f>IFERROR(__xludf.DUMMYFUNCTION("""COMPUTED_VALUE"""),FALSE)</f>
        <v>0</v>
      </c>
      <c r="BM845" s="1"/>
      <c r="BN845" s="1"/>
      <c r="BO845" s="1"/>
      <c r="BP845" s="1"/>
      <c r="BQ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9"/>
      <c r="BF846" s="1"/>
      <c r="BG846" s="1"/>
      <c r="BH846" s="1"/>
      <c r="BI846" s="1"/>
      <c r="BJ846" s="1"/>
      <c r="BK846" s="1"/>
      <c r="BL846" s="1" t="b">
        <f>IFERROR(__xludf.DUMMYFUNCTION("""COMPUTED_VALUE"""),FALSE)</f>
        <v>0</v>
      </c>
      <c r="BM846" s="1"/>
      <c r="BN846" s="1"/>
      <c r="BO846" s="1"/>
      <c r="BP846" s="1"/>
      <c r="BQ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9"/>
      <c r="BF847" s="1"/>
      <c r="BG847" s="1"/>
      <c r="BH847" s="1"/>
      <c r="BI847" s="1"/>
      <c r="BJ847" s="1"/>
      <c r="BK847" s="1"/>
      <c r="BL847" s="1" t="b">
        <f>IFERROR(__xludf.DUMMYFUNCTION("""COMPUTED_VALUE"""),FALSE)</f>
        <v>0</v>
      </c>
      <c r="BM847" s="1"/>
      <c r="BN847" s="1"/>
      <c r="BO847" s="1"/>
      <c r="BP847" s="1"/>
      <c r="BQ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9"/>
      <c r="BF848" s="1"/>
      <c r="BG848" s="1"/>
      <c r="BH848" s="1"/>
      <c r="BI848" s="1"/>
      <c r="BJ848" s="1"/>
      <c r="BK848" s="1"/>
      <c r="BL848" s="1" t="b">
        <f>IFERROR(__xludf.DUMMYFUNCTION("""COMPUTED_VALUE"""),FALSE)</f>
        <v>0</v>
      </c>
      <c r="BM848" s="1"/>
      <c r="BN848" s="1"/>
      <c r="BO848" s="1"/>
      <c r="BP848" s="1"/>
      <c r="BQ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9"/>
      <c r="BF849" s="1"/>
      <c r="BG849" s="1"/>
      <c r="BH849" s="1"/>
      <c r="BI849" s="1"/>
      <c r="BJ849" s="1"/>
      <c r="BK849" s="1"/>
      <c r="BL849" s="1" t="b">
        <f>IFERROR(__xludf.DUMMYFUNCTION("""COMPUTED_VALUE"""),FALSE)</f>
        <v>0</v>
      </c>
      <c r="BM849" s="1"/>
      <c r="BN849" s="1"/>
      <c r="BO849" s="1"/>
      <c r="BP849" s="1"/>
      <c r="BQ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9"/>
      <c r="BF850" s="1"/>
      <c r="BG850" s="1"/>
      <c r="BH850" s="1"/>
      <c r="BI850" s="1"/>
      <c r="BJ850" s="1"/>
      <c r="BK850" s="1"/>
      <c r="BL850" s="1" t="b">
        <f>IFERROR(__xludf.DUMMYFUNCTION("""COMPUTED_VALUE"""),FALSE)</f>
        <v>0</v>
      </c>
      <c r="BM850" s="1"/>
      <c r="BN850" s="1"/>
      <c r="BO850" s="1"/>
      <c r="BP850" s="1"/>
      <c r="BQ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9"/>
      <c r="BF851" s="1"/>
      <c r="BG851" s="1"/>
      <c r="BH851" s="1"/>
      <c r="BI851" s="1"/>
      <c r="BJ851" s="1"/>
      <c r="BK851" s="1"/>
      <c r="BL851" s="1" t="b">
        <f>IFERROR(__xludf.DUMMYFUNCTION("""COMPUTED_VALUE"""),FALSE)</f>
        <v>0</v>
      </c>
      <c r="BM851" s="1"/>
      <c r="BN851" s="1"/>
      <c r="BO851" s="1"/>
      <c r="BP851" s="1"/>
      <c r="BQ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9"/>
      <c r="BF852" s="1"/>
      <c r="BG852" s="1"/>
      <c r="BH852" s="1"/>
      <c r="BI852" s="1"/>
      <c r="BJ852" s="1"/>
      <c r="BK852" s="1"/>
      <c r="BL852" s="1" t="b">
        <f>IFERROR(__xludf.DUMMYFUNCTION("""COMPUTED_VALUE"""),FALSE)</f>
        <v>0</v>
      </c>
      <c r="BM852" s="1"/>
      <c r="BN852" s="1"/>
      <c r="BO852" s="1"/>
      <c r="BP852" s="1"/>
      <c r="BQ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9"/>
      <c r="BF853" s="1"/>
      <c r="BG853" s="1"/>
      <c r="BH853" s="1"/>
      <c r="BI853" s="1"/>
      <c r="BJ853" s="1"/>
      <c r="BK853" s="1"/>
      <c r="BL853" s="1" t="b">
        <f>IFERROR(__xludf.DUMMYFUNCTION("""COMPUTED_VALUE"""),FALSE)</f>
        <v>0</v>
      </c>
      <c r="BM853" s="1"/>
      <c r="BN853" s="1"/>
      <c r="BO853" s="1"/>
      <c r="BP853" s="1"/>
      <c r="BQ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9"/>
      <c r="BF854" s="1"/>
      <c r="BG854" s="1"/>
      <c r="BH854" s="1"/>
      <c r="BI854" s="1"/>
      <c r="BJ854" s="1"/>
      <c r="BK854" s="1"/>
      <c r="BL854" s="1" t="b">
        <f>IFERROR(__xludf.DUMMYFUNCTION("""COMPUTED_VALUE"""),FALSE)</f>
        <v>0</v>
      </c>
      <c r="BM854" s="1"/>
      <c r="BN854" s="1"/>
      <c r="BO854" s="1"/>
      <c r="BP854" s="1"/>
      <c r="BQ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9"/>
      <c r="BF855" s="1"/>
      <c r="BG855" s="1"/>
      <c r="BH855" s="1"/>
      <c r="BI855" s="1"/>
      <c r="BJ855" s="1"/>
      <c r="BK855" s="1"/>
      <c r="BL855" s="1" t="b">
        <f>IFERROR(__xludf.DUMMYFUNCTION("""COMPUTED_VALUE"""),FALSE)</f>
        <v>0</v>
      </c>
      <c r="BM855" s="1"/>
      <c r="BN855" s="1"/>
      <c r="BO855" s="1"/>
      <c r="BP855" s="1"/>
      <c r="BQ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9"/>
      <c r="BF856" s="1"/>
      <c r="BG856" s="1"/>
      <c r="BH856" s="1"/>
      <c r="BI856" s="1"/>
      <c r="BJ856" s="1"/>
      <c r="BK856" s="1"/>
      <c r="BL856" s="1" t="b">
        <f>IFERROR(__xludf.DUMMYFUNCTION("""COMPUTED_VALUE"""),FALSE)</f>
        <v>0</v>
      </c>
      <c r="BM856" s="1"/>
      <c r="BN856" s="1"/>
      <c r="BO856" s="1"/>
      <c r="BP856" s="1"/>
      <c r="BQ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9"/>
      <c r="BF857" s="1"/>
      <c r="BG857" s="1"/>
      <c r="BH857" s="1"/>
      <c r="BI857" s="1"/>
      <c r="BJ857" s="1"/>
      <c r="BK857" s="1"/>
      <c r="BL857" s="1" t="b">
        <f>IFERROR(__xludf.DUMMYFUNCTION("""COMPUTED_VALUE"""),FALSE)</f>
        <v>0</v>
      </c>
      <c r="BM857" s="1"/>
      <c r="BN857" s="1"/>
      <c r="BO857" s="1"/>
      <c r="BP857" s="1"/>
      <c r="BQ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9"/>
      <c r="BF858" s="1"/>
      <c r="BG858" s="1"/>
      <c r="BH858" s="1"/>
      <c r="BI858" s="1"/>
      <c r="BJ858" s="1"/>
      <c r="BK858" s="1"/>
      <c r="BL858" s="1" t="b">
        <f>IFERROR(__xludf.DUMMYFUNCTION("""COMPUTED_VALUE"""),FALSE)</f>
        <v>0</v>
      </c>
      <c r="BM858" s="1"/>
      <c r="BN858" s="1"/>
      <c r="BO858" s="1"/>
      <c r="BP858" s="1"/>
      <c r="BQ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9"/>
      <c r="BF859" s="1"/>
      <c r="BG859" s="1"/>
      <c r="BH859" s="1"/>
      <c r="BI859" s="1"/>
      <c r="BJ859" s="1"/>
      <c r="BK859" s="1"/>
      <c r="BL859" s="1" t="b">
        <f>IFERROR(__xludf.DUMMYFUNCTION("""COMPUTED_VALUE"""),FALSE)</f>
        <v>0</v>
      </c>
      <c r="BM859" s="1"/>
      <c r="BN859" s="1"/>
      <c r="BO859" s="1"/>
      <c r="BP859" s="1"/>
      <c r="BQ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9"/>
      <c r="BF860" s="1"/>
      <c r="BG860" s="1"/>
      <c r="BH860" s="1"/>
      <c r="BI860" s="1"/>
      <c r="BJ860" s="1"/>
      <c r="BK860" s="1"/>
      <c r="BL860" s="1" t="b">
        <f>IFERROR(__xludf.DUMMYFUNCTION("""COMPUTED_VALUE"""),FALSE)</f>
        <v>0</v>
      </c>
      <c r="BM860" s="1"/>
      <c r="BN860" s="1"/>
      <c r="BO860" s="1"/>
      <c r="BP860" s="1"/>
      <c r="BQ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9"/>
      <c r="BF861" s="1"/>
      <c r="BG861" s="1"/>
      <c r="BH861" s="1"/>
      <c r="BI861" s="1"/>
      <c r="BJ861" s="1"/>
      <c r="BK861" s="1"/>
      <c r="BL861" s="1" t="b">
        <f>IFERROR(__xludf.DUMMYFUNCTION("""COMPUTED_VALUE"""),FALSE)</f>
        <v>0</v>
      </c>
      <c r="BM861" s="1"/>
      <c r="BN861" s="1"/>
      <c r="BO861" s="1"/>
      <c r="BP861" s="1"/>
      <c r="BQ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9"/>
      <c r="BF862" s="1"/>
      <c r="BG862" s="1"/>
      <c r="BH862" s="1"/>
      <c r="BI862" s="1"/>
      <c r="BJ862" s="1"/>
      <c r="BK862" s="1"/>
      <c r="BL862" s="1" t="b">
        <f>IFERROR(__xludf.DUMMYFUNCTION("""COMPUTED_VALUE"""),FALSE)</f>
        <v>0</v>
      </c>
      <c r="BM862" s="1"/>
      <c r="BN862" s="1"/>
      <c r="BO862" s="1"/>
      <c r="BP862" s="1"/>
      <c r="BQ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9"/>
      <c r="BF863" s="1"/>
      <c r="BG863" s="1"/>
      <c r="BH863" s="1"/>
      <c r="BI863" s="1"/>
      <c r="BJ863" s="1"/>
      <c r="BK863" s="1"/>
      <c r="BL863" s="1" t="b">
        <f>IFERROR(__xludf.DUMMYFUNCTION("""COMPUTED_VALUE"""),FALSE)</f>
        <v>0</v>
      </c>
      <c r="BM863" s="1"/>
      <c r="BN863" s="1"/>
      <c r="BO863" s="1"/>
      <c r="BP863" s="1"/>
      <c r="BQ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9"/>
      <c r="BF864" s="1"/>
      <c r="BG864" s="1"/>
      <c r="BH864" s="1"/>
      <c r="BI864" s="1"/>
      <c r="BJ864" s="1"/>
      <c r="BK864" s="1"/>
      <c r="BL864" s="1" t="b">
        <f>IFERROR(__xludf.DUMMYFUNCTION("""COMPUTED_VALUE"""),FALSE)</f>
        <v>0</v>
      </c>
      <c r="BM864" s="1"/>
      <c r="BN864" s="1"/>
      <c r="BO864" s="1"/>
      <c r="BP864" s="1"/>
      <c r="BQ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9"/>
      <c r="BF865" s="1"/>
      <c r="BG865" s="1"/>
      <c r="BH865" s="1"/>
      <c r="BI865" s="1"/>
      <c r="BJ865" s="1"/>
      <c r="BK865" s="1"/>
      <c r="BL865" s="1" t="b">
        <f>IFERROR(__xludf.DUMMYFUNCTION("""COMPUTED_VALUE"""),FALSE)</f>
        <v>0</v>
      </c>
      <c r="BM865" s="1"/>
      <c r="BN865" s="1"/>
      <c r="BO865" s="1"/>
      <c r="BP865" s="1"/>
      <c r="BQ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9"/>
      <c r="BF866" s="1"/>
      <c r="BG866" s="1"/>
      <c r="BH866" s="1"/>
      <c r="BI866" s="1"/>
      <c r="BJ866" s="1"/>
      <c r="BK866" s="1"/>
      <c r="BL866" s="1" t="b">
        <f>IFERROR(__xludf.DUMMYFUNCTION("""COMPUTED_VALUE"""),FALSE)</f>
        <v>0</v>
      </c>
      <c r="BM866" s="1"/>
      <c r="BN866" s="1"/>
      <c r="BO866" s="1"/>
      <c r="BP866" s="1"/>
      <c r="BQ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9"/>
      <c r="BF867" s="1"/>
      <c r="BG867" s="1"/>
      <c r="BH867" s="1"/>
      <c r="BI867" s="1"/>
      <c r="BJ867" s="1"/>
      <c r="BK867" s="1"/>
      <c r="BL867" s="1" t="b">
        <f>IFERROR(__xludf.DUMMYFUNCTION("""COMPUTED_VALUE"""),FALSE)</f>
        <v>0</v>
      </c>
      <c r="BM867" s="1"/>
      <c r="BN867" s="1"/>
      <c r="BO867" s="1"/>
      <c r="BP867" s="1"/>
      <c r="BQ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9"/>
      <c r="BF868" s="1"/>
      <c r="BG868" s="1"/>
      <c r="BH868" s="1"/>
      <c r="BI868" s="1"/>
      <c r="BJ868" s="1"/>
      <c r="BK868" s="1"/>
      <c r="BL868" s="1" t="b">
        <f>IFERROR(__xludf.DUMMYFUNCTION("""COMPUTED_VALUE"""),FALSE)</f>
        <v>0</v>
      </c>
      <c r="BM868" s="1"/>
      <c r="BN868" s="1"/>
      <c r="BO868" s="1"/>
      <c r="BP868" s="1"/>
      <c r="BQ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9"/>
      <c r="BF869" s="1"/>
      <c r="BG869" s="1"/>
      <c r="BH869" s="1"/>
      <c r="BI869" s="1"/>
      <c r="BJ869" s="1"/>
      <c r="BK869" s="1"/>
      <c r="BL869" s="1" t="b">
        <f>IFERROR(__xludf.DUMMYFUNCTION("""COMPUTED_VALUE"""),FALSE)</f>
        <v>0</v>
      </c>
      <c r="BM869" s="1"/>
      <c r="BN869" s="1"/>
      <c r="BO869" s="1"/>
      <c r="BP869" s="1"/>
      <c r="BQ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9"/>
      <c r="BF870" s="1"/>
      <c r="BG870" s="1"/>
      <c r="BH870" s="1"/>
      <c r="BI870" s="1"/>
      <c r="BJ870" s="1"/>
      <c r="BK870" s="1"/>
      <c r="BL870" s="1" t="b">
        <f>IFERROR(__xludf.DUMMYFUNCTION("""COMPUTED_VALUE"""),FALSE)</f>
        <v>0</v>
      </c>
      <c r="BM870" s="1"/>
      <c r="BN870" s="1"/>
      <c r="BO870" s="1"/>
      <c r="BP870" s="1"/>
      <c r="BQ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9"/>
      <c r="BF871" s="1"/>
      <c r="BG871" s="1"/>
      <c r="BH871" s="1"/>
      <c r="BI871" s="1"/>
      <c r="BJ871" s="1"/>
      <c r="BK871" s="1"/>
      <c r="BL871" s="1" t="b">
        <f>IFERROR(__xludf.DUMMYFUNCTION("""COMPUTED_VALUE"""),FALSE)</f>
        <v>0</v>
      </c>
      <c r="BM871" s="1"/>
      <c r="BN871" s="1"/>
      <c r="BO871" s="1"/>
      <c r="BP871" s="1"/>
      <c r="BQ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9"/>
      <c r="BF872" s="1"/>
      <c r="BG872" s="1"/>
      <c r="BH872" s="1"/>
      <c r="BI872" s="1"/>
      <c r="BJ872" s="1"/>
      <c r="BK872" s="1"/>
      <c r="BL872" s="1" t="b">
        <f>IFERROR(__xludf.DUMMYFUNCTION("""COMPUTED_VALUE"""),FALSE)</f>
        <v>0</v>
      </c>
      <c r="BM872" s="1"/>
      <c r="BN872" s="1"/>
      <c r="BO872" s="1"/>
      <c r="BP872" s="1"/>
      <c r="BQ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9"/>
      <c r="BF873" s="1"/>
      <c r="BG873" s="1"/>
      <c r="BH873" s="1"/>
      <c r="BI873" s="1"/>
      <c r="BJ873" s="1"/>
      <c r="BK873" s="1"/>
      <c r="BL873" s="1" t="b">
        <f>IFERROR(__xludf.DUMMYFUNCTION("""COMPUTED_VALUE"""),FALSE)</f>
        <v>0</v>
      </c>
      <c r="BM873" s="1"/>
      <c r="BN873" s="1"/>
      <c r="BO873" s="1"/>
      <c r="BP873" s="1"/>
      <c r="BQ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9"/>
      <c r="BF874" s="1"/>
      <c r="BG874" s="1"/>
      <c r="BH874" s="1"/>
      <c r="BI874" s="1"/>
      <c r="BJ874" s="1"/>
      <c r="BK874" s="1"/>
      <c r="BL874" s="1" t="b">
        <f>IFERROR(__xludf.DUMMYFUNCTION("""COMPUTED_VALUE"""),FALSE)</f>
        <v>0</v>
      </c>
      <c r="BM874" s="1"/>
      <c r="BN874" s="1"/>
      <c r="BO874" s="1"/>
      <c r="BP874" s="1"/>
      <c r="BQ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9"/>
      <c r="BF875" s="1"/>
      <c r="BG875" s="1"/>
      <c r="BH875" s="1"/>
      <c r="BI875" s="1"/>
      <c r="BJ875" s="1"/>
      <c r="BK875" s="1"/>
      <c r="BL875" s="1" t="b">
        <f>IFERROR(__xludf.DUMMYFUNCTION("""COMPUTED_VALUE"""),FALSE)</f>
        <v>0</v>
      </c>
      <c r="BM875" s="1"/>
      <c r="BN875" s="1"/>
      <c r="BO875" s="1"/>
      <c r="BP875" s="1"/>
      <c r="BQ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9"/>
      <c r="BF876" s="1"/>
      <c r="BG876" s="1"/>
      <c r="BH876" s="1"/>
      <c r="BI876" s="1"/>
      <c r="BJ876" s="1"/>
      <c r="BK876" s="1"/>
      <c r="BL876" s="1" t="b">
        <f>IFERROR(__xludf.DUMMYFUNCTION("""COMPUTED_VALUE"""),FALSE)</f>
        <v>0</v>
      </c>
      <c r="BM876" s="1"/>
      <c r="BN876" s="1"/>
      <c r="BO876" s="1"/>
      <c r="BP876" s="1"/>
      <c r="BQ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9"/>
      <c r="BF877" s="1"/>
      <c r="BG877" s="1"/>
      <c r="BH877" s="1"/>
      <c r="BI877" s="1"/>
      <c r="BJ877" s="1"/>
      <c r="BK877" s="1"/>
      <c r="BL877" s="1" t="b">
        <f>IFERROR(__xludf.DUMMYFUNCTION("""COMPUTED_VALUE"""),FALSE)</f>
        <v>0</v>
      </c>
      <c r="BM877" s="1"/>
      <c r="BN877" s="1"/>
      <c r="BO877" s="1"/>
      <c r="BP877" s="1"/>
      <c r="BQ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9"/>
      <c r="BF878" s="1"/>
      <c r="BG878" s="1"/>
      <c r="BH878" s="1"/>
      <c r="BI878" s="1"/>
      <c r="BJ878" s="1"/>
      <c r="BK878" s="1"/>
      <c r="BL878" s="1" t="b">
        <f>IFERROR(__xludf.DUMMYFUNCTION("""COMPUTED_VALUE"""),FALSE)</f>
        <v>0</v>
      </c>
      <c r="BM878" s="1"/>
      <c r="BN878" s="1"/>
      <c r="BO878" s="1"/>
      <c r="BP878" s="1"/>
      <c r="BQ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9"/>
      <c r="BF879" s="1"/>
      <c r="BG879" s="1"/>
      <c r="BH879" s="1"/>
      <c r="BI879" s="1"/>
      <c r="BJ879" s="1"/>
      <c r="BK879" s="1"/>
      <c r="BL879" s="1" t="b">
        <f>IFERROR(__xludf.DUMMYFUNCTION("""COMPUTED_VALUE"""),FALSE)</f>
        <v>0</v>
      </c>
      <c r="BM879" s="1"/>
      <c r="BN879" s="1"/>
      <c r="BO879" s="1"/>
      <c r="BP879" s="1"/>
      <c r="BQ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9"/>
      <c r="BF880" s="1"/>
      <c r="BG880" s="1"/>
      <c r="BH880" s="1"/>
      <c r="BI880" s="1"/>
      <c r="BJ880" s="1"/>
      <c r="BK880" s="1"/>
      <c r="BL880" s="1" t="b">
        <f>IFERROR(__xludf.DUMMYFUNCTION("""COMPUTED_VALUE"""),FALSE)</f>
        <v>0</v>
      </c>
      <c r="BM880" s="1"/>
      <c r="BN880" s="1"/>
      <c r="BO880" s="1"/>
      <c r="BP880" s="1"/>
      <c r="BQ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9"/>
      <c r="BF881" s="1"/>
      <c r="BG881" s="1"/>
      <c r="BH881" s="1"/>
      <c r="BI881" s="1"/>
      <c r="BJ881" s="1"/>
      <c r="BK881" s="1"/>
      <c r="BL881" s="1" t="b">
        <f>IFERROR(__xludf.DUMMYFUNCTION("""COMPUTED_VALUE"""),FALSE)</f>
        <v>0</v>
      </c>
      <c r="BM881" s="1"/>
      <c r="BN881" s="1"/>
      <c r="BO881" s="1"/>
      <c r="BP881" s="1"/>
      <c r="BQ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9"/>
      <c r="BF882" s="1"/>
      <c r="BG882" s="1"/>
      <c r="BH882" s="1"/>
      <c r="BI882" s="1"/>
      <c r="BJ882" s="1"/>
      <c r="BK882" s="1"/>
      <c r="BL882" s="1" t="b">
        <f>IFERROR(__xludf.DUMMYFUNCTION("""COMPUTED_VALUE"""),FALSE)</f>
        <v>0</v>
      </c>
      <c r="BM882" s="1"/>
      <c r="BN882" s="1"/>
      <c r="BO882" s="1"/>
      <c r="BP882" s="1"/>
      <c r="BQ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9"/>
      <c r="BF883" s="1"/>
      <c r="BG883" s="1"/>
      <c r="BH883" s="1"/>
      <c r="BI883" s="1"/>
      <c r="BJ883" s="1"/>
      <c r="BK883" s="1"/>
      <c r="BL883" s="1" t="b">
        <f>IFERROR(__xludf.DUMMYFUNCTION("""COMPUTED_VALUE"""),FALSE)</f>
        <v>0</v>
      </c>
      <c r="BM883" s="1"/>
      <c r="BN883" s="1"/>
      <c r="BO883" s="1"/>
      <c r="BP883" s="1"/>
      <c r="BQ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9"/>
      <c r="BF884" s="1"/>
      <c r="BG884" s="1"/>
      <c r="BH884" s="1"/>
      <c r="BI884" s="1"/>
      <c r="BJ884" s="1"/>
      <c r="BK884" s="1"/>
      <c r="BL884" s="1" t="b">
        <f>IFERROR(__xludf.DUMMYFUNCTION("""COMPUTED_VALUE"""),FALSE)</f>
        <v>0</v>
      </c>
      <c r="BM884" s="1"/>
      <c r="BN884" s="1"/>
      <c r="BO884" s="1"/>
      <c r="BP884" s="1"/>
      <c r="BQ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9"/>
      <c r="BF885" s="1"/>
      <c r="BG885" s="1"/>
      <c r="BH885" s="1"/>
      <c r="BI885" s="1"/>
      <c r="BJ885" s="1"/>
      <c r="BK885" s="1"/>
      <c r="BL885" s="1" t="b">
        <f>IFERROR(__xludf.DUMMYFUNCTION("""COMPUTED_VALUE"""),FALSE)</f>
        <v>0</v>
      </c>
      <c r="BM885" s="1"/>
      <c r="BN885" s="1"/>
      <c r="BO885" s="1"/>
      <c r="BP885" s="1"/>
      <c r="BQ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9"/>
      <c r="BF886" s="1"/>
      <c r="BG886" s="1"/>
      <c r="BH886" s="1"/>
      <c r="BI886" s="1"/>
      <c r="BJ886" s="1"/>
      <c r="BK886" s="1"/>
      <c r="BL886" s="1" t="b">
        <f>IFERROR(__xludf.DUMMYFUNCTION("""COMPUTED_VALUE"""),FALSE)</f>
        <v>0</v>
      </c>
      <c r="BM886" s="1"/>
      <c r="BN886" s="1"/>
      <c r="BO886" s="1"/>
      <c r="BP886" s="1"/>
      <c r="BQ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9"/>
      <c r="BF887" s="1"/>
      <c r="BG887" s="1"/>
      <c r="BH887" s="1"/>
      <c r="BI887" s="1"/>
      <c r="BJ887" s="1"/>
      <c r="BK887" s="1"/>
      <c r="BL887" s="1" t="b">
        <f>IFERROR(__xludf.DUMMYFUNCTION("""COMPUTED_VALUE"""),FALSE)</f>
        <v>0</v>
      </c>
      <c r="BM887" s="1"/>
      <c r="BN887" s="1"/>
      <c r="BO887" s="1"/>
      <c r="BP887" s="1"/>
      <c r="BQ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9"/>
      <c r="BF888" s="1"/>
      <c r="BG888" s="1"/>
      <c r="BH888" s="1"/>
      <c r="BI888" s="1"/>
      <c r="BJ888" s="1"/>
      <c r="BK888" s="1"/>
      <c r="BL888" s="1" t="b">
        <f>IFERROR(__xludf.DUMMYFUNCTION("""COMPUTED_VALUE"""),FALSE)</f>
        <v>0</v>
      </c>
      <c r="BM888" s="1"/>
      <c r="BN888" s="1"/>
      <c r="BO888" s="1"/>
      <c r="BP888" s="1"/>
      <c r="BQ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9"/>
      <c r="BF889" s="1"/>
      <c r="BG889" s="1"/>
      <c r="BH889" s="1"/>
      <c r="BI889" s="1"/>
      <c r="BJ889" s="1"/>
      <c r="BK889" s="1"/>
      <c r="BL889" s="1" t="b">
        <f>IFERROR(__xludf.DUMMYFUNCTION("""COMPUTED_VALUE"""),FALSE)</f>
        <v>0</v>
      </c>
      <c r="BM889" s="1"/>
      <c r="BN889" s="1"/>
      <c r="BO889" s="1"/>
      <c r="BP889" s="1"/>
      <c r="BQ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9"/>
      <c r="BF890" s="1"/>
      <c r="BG890" s="1"/>
      <c r="BH890" s="1"/>
      <c r="BI890" s="1"/>
      <c r="BJ890" s="1"/>
      <c r="BK890" s="1"/>
      <c r="BL890" s="1" t="b">
        <f>IFERROR(__xludf.DUMMYFUNCTION("""COMPUTED_VALUE"""),FALSE)</f>
        <v>0</v>
      </c>
      <c r="BM890" s="1"/>
      <c r="BN890" s="1"/>
      <c r="BO890" s="1"/>
      <c r="BP890" s="1"/>
      <c r="BQ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9"/>
      <c r="BF891" s="1"/>
      <c r="BG891" s="1"/>
      <c r="BH891" s="1"/>
      <c r="BI891" s="1"/>
      <c r="BJ891" s="1"/>
      <c r="BK891" s="1"/>
      <c r="BL891" s="1" t="b">
        <f>IFERROR(__xludf.DUMMYFUNCTION("""COMPUTED_VALUE"""),FALSE)</f>
        <v>0</v>
      </c>
      <c r="BM891" s="1"/>
      <c r="BN891" s="1"/>
      <c r="BO891" s="1"/>
      <c r="BP891" s="1"/>
      <c r="BQ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9"/>
      <c r="BF892" s="1"/>
      <c r="BG892" s="1"/>
      <c r="BH892" s="1"/>
      <c r="BI892" s="1"/>
      <c r="BJ892" s="1"/>
      <c r="BK892" s="1"/>
      <c r="BL892" s="1" t="b">
        <f>IFERROR(__xludf.DUMMYFUNCTION("""COMPUTED_VALUE"""),FALSE)</f>
        <v>0</v>
      </c>
      <c r="BM892" s="1"/>
      <c r="BN892" s="1"/>
      <c r="BO892" s="1"/>
      <c r="BP892" s="1"/>
      <c r="BQ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9"/>
      <c r="BF893" s="1"/>
      <c r="BG893" s="1"/>
      <c r="BH893" s="1"/>
      <c r="BI893" s="1"/>
      <c r="BJ893" s="1"/>
      <c r="BK893" s="1"/>
      <c r="BL893" s="1" t="b">
        <f>IFERROR(__xludf.DUMMYFUNCTION("""COMPUTED_VALUE"""),FALSE)</f>
        <v>0</v>
      </c>
      <c r="BM893" s="1"/>
      <c r="BN893" s="1"/>
      <c r="BO893" s="1"/>
      <c r="BP893" s="1"/>
      <c r="BQ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9"/>
      <c r="BF894" s="1"/>
      <c r="BG894" s="1"/>
      <c r="BH894" s="1"/>
      <c r="BI894" s="1"/>
      <c r="BJ894" s="1"/>
      <c r="BK894" s="1"/>
      <c r="BL894" s="1" t="b">
        <f>IFERROR(__xludf.DUMMYFUNCTION("""COMPUTED_VALUE"""),FALSE)</f>
        <v>0</v>
      </c>
      <c r="BM894" s="1"/>
      <c r="BN894" s="1"/>
      <c r="BO894" s="1"/>
      <c r="BP894" s="1"/>
      <c r="BQ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9"/>
      <c r="BF895" s="1"/>
      <c r="BG895" s="1"/>
      <c r="BH895" s="1"/>
      <c r="BI895" s="1"/>
      <c r="BJ895" s="1"/>
      <c r="BK895" s="1"/>
      <c r="BL895" s="1" t="b">
        <f>IFERROR(__xludf.DUMMYFUNCTION("""COMPUTED_VALUE"""),FALSE)</f>
        <v>0</v>
      </c>
      <c r="BM895" s="1"/>
      <c r="BN895" s="1"/>
      <c r="BO895" s="1"/>
      <c r="BP895" s="1"/>
      <c r="BQ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9"/>
      <c r="BF896" s="1"/>
      <c r="BG896" s="1"/>
      <c r="BH896" s="1"/>
      <c r="BI896" s="1"/>
      <c r="BJ896" s="1"/>
      <c r="BK896" s="1"/>
      <c r="BL896" s="1" t="b">
        <f>IFERROR(__xludf.DUMMYFUNCTION("""COMPUTED_VALUE"""),FALSE)</f>
        <v>0</v>
      </c>
      <c r="BM896" s="1"/>
      <c r="BN896" s="1"/>
      <c r="BO896" s="1"/>
      <c r="BP896" s="1"/>
      <c r="BQ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9"/>
      <c r="BF897" s="1"/>
      <c r="BG897" s="1"/>
      <c r="BH897" s="1"/>
      <c r="BI897" s="1"/>
      <c r="BJ897" s="1"/>
      <c r="BK897" s="1"/>
      <c r="BL897" s="1" t="b">
        <f>IFERROR(__xludf.DUMMYFUNCTION("""COMPUTED_VALUE"""),FALSE)</f>
        <v>0</v>
      </c>
      <c r="BM897" s="1"/>
      <c r="BN897" s="1"/>
      <c r="BO897" s="1"/>
      <c r="BP897" s="1"/>
      <c r="BQ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9"/>
      <c r="BF898" s="1"/>
      <c r="BG898" s="1"/>
      <c r="BH898" s="1"/>
      <c r="BI898" s="1"/>
      <c r="BJ898" s="1"/>
      <c r="BK898" s="1"/>
      <c r="BL898" s="1" t="b">
        <f>IFERROR(__xludf.DUMMYFUNCTION("""COMPUTED_VALUE"""),FALSE)</f>
        <v>0</v>
      </c>
      <c r="BM898" s="1"/>
      <c r="BN898" s="1"/>
      <c r="BO898" s="1"/>
      <c r="BP898" s="1"/>
      <c r="BQ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9"/>
      <c r="BF899" s="1"/>
      <c r="BG899" s="1"/>
      <c r="BH899" s="1"/>
      <c r="BI899" s="1"/>
      <c r="BJ899" s="1"/>
      <c r="BK899" s="1"/>
      <c r="BL899" s="1" t="b">
        <f>IFERROR(__xludf.DUMMYFUNCTION("""COMPUTED_VALUE"""),FALSE)</f>
        <v>0</v>
      </c>
      <c r="BM899" s="1"/>
      <c r="BN899" s="1"/>
      <c r="BO899" s="1"/>
      <c r="BP899" s="1"/>
      <c r="BQ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9"/>
      <c r="BF900" s="1"/>
      <c r="BG900" s="1"/>
      <c r="BH900" s="1"/>
      <c r="BI900" s="1"/>
      <c r="BJ900" s="1"/>
      <c r="BK900" s="1"/>
      <c r="BL900" s="1" t="b">
        <f>IFERROR(__xludf.DUMMYFUNCTION("""COMPUTED_VALUE"""),FALSE)</f>
        <v>0</v>
      </c>
      <c r="BM900" s="1"/>
      <c r="BN900" s="1"/>
      <c r="BO900" s="1"/>
      <c r="BP900" s="1"/>
      <c r="BQ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9"/>
      <c r="BF901" s="1"/>
      <c r="BG901" s="1"/>
      <c r="BH901" s="1"/>
      <c r="BI901" s="1"/>
      <c r="BJ901" s="1"/>
      <c r="BK901" s="1"/>
      <c r="BL901" s="1" t="b">
        <f>IFERROR(__xludf.DUMMYFUNCTION("""COMPUTED_VALUE"""),FALSE)</f>
        <v>0</v>
      </c>
      <c r="BM901" s="1"/>
      <c r="BN901" s="1"/>
      <c r="BO901" s="1"/>
      <c r="BP901" s="1"/>
      <c r="BQ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9"/>
      <c r="BF902" s="1"/>
      <c r="BG902" s="1"/>
      <c r="BH902" s="1"/>
      <c r="BI902" s="1"/>
      <c r="BJ902" s="1"/>
      <c r="BK902" s="1"/>
      <c r="BL902" s="1" t="b">
        <f>IFERROR(__xludf.DUMMYFUNCTION("""COMPUTED_VALUE"""),FALSE)</f>
        <v>0</v>
      </c>
      <c r="BM902" s="1"/>
      <c r="BN902" s="1"/>
      <c r="BO902" s="1"/>
      <c r="BP902" s="1"/>
      <c r="BQ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9"/>
      <c r="BF903" s="1"/>
      <c r="BG903" s="1"/>
      <c r="BH903" s="1"/>
      <c r="BI903" s="1"/>
      <c r="BJ903" s="1"/>
      <c r="BK903" s="1"/>
      <c r="BL903" s="1" t="b">
        <f>IFERROR(__xludf.DUMMYFUNCTION("""COMPUTED_VALUE"""),FALSE)</f>
        <v>0</v>
      </c>
      <c r="BM903" s="1"/>
      <c r="BN903" s="1"/>
      <c r="BO903" s="1"/>
      <c r="BP903" s="1"/>
      <c r="BQ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9"/>
      <c r="BF904" s="1"/>
      <c r="BG904" s="1"/>
      <c r="BH904" s="1"/>
      <c r="BI904" s="1"/>
      <c r="BJ904" s="1"/>
      <c r="BK904" s="1"/>
      <c r="BL904" s="1" t="b">
        <f>IFERROR(__xludf.DUMMYFUNCTION("""COMPUTED_VALUE"""),FALSE)</f>
        <v>0</v>
      </c>
      <c r="BM904" s="1"/>
      <c r="BN904" s="1"/>
      <c r="BO904" s="1"/>
      <c r="BP904" s="1"/>
      <c r="BQ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9"/>
      <c r="BF905" s="1"/>
      <c r="BG905" s="1"/>
      <c r="BH905" s="1"/>
      <c r="BI905" s="1"/>
      <c r="BJ905" s="1"/>
      <c r="BK905" s="1"/>
      <c r="BL905" s="1" t="b">
        <f>IFERROR(__xludf.DUMMYFUNCTION("""COMPUTED_VALUE"""),FALSE)</f>
        <v>0</v>
      </c>
      <c r="BM905" s="1"/>
      <c r="BN905" s="1"/>
      <c r="BO905" s="1"/>
      <c r="BP905" s="1"/>
      <c r="BQ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9"/>
      <c r="BF906" s="1"/>
      <c r="BG906" s="1"/>
      <c r="BH906" s="1"/>
      <c r="BI906" s="1"/>
      <c r="BJ906" s="1"/>
      <c r="BK906" s="1"/>
      <c r="BL906" s="1" t="b">
        <f>IFERROR(__xludf.DUMMYFUNCTION("""COMPUTED_VALUE"""),FALSE)</f>
        <v>0</v>
      </c>
      <c r="BM906" s="1"/>
      <c r="BN906" s="1"/>
      <c r="BO906" s="1"/>
      <c r="BP906" s="1"/>
      <c r="BQ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9"/>
      <c r="BF907" s="1"/>
      <c r="BG907" s="1"/>
      <c r="BH907" s="1"/>
      <c r="BI907" s="1"/>
      <c r="BJ907" s="1"/>
      <c r="BK907" s="1"/>
      <c r="BL907" s="1" t="b">
        <f>IFERROR(__xludf.DUMMYFUNCTION("""COMPUTED_VALUE"""),FALSE)</f>
        <v>0</v>
      </c>
      <c r="BM907" s="1"/>
      <c r="BN907" s="1"/>
      <c r="BO907" s="1"/>
      <c r="BP907" s="1"/>
      <c r="BQ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9"/>
      <c r="BF908" s="1"/>
      <c r="BG908" s="1"/>
      <c r="BH908" s="1"/>
      <c r="BI908" s="1"/>
      <c r="BJ908" s="1"/>
      <c r="BK908" s="1"/>
      <c r="BL908" s="1" t="b">
        <f>IFERROR(__xludf.DUMMYFUNCTION("""COMPUTED_VALUE"""),FALSE)</f>
        <v>0</v>
      </c>
      <c r="BM908" s="1"/>
      <c r="BN908" s="1"/>
      <c r="BO908" s="1"/>
      <c r="BP908" s="1"/>
      <c r="BQ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9"/>
      <c r="BF909" s="1"/>
      <c r="BG909" s="1"/>
      <c r="BH909" s="1"/>
      <c r="BI909" s="1"/>
      <c r="BJ909" s="1"/>
      <c r="BK909" s="1"/>
      <c r="BL909" s="1" t="b">
        <f>IFERROR(__xludf.DUMMYFUNCTION("""COMPUTED_VALUE"""),FALSE)</f>
        <v>0</v>
      </c>
      <c r="BM909" s="1"/>
      <c r="BN909" s="1"/>
      <c r="BO909" s="1"/>
      <c r="BP909" s="1"/>
      <c r="BQ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9"/>
      <c r="BF910" s="1"/>
      <c r="BG910" s="1"/>
      <c r="BH910" s="1"/>
      <c r="BI910" s="1"/>
      <c r="BJ910" s="1"/>
      <c r="BK910" s="1"/>
      <c r="BL910" s="1" t="b">
        <f>IFERROR(__xludf.DUMMYFUNCTION("""COMPUTED_VALUE"""),FALSE)</f>
        <v>0</v>
      </c>
      <c r="BM910" s="1"/>
      <c r="BN910" s="1"/>
      <c r="BO910" s="1"/>
      <c r="BP910" s="1"/>
      <c r="BQ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9"/>
      <c r="BF911" s="1"/>
      <c r="BG911" s="1"/>
      <c r="BH911" s="1"/>
      <c r="BI911" s="1"/>
      <c r="BJ911" s="1"/>
      <c r="BK911" s="1"/>
      <c r="BL911" s="1" t="b">
        <f>IFERROR(__xludf.DUMMYFUNCTION("""COMPUTED_VALUE"""),FALSE)</f>
        <v>0</v>
      </c>
      <c r="BM911" s="1"/>
      <c r="BN911" s="1"/>
      <c r="BO911" s="1"/>
      <c r="BP911" s="1"/>
      <c r="BQ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9"/>
      <c r="BF912" s="1"/>
      <c r="BG912" s="1"/>
      <c r="BH912" s="1"/>
      <c r="BI912" s="1"/>
      <c r="BJ912" s="1"/>
      <c r="BK912" s="1"/>
      <c r="BL912" s="1" t="b">
        <f>IFERROR(__xludf.DUMMYFUNCTION("""COMPUTED_VALUE"""),FALSE)</f>
        <v>0</v>
      </c>
      <c r="BM912" s="1"/>
      <c r="BN912" s="1"/>
      <c r="BO912" s="1"/>
      <c r="BP912" s="1"/>
      <c r="BQ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9"/>
      <c r="BF913" s="1"/>
      <c r="BG913" s="1"/>
      <c r="BH913" s="1"/>
      <c r="BI913" s="1"/>
      <c r="BJ913" s="1"/>
      <c r="BK913" s="1"/>
      <c r="BL913" s="1" t="b">
        <f>IFERROR(__xludf.DUMMYFUNCTION("""COMPUTED_VALUE"""),FALSE)</f>
        <v>0</v>
      </c>
      <c r="BM913" s="1"/>
      <c r="BN913" s="1"/>
      <c r="BO913" s="1"/>
      <c r="BP913" s="1"/>
      <c r="BQ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9"/>
      <c r="BF914" s="1"/>
      <c r="BG914" s="1"/>
      <c r="BH914" s="1"/>
      <c r="BI914" s="1"/>
      <c r="BJ914" s="1"/>
      <c r="BK914" s="1"/>
      <c r="BL914" s="1" t="b">
        <f>IFERROR(__xludf.DUMMYFUNCTION("""COMPUTED_VALUE"""),FALSE)</f>
        <v>0</v>
      </c>
      <c r="BM914" s="1"/>
      <c r="BN914" s="1"/>
      <c r="BO914" s="1"/>
      <c r="BP914" s="1"/>
      <c r="BQ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9"/>
      <c r="BF915" s="1"/>
      <c r="BG915" s="1"/>
      <c r="BH915" s="1"/>
      <c r="BI915" s="1"/>
      <c r="BJ915" s="1"/>
      <c r="BK915" s="1"/>
      <c r="BL915" s="1" t="b">
        <f>IFERROR(__xludf.DUMMYFUNCTION("""COMPUTED_VALUE"""),FALSE)</f>
        <v>0</v>
      </c>
      <c r="BM915" s="1"/>
      <c r="BN915" s="1"/>
      <c r="BO915" s="1"/>
      <c r="BP915" s="1"/>
      <c r="BQ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9"/>
      <c r="BF916" s="1"/>
      <c r="BG916" s="1"/>
      <c r="BH916" s="1"/>
      <c r="BI916" s="1"/>
      <c r="BJ916" s="1"/>
      <c r="BK916" s="1"/>
      <c r="BL916" s="1" t="b">
        <f>IFERROR(__xludf.DUMMYFUNCTION("""COMPUTED_VALUE"""),FALSE)</f>
        <v>0</v>
      </c>
      <c r="BM916" s="1"/>
      <c r="BN916" s="1"/>
      <c r="BO916" s="1"/>
      <c r="BP916" s="1"/>
      <c r="BQ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9"/>
      <c r="BF917" s="1"/>
      <c r="BG917" s="1"/>
      <c r="BH917" s="1"/>
      <c r="BI917" s="1"/>
      <c r="BJ917" s="1"/>
      <c r="BK917" s="1"/>
      <c r="BL917" s="1" t="b">
        <f>IFERROR(__xludf.DUMMYFUNCTION("""COMPUTED_VALUE"""),FALSE)</f>
        <v>0</v>
      </c>
      <c r="BM917" s="1"/>
      <c r="BN917" s="1"/>
      <c r="BO917" s="1"/>
      <c r="BP917" s="1"/>
      <c r="BQ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9"/>
      <c r="BF918" s="1"/>
      <c r="BG918" s="1"/>
      <c r="BH918" s="1"/>
      <c r="BI918" s="1"/>
      <c r="BJ918" s="1"/>
      <c r="BK918" s="1"/>
      <c r="BL918" s="1" t="b">
        <f>IFERROR(__xludf.DUMMYFUNCTION("""COMPUTED_VALUE"""),FALSE)</f>
        <v>0</v>
      </c>
      <c r="BM918" s="1"/>
      <c r="BN918" s="1"/>
      <c r="BO918" s="1"/>
      <c r="BP918" s="1"/>
      <c r="BQ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9"/>
      <c r="BF919" s="1"/>
      <c r="BG919" s="1"/>
      <c r="BH919" s="1"/>
      <c r="BI919" s="1"/>
      <c r="BJ919" s="1"/>
      <c r="BK919" s="1"/>
      <c r="BL919" s="1" t="b">
        <f>IFERROR(__xludf.DUMMYFUNCTION("""COMPUTED_VALUE"""),FALSE)</f>
        <v>0</v>
      </c>
      <c r="BM919" s="1"/>
      <c r="BN919" s="1"/>
      <c r="BO919" s="1"/>
      <c r="BP919" s="1"/>
      <c r="BQ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9"/>
      <c r="BF920" s="1"/>
      <c r="BG920" s="1"/>
      <c r="BH920" s="1"/>
      <c r="BI920" s="1"/>
      <c r="BJ920" s="1"/>
      <c r="BK920" s="1"/>
      <c r="BL920" s="1" t="b">
        <f>IFERROR(__xludf.DUMMYFUNCTION("""COMPUTED_VALUE"""),FALSE)</f>
        <v>0</v>
      </c>
      <c r="BM920" s="1"/>
      <c r="BN920" s="1"/>
      <c r="BO920" s="1"/>
      <c r="BP920" s="1"/>
      <c r="BQ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9"/>
      <c r="BF921" s="1"/>
      <c r="BG921" s="1"/>
      <c r="BH921" s="1"/>
      <c r="BI921" s="1"/>
      <c r="BJ921" s="1"/>
      <c r="BK921" s="1"/>
      <c r="BL921" s="1" t="b">
        <f>IFERROR(__xludf.DUMMYFUNCTION("""COMPUTED_VALUE"""),FALSE)</f>
        <v>0</v>
      </c>
      <c r="BM921" s="1"/>
      <c r="BN921" s="1"/>
      <c r="BO921" s="1"/>
      <c r="BP921" s="1"/>
      <c r="BQ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9"/>
      <c r="BF922" s="1"/>
      <c r="BG922" s="1"/>
      <c r="BH922" s="1"/>
      <c r="BI922" s="1"/>
      <c r="BJ922" s="1"/>
      <c r="BK922" s="1"/>
      <c r="BL922" s="1" t="b">
        <f>IFERROR(__xludf.DUMMYFUNCTION("""COMPUTED_VALUE"""),FALSE)</f>
        <v>0</v>
      </c>
      <c r="BM922" s="1"/>
      <c r="BN922" s="1"/>
      <c r="BO922" s="1"/>
      <c r="BP922" s="1"/>
      <c r="BQ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9"/>
      <c r="BF923" s="1"/>
      <c r="BG923" s="1"/>
      <c r="BH923" s="1"/>
      <c r="BI923" s="1"/>
      <c r="BJ923" s="1"/>
      <c r="BK923" s="1"/>
      <c r="BL923" s="1" t="b">
        <f>IFERROR(__xludf.DUMMYFUNCTION("""COMPUTED_VALUE"""),FALSE)</f>
        <v>0</v>
      </c>
      <c r="BM923" s="1"/>
      <c r="BN923" s="1"/>
      <c r="BO923" s="1"/>
      <c r="BP923" s="1"/>
      <c r="BQ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9"/>
      <c r="BF924" s="1"/>
      <c r="BG924" s="1"/>
      <c r="BH924" s="1"/>
      <c r="BI924" s="1"/>
      <c r="BJ924" s="1"/>
      <c r="BK924" s="1"/>
      <c r="BL924" s="1" t="b">
        <f>IFERROR(__xludf.DUMMYFUNCTION("""COMPUTED_VALUE"""),FALSE)</f>
        <v>0</v>
      </c>
      <c r="BM924" s="1"/>
      <c r="BN924" s="1"/>
      <c r="BO924" s="1"/>
      <c r="BP924" s="1"/>
      <c r="BQ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9"/>
      <c r="BF925" s="1"/>
      <c r="BG925" s="1"/>
      <c r="BH925" s="1"/>
      <c r="BI925" s="1"/>
      <c r="BJ925" s="1"/>
      <c r="BK925" s="1"/>
      <c r="BL925" s="1" t="b">
        <f>IFERROR(__xludf.DUMMYFUNCTION("""COMPUTED_VALUE"""),FALSE)</f>
        <v>0</v>
      </c>
      <c r="BM925" s="1"/>
      <c r="BN925" s="1"/>
      <c r="BO925" s="1"/>
      <c r="BP925" s="1"/>
      <c r="BQ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9"/>
      <c r="BF926" s="1"/>
      <c r="BG926" s="1"/>
      <c r="BH926" s="1"/>
      <c r="BI926" s="1"/>
      <c r="BJ926" s="1"/>
      <c r="BK926" s="1"/>
      <c r="BL926" s="1" t="b">
        <f>IFERROR(__xludf.DUMMYFUNCTION("""COMPUTED_VALUE"""),FALSE)</f>
        <v>0</v>
      </c>
      <c r="BM926" s="1"/>
      <c r="BN926" s="1"/>
      <c r="BO926" s="1"/>
      <c r="BP926" s="1"/>
      <c r="BQ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9"/>
      <c r="BF927" s="1"/>
      <c r="BG927" s="1"/>
      <c r="BH927" s="1"/>
      <c r="BI927" s="1"/>
      <c r="BJ927" s="1"/>
      <c r="BK927" s="1"/>
      <c r="BL927" s="1" t="b">
        <f>IFERROR(__xludf.DUMMYFUNCTION("""COMPUTED_VALUE"""),FALSE)</f>
        <v>0</v>
      </c>
      <c r="BM927" s="1"/>
      <c r="BN927" s="1"/>
      <c r="BO927" s="1"/>
      <c r="BP927" s="1"/>
      <c r="BQ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9"/>
      <c r="BF928" s="1"/>
      <c r="BG928" s="1"/>
      <c r="BH928" s="1"/>
      <c r="BI928" s="1"/>
      <c r="BJ928" s="1"/>
      <c r="BK928" s="1"/>
      <c r="BL928" s="1" t="b">
        <f>IFERROR(__xludf.DUMMYFUNCTION("""COMPUTED_VALUE"""),FALSE)</f>
        <v>0</v>
      </c>
      <c r="BM928" s="1"/>
      <c r="BN928" s="1"/>
      <c r="BO928" s="1"/>
      <c r="BP928" s="1"/>
      <c r="BQ928" s="1"/>
    </row>
    <row r="929" ht="15.75" customHeight="1">
      <c r="BE929" s="9"/>
    </row>
    <row r="930" ht="15.75" customHeight="1">
      <c r="BE930" s="9"/>
    </row>
    <row r="931" ht="15.75" customHeight="1">
      <c r="BE931" s="9"/>
    </row>
    <row r="932" ht="15.75" customHeight="1">
      <c r="BE932" s="9"/>
    </row>
    <row r="933" ht="15.75" customHeight="1">
      <c r="BE933" s="9"/>
    </row>
    <row r="934" ht="15.75" customHeight="1">
      <c r="BE934" s="9"/>
    </row>
    <row r="935" ht="15.75" customHeight="1">
      <c r="BE935" s="9"/>
    </row>
    <row r="936" ht="15.75" customHeight="1">
      <c r="BE936" s="9"/>
    </row>
    <row r="937" ht="15.75" customHeight="1">
      <c r="BE937" s="9"/>
    </row>
    <row r="938" ht="15.75" customHeight="1">
      <c r="BE938" s="9"/>
    </row>
    <row r="939" ht="15.75" customHeight="1">
      <c r="BE939" s="9"/>
    </row>
    <row r="940" ht="15.75" customHeight="1">
      <c r="BE940" s="9"/>
    </row>
    <row r="941" ht="15.75" customHeight="1">
      <c r="BE941" s="9"/>
    </row>
    <row r="942" ht="15.75" customHeight="1">
      <c r="BE942" s="9"/>
    </row>
    <row r="943" ht="15.75" customHeight="1">
      <c r="BE943" s="9"/>
    </row>
    <row r="944" ht="15.75" customHeight="1">
      <c r="BE944" s="9"/>
    </row>
    <row r="945" ht="15.75" customHeight="1">
      <c r="BE945" s="9"/>
    </row>
    <row r="946" ht="15.75" customHeight="1">
      <c r="BE946" s="9"/>
    </row>
    <row r="947" ht="15.75" customHeight="1">
      <c r="BE947" s="9"/>
    </row>
    <row r="948" ht="15.75" customHeight="1">
      <c r="BE948" s="9"/>
    </row>
    <row r="949" ht="15.75" customHeight="1">
      <c r="BE949" s="9"/>
    </row>
    <row r="950" ht="15.75" customHeight="1">
      <c r="BE950" s="9"/>
    </row>
    <row r="951" ht="15.75" customHeight="1">
      <c r="BE951" s="9"/>
    </row>
    <row r="952" ht="15.75" customHeight="1">
      <c r="BE952" s="9"/>
    </row>
    <row r="953" ht="15.75" customHeight="1">
      <c r="BE953" s="9"/>
    </row>
    <row r="954" ht="15.75" customHeight="1">
      <c r="BE954" s="9"/>
    </row>
    <row r="955" ht="15.75" customHeight="1">
      <c r="BE955" s="9"/>
    </row>
    <row r="956" ht="15.75" customHeight="1">
      <c r="BE956" s="9"/>
    </row>
    <row r="957" ht="15.75" customHeight="1">
      <c r="BE957" s="9"/>
    </row>
    <row r="958" ht="15.75" customHeight="1">
      <c r="BE958" s="9"/>
    </row>
    <row r="959" ht="15.75" customHeight="1">
      <c r="BE959" s="9"/>
    </row>
    <row r="960" ht="15.75" customHeight="1">
      <c r="BE960" s="9"/>
    </row>
    <row r="961" ht="15.75" customHeight="1">
      <c r="BE961" s="9"/>
    </row>
    <row r="962" ht="15.75" customHeight="1">
      <c r="BE962" s="9"/>
    </row>
    <row r="963" ht="15.75" customHeight="1">
      <c r="BE963" s="9"/>
    </row>
    <row r="964" ht="15.75" customHeight="1">
      <c r="BE964" s="9"/>
    </row>
    <row r="965" ht="15.75" customHeight="1">
      <c r="BE965" s="9"/>
    </row>
    <row r="966" ht="15.75" customHeight="1">
      <c r="BE966" s="9"/>
    </row>
    <row r="967" ht="15.75" customHeight="1">
      <c r="BE967" s="9"/>
    </row>
    <row r="968" ht="15.75" customHeight="1">
      <c r="BE968" s="9"/>
    </row>
    <row r="969" ht="15.75" customHeight="1">
      <c r="BE969" s="9"/>
    </row>
    <row r="970" ht="15.75" customHeight="1">
      <c r="BE970" s="9"/>
    </row>
    <row r="971" ht="15.75" customHeight="1">
      <c r="BE971" s="9"/>
    </row>
    <row r="972" ht="15.75" customHeight="1">
      <c r="BE972" s="9"/>
    </row>
    <row r="973" ht="15.75" customHeight="1">
      <c r="BE973" s="9"/>
    </row>
    <row r="974" ht="15.75" customHeight="1">
      <c r="BE974" s="9"/>
    </row>
    <row r="975" ht="15.75" customHeight="1">
      <c r="BE975" s="9"/>
    </row>
    <row r="976" ht="15.75" customHeight="1">
      <c r="BE976" s="9"/>
    </row>
    <row r="977" ht="15.75" customHeight="1">
      <c r="BE977" s="9"/>
    </row>
    <row r="978" ht="15.75" customHeight="1">
      <c r="BE978" s="9"/>
    </row>
    <row r="979" ht="15.75" customHeight="1">
      <c r="BE979" s="9"/>
    </row>
    <row r="980" ht="15.75" customHeight="1">
      <c r="BE980" s="9"/>
    </row>
    <row r="981" ht="15.75" customHeight="1">
      <c r="BE981" s="9"/>
    </row>
    <row r="982" ht="15.75" customHeight="1">
      <c r="BE982" s="9"/>
    </row>
    <row r="983" ht="15.75" customHeight="1">
      <c r="BE983" s="9"/>
    </row>
    <row r="984" ht="15.75" customHeight="1">
      <c r="BE984" s="9"/>
    </row>
    <row r="985" ht="15.75" customHeight="1">
      <c r="BE985" s="9"/>
    </row>
    <row r="986" ht="15.75" customHeight="1">
      <c r="BE986" s="9"/>
    </row>
    <row r="987" ht="15.75" customHeight="1">
      <c r="BE987" s="9"/>
    </row>
    <row r="988" ht="15.75" customHeight="1">
      <c r="BE988" s="9"/>
    </row>
    <row r="989" ht="15.75" customHeight="1">
      <c r="BE989" s="9"/>
    </row>
    <row r="990" ht="15.75" customHeight="1">
      <c r="BE990" s="9"/>
    </row>
    <row r="991" ht="15.75" customHeight="1">
      <c r="BE991" s="9"/>
    </row>
    <row r="992" ht="15.75" customHeight="1">
      <c r="BE992" s="9"/>
    </row>
    <row r="993" ht="15.75" customHeight="1">
      <c r="BE993" s="9"/>
    </row>
    <row r="994" ht="15.75" customHeight="1">
      <c r="BE994" s="9"/>
    </row>
    <row r="995" ht="15.75" customHeight="1">
      <c r="BE995" s="9"/>
    </row>
    <row r="996" ht="15.75" customHeight="1">
      <c r="BE996" s="9"/>
    </row>
    <row r="997" ht="15.75" customHeight="1">
      <c r="BE997" s="9"/>
    </row>
    <row r="998" ht="15.75" customHeight="1">
      <c r="BE998" s="9"/>
    </row>
    <row r="999" ht="15.75" customHeight="1">
      <c r="BE999" s="9"/>
    </row>
    <row r="1000" ht="15.75" customHeight="1">
      <c r="BE1000" s="9"/>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6" width="12.63"/>
    <col customWidth="1" min="7" max="7" width="14.5"/>
    <col customWidth="1" min="11" max="11" width="14.5"/>
    <col customWidth="1" min="12" max="12" width="13.88"/>
    <col customWidth="1" min="13" max="13" width="15.0"/>
  </cols>
  <sheetData>
    <row r="1" ht="15.75" customHeight="1">
      <c r="A1" s="14" t="str">
        <f>IFERROR(__xludf.DUMMYFUNCTION("IMPORTRANGE(""https://docs.google.com/spreadsheets/d/1HXoAI5UG3zq1UHqU5n7fPdbQk93qOha2VQb1r7iRi1o"",""SpellsNatPowers!A:BJ"")"),"Name")</f>
        <v>Name</v>
      </c>
      <c r="B1" s="15" t="str">
        <f>IFERROR(__xludf.DUMMYFUNCTION("""COMPUTED_VALUE"""),"Rank")</f>
        <v>Rank</v>
      </c>
      <c r="C1" s="14" t="str">
        <f>IFERROR(__xludf.DUMMYFUNCTION("""COMPUTED_VALUE"""),"SP Cost")</f>
        <v>SP Cost</v>
      </c>
      <c r="D1" s="14" t="str">
        <f>IFERROR(__xludf.DUMMYFUNCTION("""COMPUTED_VALUE"""),"HP Cost")</f>
        <v>HP Cost</v>
      </c>
      <c r="E1" s="14" t="str">
        <f>IFERROR(__xludf.DUMMYFUNCTION("""COMPUTED_VALUE"""),"Effect")</f>
        <v>Effect</v>
      </c>
      <c r="F1" s="14" t="str">
        <f>IFERROR(__xludf.DUMMYFUNCTION("""COMPUTED_VALUE"""),"Type")</f>
        <v>Type</v>
      </c>
      <c r="G1" s="14" t="str">
        <f>IFERROR(__xludf.DUMMYFUNCTION("""COMPUTED_VALUE"""),"Target Amount")</f>
        <v>Target Amount</v>
      </c>
      <c r="H1" s="14" t="str">
        <f>IFERROR(__xludf.DUMMYFUNCTION("""COMPUTED_VALUE"""),"Element")</f>
        <v>Element</v>
      </c>
      <c r="I1" s="14" t="str">
        <f>IFERROR(__xludf.DUMMYFUNCTION("""COMPUTED_VALUE"""),"Player/Mob")</f>
        <v>Player/Mob</v>
      </c>
      <c r="J1" s="14" t="str">
        <f>IFERROR(__xludf.DUMMYFUNCTION("""COMPUTED_VALUE"""),"Restricted")</f>
        <v>Restricted</v>
      </c>
      <c r="K1" s="14" t="str">
        <f>IFERROR(__xludf.DUMMYFUNCTION("""COMPUTED_VALUE"""),"Restricted Info")</f>
        <v>Restricted Info</v>
      </c>
      <c r="L1" s="14" t="str">
        <f>IFERROR(__xludf.DUMMYFUNCTION("""COMPUTED_VALUE"""),"Undefendable")</f>
        <v>Undefendable</v>
      </c>
      <c r="M1" s="14" t="str">
        <f>IFERROR(__xludf.DUMMYFUNCTION("""COMPUTED_VALUE"""),"Bypass Resist/Immune")</f>
        <v>Bypass Resist/Immune</v>
      </c>
      <c r="N1" s="1" t="str">
        <f>IFERROR(__xludf.DUMMYFUNCTION("""COMPUTED_VALUE"""),"SpellWorldOrigin")</f>
        <v>SpellWorldOrigin</v>
      </c>
      <c r="O1" s="1"/>
      <c r="P1" s="1"/>
      <c r="Q1" s="1"/>
      <c r="R1" s="1"/>
      <c r="S1" s="1"/>
      <c r="T1" s="1"/>
      <c r="U1" s="1"/>
      <c r="V1" s="1"/>
      <c r="W1" s="1"/>
      <c r="X1" s="1"/>
      <c r="Y1" s="1"/>
      <c r="Z1" s="1"/>
    </row>
    <row r="2" ht="15.75" customHeight="1">
      <c r="A2" s="16" t="str">
        <f>IFERROR(__xludf.DUMMYFUNCTION("""COMPUTED_VALUE"""),"Acoustic Slam")</f>
        <v>Acoustic Slam</v>
      </c>
      <c r="B2" s="17">
        <f>IFERROR(__xludf.DUMMYFUNCTION("""COMPUTED_VALUE"""),1.0)</f>
        <v>1</v>
      </c>
      <c r="C2" s="16">
        <f>IFERROR(__xludf.DUMMYFUNCTION("""COMPUTED_VALUE"""),0.0)</f>
        <v>0</v>
      </c>
      <c r="D2" s="16"/>
      <c r="E2" s="16" t="str">
        <f>IFERROR(__xludf.DUMMYFUNCTION("""COMPUTED_VALUE"""),"Deals X*Charisma Acoustic Damage Where X equals the users Accuracy")</f>
        <v>Deals X*Charisma Acoustic Damage Where X equals the users Accuracy</v>
      </c>
      <c r="F2" s="16" t="str">
        <f>IFERROR(__xludf.DUMMYFUNCTION("""COMPUTED_VALUE"""),"Natural/Fail or Succeed")</f>
        <v>Natural/Fail or Succeed</v>
      </c>
      <c r="G2" s="18">
        <f>IFERROR(__xludf.DUMMYFUNCTION("""COMPUTED_VALUE"""),1.0)</f>
        <v>1</v>
      </c>
      <c r="H2" s="19" t="str">
        <f>IFERROR(__xludf.DUMMYFUNCTION("""COMPUTED_VALUE"""),"Acoustic")</f>
        <v>Acoustic</v>
      </c>
      <c r="I2" s="20" t="str">
        <f>IFERROR(__xludf.DUMMYFUNCTION("""COMPUTED_VALUE"""),"Player")</f>
        <v>Player</v>
      </c>
      <c r="J2" s="21" t="b">
        <f>IFERROR(__xludf.DUMMYFUNCTION("""COMPUTED_VALUE"""),FALSE)</f>
        <v>0</v>
      </c>
      <c r="K2" s="21"/>
      <c r="L2" s="21" t="b">
        <f>IFERROR(__xludf.DUMMYFUNCTION("""COMPUTED_VALUE"""),TRUE)</f>
        <v>1</v>
      </c>
      <c r="M2" s="21" t="b">
        <f>IFERROR(__xludf.DUMMYFUNCTION("""COMPUTED_VALUE"""),FALSE)</f>
        <v>0</v>
      </c>
      <c r="N2" s="1"/>
      <c r="O2" s="1"/>
      <c r="P2" s="1"/>
      <c r="Q2" s="1"/>
      <c r="R2" s="1"/>
      <c r="S2" s="1"/>
      <c r="T2" s="1"/>
      <c r="U2" s="1"/>
      <c r="V2" s="1"/>
      <c r="W2" s="1"/>
      <c r="X2" s="1"/>
      <c r="Y2" s="1"/>
      <c r="Z2" s="1"/>
    </row>
    <row r="3" ht="15.75" customHeight="1">
      <c r="A3" s="16" t="str">
        <f>IFERROR(__xludf.DUMMYFUNCTION("""COMPUTED_VALUE"""),"Amplify")</f>
        <v>Amplify</v>
      </c>
      <c r="B3" s="17">
        <f>IFERROR(__xludf.DUMMYFUNCTION("""COMPUTED_VALUE"""),1.0)</f>
        <v>1</v>
      </c>
      <c r="C3" s="16">
        <f>IFERROR(__xludf.DUMMYFUNCTION("""COMPUTED_VALUE"""),0.0)</f>
        <v>0</v>
      </c>
      <c r="D3" s="16"/>
      <c r="E3" s="16"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16" t="str">
        <f>IFERROR(__xludf.DUMMYFUNCTION("""COMPUTED_VALUE"""),"Natural/Will Succeed")</f>
        <v>Natural/Will Succeed</v>
      </c>
      <c r="G3" s="18" t="str">
        <f>IFERROR(__xludf.DUMMYFUNCTION("""COMPUTED_VALUE"""),"Self")</f>
        <v>Self</v>
      </c>
      <c r="H3" s="19" t="str">
        <f>IFERROR(__xludf.DUMMYFUNCTION("""COMPUTED_VALUE"""),"Acoustic")</f>
        <v>Acoustic</v>
      </c>
      <c r="I3" s="20" t="str">
        <f>IFERROR(__xludf.DUMMYFUNCTION("""COMPUTED_VALUE"""),"Player")</f>
        <v>Player</v>
      </c>
      <c r="J3" s="21" t="b">
        <f>IFERROR(__xludf.DUMMYFUNCTION("""COMPUTED_VALUE"""),FALSE)</f>
        <v>0</v>
      </c>
      <c r="K3" s="21"/>
      <c r="L3" s="21" t="b">
        <f>IFERROR(__xludf.DUMMYFUNCTION("""COMPUTED_VALUE"""),TRUE)</f>
        <v>1</v>
      </c>
      <c r="M3" s="21" t="b">
        <f>IFERROR(__xludf.DUMMYFUNCTION("""COMPUTED_VALUE"""),FALSE)</f>
        <v>0</v>
      </c>
      <c r="N3" s="1"/>
      <c r="O3" s="1"/>
      <c r="P3" s="1"/>
      <c r="Q3" s="1"/>
      <c r="R3" s="1"/>
      <c r="S3" s="1"/>
      <c r="T3" s="1"/>
      <c r="U3" s="1"/>
      <c r="V3" s="1"/>
      <c r="W3" s="1"/>
      <c r="X3" s="1"/>
      <c r="Y3" s="1"/>
      <c r="Z3" s="1"/>
    </row>
    <row r="4" ht="15.75" customHeight="1">
      <c r="A4" s="16" t="str">
        <f>IFERROR(__xludf.DUMMYFUNCTION("""COMPUTED_VALUE"""),"Chant of Discomfort")</f>
        <v>Chant of Discomfort</v>
      </c>
      <c r="B4" s="17">
        <f>IFERROR(__xludf.DUMMYFUNCTION("""COMPUTED_VALUE"""),1.0)</f>
        <v>1</v>
      </c>
      <c r="C4" s="16">
        <f>IFERROR(__xludf.DUMMYFUNCTION("""COMPUTED_VALUE"""),0.0)</f>
        <v>0</v>
      </c>
      <c r="D4" s="16"/>
      <c r="E4" s="16" t="str">
        <f>IFERROR(__xludf.DUMMYFUNCTION("""COMPUTED_VALUE"""),"20,000 Acoustic damage to all enemies.")</f>
        <v>20,000 Acoustic damage to all enemies.</v>
      </c>
      <c r="F4" s="16" t="str">
        <f>IFERROR(__xludf.DUMMYFUNCTION("""COMPUTED_VALUE"""),"Natural/Cannot Avoid")</f>
        <v>Natural/Cannot Avoid</v>
      </c>
      <c r="G4" s="18" t="str">
        <f>IFERROR(__xludf.DUMMYFUNCTION("""COMPUTED_VALUE"""),"All")</f>
        <v>All</v>
      </c>
      <c r="H4" s="19" t="str">
        <f>IFERROR(__xludf.DUMMYFUNCTION("""COMPUTED_VALUE"""),"Acoustic")</f>
        <v>Acoustic</v>
      </c>
      <c r="I4" s="20" t="str">
        <f>IFERROR(__xludf.DUMMYFUNCTION("""COMPUTED_VALUE"""),"Player")</f>
        <v>Player</v>
      </c>
      <c r="J4" s="21" t="b">
        <f>IFERROR(__xludf.DUMMYFUNCTION("""COMPUTED_VALUE"""),FALSE)</f>
        <v>0</v>
      </c>
      <c r="K4" s="21"/>
      <c r="L4" s="21" t="b">
        <f>IFERROR(__xludf.DUMMYFUNCTION("""COMPUTED_VALUE"""),TRUE)</f>
        <v>1</v>
      </c>
      <c r="M4" s="21" t="b">
        <f>IFERROR(__xludf.DUMMYFUNCTION("""COMPUTED_VALUE"""),FALSE)</f>
        <v>0</v>
      </c>
      <c r="N4" s="1"/>
      <c r="O4" s="1"/>
      <c r="P4" s="1"/>
      <c r="Q4" s="1"/>
      <c r="R4" s="1"/>
      <c r="S4" s="1"/>
      <c r="T4" s="1"/>
      <c r="U4" s="1"/>
      <c r="V4" s="1"/>
      <c r="W4" s="1"/>
      <c r="X4" s="1"/>
      <c r="Y4" s="1"/>
      <c r="Z4" s="1"/>
    </row>
    <row r="5" ht="15.75" customHeight="1">
      <c r="A5" s="16" t="str">
        <f>IFERROR(__xludf.DUMMYFUNCTION("""COMPUTED_VALUE"""),"Chanting Destruction")</f>
        <v>Chanting Destruction</v>
      </c>
      <c r="B5" s="17">
        <f>IFERROR(__xludf.DUMMYFUNCTION("""COMPUTED_VALUE"""),1.0)</f>
        <v>1</v>
      </c>
      <c r="C5" s="16">
        <f>IFERROR(__xludf.DUMMYFUNCTION("""COMPUTED_VALUE"""),0.0)</f>
        <v>0</v>
      </c>
      <c r="D5" s="16"/>
      <c r="E5" s="16" t="str">
        <f>IFERROR(__xludf.DUMMYFUNCTION("""COMPUTED_VALUE"""),"50,000 Acoustic, Fire, Dark, Chaos, and Celestial Damage to all enemies.")</f>
        <v>50,000 Acoustic, Fire, Dark, Chaos, and Celestial Damage to all enemies.</v>
      </c>
      <c r="F5" s="16" t="str">
        <f>IFERROR(__xludf.DUMMYFUNCTION("""COMPUTED_VALUE"""),"Natural/Cannot Avoid")</f>
        <v>Natural/Cannot Avoid</v>
      </c>
      <c r="G5" s="18" t="str">
        <f>IFERROR(__xludf.DUMMYFUNCTION("""COMPUTED_VALUE"""),"All")</f>
        <v>All</v>
      </c>
      <c r="H5" s="19" t="str">
        <f>IFERROR(__xludf.DUMMYFUNCTION("""COMPUTED_VALUE"""),"Acoustic")</f>
        <v>Acoustic</v>
      </c>
      <c r="I5" s="20" t="str">
        <f>IFERROR(__xludf.DUMMYFUNCTION("""COMPUTED_VALUE"""),"Mob")</f>
        <v>Mob</v>
      </c>
      <c r="J5" s="21" t="b">
        <f>IFERROR(__xludf.DUMMYFUNCTION("""COMPUTED_VALUE"""),TRUE)</f>
        <v>1</v>
      </c>
      <c r="K5" s="21"/>
      <c r="L5" s="21" t="b">
        <f>IFERROR(__xludf.DUMMYFUNCTION("""COMPUTED_VALUE"""),TRUE)</f>
        <v>1</v>
      </c>
      <c r="M5" s="21" t="b">
        <f>IFERROR(__xludf.DUMMYFUNCTION("""COMPUTED_VALUE"""),FALSE)</f>
        <v>0</v>
      </c>
      <c r="N5" s="1"/>
      <c r="O5" s="1"/>
      <c r="P5" s="1"/>
      <c r="Q5" s="1"/>
      <c r="R5" s="1"/>
      <c r="S5" s="1"/>
      <c r="T5" s="1"/>
      <c r="U5" s="1"/>
      <c r="V5" s="1"/>
      <c r="W5" s="1"/>
      <c r="X5" s="1"/>
      <c r="Y5" s="1"/>
      <c r="Z5" s="1"/>
    </row>
    <row r="6" ht="15.75" customHeight="1">
      <c r="A6" s="16" t="str">
        <f>IFERROR(__xludf.DUMMYFUNCTION("""COMPUTED_VALUE"""),"Choir of 1000 Voices")</f>
        <v>Choir of 1000 Voices</v>
      </c>
      <c r="B6" s="17">
        <f>IFERROR(__xludf.DUMMYFUNCTION("""COMPUTED_VALUE"""),1.0)</f>
        <v>1</v>
      </c>
      <c r="C6" s="16">
        <f>IFERROR(__xludf.DUMMYFUNCTION("""COMPUTED_VALUE"""),0.0)</f>
        <v>0</v>
      </c>
      <c r="D6" s="16"/>
      <c r="E6" s="16" t="str">
        <f>IFERROR(__xludf.DUMMYFUNCTION("""COMPUTED_VALUE"""),"10,000 Acoustic, Light, and Order damage to all enemies.")</f>
        <v>10,000 Acoustic, Light, and Order damage to all enemies.</v>
      </c>
      <c r="F6" s="16" t="str">
        <f>IFERROR(__xludf.DUMMYFUNCTION("""COMPUTED_VALUE"""),"Natural/Cannot Avoid")</f>
        <v>Natural/Cannot Avoid</v>
      </c>
      <c r="G6" s="18" t="str">
        <f>IFERROR(__xludf.DUMMYFUNCTION("""COMPUTED_VALUE"""),"All")</f>
        <v>All</v>
      </c>
      <c r="H6" s="19" t="str">
        <f>IFERROR(__xludf.DUMMYFUNCTION("""COMPUTED_VALUE"""),"Acoustic")</f>
        <v>Acoustic</v>
      </c>
      <c r="I6" s="20" t="str">
        <f>IFERROR(__xludf.DUMMYFUNCTION("""COMPUTED_VALUE"""),"Player")</f>
        <v>Player</v>
      </c>
      <c r="J6" s="21" t="b">
        <f>IFERROR(__xludf.DUMMYFUNCTION("""COMPUTED_VALUE"""),FALSE)</f>
        <v>0</v>
      </c>
      <c r="K6" s="21"/>
      <c r="L6" s="21" t="b">
        <f>IFERROR(__xludf.DUMMYFUNCTION("""COMPUTED_VALUE"""),TRUE)</f>
        <v>1</v>
      </c>
      <c r="M6" s="21" t="b">
        <f>IFERROR(__xludf.DUMMYFUNCTION("""COMPUTED_VALUE"""),FALSE)</f>
        <v>0</v>
      </c>
      <c r="N6" s="1"/>
      <c r="O6" s="1"/>
      <c r="P6" s="1"/>
      <c r="Q6" s="1"/>
      <c r="R6" s="1"/>
      <c r="S6" s="1"/>
      <c r="T6" s="1"/>
      <c r="U6" s="1"/>
      <c r="V6" s="1"/>
      <c r="W6" s="1"/>
      <c r="X6" s="1"/>
      <c r="Y6" s="1"/>
      <c r="Z6" s="1"/>
    </row>
    <row r="7" ht="15.75" customHeight="1">
      <c r="A7" s="16" t="str">
        <f>IFERROR(__xludf.DUMMYFUNCTION("""COMPUTED_VALUE"""),"Dreadful's Choir")</f>
        <v>Dreadful's Choir</v>
      </c>
      <c r="B7" s="17">
        <f>IFERROR(__xludf.DUMMYFUNCTION("""COMPUTED_VALUE"""),1.0)</f>
        <v>1</v>
      </c>
      <c r="C7" s="16">
        <f>IFERROR(__xludf.DUMMYFUNCTION("""COMPUTED_VALUE"""),0.0)</f>
        <v>0</v>
      </c>
      <c r="D7" s="16"/>
      <c r="E7" s="16" t="str">
        <f>IFERROR(__xludf.DUMMYFUNCTION("""COMPUTED_VALUE"""),"20,000 Acoustic, Dark, Fire, and Chaos Damage to all enemies. 25% chance nearby guards will engage you in battle.")</f>
        <v>20,000 Acoustic, Dark, Fire, and Chaos Damage to all enemies. 25% chance nearby guards will engage you in battle.</v>
      </c>
      <c r="F7" s="16" t="str">
        <f>IFERROR(__xludf.DUMMYFUNCTION("""COMPUTED_VALUE"""),"Natural/Cannot Avoid")</f>
        <v>Natural/Cannot Avoid</v>
      </c>
      <c r="G7" s="18" t="str">
        <f>IFERROR(__xludf.DUMMYFUNCTION("""COMPUTED_VALUE"""),"All")</f>
        <v>All</v>
      </c>
      <c r="H7" s="19" t="str">
        <f>IFERROR(__xludf.DUMMYFUNCTION("""COMPUTED_VALUE"""),"Acoustic")</f>
        <v>Acoustic</v>
      </c>
      <c r="I7" s="20" t="str">
        <f>IFERROR(__xludf.DUMMYFUNCTION("""COMPUTED_VALUE"""),"Player")</f>
        <v>Player</v>
      </c>
      <c r="J7" s="21" t="b">
        <f>IFERROR(__xludf.DUMMYFUNCTION("""COMPUTED_VALUE"""),FALSE)</f>
        <v>0</v>
      </c>
      <c r="K7" s="21"/>
      <c r="L7" s="21" t="b">
        <f>IFERROR(__xludf.DUMMYFUNCTION("""COMPUTED_VALUE"""),TRUE)</f>
        <v>1</v>
      </c>
      <c r="M7" s="21" t="b">
        <f>IFERROR(__xludf.DUMMYFUNCTION("""COMPUTED_VALUE"""),FALSE)</f>
        <v>0</v>
      </c>
      <c r="N7" s="1"/>
      <c r="O7" s="1"/>
      <c r="P7" s="1"/>
      <c r="Q7" s="1"/>
      <c r="R7" s="1"/>
      <c r="S7" s="1"/>
      <c r="T7" s="1"/>
      <c r="U7" s="1"/>
      <c r="V7" s="1"/>
      <c r="W7" s="1"/>
      <c r="X7" s="1"/>
      <c r="Y7" s="1"/>
      <c r="Z7" s="1"/>
    </row>
    <row r="8" ht="15.75" customHeight="1">
      <c r="A8" s="16" t="str">
        <f>IFERROR(__xludf.DUMMYFUNCTION("""COMPUTED_VALUE"""),"Healing Melody")</f>
        <v>Healing Melody</v>
      </c>
      <c r="B8" s="17">
        <f>IFERROR(__xludf.DUMMYFUNCTION("""COMPUTED_VALUE"""),1.0)</f>
        <v>1</v>
      </c>
      <c r="C8" s="16">
        <f>IFERROR(__xludf.DUMMYFUNCTION("""COMPUTED_VALUE"""),0.0)</f>
        <v>0</v>
      </c>
      <c r="D8" s="16"/>
      <c r="E8" s="16" t="str">
        <f>IFERROR(__xludf.DUMMYFUNCTION("""COMPUTED_VALUE"""),"Restores 300 HP and SP to a target of choosing.")</f>
        <v>Restores 300 HP and SP to a target of choosing.</v>
      </c>
      <c r="F8" s="16" t="str">
        <f>IFERROR(__xludf.DUMMYFUNCTION("""COMPUTED_VALUE"""),"Natural/Will Succeed")</f>
        <v>Natural/Will Succeed</v>
      </c>
      <c r="G8" s="18">
        <f>IFERROR(__xludf.DUMMYFUNCTION("""COMPUTED_VALUE"""),1.0)</f>
        <v>1</v>
      </c>
      <c r="H8" s="19" t="str">
        <f>IFERROR(__xludf.DUMMYFUNCTION("""COMPUTED_VALUE"""),"Acoustic")</f>
        <v>Acoustic</v>
      </c>
      <c r="I8" s="20" t="str">
        <f>IFERROR(__xludf.DUMMYFUNCTION("""COMPUTED_VALUE"""),"Player")</f>
        <v>Player</v>
      </c>
      <c r="J8" s="21" t="b">
        <f>IFERROR(__xludf.DUMMYFUNCTION("""COMPUTED_VALUE"""),FALSE)</f>
        <v>0</v>
      </c>
      <c r="K8" s="21"/>
      <c r="L8" s="21" t="b">
        <f>IFERROR(__xludf.DUMMYFUNCTION("""COMPUTED_VALUE"""),TRUE)</f>
        <v>1</v>
      </c>
      <c r="M8" s="21" t="b">
        <f>IFERROR(__xludf.DUMMYFUNCTION("""COMPUTED_VALUE"""),FALSE)</f>
        <v>0</v>
      </c>
      <c r="N8" s="1"/>
      <c r="O8" s="1"/>
      <c r="P8" s="1"/>
      <c r="Q8" s="1"/>
      <c r="R8" s="1"/>
      <c r="S8" s="1"/>
      <c r="T8" s="1"/>
      <c r="U8" s="1"/>
      <c r="V8" s="1"/>
      <c r="W8" s="1"/>
      <c r="X8" s="1"/>
      <c r="Y8" s="1"/>
      <c r="Z8" s="1"/>
    </row>
    <row r="9" ht="15.75" customHeight="1">
      <c r="A9" s="16" t="str">
        <f>IFERROR(__xludf.DUMMYFUNCTION("""COMPUTED_VALUE"""),"Intimidating Song")</f>
        <v>Intimidating Song</v>
      </c>
      <c r="B9" s="17">
        <f>IFERROR(__xludf.DUMMYFUNCTION("""COMPUTED_VALUE"""),1.0)</f>
        <v>1</v>
      </c>
      <c r="C9" s="16">
        <f>IFERROR(__xludf.DUMMYFUNCTION("""COMPUTED_VALUE"""),0.0)</f>
        <v>0</v>
      </c>
      <c r="D9" s="16"/>
      <c r="E9" s="16" t="str">
        <f>IFERROR(__xludf.DUMMYFUNCTION("""COMPUTED_VALUE"""),"+10 Intimidation for 3 rounds.")</f>
        <v>+10 Intimidation for 3 rounds.</v>
      </c>
      <c r="F9" s="16" t="str">
        <f>IFERROR(__xludf.DUMMYFUNCTION("""COMPUTED_VALUE"""),"Natural/Fail or Succeed")</f>
        <v>Natural/Fail or Succeed</v>
      </c>
      <c r="G9" s="18" t="str">
        <f>IFERROR(__xludf.DUMMYFUNCTION("""COMPUTED_VALUE"""),"Self")</f>
        <v>Self</v>
      </c>
      <c r="H9" s="19" t="str">
        <f>IFERROR(__xludf.DUMMYFUNCTION("""COMPUTED_VALUE"""),"Acoustic")</f>
        <v>Acoustic</v>
      </c>
      <c r="I9" s="20" t="str">
        <f>IFERROR(__xludf.DUMMYFUNCTION("""COMPUTED_VALUE"""),"Player")</f>
        <v>Player</v>
      </c>
      <c r="J9" s="21" t="b">
        <f>IFERROR(__xludf.DUMMYFUNCTION("""COMPUTED_VALUE"""),FALSE)</f>
        <v>0</v>
      </c>
      <c r="K9" s="21"/>
      <c r="L9" s="21" t="b">
        <f>IFERROR(__xludf.DUMMYFUNCTION("""COMPUTED_VALUE"""),TRUE)</f>
        <v>1</v>
      </c>
      <c r="M9" s="21" t="b">
        <f>IFERROR(__xludf.DUMMYFUNCTION("""COMPUTED_VALUE"""),FALSE)</f>
        <v>0</v>
      </c>
      <c r="N9" s="1"/>
      <c r="O9" s="1"/>
      <c r="P9" s="1"/>
      <c r="Q9" s="1"/>
      <c r="R9" s="1"/>
      <c r="S9" s="1"/>
      <c r="T9" s="1"/>
      <c r="U9" s="1"/>
      <c r="V9" s="1"/>
      <c r="W9" s="1"/>
      <c r="X9" s="1"/>
      <c r="Y9" s="1"/>
      <c r="Z9" s="1"/>
    </row>
    <row r="10" ht="15.75" customHeight="1">
      <c r="A10" s="16" t="str">
        <f>IFERROR(__xludf.DUMMYFUNCTION("""COMPUTED_VALUE"""),"Melodic Push")</f>
        <v>Melodic Push</v>
      </c>
      <c r="B10" s="17">
        <f>IFERROR(__xludf.DUMMYFUNCTION("""COMPUTED_VALUE"""),1.0)</f>
        <v>1</v>
      </c>
      <c r="C10" s="16">
        <f>IFERROR(__xludf.DUMMYFUNCTION("""COMPUTED_VALUE"""),0.0)</f>
        <v>0</v>
      </c>
      <c r="D10" s="16"/>
      <c r="E10" s="16" t="str">
        <f>IFERROR(__xludf.DUMMYFUNCTION("""COMPUTED_VALUE"""),"10,000 Acoustic damage.")</f>
        <v>10,000 Acoustic damage.</v>
      </c>
      <c r="F10" s="16" t="str">
        <f>IFERROR(__xludf.DUMMYFUNCTION("""COMPUTED_VALUE"""),"Natural/Fail or Succeed")</f>
        <v>Natural/Fail or Succeed</v>
      </c>
      <c r="G10" s="18">
        <f>IFERROR(__xludf.DUMMYFUNCTION("""COMPUTED_VALUE"""),1.0)</f>
        <v>1</v>
      </c>
      <c r="H10" s="19" t="str">
        <f>IFERROR(__xludf.DUMMYFUNCTION("""COMPUTED_VALUE"""),"Acoustic")</f>
        <v>Acoustic</v>
      </c>
      <c r="I10" s="20" t="str">
        <f>IFERROR(__xludf.DUMMYFUNCTION("""COMPUTED_VALUE"""),"Player")</f>
        <v>Player</v>
      </c>
      <c r="J10" s="21" t="b">
        <f>IFERROR(__xludf.DUMMYFUNCTION("""COMPUTED_VALUE"""),FALSE)</f>
        <v>0</v>
      </c>
      <c r="K10" s="21"/>
      <c r="L10" s="21" t="b">
        <f>IFERROR(__xludf.DUMMYFUNCTION("""COMPUTED_VALUE"""),TRUE)</f>
        <v>1</v>
      </c>
      <c r="M10" s="21" t="b">
        <f>IFERROR(__xludf.DUMMYFUNCTION("""COMPUTED_VALUE"""),FALSE)</f>
        <v>0</v>
      </c>
      <c r="N10" s="1"/>
      <c r="O10" s="1"/>
      <c r="P10" s="1"/>
      <c r="Q10" s="1"/>
      <c r="R10" s="1"/>
      <c r="S10" s="1"/>
      <c r="T10" s="1"/>
      <c r="U10" s="1"/>
      <c r="V10" s="1"/>
      <c r="W10" s="1"/>
      <c r="X10" s="1"/>
      <c r="Y10" s="1"/>
      <c r="Z10" s="1"/>
    </row>
    <row r="11" ht="15.75" customHeight="1">
      <c r="A11" s="16" t="str">
        <f>IFERROR(__xludf.DUMMYFUNCTION("""COMPUTED_VALUE"""),"Thrash Sesh")</f>
        <v>Thrash Sesh</v>
      </c>
      <c r="B11" s="17">
        <f>IFERROR(__xludf.DUMMYFUNCTION("""COMPUTED_VALUE"""),1.0)</f>
        <v>1</v>
      </c>
      <c r="C11" s="16">
        <f>IFERROR(__xludf.DUMMYFUNCTION("""COMPUTED_VALUE"""),0.0)</f>
        <v>0</v>
      </c>
      <c r="D11" s="16"/>
      <c r="E11" s="16" t="str">
        <f>IFERROR(__xludf.DUMMYFUNCTION("""COMPUTED_VALUE"""),"+5 Evasion and Mobility for 3 rounds.")</f>
        <v>+5 Evasion and Mobility for 3 rounds.</v>
      </c>
      <c r="F11" s="16" t="str">
        <f>IFERROR(__xludf.DUMMYFUNCTION("""COMPUTED_VALUE"""),"Natural/Fail or Succeed")</f>
        <v>Natural/Fail or Succeed</v>
      </c>
      <c r="G11" s="18" t="str">
        <f>IFERROR(__xludf.DUMMYFUNCTION("""COMPUTED_VALUE"""),"Self")</f>
        <v>Self</v>
      </c>
      <c r="H11" s="19" t="str">
        <f>IFERROR(__xludf.DUMMYFUNCTION("""COMPUTED_VALUE"""),"Acoustic")</f>
        <v>Acoustic</v>
      </c>
      <c r="I11" s="20" t="str">
        <f>IFERROR(__xludf.DUMMYFUNCTION("""COMPUTED_VALUE"""),"Player")</f>
        <v>Player</v>
      </c>
      <c r="J11" s="21" t="b">
        <f>IFERROR(__xludf.DUMMYFUNCTION("""COMPUTED_VALUE"""),FALSE)</f>
        <v>0</v>
      </c>
      <c r="K11" s="21"/>
      <c r="L11" s="21" t="b">
        <f>IFERROR(__xludf.DUMMYFUNCTION("""COMPUTED_VALUE"""),TRUE)</f>
        <v>1</v>
      </c>
      <c r="M11" s="21" t="b">
        <f>IFERROR(__xludf.DUMMYFUNCTION("""COMPUTED_VALUE"""),FALSE)</f>
        <v>0</v>
      </c>
      <c r="N11" s="1"/>
      <c r="O11" s="1"/>
      <c r="P11" s="1"/>
      <c r="Q11" s="1"/>
      <c r="R11" s="1"/>
      <c r="S11" s="1"/>
      <c r="T11" s="1"/>
      <c r="U11" s="1"/>
      <c r="V11" s="1"/>
      <c r="W11" s="1"/>
      <c r="X11" s="1"/>
      <c r="Y11" s="1"/>
      <c r="Z11" s="1"/>
    </row>
    <row r="12" ht="15.75" customHeight="1">
      <c r="A12" s="16" t="str">
        <f>IFERROR(__xludf.DUMMYFUNCTION("""COMPUTED_VALUE"""),"Serenading Song")</f>
        <v>Serenading Song</v>
      </c>
      <c r="B12" s="17">
        <f>IFERROR(__xludf.DUMMYFUNCTION("""COMPUTED_VALUE"""),1.0)</f>
        <v>1</v>
      </c>
      <c r="C12" s="16">
        <f>IFERROR(__xludf.DUMMYFUNCTION("""COMPUTED_VALUE"""),0.0)</f>
        <v>0</v>
      </c>
      <c r="D12" s="16"/>
      <c r="E12" s="16" t="str">
        <f>IFERROR(__xludf.DUMMYFUNCTION("""COMPUTED_VALUE"""),"+10 Charisma for 3 rounds")</f>
        <v>+10 Charisma for 3 rounds</v>
      </c>
      <c r="F12" s="16" t="str">
        <f>IFERROR(__xludf.DUMMYFUNCTION("""COMPUTED_VALUE"""),"Natural/Fail or Succeed")</f>
        <v>Natural/Fail or Succeed</v>
      </c>
      <c r="G12" s="18" t="str">
        <f>IFERROR(__xludf.DUMMYFUNCTION("""COMPUTED_VALUE"""),"Self")</f>
        <v>Self</v>
      </c>
      <c r="H12" s="19" t="str">
        <f>IFERROR(__xludf.DUMMYFUNCTION("""COMPUTED_VALUE"""),"Acoustic")</f>
        <v>Acoustic</v>
      </c>
      <c r="I12" s="20" t="str">
        <f>IFERROR(__xludf.DUMMYFUNCTION("""COMPUTED_VALUE"""),"Player")</f>
        <v>Player</v>
      </c>
      <c r="J12" s="21" t="b">
        <f>IFERROR(__xludf.DUMMYFUNCTION("""COMPUTED_VALUE"""),FALSE)</f>
        <v>0</v>
      </c>
      <c r="K12" s="21"/>
      <c r="L12" s="21" t="b">
        <f>IFERROR(__xludf.DUMMYFUNCTION("""COMPUTED_VALUE"""),FALSE)</f>
        <v>0</v>
      </c>
      <c r="M12" s="21" t="b">
        <f>IFERROR(__xludf.DUMMYFUNCTION("""COMPUTED_VALUE"""),FALSE)</f>
        <v>0</v>
      </c>
      <c r="N12" s="1"/>
      <c r="O12" s="1"/>
      <c r="P12" s="1"/>
      <c r="Q12" s="1"/>
      <c r="R12" s="1"/>
      <c r="S12" s="1"/>
      <c r="T12" s="1"/>
      <c r="U12" s="1"/>
      <c r="V12" s="1"/>
      <c r="W12" s="1"/>
      <c r="X12" s="1"/>
      <c r="Y12" s="1"/>
      <c r="Z12" s="1"/>
    </row>
    <row r="13" ht="15.75" customHeight="1">
      <c r="A13" s="16" t="str">
        <f>IFERROR(__xludf.DUMMYFUNCTION("""COMPUTED_VALUE"""),"Astral Beam")</f>
        <v>Astral Beam</v>
      </c>
      <c r="B13" s="17">
        <f>IFERROR(__xludf.DUMMYFUNCTION("""COMPUTED_VALUE"""),2.0)</f>
        <v>2</v>
      </c>
      <c r="C13" s="16" t="str">
        <f>IFERROR(__xludf.DUMMYFUNCTION("""COMPUTED_VALUE"""),"X")</f>
        <v>X</v>
      </c>
      <c r="D13" s="16"/>
      <c r="E13" s="16" t="str">
        <f>IFERROR(__xludf.DUMMYFUNCTION("""COMPUTED_VALUE"""),"X*50 Light damage and X*50 Astral damage to a single target where X is equal to SP.")</f>
        <v>X*50 Light damage and X*50 Astral damage to a single target where X is equal to SP.</v>
      </c>
      <c r="F13" s="16" t="str">
        <f>IFERROR(__xludf.DUMMYFUNCTION("""COMPUTED_VALUE"""),"Hit or Miss")</f>
        <v>Hit or Miss</v>
      </c>
      <c r="G13" s="18">
        <f>IFERROR(__xludf.DUMMYFUNCTION("""COMPUTED_VALUE"""),1.0)</f>
        <v>1</v>
      </c>
      <c r="H13" s="19" t="str">
        <f>IFERROR(__xludf.DUMMYFUNCTION("""COMPUTED_VALUE"""),"Astral")</f>
        <v>Astral</v>
      </c>
      <c r="I13" s="20" t="str">
        <f>IFERROR(__xludf.DUMMYFUNCTION("""COMPUTED_VALUE"""),"Player")</f>
        <v>Player</v>
      </c>
      <c r="J13" s="21" t="b">
        <f>IFERROR(__xludf.DUMMYFUNCTION("""COMPUTED_VALUE"""),FALSE)</f>
        <v>0</v>
      </c>
      <c r="K13" s="21"/>
      <c r="L13" s="21" t="b">
        <f>IFERROR(__xludf.DUMMYFUNCTION("""COMPUTED_VALUE"""),FALSE)</f>
        <v>0</v>
      </c>
      <c r="M13" s="21" t="b">
        <f>IFERROR(__xludf.DUMMYFUNCTION("""COMPUTED_VALUE"""),FALSE)</f>
        <v>0</v>
      </c>
      <c r="N13" s="1"/>
      <c r="O13" s="1"/>
      <c r="P13" s="1"/>
      <c r="Q13" s="1"/>
      <c r="R13" s="1"/>
      <c r="S13" s="1"/>
      <c r="T13" s="1"/>
      <c r="U13" s="1"/>
      <c r="V13" s="1"/>
      <c r="W13" s="1"/>
      <c r="X13" s="1"/>
      <c r="Y13" s="1"/>
      <c r="Z13" s="1"/>
    </row>
    <row r="14" ht="15.75" customHeight="1">
      <c r="A14" s="16" t="str">
        <f>IFERROR(__xludf.DUMMYFUNCTION("""COMPUTED_VALUE"""),"Astral Contact")</f>
        <v>Astral Contact</v>
      </c>
      <c r="B14" s="17">
        <f>IFERROR(__xludf.DUMMYFUNCTION("""COMPUTED_VALUE"""),3.0)</f>
        <v>3</v>
      </c>
      <c r="C14" s="16">
        <f>IFERROR(__xludf.DUMMYFUNCTION("""COMPUTED_VALUE"""),100.0)</f>
        <v>100</v>
      </c>
      <c r="D14" s="16"/>
      <c r="E14" s="16" t="str">
        <f>IFERROR(__xludf.DUMMYFUNCTION("""COMPUTED_VALUE"""),"Increases Astral and Light damage by X2 for caster only.")</f>
        <v>Increases Astral and Light damage by X2 for caster only.</v>
      </c>
      <c r="F14" s="16" t="str">
        <f>IFERROR(__xludf.DUMMYFUNCTION("""COMPUTED_VALUE"""),"Fail/succeed")</f>
        <v>Fail/succeed</v>
      </c>
      <c r="G14" s="18"/>
      <c r="H14" s="19" t="str">
        <f>IFERROR(__xludf.DUMMYFUNCTION("""COMPUTED_VALUE"""),"Astral")</f>
        <v>Astral</v>
      </c>
      <c r="I14" s="20" t="str">
        <f>IFERROR(__xludf.DUMMYFUNCTION("""COMPUTED_VALUE"""),"Player")</f>
        <v>Player</v>
      </c>
      <c r="J14" s="21" t="b">
        <f>IFERROR(__xludf.DUMMYFUNCTION("""COMPUTED_VALUE"""),FALSE)</f>
        <v>0</v>
      </c>
      <c r="K14" s="21"/>
      <c r="L14" s="21" t="b">
        <f>IFERROR(__xludf.DUMMYFUNCTION("""COMPUTED_VALUE"""),FALSE)</f>
        <v>0</v>
      </c>
      <c r="M14" s="21" t="b">
        <f>IFERROR(__xludf.DUMMYFUNCTION("""COMPUTED_VALUE"""),FALSE)</f>
        <v>0</v>
      </c>
      <c r="N14" s="1"/>
      <c r="O14" s="1"/>
      <c r="P14" s="1"/>
      <c r="Q14" s="1"/>
      <c r="R14" s="1"/>
      <c r="S14" s="1"/>
      <c r="T14" s="1"/>
      <c r="U14" s="1"/>
      <c r="V14" s="1"/>
      <c r="W14" s="1"/>
      <c r="X14" s="1"/>
      <c r="Y14" s="1"/>
      <c r="Z14" s="1"/>
    </row>
    <row r="15" ht="15.75" customHeight="1">
      <c r="A15" s="16" t="str">
        <f>IFERROR(__xludf.DUMMYFUNCTION("""COMPUTED_VALUE"""),"Black Hole")</f>
        <v>Black Hole</v>
      </c>
      <c r="B15" s="17">
        <f>IFERROR(__xludf.DUMMYFUNCTION("""COMPUTED_VALUE"""),9.0)</f>
        <v>9</v>
      </c>
      <c r="C15" s="16">
        <f>IFERROR(__xludf.DUMMYFUNCTION("""COMPUTED_VALUE"""),1000.0)</f>
        <v>1000</v>
      </c>
      <c r="D15" s="16"/>
      <c r="E15" s="16" t="str">
        <f>IFERROR(__xludf.DUMMYFUNCTION("""COMPUTED_VALUE"""),"Summon a void that has a 100% chance of instant death to all enemies.")</f>
        <v>Summon a void that has a 100% chance of instant death to all enemies.</v>
      </c>
      <c r="F15" s="16" t="str">
        <f>IFERROR(__xludf.DUMMYFUNCTION("""COMPUTED_VALUE"""),"Cannot be avoided")</f>
        <v>Cannot be avoided</v>
      </c>
      <c r="G15" s="18"/>
      <c r="H15" s="19" t="str">
        <f>IFERROR(__xludf.DUMMYFUNCTION("""COMPUTED_VALUE"""),"Astral")</f>
        <v>Astral</v>
      </c>
      <c r="I15" s="20" t="str">
        <f>IFERROR(__xludf.DUMMYFUNCTION("""COMPUTED_VALUE"""),"Player")</f>
        <v>Player</v>
      </c>
      <c r="J15" s="21" t="b">
        <f>IFERROR(__xludf.DUMMYFUNCTION("""COMPUTED_VALUE"""),FALSE)</f>
        <v>0</v>
      </c>
      <c r="K15" s="21"/>
      <c r="L15" s="21" t="b">
        <f>IFERROR(__xludf.DUMMYFUNCTION("""COMPUTED_VALUE"""),FALSE)</f>
        <v>0</v>
      </c>
      <c r="M15" s="21" t="b">
        <f>IFERROR(__xludf.DUMMYFUNCTION("""COMPUTED_VALUE"""),FALSE)</f>
        <v>0</v>
      </c>
      <c r="N15" s="1"/>
      <c r="O15" s="1"/>
      <c r="P15" s="1"/>
      <c r="Q15" s="1"/>
      <c r="R15" s="1"/>
      <c r="S15" s="1"/>
      <c r="T15" s="1"/>
      <c r="U15" s="1"/>
      <c r="V15" s="1"/>
      <c r="W15" s="1"/>
      <c r="X15" s="1"/>
      <c r="Y15" s="1"/>
      <c r="Z15" s="1"/>
    </row>
    <row r="16" ht="15.75" customHeight="1">
      <c r="A16" s="16" t="str">
        <f>IFERROR(__xludf.DUMMYFUNCTION("""COMPUTED_VALUE"""),"Comet Shower")</f>
        <v>Comet Shower</v>
      </c>
      <c r="B16" s="17">
        <f>IFERROR(__xludf.DUMMYFUNCTION("""COMPUTED_VALUE"""),9.0)</f>
        <v>9</v>
      </c>
      <c r="C16" s="16" t="str">
        <f>IFERROR(__xludf.DUMMYFUNCTION("""COMPUTED_VALUE"""),"X")</f>
        <v>X</v>
      </c>
      <c r="D16" s="16"/>
      <c r="E16" s="16" t="str">
        <f>IFERROR(__xludf.DUMMYFUNCTION("""COMPUTED_VALUE"""),"X*15 Astral and X*15 Light damage to all enemies where X is equal to SP.")</f>
        <v>X*15 Astral and X*15 Light damage to all enemies where X is equal to SP.</v>
      </c>
      <c r="F16" s="16" t="str">
        <f>IFERROR(__xludf.DUMMYFUNCTION("""COMPUTED_VALUE"""),"Cannot be avoided")</f>
        <v>Cannot be avoided</v>
      </c>
      <c r="G16" s="18"/>
      <c r="H16" s="19" t="str">
        <f>IFERROR(__xludf.DUMMYFUNCTION("""COMPUTED_VALUE"""),"Astral")</f>
        <v>Astral</v>
      </c>
      <c r="I16" s="20" t="str">
        <f>IFERROR(__xludf.DUMMYFUNCTION("""COMPUTED_VALUE"""),"Player")</f>
        <v>Player</v>
      </c>
      <c r="J16" s="21" t="b">
        <f>IFERROR(__xludf.DUMMYFUNCTION("""COMPUTED_VALUE"""),FALSE)</f>
        <v>0</v>
      </c>
      <c r="K16" s="21"/>
      <c r="L16" s="21" t="b">
        <f>IFERROR(__xludf.DUMMYFUNCTION("""COMPUTED_VALUE"""),FALSE)</f>
        <v>0</v>
      </c>
      <c r="M16" s="21" t="b">
        <f>IFERROR(__xludf.DUMMYFUNCTION("""COMPUTED_VALUE"""),FALSE)</f>
        <v>0</v>
      </c>
      <c r="N16" s="1"/>
      <c r="O16" s="1"/>
      <c r="P16" s="1"/>
      <c r="Q16" s="1"/>
      <c r="R16" s="1"/>
      <c r="S16" s="1"/>
      <c r="T16" s="1"/>
      <c r="U16" s="1"/>
      <c r="V16" s="1"/>
      <c r="W16" s="1"/>
      <c r="X16" s="1"/>
      <c r="Y16" s="1"/>
      <c r="Z16" s="1"/>
    </row>
    <row r="17" ht="15.75" customHeight="1">
      <c r="A17" s="16" t="str">
        <f>IFERROR(__xludf.DUMMYFUNCTION("""COMPUTED_VALUE"""),"Constellation Strike")</f>
        <v>Constellation Strike</v>
      </c>
      <c r="B17" s="17">
        <f>IFERROR(__xludf.DUMMYFUNCTION("""COMPUTED_VALUE"""),5.0)</f>
        <v>5</v>
      </c>
      <c r="C17" s="16">
        <f>IFERROR(__xludf.DUMMYFUNCTION("""COMPUTED_VALUE"""),1100.0)</f>
        <v>1100</v>
      </c>
      <c r="D17" s="16"/>
      <c r="E17" s="16" t="str">
        <f>IFERROR(__xludf.DUMMYFUNCTION("""COMPUTED_VALUE"""),"25000 Astral dmg + 25000 light dmg, increases Astral damage by X2 for caster only.")</f>
        <v>25000 Astral dmg + 25000 light dmg, increases Astral damage by X2 for caster only.</v>
      </c>
      <c r="F17" s="16" t="str">
        <f>IFERROR(__xludf.DUMMYFUNCTION("""COMPUTED_VALUE"""),"Hit or Miss")</f>
        <v>Hit or Miss</v>
      </c>
      <c r="G17" s="18">
        <f>IFERROR(__xludf.DUMMYFUNCTION("""COMPUTED_VALUE"""),1.0)</f>
        <v>1</v>
      </c>
      <c r="H17" s="19" t="str">
        <f>IFERROR(__xludf.DUMMYFUNCTION("""COMPUTED_VALUE"""),"Astral")</f>
        <v>Astral</v>
      </c>
      <c r="I17" s="20" t="str">
        <f>IFERROR(__xludf.DUMMYFUNCTION("""COMPUTED_VALUE"""),"Player")</f>
        <v>Player</v>
      </c>
      <c r="J17" s="21" t="b">
        <f>IFERROR(__xludf.DUMMYFUNCTION("""COMPUTED_VALUE"""),FALSE)</f>
        <v>0</v>
      </c>
      <c r="K17" s="21"/>
      <c r="L17" s="21" t="b">
        <f>IFERROR(__xludf.DUMMYFUNCTION("""COMPUTED_VALUE"""),FALSE)</f>
        <v>0</v>
      </c>
      <c r="M17" s="21" t="b">
        <f>IFERROR(__xludf.DUMMYFUNCTION("""COMPUTED_VALUE"""),FALSE)</f>
        <v>0</v>
      </c>
      <c r="N17" s="1"/>
      <c r="O17" s="1"/>
      <c r="P17" s="1"/>
      <c r="Q17" s="1"/>
      <c r="R17" s="1"/>
      <c r="S17" s="1"/>
      <c r="T17" s="1"/>
      <c r="U17" s="1"/>
      <c r="V17" s="1"/>
      <c r="W17" s="1"/>
      <c r="X17" s="1"/>
      <c r="Y17" s="1"/>
      <c r="Z17" s="1"/>
    </row>
    <row r="18" ht="15.75" customHeight="1">
      <c r="A18" s="16" t="str">
        <f>IFERROR(__xludf.DUMMYFUNCTION("""COMPUTED_VALUE"""),"Lunar Ward")</f>
        <v>Lunar Ward</v>
      </c>
      <c r="B18" s="17">
        <f>IFERROR(__xludf.DUMMYFUNCTION("""COMPUTED_VALUE"""),1.0)</f>
        <v>1</v>
      </c>
      <c r="C18" s="16">
        <f>IFERROR(__xludf.DUMMYFUNCTION("""COMPUTED_VALUE"""),0.0)</f>
        <v>0</v>
      </c>
      <c r="D18" s="16"/>
      <c r="E18" s="16"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16" t="str">
        <f>IFERROR(__xludf.DUMMYFUNCTION("""COMPUTED_VALUE"""),"Natural/Fail or Succeed")</f>
        <v>Natural/Fail or Succeed</v>
      </c>
      <c r="G18" s="18" t="str">
        <f>IFERROR(__xludf.DUMMYFUNCTION("""COMPUTED_VALUE"""),"Self")</f>
        <v>Self</v>
      </c>
      <c r="H18" s="19" t="str">
        <f>IFERROR(__xludf.DUMMYFUNCTION("""COMPUTED_VALUE"""),"Astral")</f>
        <v>Astral</v>
      </c>
      <c r="I18" s="20" t="str">
        <f>IFERROR(__xludf.DUMMYFUNCTION("""COMPUTED_VALUE"""),"Mob")</f>
        <v>Mob</v>
      </c>
      <c r="J18" s="21" t="b">
        <f>IFERROR(__xludf.DUMMYFUNCTION("""COMPUTED_VALUE"""),TRUE)</f>
        <v>1</v>
      </c>
      <c r="K18" s="21"/>
      <c r="L18" s="21" t="b">
        <f>IFERROR(__xludf.DUMMYFUNCTION("""COMPUTED_VALUE"""),FALSE)</f>
        <v>0</v>
      </c>
      <c r="M18" s="21" t="b">
        <f>IFERROR(__xludf.DUMMYFUNCTION("""COMPUTED_VALUE"""),FALSE)</f>
        <v>0</v>
      </c>
      <c r="N18" s="1"/>
      <c r="O18" s="1"/>
      <c r="P18" s="1"/>
      <c r="Q18" s="1"/>
      <c r="R18" s="1"/>
      <c r="S18" s="1"/>
      <c r="T18" s="1"/>
      <c r="U18" s="1"/>
      <c r="V18" s="1"/>
      <c r="W18" s="1"/>
      <c r="X18" s="1"/>
      <c r="Y18" s="1"/>
      <c r="Z18" s="1"/>
    </row>
    <row r="19" ht="15.75" customHeight="1">
      <c r="A19" s="16" t="str">
        <f>IFERROR(__xludf.DUMMYFUNCTION("""COMPUTED_VALUE"""),"Planetary Meteor Storm")</f>
        <v>Planetary Meteor Storm</v>
      </c>
      <c r="B19" s="17">
        <f>IFERROR(__xludf.DUMMYFUNCTION("""COMPUTED_VALUE"""),9.0)</f>
        <v>9</v>
      </c>
      <c r="C19" s="16" t="str">
        <f>IFERROR(__xludf.DUMMYFUNCTION("""COMPUTED_VALUE"""),"X")</f>
        <v>X</v>
      </c>
      <c r="D19" s="16"/>
      <c r="E19" s="16" t="str">
        <f>IFERROR(__xludf.DUMMYFUNCTION("""COMPUTED_VALUE"""),"X*15 Astral damage and X*15 Light damage to all enemies.")</f>
        <v>X*15 Astral damage and X*15 Light damage to all enemies.</v>
      </c>
      <c r="F19" s="16" t="str">
        <f>IFERROR(__xludf.DUMMYFUNCTION("""COMPUTED_VALUE"""),"Cannot be avoided")</f>
        <v>Cannot be avoided</v>
      </c>
      <c r="G19" s="18"/>
      <c r="H19" s="19" t="str">
        <f>IFERROR(__xludf.DUMMYFUNCTION("""COMPUTED_VALUE"""),"Astral")</f>
        <v>Astral</v>
      </c>
      <c r="I19" s="20" t="str">
        <f>IFERROR(__xludf.DUMMYFUNCTION("""COMPUTED_VALUE"""),"Player")</f>
        <v>Player</v>
      </c>
      <c r="J19" s="21" t="b">
        <f>IFERROR(__xludf.DUMMYFUNCTION("""COMPUTED_VALUE"""),FALSE)</f>
        <v>0</v>
      </c>
      <c r="K19" s="21"/>
      <c r="L19" s="21" t="b">
        <f>IFERROR(__xludf.DUMMYFUNCTION("""COMPUTED_VALUE"""),FALSE)</f>
        <v>0</v>
      </c>
      <c r="M19" s="21" t="b">
        <f>IFERROR(__xludf.DUMMYFUNCTION("""COMPUTED_VALUE"""),FALSE)</f>
        <v>0</v>
      </c>
      <c r="N19" s="1"/>
      <c r="O19" s="1"/>
      <c r="P19" s="1"/>
      <c r="Q19" s="1"/>
      <c r="R19" s="1"/>
      <c r="S19" s="1"/>
      <c r="T19" s="1"/>
      <c r="U19" s="1"/>
      <c r="V19" s="1"/>
      <c r="W19" s="1"/>
      <c r="X19" s="1"/>
      <c r="Y19" s="1"/>
      <c r="Z19" s="1"/>
    </row>
    <row r="20" ht="15.75" customHeight="1">
      <c r="A20" s="16" t="str">
        <f>IFERROR(__xludf.DUMMYFUNCTION("""COMPUTED_VALUE"""),"Protection of Stars.")</f>
        <v>Protection of Stars.</v>
      </c>
      <c r="B20" s="17">
        <f>IFERROR(__xludf.DUMMYFUNCTION("""COMPUTED_VALUE"""),4.0)</f>
        <v>4</v>
      </c>
      <c r="C20" s="16">
        <f>IFERROR(__xludf.DUMMYFUNCTION("""COMPUTED_VALUE"""),200.0)</f>
        <v>200</v>
      </c>
      <c r="D20" s="16"/>
      <c r="E2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16" t="str">
        <f>IFERROR(__xludf.DUMMYFUNCTION("""COMPUTED_VALUE"""),"Fail/Succeed")</f>
        <v>Fail/Succeed</v>
      </c>
      <c r="G20" s="18"/>
      <c r="H20" s="19" t="str">
        <f>IFERROR(__xludf.DUMMYFUNCTION("""COMPUTED_VALUE"""),"Astral")</f>
        <v>Astral</v>
      </c>
      <c r="I20" s="20" t="str">
        <f>IFERROR(__xludf.DUMMYFUNCTION("""COMPUTED_VALUE"""),"Player")</f>
        <v>Player</v>
      </c>
      <c r="J20" s="21" t="b">
        <f>IFERROR(__xludf.DUMMYFUNCTION("""COMPUTED_VALUE"""),FALSE)</f>
        <v>0</v>
      </c>
      <c r="K20" s="21"/>
      <c r="L20" s="21" t="b">
        <f>IFERROR(__xludf.DUMMYFUNCTION("""COMPUTED_VALUE"""),FALSE)</f>
        <v>0</v>
      </c>
      <c r="M20" s="21" t="b">
        <f>IFERROR(__xludf.DUMMYFUNCTION("""COMPUTED_VALUE"""),FALSE)</f>
        <v>0</v>
      </c>
      <c r="N20" s="1"/>
      <c r="O20" s="1"/>
      <c r="P20" s="1"/>
      <c r="Q20" s="1"/>
      <c r="R20" s="1"/>
      <c r="S20" s="1"/>
      <c r="T20" s="1"/>
      <c r="U20" s="1"/>
      <c r="V20" s="1"/>
      <c r="W20" s="1"/>
      <c r="X20" s="1"/>
      <c r="Y20" s="1"/>
      <c r="Z20" s="1"/>
    </row>
    <row r="21" ht="15.75" customHeight="1">
      <c r="A21" s="16" t="str">
        <f>IFERROR(__xludf.DUMMYFUNCTION("""COMPUTED_VALUE"""),"Star Storm")</f>
        <v>Star Storm</v>
      </c>
      <c r="B21" s="17">
        <f>IFERROR(__xludf.DUMMYFUNCTION("""COMPUTED_VALUE"""),1.0)</f>
        <v>1</v>
      </c>
      <c r="C21" s="16" t="str">
        <f>IFERROR(__xludf.DUMMYFUNCTION("""COMPUTED_VALUE"""),"X")</f>
        <v>X</v>
      </c>
      <c r="D21" s="16"/>
      <c r="E2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16" t="str">
        <f>IFERROR(__xludf.DUMMYFUNCTION("""COMPUTED_VALUE"""),"Fail/Succeed")</f>
        <v>Fail/Succeed</v>
      </c>
      <c r="G21" s="18"/>
      <c r="H21" s="19" t="str">
        <f>IFERROR(__xludf.DUMMYFUNCTION("""COMPUTED_VALUE"""),"Astral")</f>
        <v>Astral</v>
      </c>
      <c r="I21" s="20" t="str">
        <f>IFERROR(__xludf.DUMMYFUNCTION("""COMPUTED_VALUE"""),"Player")</f>
        <v>Player</v>
      </c>
      <c r="J21" s="21" t="b">
        <f>IFERROR(__xludf.DUMMYFUNCTION("""COMPUTED_VALUE"""),FALSE)</f>
        <v>0</v>
      </c>
      <c r="K21" s="21"/>
      <c r="L21" s="21" t="b">
        <f>IFERROR(__xludf.DUMMYFUNCTION("""COMPUTED_VALUE"""),FALSE)</f>
        <v>0</v>
      </c>
      <c r="M21" s="21" t="b">
        <f>IFERROR(__xludf.DUMMYFUNCTION("""COMPUTED_VALUE"""),FALSE)</f>
        <v>0</v>
      </c>
      <c r="N21" s="1"/>
      <c r="O21" s="1"/>
      <c r="P21" s="1"/>
      <c r="Q21" s="1"/>
      <c r="R21" s="1"/>
      <c r="S21" s="1"/>
      <c r="T21" s="1"/>
      <c r="U21" s="1"/>
      <c r="V21" s="1"/>
      <c r="W21" s="1"/>
      <c r="X21" s="1"/>
      <c r="Y21" s="1"/>
      <c r="Z21" s="1"/>
    </row>
    <row r="22" ht="15.75" customHeight="1">
      <c r="A22" s="16" t="str">
        <f>IFERROR(__xludf.DUMMYFUNCTION("""COMPUTED_VALUE"""),"Sunny Day")</f>
        <v>Sunny Day</v>
      </c>
      <c r="B22" s="17">
        <f>IFERROR(__xludf.DUMMYFUNCTION("""COMPUTED_VALUE"""),9.0)</f>
        <v>9</v>
      </c>
      <c r="C22" s="22">
        <f>IFERROR(__xludf.DUMMYFUNCTION("""COMPUTED_VALUE"""),20000.0)</f>
        <v>20000</v>
      </c>
      <c r="D22" s="16"/>
      <c r="E2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16" t="str">
        <f>IFERROR(__xludf.DUMMYFUNCTION("""COMPUTED_VALUE"""),"Fail/Succeed")</f>
        <v>Fail/Succeed</v>
      </c>
      <c r="G22" s="18"/>
      <c r="H22" s="23" t="str">
        <f>IFERROR(__xludf.DUMMYFUNCTION("""COMPUTED_VALUE"""),"Astral")</f>
        <v>Astral</v>
      </c>
      <c r="I22" s="20" t="str">
        <f>IFERROR(__xludf.DUMMYFUNCTION("""COMPUTED_VALUE"""),"Player")</f>
        <v>Player</v>
      </c>
      <c r="J22" s="21" t="b">
        <f>IFERROR(__xludf.DUMMYFUNCTION("""COMPUTED_VALUE"""),FALSE)</f>
        <v>0</v>
      </c>
      <c r="K22" s="21"/>
      <c r="L22" s="21" t="b">
        <f>IFERROR(__xludf.DUMMYFUNCTION("""COMPUTED_VALUE"""),FALSE)</f>
        <v>0</v>
      </c>
      <c r="M22" s="21" t="b">
        <f>IFERROR(__xludf.DUMMYFUNCTION("""COMPUTED_VALUE"""),FALSE)</f>
        <v>0</v>
      </c>
      <c r="N22" s="1"/>
      <c r="O22" s="1"/>
      <c r="P22" s="1"/>
      <c r="Q22" s="1"/>
      <c r="R22" s="1"/>
      <c r="S22" s="1"/>
      <c r="T22" s="1"/>
      <c r="U22" s="1"/>
      <c r="V22" s="1"/>
      <c r="W22" s="1"/>
      <c r="X22" s="1"/>
      <c r="Y22" s="1"/>
      <c r="Z22" s="1"/>
    </row>
    <row r="23" ht="15.75" customHeight="1">
      <c r="A23" s="16" t="str">
        <f>IFERROR(__xludf.DUMMYFUNCTION("""COMPUTED_VALUE"""),"Tower of The Universe")</f>
        <v>Tower of The Universe</v>
      </c>
      <c r="B23" s="17">
        <f>IFERROR(__xludf.DUMMYFUNCTION("""COMPUTED_VALUE"""),8.0)</f>
        <v>8</v>
      </c>
      <c r="C23" s="16">
        <f>IFERROR(__xludf.DUMMYFUNCTION("""COMPUTED_VALUE"""),1200.0)</f>
        <v>1200</v>
      </c>
      <c r="D23" s="16"/>
      <c r="E2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16" t="str">
        <f>IFERROR(__xludf.DUMMYFUNCTION("""COMPUTED_VALUE"""),"Hit/miss")</f>
        <v>Hit/miss</v>
      </c>
      <c r="G23" s="18">
        <f>IFERROR(__xludf.DUMMYFUNCTION("""COMPUTED_VALUE"""),1.0)</f>
        <v>1</v>
      </c>
      <c r="H23" s="23" t="str">
        <f>IFERROR(__xludf.DUMMYFUNCTION("""COMPUTED_VALUE"""),"Astral")</f>
        <v>Astral</v>
      </c>
      <c r="I23" s="20" t="str">
        <f>IFERROR(__xludf.DUMMYFUNCTION("""COMPUTED_VALUE"""),"Player")</f>
        <v>Player</v>
      </c>
      <c r="J23" s="21" t="b">
        <f>IFERROR(__xludf.DUMMYFUNCTION("""COMPUTED_VALUE"""),FALSE)</f>
        <v>0</v>
      </c>
      <c r="K23" s="21"/>
      <c r="L23" s="21" t="b">
        <f>IFERROR(__xludf.DUMMYFUNCTION("""COMPUTED_VALUE"""),FALSE)</f>
        <v>0</v>
      </c>
      <c r="M23" s="21" t="b">
        <f>IFERROR(__xludf.DUMMYFUNCTION("""COMPUTED_VALUE"""),FALSE)</f>
        <v>0</v>
      </c>
      <c r="N23" s="1"/>
      <c r="O23" s="1"/>
      <c r="P23" s="1"/>
      <c r="Q23" s="1"/>
      <c r="R23" s="1"/>
      <c r="S23" s="1"/>
      <c r="T23" s="1"/>
      <c r="U23" s="1"/>
      <c r="V23" s="1"/>
      <c r="W23" s="1"/>
      <c r="X23" s="1"/>
      <c r="Y23" s="1"/>
      <c r="Z23" s="1"/>
    </row>
    <row r="24" ht="15.75" customHeight="1">
      <c r="A24" s="16" t="str">
        <f>IFERROR(__xludf.DUMMYFUNCTION("""COMPUTED_VALUE"""),"Inferno Sun")</f>
        <v>Inferno Sun</v>
      </c>
      <c r="B24" s="17">
        <f>IFERROR(__xludf.DUMMYFUNCTION("""COMPUTED_VALUE"""),9.0)</f>
        <v>9</v>
      </c>
      <c r="C24" s="22">
        <f>IFERROR(__xludf.DUMMYFUNCTION("""COMPUTED_VALUE"""),5000.0)</f>
        <v>5000</v>
      </c>
      <c r="D24" s="16"/>
      <c r="E24" s="16"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24" t="str">
        <f>IFERROR(__xludf.DUMMYFUNCTION("""COMPUTED_VALUE"""),"Cannot Avoid")</f>
        <v>Cannot Avoid</v>
      </c>
      <c r="G24" s="18" t="str">
        <f>IFERROR(__xludf.DUMMYFUNCTION("""COMPUTED_VALUE"""),"All")</f>
        <v>All</v>
      </c>
      <c r="H24" s="23" t="str">
        <f>IFERROR(__xludf.DUMMYFUNCTION("""COMPUTED_VALUE"""),"Astral")</f>
        <v>Astral</v>
      </c>
      <c r="I24" s="20" t="str">
        <f>IFERROR(__xludf.DUMMYFUNCTION("""COMPUTED_VALUE"""),"Mob")</f>
        <v>Mob</v>
      </c>
      <c r="J24" s="21" t="b">
        <f>IFERROR(__xludf.DUMMYFUNCTION("""COMPUTED_VALUE"""),TRUE)</f>
        <v>1</v>
      </c>
      <c r="K24" s="21" t="str">
        <f>IFERROR(__xludf.DUMMYFUNCTION("""COMPUTED_VALUE"""),"Mob spell")</f>
        <v>Mob spell</v>
      </c>
      <c r="L24" s="21" t="b">
        <f>IFERROR(__xludf.DUMMYFUNCTION("""COMPUTED_VALUE"""),FALSE)</f>
        <v>0</v>
      </c>
      <c r="M24" s="21" t="b">
        <f>IFERROR(__xludf.DUMMYFUNCTION("""COMPUTED_VALUE"""),FALSE)</f>
        <v>0</v>
      </c>
      <c r="N24" s="1"/>
      <c r="O24" s="1"/>
      <c r="P24" s="1"/>
      <c r="Q24" s="1"/>
      <c r="R24" s="1"/>
      <c r="S24" s="1"/>
      <c r="T24" s="1"/>
      <c r="U24" s="1"/>
      <c r="V24" s="1"/>
      <c r="W24" s="1"/>
      <c r="X24" s="1"/>
      <c r="Y24" s="1"/>
      <c r="Z24" s="1"/>
    </row>
    <row r="25" ht="15.75" customHeight="1">
      <c r="A25" s="16" t="str">
        <f>IFERROR(__xludf.DUMMYFUNCTION("""COMPUTED_VALUE"""),"Sunlight Regen")</f>
        <v>Sunlight Regen</v>
      </c>
      <c r="B25" s="17">
        <f>IFERROR(__xludf.DUMMYFUNCTION("""COMPUTED_VALUE"""),9.0)</f>
        <v>9</v>
      </c>
      <c r="C25" s="22">
        <f>IFERROR(__xludf.DUMMYFUNCTION("""COMPUTED_VALUE"""),900.0)</f>
        <v>900</v>
      </c>
      <c r="D25" s="16"/>
      <c r="E25" s="16"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16" t="str">
        <f>IFERROR(__xludf.DUMMYFUNCTION("""COMPUTED_VALUE"""),"Will Succeed")</f>
        <v>Will Succeed</v>
      </c>
      <c r="G25" s="18" t="str">
        <f>IFERROR(__xludf.DUMMYFUNCTION("""COMPUTED_VALUE"""),"Self")</f>
        <v>Self</v>
      </c>
      <c r="H25" s="23" t="str">
        <f>IFERROR(__xludf.DUMMYFUNCTION("""COMPUTED_VALUE"""),"Astral")</f>
        <v>Astral</v>
      </c>
      <c r="I25" s="20" t="str">
        <f>IFERROR(__xludf.DUMMYFUNCTION("""COMPUTED_VALUE"""),"Player")</f>
        <v>Player</v>
      </c>
      <c r="J25" s="21" t="b">
        <f>IFERROR(__xludf.DUMMYFUNCTION("""COMPUTED_VALUE"""),TRUE)</f>
        <v>1</v>
      </c>
      <c r="K25" s="21" t="str">
        <f>IFERROR(__xludf.DUMMYFUNCTION("""COMPUTED_VALUE"""),"shop spell")</f>
        <v>shop spell</v>
      </c>
      <c r="L25" s="21" t="b">
        <f>IFERROR(__xludf.DUMMYFUNCTION("""COMPUTED_VALUE"""),FALSE)</f>
        <v>0</v>
      </c>
      <c r="M25" s="21" t="b">
        <f>IFERROR(__xludf.DUMMYFUNCTION("""COMPUTED_VALUE"""),FALSE)</f>
        <v>0</v>
      </c>
      <c r="N25" s="1"/>
      <c r="O25" s="1"/>
      <c r="P25" s="1"/>
      <c r="Q25" s="1"/>
      <c r="R25" s="1"/>
      <c r="S25" s="1"/>
      <c r="T25" s="1"/>
      <c r="U25" s="1"/>
      <c r="V25" s="1"/>
      <c r="W25" s="1"/>
      <c r="X25" s="1"/>
      <c r="Y25" s="1"/>
      <c r="Z25" s="1"/>
    </row>
    <row r="26" ht="15.75" customHeight="1">
      <c r="A26" s="16" t="str">
        <f>IFERROR(__xludf.DUMMYFUNCTION("""COMPUTED_VALUE"""),"Moon Slam")</f>
        <v>Moon Slam</v>
      </c>
      <c r="B26" s="17">
        <f>IFERROR(__xludf.DUMMYFUNCTION("""COMPUTED_VALUE"""),9.0)</f>
        <v>9</v>
      </c>
      <c r="C26" s="16">
        <f>IFERROR(__xludf.DUMMYFUNCTION("""COMPUTED_VALUE"""),80000.0)</f>
        <v>80000</v>
      </c>
      <c r="D26" s="16"/>
      <c r="E26" s="16"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16" t="str">
        <f>IFERROR(__xludf.DUMMYFUNCTION("""COMPUTED_VALUE"""),"Cannot Avoid")</f>
        <v>Cannot Avoid</v>
      </c>
      <c r="G26" s="18" t="str">
        <f>IFERROR(__xludf.DUMMYFUNCTION("""COMPUTED_VALUE"""),"All")</f>
        <v>All</v>
      </c>
      <c r="H26" s="23" t="str">
        <f>IFERROR(__xludf.DUMMYFUNCTION("""COMPUTED_VALUE"""),"Astral")</f>
        <v>Astral</v>
      </c>
      <c r="I26" s="20" t="str">
        <f>IFERROR(__xludf.DUMMYFUNCTION("""COMPUTED_VALUE"""),"Mob")</f>
        <v>Mob</v>
      </c>
      <c r="J26" s="21" t="b">
        <f>IFERROR(__xludf.DUMMYFUNCTION("""COMPUTED_VALUE"""),TRUE)</f>
        <v>1</v>
      </c>
      <c r="K26" s="21" t="str">
        <f>IFERROR(__xludf.DUMMYFUNCTION("""COMPUTED_VALUE"""),"mob power")</f>
        <v>mob power</v>
      </c>
      <c r="L26" s="21" t="b">
        <f>IFERROR(__xludf.DUMMYFUNCTION("""COMPUTED_VALUE"""),FALSE)</f>
        <v>0</v>
      </c>
      <c r="M26" s="21" t="b">
        <f>IFERROR(__xludf.DUMMYFUNCTION("""COMPUTED_VALUE"""),TRUE)</f>
        <v>1</v>
      </c>
      <c r="N26" s="1"/>
      <c r="O26" s="1"/>
      <c r="P26" s="1"/>
      <c r="Q26" s="1"/>
      <c r="R26" s="1"/>
      <c r="S26" s="1"/>
      <c r="T26" s="1"/>
      <c r="U26" s="1"/>
      <c r="V26" s="1"/>
      <c r="W26" s="1"/>
      <c r="X26" s="1"/>
      <c r="Y26" s="1"/>
      <c r="Z26" s="1"/>
    </row>
    <row r="27" ht="15.75" customHeight="1">
      <c r="A27" s="16" t="str">
        <f>IFERROR(__xludf.DUMMYFUNCTION("""COMPUTED_VALUE"""),"Moon Beam")</f>
        <v>Moon Beam</v>
      </c>
      <c r="B27" s="17">
        <f>IFERROR(__xludf.DUMMYFUNCTION("""COMPUTED_VALUE"""),9.0)</f>
        <v>9</v>
      </c>
      <c r="C27" s="16">
        <f>IFERROR(__xludf.DUMMYFUNCTION("""COMPUTED_VALUE"""),200.0)</f>
        <v>200</v>
      </c>
      <c r="D27" s="16"/>
      <c r="E2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16" t="str">
        <f>IFERROR(__xludf.DUMMYFUNCTION("""COMPUTED_VALUE"""),"Hit/Miss")</f>
        <v>Hit/Miss</v>
      </c>
      <c r="G27" s="18">
        <f>IFERROR(__xludf.DUMMYFUNCTION("""COMPUTED_VALUE"""),1.0)</f>
        <v>1</v>
      </c>
      <c r="H27" s="23" t="str">
        <f>IFERROR(__xludf.DUMMYFUNCTION("""COMPUTED_VALUE"""),"Astral")</f>
        <v>Astral</v>
      </c>
      <c r="I27" s="20" t="str">
        <f>IFERROR(__xludf.DUMMYFUNCTION("""COMPUTED_VALUE"""),"Player")</f>
        <v>Player</v>
      </c>
      <c r="J27" s="21" t="b">
        <f>IFERROR(__xludf.DUMMYFUNCTION("""COMPUTED_VALUE"""),FALSE)</f>
        <v>0</v>
      </c>
      <c r="K27" s="21"/>
      <c r="L27" s="21" t="b">
        <f>IFERROR(__xludf.DUMMYFUNCTION("""COMPUTED_VALUE"""),FALSE)</f>
        <v>0</v>
      </c>
      <c r="M27" s="21" t="b">
        <f>IFERROR(__xludf.DUMMYFUNCTION("""COMPUTED_VALUE"""),FALSE)</f>
        <v>0</v>
      </c>
      <c r="N27" s="1"/>
      <c r="O27" s="1"/>
      <c r="P27" s="1"/>
      <c r="Q27" s="1"/>
      <c r="R27" s="1"/>
      <c r="S27" s="1"/>
      <c r="T27" s="1"/>
      <c r="U27" s="1"/>
      <c r="V27" s="1"/>
      <c r="W27" s="1"/>
      <c r="X27" s="1"/>
      <c r="Y27" s="1"/>
      <c r="Z27" s="1"/>
    </row>
    <row r="28" ht="15.75" customHeight="1">
      <c r="A28" s="16" t="str">
        <f>IFERROR(__xludf.DUMMYFUNCTION("""COMPUTED_VALUE"""),"Moonlight")</f>
        <v>Moonlight</v>
      </c>
      <c r="B28" s="17">
        <f>IFERROR(__xludf.DUMMYFUNCTION("""COMPUTED_VALUE"""),7.0)</f>
        <v>7</v>
      </c>
      <c r="C28" s="16">
        <f>IFERROR(__xludf.DUMMYFUNCTION("""COMPUTED_VALUE"""),250.0)</f>
        <v>250</v>
      </c>
      <c r="D28" s="16"/>
      <c r="E28" s="16"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16" t="str">
        <f>IFERROR(__xludf.DUMMYFUNCTION("""COMPUTED_VALUE"""),"Fail/Succeed")</f>
        <v>Fail/Succeed</v>
      </c>
      <c r="G28" s="18" t="str">
        <f>IFERROR(__xludf.DUMMYFUNCTION("""COMPUTED_VALUE"""),"All")</f>
        <v>All</v>
      </c>
      <c r="H28" s="23" t="str">
        <f>IFERROR(__xludf.DUMMYFUNCTION("""COMPUTED_VALUE"""),"Astral")</f>
        <v>Astral</v>
      </c>
      <c r="I28" s="20" t="str">
        <f>IFERROR(__xludf.DUMMYFUNCTION("""COMPUTED_VALUE"""),"Mob")</f>
        <v>Mob</v>
      </c>
      <c r="J28" s="21" t="b">
        <f>IFERROR(__xludf.DUMMYFUNCTION("""COMPUTED_VALUE"""),TRUE)</f>
        <v>1</v>
      </c>
      <c r="K28" s="21" t="str">
        <f>IFERROR(__xludf.DUMMYFUNCTION("""COMPUTED_VALUE"""),"(Obtained From Quest)")</f>
        <v>(Obtained From Quest)</v>
      </c>
      <c r="L28" s="21" t="b">
        <f>IFERROR(__xludf.DUMMYFUNCTION("""COMPUTED_VALUE"""),FALSE)</f>
        <v>0</v>
      </c>
      <c r="M28" s="21" t="b">
        <f>IFERROR(__xludf.DUMMYFUNCTION("""COMPUTED_VALUE"""),FALSE)</f>
        <v>0</v>
      </c>
      <c r="N28" s="1"/>
      <c r="O28" s="1"/>
      <c r="P28" s="1"/>
      <c r="Q28" s="1"/>
      <c r="R28" s="1"/>
      <c r="S28" s="1"/>
      <c r="T28" s="1"/>
      <c r="U28" s="1"/>
      <c r="V28" s="1"/>
      <c r="W28" s="1"/>
      <c r="X28" s="1"/>
      <c r="Y28" s="1"/>
      <c r="Z28" s="1"/>
    </row>
    <row r="29" ht="15.75" customHeight="1">
      <c r="A29" s="16" t="str">
        <f>IFERROR(__xludf.DUMMYFUNCTION("""COMPUTED_VALUE"""),"Moonlight Regen")</f>
        <v>Moonlight Regen</v>
      </c>
      <c r="B29" s="17">
        <f>IFERROR(__xludf.DUMMYFUNCTION("""COMPUTED_VALUE"""),9.0)</f>
        <v>9</v>
      </c>
      <c r="C29" s="16">
        <f>IFERROR(__xludf.DUMMYFUNCTION("""COMPUTED_VALUE"""),400.0)</f>
        <v>400</v>
      </c>
      <c r="D29" s="16"/>
      <c r="E29"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16" t="str">
        <f>IFERROR(__xludf.DUMMYFUNCTION("""COMPUTED_VALUE"""),"Fail/Succeed")</f>
        <v>Fail/Succeed</v>
      </c>
      <c r="G29" s="18" t="str">
        <f>IFERROR(__xludf.DUMMYFUNCTION("""COMPUTED_VALUE"""),"All")</f>
        <v>All</v>
      </c>
      <c r="H29" s="23" t="str">
        <f>IFERROR(__xludf.DUMMYFUNCTION("""COMPUTED_VALUE"""),"Astral")</f>
        <v>Astral</v>
      </c>
      <c r="I29" s="20" t="str">
        <f>IFERROR(__xludf.DUMMYFUNCTION("""COMPUTED_VALUE"""),"Player")</f>
        <v>Player</v>
      </c>
      <c r="J29" s="21" t="b">
        <f>IFERROR(__xludf.DUMMYFUNCTION("""COMPUTED_VALUE"""),FALSE)</f>
        <v>0</v>
      </c>
      <c r="K29" s="21"/>
      <c r="L29" s="21" t="b">
        <f>IFERROR(__xludf.DUMMYFUNCTION("""COMPUTED_VALUE"""),FALSE)</f>
        <v>0</v>
      </c>
      <c r="M29" s="21" t="b">
        <f>IFERROR(__xludf.DUMMYFUNCTION("""COMPUTED_VALUE"""),FALSE)</f>
        <v>0</v>
      </c>
      <c r="N29" s="1"/>
      <c r="O29" s="1"/>
      <c r="P29" s="1"/>
      <c r="Q29" s="1"/>
      <c r="R29" s="1"/>
      <c r="S29" s="1"/>
      <c r="T29" s="1"/>
      <c r="U29" s="1"/>
      <c r="V29" s="1"/>
      <c r="W29" s="1"/>
      <c r="X29" s="1"/>
      <c r="Y29" s="1"/>
      <c r="Z29" s="1"/>
    </row>
    <row r="30" ht="15.75" customHeight="1">
      <c r="A30" s="16" t="str">
        <f>IFERROR(__xludf.DUMMYFUNCTION("""COMPUTED_VALUE"""),"Sun Slam")</f>
        <v>Sun Slam</v>
      </c>
      <c r="B30" s="17">
        <f>IFERROR(__xludf.DUMMYFUNCTION("""COMPUTED_VALUE"""),9.0)</f>
        <v>9</v>
      </c>
      <c r="C30" s="16">
        <f>IFERROR(__xludf.DUMMYFUNCTION("""COMPUTED_VALUE"""),80000.0)</f>
        <v>80000</v>
      </c>
      <c r="D30" s="16"/>
      <c r="E30" s="16"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16" t="str">
        <f>IFERROR(__xludf.DUMMYFUNCTION("""COMPUTED_VALUE"""),"Cannot Avoid")</f>
        <v>Cannot Avoid</v>
      </c>
      <c r="G30" s="18" t="str">
        <f>IFERROR(__xludf.DUMMYFUNCTION("""COMPUTED_VALUE"""),"All")</f>
        <v>All</v>
      </c>
      <c r="H30" s="23" t="str">
        <f>IFERROR(__xludf.DUMMYFUNCTION("""COMPUTED_VALUE"""),"Astral")</f>
        <v>Astral</v>
      </c>
      <c r="I30" s="20" t="str">
        <f>IFERROR(__xludf.DUMMYFUNCTION("""COMPUTED_VALUE"""),"Mob")</f>
        <v>Mob</v>
      </c>
      <c r="J30" s="21" t="b">
        <f>IFERROR(__xludf.DUMMYFUNCTION("""COMPUTED_VALUE"""),TRUE)</f>
        <v>1</v>
      </c>
      <c r="K30" s="21" t="str">
        <f>IFERROR(__xludf.DUMMYFUNCTION("""COMPUTED_VALUE"""),"mob power")</f>
        <v>mob power</v>
      </c>
      <c r="L30" s="21" t="b">
        <f>IFERROR(__xludf.DUMMYFUNCTION("""COMPUTED_VALUE"""),FALSE)</f>
        <v>0</v>
      </c>
      <c r="M30" s="21" t="b">
        <f>IFERROR(__xludf.DUMMYFUNCTION("""COMPUTED_VALUE"""),TRUE)</f>
        <v>1</v>
      </c>
      <c r="N30" s="1"/>
      <c r="O30" s="1"/>
      <c r="P30" s="1"/>
      <c r="Q30" s="1"/>
      <c r="R30" s="1"/>
      <c r="S30" s="1"/>
      <c r="T30" s="1"/>
      <c r="U30" s="1"/>
      <c r="V30" s="1"/>
      <c r="W30" s="1"/>
      <c r="X30" s="1"/>
      <c r="Y30" s="1"/>
      <c r="Z30" s="1"/>
    </row>
    <row r="31" ht="15.75" customHeight="1">
      <c r="A31" s="16" t="str">
        <f>IFERROR(__xludf.DUMMYFUNCTION("""COMPUTED_VALUE"""),"Solar Eclipse")</f>
        <v>Solar Eclipse</v>
      </c>
      <c r="B31" s="17">
        <f>IFERROR(__xludf.DUMMYFUNCTION("""COMPUTED_VALUE"""),9.0)</f>
        <v>9</v>
      </c>
      <c r="C31" s="22">
        <f>IFERROR(__xludf.DUMMYFUNCTION("""COMPUTED_VALUE"""),600000.0)</f>
        <v>600000</v>
      </c>
      <c r="D31" s="16"/>
      <c r="E31" s="16"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16" t="str">
        <f>IFERROR(__xludf.DUMMYFUNCTION("""COMPUTED_VALUE"""),"Cannot Avoid")</f>
        <v>Cannot Avoid</v>
      </c>
      <c r="G31" s="18"/>
      <c r="H31" s="23" t="str">
        <f>IFERROR(__xludf.DUMMYFUNCTION("""COMPUTED_VALUE"""),"Astral")</f>
        <v>Astral</v>
      </c>
      <c r="I31" s="20" t="str">
        <f>IFERROR(__xludf.DUMMYFUNCTION("""COMPUTED_VALUE"""),"Mob")</f>
        <v>Mob</v>
      </c>
      <c r="J31" s="21" t="b">
        <f>IFERROR(__xludf.DUMMYFUNCTION("""COMPUTED_VALUE"""),TRUE)</f>
        <v>1</v>
      </c>
      <c r="K31" s="21" t="str">
        <f>IFERROR(__xludf.DUMMYFUNCTION("""COMPUTED_VALUE"""),"mob power")</f>
        <v>mob power</v>
      </c>
      <c r="L31" s="21" t="b">
        <f>IFERROR(__xludf.DUMMYFUNCTION("""COMPUTED_VALUE"""),FALSE)</f>
        <v>0</v>
      </c>
      <c r="M31" s="21" t="b">
        <f>IFERROR(__xludf.DUMMYFUNCTION("""COMPUTED_VALUE"""),TRUE)</f>
        <v>1</v>
      </c>
      <c r="N31" s="1"/>
      <c r="O31" s="1"/>
      <c r="P31" s="1"/>
      <c r="Q31" s="1"/>
      <c r="R31" s="1"/>
      <c r="S31" s="1"/>
      <c r="T31" s="1"/>
      <c r="U31" s="1"/>
      <c r="V31" s="1"/>
      <c r="W31" s="1"/>
      <c r="X31" s="1"/>
      <c r="Y31" s="1"/>
      <c r="Z31" s="1"/>
    </row>
    <row r="32" ht="15.75" customHeight="1">
      <c r="A32" s="16" t="str">
        <f>IFERROR(__xludf.DUMMYFUNCTION("""COMPUTED_VALUE"""),"A Worthy Sacrifice")</f>
        <v>A Worthy Sacrifice</v>
      </c>
      <c r="B32" s="17">
        <f>IFERROR(__xludf.DUMMYFUNCTION("""COMPUTED_VALUE"""),9.0)</f>
        <v>9</v>
      </c>
      <c r="C32" s="16"/>
      <c r="D32" s="16" t="str">
        <f>IFERROR(__xludf.DUMMYFUNCTION("""COMPUTED_VALUE"""),"All")</f>
        <v>All</v>
      </c>
      <c r="E32" s="16" t="str">
        <f>IFERROR(__xludf.DUMMYFUNCTION("""COMPUTED_VALUE"""),"Revive all allies by completely depleting your own hp, Cannot resist or be immune to.")</f>
        <v>Revive all allies by completely depleting your own hp, Cannot resist or be immune to.</v>
      </c>
      <c r="F32" s="16" t="str">
        <f>IFERROR(__xludf.DUMMYFUNCTION("""COMPUTED_VALUE"""),"Will Succeed")</f>
        <v>Will Succeed</v>
      </c>
      <c r="G32" s="18"/>
      <c r="H32" s="23" t="str">
        <f>IFERROR(__xludf.DUMMYFUNCTION("""COMPUTED_VALUE"""),"Blood")</f>
        <v>Blood</v>
      </c>
      <c r="I32" s="20" t="str">
        <f>IFERROR(__xludf.DUMMYFUNCTION("""COMPUTED_VALUE"""),"Player")</f>
        <v>Player</v>
      </c>
      <c r="J32" s="21" t="b">
        <f>IFERROR(__xludf.DUMMYFUNCTION("""COMPUTED_VALUE"""),FALSE)</f>
        <v>0</v>
      </c>
      <c r="K32" s="21"/>
      <c r="L32" s="21" t="b">
        <f>IFERROR(__xludf.DUMMYFUNCTION("""COMPUTED_VALUE"""),TRUE)</f>
        <v>1</v>
      </c>
      <c r="M32" s="21" t="b">
        <f>IFERROR(__xludf.DUMMYFUNCTION("""COMPUTED_VALUE"""),FALSE)</f>
        <v>0</v>
      </c>
      <c r="N32" s="1"/>
      <c r="O32" s="1"/>
      <c r="P32" s="1"/>
      <c r="Q32" s="1"/>
      <c r="R32" s="1"/>
      <c r="S32" s="1"/>
      <c r="T32" s="1"/>
      <c r="U32" s="1"/>
      <c r="V32" s="1"/>
      <c r="W32" s="1"/>
      <c r="X32" s="1"/>
      <c r="Y32" s="1"/>
      <c r="Z32" s="1"/>
    </row>
    <row r="33" ht="15.75" customHeight="1">
      <c r="A33" s="25" t="str">
        <f>IFERROR(__xludf.DUMMYFUNCTION("""COMPUTED_VALUE"""),"Absorbing Blood")</f>
        <v>Absorbing Blood</v>
      </c>
      <c r="B33" s="17">
        <f>IFERROR(__xludf.DUMMYFUNCTION("""COMPUTED_VALUE"""),9.0)</f>
        <v>9</v>
      </c>
      <c r="C33" s="16"/>
      <c r="D33" s="16">
        <f>IFERROR(__xludf.DUMMYFUNCTION("""COMPUTED_VALUE"""),300.0)</f>
        <v>300</v>
      </c>
      <c r="E33"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16" t="str">
        <f>IFERROR(__xludf.DUMMYFUNCTION("""COMPUTED_VALUE"""),"Hit/Miss")</f>
        <v>Hit/Miss</v>
      </c>
      <c r="G33" s="18">
        <f>IFERROR(__xludf.DUMMYFUNCTION("""COMPUTED_VALUE"""),1.0)</f>
        <v>1</v>
      </c>
      <c r="H33" s="23" t="str">
        <f>IFERROR(__xludf.DUMMYFUNCTION("""COMPUTED_VALUE"""),"Blood")</f>
        <v>Blood</v>
      </c>
      <c r="I33" s="20" t="str">
        <f>IFERROR(__xludf.DUMMYFUNCTION("""COMPUTED_VALUE"""),"Player")</f>
        <v>Player</v>
      </c>
      <c r="J33" s="21" t="b">
        <f>IFERROR(__xludf.DUMMYFUNCTION("""COMPUTED_VALUE"""),FALSE)</f>
        <v>0</v>
      </c>
      <c r="K33" s="21"/>
      <c r="L33" s="21" t="b">
        <f>IFERROR(__xludf.DUMMYFUNCTION("""COMPUTED_VALUE"""),TRUE)</f>
        <v>1</v>
      </c>
      <c r="M33" s="21" t="b">
        <f>IFERROR(__xludf.DUMMYFUNCTION("""COMPUTED_VALUE"""),FALSE)</f>
        <v>0</v>
      </c>
      <c r="N33" s="1"/>
      <c r="O33" s="1"/>
      <c r="P33" s="1"/>
      <c r="Q33" s="1"/>
      <c r="R33" s="1"/>
      <c r="S33" s="1"/>
      <c r="T33" s="1"/>
      <c r="U33" s="1"/>
      <c r="V33" s="1"/>
      <c r="W33" s="1"/>
      <c r="X33" s="1"/>
      <c r="Y33" s="1"/>
      <c r="Z33" s="1"/>
    </row>
    <row r="34" ht="15.75" customHeight="1">
      <c r="A34" s="16" t="str">
        <f>IFERROR(__xludf.DUMMYFUNCTION("""COMPUTED_VALUE"""),"Bleeding Catastrophe")</f>
        <v>Bleeding Catastrophe</v>
      </c>
      <c r="B34" s="17">
        <f>IFERROR(__xludf.DUMMYFUNCTION("""COMPUTED_VALUE"""),9.0)</f>
        <v>9</v>
      </c>
      <c r="C34" s="16"/>
      <c r="D34" s="16">
        <f>IFERROR(__xludf.DUMMYFUNCTION("""COMPUTED_VALUE"""),300.0)</f>
        <v>300</v>
      </c>
      <c r="E34" s="16" t="str">
        <f>IFERROR(__xludf.DUMMYFUNCTION("""COMPUTED_VALUE"""),"An equipped weapon will deal an additional X2 bleeding damage per round for 3 rounds.")</f>
        <v>An equipped weapon will deal an additional X2 bleeding damage per round for 3 rounds.</v>
      </c>
      <c r="F34" s="16" t="str">
        <f>IFERROR(__xludf.DUMMYFUNCTION("""COMPUTED_VALUE"""),"Will Succeed")</f>
        <v>Will Succeed</v>
      </c>
      <c r="G34" s="18"/>
      <c r="H34" s="23" t="str">
        <f>IFERROR(__xludf.DUMMYFUNCTION("""COMPUTED_VALUE"""),"Blood")</f>
        <v>Blood</v>
      </c>
      <c r="I34" s="20" t="str">
        <f>IFERROR(__xludf.DUMMYFUNCTION("""COMPUTED_VALUE"""),"Player")</f>
        <v>Player</v>
      </c>
      <c r="J34" s="21" t="b">
        <f>IFERROR(__xludf.DUMMYFUNCTION("""COMPUTED_VALUE"""),FALSE)</f>
        <v>0</v>
      </c>
      <c r="K34" s="21"/>
      <c r="L34" s="21" t="b">
        <f>IFERROR(__xludf.DUMMYFUNCTION("""COMPUTED_VALUE"""),TRUE)</f>
        <v>1</v>
      </c>
      <c r="M34" s="21" t="b">
        <f>IFERROR(__xludf.DUMMYFUNCTION("""COMPUTED_VALUE"""),FALSE)</f>
        <v>0</v>
      </c>
      <c r="N34" s="1"/>
      <c r="O34" s="1"/>
      <c r="P34" s="1"/>
      <c r="Q34" s="1"/>
      <c r="R34" s="1"/>
      <c r="S34" s="1"/>
      <c r="T34" s="1"/>
      <c r="U34" s="1"/>
      <c r="V34" s="1"/>
      <c r="W34" s="1"/>
      <c r="X34" s="1"/>
      <c r="Y34" s="1"/>
      <c r="Z34" s="1"/>
    </row>
    <row r="35" ht="15.75" customHeight="1">
      <c r="A35" s="16" t="str">
        <f>IFERROR(__xludf.DUMMYFUNCTION("""COMPUTED_VALUE"""),"Blood Barrage")</f>
        <v>Blood Barrage</v>
      </c>
      <c r="B35" s="17">
        <f>IFERROR(__xludf.DUMMYFUNCTION("""COMPUTED_VALUE"""),6.0)</f>
        <v>6</v>
      </c>
      <c r="C35" s="16"/>
      <c r="D35" s="16" t="str">
        <f>IFERROR(__xludf.DUMMYFUNCTION("""COMPUTED_VALUE"""),"1d20*10")</f>
        <v>1d20*10</v>
      </c>
      <c r="E35" s="16" t="str">
        <f>IFERROR(__xludf.DUMMYFUNCTION("""COMPUTED_VALUE"""),"Drains 1d20*1000 HP.")</f>
        <v>Drains 1d20*1000 HP.</v>
      </c>
      <c r="F35" s="16" t="str">
        <f>IFERROR(__xludf.DUMMYFUNCTION("""COMPUTED_VALUE"""),"Hit/Miss")</f>
        <v>Hit/Miss</v>
      </c>
      <c r="G35" s="18">
        <f>IFERROR(__xludf.DUMMYFUNCTION("""COMPUTED_VALUE"""),1.0)</f>
        <v>1</v>
      </c>
      <c r="H35" s="23" t="str">
        <f>IFERROR(__xludf.DUMMYFUNCTION("""COMPUTED_VALUE"""),"Blood")</f>
        <v>Blood</v>
      </c>
      <c r="I35" s="20" t="str">
        <f>IFERROR(__xludf.DUMMYFUNCTION("""COMPUTED_VALUE"""),"Player")</f>
        <v>Player</v>
      </c>
      <c r="J35" s="21" t="b">
        <f>IFERROR(__xludf.DUMMYFUNCTION("""COMPUTED_VALUE"""),FALSE)</f>
        <v>0</v>
      </c>
      <c r="K35" s="21"/>
      <c r="L35" s="21" t="b">
        <f>IFERROR(__xludf.DUMMYFUNCTION("""COMPUTED_VALUE"""),TRUE)</f>
        <v>1</v>
      </c>
      <c r="M35" s="21" t="b">
        <f>IFERROR(__xludf.DUMMYFUNCTION("""COMPUTED_VALUE"""),FALSE)</f>
        <v>0</v>
      </c>
      <c r="N35" s="1"/>
      <c r="O35" s="1"/>
      <c r="P35" s="1"/>
      <c r="Q35" s="1"/>
      <c r="R35" s="1"/>
      <c r="S35" s="1"/>
      <c r="T35" s="1"/>
      <c r="U35" s="1"/>
      <c r="V35" s="1"/>
      <c r="W35" s="1"/>
      <c r="X35" s="1"/>
      <c r="Y35" s="1"/>
      <c r="Z35" s="1"/>
    </row>
    <row r="36" ht="15.75" customHeight="1">
      <c r="A36" s="16" t="str">
        <f>IFERROR(__xludf.DUMMYFUNCTION("""COMPUTED_VALUE"""),"Blood Fire")</f>
        <v>Blood Fire</v>
      </c>
      <c r="B36" s="17">
        <f>IFERROR(__xludf.DUMMYFUNCTION("""COMPUTED_VALUE"""),5.0)</f>
        <v>5</v>
      </c>
      <c r="C36" s="16"/>
      <c r="D36" s="16" t="str">
        <f>IFERROR(__xludf.DUMMYFUNCTION("""COMPUTED_VALUE"""),"X")</f>
        <v>X</v>
      </c>
      <c r="E36" s="16" t="str">
        <f>IFERROR(__xludf.DUMMYFUNCTION("""COMPUTED_VALUE"""),"X*50 Blood and X*50 Fire Damage where X is equal to HP spent.")</f>
        <v>X*50 Blood and X*50 Fire Damage where X is equal to HP spent.</v>
      </c>
      <c r="F36" s="16" t="str">
        <f>IFERROR(__xludf.DUMMYFUNCTION("""COMPUTED_VALUE"""),"Hit/Miss")</f>
        <v>Hit/Miss</v>
      </c>
      <c r="G36" s="18">
        <f>IFERROR(__xludf.DUMMYFUNCTION("""COMPUTED_VALUE"""),1.0)</f>
        <v>1</v>
      </c>
      <c r="H36" s="23" t="str">
        <f>IFERROR(__xludf.DUMMYFUNCTION("""COMPUTED_VALUE"""),"Blood")</f>
        <v>Blood</v>
      </c>
      <c r="I36" s="20" t="str">
        <f>IFERROR(__xludf.DUMMYFUNCTION("""COMPUTED_VALUE"""),"Player")</f>
        <v>Player</v>
      </c>
      <c r="J36" s="21" t="b">
        <f>IFERROR(__xludf.DUMMYFUNCTION("""COMPUTED_VALUE"""),FALSE)</f>
        <v>0</v>
      </c>
      <c r="K36" s="21"/>
      <c r="L36" s="21" t="b">
        <f>IFERROR(__xludf.DUMMYFUNCTION("""COMPUTED_VALUE"""),TRUE)</f>
        <v>1</v>
      </c>
      <c r="M36" s="21" t="b">
        <f>IFERROR(__xludf.DUMMYFUNCTION("""COMPUTED_VALUE"""),FALSE)</f>
        <v>0</v>
      </c>
      <c r="N36" s="1"/>
      <c r="O36" s="1"/>
      <c r="P36" s="1"/>
      <c r="Q36" s="1"/>
      <c r="R36" s="1"/>
      <c r="S36" s="1"/>
      <c r="T36" s="1"/>
      <c r="U36" s="1"/>
      <c r="V36" s="1"/>
      <c r="W36" s="1"/>
      <c r="X36" s="1"/>
      <c r="Y36" s="1"/>
      <c r="Z36" s="1"/>
    </row>
    <row r="37" ht="15.75" customHeight="1">
      <c r="A37" s="16" t="str">
        <f>IFERROR(__xludf.DUMMYFUNCTION("""COMPUTED_VALUE"""),"Blood Geyser")</f>
        <v>Blood Geyser</v>
      </c>
      <c r="B37" s="17">
        <f>IFERROR(__xludf.DUMMYFUNCTION("""COMPUTED_VALUE"""),7.0)</f>
        <v>7</v>
      </c>
      <c r="C37" s="16"/>
      <c r="D37" s="16">
        <f>IFERROR(__xludf.DUMMYFUNCTION("""COMPUTED_VALUE"""),600.0)</f>
        <v>600</v>
      </c>
      <c r="E37"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16" t="str">
        <f>IFERROR(__xludf.DUMMYFUNCTION("""COMPUTED_VALUE"""),"Cannot Avoid")</f>
        <v>Cannot Avoid</v>
      </c>
      <c r="G37" s="18"/>
      <c r="H37" s="23" t="str">
        <f>IFERROR(__xludf.DUMMYFUNCTION("""COMPUTED_VALUE"""),"Blood")</f>
        <v>Blood</v>
      </c>
      <c r="I37" s="20" t="str">
        <f>IFERROR(__xludf.DUMMYFUNCTION("""COMPUTED_VALUE"""),"Player")</f>
        <v>Player</v>
      </c>
      <c r="J37" s="21" t="b">
        <f>IFERROR(__xludf.DUMMYFUNCTION("""COMPUTED_VALUE"""),FALSE)</f>
        <v>0</v>
      </c>
      <c r="K37" s="21"/>
      <c r="L37" s="21" t="b">
        <f>IFERROR(__xludf.DUMMYFUNCTION("""COMPUTED_VALUE"""),TRUE)</f>
        <v>1</v>
      </c>
      <c r="M37" s="21" t="b">
        <f>IFERROR(__xludf.DUMMYFUNCTION("""COMPUTED_VALUE"""),FALSE)</f>
        <v>0</v>
      </c>
      <c r="N37" s="1"/>
      <c r="O37" s="1"/>
      <c r="P37" s="1"/>
      <c r="Q37" s="1"/>
      <c r="R37" s="1"/>
      <c r="S37" s="1"/>
      <c r="T37" s="1"/>
      <c r="U37" s="1"/>
      <c r="V37" s="1"/>
      <c r="W37" s="1"/>
      <c r="X37" s="1"/>
      <c r="Y37" s="1"/>
      <c r="Z37" s="1"/>
    </row>
    <row r="38" ht="15.75" customHeight="1">
      <c r="A38" s="16" t="str">
        <f>IFERROR(__xludf.DUMMYFUNCTION("""COMPUTED_VALUE"""),"Blood Rejuvenation")</f>
        <v>Blood Rejuvenation</v>
      </c>
      <c r="B38" s="26">
        <f>IFERROR(__xludf.DUMMYFUNCTION("""COMPUTED_VALUE"""),5.0)</f>
        <v>5</v>
      </c>
      <c r="C38" s="16"/>
      <c r="D38" s="16" t="str">
        <f>IFERROR(__xludf.DUMMYFUNCTION("""COMPUTED_VALUE"""),"X")</f>
        <v>X</v>
      </c>
      <c r="E38" s="16" t="str">
        <f>IFERROR(__xludf.DUMMYFUNCTION("""COMPUTED_VALUE"""),"Restores X*50 HP to target for 3 rounds. Cannot be used on self")</f>
        <v>Restores X*50 HP to target for 3 rounds. Cannot be used on self</v>
      </c>
      <c r="F38" s="16" t="str">
        <f>IFERROR(__xludf.DUMMYFUNCTION("""COMPUTED_VALUE"""),"Fail/Succeed")</f>
        <v>Fail/Succeed</v>
      </c>
      <c r="G38" s="18"/>
      <c r="H38" s="23" t="str">
        <f>IFERROR(__xludf.DUMMYFUNCTION("""COMPUTED_VALUE"""),"Blood")</f>
        <v>Blood</v>
      </c>
      <c r="I38" s="20" t="str">
        <f>IFERROR(__xludf.DUMMYFUNCTION("""COMPUTED_VALUE"""),"Player")</f>
        <v>Player</v>
      </c>
      <c r="J38" s="21" t="b">
        <f>IFERROR(__xludf.DUMMYFUNCTION("""COMPUTED_VALUE"""),FALSE)</f>
        <v>0</v>
      </c>
      <c r="K38" s="21"/>
      <c r="L38" s="21" t="b">
        <f>IFERROR(__xludf.DUMMYFUNCTION("""COMPUTED_VALUE"""),TRUE)</f>
        <v>1</v>
      </c>
      <c r="M38" s="21" t="b">
        <f>IFERROR(__xludf.DUMMYFUNCTION("""COMPUTED_VALUE"""),FALSE)</f>
        <v>0</v>
      </c>
      <c r="N38" s="1"/>
      <c r="O38" s="1"/>
      <c r="P38" s="1"/>
      <c r="Q38" s="1"/>
      <c r="R38" s="1"/>
      <c r="S38" s="1"/>
      <c r="T38" s="1"/>
      <c r="U38" s="1"/>
      <c r="V38" s="1"/>
      <c r="W38" s="1"/>
      <c r="X38" s="1"/>
      <c r="Y38" s="1"/>
      <c r="Z38" s="1"/>
    </row>
    <row r="39" ht="15.75" customHeight="1">
      <c r="A39" s="16" t="str">
        <f>IFERROR(__xludf.DUMMYFUNCTION("""COMPUTED_VALUE"""),"Blood Siphon")</f>
        <v>Blood Siphon</v>
      </c>
      <c r="B39" s="17">
        <f>IFERROR(__xludf.DUMMYFUNCTION("""COMPUTED_VALUE"""),5.0)</f>
        <v>5</v>
      </c>
      <c r="C39" s="16"/>
      <c r="D39" s="16" t="str">
        <f>IFERROR(__xludf.DUMMYFUNCTION("""COMPUTED_VALUE"""),"X")</f>
        <v>X</v>
      </c>
      <c r="E39" s="16" t="str">
        <f>IFERROR(__xludf.DUMMYFUNCTION("""COMPUTED_VALUE"""),"Drain X*100 HP from target where X is equal to HP spent.")</f>
        <v>Drain X*100 HP from target where X is equal to HP spent.</v>
      </c>
      <c r="F39" s="16" t="str">
        <f>IFERROR(__xludf.DUMMYFUNCTION("""COMPUTED_VALUE"""),"Hit/Miss")</f>
        <v>Hit/Miss</v>
      </c>
      <c r="G39" s="18"/>
      <c r="H39" s="23" t="str">
        <f>IFERROR(__xludf.DUMMYFUNCTION("""COMPUTED_VALUE"""),"Blood")</f>
        <v>Blood</v>
      </c>
      <c r="I39" s="20" t="str">
        <f>IFERROR(__xludf.DUMMYFUNCTION("""COMPUTED_VALUE"""),"Player")</f>
        <v>Player</v>
      </c>
      <c r="J39" s="21" t="b">
        <f>IFERROR(__xludf.DUMMYFUNCTION("""COMPUTED_VALUE"""),FALSE)</f>
        <v>0</v>
      </c>
      <c r="K39" s="21"/>
      <c r="L39" s="21" t="b">
        <f>IFERROR(__xludf.DUMMYFUNCTION("""COMPUTED_VALUE"""),TRUE)</f>
        <v>1</v>
      </c>
      <c r="M39" s="21" t="b">
        <f>IFERROR(__xludf.DUMMYFUNCTION("""COMPUTED_VALUE"""),FALSE)</f>
        <v>0</v>
      </c>
      <c r="N39" s="1"/>
      <c r="O39" s="1"/>
      <c r="P39" s="1"/>
      <c r="Q39" s="1"/>
      <c r="R39" s="1"/>
      <c r="S39" s="1"/>
      <c r="T39" s="1"/>
      <c r="U39" s="1"/>
      <c r="V39" s="1"/>
      <c r="W39" s="1"/>
      <c r="X39" s="1"/>
      <c r="Y39" s="1"/>
      <c r="Z39" s="1"/>
    </row>
    <row r="40" ht="15.75" customHeight="1">
      <c r="A40" s="16" t="str">
        <f>IFERROR(__xludf.DUMMYFUNCTION("""COMPUTED_VALUE"""),"Blood Transfusion")</f>
        <v>Blood Transfusion</v>
      </c>
      <c r="B40" s="17">
        <f>IFERROR(__xludf.DUMMYFUNCTION("""COMPUTED_VALUE"""),4.0)</f>
        <v>4</v>
      </c>
      <c r="C40" s="16"/>
      <c r="D40" s="16" t="str">
        <f>IFERROR(__xludf.DUMMYFUNCTION("""COMPUTED_VALUE"""),"d100")</f>
        <v>d100</v>
      </c>
      <c r="E40"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16" t="str">
        <f>IFERROR(__xludf.DUMMYFUNCTION("""COMPUTED_VALUE"""),"Fail/Succeed")</f>
        <v>Fail/Succeed</v>
      </c>
      <c r="G40" s="18"/>
      <c r="H40" s="23" t="str">
        <f>IFERROR(__xludf.DUMMYFUNCTION("""COMPUTED_VALUE"""),"Blood")</f>
        <v>Blood</v>
      </c>
      <c r="I40" s="20" t="str">
        <f>IFERROR(__xludf.DUMMYFUNCTION("""COMPUTED_VALUE"""),"Player")</f>
        <v>Player</v>
      </c>
      <c r="J40" s="21" t="b">
        <f>IFERROR(__xludf.DUMMYFUNCTION("""COMPUTED_VALUE"""),FALSE)</f>
        <v>0</v>
      </c>
      <c r="K40" s="21"/>
      <c r="L40" s="21" t="b">
        <f>IFERROR(__xludf.DUMMYFUNCTION("""COMPUTED_VALUE"""),TRUE)</f>
        <v>1</v>
      </c>
      <c r="M40" s="21" t="b">
        <f>IFERROR(__xludf.DUMMYFUNCTION("""COMPUTED_VALUE"""),FALSE)</f>
        <v>0</v>
      </c>
      <c r="N40" s="1"/>
      <c r="O40" s="1"/>
      <c r="P40" s="1"/>
      <c r="Q40" s="1"/>
      <c r="R40" s="1"/>
      <c r="S40" s="1"/>
      <c r="T40" s="1"/>
      <c r="U40" s="1"/>
      <c r="V40" s="1"/>
      <c r="W40" s="1"/>
      <c r="X40" s="1"/>
      <c r="Y40" s="1"/>
      <c r="Z40" s="1"/>
    </row>
    <row r="41" ht="15.75" customHeight="1">
      <c r="A41" s="16" t="str">
        <f>IFERROR(__xludf.DUMMYFUNCTION("""COMPUTED_VALUE"""),"Bloody Alliance")</f>
        <v>Bloody Alliance</v>
      </c>
      <c r="B41" s="17">
        <f>IFERROR(__xludf.DUMMYFUNCTION("""COMPUTED_VALUE"""),9.0)</f>
        <v>9</v>
      </c>
      <c r="C41" s="16"/>
      <c r="D41" s="16" t="str">
        <f>IFERROR(__xludf.DUMMYFUNCTION("""COMPUTED_VALUE"""),"X*1000")</f>
        <v>X*1000</v>
      </c>
      <c r="E41" s="16" t="str">
        <f>IFERROR(__xludf.DUMMYFUNCTION("""COMPUTED_VALUE"""),"Select up to 3 target's to gain SP equal to the damage you take from the next incoming attack.")</f>
        <v>Select up to 3 target's to gain SP equal to the damage you take from the next incoming attack.</v>
      </c>
      <c r="F41" s="16" t="str">
        <f>IFERROR(__xludf.DUMMYFUNCTION("""COMPUTED_VALUE"""),"Fail/Succeed")</f>
        <v>Fail/Succeed</v>
      </c>
      <c r="G41" s="18" t="str">
        <f>IFERROR(__xludf.DUMMYFUNCTION("""COMPUTED_VALUE"""),"X")</f>
        <v>X</v>
      </c>
      <c r="H41" s="27" t="str">
        <f>IFERROR(__xludf.DUMMYFUNCTION("""COMPUTED_VALUE"""),"Blood")</f>
        <v>Blood</v>
      </c>
      <c r="I41" s="20" t="str">
        <f>IFERROR(__xludf.DUMMYFUNCTION("""COMPUTED_VALUE"""),"Player")</f>
        <v>Player</v>
      </c>
      <c r="J41" s="21" t="b">
        <f>IFERROR(__xludf.DUMMYFUNCTION("""COMPUTED_VALUE"""),FALSE)</f>
        <v>0</v>
      </c>
      <c r="K41" s="21"/>
      <c r="L41" s="21" t="b">
        <f>IFERROR(__xludf.DUMMYFUNCTION("""COMPUTED_VALUE"""),TRUE)</f>
        <v>1</v>
      </c>
      <c r="M41" s="21" t="b">
        <f>IFERROR(__xludf.DUMMYFUNCTION("""COMPUTED_VALUE"""),FALSE)</f>
        <v>0</v>
      </c>
      <c r="N41" s="1"/>
      <c r="O41" s="1"/>
      <c r="P41" s="1"/>
      <c r="Q41" s="1"/>
      <c r="R41" s="1"/>
      <c r="S41" s="1"/>
      <c r="T41" s="1"/>
      <c r="U41" s="1"/>
      <c r="V41" s="1"/>
      <c r="W41" s="1"/>
      <c r="X41" s="1"/>
      <c r="Y41" s="1"/>
      <c r="Z41" s="1"/>
    </row>
    <row r="42" ht="15.75" customHeight="1">
      <c r="A42" s="16" t="str">
        <f>IFERROR(__xludf.DUMMYFUNCTION("""COMPUTED_VALUE"""),"Bloody Knuckles")</f>
        <v>Bloody Knuckles</v>
      </c>
      <c r="B42" s="17">
        <f>IFERROR(__xludf.DUMMYFUNCTION("""COMPUTED_VALUE"""),4.0)</f>
        <v>4</v>
      </c>
      <c r="C42" s="16"/>
      <c r="D42" s="16">
        <f>IFERROR(__xludf.DUMMYFUNCTION("""COMPUTED_VALUE"""),40.0)</f>
        <v>40</v>
      </c>
      <c r="E42" s="16" t="str">
        <f>IFERROR(__xludf.DUMMYFUNCTION("""COMPUTED_VALUE"""),"X2 additional bleeding damage for weapons and spells.")</f>
        <v>X2 additional bleeding damage for weapons and spells.</v>
      </c>
      <c r="F42" s="16" t="str">
        <f>IFERROR(__xludf.DUMMYFUNCTION("""COMPUTED_VALUE"""),"Fail/Succeed")</f>
        <v>Fail/Succeed</v>
      </c>
      <c r="G42" s="18"/>
      <c r="H42" s="27" t="str">
        <f>IFERROR(__xludf.DUMMYFUNCTION("""COMPUTED_VALUE"""),"Blood")</f>
        <v>Blood</v>
      </c>
      <c r="I42" s="20" t="str">
        <f>IFERROR(__xludf.DUMMYFUNCTION("""COMPUTED_VALUE"""),"Player")</f>
        <v>Player</v>
      </c>
      <c r="J42" s="21" t="b">
        <f>IFERROR(__xludf.DUMMYFUNCTION("""COMPUTED_VALUE"""),FALSE)</f>
        <v>0</v>
      </c>
      <c r="K42" s="21"/>
      <c r="L42" s="21" t="b">
        <f>IFERROR(__xludf.DUMMYFUNCTION("""COMPUTED_VALUE"""),TRUE)</f>
        <v>1</v>
      </c>
      <c r="M42" s="21" t="b">
        <f>IFERROR(__xludf.DUMMYFUNCTION("""COMPUTED_VALUE"""),FALSE)</f>
        <v>0</v>
      </c>
      <c r="N42" s="1"/>
      <c r="O42" s="1"/>
      <c r="P42" s="1"/>
      <c r="Q42" s="1"/>
      <c r="R42" s="1"/>
      <c r="S42" s="1"/>
      <c r="T42" s="1"/>
      <c r="U42" s="1"/>
      <c r="V42" s="1"/>
      <c r="W42" s="1"/>
      <c r="X42" s="1"/>
      <c r="Y42" s="1"/>
      <c r="Z42" s="1"/>
    </row>
    <row r="43" ht="15.75" customHeight="1">
      <c r="A43" s="16" t="str">
        <f>IFERROR(__xludf.DUMMYFUNCTION("""COMPUTED_VALUE"""),"Callous Sacrifice")</f>
        <v>Callous Sacrifice</v>
      </c>
      <c r="B43" s="17">
        <f>IFERROR(__xludf.DUMMYFUNCTION("""COMPUTED_VALUE"""),8.0)</f>
        <v>8</v>
      </c>
      <c r="C43" s="16" t="str">
        <f>IFERROR(__xludf.DUMMYFUNCTION("""COMPUTED_VALUE"""),"X*300")</f>
        <v>X*300</v>
      </c>
      <c r="D43" s="16">
        <f>IFERROR(__xludf.DUMMYFUNCTION("""COMPUTED_VALUE"""),200.0)</f>
        <v>200</v>
      </c>
      <c r="E43" s="16" t="str">
        <f>IFERROR(__xludf.DUMMYFUNCTION("""COMPUTED_VALUE"""),"Sacrifice a party member. All enemies take 6* sacrificed party member’s Max HP.")</f>
        <v>Sacrifice a party member. All enemies take 6* sacrificed party member’s Max HP.</v>
      </c>
      <c r="F43" s="16" t="str">
        <f>IFERROR(__xludf.DUMMYFUNCTION("""COMPUTED_VALUE"""),"Fail/Succeed")</f>
        <v>Fail/Succeed</v>
      </c>
      <c r="G43" s="18"/>
      <c r="H43" s="27" t="str">
        <f>IFERROR(__xludf.DUMMYFUNCTION("""COMPUTED_VALUE"""),"Blood")</f>
        <v>Blood</v>
      </c>
      <c r="I43" s="20" t="str">
        <f>IFERROR(__xludf.DUMMYFUNCTION("""COMPUTED_VALUE"""),"Player")</f>
        <v>Player</v>
      </c>
      <c r="J43" s="21" t="b">
        <f>IFERROR(__xludf.DUMMYFUNCTION("""COMPUTED_VALUE"""),FALSE)</f>
        <v>0</v>
      </c>
      <c r="K43" s="21"/>
      <c r="L43" s="21" t="b">
        <f>IFERROR(__xludf.DUMMYFUNCTION("""COMPUTED_VALUE"""),TRUE)</f>
        <v>1</v>
      </c>
      <c r="M43" s="21" t="b">
        <f>IFERROR(__xludf.DUMMYFUNCTION("""COMPUTED_VALUE"""),FALSE)</f>
        <v>0</v>
      </c>
      <c r="N43" s="1"/>
      <c r="O43" s="1"/>
      <c r="P43" s="1"/>
      <c r="Q43" s="1"/>
      <c r="R43" s="1"/>
      <c r="S43" s="1"/>
      <c r="T43" s="1"/>
      <c r="U43" s="1"/>
      <c r="V43" s="1"/>
      <c r="W43" s="1"/>
      <c r="X43" s="1"/>
      <c r="Y43" s="1"/>
      <c r="Z43" s="1"/>
    </row>
    <row r="44" ht="15.75" customHeight="1">
      <c r="A44" s="16" t="str">
        <f>IFERROR(__xludf.DUMMYFUNCTION("""COMPUTED_VALUE"""),"Damage With A Cost.")</f>
        <v>Damage With A Cost.</v>
      </c>
      <c r="B44" s="17">
        <f>IFERROR(__xludf.DUMMYFUNCTION("""COMPUTED_VALUE"""),9.0)</f>
        <v>9</v>
      </c>
      <c r="C44" s="16"/>
      <c r="D44" s="16">
        <f>IFERROR(__xludf.DUMMYFUNCTION("""COMPUTED_VALUE"""),1000.0)</f>
        <v>1000</v>
      </c>
      <c r="E44" s="16" t="str">
        <f>IFERROR(__xludf.DUMMYFUNCTION("""COMPUTED_VALUE"""),"For 3 rounds enemies will take the same amount of damage you or your allies take.")</f>
        <v>For 3 rounds enemies will take the same amount of damage you or your allies take.</v>
      </c>
      <c r="F44" s="16" t="str">
        <f>IFERROR(__xludf.DUMMYFUNCTION("""COMPUTED_VALUE"""),"Fail/Succeed")</f>
        <v>Fail/Succeed</v>
      </c>
      <c r="G44" s="18"/>
      <c r="H44" s="27" t="str">
        <f>IFERROR(__xludf.DUMMYFUNCTION("""COMPUTED_VALUE"""),"Blood")</f>
        <v>Blood</v>
      </c>
      <c r="I44" s="20" t="str">
        <f>IFERROR(__xludf.DUMMYFUNCTION("""COMPUTED_VALUE"""),"Player")</f>
        <v>Player</v>
      </c>
      <c r="J44" s="21" t="b">
        <f>IFERROR(__xludf.DUMMYFUNCTION("""COMPUTED_VALUE"""),FALSE)</f>
        <v>0</v>
      </c>
      <c r="K44" s="21"/>
      <c r="L44" s="21" t="b">
        <f>IFERROR(__xludf.DUMMYFUNCTION("""COMPUTED_VALUE"""),TRUE)</f>
        <v>1</v>
      </c>
      <c r="M44" s="21" t="b">
        <f>IFERROR(__xludf.DUMMYFUNCTION("""COMPUTED_VALUE"""),FALSE)</f>
        <v>0</v>
      </c>
      <c r="N44" s="1"/>
      <c r="O44" s="1"/>
      <c r="P44" s="1"/>
      <c r="Q44" s="1"/>
      <c r="R44" s="1"/>
      <c r="S44" s="1"/>
      <c r="T44" s="1"/>
      <c r="U44" s="1"/>
      <c r="V44" s="1"/>
      <c r="W44" s="1"/>
      <c r="X44" s="1"/>
      <c r="Y44" s="1"/>
      <c r="Z44" s="1"/>
    </row>
    <row r="45" ht="15.75" customHeight="1">
      <c r="A45" s="16" t="str">
        <f>IFERROR(__xludf.DUMMYFUNCTION("""COMPUTED_VALUE"""),"One For Another")</f>
        <v>One For Another</v>
      </c>
      <c r="B45" s="17">
        <f>IFERROR(__xludf.DUMMYFUNCTION("""COMPUTED_VALUE"""),6.0)</f>
        <v>6</v>
      </c>
      <c r="C45" s="16"/>
      <c r="D45" s="16" t="str">
        <f>IFERROR(__xludf.DUMMYFUNCTION("""COMPUTED_VALUE"""),"X")</f>
        <v>X</v>
      </c>
      <c r="E45" s="16" t="str">
        <f>IFERROR(__xludf.DUMMYFUNCTION("""COMPUTED_VALUE"""),"Drain all but 1HP from a party member to Drain all but 1HP from 1 enemy.")</f>
        <v>Drain all but 1HP from a party member to Drain all but 1HP from 1 enemy.</v>
      </c>
      <c r="F45" s="16" t="str">
        <f>IFERROR(__xludf.DUMMYFUNCTION("""COMPUTED_VALUE"""),"Hit/Miss")</f>
        <v>Hit/Miss</v>
      </c>
      <c r="G45" s="18">
        <f>IFERROR(__xludf.DUMMYFUNCTION("""COMPUTED_VALUE"""),1.0)</f>
        <v>1</v>
      </c>
      <c r="H45" s="27" t="str">
        <f>IFERROR(__xludf.DUMMYFUNCTION("""COMPUTED_VALUE"""),"Blood")</f>
        <v>Blood</v>
      </c>
      <c r="I45" s="20" t="str">
        <f>IFERROR(__xludf.DUMMYFUNCTION("""COMPUTED_VALUE"""),"Player")</f>
        <v>Player</v>
      </c>
      <c r="J45" s="21" t="b">
        <f>IFERROR(__xludf.DUMMYFUNCTION("""COMPUTED_VALUE"""),FALSE)</f>
        <v>0</v>
      </c>
      <c r="K45" s="21"/>
      <c r="L45" s="21" t="b">
        <f>IFERROR(__xludf.DUMMYFUNCTION("""COMPUTED_VALUE"""),TRUE)</f>
        <v>1</v>
      </c>
      <c r="M45" s="21" t="b">
        <f>IFERROR(__xludf.DUMMYFUNCTION("""COMPUTED_VALUE"""),FALSE)</f>
        <v>0</v>
      </c>
      <c r="N45" s="1"/>
      <c r="O45" s="1"/>
      <c r="P45" s="1"/>
      <c r="Q45" s="1"/>
      <c r="R45" s="1"/>
      <c r="S45" s="1"/>
      <c r="T45" s="1"/>
      <c r="U45" s="1"/>
      <c r="V45" s="1"/>
      <c r="W45" s="1"/>
      <c r="X45" s="1"/>
      <c r="Y45" s="1"/>
      <c r="Z45" s="1"/>
    </row>
    <row r="46" ht="15.75" customHeight="1">
      <c r="A46" s="16" t="str">
        <f>IFERROR(__xludf.DUMMYFUNCTION("""COMPUTED_VALUE"""),"Purified Blood")</f>
        <v>Purified Blood</v>
      </c>
      <c r="B46" s="17">
        <f>IFERROR(__xludf.DUMMYFUNCTION("""COMPUTED_VALUE"""),6.0)</f>
        <v>6</v>
      </c>
      <c r="C46" s="16"/>
      <c r="D46" s="16">
        <f>IFERROR(__xludf.DUMMYFUNCTION("""COMPUTED_VALUE"""),60.0)</f>
        <v>60</v>
      </c>
      <c r="E46" s="16" t="str">
        <f>IFERROR(__xludf.DUMMYFUNCTION("""COMPUTED_VALUE"""),"Cure a target of the Bleed effect, or drain 10,000 health from an undead creature.")</f>
        <v>Cure a target of the Bleed effect, or drain 10,000 health from an undead creature.</v>
      </c>
      <c r="F46" s="16" t="str">
        <f>IFERROR(__xludf.DUMMYFUNCTION("""COMPUTED_VALUE"""),"Hit/Miss")</f>
        <v>Hit/Miss</v>
      </c>
      <c r="G46" s="18">
        <f>IFERROR(__xludf.DUMMYFUNCTION("""COMPUTED_VALUE"""),1.0)</f>
        <v>1</v>
      </c>
      <c r="H46" s="27" t="str">
        <f>IFERROR(__xludf.DUMMYFUNCTION("""COMPUTED_VALUE"""),"Blood")</f>
        <v>Blood</v>
      </c>
      <c r="I46" s="20" t="str">
        <f>IFERROR(__xludf.DUMMYFUNCTION("""COMPUTED_VALUE"""),"Player")</f>
        <v>Player</v>
      </c>
      <c r="J46" s="21" t="b">
        <f>IFERROR(__xludf.DUMMYFUNCTION("""COMPUTED_VALUE"""),FALSE)</f>
        <v>0</v>
      </c>
      <c r="K46" s="21"/>
      <c r="L46" s="21" t="b">
        <f>IFERROR(__xludf.DUMMYFUNCTION("""COMPUTED_VALUE"""),TRUE)</f>
        <v>1</v>
      </c>
      <c r="M46" s="21" t="b">
        <f>IFERROR(__xludf.DUMMYFUNCTION("""COMPUTED_VALUE"""),FALSE)</f>
        <v>0</v>
      </c>
      <c r="N46" s="1"/>
      <c r="O46" s="1"/>
      <c r="P46" s="1"/>
      <c r="Q46" s="1"/>
      <c r="R46" s="1"/>
      <c r="S46" s="1"/>
      <c r="T46" s="1"/>
      <c r="U46" s="1"/>
      <c r="V46" s="1"/>
      <c r="W46" s="1"/>
      <c r="X46" s="1"/>
      <c r="Y46" s="1"/>
      <c r="Z46" s="1"/>
    </row>
    <row r="47" ht="15.75" customHeight="1">
      <c r="A47" s="16" t="str">
        <f>IFERROR(__xludf.DUMMYFUNCTION("""COMPUTED_VALUE"""),"Swallow")</f>
        <v>Swallow</v>
      </c>
      <c r="B47" s="17">
        <f>IFERROR(__xludf.DUMMYFUNCTION("""COMPUTED_VALUE"""),7.0)</f>
        <v>7</v>
      </c>
      <c r="C47" s="16"/>
      <c r="D47" s="16">
        <f>IFERROR(__xludf.DUMMYFUNCTION("""COMPUTED_VALUE"""),100.0)</f>
        <v>100</v>
      </c>
      <c r="E47" s="16" t="str">
        <f>IFERROR(__xludf.DUMMYFUNCTION("""COMPUTED_VALUE"""),"If Target’s Max HP is at least 500 &lt; Caster’s Max HP, The target is instantly vanquished.")</f>
        <v>If Target’s Max HP is at least 500 &lt; Caster’s Max HP, The target is instantly vanquished.</v>
      </c>
      <c r="F47" s="16" t="str">
        <f>IFERROR(__xludf.DUMMYFUNCTION("""COMPUTED_VALUE"""),"Fail/Succeed")</f>
        <v>Fail/Succeed</v>
      </c>
      <c r="G47" s="18">
        <f>IFERROR(__xludf.DUMMYFUNCTION("""COMPUTED_VALUE"""),1.0)</f>
        <v>1</v>
      </c>
      <c r="H47" s="27" t="str">
        <f>IFERROR(__xludf.DUMMYFUNCTION("""COMPUTED_VALUE"""),"Blood")</f>
        <v>Blood</v>
      </c>
      <c r="I47" s="20" t="str">
        <f>IFERROR(__xludf.DUMMYFUNCTION("""COMPUTED_VALUE"""),"Mob")</f>
        <v>Mob</v>
      </c>
      <c r="J47" s="21" t="b">
        <f>IFERROR(__xludf.DUMMYFUNCTION("""COMPUTED_VALUE"""),TRUE)</f>
        <v>1</v>
      </c>
      <c r="K47" s="21"/>
      <c r="L47" s="21" t="b">
        <f>IFERROR(__xludf.DUMMYFUNCTION("""COMPUTED_VALUE"""),TRUE)</f>
        <v>1</v>
      </c>
      <c r="M47" s="21" t="b">
        <f>IFERROR(__xludf.DUMMYFUNCTION("""COMPUTED_VALUE"""),FALSE)</f>
        <v>0</v>
      </c>
      <c r="N47" s="1"/>
      <c r="O47" s="1"/>
      <c r="P47" s="1"/>
      <c r="Q47" s="1"/>
      <c r="R47" s="1"/>
      <c r="S47" s="1"/>
      <c r="T47" s="1"/>
      <c r="U47" s="1"/>
      <c r="V47" s="1"/>
      <c r="W47" s="1"/>
      <c r="X47" s="1"/>
      <c r="Y47" s="1"/>
      <c r="Z47" s="1"/>
    </row>
    <row r="48" ht="15.75" customHeight="1">
      <c r="A48" s="16" t="str">
        <f>IFERROR(__xludf.DUMMYFUNCTION("""COMPUTED_VALUE"""),"Tainted Blood")</f>
        <v>Tainted Blood</v>
      </c>
      <c r="B48" s="17">
        <f>IFERROR(__xludf.DUMMYFUNCTION("""COMPUTED_VALUE"""),6.0)</f>
        <v>6</v>
      </c>
      <c r="C48" s="16"/>
      <c r="D48" s="16">
        <f>IFERROR(__xludf.DUMMYFUNCTION("""COMPUTED_VALUE"""),60.0)</f>
        <v>60</v>
      </c>
      <c r="E48" s="16" t="str">
        <f>IFERROR(__xludf.DUMMYFUNCTION("""COMPUTED_VALUE"""),"Inflict Undead (Dark) for 3 rounds to 1 target.")</f>
        <v>Inflict Undead (Dark) for 3 rounds to 1 target.</v>
      </c>
      <c r="F48" s="16" t="str">
        <f>IFERROR(__xludf.DUMMYFUNCTION("""COMPUTED_VALUE"""),"Fail/Succeed")</f>
        <v>Fail/Succeed</v>
      </c>
      <c r="G48" s="18"/>
      <c r="H48" s="27" t="str">
        <f>IFERROR(__xludf.DUMMYFUNCTION("""COMPUTED_VALUE"""),"Blood")</f>
        <v>Blood</v>
      </c>
      <c r="I48" s="20" t="str">
        <f>IFERROR(__xludf.DUMMYFUNCTION("""COMPUTED_VALUE"""),"Player")</f>
        <v>Player</v>
      </c>
      <c r="J48" s="21" t="b">
        <f>IFERROR(__xludf.DUMMYFUNCTION("""COMPUTED_VALUE"""),FALSE)</f>
        <v>0</v>
      </c>
      <c r="K48" s="21"/>
      <c r="L48" s="21" t="b">
        <f>IFERROR(__xludf.DUMMYFUNCTION("""COMPUTED_VALUE"""),TRUE)</f>
        <v>1</v>
      </c>
      <c r="M48" s="21" t="b">
        <f>IFERROR(__xludf.DUMMYFUNCTION("""COMPUTED_VALUE"""),FALSE)</f>
        <v>0</v>
      </c>
      <c r="N48" s="1"/>
      <c r="O48" s="1"/>
      <c r="P48" s="1"/>
      <c r="Q48" s="1"/>
      <c r="R48" s="1"/>
      <c r="S48" s="1"/>
      <c r="T48" s="1"/>
      <c r="U48" s="1"/>
      <c r="V48" s="1"/>
      <c r="W48" s="1"/>
      <c r="X48" s="1"/>
      <c r="Y48" s="1"/>
      <c r="Z48" s="1"/>
    </row>
    <row r="49" ht="15.75" customHeight="1">
      <c r="A49" s="16" t="str">
        <f>IFERROR(__xludf.DUMMYFUNCTION("""COMPUTED_VALUE"""),"Absorb Life")</f>
        <v>Absorb Life</v>
      </c>
      <c r="B49" s="17">
        <f>IFERROR(__xludf.DUMMYFUNCTION("""COMPUTED_VALUE"""),1.0)</f>
        <v>1</v>
      </c>
      <c r="C49" s="16"/>
      <c r="D49" s="16">
        <f>IFERROR(__xludf.DUMMYFUNCTION("""COMPUTED_VALUE"""),0.0)</f>
        <v>0</v>
      </c>
      <c r="E49" s="16" t="str">
        <f>IFERROR(__xludf.DUMMYFUNCTION("""COMPUTED_VALUE"""),"Drain X*2 HP from 1 target, where X is equal to your accuracy.")</f>
        <v>Drain X*2 HP from 1 target, where X is equal to your accuracy.</v>
      </c>
      <c r="F49" s="16" t="str">
        <f>IFERROR(__xludf.DUMMYFUNCTION("""COMPUTED_VALUE"""),"Natural/ Hit or Miss")</f>
        <v>Natural/ Hit or Miss</v>
      </c>
      <c r="G49" s="18">
        <f>IFERROR(__xludf.DUMMYFUNCTION("""COMPUTED_VALUE"""),1.0)</f>
        <v>1</v>
      </c>
      <c r="H49" s="27" t="str">
        <f>IFERROR(__xludf.DUMMYFUNCTION("""COMPUTED_VALUE"""),"Blood")</f>
        <v>Blood</v>
      </c>
      <c r="I49" s="20" t="str">
        <f>IFERROR(__xludf.DUMMYFUNCTION("""COMPUTED_VALUE"""),"Player")</f>
        <v>Player</v>
      </c>
      <c r="J49" s="21" t="b">
        <f>IFERROR(__xludf.DUMMYFUNCTION("""COMPUTED_VALUE"""),FALSE)</f>
        <v>0</v>
      </c>
      <c r="K49" s="21"/>
      <c r="L49" s="21" t="b">
        <f>IFERROR(__xludf.DUMMYFUNCTION("""COMPUTED_VALUE"""),FALSE)</f>
        <v>0</v>
      </c>
      <c r="M49" s="21" t="b">
        <f>IFERROR(__xludf.DUMMYFUNCTION("""COMPUTED_VALUE"""),FALSE)</f>
        <v>0</v>
      </c>
      <c r="N49" s="1"/>
      <c r="O49" s="1"/>
      <c r="P49" s="1"/>
      <c r="Q49" s="1"/>
      <c r="R49" s="1"/>
      <c r="S49" s="1"/>
      <c r="T49" s="1"/>
      <c r="U49" s="1"/>
      <c r="V49" s="1"/>
      <c r="W49" s="1"/>
      <c r="X49" s="1"/>
      <c r="Y49" s="1"/>
      <c r="Z49" s="1"/>
    </row>
    <row r="50" ht="15.75" customHeight="1">
      <c r="A50" s="16" t="str">
        <f>IFERROR(__xludf.DUMMYFUNCTION("""COMPUTED_VALUE"""),"Blood Bolt")</f>
        <v>Blood Bolt</v>
      </c>
      <c r="B50" s="17">
        <f>IFERROR(__xludf.DUMMYFUNCTION("""COMPUTED_VALUE"""),1.0)</f>
        <v>1</v>
      </c>
      <c r="C50" s="16"/>
      <c r="D50" s="16" t="str">
        <f>IFERROR(__xludf.DUMMYFUNCTION("""COMPUTED_VALUE"""),"X")</f>
        <v>X</v>
      </c>
      <c r="E50" s="16" t="str">
        <f>IFERROR(__xludf.DUMMYFUNCTION("""COMPUTED_VALUE"""),"Deals X*100 Blood damage to a single enemy where X is equal to HP spent.")</f>
        <v>Deals X*100 Blood damage to a single enemy where X is equal to HP spent.</v>
      </c>
      <c r="F50" s="16" t="str">
        <f>IFERROR(__xludf.DUMMYFUNCTION("""COMPUTED_VALUE"""),"Hit/Miss")</f>
        <v>Hit/Miss</v>
      </c>
      <c r="G50" s="18">
        <f>IFERROR(__xludf.DUMMYFUNCTION("""COMPUTED_VALUE"""),1.0)</f>
        <v>1</v>
      </c>
      <c r="H50" s="27" t="str">
        <f>IFERROR(__xludf.DUMMYFUNCTION("""COMPUTED_VALUE"""),"Blood")</f>
        <v>Blood</v>
      </c>
      <c r="I50" s="20" t="str">
        <f>IFERROR(__xludf.DUMMYFUNCTION("""COMPUTED_VALUE"""),"Player")</f>
        <v>Player</v>
      </c>
      <c r="J50" s="21" t="b">
        <f>IFERROR(__xludf.DUMMYFUNCTION("""COMPUTED_VALUE"""),FALSE)</f>
        <v>0</v>
      </c>
      <c r="K50" s="21"/>
      <c r="L50" s="21" t="b">
        <f>IFERROR(__xludf.DUMMYFUNCTION("""COMPUTED_VALUE"""),FALSE)</f>
        <v>0</v>
      </c>
      <c r="M50" s="21" t="b">
        <f>IFERROR(__xludf.DUMMYFUNCTION("""COMPUTED_VALUE"""),FALSE)</f>
        <v>0</v>
      </c>
      <c r="N50" s="1"/>
      <c r="O50" s="1"/>
      <c r="P50" s="1"/>
      <c r="Q50" s="1"/>
      <c r="R50" s="1"/>
      <c r="S50" s="1"/>
      <c r="T50" s="1"/>
      <c r="U50" s="1"/>
      <c r="V50" s="1"/>
      <c r="W50" s="1"/>
      <c r="X50" s="1"/>
      <c r="Y50" s="1"/>
      <c r="Z50" s="1"/>
    </row>
    <row r="51" ht="15.75" customHeight="1">
      <c r="A51" s="16" t="str">
        <f>IFERROR(__xludf.DUMMYFUNCTION("""COMPUTED_VALUE"""),"Atrophy")</f>
        <v>Atrophy</v>
      </c>
      <c r="B51" s="17">
        <f>IFERROR(__xludf.DUMMYFUNCTION("""COMPUTED_VALUE"""),5.0)</f>
        <v>5</v>
      </c>
      <c r="C51" s="16"/>
      <c r="D51" s="16" t="str">
        <f>IFERROR(__xludf.DUMMYFUNCTION("""COMPUTED_VALUE"""),"X")</f>
        <v>X</v>
      </c>
      <c r="E51" s="16" t="str">
        <f>IFERROR(__xludf.DUMMYFUNCTION("""COMPUTED_VALUE"""),"Deals X*50 Bleed for 3 rounds to a single target where X is equal to HP spent.")</f>
        <v>Deals X*50 Bleed for 3 rounds to a single target where X is equal to HP spent.</v>
      </c>
      <c r="F51" s="16" t="str">
        <f>IFERROR(__xludf.DUMMYFUNCTION("""COMPUTED_VALUE"""),"Hit/Miss")</f>
        <v>Hit/Miss</v>
      </c>
      <c r="G51" s="18">
        <f>IFERROR(__xludf.DUMMYFUNCTION("""COMPUTED_VALUE"""),1.0)</f>
        <v>1</v>
      </c>
      <c r="H51" s="27" t="str">
        <f>IFERROR(__xludf.DUMMYFUNCTION("""COMPUTED_VALUE"""),"Blood")</f>
        <v>Blood</v>
      </c>
      <c r="I51" s="20" t="str">
        <f>IFERROR(__xludf.DUMMYFUNCTION("""COMPUTED_VALUE"""),"Player")</f>
        <v>Player</v>
      </c>
      <c r="J51" s="21" t="b">
        <f>IFERROR(__xludf.DUMMYFUNCTION("""COMPUTED_VALUE"""),FALSE)</f>
        <v>0</v>
      </c>
      <c r="K51" s="21"/>
      <c r="L51" s="21" t="b">
        <f>IFERROR(__xludf.DUMMYFUNCTION("""COMPUTED_VALUE"""),FALSE)</f>
        <v>0</v>
      </c>
      <c r="M51" s="21" t="b">
        <f>IFERROR(__xludf.DUMMYFUNCTION("""COMPUTED_VALUE"""),FALSE)</f>
        <v>0</v>
      </c>
      <c r="N51" s="1"/>
      <c r="O51" s="1"/>
      <c r="P51" s="1"/>
      <c r="Q51" s="1"/>
      <c r="R51" s="1"/>
      <c r="S51" s="1"/>
      <c r="T51" s="1"/>
      <c r="U51" s="1"/>
      <c r="V51" s="1"/>
      <c r="W51" s="1"/>
      <c r="X51" s="1"/>
      <c r="Y51" s="1"/>
      <c r="Z51" s="1"/>
    </row>
    <row r="52" ht="15.75" customHeight="1">
      <c r="A52" s="16" t="str">
        <f>IFERROR(__xludf.DUMMYFUNCTION("""COMPUTED_VALUE"""),"Blood Spray")</f>
        <v>Blood Spray</v>
      </c>
      <c r="B52" s="17">
        <f>IFERROR(__xludf.DUMMYFUNCTION("""COMPUTED_VALUE"""),5.0)</f>
        <v>5</v>
      </c>
      <c r="C52" s="16"/>
      <c r="D52" s="16" t="str">
        <f>IFERROR(__xludf.DUMMYFUNCTION("""COMPUTED_VALUE"""),"X")</f>
        <v>X</v>
      </c>
      <c r="E52" s="16" t="str">
        <f>IFERROR(__xludf.DUMMYFUNCTION("""COMPUTED_VALUE"""),"Deals X*25 Blood damage to all enemies where X is equal to HP spent.")</f>
        <v>Deals X*25 Blood damage to all enemies where X is equal to HP spent.</v>
      </c>
      <c r="F52" s="16" t="str">
        <f>IFERROR(__xludf.DUMMYFUNCTION("""COMPUTED_VALUE"""),"Cannot Avoid")</f>
        <v>Cannot Avoid</v>
      </c>
      <c r="G52" s="18" t="str">
        <f>IFERROR(__xludf.DUMMYFUNCTION("""COMPUTED_VALUE"""),"All")</f>
        <v>All</v>
      </c>
      <c r="H52" s="27" t="str">
        <f>IFERROR(__xludf.DUMMYFUNCTION("""COMPUTED_VALUE"""),"Blood")</f>
        <v>Blood</v>
      </c>
      <c r="I52" s="20" t="str">
        <f>IFERROR(__xludf.DUMMYFUNCTION("""COMPUTED_VALUE"""),"Player")</f>
        <v>Player</v>
      </c>
      <c r="J52" s="21" t="b">
        <f>IFERROR(__xludf.DUMMYFUNCTION("""COMPUTED_VALUE"""),FALSE)</f>
        <v>0</v>
      </c>
      <c r="K52" s="21"/>
      <c r="L52" s="21" t="b">
        <f>IFERROR(__xludf.DUMMYFUNCTION("""COMPUTED_VALUE"""),FALSE)</f>
        <v>0</v>
      </c>
      <c r="M52" s="21" t="b">
        <f>IFERROR(__xludf.DUMMYFUNCTION("""COMPUTED_VALUE"""),FALSE)</f>
        <v>0</v>
      </c>
      <c r="N52" s="1"/>
      <c r="O52" s="1"/>
      <c r="P52" s="1"/>
      <c r="Q52" s="1"/>
      <c r="R52" s="1"/>
      <c r="S52" s="1"/>
      <c r="T52" s="1"/>
      <c r="U52" s="1"/>
      <c r="V52" s="1"/>
      <c r="W52" s="1"/>
      <c r="X52" s="1"/>
      <c r="Y52" s="1"/>
      <c r="Z52" s="1"/>
    </row>
    <row r="53" ht="15.75" customHeight="1">
      <c r="A53" s="16" t="str">
        <f>IFERROR(__xludf.DUMMYFUNCTION("""COMPUTED_VALUE"""),"Mass Blood Control")</f>
        <v>Mass Blood Control</v>
      </c>
      <c r="B53" s="17">
        <f>IFERROR(__xludf.DUMMYFUNCTION("""COMPUTED_VALUE"""),6.0)</f>
        <v>6</v>
      </c>
      <c r="C53" s="16"/>
      <c r="D53" s="16" t="str">
        <f>IFERROR(__xludf.DUMMYFUNCTION("""COMPUTED_VALUE"""),"X")</f>
        <v>X</v>
      </c>
      <c r="E53" s="16" t="str">
        <f>IFERROR(__xludf.DUMMYFUNCTION("""COMPUTED_VALUE"""),"Deals X*10 Bleed to all enemies for 3 rounds where X is equal to HP spent.")</f>
        <v>Deals X*10 Bleed to all enemies for 3 rounds where X is equal to HP spent.</v>
      </c>
      <c r="F53" s="16" t="str">
        <f>IFERROR(__xludf.DUMMYFUNCTION("""COMPUTED_VALUE"""),"Cannot Avoid")</f>
        <v>Cannot Avoid</v>
      </c>
      <c r="G53" s="18" t="str">
        <f>IFERROR(__xludf.DUMMYFUNCTION("""COMPUTED_VALUE"""),"All")</f>
        <v>All</v>
      </c>
      <c r="H53" s="27" t="str">
        <f>IFERROR(__xludf.DUMMYFUNCTION("""COMPUTED_VALUE"""),"Blood")</f>
        <v>Blood</v>
      </c>
      <c r="I53" s="20" t="str">
        <f>IFERROR(__xludf.DUMMYFUNCTION("""COMPUTED_VALUE"""),"Player")</f>
        <v>Player</v>
      </c>
      <c r="J53" s="21" t="b">
        <f>IFERROR(__xludf.DUMMYFUNCTION("""COMPUTED_VALUE"""),FALSE)</f>
        <v>0</v>
      </c>
      <c r="K53" s="21"/>
      <c r="L53" s="21" t="b">
        <f>IFERROR(__xludf.DUMMYFUNCTION("""COMPUTED_VALUE"""),FALSE)</f>
        <v>0</v>
      </c>
      <c r="M53" s="21" t="b">
        <f>IFERROR(__xludf.DUMMYFUNCTION("""COMPUTED_VALUE"""),FALSE)</f>
        <v>0</v>
      </c>
      <c r="N53" s="1"/>
      <c r="O53" s="1"/>
      <c r="P53" s="1"/>
      <c r="Q53" s="1"/>
      <c r="R53" s="1"/>
      <c r="S53" s="1"/>
      <c r="T53" s="1"/>
      <c r="U53" s="1"/>
      <c r="V53" s="1"/>
      <c r="W53" s="1"/>
      <c r="X53" s="1"/>
      <c r="Y53" s="1"/>
      <c r="Z53" s="1"/>
    </row>
    <row r="54" ht="15.75" customHeight="1">
      <c r="A54" s="16" t="str">
        <f>IFERROR(__xludf.DUMMYFUNCTION("""COMPUTED_VALUE"""),"Ancient Frost Mages Ice Show")</f>
        <v>Ancient Frost Mages Ice Show</v>
      </c>
      <c r="B54" s="17">
        <f>IFERROR(__xludf.DUMMYFUNCTION("""COMPUTED_VALUE"""),9.0)</f>
        <v>9</v>
      </c>
      <c r="C54" s="16">
        <f>IFERROR(__xludf.DUMMYFUNCTION("""COMPUTED_VALUE"""),900.0)</f>
        <v>900</v>
      </c>
      <c r="D54" s="16"/>
      <c r="E54" s="16" t="str">
        <f>IFERROR(__xludf.DUMMYFUNCTION("""COMPUTED_VALUE"""),"Summon the spirit of the Ancient Frost Grand Mage to help you for 3 rounds. Level determined by DM/GM.")</f>
        <v>Summon the spirit of the Ancient Frost Grand Mage to help you for 3 rounds. Level determined by DM/GM.</v>
      </c>
      <c r="F54" s="16" t="str">
        <f>IFERROR(__xludf.DUMMYFUNCTION("""COMPUTED_VALUE"""),"Fail/Succeed")</f>
        <v>Fail/Succeed</v>
      </c>
      <c r="G54" s="18" t="str">
        <f>IFERROR(__xludf.DUMMYFUNCTION("""COMPUTED_VALUE"""),"Self")</f>
        <v>Self</v>
      </c>
      <c r="H54" s="27" t="str">
        <f>IFERROR(__xludf.DUMMYFUNCTION("""COMPUTED_VALUE"""),"Celestial")</f>
        <v>Celestial</v>
      </c>
      <c r="I54" s="20" t="str">
        <f>IFERROR(__xludf.DUMMYFUNCTION("""COMPUTED_VALUE"""),"Player")</f>
        <v>Player</v>
      </c>
      <c r="J54" s="21" t="b">
        <f>IFERROR(__xludf.DUMMYFUNCTION("""COMPUTED_VALUE"""),TRUE)</f>
        <v>1</v>
      </c>
      <c r="K54" s="21"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21" t="b">
        <f>IFERROR(__xludf.DUMMYFUNCTION("""COMPUTED_VALUE"""),FALSE)</f>
        <v>0</v>
      </c>
      <c r="M54" s="21" t="b">
        <f>IFERROR(__xludf.DUMMYFUNCTION("""COMPUTED_VALUE"""),FALSE)</f>
        <v>0</v>
      </c>
      <c r="N54" s="1"/>
      <c r="O54" s="1"/>
      <c r="P54" s="1"/>
      <c r="Q54" s="1"/>
      <c r="R54" s="1"/>
      <c r="S54" s="1"/>
      <c r="T54" s="1"/>
      <c r="U54" s="1"/>
      <c r="V54" s="1"/>
      <c r="W54" s="1"/>
      <c r="X54" s="1"/>
      <c r="Y54" s="1"/>
      <c r="Z54" s="1"/>
    </row>
    <row r="55" ht="15.75" customHeight="1">
      <c r="A55" s="16" t="str">
        <f>IFERROR(__xludf.DUMMYFUNCTION("""COMPUTED_VALUE"""),"Celestial Blast")</f>
        <v>Celestial Blast</v>
      </c>
      <c r="B55" s="17">
        <f>IFERROR(__xludf.DUMMYFUNCTION("""COMPUTED_VALUE"""),6.0)</f>
        <v>6</v>
      </c>
      <c r="C55" s="16" t="str">
        <f>IFERROR(__xludf.DUMMYFUNCTION("""COMPUTED_VALUE"""),"X*100")</f>
        <v>X*100</v>
      </c>
      <c r="D55" s="16"/>
      <c r="E55" s="16" t="str">
        <f>IFERROR(__xludf.DUMMYFUNCTION("""COMPUTED_VALUE"""),"Pay X amount of mana for celestial dmg and times the damage by 5000.")</f>
        <v>Pay X amount of mana for celestial dmg and times the damage by 5000.</v>
      </c>
      <c r="F55" s="16" t="str">
        <f>IFERROR(__xludf.DUMMYFUNCTION("""COMPUTED_VALUE"""),"Hit or Miss")</f>
        <v>Hit or Miss</v>
      </c>
      <c r="G55" s="18">
        <f>IFERROR(__xludf.DUMMYFUNCTION("""COMPUTED_VALUE"""),1.0)</f>
        <v>1</v>
      </c>
      <c r="H55" s="27" t="str">
        <f>IFERROR(__xludf.DUMMYFUNCTION("""COMPUTED_VALUE"""),"Celestial")</f>
        <v>Celestial</v>
      </c>
      <c r="I55" s="20" t="str">
        <f>IFERROR(__xludf.DUMMYFUNCTION("""COMPUTED_VALUE"""),"Player")</f>
        <v>Player</v>
      </c>
      <c r="J55" s="21" t="b">
        <f>IFERROR(__xludf.DUMMYFUNCTION("""COMPUTED_VALUE"""),FALSE)</f>
        <v>0</v>
      </c>
      <c r="K55" s="21"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21" t="b">
        <f>IFERROR(__xludf.DUMMYFUNCTION("""COMPUTED_VALUE"""),FALSE)</f>
        <v>0</v>
      </c>
      <c r="M55" s="21" t="b">
        <f>IFERROR(__xludf.DUMMYFUNCTION("""COMPUTED_VALUE"""),FALSE)</f>
        <v>0</v>
      </c>
      <c r="N55" s="1"/>
      <c r="O55" s="1"/>
      <c r="P55" s="1"/>
      <c r="Q55" s="1"/>
      <c r="R55" s="1"/>
      <c r="S55" s="1"/>
      <c r="T55" s="1"/>
      <c r="U55" s="1"/>
      <c r="V55" s="1"/>
      <c r="W55" s="1"/>
      <c r="X55" s="1"/>
      <c r="Y55" s="1"/>
      <c r="Z55" s="1"/>
    </row>
    <row r="56" ht="15.75" customHeight="1">
      <c r="A56" s="16" t="str">
        <f>IFERROR(__xludf.DUMMYFUNCTION("""COMPUTED_VALUE"""),"Celestial Increase I")</f>
        <v>Celestial Increase I</v>
      </c>
      <c r="B56" s="17">
        <f>IFERROR(__xludf.DUMMYFUNCTION("""COMPUTED_VALUE"""),2.0)</f>
        <v>2</v>
      </c>
      <c r="C56" s="16">
        <f>IFERROR(__xludf.DUMMYFUNCTION("""COMPUTED_VALUE"""),200.0)</f>
        <v>200</v>
      </c>
      <c r="D56" s="16"/>
      <c r="E56" s="16" t="str">
        <f>IFERROR(__xludf.DUMMYFUNCTION("""COMPUTED_VALUE"""),"X2 additional Celestial dmg for self + X2 attack and accuracy for self.")</f>
        <v>X2 additional Celestial dmg for self + X2 attack and accuracy for self.</v>
      </c>
      <c r="F56" s="16" t="str">
        <f>IFERROR(__xludf.DUMMYFUNCTION("""COMPUTED_VALUE"""),"Will Succeed")</f>
        <v>Will Succeed</v>
      </c>
      <c r="G56" s="18"/>
      <c r="H56" s="27" t="str">
        <f>IFERROR(__xludf.DUMMYFUNCTION("""COMPUTED_VALUE"""),"Celestial")</f>
        <v>Celestial</v>
      </c>
      <c r="I56" s="20" t="str">
        <f>IFERROR(__xludf.DUMMYFUNCTION("""COMPUTED_VALUE"""),"Player")</f>
        <v>Player</v>
      </c>
      <c r="J56" s="21" t="b">
        <f>IFERROR(__xludf.DUMMYFUNCTION("""COMPUTED_VALUE"""),FALSE)</f>
        <v>0</v>
      </c>
      <c r="K56" s="21"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21" t="b">
        <f>IFERROR(__xludf.DUMMYFUNCTION("""COMPUTED_VALUE"""),FALSE)</f>
        <v>0</v>
      </c>
      <c r="M56" s="21" t="b">
        <f>IFERROR(__xludf.DUMMYFUNCTION("""COMPUTED_VALUE"""),FALSE)</f>
        <v>0</v>
      </c>
      <c r="N56" s="1"/>
      <c r="O56" s="1"/>
      <c r="P56" s="1"/>
      <c r="Q56" s="1"/>
      <c r="R56" s="1"/>
      <c r="S56" s="1"/>
      <c r="T56" s="1"/>
      <c r="U56" s="1"/>
      <c r="V56" s="1"/>
      <c r="W56" s="1"/>
      <c r="X56" s="1"/>
      <c r="Y56" s="1"/>
      <c r="Z56" s="1"/>
    </row>
    <row r="57" ht="15.75" customHeight="1">
      <c r="A57" s="16" t="str">
        <f>IFERROR(__xludf.DUMMYFUNCTION("""COMPUTED_VALUE"""),"Celestial Increase II")</f>
        <v>Celestial Increase II</v>
      </c>
      <c r="B57" s="17">
        <f>IFERROR(__xludf.DUMMYFUNCTION("""COMPUTED_VALUE"""),3.0)</f>
        <v>3</v>
      </c>
      <c r="C57" s="16">
        <f>IFERROR(__xludf.DUMMYFUNCTION("""COMPUTED_VALUE"""),300.0)</f>
        <v>300</v>
      </c>
      <c r="D57" s="16"/>
      <c r="E57" s="16" t="str">
        <f>IFERROR(__xludf.DUMMYFUNCTION("""COMPUTED_VALUE"""),"X4 Celestial dmg for self + X4 attack and accuracy for self.")</f>
        <v>X4 Celestial dmg for self + X4 attack and accuracy for self.</v>
      </c>
      <c r="F57" s="16" t="str">
        <f>IFERROR(__xludf.DUMMYFUNCTION("""COMPUTED_VALUE"""),"Will Succeed")</f>
        <v>Will Succeed</v>
      </c>
      <c r="G57" s="18"/>
      <c r="H57" s="27" t="str">
        <f>IFERROR(__xludf.DUMMYFUNCTION("""COMPUTED_VALUE"""),"Celestial")</f>
        <v>Celestial</v>
      </c>
      <c r="I57" s="20" t="str">
        <f>IFERROR(__xludf.DUMMYFUNCTION("""COMPUTED_VALUE"""),"Player")</f>
        <v>Player</v>
      </c>
      <c r="J57" s="21" t="b">
        <f>IFERROR(__xludf.DUMMYFUNCTION("""COMPUTED_VALUE"""),FALSE)</f>
        <v>0</v>
      </c>
      <c r="K57" s="21"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21" t="b">
        <f>IFERROR(__xludf.DUMMYFUNCTION("""COMPUTED_VALUE"""),FALSE)</f>
        <v>0</v>
      </c>
      <c r="M57" s="21" t="b">
        <f>IFERROR(__xludf.DUMMYFUNCTION("""COMPUTED_VALUE"""),FALSE)</f>
        <v>0</v>
      </c>
      <c r="N57" s="1"/>
      <c r="O57" s="1"/>
      <c r="P57" s="1"/>
      <c r="Q57" s="1"/>
      <c r="R57" s="1"/>
      <c r="S57" s="1"/>
      <c r="T57" s="1"/>
      <c r="U57" s="1"/>
      <c r="V57" s="1"/>
      <c r="W57" s="1"/>
      <c r="X57" s="1"/>
      <c r="Y57" s="1"/>
      <c r="Z57" s="1"/>
    </row>
    <row r="58" ht="15.75" customHeight="1">
      <c r="A58" s="16" t="str">
        <f>IFERROR(__xludf.DUMMYFUNCTION("""COMPUTED_VALUE"""),"Celestial Portal")</f>
        <v>Celestial Portal</v>
      </c>
      <c r="B58" s="17">
        <f>IFERROR(__xludf.DUMMYFUNCTION("""COMPUTED_VALUE"""),2.0)</f>
        <v>2</v>
      </c>
      <c r="C58" s="16">
        <f>IFERROR(__xludf.DUMMYFUNCTION("""COMPUTED_VALUE"""),200.0)</f>
        <v>200</v>
      </c>
      <c r="D58" s="16"/>
      <c r="E58" s="16" t="str">
        <f>IFERROR(__xludf.DUMMYFUNCTION("""COMPUTED_VALUE"""),"6000 celestial continuous damage to one target.")</f>
        <v>6000 celestial continuous damage to one target.</v>
      </c>
      <c r="F58" s="16" t="str">
        <f>IFERROR(__xludf.DUMMYFUNCTION("""COMPUTED_VALUE"""),"Hit or Miss")</f>
        <v>Hit or Miss</v>
      </c>
      <c r="G58" s="18">
        <f>IFERROR(__xludf.DUMMYFUNCTION("""COMPUTED_VALUE"""),1.0)</f>
        <v>1</v>
      </c>
      <c r="H58" s="27" t="str">
        <f>IFERROR(__xludf.DUMMYFUNCTION("""COMPUTED_VALUE"""),"Celestial")</f>
        <v>Celestial</v>
      </c>
      <c r="I58" s="20" t="str">
        <f>IFERROR(__xludf.DUMMYFUNCTION("""COMPUTED_VALUE"""),"Player")</f>
        <v>Player</v>
      </c>
      <c r="J58" s="21" t="b">
        <f>IFERROR(__xludf.DUMMYFUNCTION("""COMPUTED_VALUE"""),FALSE)</f>
        <v>0</v>
      </c>
      <c r="K58" s="21"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21" t="b">
        <f>IFERROR(__xludf.DUMMYFUNCTION("""COMPUTED_VALUE"""),FALSE)</f>
        <v>0</v>
      </c>
      <c r="M58" s="21" t="b">
        <f>IFERROR(__xludf.DUMMYFUNCTION("""COMPUTED_VALUE"""),FALSE)</f>
        <v>0</v>
      </c>
      <c r="N58" s="1"/>
      <c r="O58" s="1"/>
      <c r="P58" s="1"/>
      <c r="Q58" s="1"/>
      <c r="R58" s="1"/>
      <c r="S58" s="1"/>
      <c r="T58" s="1"/>
      <c r="U58" s="1"/>
      <c r="V58" s="1"/>
      <c r="W58" s="1"/>
      <c r="X58" s="1"/>
      <c r="Y58" s="1"/>
      <c r="Z58" s="1"/>
    </row>
    <row r="59" ht="15.75" customHeight="1">
      <c r="A59" s="16" t="str">
        <f>IFERROR(__xludf.DUMMYFUNCTION("""COMPUTED_VALUE"""),"Celestial Shield")</f>
        <v>Celestial Shield</v>
      </c>
      <c r="B59" s="17">
        <f>IFERROR(__xludf.DUMMYFUNCTION("""COMPUTED_VALUE"""),4.0)</f>
        <v>4</v>
      </c>
      <c r="C59" s="16">
        <f>IFERROR(__xludf.DUMMYFUNCTION("""COMPUTED_VALUE"""),400.0)</f>
        <v>400</v>
      </c>
      <c r="D59" s="16"/>
      <c r="E59" s="16" t="str">
        <f>IFERROR(__xludf.DUMMYFUNCTION("""COMPUTED_VALUE"""),"Gives caster X2 def, and X2 resistance to astral dmg. (can only be used once per battle)")</f>
        <v>Gives caster X2 def, and X2 resistance to astral dmg. (can only be used once per battle)</v>
      </c>
      <c r="F59" s="16" t="str">
        <f>IFERROR(__xludf.DUMMYFUNCTION("""COMPUTED_VALUE"""),"Will Succeed")</f>
        <v>Will Succeed</v>
      </c>
      <c r="G59" s="18"/>
      <c r="H59" s="27" t="str">
        <f>IFERROR(__xludf.DUMMYFUNCTION("""COMPUTED_VALUE"""),"Celestial")</f>
        <v>Celestial</v>
      </c>
      <c r="I59" s="20" t="str">
        <f>IFERROR(__xludf.DUMMYFUNCTION("""COMPUTED_VALUE"""),"Player")</f>
        <v>Player</v>
      </c>
      <c r="J59" s="21" t="b">
        <f>IFERROR(__xludf.DUMMYFUNCTION("""COMPUTED_VALUE"""),FALSE)</f>
        <v>0</v>
      </c>
      <c r="K59" s="21"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21" t="b">
        <f>IFERROR(__xludf.DUMMYFUNCTION("""COMPUTED_VALUE"""),FALSE)</f>
        <v>0</v>
      </c>
      <c r="M59" s="21" t="b">
        <f>IFERROR(__xludf.DUMMYFUNCTION("""COMPUTED_VALUE"""),FALSE)</f>
        <v>0</v>
      </c>
      <c r="N59" s="1"/>
      <c r="O59" s="1"/>
      <c r="P59" s="1"/>
      <c r="Q59" s="1"/>
      <c r="R59" s="1"/>
      <c r="S59" s="1"/>
      <c r="T59" s="1"/>
      <c r="U59" s="1"/>
      <c r="V59" s="1"/>
      <c r="W59" s="1"/>
      <c r="X59" s="1"/>
      <c r="Y59" s="1"/>
      <c r="Z59" s="1"/>
    </row>
    <row r="60" ht="15.75" customHeight="1">
      <c r="A60" s="16" t="str">
        <f>IFERROR(__xludf.DUMMYFUNCTION("""COMPUTED_VALUE"""),"Celestial Strike")</f>
        <v>Celestial Strike</v>
      </c>
      <c r="B60" s="17">
        <f>IFERROR(__xludf.DUMMYFUNCTION("""COMPUTED_VALUE"""),1.0)</f>
        <v>1</v>
      </c>
      <c r="C60" s="16">
        <f>IFERROR(__xludf.DUMMYFUNCTION("""COMPUTED_VALUE"""),100.0)</f>
        <v>100</v>
      </c>
      <c r="D60" s="16"/>
      <c r="E60" s="16" t="str">
        <f>IFERROR(__xludf.DUMMYFUNCTION("""COMPUTED_VALUE"""),"6000 celestial damage, X2 attack and accuracy for self if you hit the target..")</f>
        <v>6000 celestial damage, X2 attack and accuracy for self if you hit the target..</v>
      </c>
      <c r="F60" s="16" t="str">
        <f>IFERROR(__xludf.DUMMYFUNCTION("""COMPUTED_VALUE"""),"Hit/Miss")</f>
        <v>Hit/Miss</v>
      </c>
      <c r="G60" s="18">
        <f>IFERROR(__xludf.DUMMYFUNCTION("""COMPUTED_VALUE"""),1.0)</f>
        <v>1</v>
      </c>
      <c r="H60" s="27" t="str">
        <f>IFERROR(__xludf.DUMMYFUNCTION("""COMPUTED_VALUE"""),"Celestial")</f>
        <v>Celestial</v>
      </c>
      <c r="I60" s="20" t="str">
        <f>IFERROR(__xludf.DUMMYFUNCTION("""COMPUTED_VALUE"""),"Player")</f>
        <v>Player</v>
      </c>
      <c r="J60" s="21" t="b">
        <f>IFERROR(__xludf.DUMMYFUNCTION("""COMPUTED_VALUE"""),FALSE)</f>
        <v>0</v>
      </c>
      <c r="K60" s="21"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21" t="b">
        <f>IFERROR(__xludf.DUMMYFUNCTION("""COMPUTED_VALUE"""),FALSE)</f>
        <v>0</v>
      </c>
      <c r="M60" s="21" t="b">
        <f>IFERROR(__xludf.DUMMYFUNCTION("""COMPUTED_VALUE"""),FALSE)</f>
        <v>0</v>
      </c>
      <c r="N60" s="1"/>
      <c r="O60" s="1"/>
      <c r="P60" s="1"/>
      <c r="Q60" s="1"/>
      <c r="R60" s="1"/>
      <c r="S60" s="1"/>
      <c r="T60" s="1"/>
      <c r="U60" s="1"/>
      <c r="V60" s="1"/>
      <c r="W60" s="1"/>
      <c r="X60" s="1"/>
      <c r="Y60" s="1"/>
      <c r="Z60" s="1"/>
    </row>
    <row r="61" ht="15.75" customHeight="1">
      <c r="A61" s="16" t="str">
        <f>IFERROR(__xludf.DUMMYFUNCTION("""COMPUTED_VALUE"""),"Celestial Summon")</f>
        <v>Celestial Summon</v>
      </c>
      <c r="B61" s="17">
        <f>IFERROR(__xludf.DUMMYFUNCTION("""COMPUTED_VALUE"""),8.0)</f>
        <v>8</v>
      </c>
      <c r="C61" s="16">
        <f>IFERROR(__xludf.DUMMYFUNCTION("""COMPUTED_VALUE"""),800.0)</f>
        <v>800</v>
      </c>
      <c r="D61" s="16"/>
      <c r="E61" s="16" t="str">
        <f>IFERROR(__xludf.DUMMYFUNCTION("""COMPUTED_VALUE"""),"Summon a mob as an ally. Level and Mob is determined by DM/GM.  ")</f>
        <v>Summon a mob as an ally. Level and Mob is determined by DM/GM.  </v>
      </c>
      <c r="F61" s="16" t="str">
        <f>IFERROR(__xludf.DUMMYFUNCTION("""COMPUTED_VALUE"""),"Fail/Succeed")</f>
        <v>Fail/Succeed</v>
      </c>
      <c r="G61" s="18"/>
      <c r="H61" s="27" t="str">
        <f>IFERROR(__xludf.DUMMYFUNCTION("""COMPUTED_VALUE"""),"Celestial")</f>
        <v>Celestial</v>
      </c>
      <c r="I61" s="20" t="str">
        <f>IFERROR(__xludf.DUMMYFUNCTION("""COMPUTED_VALUE"""),"Player")</f>
        <v>Player</v>
      </c>
      <c r="J61" s="21" t="b">
        <f>IFERROR(__xludf.DUMMYFUNCTION("""COMPUTED_VALUE"""),FALSE)</f>
        <v>0</v>
      </c>
      <c r="K61" s="21"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21" t="b">
        <f>IFERROR(__xludf.DUMMYFUNCTION("""COMPUTED_VALUE"""),FALSE)</f>
        <v>0</v>
      </c>
      <c r="M61" s="21" t="b">
        <f>IFERROR(__xludf.DUMMYFUNCTION("""COMPUTED_VALUE"""),FALSE)</f>
        <v>0</v>
      </c>
      <c r="N61" s="1"/>
      <c r="O61" s="1"/>
      <c r="P61" s="1"/>
      <c r="Q61" s="1"/>
      <c r="R61" s="1"/>
      <c r="S61" s="1"/>
      <c r="T61" s="1"/>
      <c r="U61" s="1"/>
      <c r="V61" s="1"/>
      <c r="W61" s="1"/>
      <c r="X61" s="1"/>
      <c r="Y61" s="1"/>
      <c r="Z61" s="1"/>
    </row>
    <row r="62" ht="15.75" customHeight="1">
      <c r="A62" s="16" t="str">
        <f>IFERROR(__xludf.DUMMYFUNCTION("""COMPUTED_VALUE"""),"Celestial Wave")</f>
        <v>Celestial Wave</v>
      </c>
      <c r="B62" s="17">
        <f>IFERROR(__xludf.DUMMYFUNCTION("""COMPUTED_VALUE"""),5.0)</f>
        <v>5</v>
      </c>
      <c r="C62" s="16">
        <f>IFERROR(__xludf.DUMMYFUNCTION("""COMPUTED_VALUE"""),500.0)</f>
        <v>500</v>
      </c>
      <c r="D62" s="16"/>
      <c r="E62" s="16" t="str">
        <f>IFERROR(__xludf.DUMMYFUNCTION("""COMPUTED_VALUE"""),"30000 Celestial dmg to all enemies.")</f>
        <v>30000 Celestial dmg to all enemies.</v>
      </c>
      <c r="F62" s="16" t="str">
        <f>IFERROR(__xludf.DUMMYFUNCTION("""COMPUTED_VALUE"""),"Cannot be avoided")</f>
        <v>Cannot be avoided</v>
      </c>
      <c r="G62" s="18"/>
      <c r="H62" s="28" t="str">
        <f>IFERROR(__xludf.DUMMYFUNCTION("""COMPUTED_VALUE"""),"Celestial")</f>
        <v>Celestial</v>
      </c>
      <c r="I62" s="20" t="str">
        <f>IFERROR(__xludf.DUMMYFUNCTION("""COMPUTED_VALUE"""),"Player")</f>
        <v>Player</v>
      </c>
      <c r="J62" s="21" t="b">
        <f>IFERROR(__xludf.DUMMYFUNCTION("""COMPUTED_VALUE"""),FALSE)</f>
        <v>0</v>
      </c>
      <c r="K62" s="21"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21" t="b">
        <f>IFERROR(__xludf.DUMMYFUNCTION("""COMPUTED_VALUE"""),FALSE)</f>
        <v>0</v>
      </c>
      <c r="M62" s="21" t="b">
        <f>IFERROR(__xludf.DUMMYFUNCTION("""COMPUTED_VALUE"""),FALSE)</f>
        <v>0</v>
      </c>
      <c r="N62" s="1"/>
      <c r="O62" s="1"/>
      <c r="P62" s="1"/>
      <c r="Q62" s="1"/>
      <c r="R62" s="1"/>
      <c r="S62" s="1"/>
      <c r="T62" s="1"/>
      <c r="U62" s="1"/>
      <c r="V62" s="1"/>
      <c r="W62" s="1"/>
      <c r="X62" s="1"/>
      <c r="Y62" s="1"/>
      <c r="Z62" s="1"/>
    </row>
    <row r="63" ht="15.75" customHeight="1">
      <c r="A63" s="16" t="str">
        <f>IFERROR(__xludf.DUMMYFUNCTION("""COMPUTED_VALUE"""),"Celestial Wrath")</f>
        <v>Celestial Wrath</v>
      </c>
      <c r="B63" s="17">
        <f>IFERROR(__xludf.DUMMYFUNCTION("""COMPUTED_VALUE"""),7.0)</f>
        <v>7</v>
      </c>
      <c r="C63" s="16">
        <f>IFERROR(__xludf.DUMMYFUNCTION("""COMPUTED_VALUE"""),700.0)</f>
        <v>700</v>
      </c>
      <c r="D63" s="16"/>
      <c r="E63" s="16" t="str">
        <f>IFERROR(__xludf.DUMMYFUNCTION("""COMPUTED_VALUE"""),"Causes 42000 Celestial dmg to all enemies, +7000 def to self and allies.")</f>
        <v>Causes 42000 Celestial dmg to all enemies, +7000 def to self and allies.</v>
      </c>
      <c r="F63" s="16" t="str">
        <f>IFERROR(__xludf.DUMMYFUNCTION("""COMPUTED_VALUE"""),"Cannot Avoid")</f>
        <v>Cannot Avoid</v>
      </c>
      <c r="G63" s="18"/>
      <c r="H63" s="28" t="str">
        <f>IFERROR(__xludf.DUMMYFUNCTION("""COMPUTED_VALUE"""),"Celestial")</f>
        <v>Celestial</v>
      </c>
      <c r="I63" s="20" t="str">
        <f>IFERROR(__xludf.DUMMYFUNCTION("""COMPUTED_VALUE"""),"Player")</f>
        <v>Player</v>
      </c>
      <c r="J63" s="21" t="b">
        <f>IFERROR(__xludf.DUMMYFUNCTION("""COMPUTED_VALUE"""),FALSE)</f>
        <v>0</v>
      </c>
      <c r="K63" s="21"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21" t="b">
        <f>IFERROR(__xludf.DUMMYFUNCTION("""COMPUTED_VALUE"""),FALSE)</f>
        <v>0</v>
      </c>
      <c r="M63" s="21" t="b">
        <f>IFERROR(__xludf.DUMMYFUNCTION("""COMPUTED_VALUE"""),FALSE)</f>
        <v>0</v>
      </c>
      <c r="N63" s="1"/>
      <c r="O63" s="1"/>
      <c r="P63" s="1"/>
      <c r="Q63" s="1"/>
      <c r="R63" s="1"/>
      <c r="S63" s="1"/>
      <c r="T63" s="1"/>
      <c r="U63" s="1"/>
      <c r="V63" s="1"/>
      <c r="W63" s="1"/>
      <c r="X63" s="1"/>
      <c r="Y63" s="1"/>
      <c r="Z63" s="1"/>
    </row>
    <row r="64" ht="15.75" customHeight="1">
      <c r="A64" s="16" t="str">
        <f>IFERROR(__xludf.DUMMYFUNCTION("""COMPUTED_VALUE"""),"Defender of The Flame")</f>
        <v>Defender of The Flame</v>
      </c>
      <c r="B64" s="17">
        <f>IFERROR(__xludf.DUMMYFUNCTION("""COMPUTED_VALUE"""),9.0)</f>
        <v>9</v>
      </c>
      <c r="C64" s="16">
        <f>IFERROR(__xludf.DUMMYFUNCTION("""COMPUTED_VALUE"""),900.0)</f>
        <v>900</v>
      </c>
      <c r="D64" s="16"/>
      <c r="E64" s="16"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16" t="str">
        <f>IFERROR(__xludf.DUMMYFUNCTION("""COMPUTED_VALUE"""),"Fail/Succeed")</f>
        <v>Fail/Succeed</v>
      </c>
      <c r="G64" s="18" t="str">
        <f>IFERROR(__xludf.DUMMYFUNCTION("""COMPUTED_VALUE"""),"Self")</f>
        <v>Self</v>
      </c>
      <c r="H64" s="28" t="str">
        <f>IFERROR(__xludf.DUMMYFUNCTION("""COMPUTED_VALUE"""),"Celestial")</f>
        <v>Celestial</v>
      </c>
      <c r="I64" s="20" t="str">
        <f>IFERROR(__xludf.DUMMYFUNCTION("""COMPUTED_VALUE"""),"Player")</f>
        <v>Player</v>
      </c>
      <c r="J64" s="21" t="b">
        <f>IFERROR(__xludf.DUMMYFUNCTION("""COMPUTED_VALUE"""),TRUE)</f>
        <v>1</v>
      </c>
      <c r="K64" s="21"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21" t="b">
        <f>IFERROR(__xludf.DUMMYFUNCTION("""COMPUTED_VALUE"""),FALSE)</f>
        <v>0</v>
      </c>
      <c r="M64" s="21" t="b">
        <f>IFERROR(__xludf.DUMMYFUNCTION("""COMPUTED_VALUE"""),FALSE)</f>
        <v>0</v>
      </c>
      <c r="N64" s="1"/>
      <c r="O64" s="1"/>
      <c r="P64" s="1"/>
      <c r="Q64" s="1"/>
      <c r="R64" s="1"/>
      <c r="S64" s="1"/>
      <c r="T64" s="1"/>
      <c r="U64" s="1"/>
      <c r="V64" s="1"/>
      <c r="W64" s="1"/>
      <c r="X64" s="1"/>
      <c r="Y64" s="1"/>
      <c r="Z64" s="1"/>
    </row>
    <row r="65" ht="15.75" customHeight="1">
      <c r="A65" s="16" t="str">
        <f>IFERROR(__xludf.DUMMYFUNCTION("""COMPUTED_VALUE"""),"Duplicate")</f>
        <v>Duplicate</v>
      </c>
      <c r="B65" s="17">
        <f>IFERROR(__xludf.DUMMYFUNCTION("""COMPUTED_VALUE"""),9.0)</f>
        <v>9</v>
      </c>
      <c r="C65" s="16">
        <f>IFERROR(__xludf.DUMMYFUNCTION("""COMPUTED_VALUE"""),1000.0)</f>
        <v>1000</v>
      </c>
      <c r="D65" s="16"/>
      <c r="E65" s="16" t="str">
        <f>IFERROR(__xludf.DUMMYFUNCTION("""COMPUTED_VALUE"""),"Duplicate an item of choice in your bag or inventory. (spell can only be used once per week in real time.)")</f>
        <v>Duplicate an item of choice in your bag or inventory. (spell can only be used once per week in real time.)</v>
      </c>
      <c r="F65" s="16" t="str">
        <f>IFERROR(__xludf.DUMMYFUNCTION("""COMPUTED_VALUE"""),"Will Succeed")</f>
        <v>Will Succeed</v>
      </c>
      <c r="G65" s="18"/>
      <c r="H65" s="28" t="str">
        <f>IFERROR(__xludf.DUMMYFUNCTION("""COMPUTED_VALUE"""),"Celestial")</f>
        <v>Celestial</v>
      </c>
      <c r="I65" s="20" t="str">
        <f>IFERROR(__xludf.DUMMYFUNCTION("""COMPUTED_VALUE"""),"Player")</f>
        <v>Player</v>
      </c>
      <c r="J65" s="21" t="b">
        <f>IFERROR(__xludf.DUMMYFUNCTION("""COMPUTED_VALUE"""),FALSE)</f>
        <v>0</v>
      </c>
      <c r="K65" s="21"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21" t="b">
        <f>IFERROR(__xludf.DUMMYFUNCTION("""COMPUTED_VALUE"""),FALSE)</f>
        <v>0</v>
      </c>
      <c r="M65" s="21" t="b">
        <f>IFERROR(__xludf.DUMMYFUNCTION("""COMPUTED_VALUE"""),FALSE)</f>
        <v>0</v>
      </c>
      <c r="N65" s="1"/>
      <c r="O65" s="1"/>
      <c r="P65" s="1"/>
      <c r="Q65" s="1"/>
      <c r="R65" s="1"/>
      <c r="S65" s="1"/>
      <c r="T65" s="1"/>
      <c r="U65" s="1"/>
      <c r="V65" s="1"/>
      <c r="W65" s="1"/>
      <c r="X65" s="1"/>
      <c r="Y65" s="1"/>
      <c r="Z65" s="1"/>
    </row>
    <row r="66" ht="15.75" customHeight="1">
      <c r="A66" s="16" t="str">
        <f>IFERROR(__xludf.DUMMYFUNCTION("""COMPUTED_VALUE"""),"Legend of the Inflamed Apprentice")</f>
        <v>Legend of the Inflamed Apprentice</v>
      </c>
      <c r="B66" s="17">
        <f>IFERROR(__xludf.DUMMYFUNCTION("""COMPUTED_VALUE"""),9.0)</f>
        <v>9</v>
      </c>
      <c r="C66" s="16">
        <f>IFERROR(__xludf.DUMMYFUNCTION("""COMPUTED_VALUE"""),900.0)</f>
        <v>900</v>
      </c>
      <c r="D66" s="16"/>
      <c r="E66" s="16"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16" t="str">
        <f>IFERROR(__xludf.DUMMYFUNCTION("""COMPUTED_VALUE"""),"Fail/Succeed")</f>
        <v>Fail/Succeed</v>
      </c>
      <c r="G66" s="18" t="str">
        <f>IFERROR(__xludf.DUMMYFUNCTION("""COMPUTED_VALUE"""),"Self")</f>
        <v>Self</v>
      </c>
      <c r="H66" s="28" t="str">
        <f>IFERROR(__xludf.DUMMYFUNCTION("""COMPUTED_VALUE"""),"Celestial")</f>
        <v>Celestial</v>
      </c>
      <c r="I66" s="20" t="str">
        <f>IFERROR(__xludf.DUMMYFUNCTION("""COMPUTED_VALUE"""),"Player")</f>
        <v>Player</v>
      </c>
      <c r="J66" s="21" t="b">
        <f>IFERROR(__xludf.DUMMYFUNCTION("""COMPUTED_VALUE"""),TRUE)</f>
        <v>1</v>
      </c>
      <c r="K66" s="21"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21" t="b">
        <f>IFERROR(__xludf.DUMMYFUNCTION("""COMPUTED_VALUE"""),FALSE)</f>
        <v>0</v>
      </c>
      <c r="M66" s="21" t="b">
        <f>IFERROR(__xludf.DUMMYFUNCTION("""COMPUTED_VALUE"""),FALSE)</f>
        <v>0</v>
      </c>
      <c r="N66" s="1"/>
      <c r="O66" s="1"/>
      <c r="P66" s="1"/>
      <c r="Q66" s="1"/>
      <c r="R66" s="1"/>
      <c r="S66" s="1"/>
      <c r="T66" s="1"/>
      <c r="U66" s="1"/>
      <c r="V66" s="1"/>
      <c r="W66" s="1"/>
      <c r="X66" s="1"/>
      <c r="Y66" s="1"/>
      <c r="Z66" s="1"/>
    </row>
    <row r="67" ht="15.75" customHeight="1">
      <c r="A67" s="16" t="str">
        <f>IFERROR(__xludf.DUMMYFUNCTION("""COMPUTED_VALUE"""),"Legend of The Inflamed Master")</f>
        <v>Legend of The Inflamed Master</v>
      </c>
      <c r="B67" s="17">
        <f>IFERROR(__xludf.DUMMYFUNCTION("""COMPUTED_VALUE"""),9.0)</f>
        <v>9</v>
      </c>
      <c r="C67" s="16">
        <f>IFERROR(__xludf.DUMMYFUNCTION("""COMPUTED_VALUE"""),900.0)</f>
        <v>900</v>
      </c>
      <c r="D67" s="16"/>
      <c r="E67" s="16"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16" t="str">
        <f>IFERROR(__xludf.DUMMYFUNCTION("""COMPUTED_VALUE"""),"Fail/Succeed")</f>
        <v>Fail/Succeed</v>
      </c>
      <c r="G67" s="18" t="str">
        <f>IFERROR(__xludf.DUMMYFUNCTION("""COMPUTED_VALUE"""),"Self")</f>
        <v>Self</v>
      </c>
      <c r="H67" s="28" t="str">
        <f>IFERROR(__xludf.DUMMYFUNCTION("""COMPUTED_VALUE"""),"Celestial")</f>
        <v>Celestial</v>
      </c>
      <c r="I67" s="20" t="str">
        <f>IFERROR(__xludf.DUMMYFUNCTION("""COMPUTED_VALUE"""),"Player")</f>
        <v>Player</v>
      </c>
      <c r="J67" s="21" t="b">
        <f>IFERROR(__xludf.DUMMYFUNCTION("""COMPUTED_VALUE"""),TRUE)</f>
        <v>1</v>
      </c>
      <c r="K67" s="21"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21" t="b">
        <f>IFERROR(__xludf.DUMMYFUNCTION("""COMPUTED_VALUE"""),FALSE)</f>
        <v>0</v>
      </c>
      <c r="M67" s="21" t="b">
        <f>IFERROR(__xludf.DUMMYFUNCTION("""COMPUTED_VALUE"""),FALSE)</f>
        <v>0</v>
      </c>
      <c r="N67" s="1"/>
      <c r="O67" s="1"/>
      <c r="P67" s="1"/>
      <c r="Q67" s="1"/>
      <c r="R67" s="1"/>
      <c r="S67" s="1"/>
      <c r="T67" s="1"/>
      <c r="U67" s="1"/>
      <c r="V67" s="1"/>
      <c r="W67" s="1"/>
      <c r="X67" s="1"/>
      <c r="Y67" s="1"/>
      <c r="Z67" s="1"/>
    </row>
    <row r="68" ht="15.75" customHeight="1">
      <c r="A68" s="16" t="str">
        <f>IFERROR(__xludf.DUMMYFUNCTION("""COMPUTED_VALUE"""),"Mass Destruction")</f>
        <v>Mass Destruction</v>
      </c>
      <c r="B68" s="17">
        <f>IFERROR(__xludf.DUMMYFUNCTION("""COMPUTED_VALUE"""),9.0)</f>
        <v>9</v>
      </c>
      <c r="C68" s="16">
        <f>IFERROR(__xludf.DUMMYFUNCTION("""COMPUTED_VALUE"""),900.0)</f>
        <v>900</v>
      </c>
      <c r="D68" s="16"/>
      <c r="E68" s="16" t="str">
        <f>IFERROR(__xludf.DUMMYFUNCTION("""COMPUTED_VALUE"""),"54,000 celestial damage to all enemies, 70% chance of instant death.")</f>
        <v>54,000 celestial damage to all enemies, 70% chance of instant death.</v>
      </c>
      <c r="F68" s="16" t="str">
        <f>IFERROR(__xludf.DUMMYFUNCTION("""COMPUTED_VALUE"""),"Cannot Avoid")</f>
        <v>Cannot Avoid</v>
      </c>
      <c r="G68" s="18"/>
      <c r="H68" s="28" t="str">
        <f>IFERROR(__xludf.DUMMYFUNCTION("""COMPUTED_VALUE"""),"Celestial")</f>
        <v>Celestial</v>
      </c>
      <c r="I68" s="20" t="str">
        <f>IFERROR(__xludf.DUMMYFUNCTION("""COMPUTED_VALUE"""),"Player")</f>
        <v>Player</v>
      </c>
      <c r="J68" s="21" t="b">
        <f>IFERROR(__xludf.DUMMYFUNCTION("""COMPUTED_VALUE"""),FALSE)</f>
        <v>0</v>
      </c>
      <c r="K68" s="21"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21" t="b">
        <f>IFERROR(__xludf.DUMMYFUNCTION("""COMPUTED_VALUE"""),FALSE)</f>
        <v>0</v>
      </c>
      <c r="M68" s="21" t="b">
        <f>IFERROR(__xludf.DUMMYFUNCTION("""COMPUTED_VALUE"""),FALSE)</f>
        <v>0</v>
      </c>
      <c r="N68" s="1"/>
      <c r="O68" s="1"/>
      <c r="P68" s="1"/>
      <c r="Q68" s="1"/>
      <c r="R68" s="1"/>
      <c r="S68" s="1"/>
      <c r="T68" s="1"/>
      <c r="U68" s="1"/>
      <c r="V68" s="1"/>
      <c r="W68" s="1"/>
      <c r="X68" s="1"/>
      <c r="Y68" s="1"/>
      <c r="Z68" s="1"/>
    </row>
    <row r="69" ht="15.75" customHeight="1">
      <c r="A69" s="16" t="str">
        <f>IFERROR(__xludf.DUMMYFUNCTION("""COMPUTED_VALUE"""),"Solar Ward")</f>
        <v>Solar Ward</v>
      </c>
      <c r="B69" s="17">
        <f>IFERROR(__xludf.DUMMYFUNCTION("""COMPUTED_VALUE"""),0.0)</f>
        <v>0</v>
      </c>
      <c r="C69" s="16">
        <f>IFERROR(__xludf.DUMMYFUNCTION("""COMPUTED_VALUE"""),0.0)</f>
        <v>0</v>
      </c>
      <c r="D69" s="16"/>
      <c r="E69" s="16"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16" t="str">
        <f>IFERROR(__xludf.DUMMYFUNCTION("""COMPUTED_VALUE"""),"Natural/Fail or Succeed")</f>
        <v>Natural/Fail or Succeed</v>
      </c>
      <c r="G69" s="18" t="str">
        <f>IFERROR(__xludf.DUMMYFUNCTION("""COMPUTED_VALUE"""),"Self")</f>
        <v>Self</v>
      </c>
      <c r="H69" s="28" t="str">
        <f>IFERROR(__xludf.DUMMYFUNCTION("""COMPUTED_VALUE"""),"Celestial")</f>
        <v>Celestial</v>
      </c>
      <c r="I69" s="20" t="str">
        <f>IFERROR(__xludf.DUMMYFUNCTION("""COMPUTED_VALUE"""),"Mob")</f>
        <v>Mob</v>
      </c>
      <c r="J69" s="21" t="b">
        <f>IFERROR(__xludf.DUMMYFUNCTION("""COMPUTED_VALUE"""),TRUE)</f>
        <v>1</v>
      </c>
      <c r="K69" s="21"/>
      <c r="L69" s="21" t="b">
        <f>IFERROR(__xludf.DUMMYFUNCTION("""COMPUTED_VALUE"""),FALSE)</f>
        <v>0</v>
      </c>
      <c r="M69" s="21" t="b">
        <f>IFERROR(__xludf.DUMMYFUNCTION("""COMPUTED_VALUE"""),FALSE)</f>
        <v>0</v>
      </c>
      <c r="N69" s="1"/>
      <c r="O69" s="1"/>
      <c r="P69" s="1"/>
      <c r="Q69" s="1"/>
      <c r="R69" s="1"/>
      <c r="S69" s="1"/>
      <c r="T69" s="1"/>
      <c r="U69" s="1"/>
      <c r="V69" s="1"/>
      <c r="W69" s="1"/>
      <c r="X69" s="1"/>
      <c r="Y69" s="1"/>
      <c r="Z69" s="1"/>
    </row>
    <row r="70" ht="15.75" customHeight="1">
      <c r="A70" s="16" t="str">
        <f>IFERROR(__xludf.DUMMYFUNCTION("""COMPUTED_VALUE"""),"Tower Of Gods")</f>
        <v>Tower Of Gods</v>
      </c>
      <c r="B70" s="17">
        <f>IFERROR(__xludf.DUMMYFUNCTION("""COMPUTED_VALUE"""),8.0)</f>
        <v>8</v>
      </c>
      <c r="C70" s="16">
        <f>IFERROR(__xludf.DUMMYFUNCTION("""COMPUTED_VALUE"""),800.0)</f>
        <v>800</v>
      </c>
      <c r="D70" s="16"/>
      <c r="E70"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16" t="str">
        <f>IFERROR(__xludf.DUMMYFUNCTION("""COMPUTED_VALUE"""),"Fail/Succeed")</f>
        <v>Fail/Succeed</v>
      </c>
      <c r="G70" s="18"/>
      <c r="H70" s="28" t="str">
        <f>IFERROR(__xludf.DUMMYFUNCTION("""COMPUTED_VALUE"""),"Celestial")</f>
        <v>Celestial</v>
      </c>
      <c r="I70" s="20" t="str">
        <f>IFERROR(__xludf.DUMMYFUNCTION("""COMPUTED_VALUE"""),"Player")</f>
        <v>Player</v>
      </c>
      <c r="J70" s="21" t="b">
        <f>IFERROR(__xludf.DUMMYFUNCTION("""COMPUTED_VALUE"""),FALSE)</f>
        <v>0</v>
      </c>
      <c r="K70" s="21"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21" t="b">
        <f>IFERROR(__xludf.DUMMYFUNCTION("""COMPUTED_VALUE"""),FALSE)</f>
        <v>0</v>
      </c>
      <c r="M70" s="21" t="b">
        <f>IFERROR(__xludf.DUMMYFUNCTION("""COMPUTED_VALUE"""),FALSE)</f>
        <v>0</v>
      </c>
      <c r="N70" s="1"/>
      <c r="O70" s="1"/>
      <c r="P70" s="1"/>
      <c r="Q70" s="1"/>
      <c r="R70" s="1"/>
      <c r="S70" s="1"/>
      <c r="T70" s="1"/>
      <c r="U70" s="1"/>
      <c r="V70" s="1"/>
      <c r="W70" s="1"/>
      <c r="X70" s="1"/>
      <c r="Y70" s="1"/>
      <c r="Z70" s="1"/>
    </row>
    <row r="71" ht="15.75" customHeight="1">
      <c r="A71" s="16" t="str">
        <f>IFERROR(__xludf.DUMMYFUNCTION("""COMPUTED_VALUE"""),"Vaporize")</f>
        <v>Vaporize</v>
      </c>
      <c r="B71" s="17">
        <f>IFERROR(__xludf.DUMMYFUNCTION("""COMPUTED_VALUE"""),9.0)</f>
        <v>9</v>
      </c>
      <c r="C71" s="16" t="str">
        <f>IFERROR(__xludf.DUMMYFUNCTION("""COMPUTED_VALUE"""),"X*1000")</f>
        <v>X*1000</v>
      </c>
      <c r="D71" s="16"/>
      <c r="E71" s="16" t="str">
        <f>IFERROR(__xludf.DUMMYFUNCTION("""COMPUTED_VALUE"""),"X times 10,000  Celestial Damage to all enemies. X is = to the ammount of mana you paid")</f>
        <v>X times 10,000  Celestial Damage to all enemies. X is = to the ammount of mana you paid</v>
      </c>
      <c r="F71" s="16" t="str">
        <f>IFERROR(__xludf.DUMMYFUNCTION("""COMPUTED_VALUE"""),"Cannot Avoid")</f>
        <v>Cannot Avoid</v>
      </c>
      <c r="G71" s="18" t="str">
        <f>IFERROR(__xludf.DUMMYFUNCTION("""COMPUTED_VALUE"""),"All")</f>
        <v>All</v>
      </c>
      <c r="H71" s="28" t="str">
        <f>IFERROR(__xludf.DUMMYFUNCTION("""COMPUTED_VALUE"""),"Celestial")</f>
        <v>Celestial</v>
      </c>
      <c r="I71" s="20" t="str">
        <f>IFERROR(__xludf.DUMMYFUNCTION("""COMPUTED_VALUE"""),"Mob")</f>
        <v>Mob</v>
      </c>
      <c r="J71" s="21" t="b">
        <f>IFERROR(__xludf.DUMMYFUNCTION("""COMPUTED_VALUE"""),TRUE)</f>
        <v>1</v>
      </c>
      <c r="K71" s="21"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21" t="b">
        <f>IFERROR(__xludf.DUMMYFUNCTION("""COMPUTED_VALUE"""),FALSE)</f>
        <v>0</v>
      </c>
      <c r="M71" s="21" t="b">
        <f>IFERROR(__xludf.DUMMYFUNCTION("""COMPUTED_VALUE"""),FALSE)</f>
        <v>0</v>
      </c>
      <c r="N71" s="1"/>
      <c r="O71" s="1"/>
      <c r="P71" s="1"/>
      <c r="Q71" s="1"/>
      <c r="R71" s="1"/>
      <c r="S71" s="1"/>
      <c r="T71" s="1"/>
      <c r="U71" s="1"/>
      <c r="V71" s="1"/>
      <c r="W71" s="1"/>
      <c r="X71" s="1"/>
      <c r="Y71" s="1"/>
      <c r="Z71" s="1"/>
    </row>
    <row r="72" ht="15.75" customHeight="1">
      <c r="A72" s="16" t="str">
        <f>IFERROR(__xludf.DUMMYFUNCTION("""COMPUTED_VALUE"""),"World Tree Warp")</f>
        <v>World Tree Warp</v>
      </c>
      <c r="B72" s="17">
        <f>IFERROR(__xludf.DUMMYFUNCTION("""COMPUTED_VALUE"""),9.0)</f>
        <v>9</v>
      </c>
      <c r="C72" s="16">
        <f>IFERROR(__xludf.DUMMYFUNCTION("""COMPUTED_VALUE"""),900.0)</f>
        <v>900</v>
      </c>
      <c r="D72" s="16"/>
      <c r="E72" s="16" t="str">
        <f>IFERROR(__xludf.DUMMYFUNCTION("""COMPUTED_VALUE"""),"Allows the caster to warp directly to the world tree from anywhere in the Land of Spira")</f>
        <v>Allows the caster to warp directly to the world tree from anywhere in the Land of Spira</v>
      </c>
      <c r="F72" s="16" t="str">
        <f>IFERROR(__xludf.DUMMYFUNCTION("""COMPUTED_VALUE"""),"Will Succeed")</f>
        <v>Will Succeed</v>
      </c>
      <c r="G72" s="18" t="str">
        <f>IFERROR(__xludf.DUMMYFUNCTION("""COMPUTED_VALUE"""),"Self")</f>
        <v>Self</v>
      </c>
      <c r="H72" s="28" t="str">
        <f>IFERROR(__xludf.DUMMYFUNCTION("""COMPUTED_VALUE"""),"Celestial")</f>
        <v>Celestial</v>
      </c>
      <c r="I72" s="20" t="str">
        <f>IFERROR(__xludf.DUMMYFUNCTION("""COMPUTED_VALUE"""),"Player")</f>
        <v>Player</v>
      </c>
      <c r="J72" s="21" t="b">
        <f>IFERROR(__xludf.DUMMYFUNCTION("""COMPUTED_VALUE"""),TRUE)</f>
        <v>1</v>
      </c>
      <c r="K72" s="21"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21" t="b">
        <f>IFERROR(__xludf.DUMMYFUNCTION("""COMPUTED_VALUE"""),FALSE)</f>
        <v>0</v>
      </c>
      <c r="M72" s="21" t="b">
        <f>IFERROR(__xludf.DUMMYFUNCTION("""COMPUTED_VALUE"""),FALSE)</f>
        <v>0</v>
      </c>
      <c r="N72" s="1"/>
      <c r="O72" s="1"/>
      <c r="P72" s="1"/>
      <c r="Q72" s="1"/>
      <c r="R72" s="1"/>
      <c r="S72" s="1"/>
      <c r="T72" s="1"/>
      <c r="U72" s="1"/>
      <c r="V72" s="1"/>
      <c r="W72" s="1"/>
      <c r="X72" s="1"/>
      <c r="Y72" s="1"/>
      <c r="Z72" s="1"/>
    </row>
    <row r="73" ht="15.75" customHeight="1">
      <c r="A73" s="16" t="str">
        <f>IFERROR(__xludf.DUMMYFUNCTION("""COMPUTED_VALUE"""),"Transformation")</f>
        <v>Transformation</v>
      </c>
      <c r="B73" s="17">
        <f>IFERROR(__xludf.DUMMYFUNCTION("""COMPUTED_VALUE"""),1.0)</f>
        <v>1</v>
      </c>
      <c r="C73" s="29" t="str">
        <f>IFERROR(__xludf.DUMMYFUNCTION("""COMPUTED_VALUE"""),"0")</f>
        <v>0</v>
      </c>
      <c r="D73" s="16"/>
      <c r="E73"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16" t="str">
        <f>IFERROR(__xludf.DUMMYFUNCTION("""COMPUTED_VALUE"""),"Fail/Succeed")</f>
        <v>Fail/Succeed</v>
      </c>
      <c r="G73" s="18" t="str">
        <f>IFERROR(__xludf.DUMMYFUNCTION("""COMPUTED_VALUE"""),"Self")</f>
        <v>Self</v>
      </c>
      <c r="H73" s="28" t="str">
        <f>IFERROR(__xludf.DUMMYFUNCTION("""COMPUTED_VALUE"""),"Celestial")</f>
        <v>Celestial</v>
      </c>
      <c r="I73" s="20" t="str">
        <f>IFERROR(__xludf.DUMMYFUNCTION("""COMPUTED_VALUE"""),"Player")</f>
        <v>Player</v>
      </c>
      <c r="J73" s="21" t="b">
        <f>IFERROR(__xludf.DUMMYFUNCTION("""COMPUTED_VALUE"""),FALSE)</f>
        <v>0</v>
      </c>
      <c r="K73" s="21"/>
      <c r="L73" s="21" t="b">
        <f>IFERROR(__xludf.DUMMYFUNCTION("""COMPUTED_VALUE"""),FALSE)</f>
        <v>0</v>
      </c>
      <c r="M73" s="21" t="b">
        <f>IFERROR(__xludf.DUMMYFUNCTION("""COMPUTED_VALUE"""),FALSE)</f>
        <v>0</v>
      </c>
      <c r="N73" s="1"/>
      <c r="O73" s="1"/>
      <c r="P73" s="1"/>
      <c r="Q73" s="1"/>
      <c r="R73" s="1"/>
      <c r="S73" s="1"/>
      <c r="T73" s="1"/>
      <c r="U73" s="1"/>
      <c r="V73" s="1"/>
      <c r="W73" s="1"/>
      <c r="X73" s="1"/>
      <c r="Y73" s="1"/>
      <c r="Z73" s="1"/>
    </row>
    <row r="74" ht="15.75" customHeight="1">
      <c r="A74" s="16" t="str">
        <f>IFERROR(__xludf.DUMMYFUNCTION("""COMPUTED_VALUE"""),"Tri-Blast")</f>
        <v>Tri-Blast</v>
      </c>
      <c r="B74" s="17">
        <f>IFERROR(__xludf.DUMMYFUNCTION("""COMPUTED_VALUE"""),9.0)</f>
        <v>9</v>
      </c>
      <c r="C74" s="22">
        <f>IFERROR(__xludf.DUMMYFUNCTION("""COMPUTED_VALUE"""),24000.0)</f>
        <v>24000</v>
      </c>
      <c r="D74" s="16"/>
      <c r="E74" s="16" t="str">
        <f>IFERROR(__xludf.DUMMYFUNCTION("""COMPUTED_VALUE"""),"200,000 Water, Fire, and Nature damage to all enemies.")</f>
        <v>200,000 Water, Fire, and Nature damage to all enemies.</v>
      </c>
      <c r="F74" s="16" t="str">
        <f>IFERROR(__xludf.DUMMYFUNCTION("""COMPUTED_VALUE"""),"Cannot Avoid")</f>
        <v>Cannot Avoid</v>
      </c>
      <c r="G74" s="18" t="str">
        <f>IFERROR(__xludf.DUMMYFUNCTION("""COMPUTED_VALUE"""),"All")</f>
        <v>All</v>
      </c>
      <c r="H74" s="28" t="str">
        <f>IFERROR(__xludf.DUMMYFUNCTION("""COMPUTED_VALUE"""),"Celestial")</f>
        <v>Celestial</v>
      </c>
      <c r="I74" s="20" t="str">
        <f>IFERROR(__xludf.DUMMYFUNCTION("""COMPUTED_VALUE"""),"Mob")</f>
        <v>Mob</v>
      </c>
      <c r="J74" s="21" t="b">
        <f>IFERROR(__xludf.DUMMYFUNCTION("""COMPUTED_VALUE"""),TRUE)</f>
        <v>1</v>
      </c>
      <c r="K74" s="21"/>
      <c r="L74" s="21" t="b">
        <f>IFERROR(__xludf.DUMMYFUNCTION("""COMPUTED_VALUE"""),FALSE)</f>
        <v>0</v>
      </c>
      <c r="M74" s="21" t="b">
        <f>IFERROR(__xludf.DUMMYFUNCTION("""COMPUTED_VALUE"""),FALSE)</f>
        <v>0</v>
      </c>
      <c r="N74" s="1"/>
      <c r="O74" s="1"/>
      <c r="P74" s="1"/>
      <c r="Q74" s="1"/>
      <c r="R74" s="1"/>
      <c r="S74" s="1"/>
      <c r="T74" s="1"/>
      <c r="U74" s="1"/>
      <c r="V74" s="1"/>
      <c r="W74" s="1"/>
      <c r="X74" s="1"/>
      <c r="Y74" s="1"/>
      <c r="Z74" s="1"/>
    </row>
    <row r="75" ht="15.75" customHeight="1">
      <c r="A75" s="16" t="str">
        <f>IFERROR(__xludf.DUMMYFUNCTION("""COMPUTED_VALUE"""),"Call From The Mob House")</f>
        <v>Call From The Mob House</v>
      </c>
      <c r="B75" s="17">
        <f>IFERROR(__xludf.DUMMYFUNCTION("""COMPUTED_VALUE"""),3.0)</f>
        <v>3</v>
      </c>
      <c r="C75" s="16">
        <f>IFERROR(__xludf.DUMMYFUNCTION("""COMPUTED_VALUE"""),30.0)</f>
        <v>30</v>
      </c>
      <c r="D75" s="16"/>
      <c r="E75"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16" t="str">
        <f>IFERROR(__xludf.DUMMYFUNCTION("""COMPUTED_VALUE"""),"Fail/Succeed")</f>
        <v>Fail/Succeed</v>
      </c>
      <c r="G75" s="18"/>
      <c r="H75" s="28" t="str">
        <f>IFERROR(__xludf.DUMMYFUNCTION("""COMPUTED_VALUE"""),"Chaos")</f>
        <v>Chaos</v>
      </c>
      <c r="I75" s="20" t="str">
        <f>IFERROR(__xludf.DUMMYFUNCTION("""COMPUTED_VALUE"""),"Player")</f>
        <v>Player</v>
      </c>
      <c r="J75" s="21" t="b">
        <f>IFERROR(__xludf.DUMMYFUNCTION("""COMPUTED_VALUE"""),FALSE)</f>
        <v>0</v>
      </c>
      <c r="K75" s="21"/>
      <c r="L75" s="21" t="b">
        <f>IFERROR(__xludf.DUMMYFUNCTION("""COMPUTED_VALUE"""),FALSE)</f>
        <v>0</v>
      </c>
      <c r="M75" s="21" t="b">
        <f>IFERROR(__xludf.DUMMYFUNCTION("""COMPUTED_VALUE"""),FALSE)</f>
        <v>0</v>
      </c>
      <c r="N75" s="1"/>
      <c r="O75" s="1"/>
      <c r="P75" s="1"/>
      <c r="Q75" s="1"/>
      <c r="R75" s="1"/>
      <c r="S75" s="1"/>
      <c r="T75" s="1"/>
      <c r="U75" s="1"/>
      <c r="V75" s="1"/>
      <c r="W75" s="1"/>
      <c r="X75" s="1"/>
      <c r="Y75" s="1"/>
      <c r="Z75" s="1"/>
    </row>
    <row r="76" ht="15.75" customHeight="1">
      <c r="A76" s="16" t="str">
        <f>IFERROR(__xludf.DUMMYFUNCTION("""COMPUTED_VALUE"""),"Chaos Barrier")</f>
        <v>Chaos Barrier</v>
      </c>
      <c r="B76" s="17">
        <f>IFERROR(__xludf.DUMMYFUNCTION("""COMPUTED_VALUE"""),4.0)</f>
        <v>4</v>
      </c>
      <c r="C76" s="16">
        <f>IFERROR(__xludf.DUMMYFUNCTION("""COMPUTED_VALUE"""),40.0)</f>
        <v>40</v>
      </c>
      <c r="D76" s="16"/>
      <c r="E76" s="16" t="str">
        <f>IFERROR(__xludf.DUMMYFUNCTION("""COMPUTED_VALUE"""),"If the caster is hit, the attacker takes 4000 chaos dmg for 3 rounds.")</f>
        <v>If the caster is hit, the attacker takes 4000 chaos dmg for 3 rounds.</v>
      </c>
      <c r="F76" s="16" t="str">
        <f>IFERROR(__xludf.DUMMYFUNCTION("""COMPUTED_VALUE"""),"Fail/Succeed")</f>
        <v>Fail/Succeed</v>
      </c>
      <c r="G76" s="18"/>
      <c r="H76" s="28" t="str">
        <f>IFERROR(__xludf.DUMMYFUNCTION("""COMPUTED_VALUE"""),"Chaos")</f>
        <v>Chaos</v>
      </c>
      <c r="I76" s="20" t="str">
        <f>IFERROR(__xludf.DUMMYFUNCTION("""COMPUTED_VALUE"""),"Player")</f>
        <v>Player</v>
      </c>
      <c r="J76" s="21" t="b">
        <f>IFERROR(__xludf.DUMMYFUNCTION("""COMPUTED_VALUE"""),FALSE)</f>
        <v>0</v>
      </c>
      <c r="K76" s="21"/>
      <c r="L76" s="21" t="b">
        <f>IFERROR(__xludf.DUMMYFUNCTION("""COMPUTED_VALUE"""),FALSE)</f>
        <v>0</v>
      </c>
      <c r="M76" s="21" t="b">
        <f>IFERROR(__xludf.DUMMYFUNCTION("""COMPUTED_VALUE"""),FALSE)</f>
        <v>0</v>
      </c>
      <c r="N76" s="1"/>
      <c r="O76" s="1"/>
      <c r="P76" s="1"/>
      <c r="Q76" s="1"/>
      <c r="R76" s="1"/>
      <c r="S76" s="1"/>
      <c r="T76" s="1"/>
      <c r="U76" s="1"/>
      <c r="V76" s="1"/>
      <c r="W76" s="1"/>
      <c r="X76" s="1"/>
      <c r="Y76" s="1"/>
      <c r="Z76" s="1"/>
    </row>
    <row r="77" ht="15.75" customHeight="1">
      <c r="A77" s="16" t="str">
        <f>IFERROR(__xludf.DUMMYFUNCTION("""COMPUTED_VALUE"""),"Chaos Ward")</f>
        <v>Chaos Ward</v>
      </c>
      <c r="B77" s="17">
        <f>IFERROR(__xludf.DUMMYFUNCTION("""COMPUTED_VALUE"""),9.0)</f>
        <v>9</v>
      </c>
      <c r="C77" s="16">
        <f>IFERROR(__xludf.DUMMYFUNCTION("""COMPUTED_VALUE"""),400.0)</f>
        <v>400</v>
      </c>
      <c r="D77" s="16"/>
      <c r="E77"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16" t="str">
        <f>IFERROR(__xludf.DUMMYFUNCTION("""COMPUTED_VALUE"""),"Fail/Succeed")</f>
        <v>Fail/Succeed</v>
      </c>
      <c r="G77" s="18">
        <f>IFERROR(__xludf.DUMMYFUNCTION("""COMPUTED_VALUE"""),1.0)</f>
        <v>1</v>
      </c>
      <c r="H77" s="28" t="str">
        <f>IFERROR(__xludf.DUMMYFUNCTION("""COMPUTED_VALUE"""),"Chaos")</f>
        <v>Chaos</v>
      </c>
      <c r="I77" s="20" t="str">
        <f>IFERROR(__xludf.DUMMYFUNCTION("""COMPUTED_VALUE"""),"Player")</f>
        <v>Player</v>
      </c>
      <c r="J77" s="21" t="b">
        <f>IFERROR(__xludf.DUMMYFUNCTION("""COMPUTED_VALUE"""),FALSE)</f>
        <v>0</v>
      </c>
      <c r="K77" s="21"/>
      <c r="L77" s="21" t="b">
        <f>IFERROR(__xludf.DUMMYFUNCTION("""COMPUTED_VALUE"""),FALSE)</f>
        <v>0</v>
      </c>
      <c r="M77" s="21" t="b">
        <f>IFERROR(__xludf.DUMMYFUNCTION("""COMPUTED_VALUE"""),FALSE)</f>
        <v>0</v>
      </c>
      <c r="N77" s="1"/>
      <c r="O77" s="1"/>
      <c r="P77" s="1"/>
      <c r="Q77" s="1"/>
      <c r="R77" s="1"/>
      <c r="S77" s="1"/>
      <c r="T77" s="1"/>
      <c r="U77" s="1"/>
      <c r="V77" s="1"/>
      <c r="W77" s="1"/>
      <c r="X77" s="1"/>
      <c r="Y77" s="1"/>
      <c r="Z77" s="1"/>
    </row>
    <row r="78" ht="15.75" customHeight="1">
      <c r="A78" s="16" t="str">
        <f>IFERROR(__xludf.DUMMYFUNCTION("""COMPUTED_VALUE"""),"Chaotic Golem Scream")</f>
        <v>Chaotic Golem Scream</v>
      </c>
      <c r="B78" s="17">
        <f>IFERROR(__xludf.DUMMYFUNCTION("""COMPUTED_VALUE"""),0.0)</f>
        <v>0</v>
      </c>
      <c r="C78" s="16">
        <f>IFERROR(__xludf.DUMMYFUNCTION("""COMPUTED_VALUE"""),0.0)</f>
        <v>0</v>
      </c>
      <c r="D78" s="16"/>
      <c r="E78" s="16" t="str">
        <f>IFERROR(__xludf.DUMMYFUNCTION("""COMPUTED_VALUE"""),"All enemies are stunned for 3 rounds.")</f>
        <v>All enemies are stunned for 3 rounds.</v>
      </c>
      <c r="F78" s="16" t="str">
        <f>IFERROR(__xludf.DUMMYFUNCTION("""COMPUTED_VALUE"""),"Natural/Fail Or Succeed")</f>
        <v>Natural/Fail Or Succeed</v>
      </c>
      <c r="G78" s="18" t="str">
        <f>IFERROR(__xludf.DUMMYFUNCTION("""COMPUTED_VALUE"""),"All")</f>
        <v>All</v>
      </c>
      <c r="H78" s="28" t="str">
        <f>IFERROR(__xludf.DUMMYFUNCTION("""COMPUTED_VALUE"""),"Chaos")</f>
        <v>Chaos</v>
      </c>
      <c r="I78" s="20" t="str">
        <f>IFERROR(__xludf.DUMMYFUNCTION("""COMPUTED_VALUE"""),"Mob")</f>
        <v>Mob</v>
      </c>
      <c r="J78" s="21" t="b">
        <f>IFERROR(__xludf.DUMMYFUNCTION("""COMPUTED_VALUE"""),TRUE)</f>
        <v>1</v>
      </c>
      <c r="K78" s="21" t="str">
        <f>IFERROR(__xludf.DUMMYFUNCTION("""COMPUTED_VALUE"""),"Players cannot obtain this spell.")</f>
        <v>Players cannot obtain this spell.</v>
      </c>
      <c r="L78" s="21" t="b">
        <f>IFERROR(__xludf.DUMMYFUNCTION("""COMPUTED_VALUE"""),FALSE)</f>
        <v>0</v>
      </c>
      <c r="M78" s="21" t="b">
        <f>IFERROR(__xludf.DUMMYFUNCTION("""COMPUTED_VALUE"""),FALSE)</f>
        <v>0</v>
      </c>
      <c r="N78" s="1"/>
      <c r="O78" s="1"/>
      <c r="P78" s="1"/>
      <c r="Q78" s="1"/>
      <c r="R78" s="1"/>
      <c r="S78" s="1"/>
      <c r="T78" s="1"/>
      <c r="U78" s="1"/>
      <c r="V78" s="1"/>
      <c r="W78" s="1"/>
      <c r="X78" s="1"/>
      <c r="Y78" s="1"/>
      <c r="Z78" s="1"/>
    </row>
    <row r="79" ht="15.75" customHeight="1">
      <c r="A79" s="16" t="str">
        <f>IFERROR(__xludf.DUMMYFUNCTION("""COMPUTED_VALUE"""),"Chaotic Increase")</f>
        <v>Chaotic Increase</v>
      </c>
      <c r="B79" s="17">
        <f>IFERROR(__xludf.DUMMYFUNCTION("""COMPUTED_VALUE"""),5.0)</f>
        <v>5</v>
      </c>
      <c r="C79" s="16">
        <f>IFERROR(__xludf.DUMMYFUNCTION("""COMPUTED_VALUE"""),200.0)</f>
        <v>200</v>
      </c>
      <c r="D79" s="16"/>
      <c r="E79" s="16" t="str">
        <f>IFERROR(__xludf.DUMMYFUNCTION("""COMPUTED_VALUE"""),"Increases chaos dmg by X4 for the caster.")</f>
        <v>Increases chaos dmg by X4 for the caster.</v>
      </c>
      <c r="F79" s="16" t="str">
        <f>IFERROR(__xludf.DUMMYFUNCTION("""COMPUTED_VALUE"""),"Will Succeed")</f>
        <v>Will Succeed</v>
      </c>
      <c r="G79" s="18"/>
      <c r="H79" s="30" t="str">
        <f>IFERROR(__xludf.DUMMYFUNCTION("""COMPUTED_VALUE"""),"Chaos")</f>
        <v>Chaos</v>
      </c>
      <c r="I79" s="20" t="str">
        <f>IFERROR(__xludf.DUMMYFUNCTION("""COMPUTED_VALUE"""),"Player")</f>
        <v>Player</v>
      </c>
      <c r="J79" s="21" t="b">
        <f>IFERROR(__xludf.DUMMYFUNCTION("""COMPUTED_VALUE"""),FALSE)</f>
        <v>0</v>
      </c>
      <c r="K79" s="21"/>
      <c r="L79" s="21" t="b">
        <f>IFERROR(__xludf.DUMMYFUNCTION("""COMPUTED_VALUE"""),FALSE)</f>
        <v>0</v>
      </c>
      <c r="M79" s="21" t="b">
        <f>IFERROR(__xludf.DUMMYFUNCTION("""COMPUTED_VALUE"""),FALSE)</f>
        <v>0</v>
      </c>
      <c r="N79" s="1"/>
      <c r="O79" s="1"/>
      <c r="P79" s="1"/>
      <c r="Q79" s="1"/>
      <c r="R79" s="1"/>
      <c r="S79" s="1"/>
      <c r="T79" s="1"/>
      <c r="U79" s="1"/>
      <c r="V79" s="1"/>
      <c r="W79" s="1"/>
      <c r="X79" s="1"/>
      <c r="Y79" s="1"/>
      <c r="Z79" s="1"/>
    </row>
    <row r="80" ht="15.75" customHeight="1">
      <c r="A80" s="16" t="str">
        <f>IFERROR(__xludf.DUMMYFUNCTION("""COMPUTED_VALUE"""),"Chaotic Phantom Blast")</f>
        <v>Chaotic Phantom Blast</v>
      </c>
      <c r="B80" s="17">
        <f>IFERROR(__xludf.DUMMYFUNCTION("""COMPUTED_VALUE"""),9.0)</f>
        <v>9</v>
      </c>
      <c r="C80" s="16" t="str">
        <f>IFERROR(__xludf.DUMMYFUNCTION("""COMPUTED_VALUE"""),"X")</f>
        <v>X</v>
      </c>
      <c r="D80" s="16"/>
      <c r="E80" s="16" t="str">
        <f>IFERROR(__xludf.DUMMYFUNCTION("""COMPUTED_VALUE"""),"X*15 Dark and X*15 Chaos damage to all enemies where X is equal to SP spent.")</f>
        <v>X*15 Dark and X*15 Chaos damage to all enemies where X is equal to SP spent.</v>
      </c>
      <c r="F80" s="16" t="str">
        <f>IFERROR(__xludf.DUMMYFUNCTION("""COMPUTED_VALUE"""),"Cannot Avoid")</f>
        <v>Cannot Avoid</v>
      </c>
      <c r="G80" s="18" t="str">
        <f>IFERROR(__xludf.DUMMYFUNCTION("""COMPUTED_VALUE"""),"All")</f>
        <v>All</v>
      </c>
      <c r="H80" s="30" t="str">
        <f>IFERROR(__xludf.DUMMYFUNCTION("""COMPUTED_VALUE"""),"Chaos")</f>
        <v>Chaos</v>
      </c>
      <c r="I80" s="20" t="str">
        <f>IFERROR(__xludf.DUMMYFUNCTION("""COMPUTED_VALUE"""),"Mob")</f>
        <v>Mob</v>
      </c>
      <c r="J80" s="21" t="b">
        <f>IFERROR(__xludf.DUMMYFUNCTION("""COMPUTED_VALUE"""),TRUE)</f>
        <v>1</v>
      </c>
      <c r="K80" s="21"/>
      <c r="L80" s="21" t="b">
        <f>IFERROR(__xludf.DUMMYFUNCTION("""COMPUTED_VALUE"""),FALSE)</f>
        <v>0</v>
      </c>
      <c r="M80" s="21" t="b">
        <f>IFERROR(__xludf.DUMMYFUNCTION("""COMPUTED_VALUE"""),FALSE)</f>
        <v>0</v>
      </c>
      <c r="N80" s="1"/>
      <c r="O80" s="1"/>
      <c r="P80" s="1"/>
      <c r="Q80" s="1"/>
      <c r="R80" s="1"/>
      <c r="S80" s="1"/>
      <c r="T80" s="1"/>
      <c r="U80" s="1"/>
      <c r="V80" s="1"/>
      <c r="W80" s="1"/>
      <c r="X80" s="1"/>
      <c r="Y80" s="1"/>
      <c r="Z80" s="1"/>
    </row>
    <row r="81" ht="15.75" customHeight="1">
      <c r="A81" s="16" t="str">
        <f>IFERROR(__xludf.DUMMYFUNCTION("""COMPUTED_VALUE"""),"Chaotic Royal Barrier")</f>
        <v>Chaotic Royal Barrier</v>
      </c>
      <c r="B81" s="17">
        <f>IFERROR(__xludf.DUMMYFUNCTION("""COMPUTED_VALUE"""),9.0)</f>
        <v>9</v>
      </c>
      <c r="C81" s="22">
        <f>IFERROR(__xludf.DUMMYFUNCTION("""COMPUTED_VALUE"""),10000.0)</f>
        <v>10000</v>
      </c>
      <c r="D81" s="16"/>
      <c r="E81" s="16" t="str">
        <f>IFERROR(__xludf.DUMMYFUNCTION("""COMPUTED_VALUE"""),"Caster and allies are protected from all dmg for 3 rounds.")</f>
        <v>Caster and allies are protected from all dmg for 3 rounds.</v>
      </c>
      <c r="F81" s="16" t="str">
        <f>IFERROR(__xludf.DUMMYFUNCTION("""COMPUTED_VALUE"""),"Fail/Succeed")</f>
        <v>Fail/Succeed</v>
      </c>
      <c r="G81" s="18" t="str">
        <f>IFERROR(__xludf.DUMMYFUNCTION("""COMPUTED_VALUE"""),"Self")</f>
        <v>Self</v>
      </c>
      <c r="H81" s="30" t="str">
        <f>IFERROR(__xludf.DUMMYFUNCTION("""COMPUTED_VALUE"""),"Chaos")</f>
        <v>Chaos</v>
      </c>
      <c r="I81" s="20" t="str">
        <f>IFERROR(__xludf.DUMMYFUNCTION("""COMPUTED_VALUE"""),"Mob")</f>
        <v>Mob</v>
      </c>
      <c r="J81" s="21" t="b">
        <f>IFERROR(__xludf.DUMMYFUNCTION("""COMPUTED_VALUE"""),TRUE)</f>
        <v>1</v>
      </c>
      <c r="K81" s="21"/>
      <c r="L81" s="21" t="b">
        <f>IFERROR(__xludf.DUMMYFUNCTION("""COMPUTED_VALUE"""),FALSE)</f>
        <v>0</v>
      </c>
      <c r="M81" s="21" t="b">
        <f>IFERROR(__xludf.DUMMYFUNCTION("""COMPUTED_VALUE"""),FALSE)</f>
        <v>0</v>
      </c>
      <c r="N81" s="1"/>
      <c r="O81" s="1"/>
      <c r="P81" s="1"/>
      <c r="Q81" s="1"/>
      <c r="R81" s="1"/>
      <c r="S81" s="1"/>
      <c r="T81" s="1"/>
      <c r="U81" s="1"/>
      <c r="V81" s="1"/>
      <c r="W81" s="1"/>
      <c r="X81" s="1"/>
      <c r="Y81" s="1"/>
      <c r="Z81" s="1"/>
    </row>
    <row r="82" ht="15.75" customHeight="1">
      <c r="A82" s="16" t="str">
        <f>IFERROR(__xludf.DUMMYFUNCTION("""COMPUTED_VALUE"""),"Chaotic Shadow Barrier")</f>
        <v>Chaotic Shadow Barrier</v>
      </c>
      <c r="B82" s="17">
        <f>IFERROR(__xludf.DUMMYFUNCTION("""COMPUTED_VALUE"""),9.0)</f>
        <v>9</v>
      </c>
      <c r="C82" s="22">
        <f>IFERROR(__xludf.DUMMYFUNCTION("""COMPUTED_VALUE"""),10000.0)</f>
        <v>10000</v>
      </c>
      <c r="D82" s="16"/>
      <c r="E82" s="16" t="str">
        <f>IFERROR(__xludf.DUMMYFUNCTION("""COMPUTED_VALUE"""),"Target is protected from all spells for 3 rounds")</f>
        <v>Target is protected from all spells for 3 rounds</v>
      </c>
      <c r="F82" s="16" t="str">
        <f>IFERROR(__xludf.DUMMYFUNCTION("""COMPUTED_VALUE"""),"Fail/Succeed")</f>
        <v>Fail/Succeed</v>
      </c>
      <c r="G82" s="18" t="str">
        <f>IFERROR(__xludf.DUMMYFUNCTION("""COMPUTED_VALUE"""),"Self")</f>
        <v>Self</v>
      </c>
      <c r="H82" s="30" t="str">
        <f>IFERROR(__xludf.DUMMYFUNCTION("""COMPUTED_VALUE"""),"Chaos")</f>
        <v>Chaos</v>
      </c>
      <c r="I82" s="20" t="str">
        <f>IFERROR(__xludf.DUMMYFUNCTION("""COMPUTED_VALUE"""),"Mob")</f>
        <v>Mob</v>
      </c>
      <c r="J82" s="21" t="b">
        <f>IFERROR(__xludf.DUMMYFUNCTION("""COMPUTED_VALUE"""),TRUE)</f>
        <v>1</v>
      </c>
      <c r="K82" s="21"/>
      <c r="L82" s="21" t="b">
        <f>IFERROR(__xludf.DUMMYFUNCTION("""COMPUTED_VALUE"""),FALSE)</f>
        <v>0</v>
      </c>
      <c r="M82" s="21" t="b">
        <f>IFERROR(__xludf.DUMMYFUNCTION("""COMPUTED_VALUE"""),FALSE)</f>
        <v>0</v>
      </c>
      <c r="N82" s="1"/>
      <c r="O82" s="1"/>
      <c r="P82" s="1"/>
      <c r="Q82" s="1"/>
      <c r="R82" s="1"/>
      <c r="S82" s="1"/>
      <c r="T82" s="1"/>
      <c r="U82" s="1"/>
      <c r="V82" s="1"/>
      <c r="W82" s="1"/>
      <c r="X82" s="1"/>
      <c r="Y82" s="1"/>
      <c r="Z82" s="1"/>
    </row>
    <row r="83" ht="15.75" customHeight="1">
      <c r="A83" s="16" t="str">
        <f>IFERROR(__xludf.DUMMYFUNCTION("""COMPUTED_VALUE"""),"Chaotic Shadow Breath")</f>
        <v>Chaotic Shadow Breath</v>
      </c>
      <c r="B83" s="17">
        <f>IFERROR(__xludf.DUMMYFUNCTION("""COMPUTED_VALUE"""),0.0)</f>
        <v>0</v>
      </c>
      <c r="C83" s="16">
        <f>IFERROR(__xludf.DUMMYFUNCTION("""COMPUTED_VALUE"""),0.0)</f>
        <v>0</v>
      </c>
      <c r="D83" s="16"/>
      <c r="E83" s="16" t="str">
        <f>IFERROR(__xludf.DUMMYFUNCTION("""COMPUTED_VALUE"""),"All enemies take X Dark and X Chaos damage where X is equal to the users accuracy.")</f>
        <v>All enemies take X Dark and X Chaos damage where X is equal to the users accuracy.</v>
      </c>
      <c r="F83" s="24" t="str">
        <f>IFERROR(__xludf.DUMMYFUNCTION("""COMPUTED_VALUE"""),"Natural/Cannot Avoid")</f>
        <v>Natural/Cannot Avoid</v>
      </c>
      <c r="G83" s="18" t="str">
        <f>IFERROR(__xludf.DUMMYFUNCTION("""COMPUTED_VALUE"""),"All")</f>
        <v>All</v>
      </c>
      <c r="H83" s="30" t="str">
        <f>IFERROR(__xludf.DUMMYFUNCTION("""COMPUTED_VALUE"""),"Chaos")</f>
        <v>Chaos</v>
      </c>
      <c r="I83" s="20" t="str">
        <f>IFERROR(__xludf.DUMMYFUNCTION("""COMPUTED_VALUE"""),"Mob")</f>
        <v>Mob</v>
      </c>
      <c r="J83" s="21" t="b">
        <f>IFERROR(__xludf.DUMMYFUNCTION("""COMPUTED_VALUE"""),TRUE)</f>
        <v>1</v>
      </c>
      <c r="K83" s="21" t="str">
        <f>IFERROR(__xludf.DUMMYFUNCTION("""COMPUTED_VALUE"""),"Players cannot obtain this power.")</f>
        <v>Players cannot obtain this power.</v>
      </c>
      <c r="L83" s="21" t="b">
        <f>IFERROR(__xludf.DUMMYFUNCTION("""COMPUTED_VALUE"""),FALSE)</f>
        <v>0</v>
      </c>
      <c r="M83" s="21" t="b">
        <f>IFERROR(__xludf.DUMMYFUNCTION("""COMPUTED_VALUE"""),FALSE)</f>
        <v>0</v>
      </c>
      <c r="N83" s="1"/>
      <c r="O83" s="1"/>
      <c r="P83" s="1"/>
      <c r="Q83" s="1"/>
      <c r="R83" s="1"/>
      <c r="S83" s="1"/>
      <c r="T83" s="1"/>
      <c r="U83" s="1"/>
      <c r="V83" s="1"/>
      <c r="W83" s="1"/>
      <c r="X83" s="1"/>
      <c r="Y83" s="1"/>
      <c r="Z83" s="1"/>
    </row>
    <row r="84" ht="15.75" customHeight="1">
      <c r="A84" s="16" t="str">
        <f>IFERROR(__xludf.DUMMYFUNCTION("""COMPUTED_VALUE"""),"Chaotic Shadow Claws")</f>
        <v>Chaotic Shadow Claws</v>
      </c>
      <c r="B84" s="17">
        <f>IFERROR(__xludf.DUMMYFUNCTION("""COMPUTED_VALUE"""),0.0)</f>
        <v>0</v>
      </c>
      <c r="C84" s="16">
        <f>IFERROR(__xludf.DUMMYFUNCTION("""COMPUTED_VALUE"""),0.0)</f>
        <v>0</v>
      </c>
      <c r="D84" s="16"/>
      <c r="E84" s="16"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16" t="str">
        <f>IFERROR(__xludf.DUMMYFUNCTION("""COMPUTED_VALUE"""),"Natural/Hit or Miss")</f>
        <v>Natural/Hit or Miss</v>
      </c>
      <c r="G84" s="18">
        <f>IFERROR(__xludf.DUMMYFUNCTION("""COMPUTED_VALUE"""),1.0)</f>
        <v>1</v>
      </c>
      <c r="H84" s="30" t="str">
        <f>IFERROR(__xludf.DUMMYFUNCTION("""COMPUTED_VALUE"""),"Chaos")</f>
        <v>Chaos</v>
      </c>
      <c r="I84" s="20" t="str">
        <f>IFERROR(__xludf.DUMMYFUNCTION("""COMPUTED_VALUE"""),"Mob")</f>
        <v>Mob</v>
      </c>
      <c r="J84" s="21" t="b">
        <f>IFERROR(__xludf.DUMMYFUNCTION("""COMPUTED_VALUE"""),TRUE)</f>
        <v>1</v>
      </c>
      <c r="K84" s="21"/>
      <c r="L84" s="21" t="b">
        <f>IFERROR(__xludf.DUMMYFUNCTION("""COMPUTED_VALUE"""),FALSE)</f>
        <v>0</v>
      </c>
      <c r="M84" s="21" t="b">
        <f>IFERROR(__xludf.DUMMYFUNCTION("""COMPUTED_VALUE"""),FALSE)</f>
        <v>0</v>
      </c>
      <c r="N84" s="1"/>
      <c r="O84" s="1"/>
      <c r="P84" s="1"/>
      <c r="Q84" s="1"/>
      <c r="R84" s="1"/>
      <c r="S84" s="1"/>
      <c r="T84" s="1"/>
      <c r="U84" s="1"/>
      <c r="V84" s="1"/>
      <c r="W84" s="1"/>
      <c r="X84" s="1"/>
      <c r="Y84" s="1"/>
      <c r="Z84" s="1"/>
    </row>
    <row r="85" ht="15.75" customHeight="1">
      <c r="A85" s="16" t="str">
        <f>IFERROR(__xludf.DUMMYFUNCTION("""COMPUTED_VALUE"""),"Chaotic Shadow Dragons War Call")</f>
        <v>Chaotic Shadow Dragons War Call</v>
      </c>
      <c r="B85" s="17">
        <f>IFERROR(__xludf.DUMMYFUNCTION("""COMPUTED_VALUE"""),0.0)</f>
        <v>0</v>
      </c>
      <c r="C85" s="16">
        <f>IFERROR(__xludf.DUMMYFUNCTION("""COMPUTED_VALUE"""),0.0)</f>
        <v>0</v>
      </c>
      <c r="D85" s="16"/>
      <c r="E85" s="16" t="str">
        <f>IFERROR(__xludf.DUMMYFUNCTION("""COMPUTED_VALUE"""),"Calls in 2 other Multi headed Chaotic Shadow Dragon’s to battle, 50% chance to call in 3.")</f>
        <v>Calls in 2 other Multi headed Chaotic Shadow Dragon’s to battle, 50% chance to call in 3.</v>
      </c>
      <c r="F85" s="16" t="str">
        <f>IFERROR(__xludf.DUMMYFUNCTION("""COMPUTED_VALUE"""),"Natural/Fail or Succeed")</f>
        <v>Natural/Fail or Succeed</v>
      </c>
      <c r="G85" s="18" t="str">
        <f>IFERROR(__xludf.DUMMYFUNCTION("""COMPUTED_VALUE"""),"Self")</f>
        <v>Self</v>
      </c>
      <c r="H85" s="30" t="str">
        <f>IFERROR(__xludf.DUMMYFUNCTION("""COMPUTED_VALUE"""),"Chaos")</f>
        <v>Chaos</v>
      </c>
      <c r="I85" s="20" t="str">
        <f>IFERROR(__xludf.DUMMYFUNCTION("""COMPUTED_VALUE"""),"Mob")</f>
        <v>Mob</v>
      </c>
      <c r="J85" s="21" t="b">
        <f>IFERROR(__xludf.DUMMYFUNCTION("""COMPUTED_VALUE"""),TRUE)</f>
        <v>1</v>
      </c>
      <c r="K85" s="21"/>
      <c r="L85" s="21" t="b">
        <f>IFERROR(__xludf.DUMMYFUNCTION("""COMPUTED_VALUE"""),FALSE)</f>
        <v>0</v>
      </c>
      <c r="M85" s="21" t="b">
        <f>IFERROR(__xludf.DUMMYFUNCTION("""COMPUTED_VALUE"""),FALSE)</f>
        <v>0</v>
      </c>
      <c r="N85" s="1"/>
      <c r="O85" s="1"/>
      <c r="P85" s="1"/>
      <c r="Q85" s="1"/>
      <c r="R85" s="1"/>
      <c r="S85" s="1"/>
      <c r="T85" s="1"/>
      <c r="U85" s="1"/>
      <c r="V85" s="1"/>
      <c r="W85" s="1"/>
      <c r="X85" s="1"/>
      <c r="Y85" s="1"/>
      <c r="Z85" s="1"/>
    </row>
    <row r="86" ht="15.75" customHeight="1">
      <c r="A86" s="16" t="str">
        <f>IFERROR(__xludf.DUMMYFUNCTION("""COMPUTED_VALUE"""),"Chaotic Shadow Dragons Wrath")</f>
        <v>Chaotic Shadow Dragons Wrath</v>
      </c>
      <c r="B86" s="17">
        <f>IFERROR(__xludf.DUMMYFUNCTION("""COMPUTED_VALUE"""),0.0)</f>
        <v>0</v>
      </c>
      <c r="C86" s="16">
        <f>IFERROR(__xludf.DUMMYFUNCTION("""COMPUTED_VALUE"""),0.0)</f>
        <v>0</v>
      </c>
      <c r="D86" s="16"/>
      <c r="E86" s="16" t="str">
        <f>IFERROR(__xludf.DUMMYFUNCTION("""COMPUTED_VALUE"""),"X Dark, X Fire, and X Chaos damage to all enemies, where X is equal to the users accuracy.")</f>
        <v>X Dark, X Fire, and X Chaos damage to all enemies, where X is equal to the users accuracy.</v>
      </c>
      <c r="F86" s="16" t="str">
        <f>IFERROR(__xludf.DUMMYFUNCTION("""COMPUTED_VALUE"""),"Natural/Cannot Avoid")</f>
        <v>Natural/Cannot Avoid</v>
      </c>
      <c r="G86" s="18" t="str">
        <f>IFERROR(__xludf.DUMMYFUNCTION("""COMPUTED_VALUE"""),"All")</f>
        <v>All</v>
      </c>
      <c r="H86" s="30" t="str">
        <f>IFERROR(__xludf.DUMMYFUNCTION("""COMPUTED_VALUE"""),"Chaos")</f>
        <v>Chaos</v>
      </c>
      <c r="I86" s="20" t="str">
        <f>IFERROR(__xludf.DUMMYFUNCTION("""COMPUTED_VALUE"""),"Mob")</f>
        <v>Mob</v>
      </c>
      <c r="J86" s="21" t="b">
        <f>IFERROR(__xludf.DUMMYFUNCTION("""COMPUTED_VALUE"""),TRUE)</f>
        <v>1</v>
      </c>
      <c r="K86" s="21"/>
      <c r="L86" s="21" t="b">
        <f>IFERROR(__xludf.DUMMYFUNCTION("""COMPUTED_VALUE"""),FALSE)</f>
        <v>0</v>
      </c>
      <c r="M86" s="21" t="b">
        <f>IFERROR(__xludf.DUMMYFUNCTION("""COMPUTED_VALUE"""),FALSE)</f>
        <v>0</v>
      </c>
      <c r="N86" s="1"/>
      <c r="O86" s="1"/>
      <c r="P86" s="1"/>
      <c r="Q86" s="1"/>
      <c r="R86" s="1"/>
      <c r="S86" s="1"/>
      <c r="T86" s="1"/>
      <c r="U86" s="1"/>
      <c r="V86" s="1"/>
      <c r="W86" s="1"/>
      <c r="X86" s="1"/>
      <c r="Y86" s="1"/>
      <c r="Z86" s="1"/>
    </row>
    <row r="87" ht="15.75" customHeight="1">
      <c r="A87" s="16" t="str">
        <f>IFERROR(__xludf.DUMMYFUNCTION("""COMPUTED_VALUE"""),"Chaotic Shadow Force")</f>
        <v>Chaotic Shadow Force</v>
      </c>
      <c r="B87" s="17">
        <f>IFERROR(__xludf.DUMMYFUNCTION("""COMPUTED_VALUE"""),0.0)</f>
        <v>0</v>
      </c>
      <c r="C87" s="16">
        <f>IFERROR(__xludf.DUMMYFUNCTION("""COMPUTED_VALUE"""),0.0)</f>
        <v>0</v>
      </c>
      <c r="D87" s="16"/>
      <c r="E87" s="16"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16" t="str">
        <f>IFERROR(__xludf.DUMMYFUNCTION("""COMPUTED_VALUE"""),"Natural/Fail Or Succeed")</f>
        <v>Natural/Fail Or Succeed</v>
      </c>
      <c r="G87" s="18">
        <f>IFERROR(__xludf.DUMMYFUNCTION("""COMPUTED_VALUE"""),1.0)</f>
        <v>1</v>
      </c>
      <c r="H87" s="30" t="str">
        <f>IFERROR(__xludf.DUMMYFUNCTION("""COMPUTED_VALUE"""),"Chaos")</f>
        <v>Chaos</v>
      </c>
      <c r="I87" s="20" t="str">
        <f>IFERROR(__xludf.DUMMYFUNCTION("""COMPUTED_VALUE"""),"Mob")</f>
        <v>Mob</v>
      </c>
      <c r="J87" s="21" t="b">
        <f>IFERROR(__xludf.DUMMYFUNCTION("""COMPUTED_VALUE"""),TRUE)</f>
        <v>1</v>
      </c>
      <c r="K87" s="21"/>
      <c r="L87" s="21" t="b">
        <f>IFERROR(__xludf.DUMMYFUNCTION("""COMPUTED_VALUE"""),FALSE)</f>
        <v>0</v>
      </c>
      <c r="M87" s="21" t="b">
        <f>IFERROR(__xludf.DUMMYFUNCTION("""COMPUTED_VALUE"""),FALSE)</f>
        <v>0</v>
      </c>
      <c r="N87" s="1"/>
      <c r="O87" s="1"/>
      <c r="P87" s="1"/>
      <c r="Q87" s="1"/>
      <c r="R87" s="1"/>
      <c r="S87" s="1"/>
      <c r="T87" s="1"/>
      <c r="U87" s="1"/>
      <c r="V87" s="1"/>
      <c r="W87" s="1"/>
      <c r="X87" s="1"/>
      <c r="Y87" s="1"/>
      <c r="Z87" s="1"/>
    </row>
    <row r="88" ht="15.75" customHeight="1">
      <c r="A88" s="16" t="str">
        <f>IFERROR(__xludf.DUMMYFUNCTION("""COMPUTED_VALUE"""),"Chaotic Shadow Slam")</f>
        <v>Chaotic Shadow Slam</v>
      </c>
      <c r="B88" s="17">
        <f>IFERROR(__xludf.DUMMYFUNCTION("""COMPUTED_VALUE"""),0.0)</f>
        <v>0</v>
      </c>
      <c r="C88" s="16">
        <f>IFERROR(__xludf.DUMMYFUNCTION("""COMPUTED_VALUE"""),0.0)</f>
        <v>0</v>
      </c>
      <c r="D88" s="16"/>
      <c r="E88" s="16" t="str">
        <f>IFERROR(__xludf.DUMMYFUNCTION("""COMPUTED_VALUE"""),"Slams the target into the ground dealing X*2 Chaos and X*2 Dark damage where X is equal to attack.")</f>
        <v>Slams the target into the ground dealing X*2 Chaos and X*2 Dark damage where X is equal to attack.</v>
      </c>
      <c r="F88" s="16" t="str">
        <f>IFERROR(__xludf.DUMMYFUNCTION("""COMPUTED_VALUE"""),"Natural/Hit or Miss")</f>
        <v>Natural/Hit or Miss</v>
      </c>
      <c r="G88" s="18">
        <f>IFERROR(__xludf.DUMMYFUNCTION("""COMPUTED_VALUE"""),1.0)</f>
        <v>1</v>
      </c>
      <c r="H88" s="30" t="str">
        <f>IFERROR(__xludf.DUMMYFUNCTION("""COMPUTED_VALUE"""),"Chaos")</f>
        <v>Chaos</v>
      </c>
      <c r="I88" s="20" t="str">
        <f>IFERROR(__xludf.DUMMYFUNCTION("""COMPUTED_VALUE"""),"Mob")</f>
        <v>Mob</v>
      </c>
      <c r="J88" s="21" t="b">
        <f>IFERROR(__xludf.DUMMYFUNCTION("""COMPUTED_VALUE"""),TRUE)</f>
        <v>1</v>
      </c>
      <c r="K88" s="21"/>
      <c r="L88" s="21" t="b">
        <f>IFERROR(__xludf.DUMMYFUNCTION("""COMPUTED_VALUE"""),FALSE)</f>
        <v>0</v>
      </c>
      <c r="M88" s="21" t="b">
        <f>IFERROR(__xludf.DUMMYFUNCTION("""COMPUTED_VALUE"""),FALSE)</f>
        <v>0</v>
      </c>
      <c r="N88" s="1"/>
      <c r="O88" s="1"/>
      <c r="P88" s="1"/>
      <c r="Q88" s="1"/>
      <c r="R88" s="1"/>
      <c r="S88" s="1"/>
      <c r="T88" s="1"/>
      <c r="U88" s="1"/>
      <c r="V88" s="1"/>
      <c r="W88" s="1"/>
      <c r="X88" s="1"/>
      <c r="Y88" s="1"/>
      <c r="Z88" s="1"/>
    </row>
    <row r="89" ht="15.75" customHeight="1">
      <c r="A89" s="16" t="str">
        <f>IFERROR(__xludf.DUMMYFUNCTION("""COMPUTED_VALUE"""),"Chaotic Shadow Spider Slam")</f>
        <v>Chaotic Shadow Spider Slam</v>
      </c>
      <c r="B89" s="17">
        <f>IFERROR(__xludf.DUMMYFUNCTION("""COMPUTED_VALUE"""),0.0)</f>
        <v>0</v>
      </c>
      <c r="C89" s="16">
        <f>IFERROR(__xludf.DUMMYFUNCTION("""COMPUTED_VALUE"""),0.0)</f>
        <v>0</v>
      </c>
      <c r="D89" s="16"/>
      <c r="E89" s="16" t="str">
        <f>IFERROR(__xludf.DUMMYFUNCTION("""COMPUTED_VALUE"""),"All targets take X Dark and X Chaos damage, where x is equal to the users attack.")</f>
        <v>All targets take X Dark and X Chaos damage, where x is equal to the users attack.</v>
      </c>
      <c r="F89" s="16" t="str">
        <f>IFERROR(__xludf.DUMMYFUNCTION("""COMPUTED_VALUE"""),"Natural/Cannot Avoid")</f>
        <v>Natural/Cannot Avoid</v>
      </c>
      <c r="G89" s="18" t="str">
        <f>IFERROR(__xludf.DUMMYFUNCTION("""COMPUTED_VALUE"""),"All")</f>
        <v>All</v>
      </c>
      <c r="H89" s="30" t="str">
        <f>IFERROR(__xludf.DUMMYFUNCTION("""COMPUTED_VALUE"""),"Chaos")</f>
        <v>Chaos</v>
      </c>
      <c r="I89" s="20" t="str">
        <f>IFERROR(__xludf.DUMMYFUNCTION("""COMPUTED_VALUE"""),"Mob")</f>
        <v>Mob</v>
      </c>
      <c r="J89" s="21" t="b">
        <f>IFERROR(__xludf.DUMMYFUNCTION("""COMPUTED_VALUE"""),TRUE)</f>
        <v>1</v>
      </c>
      <c r="K89" s="21"/>
      <c r="L89" s="21" t="b">
        <f>IFERROR(__xludf.DUMMYFUNCTION("""COMPUTED_VALUE"""),FALSE)</f>
        <v>0</v>
      </c>
      <c r="M89" s="21" t="b">
        <f>IFERROR(__xludf.DUMMYFUNCTION("""COMPUTED_VALUE"""),FALSE)</f>
        <v>0</v>
      </c>
      <c r="N89" s="1"/>
      <c r="O89" s="1"/>
      <c r="P89" s="1"/>
      <c r="Q89" s="1"/>
      <c r="R89" s="1"/>
      <c r="S89" s="1"/>
      <c r="T89" s="1"/>
      <c r="U89" s="1"/>
      <c r="V89" s="1"/>
      <c r="W89" s="1"/>
      <c r="X89" s="1"/>
      <c r="Y89" s="1"/>
      <c r="Z89" s="1"/>
    </row>
    <row r="90" ht="15.75" customHeight="1">
      <c r="A90" s="16" t="str">
        <f>IFERROR(__xludf.DUMMYFUNCTION("""COMPUTED_VALUE"""),"Chaotic Shadow Stomp")</f>
        <v>Chaotic Shadow Stomp</v>
      </c>
      <c r="B90" s="17">
        <f>IFERROR(__xludf.DUMMYFUNCTION("""COMPUTED_VALUE"""),0.0)</f>
        <v>0</v>
      </c>
      <c r="C90" s="16">
        <f>IFERROR(__xludf.DUMMYFUNCTION("""COMPUTED_VALUE"""),0.0)</f>
        <v>0</v>
      </c>
      <c r="D90" s="16"/>
      <c r="E90" s="31" t="str">
        <f>IFERROR(__xludf.DUMMYFUNCTION("""COMPUTED_VALUE"""),"All enemies take X*4 Dark and X*4 Chaos damage, where x is equal to the users attack.")</f>
        <v>All enemies take X*4 Dark and X*4 Chaos damage, where x is equal to the users attack.</v>
      </c>
      <c r="F90" s="16" t="str">
        <f>IFERROR(__xludf.DUMMYFUNCTION("""COMPUTED_VALUE"""),"Natural/Cannot Avoid")</f>
        <v>Natural/Cannot Avoid</v>
      </c>
      <c r="G90" s="18" t="str">
        <f>IFERROR(__xludf.DUMMYFUNCTION("""COMPUTED_VALUE"""),"All")</f>
        <v>All</v>
      </c>
      <c r="H90" s="30" t="str">
        <f>IFERROR(__xludf.DUMMYFUNCTION("""COMPUTED_VALUE"""),"Chaos")</f>
        <v>Chaos</v>
      </c>
      <c r="I90" s="18" t="str">
        <f>IFERROR(__xludf.DUMMYFUNCTION("""COMPUTED_VALUE"""),"Mob")</f>
        <v>Mob</v>
      </c>
      <c r="J90" s="21" t="b">
        <f>IFERROR(__xludf.DUMMYFUNCTION("""COMPUTED_VALUE"""),TRUE)</f>
        <v>1</v>
      </c>
      <c r="K90" s="21"/>
      <c r="L90" s="21" t="b">
        <f>IFERROR(__xludf.DUMMYFUNCTION("""COMPUTED_VALUE"""),FALSE)</f>
        <v>0</v>
      </c>
      <c r="M90" s="21" t="b">
        <f>IFERROR(__xludf.DUMMYFUNCTION("""COMPUTED_VALUE"""),FALSE)</f>
        <v>0</v>
      </c>
      <c r="N90" s="1"/>
      <c r="O90" s="1"/>
      <c r="P90" s="1"/>
      <c r="Q90" s="1"/>
      <c r="R90" s="1"/>
      <c r="S90" s="1"/>
      <c r="T90" s="1"/>
      <c r="U90" s="1"/>
      <c r="V90" s="1"/>
      <c r="W90" s="1"/>
      <c r="X90" s="1"/>
      <c r="Y90" s="1"/>
      <c r="Z90" s="1"/>
    </row>
    <row r="91" ht="15.75" customHeight="1">
      <c r="A91" s="16" t="str">
        <f>IFERROR(__xludf.DUMMYFUNCTION("""COMPUTED_VALUE"""),"Chaotic Spider Smarts")</f>
        <v>Chaotic Spider Smarts</v>
      </c>
      <c r="B91" s="17">
        <f>IFERROR(__xludf.DUMMYFUNCTION("""COMPUTED_VALUE"""),0.0)</f>
        <v>0</v>
      </c>
      <c r="C91" s="16">
        <f>IFERROR(__xludf.DUMMYFUNCTION("""COMPUTED_VALUE"""),0.0)</f>
        <v>0</v>
      </c>
      <c r="D91" s="16"/>
      <c r="E91" s="16" t="str">
        <f>IFERROR(__xludf.DUMMYFUNCTION("""COMPUTED_VALUE"""),"All base stats become x4 for 3 rounds, can only be used once per battle.")</f>
        <v>All base stats become x4 for 3 rounds, can only be used once per battle.</v>
      </c>
      <c r="F91" s="16" t="str">
        <f>IFERROR(__xludf.DUMMYFUNCTION("""COMPUTED_VALUE"""),"Natural/Fail or Succeed")</f>
        <v>Natural/Fail or Succeed</v>
      </c>
      <c r="G91" s="18" t="str">
        <f>IFERROR(__xludf.DUMMYFUNCTION("""COMPUTED_VALUE"""),"Self")</f>
        <v>Self</v>
      </c>
      <c r="H91" s="30" t="str">
        <f>IFERROR(__xludf.DUMMYFUNCTION("""COMPUTED_VALUE"""),"Chaos")</f>
        <v>Chaos</v>
      </c>
      <c r="I91" s="20" t="str">
        <f>IFERROR(__xludf.DUMMYFUNCTION("""COMPUTED_VALUE"""),"Mob")</f>
        <v>Mob</v>
      </c>
      <c r="J91" s="21" t="b">
        <f>IFERROR(__xludf.DUMMYFUNCTION("""COMPUTED_VALUE"""),TRUE)</f>
        <v>1</v>
      </c>
      <c r="K91" s="21"/>
      <c r="L91" s="21" t="b">
        <f>IFERROR(__xludf.DUMMYFUNCTION("""COMPUTED_VALUE"""),FALSE)</f>
        <v>0</v>
      </c>
      <c r="M91" s="21" t="b">
        <f>IFERROR(__xludf.DUMMYFUNCTION("""COMPUTED_VALUE"""),FALSE)</f>
        <v>0</v>
      </c>
      <c r="N91" s="1"/>
      <c r="O91" s="1"/>
      <c r="P91" s="1"/>
      <c r="Q91" s="1"/>
      <c r="R91" s="1"/>
      <c r="S91" s="1"/>
      <c r="T91" s="1"/>
      <c r="U91" s="1"/>
      <c r="V91" s="1"/>
      <c r="W91" s="1"/>
      <c r="X91" s="1"/>
      <c r="Y91" s="1"/>
      <c r="Z91" s="1"/>
    </row>
    <row r="92" ht="15.75" customHeight="1">
      <c r="A92" s="16" t="str">
        <f>IFERROR(__xludf.DUMMYFUNCTION("""COMPUTED_VALUE"""),"Countdown")</f>
        <v>Countdown</v>
      </c>
      <c r="B92" s="17">
        <f>IFERROR(__xludf.DUMMYFUNCTION("""COMPUTED_VALUE"""),9.0)</f>
        <v>9</v>
      </c>
      <c r="C92" s="22">
        <f>IFERROR(__xludf.DUMMYFUNCTION("""COMPUTED_VALUE"""),10000.0)</f>
        <v>10000</v>
      </c>
      <c r="D92" s="16"/>
      <c r="E92" s="16" t="str">
        <f>IFERROR(__xludf.DUMMYFUNCTION("""COMPUTED_VALUE"""),"All enemies will instantly die after 3 rounds, cannot be canceled once begun, Cannot resist or be immune to.")</f>
        <v>All enemies will instantly die after 3 rounds, cannot be canceled once begun, Cannot resist or be immune to.</v>
      </c>
      <c r="F92" s="16" t="str">
        <f>IFERROR(__xludf.DUMMYFUNCTION("""COMPUTED_VALUE"""),"Fail/Succeed")</f>
        <v>Fail/Succeed</v>
      </c>
      <c r="G92" s="18" t="str">
        <f>IFERROR(__xludf.DUMMYFUNCTION("""COMPUTED_VALUE"""),"All")</f>
        <v>All</v>
      </c>
      <c r="H92" s="30" t="str">
        <f>IFERROR(__xludf.DUMMYFUNCTION("""COMPUTED_VALUE"""),"Chaos")</f>
        <v>Chaos</v>
      </c>
      <c r="I92" s="20" t="str">
        <f>IFERROR(__xludf.DUMMYFUNCTION("""COMPUTED_VALUE"""),"Player")</f>
        <v>Player</v>
      </c>
      <c r="J92" s="21" t="b">
        <f>IFERROR(__xludf.DUMMYFUNCTION("""COMPUTED_VALUE"""),TRUE)</f>
        <v>1</v>
      </c>
      <c r="K92" s="21" t="str">
        <f>IFERROR(__xludf.DUMMYFUNCTION("""COMPUTED_VALUE"""),"shop spell")</f>
        <v>shop spell</v>
      </c>
      <c r="L92" s="21" t="b">
        <f>IFERROR(__xludf.DUMMYFUNCTION("""COMPUTED_VALUE"""),FALSE)</f>
        <v>0</v>
      </c>
      <c r="M92" s="21" t="b">
        <f>IFERROR(__xludf.DUMMYFUNCTION("""COMPUTED_VALUE"""),TRUE)</f>
        <v>1</v>
      </c>
      <c r="N92" s="1"/>
      <c r="O92" s="1"/>
      <c r="P92" s="1"/>
      <c r="Q92" s="1"/>
      <c r="R92" s="1"/>
      <c r="S92" s="1"/>
      <c r="T92" s="1"/>
      <c r="U92" s="1"/>
      <c r="V92" s="1"/>
      <c r="W92" s="1"/>
      <c r="X92" s="1"/>
      <c r="Y92" s="1"/>
      <c r="Z92" s="1"/>
    </row>
    <row r="93" ht="15.75" customHeight="1">
      <c r="A93" s="16" t="str">
        <f>IFERROR(__xludf.DUMMYFUNCTION("""COMPUTED_VALUE"""),"Curse of The Samurai")</f>
        <v>Curse of The Samurai</v>
      </c>
      <c r="B93" s="17">
        <f>IFERROR(__xludf.DUMMYFUNCTION("""COMPUTED_VALUE"""),9.0)</f>
        <v>9</v>
      </c>
      <c r="C93" s="22">
        <f>IFERROR(__xludf.DUMMYFUNCTION("""COMPUTED_VALUE"""),300.0)</f>
        <v>300</v>
      </c>
      <c r="D93" s="16"/>
      <c r="E93" s="16" t="str">
        <f>IFERROR(__xludf.DUMMYFUNCTION("""COMPUTED_VALUE"""),"Binds the target to the area they are in making it so they cannot leave it.")</f>
        <v>Binds the target to the area they are in making it so they cannot leave it.</v>
      </c>
      <c r="F93" s="16" t="str">
        <f>IFERROR(__xludf.DUMMYFUNCTION("""COMPUTED_VALUE"""),"Fail or Succeed")</f>
        <v>Fail or Succeed</v>
      </c>
      <c r="G93" s="18">
        <f>IFERROR(__xludf.DUMMYFUNCTION("""COMPUTED_VALUE"""),1.0)</f>
        <v>1</v>
      </c>
      <c r="H93" s="30" t="str">
        <f>IFERROR(__xludf.DUMMYFUNCTION("""COMPUTED_VALUE"""),"Chaos")</f>
        <v>Chaos</v>
      </c>
      <c r="I93" s="20" t="str">
        <f>IFERROR(__xludf.DUMMYFUNCTION("""COMPUTED_VALUE"""),"Mob")</f>
        <v>Mob</v>
      </c>
      <c r="J93" s="21" t="b">
        <f>IFERROR(__xludf.DUMMYFUNCTION("""COMPUTED_VALUE"""),TRUE)</f>
        <v>1</v>
      </c>
      <c r="K93" s="21"/>
      <c r="L93" s="21" t="b">
        <f>IFERROR(__xludf.DUMMYFUNCTION("""COMPUTED_VALUE"""),FALSE)</f>
        <v>0</v>
      </c>
      <c r="M93" s="21" t="b">
        <f>IFERROR(__xludf.DUMMYFUNCTION("""COMPUTED_VALUE"""),FALSE)</f>
        <v>0</v>
      </c>
      <c r="N93" s="1"/>
      <c r="O93" s="1"/>
      <c r="P93" s="1"/>
      <c r="Q93" s="1"/>
      <c r="R93" s="1"/>
      <c r="S93" s="1"/>
      <c r="T93" s="1"/>
      <c r="U93" s="1"/>
      <c r="V93" s="1"/>
      <c r="W93" s="1"/>
      <c r="X93" s="1"/>
      <c r="Y93" s="1"/>
      <c r="Z93" s="1"/>
    </row>
    <row r="94" ht="15.75" customHeight="1">
      <c r="A94" s="16" t="str">
        <f>IFERROR(__xludf.DUMMYFUNCTION("""COMPUTED_VALUE"""),"Deflect (Random)")</f>
        <v>Deflect (Random)</v>
      </c>
      <c r="B94" s="17">
        <f>IFERROR(__xludf.DUMMYFUNCTION("""COMPUTED_VALUE"""),3.0)</f>
        <v>3</v>
      </c>
      <c r="C94" s="16">
        <f>IFERROR(__xludf.DUMMYFUNCTION("""COMPUTED_VALUE"""),30.0)</f>
        <v>30</v>
      </c>
      <c r="D94" s="16"/>
      <c r="E94" s="16" t="str">
        <f>IFERROR(__xludf.DUMMYFUNCTION("""COMPUTED_VALUE"""),"Deflects any damage you would have taken from the next attack and diverts to a random target.")</f>
        <v>Deflects any damage you would have taken from the next attack and diverts to a random target.</v>
      </c>
      <c r="F94" s="16" t="str">
        <f>IFERROR(__xludf.DUMMYFUNCTION("""COMPUTED_VALUE"""),"Fail/Succeed")</f>
        <v>Fail/Succeed</v>
      </c>
      <c r="G94" s="18"/>
      <c r="H94" s="30" t="str">
        <f>IFERROR(__xludf.DUMMYFUNCTION("""COMPUTED_VALUE"""),"Chaos")</f>
        <v>Chaos</v>
      </c>
      <c r="I94" s="20" t="str">
        <f>IFERROR(__xludf.DUMMYFUNCTION("""COMPUTED_VALUE"""),"Player")</f>
        <v>Player</v>
      </c>
      <c r="J94" s="21" t="b">
        <f>IFERROR(__xludf.DUMMYFUNCTION("""COMPUTED_VALUE"""),FALSE)</f>
        <v>0</v>
      </c>
      <c r="K94" s="21"/>
      <c r="L94" s="21" t="b">
        <f>IFERROR(__xludf.DUMMYFUNCTION("""COMPUTED_VALUE"""),FALSE)</f>
        <v>0</v>
      </c>
      <c r="M94" s="21" t="b">
        <f>IFERROR(__xludf.DUMMYFUNCTION("""COMPUTED_VALUE"""),FALSE)</f>
        <v>0</v>
      </c>
      <c r="N94" s="1"/>
      <c r="O94" s="1"/>
      <c r="P94" s="1"/>
      <c r="Q94" s="1"/>
      <c r="R94" s="1"/>
      <c r="S94" s="1"/>
      <c r="T94" s="1"/>
      <c r="U94" s="1"/>
      <c r="V94" s="1"/>
      <c r="W94" s="1"/>
      <c r="X94" s="1"/>
      <c r="Y94" s="1"/>
      <c r="Z94" s="1"/>
    </row>
    <row r="95" ht="15.75" customHeight="1">
      <c r="A95" s="16" t="str">
        <f>IFERROR(__xludf.DUMMYFUNCTION("""COMPUTED_VALUE"""),"Dimension Portal")</f>
        <v>Dimension Portal</v>
      </c>
      <c r="B95" s="17">
        <f>IFERROR(__xludf.DUMMYFUNCTION("""COMPUTED_VALUE"""),9.0)</f>
        <v>9</v>
      </c>
      <c r="C95" s="16" t="str">
        <f>IFERROR(__xludf.DUMMYFUNCTION("""COMPUTED_VALUE"""),"200 or 400")</f>
        <v>200 or 400</v>
      </c>
      <c r="D95" s="16"/>
      <c r="E95"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16" t="str">
        <f>IFERROR(__xludf.DUMMYFUNCTION("""COMPUTED_VALUE"""),"Fail/Succeed")</f>
        <v>Fail/Succeed</v>
      </c>
      <c r="G95" s="18"/>
      <c r="H95" s="30" t="str">
        <f>IFERROR(__xludf.DUMMYFUNCTION("""COMPUTED_VALUE"""),"Chaos")</f>
        <v>Chaos</v>
      </c>
      <c r="I95" s="20" t="str">
        <f>IFERROR(__xludf.DUMMYFUNCTION("""COMPUTED_VALUE"""),"Player")</f>
        <v>Player</v>
      </c>
      <c r="J95" s="21" t="b">
        <f>IFERROR(__xludf.DUMMYFUNCTION("""COMPUTED_VALUE"""),FALSE)</f>
        <v>0</v>
      </c>
      <c r="K95" s="21"/>
      <c r="L95" s="21" t="b">
        <f>IFERROR(__xludf.DUMMYFUNCTION("""COMPUTED_VALUE"""),FALSE)</f>
        <v>0</v>
      </c>
      <c r="M95" s="21" t="b">
        <f>IFERROR(__xludf.DUMMYFUNCTION("""COMPUTED_VALUE"""),FALSE)</f>
        <v>0</v>
      </c>
      <c r="N95" s="1"/>
      <c r="O95" s="1"/>
      <c r="P95" s="1"/>
      <c r="Q95" s="1"/>
      <c r="R95" s="1"/>
      <c r="S95" s="1"/>
      <c r="T95" s="1"/>
      <c r="U95" s="1"/>
      <c r="V95" s="1"/>
      <c r="W95" s="1"/>
      <c r="X95" s="1"/>
      <c r="Y95" s="1"/>
      <c r="Z95" s="1"/>
    </row>
    <row r="96" ht="15.75" customHeight="1">
      <c r="A96" s="16" t="str">
        <f>IFERROR(__xludf.DUMMYFUNCTION("""COMPUTED_VALUE"""),"Dimensional Quake")</f>
        <v>Dimensional Quake</v>
      </c>
      <c r="B96" s="17">
        <f>IFERROR(__xludf.DUMMYFUNCTION("""COMPUTED_VALUE"""),9.0)</f>
        <v>9</v>
      </c>
      <c r="C96" s="16">
        <f>IFERROR(__xludf.DUMMYFUNCTION("""COMPUTED_VALUE"""),400.0)</f>
        <v>400</v>
      </c>
      <c r="D96" s="32"/>
      <c r="E96"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16" t="str">
        <f>IFERROR(__xludf.DUMMYFUNCTION("""COMPUTED_VALUE"""),"Cannot Avoid")</f>
        <v>Cannot Avoid</v>
      </c>
      <c r="G96" s="18" t="str">
        <f>IFERROR(__xludf.DUMMYFUNCTION("""COMPUTED_VALUE"""),"All")</f>
        <v>All</v>
      </c>
      <c r="H96" s="30" t="str">
        <f>IFERROR(__xludf.DUMMYFUNCTION("""COMPUTED_VALUE"""),"Chaos")</f>
        <v>Chaos</v>
      </c>
      <c r="I96" s="20" t="str">
        <f>IFERROR(__xludf.DUMMYFUNCTION("""COMPUTED_VALUE"""),"Player")</f>
        <v>Player</v>
      </c>
      <c r="J96" s="21" t="b">
        <f>IFERROR(__xludf.DUMMYFUNCTION("""COMPUTED_VALUE"""),FALSE)</f>
        <v>0</v>
      </c>
      <c r="K96" s="21"/>
      <c r="L96" s="21" t="b">
        <f>IFERROR(__xludf.DUMMYFUNCTION("""COMPUTED_VALUE"""),FALSE)</f>
        <v>0</v>
      </c>
      <c r="M96" s="21" t="b">
        <f>IFERROR(__xludf.DUMMYFUNCTION("""COMPUTED_VALUE"""),FALSE)</f>
        <v>0</v>
      </c>
      <c r="N96" s="1"/>
      <c r="O96" s="1"/>
      <c r="P96" s="1"/>
      <c r="Q96" s="1"/>
      <c r="R96" s="1"/>
      <c r="S96" s="1"/>
      <c r="T96" s="1"/>
      <c r="U96" s="1"/>
      <c r="V96" s="1"/>
      <c r="W96" s="1"/>
      <c r="X96" s="1"/>
      <c r="Y96" s="1"/>
      <c r="Z96" s="1"/>
    </row>
    <row r="97" ht="15.75" customHeight="1">
      <c r="A97" s="33" t="str">
        <f>IFERROR(__xludf.DUMMYFUNCTION("""COMPUTED_VALUE"""),"Disruption")</f>
        <v>Disruption</v>
      </c>
      <c r="B97" s="34">
        <f>IFERROR(__xludf.DUMMYFUNCTION("""COMPUTED_VALUE"""),9.0)</f>
        <v>9</v>
      </c>
      <c r="C97" s="32">
        <f>IFERROR(__xludf.DUMMYFUNCTION("""COMPUTED_VALUE"""),600.0)</f>
        <v>600</v>
      </c>
      <c r="D97" s="16"/>
      <c r="E97" s="33" t="str">
        <f>IFERROR(__xludf.DUMMYFUNCTION("""COMPUTED_VALUE"""),"Prevent all enemies from Spell Casting for 3 rounds.")</f>
        <v>Prevent all enemies from Spell Casting for 3 rounds.</v>
      </c>
      <c r="F97" s="35" t="str">
        <f>IFERROR(__xludf.DUMMYFUNCTION("""COMPUTED_VALUE"""),"Fail/Succeed")</f>
        <v>Fail/Succeed</v>
      </c>
      <c r="G97" s="18"/>
      <c r="H97" s="36" t="str">
        <f>IFERROR(__xludf.DUMMYFUNCTION("""COMPUTED_VALUE"""),"Chaos")</f>
        <v>Chaos</v>
      </c>
      <c r="I97" s="20" t="str">
        <f>IFERROR(__xludf.DUMMYFUNCTION("""COMPUTED_VALUE"""),"Player")</f>
        <v>Player</v>
      </c>
      <c r="J97" s="37" t="b">
        <f>IFERROR(__xludf.DUMMYFUNCTION("""COMPUTED_VALUE"""),FALSE)</f>
        <v>0</v>
      </c>
      <c r="K97" s="37"/>
      <c r="L97" s="37" t="b">
        <f>IFERROR(__xludf.DUMMYFUNCTION("""COMPUTED_VALUE"""),FALSE)</f>
        <v>0</v>
      </c>
      <c r="M97" s="37" t="b">
        <f>IFERROR(__xludf.DUMMYFUNCTION("""COMPUTED_VALUE"""),FALSE)</f>
        <v>0</v>
      </c>
      <c r="N97" s="1"/>
      <c r="O97" s="1"/>
      <c r="P97" s="1"/>
      <c r="Q97" s="1"/>
      <c r="R97" s="1"/>
      <c r="S97" s="1"/>
      <c r="T97" s="1"/>
      <c r="U97" s="1"/>
      <c r="V97" s="1"/>
      <c r="W97" s="1"/>
      <c r="X97" s="1"/>
      <c r="Y97" s="1"/>
      <c r="Z97" s="1"/>
    </row>
    <row r="98" ht="15.75" customHeight="1">
      <c r="A98" s="16" t="str">
        <f>IFERROR(__xludf.DUMMYFUNCTION("""COMPUTED_VALUE"""),"Disturbance")</f>
        <v>Disturbance</v>
      </c>
      <c r="B98" s="17">
        <f>IFERROR(__xludf.DUMMYFUNCTION("""COMPUTED_VALUE"""),8.0)</f>
        <v>8</v>
      </c>
      <c r="C98" s="16">
        <f>IFERROR(__xludf.DUMMYFUNCTION("""COMPUTED_VALUE"""),300.0)</f>
        <v>300</v>
      </c>
      <c r="D98" s="16"/>
      <c r="E98" s="33" t="str">
        <f>IFERROR(__xludf.DUMMYFUNCTION("""COMPUTED_VALUE"""),"Prevent 1 target from Spell Casting for 3 rounds.")</f>
        <v>Prevent 1 target from Spell Casting for 3 rounds.</v>
      </c>
      <c r="F98" s="16" t="str">
        <f>IFERROR(__xludf.DUMMYFUNCTION("""COMPUTED_VALUE"""),"Fail/Succeed")</f>
        <v>Fail/Succeed</v>
      </c>
      <c r="G98" s="20"/>
      <c r="H98" s="36" t="str">
        <f>IFERROR(__xludf.DUMMYFUNCTION("""COMPUTED_VALUE"""),"Chaos")</f>
        <v>Chaos</v>
      </c>
      <c r="I98" s="20" t="str">
        <f>IFERROR(__xludf.DUMMYFUNCTION("""COMPUTED_VALUE"""),"Player")</f>
        <v>Player</v>
      </c>
      <c r="J98" s="21" t="b">
        <f>IFERROR(__xludf.DUMMYFUNCTION("""COMPUTED_VALUE"""),FALSE)</f>
        <v>0</v>
      </c>
      <c r="K98" s="21"/>
      <c r="L98" s="21" t="b">
        <f>IFERROR(__xludf.DUMMYFUNCTION("""COMPUTED_VALUE"""),FALSE)</f>
        <v>0</v>
      </c>
      <c r="M98" s="21" t="b">
        <f>IFERROR(__xludf.DUMMYFUNCTION("""COMPUTED_VALUE"""),FALSE)</f>
        <v>0</v>
      </c>
      <c r="N98" s="1"/>
      <c r="O98" s="1"/>
      <c r="P98" s="1"/>
      <c r="Q98" s="1"/>
      <c r="R98" s="1"/>
      <c r="S98" s="1"/>
      <c r="T98" s="1"/>
      <c r="U98" s="1"/>
      <c r="V98" s="1"/>
      <c r="W98" s="1"/>
      <c r="X98" s="1"/>
      <c r="Y98" s="1"/>
      <c r="Z98" s="1"/>
    </row>
    <row r="99" ht="15.75" customHeight="1">
      <c r="A99" s="16" t="str">
        <f>IFERROR(__xludf.DUMMYFUNCTION("""COMPUTED_VALUE"""),"Doom Impulse")</f>
        <v>Doom Impulse</v>
      </c>
      <c r="B99" s="17">
        <f>IFERROR(__xludf.DUMMYFUNCTION("""COMPUTED_VALUE"""),9.0)</f>
        <v>9</v>
      </c>
      <c r="C99" s="22">
        <f>IFERROR(__xludf.DUMMYFUNCTION("""COMPUTED_VALUE"""),1000.0)</f>
        <v>1000</v>
      </c>
      <c r="D99" s="16"/>
      <c r="E99" s="32" t="str">
        <f>IFERROR(__xludf.DUMMYFUNCTION("""COMPUTED_VALUE"""),"20,000 chaos damage to all enemies, Ignores defense.")</f>
        <v>20,000 chaos damage to all enemies, Ignores defense.</v>
      </c>
      <c r="F99" s="16" t="str">
        <f>IFERROR(__xludf.DUMMYFUNCTION("""COMPUTED_VALUE"""),"Cannot Avoid")</f>
        <v>Cannot Avoid</v>
      </c>
      <c r="G99" s="18" t="str">
        <f>IFERROR(__xludf.DUMMYFUNCTION("""COMPUTED_VALUE"""),"All")</f>
        <v>All</v>
      </c>
      <c r="H99" s="36" t="str">
        <f>IFERROR(__xludf.DUMMYFUNCTION("""COMPUTED_VALUE"""),"Chaos")</f>
        <v>Chaos</v>
      </c>
      <c r="I99" s="20" t="str">
        <f>IFERROR(__xludf.DUMMYFUNCTION("""COMPUTED_VALUE"""),"Player")</f>
        <v>Player</v>
      </c>
      <c r="J99" s="21" t="b">
        <f>IFERROR(__xludf.DUMMYFUNCTION("""COMPUTED_VALUE"""),TRUE)</f>
        <v>1</v>
      </c>
      <c r="K99" s="21" t="str">
        <f>IFERROR(__xludf.DUMMYFUNCTION("""COMPUTED_VALUE"""),"shop spell")</f>
        <v>shop spell</v>
      </c>
      <c r="L99" s="21" t="b">
        <f>IFERROR(__xludf.DUMMYFUNCTION("""COMPUTED_VALUE"""),TRUE)</f>
        <v>1</v>
      </c>
      <c r="M99" s="21" t="b">
        <f>IFERROR(__xludf.DUMMYFUNCTION("""COMPUTED_VALUE"""),FALSE)</f>
        <v>0</v>
      </c>
      <c r="N99" s="1"/>
      <c r="O99" s="1"/>
      <c r="P99" s="1"/>
      <c r="Q99" s="1"/>
      <c r="R99" s="1"/>
      <c r="S99" s="1"/>
      <c r="T99" s="1"/>
      <c r="U99" s="1"/>
      <c r="V99" s="1"/>
      <c r="W99" s="1"/>
      <c r="X99" s="1"/>
      <c r="Y99" s="1"/>
      <c r="Z99" s="1"/>
    </row>
    <row r="100" ht="15.75" customHeight="1">
      <c r="A100" s="16" t="str">
        <f>IFERROR(__xludf.DUMMYFUNCTION("""COMPUTED_VALUE"""),"Lucifer's Flames Of Damned Nation")</f>
        <v>Lucifer's Flames Of Damned Nation</v>
      </c>
      <c r="B100" s="17">
        <f>IFERROR(__xludf.DUMMYFUNCTION("""COMPUTED_VALUE"""),9.0)</f>
        <v>9</v>
      </c>
      <c r="C100" s="22">
        <f>IFERROR(__xludf.DUMMYFUNCTION("""COMPUTED_VALUE"""),300.0)</f>
        <v>300</v>
      </c>
      <c r="D100" s="16"/>
      <c r="E100" s="16" t="str">
        <f>IFERROR(__xludf.DUMMYFUNCTION("""COMPUTED_VALUE"""),"20,000 dark, chaos, and fire damage to all enemies, 25% chance to banish each enemy.")</f>
        <v>20,000 dark, chaos, and fire damage to all enemies, 25% chance to banish each enemy.</v>
      </c>
      <c r="F100" s="16" t="str">
        <f>IFERROR(__xludf.DUMMYFUNCTION("""COMPUTED_VALUE"""),"Cannot Avoid")</f>
        <v>Cannot Avoid</v>
      </c>
      <c r="G100" s="18"/>
      <c r="H100" s="36" t="str">
        <f>IFERROR(__xludf.DUMMYFUNCTION("""COMPUTED_VALUE"""),"Chaos")</f>
        <v>Chaos</v>
      </c>
      <c r="I100" s="20" t="str">
        <f>IFERROR(__xludf.DUMMYFUNCTION("""COMPUTED_VALUE"""),"Player")</f>
        <v>Player</v>
      </c>
      <c r="J100" s="21" t="b">
        <f>IFERROR(__xludf.DUMMYFUNCTION("""COMPUTED_VALUE"""),TRUE)</f>
        <v>1</v>
      </c>
      <c r="K100" s="21" t="str">
        <f>IFERROR(__xludf.DUMMYFUNCTION("""COMPUTED_VALUE"""),"Event spell")</f>
        <v>Event spell</v>
      </c>
      <c r="L100" s="21" t="b">
        <f>IFERROR(__xludf.DUMMYFUNCTION("""COMPUTED_VALUE"""),FALSE)</f>
        <v>0</v>
      </c>
      <c r="M100" s="21" t="b">
        <f>IFERROR(__xludf.DUMMYFUNCTION("""COMPUTED_VALUE"""),FALSE)</f>
        <v>0</v>
      </c>
      <c r="N100" s="1"/>
      <c r="O100" s="1"/>
      <c r="P100" s="1"/>
      <c r="Q100" s="1"/>
      <c r="R100" s="1"/>
      <c r="S100" s="1"/>
      <c r="T100" s="1"/>
      <c r="U100" s="1"/>
      <c r="V100" s="1"/>
      <c r="W100" s="1"/>
      <c r="X100" s="1"/>
      <c r="Y100" s="1"/>
      <c r="Z100" s="1"/>
    </row>
    <row r="101" ht="15.75" customHeight="1">
      <c r="A101" s="16" t="str">
        <f>IFERROR(__xludf.DUMMYFUNCTION("""COMPUTED_VALUE"""),"Lucifer's Ward Of The Damned")</f>
        <v>Lucifer's Ward Of The Damned</v>
      </c>
      <c r="B101" s="17">
        <f>IFERROR(__xludf.DUMMYFUNCTION("""COMPUTED_VALUE"""),9.0)</f>
        <v>9</v>
      </c>
      <c r="C101" s="22">
        <f>IFERROR(__xludf.DUMMYFUNCTION("""COMPUTED_VALUE"""),300.0)</f>
        <v>300</v>
      </c>
      <c r="D101" s="16"/>
      <c r="E101" s="16"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16" t="str">
        <f>IFERROR(__xludf.DUMMYFUNCTION("""COMPUTED_VALUE"""),"Fail/Succeed")</f>
        <v>Fail/Succeed</v>
      </c>
      <c r="G101" s="18">
        <f>IFERROR(__xludf.DUMMYFUNCTION("""COMPUTED_VALUE"""),1.0)</f>
        <v>1</v>
      </c>
      <c r="H101" s="36" t="str">
        <f>IFERROR(__xludf.DUMMYFUNCTION("""COMPUTED_VALUE"""),"Chaos")</f>
        <v>Chaos</v>
      </c>
      <c r="I101" s="20" t="str">
        <f>IFERROR(__xludf.DUMMYFUNCTION("""COMPUTED_VALUE"""),"Player")</f>
        <v>Player</v>
      </c>
      <c r="J101" s="21" t="b">
        <f>IFERROR(__xludf.DUMMYFUNCTION("""COMPUTED_VALUE"""),TRUE)</f>
        <v>1</v>
      </c>
      <c r="K101" s="21" t="str">
        <f>IFERROR(__xludf.DUMMYFUNCTION("""COMPUTED_VALUE"""),"Event spell")</f>
        <v>Event spell</v>
      </c>
      <c r="L101" s="21" t="b">
        <f>IFERROR(__xludf.DUMMYFUNCTION("""COMPUTED_VALUE"""),FALSE)</f>
        <v>0</v>
      </c>
      <c r="M101" s="21" t="b">
        <f>IFERROR(__xludf.DUMMYFUNCTION("""COMPUTED_VALUE"""),FALSE)</f>
        <v>0</v>
      </c>
      <c r="N101" s="1"/>
      <c r="O101" s="1"/>
      <c r="P101" s="1"/>
      <c r="Q101" s="1"/>
      <c r="R101" s="1"/>
      <c r="S101" s="1"/>
      <c r="T101" s="1"/>
      <c r="U101" s="1"/>
      <c r="V101" s="1"/>
      <c r="W101" s="1"/>
      <c r="X101" s="1"/>
      <c r="Y101" s="1"/>
      <c r="Z101" s="1"/>
    </row>
    <row r="102" ht="15.75" customHeight="1">
      <c r="A102" s="16" t="str">
        <f>IFERROR(__xludf.DUMMYFUNCTION("""COMPUTED_VALUE"""),"Mad shot")</f>
        <v>Mad shot</v>
      </c>
      <c r="B102" s="17">
        <f>IFERROR(__xludf.DUMMYFUNCTION("""COMPUTED_VALUE"""),1.0)</f>
        <v>1</v>
      </c>
      <c r="C102" s="16">
        <f>IFERROR(__xludf.DUMMYFUNCTION("""COMPUTED_VALUE"""),10.0)</f>
        <v>10</v>
      </c>
      <c r="D102" s="16"/>
      <c r="E102" s="16" t="str">
        <f>IFERROR(__xludf.DUMMYFUNCTION("""COMPUTED_VALUE"""),"1000 chaos damage and inflicts target with 5 Insanity.")</f>
        <v>1000 chaos damage and inflicts target with 5 Insanity.</v>
      </c>
      <c r="F102" s="16" t="str">
        <f>IFERROR(__xludf.DUMMYFUNCTION("""COMPUTED_VALUE"""),"Hit/Miss")</f>
        <v>Hit/Miss</v>
      </c>
      <c r="G102" s="18">
        <f>IFERROR(__xludf.DUMMYFUNCTION("""COMPUTED_VALUE"""),1.0)</f>
        <v>1</v>
      </c>
      <c r="H102" s="36" t="str">
        <f>IFERROR(__xludf.DUMMYFUNCTION("""COMPUTED_VALUE"""),"Chaos")</f>
        <v>Chaos</v>
      </c>
      <c r="I102" s="20" t="str">
        <f>IFERROR(__xludf.DUMMYFUNCTION("""COMPUTED_VALUE"""),"Player")</f>
        <v>Player</v>
      </c>
      <c r="J102" s="21" t="b">
        <f>IFERROR(__xludf.DUMMYFUNCTION("""COMPUTED_VALUE"""),FALSE)</f>
        <v>0</v>
      </c>
      <c r="K102" s="21"/>
      <c r="L102" s="21" t="b">
        <f>IFERROR(__xludf.DUMMYFUNCTION("""COMPUTED_VALUE"""),FALSE)</f>
        <v>0</v>
      </c>
      <c r="M102" s="21" t="b">
        <f>IFERROR(__xludf.DUMMYFUNCTION("""COMPUTED_VALUE"""),FALSE)</f>
        <v>0</v>
      </c>
      <c r="N102" s="1"/>
      <c r="O102" s="1"/>
      <c r="P102" s="1"/>
      <c r="Q102" s="1"/>
      <c r="R102" s="1"/>
      <c r="S102" s="1"/>
      <c r="T102" s="1"/>
      <c r="U102" s="1"/>
      <c r="V102" s="1"/>
      <c r="W102" s="1"/>
      <c r="X102" s="1"/>
      <c r="Y102" s="1"/>
      <c r="Z102" s="1"/>
    </row>
    <row r="103" ht="15.75" customHeight="1">
      <c r="A103" s="16" t="str">
        <f>IFERROR(__xludf.DUMMYFUNCTION("""COMPUTED_VALUE"""),"Chaotic Shadow Storm")</f>
        <v>Chaotic Shadow Storm</v>
      </c>
      <c r="B103" s="17">
        <f>IFERROR(__xludf.DUMMYFUNCTION("""COMPUTED_VALUE"""),9.0)</f>
        <v>9</v>
      </c>
      <c r="C103" s="16" t="str">
        <f>IFERROR(__xludf.DUMMYFUNCTION("""COMPUTED_VALUE"""),"X")</f>
        <v>X</v>
      </c>
      <c r="D103" s="16"/>
      <c r="E103" s="16" t="str">
        <f>IFERROR(__xludf.DUMMYFUNCTION("""COMPUTED_VALUE"""),"X*9 Dark, X*9 Chaos, and X*9 Fire damage to all enemies Where X is equal to SP spent")</f>
        <v>X*9 Dark, X*9 Chaos, and X*9 Fire damage to all enemies Where X is equal to SP spent</v>
      </c>
      <c r="F103" s="16" t="str">
        <f>IFERROR(__xludf.DUMMYFUNCTION("""COMPUTED_VALUE"""),"Cannot Avoid")</f>
        <v>Cannot Avoid</v>
      </c>
      <c r="G103" s="18" t="str">
        <f>IFERROR(__xludf.DUMMYFUNCTION("""COMPUTED_VALUE"""),"All")</f>
        <v>All</v>
      </c>
      <c r="H103" s="36" t="str">
        <f>IFERROR(__xludf.DUMMYFUNCTION("""COMPUTED_VALUE"""),"Chaos")</f>
        <v>Chaos</v>
      </c>
      <c r="I103" s="20" t="str">
        <f>IFERROR(__xludf.DUMMYFUNCTION("""COMPUTED_VALUE"""),"Mob")</f>
        <v>Mob</v>
      </c>
      <c r="J103" s="21" t="b">
        <f>IFERROR(__xludf.DUMMYFUNCTION("""COMPUTED_VALUE"""),TRUE)</f>
        <v>1</v>
      </c>
      <c r="K103" s="21"/>
      <c r="L103" s="21" t="b">
        <f>IFERROR(__xludf.DUMMYFUNCTION("""COMPUTED_VALUE"""),FALSE)</f>
        <v>0</v>
      </c>
      <c r="M103" s="21" t="b">
        <f>IFERROR(__xludf.DUMMYFUNCTION("""COMPUTED_VALUE"""),FALSE)</f>
        <v>0</v>
      </c>
      <c r="N103" s="1"/>
      <c r="O103" s="1"/>
      <c r="P103" s="1"/>
      <c r="Q103" s="1"/>
      <c r="R103" s="1"/>
      <c r="S103" s="1"/>
      <c r="T103" s="1"/>
      <c r="U103" s="1"/>
      <c r="V103" s="1"/>
      <c r="W103" s="1"/>
      <c r="X103" s="1"/>
      <c r="Y103" s="1"/>
      <c r="Z103" s="1"/>
    </row>
    <row r="104" ht="15.75" customHeight="1">
      <c r="A104" s="16" t="str">
        <f>IFERROR(__xludf.DUMMYFUNCTION("""COMPUTED_VALUE"""),"Shatter")</f>
        <v>Shatter</v>
      </c>
      <c r="B104" s="17">
        <f>IFERROR(__xludf.DUMMYFUNCTION("""COMPUTED_VALUE"""),6.0)</f>
        <v>6</v>
      </c>
      <c r="C104" s="16">
        <f>IFERROR(__xludf.DUMMYFUNCTION("""COMPUTED_VALUE"""),60.0)</f>
        <v>60</v>
      </c>
      <c r="D104" s="16"/>
      <c r="E104" s="16" t="str">
        <f>IFERROR(__xludf.DUMMYFUNCTION("""COMPUTED_VALUE"""),"Make a target enemies base Defense 0")</f>
        <v>Make a target enemies base Defense 0</v>
      </c>
      <c r="F104" s="16" t="str">
        <f>IFERROR(__xludf.DUMMYFUNCTION("""COMPUTED_VALUE"""),"Fail/Succeed")</f>
        <v>Fail/Succeed</v>
      </c>
      <c r="G104" s="18"/>
      <c r="H104" s="36" t="str">
        <f>IFERROR(__xludf.DUMMYFUNCTION("""COMPUTED_VALUE"""),"Chaos")</f>
        <v>Chaos</v>
      </c>
      <c r="I104" s="20" t="str">
        <f>IFERROR(__xludf.DUMMYFUNCTION("""COMPUTED_VALUE"""),"Player")</f>
        <v>Player</v>
      </c>
      <c r="J104" s="21" t="b">
        <f>IFERROR(__xludf.DUMMYFUNCTION("""COMPUTED_VALUE"""),FALSE)</f>
        <v>0</v>
      </c>
      <c r="K104" s="21"/>
      <c r="L104" s="21" t="b">
        <f>IFERROR(__xludf.DUMMYFUNCTION("""COMPUTED_VALUE"""),FALSE)</f>
        <v>0</v>
      </c>
      <c r="M104" s="21" t="b">
        <f>IFERROR(__xludf.DUMMYFUNCTION("""COMPUTED_VALUE"""),FALSE)</f>
        <v>0</v>
      </c>
      <c r="N104" s="1"/>
      <c r="O104" s="1"/>
      <c r="P104" s="1"/>
      <c r="Q104" s="1"/>
      <c r="R104" s="1"/>
      <c r="S104" s="1"/>
      <c r="T104" s="1"/>
      <c r="U104" s="1"/>
      <c r="V104" s="1"/>
      <c r="W104" s="1"/>
      <c r="X104" s="1"/>
      <c r="Y104" s="1"/>
      <c r="Z104" s="1"/>
    </row>
    <row r="105" ht="15.75" customHeight="1">
      <c r="A105" s="16" t="str">
        <f>IFERROR(__xludf.DUMMYFUNCTION("""COMPUTED_VALUE"""),"Souls of Darkness and Chaos")</f>
        <v>Souls of Darkness and Chaos</v>
      </c>
      <c r="B105" s="17">
        <f>IFERROR(__xludf.DUMMYFUNCTION("""COMPUTED_VALUE"""),9.0)</f>
        <v>9</v>
      </c>
      <c r="C105" s="22">
        <f>IFERROR(__xludf.DUMMYFUNCTION("""COMPUTED_VALUE"""),50000.0)</f>
        <v>50000</v>
      </c>
      <c r="D105" s="16"/>
      <c r="E105" s="16" t="str">
        <f>IFERROR(__xludf.DUMMYFUNCTION("""COMPUTED_VALUE"""),"50,000 dark, chaos, and fire damage. X2 additional damage if a enemy has souls.")</f>
        <v>50,000 dark, chaos, and fire damage. X2 additional damage if a enemy has souls.</v>
      </c>
      <c r="F105" s="16" t="str">
        <f>IFERROR(__xludf.DUMMYFUNCTION("""COMPUTED_VALUE"""),"Cannot Avoid")</f>
        <v>Cannot Avoid</v>
      </c>
      <c r="G105" s="18" t="str">
        <f>IFERROR(__xludf.DUMMYFUNCTION("""COMPUTED_VALUE"""),"All")</f>
        <v>All</v>
      </c>
      <c r="H105" s="36" t="str">
        <f>IFERROR(__xludf.DUMMYFUNCTION("""COMPUTED_VALUE"""),"Chaos")</f>
        <v>Chaos</v>
      </c>
      <c r="I105" s="20" t="str">
        <f>IFERROR(__xludf.DUMMYFUNCTION("""COMPUTED_VALUE"""),"Mob")</f>
        <v>Mob</v>
      </c>
      <c r="J105" s="21" t="b">
        <f>IFERROR(__xludf.DUMMYFUNCTION("""COMPUTED_VALUE"""),TRUE)</f>
        <v>1</v>
      </c>
      <c r="K105" s="21" t="str">
        <f>IFERROR(__xludf.DUMMYFUNCTION("""COMPUTED_VALUE"""),"mob spell")</f>
        <v>mob spell</v>
      </c>
      <c r="L105" s="21" t="b">
        <f>IFERROR(__xludf.DUMMYFUNCTION("""COMPUTED_VALUE"""),FALSE)</f>
        <v>0</v>
      </c>
      <c r="M105" s="21" t="b">
        <f>IFERROR(__xludf.DUMMYFUNCTION("""COMPUTED_VALUE"""),FALSE)</f>
        <v>0</v>
      </c>
      <c r="N105" s="1"/>
      <c r="O105" s="1"/>
      <c r="P105" s="1"/>
      <c r="Q105" s="1"/>
      <c r="R105" s="1"/>
      <c r="S105" s="1"/>
      <c r="T105" s="1"/>
      <c r="U105" s="1"/>
      <c r="V105" s="1"/>
      <c r="W105" s="1"/>
      <c r="X105" s="1"/>
      <c r="Y105" s="1"/>
      <c r="Z105" s="1"/>
    </row>
    <row r="106" ht="15.75" customHeight="1">
      <c r="A106" s="16" t="str">
        <f>IFERROR(__xludf.DUMMYFUNCTION("""COMPUTED_VALUE"""),"Spider War Call")</f>
        <v>Spider War Call</v>
      </c>
      <c r="B106" s="17">
        <f>IFERROR(__xludf.DUMMYFUNCTION("""COMPUTED_VALUE"""),1.0)</f>
        <v>1</v>
      </c>
      <c r="C106" s="16">
        <f>IFERROR(__xludf.DUMMYFUNCTION("""COMPUTED_VALUE"""),0.0)</f>
        <v>0</v>
      </c>
      <c r="D106" s="16"/>
      <c r="E106" s="16"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16" t="str">
        <f>IFERROR(__xludf.DUMMYFUNCTION("""COMPUTED_VALUE"""),"Natural/Fail Or Succeed")</f>
        <v>Natural/Fail Or Succeed</v>
      </c>
      <c r="G106" s="18" t="str">
        <f>IFERROR(__xludf.DUMMYFUNCTION("""COMPUTED_VALUE"""),"Self")</f>
        <v>Self</v>
      </c>
      <c r="H106" s="36" t="str">
        <f>IFERROR(__xludf.DUMMYFUNCTION("""COMPUTED_VALUE"""),"Chaos")</f>
        <v>Chaos</v>
      </c>
      <c r="I106" s="20" t="str">
        <f>IFERROR(__xludf.DUMMYFUNCTION("""COMPUTED_VALUE"""),"Mob")</f>
        <v>Mob</v>
      </c>
      <c r="J106" s="21" t="b">
        <f>IFERROR(__xludf.DUMMYFUNCTION("""COMPUTED_VALUE"""),TRUE)</f>
        <v>1</v>
      </c>
      <c r="K106" s="21"/>
      <c r="L106" s="21" t="b">
        <f>IFERROR(__xludf.DUMMYFUNCTION("""COMPUTED_VALUE"""),FALSE)</f>
        <v>0</v>
      </c>
      <c r="M106" s="21" t="b">
        <f>IFERROR(__xludf.DUMMYFUNCTION("""COMPUTED_VALUE"""),FALSE)</f>
        <v>0</v>
      </c>
      <c r="N106" s="1"/>
      <c r="O106" s="1"/>
      <c r="P106" s="1"/>
      <c r="Q106" s="1"/>
      <c r="R106" s="1"/>
      <c r="S106" s="1"/>
      <c r="T106" s="1"/>
      <c r="U106" s="1"/>
      <c r="V106" s="1"/>
      <c r="W106" s="1"/>
      <c r="X106" s="1"/>
      <c r="Y106" s="1"/>
      <c r="Z106" s="1"/>
    </row>
    <row r="107" ht="15.75" customHeight="1">
      <c r="A107" s="16" t="str">
        <f>IFERROR(__xludf.DUMMYFUNCTION("""COMPUTED_VALUE"""),"The Cycle")</f>
        <v>The Cycle</v>
      </c>
      <c r="B107" s="17">
        <f>IFERROR(__xludf.DUMMYFUNCTION("""COMPUTED_VALUE"""),9.0)</f>
        <v>9</v>
      </c>
      <c r="C107" s="16" t="str">
        <f>IFERROR(__xludf.DUMMYFUNCTION("""COMPUTED_VALUE"""),"X")</f>
        <v>X</v>
      </c>
      <c r="D107" s="16"/>
      <c r="E107" s="16"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16" t="str">
        <f>IFERROR(__xludf.DUMMYFUNCTION("""COMPUTED_VALUE"""),"Fail/Succeed")</f>
        <v>Fail/Succeed</v>
      </c>
      <c r="G107" s="18" t="str">
        <f>IFERROR(__xludf.DUMMYFUNCTION("""COMPUTED_VALUE"""),"All")</f>
        <v>All</v>
      </c>
      <c r="H107" s="36" t="str">
        <f>IFERROR(__xludf.DUMMYFUNCTION("""COMPUTED_VALUE"""),"Chaos")</f>
        <v>Chaos</v>
      </c>
      <c r="I107" s="20" t="str">
        <f>IFERROR(__xludf.DUMMYFUNCTION("""COMPUTED_VALUE"""),"Mob")</f>
        <v>Mob</v>
      </c>
      <c r="J107" s="21" t="b">
        <f>IFERROR(__xludf.DUMMYFUNCTION("""COMPUTED_VALUE"""),TRUE)</f>
        <v>1</v>
      </c>
      <c r="K107" s="21"/>
      <c r="L107" s="21" t="b">
        <f>IFERROR(__xludf.DUMMYFUNCTION("""COMPUTED_VALUE"""),FALSE)</f>
        <v>0</v>
      </c>
      <c r="M107" s="21" t="b">
        <f>IFERROR(__xludf.DUMMYFUNCTION("""COMPUTED_VALUE"""),TRUE)</f>
        <v>1</v>
      </c>
      <c r="N107" s="1"/>
      <c r="O107" s="1"/>
      <c r="P107" s="1"/>
      <c r="Q107" s="1"/>
      <c r="R107" s="1"/>
      <c r="S107" s="1"/>
      <c r="T107" s="1"/>
      <c r="U107" s="1"/>
      <c r="V107" s="1"/>
      <c r="W107" s="1"/>
      <c r="X107" s="1"/>
      <c r="Y107" s="1"/>
      <c r="Z107" s="1"/>
    </row>
    <row r="108" ht="15.75" customHeight="1">
      <c r="A108" s="16" t="str">
        <f>IFERROR(__xludf.DUMMYFUNCTION("""COMPUTED_VALUE"""),"Web Of Chaotic Shadows")</f>
        <v>Web Of Chaotic Shadows</v>
      </c>
      <c r="B108" s="17">
        <f>IFERROR(__xludf.DUMMYFUNCTION("""COMPUTED_VALUE"""),0.0)</f>
        <v>0</v>
      </c>
      <c r="C108" s="16">
        <f>IFERROR(__xludf.DUMMYFUNCTION("""COMPUTED_VALUE"""),0.0)</f>
        <v>0</v>
      </c>
      <c r="D108" s="16"/>
      <c r="E108" s="16" t="str">
        <f>IFERROR(__xludf.DUMMYFUNCTION("""COMPUTED_VALUE"""),"All targets are bound in chaos energy and are stunned for 3 rounds.")</f>
        <v>All targets are bound in chaos energy and are stunned for 3 rounds.</v>
      </c>
      <c r="F108" s="16" t="str">
        <f>IFERROR(__xludf.DUMMYFUNCTION("""COMPUTED_VALUE"""),"Natural/Fail Or Succeed")</f>
        <v>Natural/Fail Or Succeed</v>
      </c>
      <c r="G108" s="18" t="str">
        <f>IFERROR(__xludf.DUMMYFUNCTION("""COMPUTED_VALUE"""),"All")</f>
        <v>All</v>
      </c>
      <c r="H108" s="36" t="str">
        <f>IFERROR(__xludf.DUMMYFUNCTION("""COMPUTED_VALUE"""),"Chaos")</f>
        <v>Chaos</v>
      </c>
      <c r="I108" s="20" t="str">
        <f>IFERROR(__xludf.DUMMYFUNCTION("""COMPUTED_VALUE"""),"Mob")</f>
        <v>Mob</v>
      </c>
      <c r="J108" s="21" t="b">
        <f>IFERROR(__xludf.DUMMYFUNCTION("""COMPUTED_VALUE"""),TRUE)</f>
        <v>1</v>
      </c>
      <c r="K108" s="21" t="str">
        <f>IFERROR(__xludf.DUMMYFUNCTION("""COMPUTED_VALUE"""),"Cannot be obtained by players")</f>
        <v>Cannot be obtained by players</v>
      </c>
      <c r="L108" s="21" t="b">
        <f>IFERROR(__xludf.DUMMYFUNCTION("""COMPUTED_VALUE"""),FALSE)</f>
        <v>0</v>
      </c>
      <c r="M108" s="21" t="b">
        <f>IFERROR(__xludf.DUMMYFUNCTION("""COMPUTED_VALUE"""),FALSE)</f>
        <v>0</v>
      </c>
      <c r="N108" s="1"/>
      <c r="O108" s="1"/>
      <c r="P108" s="1"/>
      <c r="Q108" s="1"/>
      <c r="R108" s="1"/>
      <c r="S108" s="1"/>
      <c r="T108" s="1"/>
      <c r="U108" s="1"/>
      <c r="V108" s="1"/>
      <c r="W108" s="1"/>
      <c r="X108" s="1"/>
      <c r="Y108" s="1"/>
      <c r="Z108" s="1"/>
    </row>
    <row r="109" ht="15.75" customHeight="1">
      <c r="A109" s="16" t="str">
        <f>IFERROR(__xludf.DUMMYFUNCTION("""COMPUTED_VALUE"""),"Chaos Beam")</f>
        <v>Chaos Beam</v>
      </c>
      <c r="B109" s="17">
        <f>IFERROR(__xludf.DUMMYFUNCTION("""COMPUTED_VALUE"""),1.0)</f>
        <v>1</v>
      </c>
      <c r="C109" s="16" t="str">
        <f>IFERROR(__xludf.DUMMYFUNCTION("""COMPUTED_VALUE"""),"X")</f>
        <v>X</v>
      </c>
      <c r="D109" s="16"/>
      <c r="E109" s="16" t="str">
        <f>IFERROR(__xludf.DUMMYFUNCTION("""COMPUTED_VALUE"""),"Deals X*100 Chaos damage to a single enemy where X is equal to SP spent.")</f>
        <v>Deals X*100 Chaos damage to a single enemy where X is equal to SP spent.</v>
      </c>
      <c r="F109" s="16" t="str">
        <f>IFERROR(__xludf.DUMMYFUNCTION("""COMPUTED_VALUE"""),"Hit/Miss")</f>
        <v>Hit/Miss</v>
      </c>
      <c r="G109" s="18">
        <f>IFERROR(__xludf.DUMMYFUNCTION("""COMPUTED_VALUE"""),1.0)</f>
        <v>1</v>
      </c>
      <c r="H109" s="36" t="str">
        <f>IFERROR(__xludf.DUMMYFUNCTION("""COMPUTED_VALUE"""),"Chaos")</f>
        <v>Chaos</v>
      </c>
      <c r="I109" s="20" t="str">
        <f>IFERROR(__xludf.DUMMYFUNCTION("""COMPUTED_VALUE"""),"Player")</f>
        <v>Player</v>
      </c>
      <c r="J109" s="21" t="b">
        <f>IFERROR(__xludf.DUMMYFUNCTION("""COMPUTED_VALUE"""),FALSE)</f>
        <v>0</v>
      </c>
      <c r="K109" s="21"/>
      <c r="L109" s="21" t="b">
        <f>IFERROR(__xludf.DUMMYFUNCTION("""COMPUTED_VALUE"""),FALSE)</f>
        <v>0</v>
      </c>
      <c r="M109" s="21" t="b">
        <f>IFERROR(__xludf.DUMMYFUNCTION("""COMPUTED_VALUE"""),FALSE)</f>
        <v>0</v>
      </c>
      <c r="N109" s="1"/>
      <c r="O109" s="1"/>
      <c r="P109" s="1"/>
      <c r="Q109" s="1"/>
      <c r="R109" s="1"/>
      <c r="S109" s="1"/>
      <c r="T109" s="1"/>
      <c r="U109" s="1"/>
      <c r="V109" s="1"/>
      <c r="W109" s="1"/>
      <c r="X109" s="1"/>
      <c r="Y109" s="1"/>
      <c r="Z109" s="1"/>
    </row>
    <row r="110" ht="15.75" customHeight="1">
      <c r="A110" s="16" t="str">
        <f>IFERROR(__xludf.DUMMYFUNCTION("""COMPUTED_VALUE"""),"Chaotic Collapse")</f>
        <v>Chaotic Collapse</v>
      </c>
      <c r="B110" s="17">
        <f>IFERROR(__xludf.DUMMYFUNCTION("""COMPUTED_VALUE"""),5.0)</f>
        <v>5</v>
      </c>
      <c r="C110" s="16" t="str">
        <f>IFERROR(__xludf.DUMMYFUNCTION("""COMPUTED_VALUE"""),"X")</f>
        <v>X</v>
      </c>
      <c r="D110" s="16"/>
      <c r="E110" s="16" t="str">
        <f>IFERROR(__xludf.DUMMYFUNCTION("""COMPUTED_VALUE"""),"Deals X*50 Chaos damage per round for 3 rounds to a single target where X is equal to SP spent.")</f>
        <v>Deals X*50 Chaos damage per round for 3 rounds to a single target where X is equal to SP spent.</v>
      </c>
      <c r="F110" s="16" t="str">
        <f>IFERROR(__xludf.DUMMYFUNCTION("""COMPUTED_VALUE"""),"Hit/Miss")</f>
        <v>Hit/Miss</v>
      </c>
      <c r="G110" s="18">
        <f>IFERROR(__xludf.DUMMYFUNCTION("""COMPUTED_VALUE"""),1.0)</f>
        <v>1</v>
      </c>
      <c r="H110" s="36" t="str">
        <f>IFERROR(__xludf.DUMMYFUNCTION("""COMPUTED_VALUE"""),"Chaos")</f>
        <v>Chaos</v>
      </c>
      <c r="I110" s="20" t="str">
        <f>IFERROR(__xludf.DUMMYFUNCTION("""COMPUTED_VALUE"""),"Player")</f>
        <v>Player</v>
      </c>
      <c r="J110" s="21" t="b">
        <f>IFERROR(__xludf.DUMMYFUNCTION("""COMPUTED_VALUE"""),FALSE)</f>
        <v>0</v>
      </c>
      <c r="K110" s="21"/>
      <c r="L110" s="21" t="b">
        <f>IFERROR(__xludf.DUMMYFUNCTION("""COMPUTED_VALUE"""),FALSE)</f>
        <v>0</v>
      </c>
      <c r="M110" s="21" t="b">
        <f>IFERROR(__xludf.DUMMYFUNCTION("""COMPUTED_VALUE"""),FALSE)</f>
        <v>0</v>
      </c>
      <c r="N110" s="1"/>
      <c r="O110" s="1"/>
      <c r="P110" s="1"/>
      <c r="Q110" s="1"/>
      <c r="R110" s="1"/>
      <c r="S110" s="1"/>
      <c r="T110" s="1"/>
      <c r="U110" s="1"/>
      <c r="V110" s="1"/>
      <c r="W110" s="1"/>
      <c r="X110" s="1"/>
      <c r="Y110" s="1"/>
      <c r="Z110" s="1"/>
    </row>
    <row r="111" ht="15.75" customHeight="1">
      <c r="A111" s="16" t="str">
        <f>IFERROR(__xludf.DUMMYFUNCTION("""COMPUTED_VALUE"""),"Chaotic Implosion")</f>
        <v>Chaotic Implosion</v>
      </c>
      <c r="B111" s="17">
        <f>IFERROR(__xludf.DUMMYFUNCTION("""COMPUTED_VALUE"""),5.0)</f>
        <v>5</v>
      </c>
      <c r="C111" s="16" t="str">
        <f>IFERROR(__xludf.DUMMYFUNCTION("""COMPUTED_VALUE"""),"X")</f>
        <v>X</v>
      </c>
      <c r="D111" s="16"/>
      <c r="E111" s="16" t="str">
        <f>IFERROR(__xludf.DUMMYFUNCTION("""COMPUTED_VALUE"""),"Deals X*25 Chaos damage to all enemies where X is equal to SP spent.")</f>
        <v>Deals X*25 Chaos damage to all enemies where X is equal to SP spent.</v>
      </c>
      <c r="F111" s="16" t="str">
        <f>IFERROR(__xludf.DUMMYFUNCTION("""COMPUTED_VALUE"""),"Cannot Avoid")</f>
        <v>Cannot Avoid</v>
      </c>
      <c r="G111" s="18" t="str">
        <f>IFERROR(__xludf.DUMMYFUNCTION("""COMPUTED_VALUE"""),"All")</f>
        <v>All</v>
      </c>
      <c r="H111" s="36" t="str">
        <f>IFERROR(__xludf.DUMMYFUNCTION("""COMPUTED_VALUE"""),"Chaos")</f>
        <v>Chaos</v>
      </c>
      <c r="I111" s="20" t="str">
        <f>IFERROR(__xludf.DUMMYFUNCTION("""COMPUTED_VALUE"""),"Player")</f>
        <v>Player</v>
      </c>
      <c r="J111" s="21" t="b">
        <f>IFERROR(__xludf.DUMMYFUNCTION("""COMPUTED_VALUE"""),FALSE)</f>
        <v>0</v>
      </c>
      <c r="K111" s="21"/>
      <c r="L111" s="21" t="b">
        <f>IFERROR(__xludf.DUMMYFUNCTION("""COMPUTED_VALUE"""),FALSE)</f>
        <v>0</v>
      </c>
      <c r="M111" s="21" t="b">
        <f>IFERROR(__xludf.DUMMYFUNCTION("""COMPUTED_VALUE"""),FALSE)</f>
        <v>0</v>
      </c>
      <c r="N111" s="1"/>
      <c r="O111" s="1"/>
      <c r="P111" s="1"/>
      <c r="Q111" s="1"/>
      <c r="R111" s="1"/>
      <c r="S111" s="1"/>
      <c r="T111" s="1"/>
      <c r="U111" s="1"/>
      <c r="V111" s="1"/>
      <c r="W111" s="1"/>
      <c r="X111" s="1"/>
      <c r="Y111" s="1"/>
      <c r="Z111" s="1"/>
    </row>
    <row r="112" ht="15.75" customHeight="1">
      <c r="A112" s="16" t="str">
        <f>IFERROR(__xludf.DUMMYFUNCTION("""COMPUTED_VALUE"""),"Mass Chaotic Collapse")</f>
        <v>Mass Chaotic Collapse</v>
      </c>
      <c r="B112" s="17">
        <f>IFERROR(__xludf.DUMMYFUNCTION("""COMPUTED_VALUE"""),6.0)</f>
        <v>6</v>
      </c>
      <c r="C112" s="16" t="str">
        <f>IFERROR(__xludf.DUMMYFUNCTION("""COMPUTED_VALUE"""),"X")</f>
        <v>X</v>
      </c>
      <c r="D112" s="16"/>
      <c r="E112" s="16" t="str">
        <f>IFERROR(__xludf.DUMMYFUNCTION("""COMPUTED_VALUE"""),"Deals X*10 Chaos damage per round to all enemies for 3 rounds where X is equal to SP spent.")</f>
        <v>Deals X*10 Chaos damage per round to all enemies for 3 rounds where X is equal to SP spent.</v>
      </c>
      <c r="F112" s="16" t="str">
        <f>IFERROR(__xludf.DUMMYFUNCTION("""COMPUTED_VALUE"""),"Cannot Avoid")</f>
        <v>Cannot Avoid</v>
      </c>
      <c r="G112" s="18" t="str">
        <f>IFERROR(__xludf.DUMMYFUNCTION("""COMPUTED_VALUE"""),"All")</f>
        <v>All</v>
      </c>
      <c r="H112" s="36" t="str">
        <f>IFERROR(__xludf.DUMMYFUNCTION("""COMPUTED_VALUE"""),"Chaos")</f>
        <v>Chaos</v>
      </c>
      <c r="I112" s="20" t="str">
        <f>IFERROR(__xludf.DUMMYFUNCTION("""COMPUTED_VALUE"""),"Player")</f>
        <v>Player</v>
      </c>
      <c r="J112" s="21" t="b">
        <f>IFERROR(__xludf.DUMMYFUNCTION("""COMPUTED_VALUE"""),FALSE)</f>
        <v>0</v>
      </c>
      <c r="K112" s="21"/>
      <c r="L112" s="21" t="b">
        <f>IFERROR(__xludf.DUMMYFUNCTION("""COMPUTED_VALUE"""),FALSE)</f>
        <v>0</v>
      </c>
      <c r="M112" s="21" t="b">
        <f>IFERROR(__xludf.DUMMYFUNCTION("""COMPUTED_VALUE"""),FALSE)</f>
        <v>0</v>
      </c>
      <c r="N112" s="1"/>
      <c r="O112" s="1"/>
      <c r="P112" s="1"/>
      <c r="Q112" s="1"/>
      <c r="R112" s="1"/>
      <c r="S112" s="1"/>
      <c r="T112" s="1"/>
      <c r="U112" s="1"/>
      <c r="V112" s="1"/>
      <c r="W112" s="1"/>
      <c r="X112" s="1"/>
      <c r="Y112" s="1"/>
      <c r="Z112" s="1"/>
    </row>
    <row r="113" ht="15.75" customHeight="1">
      <c r="A113" s="16" t="str">
        <f>IFERROR(__xludf.DUMMYFUNCTION("""COMPUTED_VALUE"""),"Draconic Scream")</f>
        <v>Draconic Scream</v>
      </c>
      <c r="B113" s="17">
        <f>IFERROR(__xludf.DUMMYFUNCTION("""COMPUTED_VALUE"""),9.0)</f>
        <v>9</v>
      </c>
      <c r="C113" s="22">
        <f>IFERROR(__xludf.DUMMYFUNCTION("""COMPUTED_VALUE"""),0.0)</f>
        <v>0</v>
      </c>
      <c r="D113" s="16"/>
      <c r="E113" s="16" t="str">
        <f>IFERROR(__xludf.DUMMYFUNCTION("""COMPUTED_VALUE"""),"All base stats are X2 for 3 rounds for the user.")</f>
        <v>All base stats are X2 for 3 rounds for the user.</v>
      </c>
      <c r="F113" s="16" t="str">
        <f>IFERROR(__xludf.DUMMYFUNCTION("""COMPUTED_VALUE"""),"Fail/Succeed")</f>
        <v>Fail/Succeed</v>
      </c>
      <c r="G113" s="18" t="str">
        <f>IFERROR(__xludf.DUMMYFUNCTION("""COMPUTED_VALUE"""),"Self")</f>
        <v>Self</v>
      </c>
      <c r="H113" s="36" t="str">
        <f>IFERROR(__xludf.DUMMYFUNCTION("""COMPUTED_VALUE"""),"Chaos ")</f>
        <v>Chaos </v>
      </c>
      <c r="I113" s="20" t="str">
        <f>IFERROR(__xludf.DUMMYFUNCTION("""COMPUTED_VALUE"""),"Player")</f>
        <v>Player</v>
      </c>
      <c r="J113" s="21" t="b">
        <f>IFERROR(__xludf.DUMMYFUNCTION("""COMPUTED_VALUE"""),TRUE)</f>
        <v>1</v>
      </c>
      <c r="K113" s="21" t="str">
        <f>IFERROR(__xludf.DUMMYFUNCTION("""COMPUTED_VALUE"""),"shop spell")</f>
        <v>shop spell</v>
      </c>
      <c r="L113" s="21" t="b">
        <f>IFERROR(__xludf.DUMMYFUNCTION("""COMPUTED_VALUE"""),FALSE)</f>
        <v>0</v>
      </c>
      <c r="M113" s="21" t="b">
        <f>IFERROR(__xludf.DUMMYFUNCTION("""COMPUTED_VALUE"""),FALSE)</f>
        <v>0</v>
      </c>
      <c r="N113" s="1"/>
      <c r="O113" s="1"/>
      <c r="P113" s="1"/>
      <c r="Q113" s="1"/>
      <c r="R113" s="1"/>
      <c r="S113" s="1"/>
      <c r="T113" s="1"/>
      <c r="U113" s="1"/>
      <c r="V113" s="1"/>
      <c r="W113" s="1"/>
      <c r="X113" s="1"/>
      <c r="Y113" s="1"/>
      <c r="Z113" s="1"/>
    </row>
    <row r="114" ht="15.75" customHeight="1">
      <c r="A114" s="16" t="str">
        <f>IFERROR(__xludf.DUMMYFUNCTION("""COMPUTED_VALUE"""),"Chains of Shadow")</f>
        <v>Chains of Shadow</v>
      </c>
      <c r="B114" s="17">
        <f>IFERROR(__xludf.DUMMYFUNCTION("""COMPUTED_VALUE"""),4.0)</f>
        <v>4</v>
      </c>
      <c r="C114" s="16">
        <f>IFERROR(__xludf.DUMMYFUNCTION("""COMPUTED_VALUE"""),40.0)</f>
        <v>40</v>
      </c>
      <c r="D114" s="16"/>
      <c r="E114" s="16" t="str">
        <f>IFERROR(__xludf.DUMMYFUNCTION("""COMPUTED_VALUE"""),"Immobilizes 1 target Skipping there turn order for 3 rounds, 60% chance to immobilize another target.")</f>
        <v>Immobilizes 1 target Skipping there turn order for 3 rounds, 60% chance to immobilize another target.</v>
      </c>
      <c r="F114" s="16" t="str">
        <f>IFERROR(__xludf.DUMMYFUNCTION("""COMPUTED_VALUE"""),"Fail/Succeed")</f>
        <v>Fail/Succeed</v>
      </c>
      <c r="G114" s="18"/>
      <c r="H114" s="36" t="str">
        <f>IFERROR(__xludf.DUMMYFUNCTION("""COMPUTED_VALUE"""),"Dark")</f>
        <v>Dark</v>
      </c>
      <c r="I114" s="20" t="str">
        <f>IFERROR(__xludf.DUMMYFUNCTION("""COMPUTED_VALUE"""),"Player")</f>
        <v>Player</v>
      </c>
      <c r="J114" s="21" t="b">
        <f>IFERROR(__xludf.DUMMYFUNCTION("""COMPUTED_VALUE"""),FALSE)</f>
        <v>0</v>
      </c>
      <c r="K114" s="21"/>
      <c r="L114" s="21" t="b">
        <f>IFERROR(__xludf.DUMMYFUNCTION("""COMPUTED_VALUE"""),FALSE)</f>
        <v>0</v>
      </c>
      <c r="M114" s="21" t="b">
        <f>IFERROR(__xludf.DUMMYFUNCTION("""COMPUTED_VALUE"""),FALSE)</f>
        <v>0</v>
      </c>
      <c r="N114" s="1"/>
      <c r="O114" s="1"/>
      <c r="P114" s="1"/>
      <c r="Q114" s="1"/>
      <c r="R114" s="1"/>
      <c r="S114" s="1"/>
      <c r="T114" s="1"/>
      <c r="U114" s="1"/>
      <c r="V114" s="1"/>
      <c r="W114" s="1"/>
      <c r="X114" s="1"/>
      <c r="Y114" s="1"/>
      <c r="Z114" s="1"/>
    </row>
    <row r="115" ht="15.75" customHeight="1">
      <c r="A115" s="16" t="str">
        <f>IFERROR(__xludf.DUMMYFUNCTION("""COMPUTED_VALUE"""),"Conceal")</f>
        <v>Conceal</v>
      </c>
      <c r="B115" s="17">
        <f>IFERROR(__xludf.DUMMYFUNCTION("""COMPUTED_VALUE"""),9.0)</f>
        <v>9</v>
      </c>
      <c r="C115" s="16">
        <f>IFERROR(__xludf.DUMMYFUNCTION("""COMPUTED_VALUE"""),300.0)</f>
        <v>300</v>
      </c>
      <c r="D115" s="16"/>
      <c r="E11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16" t="str">
        <f>IFERROR(__xludf.DUMMYFUNCTION("""COMPUTED_VALUE"""),"Fail/Succeed")</f>
        <v>Fail/Succeed</v>
      </c>
      <c r="G115" s="18"/>
      <c r="H115" s="36" t="str">
        <f>IFERROR(__xludf.DUMMYFUNCTION("""COMPUTED_VALUE"""),"Dark")</f>
        <v>Dark</v>
      </c>
      <c r="I115" s="20" t="str">
        <f>IFERROR(__xludf.DUMMYFUNCTION("""COMPUTED_VALUE"""),"Player")</f>
        <v>Player</v>
      </c>
      <c r="J115" s="21" t="b">
        <f>IFERROR(__xludf.DUMMYFUNCTION("""COMPUTED_VALUE"""),FALSE)</f>
        <v>0</v>
      </c>
      <c r="K115" s="21"/>
      <c r="L115" s="21" t="b">
        <f>IFERROR(__xludf.DUMMYFUNCTION("""COMPUTED_VALUE"""),FALSE)</f>
        <v>0</v>
      </c>
      <c r="M115" s="21" t="b">
        <f>IFERROR(__xludf.DUMMYFUNCTION("""COMPUTED_VALUE"""),FALSE)</f>
        <v>0</v>
      </c>
      <c r="N115" s="1"/>
      <c r="O115" s="1"/>
      <c r="P115" s="1"/>
      <c r="Q115" s="1"/>
      <c r="R115" s="1"/>
      <c r="S115" s="1"/>
      <c r="T115" s="1"/>
      <c r="U115" s="1"/>
      <c r="V115" s="1"/>
      <c r="W115" s="1"/>
      <c r="X115" s="1"/>
      <c r="Y115" s="1"/>
      <c r="Z115" s="1"/>
    </row>
    <row r="116" ht="15.75" customHeight="1">
      <c r="A116" s="16" t="str">
        <f>IFERROR(__xludf.DUMMYFUNCTION("""COMPUTED_VALUE"""),"Corrupt")</f>
        <v>Corrupt</v>
      </c>
      <c r="B116" s="17">
        <f>IFERROR(__xludf.DUMMYFUNCTION("""COMPUTED_VALUE"""),4.0)</f>
        <v>4</v>
      </c>
      <c r="C116" s="16" t="str">
        <f>IFERROR(__xludf.DUMMYFUNCTION("""COMPUTED_VALUE"""),"X")</f>
        <v>X</v>
      </c>
      <c r="D116" s="16"/>
      <c r="E116" s="16" t="str">
        <f>IFERROR(__xludf.DUMMYFUNCTION("""COMPUTED_VALUE"""),"Target gains X*4 Dark damage and X*4 Dark resistance, can’t be used on self")</f>
        <v>Target gains X*4 Dark damage and X*4 Dark resistance, can’t be used on self</v>
      </c>
      <c r="F116" s="16" t="str">
        <f>IFERROR(__xludf.DUMMYFUNCTION("""COMPUTED_VALUE"""),"Will Succeed")</f>
        <v>Will Succeed</v>
      </c>
      <c r="G116" s="18"/>
      <c r="H116" s="36" t="str">
        <f>IFERROR(__xludf.DUMMYFUNCTION("""COMPUTED_VALUE"""),"Dark")</f>
        <v>Dark</v>
      </c>
      <c r="I116" s="20" t="str">
        <f>IFERROR(__xludf.DUMMYFUNCTION("""COMPUTED_VALUE"""),"Player")</f>
        <v>Player</v>
      </c>
      <c r="J116" s="21" t="b">
        <f>IFERROR(__xludf.DUMMYFUNCTION("""COMPUTED_VALUE"""),FALSE)</f>
        <v>0</v>
      </c>
      <c r="K116" s="21"/>
      <c r="L116" s="21" t="b">
        <f>IFERROR(__xludf.DUMMYFUNCTION("""COMPUTED_VALUE"""),FALSE)</f>
        <v>0</v>
      </c>
      <c r="M116" s="21" t="b">
        <f>IFERROR(__xludf.DUMMYFUNCTION("""COMPUTED_VALUE"""),FALSE)</f>
        <v>0</v>
      </c>
      <c r="N116" s="1"/>
      <c r="O116" s="1"/>
      <c r="P116" s="1"/>
      <c r="Q116" s="1"/>
      <c r="R116" s="1"/>
      <c r="S116" s="1"/>
      <c r="T116" s="1"/>
      <c r="U116" s="1"/>
      <c r="V116" s="1"/>
      <c r="W116" s="1"/>
      <c r="X116" s="1"/>
      <c r="Y116" s="1"/>
      <c r="Z116" s="1"/>
    </row>
    <row r="117" ht="15.75" customHeight="1">
      <c r="A117" s="16" t="str">
        <f>IFERROR(__xludf.DUMMYFUNCTION("""COMPUTED_VALUE"""),"Dark Boost")</f>
        <v>Dark Boost</v>
      </c>
      <c r="B117" s="17">
        <f>IFERROR(__xludf.DUMMYFUNCTION("""COMPUTED_VALUE"""),9.0)</f>
        <v>9</v>
      </c>
      <c r="C117" s="16">
        <f>IFERROR(__xludf.DUMMYFUNCTION("""COMPUTED_VALUE"""),1000.0)</f>
        <v>1000</v>
      </c>
      <c r="D117" s="16"/>
      <c r="E117" s="16" t="str">
        <f>IFERROR(__xludf.DUMMYFUNCTION("""COMPUTED_VALUE"""),"X2 dark damage for caster.")</f>
        <v>X2 dark damage for caster.</v>
      </c>
      <c r="F117" s="16" t="str">
        <f>IFERROR(__xludf.DUMMYFUNCTION("""COMPUTED_VALUE"""),"Will Succeed")</f>
        <v>Will Succeed</v>
      </c>
      <c r="G117" s="18" t="str">
        <f>IFERROR(__xludf.DUMMYFUNCTION("""COMPUTED_VALUE"""),"Self")</f>
        <v>Self</v>
      </c>
      <c r="H117" s="36" t="str">
        <f>IFERROR(__xludf.DUMMYFUNCTION("""COMPUTED_VALUE"""),"Dark")</f>
        <v>Dark</v>
      </c>
      <c r="I117" s="20" t="str">
        <f>IFERROR(__xludf.DUMMYFUNCTION("""COMPUTED_VALUE"""),"Mob")</f>
        <v>Mob</v>
      </c>
      <c r="J117" s="21" t="b">
        <f>IFERROR(__xludf.DUMMYFUNCTION("""COMPUTED_VALUE"""),TRUE)</f>
        <v>1</v>
      </c>
      <c r="K117" s="21"/>
      <c r="L117" s="21" t="b">
        <f>IFERROR(__xludf.DUMMYFUNCTION("""COMPUTED_VALUE"""),FALSE)</f>
        <v>0</v>
      </c>
      <c r="M117" s="21" t="b">
        <f>IFERROR(__xludf.DUMMYFUNCTION("""COMPUTED_VALUE"""),FALSE)</f>
        <v>0</v>
      </c>
      <c r="N117" s="1"/>
      <c r="O117" s="1"/>
      <c r="P117" s="1"/>
      <c r="Q117" s="1"/>
      <c r="R117" s="1"/>
      <c r="S117" s="1"/>
      <c r="T117" s="1"/>
      <c r="U117" s="1"/>
      <c r="V117" s="1"/>
      <c r="W117" s="1"/>
      <c r="X117" s="1"/>
      <c r="Y117" s="1"/>
      <c r="Z117" s="1"/>
    </row>
    <row r="118" ht="15.75" customHeight="1">
      <c r="A118" s="16" t="str">
        <f>IFERROR(__xludf.DUMMYFUNCTION("""COMPUTED_VALUE"""),"Dark Curse")</f>
        <v>Dark Curse</v>
      </c>
      <c r="B118" s="17">
        <f>IFERROR(__xludf.DUMMYFUNCTION("""COMPUTED_VALUE"""),7.0)</f>
        <v>7</v>
      </c>
      <c r="C118" s="16">
        <f>IFERROR(__xludf.DUMMYFUNCTION("""COMPUTED_VALUE"""),70.0)</f>
        <v>70</v>
      </c>
      <c r="D118" s="16"/>
      <c r="E118"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16" t="str">
        <f>IFERROR(__xludf.DUMMYFUNCTION("""COMPUTED_VALUE"""),"Fail or Succeed")</f>
        <v>Fail or Succeed</v>
      </c>
      <c r="G118" s="18"/>
      <c r="H118" s="36" t="str">
        <f>IFERROR(__xludf.DUMMYFUNCTION("""COMPUTED_VALUE"""),"Dark")</f>
        <v>Dark</v>
      </c>
      <c r="I118" s="20" t="str">
        <f>IFERROR(__xludf.DUMMYFUNCTION("""COMPUTED_VALUE"""),"Player")</f>
        <v>Player</v>
      </c>
      <c r="J118" s="21" t="b">
        <f>IFERROR(__xludf.DUMMYFUNCTION("""COMPUTED_VALUE"""),FALSE)</f>
        <v>0</v>
      </c>
      <c r="K118" s="21"/>
      <c r="L118" s="21" t="b">
        <f>IFERROR(__xludf.DUMMYFUNCTION("""COMPUTED_VALUE"""),FALSE)</f>
        <v>0</v>
      </c>
      <c r="M118" s="21" t="b">
        <f>IFERROR(__xludf.DUMMYFUNCTION("""COMPUTED_VALUE"""),FALSE)</f>
        <v>0</v>
      </c>
      <c r="N118" s="1"/>
      <c r="O118" s="1"/>
      <c r="P118" s="1"/>
      <c r="Q118" s="1"/>
      <c r="R118" s="1"/>
      <c r="S118" s="1"/>
      <c r="T118" s="1"/>
      <c r="U118" s="1"/>
      <c r="V118" s="1"/>
      <c r="W118" s="1"/>
      <c r="X118" s="1"/>
      <c r="Y118" s="1"/>
      <c r="Z118" s="1"/>
    </row>
    <row r="119" ht="15.75" customHeight="1">
      <c r="A119" s="16" t="str">
        <f>IFERROR(__xludf.DUMMYFUNCTION("""COMPUTED_VALUE"""),"Dark Force")</f>
        <v>Dark Force</v>
      </c>
      <c r="B119" s="17">
        <f>IFERROR(__xludf.DUMMYFUNCTION("""COMPUTED_VALUE"""),9.0)</f>
        <v>9</v>
      </c>
      <c r="C119" s="16">
        <f>IFERROR(__xludf.DUMMYFUNCTION("""COMPUTED_VALUE"""),1000.0)</f>
        <v>1000</v>
      </c>
      <c r="D119" s="16"/>
      <c r="E119" s="16" t="str">
        <f>IFERROR(__xludf.DUMMYFUNCTION("""COMPUTED_VALUE"""),"20,000 damage, and 20,000 dark damage to all enemies and causes the arena to be dark for 3 rounds.")</f>
        <v>20,000 damage, and 20,000 dark damage to all enemies and causes the arena to be dark for 3 rounds.</v>
      </c>
      <c r="F119" s="16" t="str">
        <f>IFERROR(__xludf.DUMMYFUNCTION("""COMPUTED_VALUE"""),"Cannot Avoid")</f>
        <v>Cannot Avoid</v>
      </c>
      <c r="G119" s="18" t="str">
        <f>IFERROR(__xludf.DUMMYFUNCTION("""COMPUTED_VALUE"""),"All")</f>
        <v>All</v>
      </c>
      <c r="H119" s="38" t="str">
        <f>IFERROR(__xludf.DUMMYFUNCTION("""COMPUTED_VALUE"""),"Dark")</f>
        <v>Dark</v>
      </c>
      <c r="I119" s="20" t="str">
        <f>IFERROR(__xludf.DUMMYFUNCTION("""COMPUTED_VALUE"""),"Mob")</f>
        <v>Mob</v>
      </c>
      <c r="J119" s="21" t="b">
        <f>IFERROR(__xludf.DUMMYFUNCTION("""COMPUTED_VALUE"""),TRUE)</f>
        <v>1</v>
      </c>
      <c r="K119" s="21"/>
      <c r="L119" s="21" t="b">
        <f>IFERROR(__xludf.DUMMYFUNCTION("""COMPUTED_VALUE"""),FALSE)</f>
        <v>0</v>
      </c>
      <c r="M119" s="21" t="b">
        <f>IFERROR(__xludf.DUMMYFUNCTION("""COMPUTED_VALUE"""),FALSE)</f>
        <v>0</v>
      </c>
      <c r="N119" s="1"/>
      <c r="O119" s="1"/>
      <c r="P119" s="1"/>
      <c r="Q119" s="1"/>
      <c r="R119" s="1"/>
      <c r="S119" s="1"/>
      <c r="T119" s="1"/>
      <c r="U119" s="1"/>
      <c r="V119" s="1"/>
      <c r="W119" s="1"/>
      <c r="X119" s="1"/>
      <c r="Y119" s="1"/>
      <c r="Z119" s="1"/>
    </row>
    <row r="120" ht="15.75" customHeight="1">
      <c r="A120" s="16" t="str">
        <f>IFERROR(__xludf.DUMMYFUNCTION("""COMPUTED_VALUE"""),"Dark Sacrifice")</f>
        <v>Dark Sacrifice</v>
      </c>
      <c r="B120" s="17">
        <f>IFERROR(__xludf.DUMMYFUNCTION("""COMPUTED_VALUE"""),6.0)</f>
        <v>6</v>
      </c>
      <c r="C120" s="16">
        <f>IFERROR(__xludf.DUMMYFUNCTION("""COMPUTED_VALUE"""),60.0)</f>
        <v>60</v>
      </c>
      <c r="D120" s="16"/>
      <c r="E120" s="16" t="str">
        <f>IFERROR(__xludf.DUMMYFUNCTION("""COMPUTED_VALUE"""),"Caster takes damage equal to half their hp and selects 1 target to be revived.")</f>
        <v>Caster takes damage equal to half their hp and selects 1 target to be revived.</v>
      </c>
      <c r="F120" s="16" t="str">
        <f>IFERROR(__xludf.DUMMYFUNCTION("""COMPUTED_VALUE"""),"Will Succeed")</f>
        <v>Will Succeed</v>
      </c>
      <c r="G120" s="18"/>
      <c r="H120" s="38" t="str">
        <f>IFERROR(__xludf.DUMMYFUNCTION("""COMPUTED_VALUE"""),"Dark")</f>
        <v>Dark</v>
      </c>
      <c r="I120" s="20" t="str">
        <f>IFERROR(__xludf.DUMMYFUNCTION("""COMPUTED_VALUE"""),"Player")</f>
        <v>Player</v>
      </c>
      <c r="J120" s="21" t="b">
        <f>IFERROR(__xludf.DUMMYFUNCTION("""COMPUTED_VALUE"""),FALSE)</f>
        <v>0</v>
      </c>
      <c r="K120" s="21"/>
      <c r="L120" s="21" t="b">
        <f>IFERROR(__xludf.DUMMYFUNCTION("""COMPUTED_VALUE"""),FALSE)</f>
        <v>0</v>
      </c>
      <c r="M120" s="21" t="b">
        <f>IFERROR(__xludf.DUMMYFUNCTION("""COMPUTED_VALUE"""),FALSE)</f>
        <v>0</v>
      </c>
      <c r="N120" s="1"/>
      <c r="O120" s="1"/>
      <c r="P120" s="1"/>
      <c r="Q120" s="1"/>
      <c r="R120" s="1"/>
      <c r="S120" s="1"/>
      <c r="T120" s="1"/>
      <c r="U120" s="1"/>
      <c r="V120" s="1"/>
      <c r="W120" s="1"/>
      <c r="X120" s="1"/>
      <c r="Y120" s="1"/>
      <c r="Z120" s="1"/>
    </row>
    <row r="121" ht="15.75" customHeight="1">
      <c r="A121" s="16" t="str">
        <f>IFERROR(__xludf.DUMMYFUNCTION("""COMPUTED_VALUE"""),"Darkest Abyss")</f>
        <v>Darkest Abyss</v>
      </c>
      <c r="B121" s="17">
        <f>IFERROR(__xludf.DUMMYFUNCTION("""COMPUTED_VALUE"""),9.0)</f>
        <v>9</v>
      </c>
      <c r="C121" s="16">
        <f>IFERROR(__xludf.DUMMYFUNCTION("""COMPUTED_VALUE"""),300.0)</f>
        <v>300</v>
      </c>
      <c r="D121" s="16"/>
      <c r="E121" s="16" t="str">
        <f>IFERROR(__xludf.DUMMYFUNCTION("""COMPUTED_VALUE"""),"50,000 dark damage to all enemies. 50% chance of instant death and causes the arena to be dark for 3 rounds..")</f>
        <v>50,000 dark damage to all enemies. 50% chance of instant death and causes the arena to be dark for 3 rounds..</v>
      </c>
      <c r="F121" s="16" t="str">
        <f>IFERROR(__xludf.DUMMYFUNCTION("""COMPUTED_VALUE"""),"Cannot be avoided")</f>
        <v>Cannot be avoided</v>
      </c>
      <c r="G121" s="18">
        <f>IFERROR(__xludf.DUMMYFUNCTION("""COMPUTED_VALUE"""),1.0)</f>
        <v>1</v>
      </c>
      <c r="H121" s="38" t="str">
        <f>IFERROR(__xludf.DUMMYFUNCTION("""COMPUTED_VALUE"""),"Dark")</f>
        <v>Dark</v>
      </c>
      <c r="I121" s="20" t="str">
        <f>IFERROR(__xludf.DUMMYFUNCTION("""COMPUTED_VALUE"""),"Player")</f>
        <v>Player</v>
      </c>
      <c r="J121" s="21" t="b">
        <f>IFERROR(__xludf.DUMMYFUNCTION("""COMPUTED_VALUE"""),FALSE)</f>
        <v>0</v>
      </c>
      <c r="K121" s="21"/>
      <c r="L121" s="21" t="b">
        <f>IFERROR(__xludf.DUMMYFUNCTION("""COMPUTED_VALUE"""),FALSE)</f>
        <v>0</v>
      </c>
      <c r="M121" s="21" t="b">
        <f>IFERROR(__xludf.DUMMYFUNCTION("""COMPUTED_VALUE"""),FALSE)</f>
        <v>0</v>
      </c>
      <c r="N121" s="1"/>
      <c r="O121" s="1"/>
      <c r="P121" s="1"/>
      <c r="Q121" s="1"/>
      <c r="R121" s="1"/>
      <c r="S121" s="1"/>
      <c r="T121" s="1"/>
      <c r="U121" s="1"/>
      <c r="V121" s="1"/>
      <c r="W121" s="1"/>
      <c r="X121" s="1"/>
      <c r="Y121" s="1"/>
      <c r="Z121" s="1"/>
    </row>
    <row r="122" ht="15.75" customHeight="1">
      <c r="A122" s="16" t="str">
        <f>IFERROR(__xludf.DUMMYFUNCTION("""COMPUTED_VALUE"""),"Darkness Ablaze")</f>
        <v>Darkness Ablaze</v>
      </c>
      <c r="B122" s="17">
        <f>IFERROR(__xludf.DUMMYFUNCTION("""COMPUTED_VALUE"""),9.0)</f>
        <v>9</v>
      </c>
      <c r="C122" s="22">
        <f>IFERROR(__xludf.DUMMYFUNCTION("""COMPUTED_VALUE"""),10000.0)</f>
        <v>10000</v>
      </c>
      <c r="D122" s="16"/>
      <c r="E122" s="16"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16" t="str">
        <f>IFERROR(__xludf.DUMMYFUNCTION("""COMPUTED_VALUE"""),"Cannot Avoid")</f>
        <v>Cannot Avoid</v>
      </c>
      <c r="G122" s="18" t="str">
        <f>IFERROR(__xludf.DUMMYFUNCTION("""COMPUTED_VALUE"""),"All")</f>
        <v>All</v>
      </c>
      <c r="H122" s="38" t="str">
        <f>IFERROR(__xludf.DUMMYFUNCTION("""COMPUTED_VALUE"""),"Dark")</f>
        <v>Dark</v>
      </c>
      <c r="I122" s="20" t="str">
        <f>IFERROR(__xludf.DUMMYFUNCTION("""COMPUTED_VALUE"""),"Mob")</f>
        <v>Mob</v>
      </c>
      <c r="J122" s="21" t="b">
        <f>IFERROR(__xludf.DUMMYFUNCTION("""COMPUTED_VALUE"""),TRUE)</f>
        <v>1</v>
      </c>
      <c r="K122" s="21"/>
      <c r="L122" s="21" t="b">
        <f>IFERROR(__xludf.DUMMYFUNCTION("""COMPUTED_VALUE"""),FALSE)</f>
        <v>0</v>
      </c>
      <c r="M122" s="21" t="b">
        <f>IFERROR(__xludf.DUMMYFUNCTION("""COMPUTED_VALUE"""),FALSE)</f>
        <v>0</v>
      </c>
      <c r="N122" s="1"/>
      <c r="O122" s="1"/>
      <c r="P122" s="1"/>
      <c r="Q122" s="1"/>
      <c r="R122" s="1"/>
      <c r="S122" s="1"/>
      <c r="T122" s="1"/>
      <c r="U122" s="1"/>
      <c r="V122" s="1"/>
      <c r="W122" s="1"/>
      <c r="X122" s="1"/>
      <c r="Y122" s="1"/>
      <c r="Z122" s="1"/>
    </row>
    <row r="123" ht="15.75" customHeight="1">
      <c r="A123" s="16" t="str">
        <f>IFERROR(__xludf.DUMMYFUNCTION("""COMPUTED_VALUE"""),"Devolve")</f>
        <v>Devolve</v>
      </c>
      <c r="B123" s="17">
        <f>IFERROR(__xludf.DUMMYFUNCTION("""COMPUTED_VALUE"""),8.0)</f>
        <v>8</v>
      </c>
      <c r="C123" s="16" t="str">
        <f>IFERROR(__xludf.DUMMYFUNCTION("""COMPUTED_VALUE"""),"X")</f>
        <v>X</v>
      </c>
      <c r="D123" s="16"/>
      <c r="E123" s="16" t="str">
        <f>IFERROR(__xludf.DUMMYFUNCTION("""COMPUTED_VALUE"""),"Decrease a targets base stats by X*100")</f>
        <v>Decrease a targets base stats by X*100</v>
      </c>
      <c r="F123" s="16" t="str">
        <f>IFERROR(__xludf.DUMMYFUNCTION("""COMPUTED_VALUE"""),"Fail/Succeed")</f>
        <v>Fail/Succeed</v>
      </c>
      <c r="G123" s="18"/>
      <c r="H123" s="38" t="str">
        <f>IFERROR(__xludf.DUMMYFUNCTION("""COMPUTED_VALUE"""),"Dark")</f>
        <v>Dark</v>
      </c>
      <c r="I123" s="20" t="str">
        <f>IFERROR(__xludf.DUMMYFUNCTION("""COMPUTED_VALUE"""),"Player")</f>
        <v>Player</v>
      </c>
      <c r="J123" s="21" t="b">
        <f>IFERROR(__xludf.DUMMYFUNCTION("""COMPUTED_VALUE"""),FALSE)</f>
        <v>0</v>
      </c>
      <c r="K123" s="21"/>
      <c r="L123" s="21" t="b">
        <f>IFERROR(__xludf.DUMMYFUNCTION("""COMPUTED_VALUE"""),FALSE)</f>
        <v>0</v>
      </c>
      <c r="M123" s="21" t="b">
        <f>IFERROR(__xludf.DUMMYFUNCTION("""COMPUTED_VALUE"""),FALSE)</f>
        <v>0</v>
      </c>
      <c r="N123" s="1"/>
      <c r="O123" s="1"/>
      <c r="P123" s="1"/>
      <c r="Q123" s="1"/>
      <c r="R123" s="1"/>
      <c r="S123" s="1"/>
      <c r="T123" s="1"/>
      <c r="U123" s="1"/>
      <c r="V123" s="1"/>
      <c r="W123" s="1"/>
      <c r="X123" s="1"/>
      <c r="Y123" s="1"/>
      <c r="Z123" s="1"/>
    </row>
    <row r="124" ht="15.75" customHeight="1">
      <c r="A124" s="16" t="str">
        <f>IFERROR(__xludf.DUMMYFUNCTION("""COMPUTED_VALUE"""),"Multi Vanish")</f>
        <v>Multi Vanish</v>
      </c>
      <c r="B124" s="17">
        <f>IFERROR(__xludf.DUMMYFUNCTION("""COMPUTED_VALUE"""),9.0)</f>
        <v>9</v>
      </c>
      <c r="C124" s="16">
        <f>IFERROR(__xludf.DUMMYFUNCTION("""COMPUTED_VALUE"""),300.0)</f>
        <v>300</v>
      </c>
      <c r="D124" s="16"/>
      <c r="E124"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16" t="str">
        <f>IFERROR(__xludf.DUMMYFUNCTION("""COMPUTED_VALUE"""),"Fail/succeed")</f>
        <v>Fail/succeed</v>
      </c>
      <c r="G124" s="18"/>
      <c r="H124" s="38" t="str">
        <f>IFERROR(__xludf.DUMMYFUNCTION("""COMPUTED_VALUE"""),"Dark")</f>
        <v>Dark</v>
      </c>
      <c r="I124" s="20" t="str">
        <f>IFERROR(__xludf.DUMMYFUNCTION("""COMPUTED_VALUE"""),"Player")</f>
        <v>Player</v>
      </c>
      <c r="J124" s="21" t="b">
        <f>IFERROR(__xludf.DUMMYFUNCTION("""COMPUTED_VALUE"""),FALSE)</f>
        <v>0</v>
      </c>
      <c r="K124" s="21"/>
      <c r="L124" s="21" t="b">
        <f>IFERROR(__xludf.DUMMYFUNCTION("""COMPUTED_VALUE"""),FALSE)</f>
        <v>0</v>
      </c>
      <c r="M124" s="21" t="b">
        <f>IFERROR(__xludf.DUMMYFUNCTION("""COMPUTED_VALUE"""),FALSE)</f>
        <v>0</v>
      </c>
      <c r="N124" s="1"/>
      <c r="O124" s="1"/>
      <c r="P124" s="1"/>
      <c r="Q124" s="1"/>
      <c r="R124" s="1"/>
      <c r="S124" s="1"/>
      <c r="T124" s="1"/>
      <c r="U124" s="1"/>
      <c r="V124" s="1"/>
      <c r="W124" s="1"/>
      <c r="X124" s="1"/>
      <c r="Y124" s="1"/>
      <c r="Z124" s="1"/>
    </row>
    <row r="125" ht="15.75" customHeight="1">
      <c r="A125" s="16" t="str">
        <f>IFERROR(__xludf.DUMMYFUNCTION("""COMPUTED_VALUE"""),"Nightmare")</f>
        <v>Nightmare</v>
      </c>
      <c r="B125" s="17">
        <f>IFERROR(__xludf.DUMMYFUNCTION("""COMPUTED_VALUE"""),9.0)</f>
        <v>9</v>
      </c>
      <c r="C125" s="16">
        <f>IFERROR(__xludf.DUMMYFUNCTION("""COMPUTED_VALUE"""),5000.0)</f>
        <v>5000</v>
      </c>
      <c r="D125" s="16"/>
      <c r="E125" s="16" t="str">
        <f>IFERROR(__xludf.DUMMYFUNCTION("""COMPUTED_VALUE"""),"Puts all enemies to sleep, Those targets take X2 more damage while asleep.")</f>
        <v>Puts all enemies to sleep, Those targets take X2 more damage while asleep.</v>
      </c>
      <c r="F125" s="16" t="str">
        <f>IFERROR(__xludf.DUMMYFUNCTION("""COMPUTED_VALUE"""),"Fail/Succeed")</f>
        <v>Fail/Succeed</v>
      </c>
      <c r="G125" s="18" t="str">
        <f>IFERROR(__xludf.DUMMYFUNCTION("""COMPUTED_VALUE"""),"All")</f>
        <v>All</v>
      </c>
      <c r="H125" s="38" t="str">
        <f>IFERROR(__xludf.DUMMYFUNCTION("""COMPUTED_VALUE"""),"Dark")</f>
        <v>Dark</v>
      </c>
      <c r="I125" s="20" t="str">
        <f>IFERROR(__xludf.DUMMYFUNCTION("""COMPUTED_VALUE"""),"Mob")</f>
        <v>Mob</v>
      </c>
      <c r="J125" s="21" t="b">
        <f>IFERROR(__xludf.DUMMYFUNCTION("""COMPUTED_VALUE"""),TRUE)</f>
        <v>1</v>
      </c>
      <c r="K125" s="21"/>
      <c r="L125" s="21" t="b">
        <f>IFERROR(__xludf.DUMMYFUNCTION("""COMPUTED_VALUE"""),FALSE)</f>
        <v>0</v>
      </c>
      <c r="M125" s="21" t="b">
        <f>IFERROR(__xludf.DUMMYFUNCTION("""COMPUTED_VALUE"""),TRUE)</f>
        <v>1</v>
      </c>
      <c r="N125" s="1"/>
      <c r="O125" s="1"/>
      <c r="P125" s="1"/>
      <c r="Q125" s="1"/>
      <c r="R125" s="1"/>
      <c r="S125" s="1"/>
      <c r="T125" s="1"/>
      <c r="U125" s="1"/>
      <c r="V125" s="1"/>
      <c r="W125" s="1"/>
      <c r="X125" s="1"/>
      <c r="Y125" s="1"/>
      <c r="Z125" s="1"/>
    </row>
    <row r="126" ht="15.75" customHeight="1">
      <c r="A126" s="16" t="str">
        <f>IFERROR(__xludf.DUMMYFUNCTION("""COMPUTED_VALUE"""),"Pick Pocket")</f>
        <v>Pick Pocket</v>
      </c>
      <c r="B126" s="17">
        <f>IFERROR(__xludf.DUMMYFUNCTION("""COMPUTED_VALUE"""),1.0)</f>
        <v>1</v>
      </c>
      <c r="C126" s="16">
        <f>IFERROR(__xludf.DUMMYFUNCTION("""COMPUTED_VALUE"""),0.0)</f>
        <v>0</v>
      </c>
      <c r="D126" s="16"/>
      <c r="E12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16" t="str">
        <f>IFERROR(__xludf.DUMMYFUNCTION("""COMPUTED_VALUE"""),"Natural/Fail or Succeed")</f>
        <v>Natural/Fail or Succeed</v>
      </c>
      <c r="G126" s="18"/>
      <c r="H126" s="38" t="str">
        <f>IFERROR(__xludf.DUMMYFUNCTION("""COMPUTED_VALUE"""),"Dark")</f>
        <v>Dark</v>
      </c>
      <c r="I126" s="20" t="str">
        <f>IFERROR(__xludf.DUMMYFUNCTION("""COMPUTED_VALUE"""),"Player")</f>
        <v>Player</v>
      </c>
      <c r="J126" s="21" t="b">
        <f>IFERROR(__xludf.DUMMYFUNCTION("""COMPUTED_VALUE"""),FALSE)</f>
        <v>0</v>
      </c>
      <c r="K126" s="21"/>
      <c r="L126" s="21" t="b">
        <f>IFERROR(__xludf.DUMMYFUNCTION("""COMPUTED_VALUE"""),FALSE)</f>
        <v>0</v>
      </c>
      <c r="M126" s="21" t="b">
        <f>IFERROR(__xludf.DUMMYFUNCTION("""COMPUTED_VALUE"""),FALSE)</f>
        <v>0</v>
      </c>
      <c r="N126" s="1"/>
      <c r="O126" s="1"/>
      <c r="P126" s="1"/>
      <c r="Q126" s="1"/>
      <c r="R126" s="1"/>
      <c r="S126" s="1"/>
      <c r="T126" s="1"/>
      <c r="U126" s="1"/>
      <c r="V126" s="1"/>
      <c r="W126" s="1"/>
      <c r="X126" s="1"/>
      <c r="Y126" s="1"/>
      <c r="Z126" s="1"/>
    </row>
    <row r="127" ht="15.75" customHeight="1">
      <c r="A127" s="16" t="str">
        <f>IFERROR(__xludf.DUMMYFUNCTION("""COMPUTED_VALUE"""),"Raise Dead")</f>
        <v>Raise Dead</v>
      </c>
      <c r="B127" s="17">
        <f>IFERROR(__xludf.DUMMYFUNCTION("""COMPUTED_VALUE"""),9.0)</f>
        <v>9</v>
      </c>
      <c r="C127" s="16">
        <f>IFERROR(__xludf.DUMMYFUNCTION("""COMPUTED_VALUE"""),300.0)</f>
        <v>300</v>
      </c>
      <c r="D127" s="16"/>
      <c r="E127" s="16" t="str">
        <f>IFERROR(__xludf.DUMMYFUNCTION("""COMPUTED_VALUE"""),"Return a target from death with half their HP, must be done before they respawn")</f>
        <v>Return a target from death with half their HP, must be done before they respawn</v>
      </c>
      <c r="F127" s="16" t="str">
        <f>IFERROR(__xludf.DUMMYFUNCTION("""COMPUTED_VALUE"""),"Fail/succeed")</f>
        <v>Fail/succeed</v>
      </c>
      <c r="G127" s="18">
        <f>IFERROR(__xludf.DUMMYFUNCTION("""COMPUTED_VALUE"""),1.0)</f>
        <v>1</v>
      </c>
      <c r="H127" s="38" t="str">
        <f>IFERROR(__xludf.DUMMYFUNCTION("""COMPUTED_VALUE"""),"Dark")</f>
        <v>Dark</v>
      </c>
      <c r="I127" s="20" t="str">
        <f>IFERROR(__xludf.DUMMYFUNCTION("""COMPUTED_VALUE"""),"Player")</f>
        <v>Player</v>
      </c>
      <c r="J127" s="21" t="b">
        <f>IFERROR(__xludf.DUMMYFUNCTION("""COMPUTED_VALUE"""),FALSE)</f>
        <v>0</v>
      </c>
      <c r="K127" s="21"/>
      <c r="L127" s="21" t="b">
        <f>IFERROR(__xludf.DUMMYFUNCTION("""COMPUTED_VALUE"""),FALSE)</f>
        <v>0</v>
      </c>
      <c r="M127" s="21" t="b">
        <f>IFERROR(__xludf.DUMMYFUNCTION("""COMPUTED_VALUE"""),FALSE)</f>
        <v>0</v>
      </c>
      <c r="N127" s="1"/>
      <c r="O127" s="1"/>
      <c r="P127" s="1"/>
      <c r="Q127" s="1"/>
      <c r="R127" s="1"/>
      <c r="S127" s="1"/>
      <c r="T127" s="1"/>
      <c r="U127" s="1"/>
      <c r="V127" s="1"/>
      <c r="W127" s="1"/>
      <c r="X127" s="1"/>
      <c r="Y127" s="1"/>
      <c r="Z127" s="1"/>
    </row>
    <row r="128" ht="15.75" customHeight="1">
      <c r="A128" s="16" t="str">
        <f>IFERROR(__xludf.DUMMYFUNCTION("""COMPUTED_VALUE"""),"Reapers Cradle")</f>
        <v>Reapers Cradle</v>
      </c>
      <c r="B128" s="17">
        <f>IFERROR(__xludf.DUMMYFUNCTION("""COMPUTED_VALUE"""),0.0)</f>
        <v>0</v>
      </c>
      <c r="C128" s="16">
        <f>IFERROR(__xludf.DUMMYFUNCTION("""COMPUTED_VALUE"""),0.0)</f>
        <v>0</v>
      </c>
      <c r="D128" s="16"/>
      <c r="E128" s="16" t="str">
        <f>IFERROR(__xludf.DUMMYFUNCTION("""COMPUTED_VALUE"""),"Puts all enemies to sleep for 3 rounds skipping their turn order.")</f>
        <v>Puts all enemies to sleep for 3 rounds skipping their turn order.</v>
      </c>
      <c r="F128" s="16" t="str">
        <f>IFERROR(__xludf.DUMMYFUNCTION("""COMPUTED_VALUE"""),"Natural/Fail or Succeed")</f>
        <v>Natural/Fail or Succeed</v>
      </c>
      <c r="G128" s="18" t="str">
        <f>IFERROR(__xludf.DUMMYFUNCTION("""COMPUTED_VALUE"""),"All")</f>
        <v>All</v>
      </c>
      <c r="H128" s="38" t="str">
        <f>IFERROR(__xludf.DUMMYFUNCTION("""COMPUTED_VALUE"""),"Dark")</f>
        <v>Dark</v>
      </c>
      <c r="I128" s="20" t="str">
        <f>IFERROR(__xludf.DUMMYFUNCTION("""COMPUTED_VALUE"""),"Mob")</f>
        <v>Mob</v>
      </c>
      <c r="J128" s="21" t="b">
        <f>IFERROR(__xludf.DUMMYFUNCTION("""COMPUTED_VALUE"""),TRUE)</f>
        <v>1</v>
      </c>
      <c r="K128" s="21" t="str">
        <f>IFERROR(__xludf.DUMMYFUNCTION("""COMPUTED_VALUE"""),"Cannot be obtained by players.")</f>
        <v>Cannot be obtained by players.</v>
      </c>
      <c r="L128" s="21" t="b">
        <f>IFERROR(__xludf.DUMMYFUNCTION("""COMPUTED_VALUE"""),FALSE)</f>
        <v>0</v>
      </c>
      <c r="M128" s="21" t="b">
        <f>IFERROR(__xludf.DUMMYFUNCTION("""COMPUTED_VALUE"""),FALSE)</f>
        <v>0</v>
      </c>
      <c r="N128" s="1"/>
      <c r="O128" s="1"/>
      <c r="P128" s="1"/>
      <c r="Q128" s="1"/>
      <c r="R128" s="1"/>
      <c r="S128" s="1"/>
      <c r="T128" s="1"/>
      <c r="U128" s="1"/>
      <c r="V128" s="1"/>
      <c r="W128" s="1"/>
      <c r="X128" s="1"/>
      <c r="Y128" s="1"/>
      <c r="Z128" s="1"/>
    </row>
    <row r="129" ht="15.75" customHeight="1">
      <c r="A129" s="16" t="str">
        <f>IFERROR(__xludf.DUMMYFUNCTION("""COMPUTED_VALUE"""),"Regress")</f>
        <v>Regress</v>
      </c>
      <c r="B129" s="17">
        <f>IFERROR(__xludf.DUMMYFUNCTION("""COMPUTED_VALUE"""),3.0)</f>
        <v>3</v>
      </c>
      <c r="C129" s="16" t="str">
        <f>IFERROR(__xludf.DUMMYFUNCTION("""COMPUTED_VALUE"""),"X")</f>
        <v>X</v>
      </c>
      <c r="D129" s="16"/>
      <c r="E129" s="16" t="str">
        <f>IFERROR(__xludf.DUMMYFUNCTION("""COMPUTED_VALUE"""),"All target’s base stats are reduced by X*2 until the end of battle.")</f>
        <v>All target’s base stats are reduced by X*2 until the end of battle.</v>
      </c>
      <c r="F129" s="16" t="str">
        <f>IFERROR(__xludf.DUMMYFUNCTION("""COMPUTED_VALUE"""),"Fail/Succeed")</f>
        <v>Fail/Succeed</v>
      </c>
      <c r="G129" s="18"/>
      <c r="H129" s="38" t="str">
        <f>IFERROR(__xludf.DUMMYFUNCTION("""COMPUTED_VALUE"""),"Dark")</f>
        <v>Dark</v>
      </c>
      <c r="I129" s="20" t="str">
        <f>IFERROR(__xludf.DUMMYFUNCTION("""COMPUTED_VALUE"""),"Player")</f>
        <v>Player</v>
      </c>
      <c r="J129" s="21" t="b">
        <f>IFERROR(__xludf.DUMMYFUNCTION("""COMPUTED_VALUE"""),FALSE)</f>
        <v>0</v>
      </c>
      <c r="K129" s="21"/>
      <c r="L129" s="21" t="b">
        <f>IFERROR(__xludf.DUMMYFUNCTION("""COMPUTED_VALUE"""),FALSE)</f>
        <v>0</v>
      </c>
      <c r="M129" s="21" t="b">
        <f>IFERROR(__xludf.DUMMYFUNCTION("""COMPUTED_VALUE"""),FALSE)</f>
        <v>0</v>
      </c>
      <c r="N129" s="1"/>
      <c r="O129" s="1"/>
      <c r="P129" s="1"/>
      <c r="Q129" s="1"/>
      <c r="R129" s="1"/>
      <c r="S129" s="1"/>
      <c r="T129" s="1"/>
      <c r="U129" s="1"/>
      <c r="V129" s="1"/>
      <c r="W129" s="1"/>
      <c r="X129" s="1"/>
      <c r="Y129" s="1"/>
      <c r="Z129" s="1"/>
    </row>
    <row r="130" ht="15.75" customHeight="1">
      <c r="A130" s="16"/>
      <c r="B130" s="16"/>
      <c r="C130" s="16"/>
      <c r="D130" s="16"/>
      <c r="E130" s="16"/>
      <c r="F130" s="16"/>
      <c r="G130" s="18"/>
      <c r="H130" s="38"/>
      <c r="I130" s="20"/>
      <c r="J130" s="21" t="b">
        <f>IFERROR(__xludf.DUMMYFUNCTION("""COMPUTED_VALUE"""),FALSE)</f>
        <v>0</v>
      </c>
      <c r="K130" s="21"/>
      <c r="L130" s="21" t="b">
        <f>IFERROR(__xludf.DUMMYFUNCTION("""COMPUTED_VALUE"""),FALSE)</f>
        <v>0</v>
      </c>
      <c r="M130" s="21" t="b">
        <f>IFERROR(__xludf.DUMMYFUNCTION("""COMPUTED_VALUE"""),FALSE)</f>
        <v>0</v>
      </c>
      <c r="N130" s="1"/>
      <c r="O130" s="1"/>
      <c r="P130" s="1"/>
      <c r="Q130" s="1"/>
      <c r="R130" s="1"/>
      <c r="S130" s="1"/>
      <c r="T130" s="1"/>
      <c r="U130" s="1"/>
      <c r="V130" s="1"/>
      <c r="W130" s="1"/>
      <c r="X130" s="1"/>
      <c r="Y130" s="1"/>
      <c r="Z130" s="1"/>
    </row>
    <row r="131" ht="15.75" customHeight="1">
      <c r="A131" s="16" t="str">
        <f>IFERROR(__xludf.DUMMYFUNCTION("""COMPUTED_VALUE"""),"Shade")</f>
        <v>Shade</v>
      </c>
      <c r="B131" s="17">
        <f>IFERROR(__xludf.DUMMYFUNCTION("""COMPUTED_VALUE"""),1.0)</f>
        <v>1</v>
      </c>
      <c r="C131" s="16">
        <f>IFERROR(__xludf.DUMMYFUNCTION("""COMPUTED_VALUE"""),10.0)</f>
        <v>10</v>
      </c>
      <c r="D131" s="16"/>
      <c r="E131" s="16" t="str">
        <f>IFERROR(__xludf.DUMMYFUNCTION("""COMPUTED_VALUE"""),"1000 dark damage and causes the arena to be dark for 3 rounds.")</f>
        <v>1000 dark damage and causes the arena to be dark for 3 rounds.</v>
      </c>
      <c r="F131" s="16" t="str">
        <f>IFERROR(__xludf.DUMMYFUNCTION("""COMPUTED_VALUE"""),"Hit or Miss")</f>
        <v>Hit or Miss</v>
      </c>
      <c r="G131" s="18">
        <f>IFERROR(__xludf.DUMMYFUNCTION("""COMPUTED_VALUE"""),1.0)</f>
        <v>1</v>
      </c>
      <c r="H131" s="38" t="str">
        <f>IFERROR(__xludf.DUMMYFUNCTION("""COMPUTED_VALUE"""),"Dark")</f>
        <v>Dark</v>
      </c>
      <c r="I131" s="20" t="str">
        <f>IFERROR(__xludf.DUMMYFUNCTION("""COMPUTED_VALUE"""),"Player")</f>
        <v>Player</v>
      </c>
      <c r="J131" s="21" t="b">
        <f>IFERROR(__xludf.DUMMYFUNCTION("""COMPUTED_VALUE"""),FALSE)</f>
        <v>0</v>
      </c>
      <c r="K131" s="21"/>
      <c r="L131" s="21" t="b">
        <f>IFERROR(__xludf.DUMMYFUNCTION("""COMPUTED_VALUE"""),FALSE)</f>
        <v>0</v>
      </c>
      <c r="M131" s="21" t="b">
        <f>IFERROR(__xludf.DUMMYFUNCTION("""COMPUTED_VALUE"""),FALSE)</f>
        <v>0</v>
      </c>
      <c r="N131" s="1"/>
      <c r="O131" s="1"/>
      <c r="P131" s="1"/>
      <c r="Q131" s="1"/>
      <c r="R131" s="1"/>
      <c r="S131" s="1"/>
      <c r="T131" s="1"/>
      <c r="U131" s="1"/>
      <c r="V131" s="1"/>
      <c r="W131" s="1"/>
      <c r="X131" s="1"/>
      <c r="Y131" s="1"/>
      <c r="Z131" s="1"/>
    </row>
    <row r="132" ht="15.75" customHeight="1">
      <c r="A132" s="16" t="str">
        <f>IFERROR(__xludf.DUMMYFUNCTION("""COMPUTED_VALUE"""),"Shadow")</f>
        <v>Shadow</v>
      </c>
      <c r="B132" s="17">
        <f>IFERROR(__xludf.DUMMYFUNCTION("""COMPUTED_VALUE"""),4.0)</f>
        <v>4</v>
      </c>
      <c r="C132" s="16">
        <f>IFERROR(__xludf.DUMMYFUNCTION("""COMPUTED_VALUE"""),40.0)</f>
        <v>40</v>
      </c>
      <c r="D132" s="16"/>
      <c r="E132" s="16" t="str">
        <f>IFERROR(__xludf.DUMMYFUNCTION("""COMPUTED_VALUE"""),"4000 Dark Damage, Stun 3 and causes the arena to be dark for 3 rounds.")</f>
        <v>4000 Dark Damage, Stun 3 and causes the arena to be dark for 3 rounds.</v>
      </c>
      <c r="F132" s="16" t="str">
        <f>IFERROR(__xludf.DUMMYFUNCTION("""COMPUTED_VALUE"""),"Hit or Miss")</f>
        <v>Hit or Miss</v>
      </c>
      <c r="G132" s="18">
        <f>IFERROR(__xludf.DUMMYFUNCTION("""COMPUTED_VALUE"""),1.0)</f>
        <v>1</v>
      </c>
      <c r="H132" s="38" t="str">
        <f>IFERROR(__xludf.DUMMYFUNCTION("""COMPUTED_VALUE"""),"Dark")</f>
        <v>Dark</v>
      </c>
      <c r="I132" s="20" t="str">
        <f>IFERROR(__xludf.DUMMYFUNCTION("""COMPUTED_VALUE"""),"Player")</f>
        <v>Player</v>
      </c>
      <c r="J132" s="21" t="b">
        <f>IFERROR(__xludf.DUMMYFUNCTION("""COMPUTED_VALUE"""),FALSE)</f>
        <v>0</v>
      </c>
      <c r="K132" s="21"/>
      <c r="L132" s="21" t="b">
        <f>IFERROR(__xludf.DUMMYFUNCTION("""COMPUTED_VALUE"""),FALSE)</f>
        <v>0</v>
      </c>
      <c r="M132" s="21" t="b">
        <f>IFERROR(__xludf.DUMMYFUNCTION("""COMPUTED_VALUE"""),FALSE)</f>
        <v>0</v>
      </c>
      <c r="N132" s="1"/>
      <c r="O132" s="1"/>
      <c r="P132" s="1"/>
      <c r="Q132" s="1"/>
      <c r="R132" s="1"/>
      <c r="S132" s="1"/>
      <c r="T132" s="1"/>
      <c r="U132" s="1"/>
      <c r="V132" s="1"/>
      <c r="W132" s="1"/>
      <c r="X132" s="1"/>
      <c r="Y132" s="1"/>
      <c r="Z132" s="1"/>
    </row>
    <row r="133" ht="15.75" customHeight="1">
      <c r="A133" s="16" t="str">
        <f>IFERROR(__xludf.DUMMYFUNCTION("""COMPUTED_VALUE"""),"Shadow Curse")</f>
        <v>Shadow Curse</v>
      </c>
      <c r="B133" s="17">
        <f>IFERROR(__xludf.DUMMYFUNCTION("""COMPUTED_VALUE"""),9.0)</f>
        <v>9</v>
      </c>
      <c r="C133" s="16">
        <f>IFERROR(__xludf.DUMMYFUNCTION("""COMPUTED_VALUE"""),1000.0)</f>
        <v>1000</v>
      </c>
      <c r="D133" s="16"/>
      <c r="E133" s="16" t="str">
        <f>IFERROR(__xludf.DUMMYFUNCTION("""COMPUTED_VALUE"""),"A dark curse making the target take x2 dark damage until the curse is lifted.")</f>
        <v>A dark curse making the target take x2 dark damage until the curse is lifted.</v>
      </c>
      <c r="F133" s="16" t="str">
        <f>IFERROR(__xludf.DUMMYFUNCTION("""COMPUTED_VALUE"""),"Fail or Succeed")</f>
        <v>Fail or Succeed</v>
      </c>
      <c r="G133" s="18">
        <f>IFERROR(__xludf.DUMMYFUNCTION("""COMPUTED_VALUE"""),1.0)</f>
        <v>1</v>
      </c>
      <c r="H133" s="38" t="str">
        <f>IFERROR(__xludf.DUMMYFUNCTION("""COMPUTED_VALUE"""),"Dark")</f>
        <v>Dark</v>
      </c>
      <c r="I133" s="20" t="str">
        <f>IFERROR(__xludf.DUMMYFUNCTION("""COMPUTED_VALUE"""),"Mob")</f>
        <v>Mob</v>
      </c>
      <c r="J133" s="21" t="b">
        <f>IFERROR(__xludf.DUMMYFUNCTION("""COMPUTED_VALUE"""),TRUE)</f>
        <v>1</v>
      </c>
      <c r="K133" s="21"/>
      <c r="L133" s="21" t="b">
        <f>IFERROR(__xludf.DUMMYFUNCTION("""COMPUTED_VALUE"""),FALSE)</f>
        <v>0</v>
      </c>
      <c r="M133" s="21" t="b">
        <f>IFERROR(__xludf.DUMMYFUNCTION("""COMPUTED_VALUE"""),FALSE)</f>
        <v>0</v>
      </c>
      <c r="N133" s="1"/>
      <c r="O133" s="1"/>
      <c r="P133" s="1"/>
      <c r="Q133" s="1"/>
      <c r="R133" s="1"/>
      <c r="S133" s="1"/>
      <c r="T133" s="1"/>
      <c r="U133" s="1"/>
      <c r="V133" s="1"/>
      <c r="W133" s="1"/>
      <c r="X133" s="1"/>
      <c r="Y133" s="1"/>
      <c r="Z133" s="1"/>
    </row>
    <row r="134" ht="15.75" customHeight="1">
      <c r="A134" s="16" t="str">
        <f>IFERROR(__xludf.DUMMYFUNCTION("""COMPUTED_VALUE"""),"Shadow Strike")</f>
        <v>Shadow Strike</v>
      </c>
      <c r="B134" s="17">
        <f>IFERROR(__xludf.DUMMYFUNCTION("""COMPUTED_VALUE"""),9.0)</f>
        <v>9</v>
      </c>
      <c r="C134" s="16">
        <f>IFERROR(__xludf.DUMMYFUNCTION("""COMPUTED_VALUE"""),300.0)</f>
        <v>300</v>
      </c>
      <c r="D134" s="16"/>
      <c r="E134"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16" t="str">
        <f>IFERROR(__xludf.DUMMYFUNCTION("""COMPUTED_VALUE"""),"Fail/succeed")</f>
        <v>Fail/succeed</v>
      </c>
      <c r="G134" s="18" t="str">
        <f>IFERROR(__xludf.DUMMYFUNCTION("""COMPUTED_VALUE"""),"Self")</f>
        <v>Self</v>
      </c>
      <c r="H134" s="38" t="str">
        <f>IFERROR(__xludf.DUMMYFUNCTION("""COMPUTED_VALUE"""),"Dark")</f>
        <v>Dark</v>
      </c>
      <c r="I134" s="20" t="str">
        <f>IFERROR(__xludf.DUMMYFUNCTION("""COMPUTED_VALUE"""),"Player")</f>
        <v>Player</v>
      </c>
      <c r="J134" s="21" t="b">
        <f>IFERROR(__xludf.DUMMYFUNCTION("""COMPUTED_VALUE"""),FALSE)</f>
        <v>0</v>
      </c>
      <c r="K134" s="21"/>
      <c r="L134" s="21" t="b">
        <f>IFERROR(__xludf.DUMMYFUNCTION("""COMPUTED_VALUE"""),FALSE)</f>
        <v>0</v>
      </c>
      <c r="M134" s="21" t="b">
        <f>IFERROR(__xludf.DUMMYFUNCTION("""COMPUTED_VALUE"""),FALSE)</f>
        <v>0</v>
      </c>
      <c r="N134" s="1"/>
      <c r="O134" s="1"/>
      <c r="P134" s="1"/>
      <c r="Q134" s="1"/>
      <c r="R134" s="1"/>
      <c r="S134" s="1"/>
      <c r="T134" s="1"/>
      <c r="U134" s="1"/>
      <c r="V134" s="1"/>
      <c r="W134" s="1"/>
      <c r="X134" s="1"/>
      <c r="Y134" s="1"/>
      <c r="Z134" s="1"/>
    </row>
    <row r="135" ht="15.75" customHeight="1">
      <c r="A135" s="16" t="str">
        <f>IFERROR(__xludf.DUMMYFUNCTION("""COMPUTED_VALUE"""),"Shadow Vanish")</f>
        <v>Shadow Vanish</v>
      </c>
      <c r="B135" s="17">
        <f>IFERROR(__xludf.DUMMYFUNCTION("""COMPUTED_VALUE"""),9.0)</f>
        <v>9</v>
      </c>
      <c r="C135" s="16">
        <f>IFERROR(__xludf.DUMMYFUNCTION("""COMPUTED_VALUE"""),300.0)</f>
        <v>300</v>
      </c>
      <c r="D135" s="16"/>
      <c r="E135" s="16" t="str">
        <f>IFERROR(__xludf.DUMMYFUNCTION("""COMPUTED_VALUE"""),"Gain invulnerability for 3 rounds, you are unable to inflict any non-magic damage for 3 rounds")</f>
        <v>Gain invulnerability for 3 rounds, you are unable to inflict any non-magic damage for 3 rounds</v>
      </c>
      <c r="F135" s="16" t="str">
        <f>IFERROR(__xludf.DUMMYFUNCTION("""COMPUTED_VALUE"""),"Fail/succeed")</f>
        <v>Fail/succeed</v>
      </c>
      <c r="G135" s="18">
        <f>IFERROR(__xludf.DUMMYFUNCTION("""COMPUTED_VALUE"""),1.0)</f>
        <v>1</v>
      </c>
      <c r="H135" s="38" t="str">
        <f>IFERROR(__xludf.DUMMYFUNCTION("""COMPUTED_VALUE"""),"Dark")</f>
        <v>Dark</v>
      </c>
      <c r="I135" s="20" t="str">
        <f>IFERROR(__xludf.DUMMYFUNCTION("""COMPUTED_VALUE"""),"Player")</f>
        <v>Player</v>
      </c>
      <c r="J135" s="21" t="b">
        <f>IFERROR(__xludf.DUMMYFUNCTION("""COMPUTED_VALUE"""),FALSE)</f>
        <v>0</v>
      </c>
      <c r="K135" s="21"/>
      <c r="L135" s="21" t="b">
        <f>IFERROR(__xludf.DUMMYFUNCTION("""COMPUTED_VALUE"""),FALSE)</f>
        <v>0</v>
      </c>
      <c r="M135" s="21" t="b">
        <f>IFERROR(__xludf.DUMMYFUNCTION("""COMPUTED_VALUE"""),FALSE)</f>
        <v>0</v>
      </c>
      <c r="N135" s="1"/>
      <c r="O135" s="1"/>
      <c r="P135" s="1"/>
      <c r="Q135" s="1"/>
      <c r="R135" s="1"/>
      <c r="S135" s="1"/>
      <c r="T135" s="1"/>
      <c r="U135" s="1"/>
      <c r="V135" s="1"/>
      <c r="W135" s="1"/>
      <c r="X135" s="1"/>
      <c r="Y135" s="1"/>
      <c r="Z135" s="1"/>
    </row>
    <row r="136" ht="15.75" customHeight="1">
      <c r="A136" s="16" t="str">
        <f>IFERROR(__xludf.DUMMYFUNCTION("""COMPUTED_VALUE"""),"Summon Haunted Scarecrow")</f>
        <v>Summon Haunted Scarecrow</v>
      </c>
      <c r="B136" s="17">
        <f>IFERROR(__xludf.DUMMYFUNCTION("""COMPUTED_VALUE"""),9.0)</f>
        <v>9</v>
      </c>
      <c r="C136" s="16">
        <f>IFERROR(__xludf.DUMMYFUNCTION("""COMPUTED_VALUE"""),1000.0)</f>
        <v>1000</v>
      </c>
      <c r="D136" s="16"/>
      <c r="E136" s="16" t="str">
        <f>IFERROR(__xludf.DUMMYFUNCTION("""COMPUTED_VALUE"""),"Summon a haunted scarecrow. 50% chance to summon 2.")</f>
        <v>Summon a haunted scarecrow. 50% chance to summon 2.</v>
      </c>
      <c r="F136" s="16" t="str">
        <f>IFERROR(__xludf.DUMMYFUNCTION("""COMPUTED_VALUE"""),"Fail/Succeed")</f>
        <v>Fail/Succeed</v>
      </c>
      <c r="G136" s="18" t="str">
        <f>IFERROR(__xludf.DUMMYFUNCTION("""COMPUTED_VALUE"""),"Self")</f>
        <v>Self</v>
      </c>
      <c r="H136" s="38" t="str">
        <f>IFERROR(__xludf.DUMMYFUNCTION("""COMPUTED_VALUE"""),"Dark")</f>
        <v>Dark</v>
      </c>
      <c r="I136" s="20" t="str">
        <f>IFERROR(__xludf.DUMMYFUNCTION("""COMPUTED_VALUE"""),"Mob")</f>
        <v>Mob</v>
      </c>
      <c r="J136" s="21" t="b">
        <f>IFERROR(__xludf.DUMMYFUNCTION("""COMPUTED_VALUE"""),TRUE)</f>
        <v>1</v>
      </c>
      <c r="K136" s="21"/>
      <c r="L136" s="21" t="b">
        <f>IFERROR(__xludf.DUMMYFUNCTION("""COMPUTED_VALUE"""),FALSE)</f>
        <v>0</v>
      </c>
      <c r="M136" s="21" t="b">
        <f>IFERROR(__xludf.DUMMYFUNCTION("""COMPUTED_VALUE"""),FALSE)</f>
        <v>0</v>
      </c>
      <c r="N136" s="1"/>
      <c r="O136" s="1"/>
      <c r="P136" s="1"/>
      <c r="Q136" s="1"/>
      <c r="R136" s="1"/>
      <c r="S136" s="1"/>
      <c r="T136" s="1"/>
      <c r="U136" s="1"/>
      <c r="V136" s="1"/>
      <c r="W136" s="1"/>
      <c r="X136" s="1"/>
      <c r="Y136" s="1"/>
      <c r="Z136" s="1"/>
    </row>
    <row r="137" ht="15.75" customHeight="1">
      <c r="A137" s="16" t="str">
        <f>IFERROR(__xludf.DUMMYFUNCTION("""COMPUTED_VALUE"""),"Undead Bite")</f>
        <v>Undead Bite</v>
      </c>
      <c r="B137" s="17">
        <f>IFERROR(__xludf.DUMMYFUNCTION("""COMPUTED_VALUE"""),1.0)</f>
        <v>1</v>
      </c>
      <c r="C137" s="16">
        <f>IFERROR(__xludf.DUMMYFUNCTION("""COMPUTED_VALUE"""),0.0)</f>
        <v>0</v>
      </c>
      <c r="D137" s="16"/>
      <c r="E137" s="16"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16" t="str">
        <f>IFERROR(__xludf.DUMMYFUNCTION("""COMPUTED_VALUE"""),"Natural/Hit or Miss")</f>
        <v>Natural/Hit or Miss</v>
      </c>
      <c r="G137" s="18">
        <f>IFERROR(__xludf.DUMMYFUNCTION("""COMPUTED_VALUE"""),1.0)</f>
        <v>1</v>
      </c>
      <c r="H137" s="38" t="str">
        <f>IFERROR(__xludf.DUMMYFUNCTION("""COMPUTED_VALUE"""),"Dark")</f>
        <v>Dark</v>
      </c>
      <c r="I137" s="20" t="str">
        <f>IFERROR(__xludf.DUMMYFUNCTION("""COMPUTED_VALUE"""),"Mob")</f>
        <v>Mob</v>
      </c>
      <c r="J137" s="21" t="b">
        <f>IFERROR(__xludf.DUMMYFUNCTION("""COMPUTED_VALUE"""),TRUE)</f>
        <v>1</v>
      </c>
      <c r="K137" s="21"/>
      <c r="L137" s="21" t="b">
        <f>IFERROR(__xludf.DUMMYFUNCTION("""COMPUTED_VALUE"""),FALSE)</f>
        <v>0</v>
      </c>
      <c r="M137" s="21" t="b">
        <f>IFERROR(__xludf.DUMMYFUNCTION("""COMPUTED_VALUE"""),FALSE)</f>
        <v>0</v>
      </c>
      <c r="N137" s="1"/>
      <c r="O137" s="1"/>
      <c r="P137" s="1"/>
      <c r="Q137" s="1"/>
      <c r="R137" s="1"/>
      <c r="S137" s="1"/>
      <c r="T137" s="1"/>
      <c r="U137" s="1"/>
      <c r="V137" s="1"/>
      <c r="W137" s="1"/>
      <c r="X137" s="1"/>
      <c r="Y137" s="1"/>
      <c r="Z137" s="1"/>
    </row>
    <row r="138" ht="15.75" customHeight="1">
      <c r="A138" s="16" t="str">
        <f>IFERROR(__xludf.DUMMYFUNCTION("""COMPUTED_VALUE"""),"Undead Energy")</f>
        <v>Undead Energy</v>
      </c>
      <c r="B138" s="17">
        <f>IFERROR(__xludf.DUMMYFUNCTION("""COMPUTED_VALUE"""),9.0)</f>
        <v>9</v>
      </c>
      <c r="C138" s="16">
        <f>IFERROR(__xludf.DUMMYFUNCTION("""COMPUTED_VALUE"""),5000.0)</f>
        <v>5000</v>
      </c>
      <c r="D138" s="16"/>
      <c r="E138" s="16" t="str">
        <f>IFERROR(__xludf.DUMMYFUNCTION("""COMPUTED_VALUE"""),"all stats are doubled for the rest of battle, excluding constitution.")</f>
        <v>all stats are doubled for the rest of battle, excluding constitution.</v>
      </c>
      <c r="F138" s="16" t="str">
        <f>IFERROR(__xludf.DUMMYFUNCTION("""COMPUTED_VALUE"""),"Fail/succeed")</f>
        <v>Fail/succeed</v>
      </c>
      <c r="G138" s="18" t="str">
        <f>IFERROR(__xludf.DUMMYFUNCTION("""COMPUTED_VALUE"""),"Self")</f>
        <v>Self</v>
      </c>
      <c r="H138" s="38" t="str">
        <f>IFERROR(__xludf.DUMMYFUNCTION("""COMPUTED_VALUE"""),"Dark")</f>
        <v>Dark</v>
      </c>
      <c r="I138" s="20" t="str">
        <f>IFERROR(__xludf.DUMMYFUNCTION("""COMPUTED_VALUE"""),"Mob")</f>
        <v>Mob</v>
      </c>
      <c r="J138" s="21" t="b">
        <f>IFERROR(__xludf.DUMMYFUNCTION("""COMPUTED_VALUE"""),TRUE)</f>
        <v>1</v>
      </c>
      <c r="K138" s="21" t="str">
        <f>IFERROR(__xludf.DUMMYFUNCTION("""COMPUTED_VALUE"""),"Cannot be obtained by players.")</f>
        <v>Cannot be obtained by players.</v>
      </c>
      <c r="L138" s="21" t="b">
        <f>IFERROR(__xludf.DUMMYFUNCTION("""COMPUTED_VALUE"""),FALSE)</f>
        <v>0</v>
      </c>
      <c r="M138" s="21" t="b">
        <f>IFERROR(__xludf.DUMMYFUNCTION("""COMPUTED_VALUE"""),FALSE)</f>
        <v>0</v>
      </c>
      <c r="N138" s="1"/>
      <c r="O138" s="1"/>
      <c r="P138" s="1"/>
      <c r="Q138" s="1"/>
      <c r="R138" s="1"/>
      <c r="S138" s="1"/>
      <c r="T138" s="1"/>
      <c r="U138" s="1"/>
      <c r="V138" s="1"/>
      <c r="W138" s="1"/>
      <c r="X138" s="1"/>
      <c r="Y138" s="1"/>
      <c r="Z138" s="1"/>
    </row>
    <row r="139" ht="15.75" customHeight="1">
      <c r="A139" s="16" t="str">
        <f>IFERROR(__xludf.DUMMYFUNCTION("""COMPUTED_VALUE"""),"Master Inugima's Shadow Arts I: Throat Slasher")</f>
        <v>Master Inugima's Shadow Arts I: Throat Slasher</v>
      </c>
      <c r="B139" s="17">
        <f>IFERROR(__xludf.DUMMYFUNCTION("""COMPUTED_VALUE"""),9.0)</f>
        <v>9</v>
      </c>
      <c r="C139" s="16">
        <f>IFERROR(__xludf.DUMMYFUNCTION("""COMPUTED_VALUE"""),500.0)</f>
        <v>500</v>
      </c>
      <c r="D139" s="16"/>
      <c r="E139" s="16"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16" t="str">
        <f>IFERROR(__xludf.DUMMYFUNCTION("""COMPUTED_VALUE"""),"Natural/Hit or Miss")</f>
        <v>Natural/Hit or Miss</v>
      </c>
      <c r="G139" s="18">
        <f>IFERROR(__xludf.DUMMYFUNCTION("""COMPUTED_VALUE"""),1.0)</f>
        <v>1</v>
      </c>
      <c r="H139" s="38" t="str">
        <f>IFERROR(__xludf.DUMMYFUNCTION("""COMPUTED_VALUE"""),"Dark")</f>
        <v>Dark</v>
      </c>
      <c r="I139" s="20" t="str">
        <f>IFERROR(__xludf.DUMMYFUNCTION("""COMPUTED_VALUE"""),"Mob")</f>
        <v>Mob</v>
      </c>
      <c r="J139" s="21" t="b">
        <f>IFERROR(__xludf.DUMMYFUNCTION("""COMPUTED_VALUE"""),TRUE)</f>
        <v>1</v>
      </c>
      <c r="K139" s="21" t="str">
        <f>IFERROR(__xludf.DUMMYFUNCTION("""COMPUTED_VALUE"""),"Quest")</f>
        <v>Quest</v>
      </c>
      <c r="L139" s="21" t="b">
        <f>IFERROR(__xludf.DUMMYFUNCTION("""COMPUTED_VALUE"""),FALSE)</f>
        <v>0</v>
      </c>
      <c r="M139" s="21" t="b">
        <f>IFERROR(__xludf.DUMMYFUNCTION("""COMPUTED_VALUE"""),FALSE)</f>
        <v>0</v>
      </c>
      <c r="N139" s="1" t="str">
        <f>IFERROR(__xludf.DUMMYFUNCTION("""COMPUTED_VALUE"""),"Dragonscale Island")</f>
        <v>Dragonscale Island</v>
      </c>
      <c r="O139" s="1"/>
      <c r="P139" s="1"/>
      <c r="Q139" s="1"/>
      <c r="R139" s="1"/>
      <c r="S139" s="1"/>
      <c r="T139" s="1"/>
      <c r="U139" s="1"/>
      <c r="V139" s="1"/>
      <c r="W139" s="1"/>
      <c r="X139" s="1"/>
      <c r="Y139" s="1"/>
      <c r="Z139" s="1"/>
    </row>
    <row r="140" ht="15.75" customHeight="1">
      <c r="A140" s="16" t="str">
        <f>IFERROR(__xludf.DUMMYFUNCTION("""COMPUTED_VALUE"""),"Master Inugima's Shadow Arts II: Shadow Step")</f>
        <v>Master Inugima's Shadow Arts II: Shadow Step</v>
      </c>
      <c r="B140" s="17">
        <f>IFERROR(__xludf.DUMMYFUNCTION("""COMPUTED_VALUE"""),5.0)</f>
        <v>5</v>
      </c>
      <c r="C140" s="16">
        <f>IFERROR(__xludf.DUMMYFUNCTION("""COMPUTED_VALUE"""),100.0)</f>
        <v>100</v>
      </c>
      <c r="D140" s="16"/>
      <c r="E140" s="16"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16" t="str">
        <f>IFERROR(__xludf.DUMMYFUNCTION("""COMPUTED_VALUE"""),"Natural/Fail or Succeed")</f>
        <v>Natural/Fail or Succeed</v>
      </c>
      <c r="G140" s="18" t="str">
        <f>IFERROR(__xludf.DUMMYFUNCTION("""COMPUTED_VALUE"""),"Self")</f>
        <v>Self</v>
      </c>
      <c r="H140" s="38" t="str">
        <f>IFERROR(__xludf.DUMMYFUNCTION("""COMPUTED_VALUE"""),"Dark")</f>
        <v>Dark</v>
      </c>
      <c r="I140" s="20" t="str">
        <f>IFERROR(__xludf.DUMMYFUNCTION("""COMPUTED_VALUE"""),"Mob")</f>
        <v>Mob</v>
      </c>
      <c r="J140" s="21" t="b">
        <f>IFERROR(__xludf.DUMMYFUNCTION("""COMPUTED_VALUE"""),TRUE)</f>
        <v>1</v>
      </c>
      <c r="K140" s="21" t="str">
        <f>IFERROR(__xludf.DUMMYFUNCTION("""COMPUTED_VALUE"""),"Quest")</f>
        <v>Quest</v>
      </c>
      <c r="L140" s="21" t="b">
        <f>IFERROR(__xludf.DUMMYFUNCTION("""COMPUTED_VALUE"""),FALSE)</f>
        <v>0</v>
      </c>
      <c r="M140" s="21" t="b">
        <f>IFERROR(__xludf.DUMMYFUNCTION("""COMPUTED_VALUE"""),FALSE)</f>
        <v>0</v>
      </c>
      <c r="N140" s="1" t="str">
        <f>IFERROR(__xludf.DUMMYFUNCTION("""COMPUTED_VALUE"""),"Dragonscale Island")</f>
        <v>Dragonscale Island</v>
      </c>
      <c r="O140" s="1"/>
      <c r="P140" s="1"/>
      <c r="Q140" s="1"/>
      <c r="R140" s="1"/>
      <c r="S140" s="1"/>
      <c r="T140" s="1"/>
      <c r="U140" s="1"/>
      <c r="V140" s="1"/>
      <c r="W140" s="1"/>
      <c r="X140" s="1"/>
      <c r="Y140" s="1"/>
      <c r="Z140" s="1"/>
    </row>
    <row r="141" ht="15.75" customHeight="1">
      <c r="A141" s="16" t="str">
        <f>IFERROR(__xludf.DUMMYFUNCTION("""COMPUTED_VALUE"""),"Master Inugima's Shadow Arts III: Tendon Slash")</f>
        <v>Master Inugima's Shadow Arts III: Tendon Slash</v>
      </c>
      <c r="B141" s="17">
        <f>IFERROR(__xludf.DUMMYFUNCTION("""COMPUTED_VALUE"""),9.0)</f>
        <v>9</v>
      </c>
      <c r="C141" s="16">
        <f>IFERROR(__xludf.DUMMYFUNCTION("""COMPUTED_VALUE"""),300.0)</f>
        <v>300</v>
      </c>
      <c r="D141" s="16"/>
      <c r="E141" s="16"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16" t="str">
        <f>IFERROR(__xludf.DUMMYFUNCTION("""COMPUTED_VALUE"""),"Natural/Hit or Miss")</f>
        <v>Natural/Hit or Miss</v>
      </c>
      <c r="G141" s="18">
        <f>IFERROR(__xludf.DUMMYFUNCTION("""COMPUTED_VALUE"""),1.0)</f>
        <v>1</v>
      </c>
      <c r="H141" s="38" t="str">
        <f>IFERROR(__xludf.DUMMYFUNCTION("""COMPUTED_VALUE"""),"Dark")</f>
        <v>Dark</v>
      </c>
      <c r="I141" s="20" t="str">
        <f>IFERROR(__xludf.DUMMYFUNCTION("""COMPUTED_VALUE"""),"Mob")</f>
        <v>Mob</v>
      </c>
      <c r="J141" s="21" t="b">
        <f>IFERROR(__xludf.DUMMYFUNCTION("""COMPUTED_VALUE"""),TRUE)</f>
        <v>1</v>
      </c>
      <c r="K141" s="21" t="str">
        <f>IFERROR(__xludf.DUMMYFUNCTION("""COMPUTED_VALUE"""),"Quest")</f>
        <v>Quest</v>
      </c>
      <c r="L141" s="21" t="b">
        <f>IFERROR(__xludf.DUMMYFUNCTION("""COMPUTED_VALUE"""),FALSE)</f>
        <v>0</v>
      </c>
      <c r="M141" s="21" t="b">
        <f>IFERROR(__xludf.DUMMYFUNCTION("""COMPUTED_VALUE"""),FALSE)</f>
        <v>0</v>
      </c>
      <c r="N141" s="1" t="str">
        <f>IFERROR(__xludf.DUMMYFUNCTION("""COMPUTED_VALUE"""),"Dragonscale Island")</f>
        <v>Dragonscale Island</v>
      </c>
      <c r="O141" s="1"/>
      <c r="P141" s="1"/>
      <c r="Q141" s="1"/>
      <c r="R141" s="1"/>
      <c r="S141" s="1"/>
      <c r="T141" s="1"/>
      <c r="U141" s="1"/>
      <c r="V141" s="1"/>
      <c r="W141" s="1"/>
      <c r="X141" s="1"/>
      <c r="Y141" s="1"/>
      <c r="Z141" s="1"/>
    </row>
    <row r="142" ht="15.75" customHeight="1">
      <c r="A142" s="16" t="str">
        <f>IFERROR(__xludf.DUMMYFUNCTION("""COMPUTED_VALUE"""),"Master Inugima's Shadow Arts IV: Chloroform")</f>
        <v>Master Inugima's Shadow Arts IV: Chloroform</v>
      </c>
      <c r="B142" s="17">
        <f>IFERROR(__xludf.DUMMYFUNCTION("""COMPUTED_VALUE"""),7.0)</f>
        <v>7</v>
      </c>
      <c r="C142" s="16">
        <f>IFERROR(__xludf.DUMMYFUNCTION("""COMPUTED_VALUE"""),200.0)</f>
        <v>200</v>
      </c>
      <c r="D142" s="16"/>
      <c r="E142" s="16" t="str">
        <f>IFERROR(__xludf.DUMMYFUNCTION("""COMPUTED_VALUE"""),"Appear behind an enemy and cover their mouth with a chemical soaked cloth inflicting them with sleep 5.")</f>
        <v>Appear behind an enemy and cover their mouth with a chemical soaked cloth inflicting them with sleep 5.</v>
      </c>
      <c r="F142" s="16" t="str">
        <f>IFERROR(__xludf.DUMMYFUNCTION("""COMPUTED_VALUE"""),"Natural/Fail or Succeed")</f>
        <v>Natural/Fail or Succeed</v>
      </c>
      <c r="G142" s="18">
        <f>IFERROR(__xludf.DUMMYFUNCTION("""COMPUTED_VALUE"""),1.0)</f>
        <v>1</v>
      </c>
      <c r="H142" s="39" t="str">
        <f>IFERROR(__xludf.DUMMYFUNCTION("""COMPUTED_VALUE"""),"Dark")</f>
        <v>Dark</v>
      </c>
      <c r="I142" s="20" t="str">
        <f>IFERROR(__xludf.DUMMYFUNCTION("""COMPUTED_VALUE"""),"Mob")</f>
        <v>Mob</v>
      </c>
      <c r="J142" s="21" t="b">
        <f>IFERROR(__xludf.DUMMYFUNCTION("""COMPUTED_VALUE"""),TRUE)</f>
        <v>1</v>
      </c>
      <c r="K142" s="21" t="str">
        <f>IFERROR(__xludf.DUMMYFUNCTION("""COMPUTED_VALUE"""),"Quest")</f>
        <v>Quest</v>
      </c>
      <c r="L142" s="21" t="b">
        <f>IFERROR(__xludf.DUMMYFUNCTION("""COMPUTED_VALUE"""),FALSE)</f>
        <v>0</v>
      </c>
      <c r="M142" s="21" t="b">
        <f>IFERROR(__xludf.DUMMYFUNCTION("""COMPUTED_VALUE"""),FALSE)</f>
        <v>0</v>
      </c>
      <c r="N142" s="1" t="str">
        <f>IFERROR(__xludf.DUMMYFUNCTION("""COMPUTED_VALUE"""),"Dragonscale Island")</f>
        <v>Dragonscale Island</v>
      </c>
      <c r="O142" s="1"/>
      <c r="P142" s="1"/>
      <c r="Q142" s="1"/>
      <c r="R142" s="1"/>
      <c r="S142" s="1"/>
      <c r="T142" s="1"/>
      <c r="U142" s="1"/>
      <c r="V142" s="1"/>
      <c r="W142" s="1"/>
      <c r="X142" s="1"/>
      <c r="Y142" s="1"/>
      <c r="Z142" s="1"/>
    </row>
    <row r="143" ht="15.75" customHeight="1">
      <c r="A143" s="16" t="str">
        <f>IFERROR(__xludf.DUMMYFUNCTION("""COMPUTED_VALUE"""),"Army of The Dead")</f>
        <v>Army of The Dead</v>
      </c>
      <c r="B143" s="17">
        <f>IFERROR(__xludf.DUMMYFUNCTION("""COMPUTED_VALUE"""),9.0)</f>
        <v>9</v>
      </c>
      <c r="C143" s="16" t="str">
        <f>IFERROR(__xludf.DUMMYFUNCTION("""COMPUTED_VALUE"""),"X*100")</f>
        <v>X*100</v>
      </c>
      <c r="D143" s="16"/>
      <c r="E14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16" t="str">
        <f>IFERROR(__xludf.DUMMYFUNCTION("""COMPUTED_VALUE"""),"Fail/Suceed")</f>
        <v>Fail/Suceed</v>
      </c>
      <c r="G143" s="18" t="str">
        <f>IFERROR(__xludf.DUMMYFUNCTION("""COMPUTED_VALUE"""),"d6")</f>
        <v>d6</v>
      </c>
      <c r="H143" s="39" t="str">
        <f>IFERROR(__xludf.DUMMYFUNCTION("""COMPUTED_VALUE"""),"Dark")</f>
        <v>Dark</v>
      </c>
      <c r="I143" s="20" t="str">
        <f>IFERROR(__xludf.DUMMYFUNCTION("""COMPUTED_VALUE"""),"Player")</f>
        <v>Player</v>
      </c>
      <c r="J143" s="21" t="b">
        <f>IFERROR(__xludf.DUMMYFUNCTION("""COMPUTED_VALUE"""),FALSE)</f>
        <v>0</v>
      </c>
      <c r="K143" s="21"/>
      <c r="L143" s="21" t="b">
        <f>IFERROR(__xludf.DUMMYFUNCTION("""COMPUTED_VALUE"""),FALSE)</f>
        <v>0</v>
      </c>
      <c r="M143" s="21" t="b">
        <f>IFERROR(__xludf.DUMMYFUNCTION("""COMPUTED_VALUE"""),FALSE)</f>
        <v>0</v>
      </c>
      <c r="N143" s="1"/>
      <c r="O143" s="1"/>
      <c r="P143" s="1"/>
      <c r="Q143" s="1"/>
      <c r="R143" s="1"/>
      <c r="S143" s="1"/>
      <c r="T143" s="1"/>
      <c r="U143" s="1"/>
      <c r="V143" s="1"/>
      <c r="W143" s="1"/>
      <c r="X143" s="1"/>
      <c r="Y143" s="1"/>
      <c r="Z143" s="1"/>
    </row>
    <row r="144" ht="15.75" customHeight="1">
      <c r="A144" s="16" t="str">
        <f>IFERROR(__xludf.DUMMYFUNCTION("""COMPUTED_VALUE"""),"Dark Bolt")</f>
        <v>Dark Bolt</v>
      </c>
      <c r="B144" s="17">
        <f>IFERROR(__xludf.DUMMYFUNCTION("""COMPUTED_VALUE"""),1.0)</f>
        <v>1</v>
      </c>
      <c r="C144" s="16" t="str">
        <f>IFERROR(__xludf.DUMMYFUNCTION("""COMPUTED_VALUE"""),"X")</f>
        <v>X</v>
      </c>
      <c r="D144" s="16"/>
      <c r="E144" s="16" t="str">
        <f>IFERROR(__xludf.DUMMYFUNCTION("""COMPUTED_VALUE"""),"Deals X*100 Dark damage to a single enemy where X is equal to SP spent.")</f>
        <v>Deals X*100 Dark damage to a single enemy where X is equal to SP spent.</v>
      </c>
      <c r="F144" s="16" t="str">
        <f>IFERROR(__xludf.DUMMYFUNCTION("""COMPUTED_VALUE"""),"Hit/Miss")</f>
        <v>Hit/Miss</v>
      </c>
      <c r="G144" s="18">
        <f>IFERROR(__xludf.DUMMYFUNCTION("""COMPUTED_VALUE"""),1.0)</f>
        <v>1</v>
      </c>
      <c r="H144" s="39" t="str">
        <f>IFERROR(__xludf.DUMMYFUNCTION("""COMPUTED_VALUE"""),"Dark")</f>
        <v>Dark</v>
      </c>
      <c r="I144" s="20" t="str">
        <f>IFERROR(__xludf.DUMMYFUNCTION("""COMPUTED_VALUE"""),"Player")</f>
        <v>Player</v>
      </c>
      <c r="J144" s="21" t="b">
        <f>IFERROR(__xludf.DUMMYFUNCTION("""COMPUTED_VALUE"""),FALSE)</f>
        <v>0</v>
      </c>
      <c r="K144" s="21"/>
      <c r="L144" s="21" t="b">
        <f>IFERROR(__xludf.DUMMYFUNCTION("""COMPUTED_VALUE"""),FALSE)</f>
        <v>0</v>
      </c>
      <c r="M144" s="21" t="b">
        <f>IFERROR(__xludf.DUMMYFUNCTION("""COMPUTED_VALUE"""),FALSE)</f>
        <v>0</v>
      </c>
      <c r="N144" s="1"/>
      <c r="O144" s="1"/>
      <c r="P144" s="1"/>
      <c r="Q144" s="1"/>
      <c r="R144" s="1"/>
      <c r="S144" s="1"/>
      <c r="T144" s="1"/>
      <c r="U144" s="1"/>
      <c r="V144" s="1"/>
      <c r="W144" s="1"/>
      <c r="X144" s="1"/>
      <c r="Y144" s="1"/>
      <c r="Z144" s="1"/>
    </row>
    <row r="145" ht="15.75" customHeight="1">
      <c r="A145" s="16" t="str">
        <f>IFERROR(__xludf.DUMMYFUNCTION("""COMPUTED_VALUE"""),"Curse of Wasting")</f>
        <v>Curse of Wasting</v>
      </c>
      <c r="B145" s="17">
        <f>IFERROR(__xludf.DUMMYFUNCTION("""COMPUTED_VALUE"""),5.0)</f>
        <v>5</v>
      </c>
      <c r="C145" s="16" t="str">
        <f>IFERROR(__xludf.DUMMYFUNCTION("""COMPUTED_VALUE"""),"X")</f>
        <v>X</v>
      </c>
      <c r="D145" s="16"/>
      <c r="E145" s="16" t="str">
        <f>IFERROR(__xludf.DUMMYFUNCTION("""COMPUTED_VALUE"""),"Deals X*50 Dark damage per round for 3 rounds to a single target where X is equal to SP spent.")</f>
        <v>Deals X*50 Dark damage per round for 3 rounds to a single target where X is equal to SP spent.</v>
      </c>
      <c r="F145" s="16" t="str">
        <f>IFERROR(__xludf.DUMMYFUNCTION("""COMPUTED_VALUE"""),"Hit/Miss")</f>
        <v>Hit/Miss</v>
      </c>
      <c r="G145" s="18">
        <f>IFERROR(__xludf.DUMMYFUNCTION("""COMPUTED_VALUE"""),1.0)</f>
        <v>1</v>
      </c>
      <c r="H145" s="39" t="str">
        <f>IFERROR(__xludf.DUMMYFUNCTION("""COMPUTED_VALUE"""),"Dark")</f>
        <v>Dark</v>
      </c>
      <c r="I145" s="20" t="str">
        <f>IFERROR(__xludf.DUMMYFUNCTION("""COMPUTED_VALUE"""),"Player")</f>
        <v>Player</v>
      </c>
      <c r="J145" s="21" t="b">
        <f>IFERROR(__xludf.DUMMYFUNCTION("""COMPUTED_VALUE"""),FALSE)</f>
        <v>0</v>
      </c>
      <c r="K145" s="21"/>
      <c r="L145" s="21" t="b">
        <f>IFERROR(__xludf.DUMMYFUNCTION("""COMPUTED_VALUE"""),FALSE)</f>
        <v>0</v>
      </c>
      <c r="M145" s="21" t="b">
        <f>IFERROR(__xludf.DUMMYFUNCTION("""COMPUTED_VALUE"""),FALSE)</f>
        <v>0</v>
      </c>
      <c r="N145" s="1"/>
      <c r="O145" s="1"/>
      <c r="P145" s="1"/>
      <c r="Q145" s="1"/>
      <c r="R145" s="1"/>
      <c r="S145" s="1"/>
      <c r="T145" s="1"/>
      <c r="U145" s="1"/>
      <c r="V145" s="1"/>
      <c r="W145" s="1"/>
      <c r="X145" s="1"/>
      <c r="Y145" s="1"/>
      <c r="Z145" s="1"/>
    </row>
    <row r="146" ht="15.75" customHeight="1">
      <c r="A146" s="16" t="str">
        <f>IFERROR(__xludf.DUMMYFUNCTION("""COMPUTED_VALUE"""),"Creeping Darkness")</f>
        <v>Creeping Darkness</v>
      </c>
      <c r="B146" s="17">
        <f>IFERROR(__xludf.DUMMYFUNCTION("""COMPUTED_VALUE"""),5.0)</f>
        <v>5</v>
      </c>
      <c r="C146" s="16" t="str">
        <f>IFERROR(__xludf.DUMMYFUNCTION("""COMPUTED_VALUE"""),"X")</f>
        <v>X</v>
      </c>
      <c r="D146" s="16"/>
      <c r="E146" s="16" t="str">
        <f>IFERROR(__xludf.DUMMYFUNCTION("""COMPUTED_VALUE"""),"Deals X*25 Dark damage to all enemies where X is equal to SP spent.")</f>
        <v>Deals X*25 Dark damage to all enemies where X is equal to SP spent.</v>
      </c>
      <c r="F146" s="16" t="str">
        <f>IFERROR(__xludf.DUMMYFUNCTION("""COMPUTED_VALUE"""),"Cannot Avoid")</f>
        <v>Cannot Avoid</v>
      </c>
      <c r="G146" s="18" t="str">
        <f>IFERROR(__xludf.DUMMYFUNCTION("""COMPUTED_VALUE"""),"All")</f>
        <v>All</v>
      </c>
      <c r="H146" s="39" t="str">
        <f>IFERROR(__xludf.DUMMYFUNCTION("""COMPUTED_VALUE"""),"Dark")</f>
        <v>Dark</v>
      </c>
      <c r="I146" s="20" t="str">
        <f>IFERROR(__xludf.DUMMYFUNCTION("""COMPUTED_VALUE"""),"Player")</f>
        <v>Player</v>
      </c>
      <c r="J146" s="21" t="b">
        <f>IFERROR(__xludf.DUMMYFUNCTION("""COMPUTED_VALUE"""),FALSE)</f>
        <v>0</v>
      </c>
      <c r="K146" s="21"/>
      <c r="L146" s="21" t="b">
        <f>IFERROR(__xludf.DUMMYFUNCTION("""COMPUTED_VALUE"""),FALSE)</f>
        <v>0</v>
      </c>
      <c r="M146" s="21" t="b">
        <f>IFERROR(__xludf.DUMMYFUNCTION("""COMPUTED_VALUE"""),FALSE)</f>
        <v>0</v>
      </c>
      <c r="N146" s="1"/>
      <c r="O146" s="1"/>
      <c r="P146" s="1"/>
      <c r="Q146" s="1"/>
      <c r="R146" s="1"/>
      <c r="S146" s="1"/>
      <c r="T146" s="1"/>
      <c r="U146" s="1"/>
      <c r="V146" s="1"/>
      <c r="W146" s="1"/>
      <c r="X146" s="1"/>
      <c r="Y146" s="1"/>
      <c r="Z146" s="1"/>
    </row>
    <row r="147" ht="15.75" customHeight="1">
      <c r="A147" s="16" t="str">
        <f>IFERROR(__xludf.DUMMYFUNCTION("""COMPUTED_VALUE"""),"Mass Curse of Wasting")</f>
        <v>Mass Curse of Wasting</v>
      </c>
      <c r="B147" s="17">
        <f>IFERROR(__xludf.DUMMYFUNCTION("""COMPUTED_VALUE"""),6.0)</f>
        <v>6</v>
      </c>
      <c r="C147" s="16" t="str">
        <f>IFERROR(__xludf.DUMMYFUNCTION("""COMPUTED_VALUE"""),"X")</f>
        <v>X</v>
      </c>
      <c r="D147" s="16"/>
      <c r="E147" s="16" t="str">
        <f>IFERROR(__xludf.DUMMYFUNCTION("""COMPUTED_VALUE"""),"Deals X*10 Dark damage per round to all enemies for 3 rounds where X is equal to SP spent.")</f>
        <v>Deals X*10 Dark damage per round to all enemies for 3 rounds where X is equal to SP spent.</v>
      </c>
      <c r="F147" s="16" t="str">
        <f>IFERROR(__xludf.DUMMYFUNCTION("""COMPUTED_VALUE"""),"Cannot Avoid")</f>
        <v>Cannot Avoid</v>
      </c>
      <c r="G147" s="18" t="str">
        <f>IFERROR(__xludf.DUMMYFUNCTION("""COMPUTED_VALUE"""),"All")</f>
        <v>All</v>
      </c>
      <c r="H147" s="39" t="str">
        <f>IFERROR(__xludf.DUMMYFUNCTION("""COMPUTED_VALUE"""),"Dark")</f>
        <v>Dark</v>
      </c>
      <c r="I147" s="20" t="str">
        <f>IFERROR(__xludf.DUMMYFUNCTION("""COMPUTED_VALUE"""),"Player")</f>
        <v>Player</v>
      </c>
      <c r="J147" s="21" t="b">
        <f>IFERROR(__xludf.DUMMYFUNCTION("""COMPUTED_VALUE"""),FALSE)</f>
        <v>0</v>
      </c>
      <c r="K147" s="21"/>
      <c r="L147" s="21" t="b">
        <f>IFERROR(__xludf.DUMMYFUNCTION("""COMPUTED_VALUE"""),FALSE)</f>
        <v>0</v>
      </c>
      <c r="M147" s="21" t="b">
        <f>IFERROR(__xludf.DUMMYFUNCTION("""COMPUTED_VALUE"""),FALSE)</f>
        <v>0</v>
      </c>
      <c r="N147" s="1"/>
      <c r="O147" s="1"/>
      <c r="P147" s="1"/>
      <c r="Q147" s="1"/>
      <c r="R147" s="1"/>
      <c r="S147" s="1"/>
      <c r="T147" s="1"/>
      <c r="U147" s="1"/>
      <c r="V147" s="1"/>
      <c r="W147" s="1"/>
      <c r="X147" s="1"/>
      <c r="Y147" s="1"/>
      <c r="Z147" s="1"/>
    </row>
    <row r="148" ht="15.75" customHeight="1">
      <c r="A148" s="16" t="str">
        <f>IFERROR(__xludf.DUMMYFUNCTION("""COMPUTED_VALUE"""),"Chaincast")</f>
        <v>Chaincast</v>
      </c>
      <c r="B148" s="17">
        <f>IFERROR(__xludf.DUMMYFUNCTION("""COMPUTED_VALUE"""),9.0)</f>
        <v>9</v>
      </c>
      <c r="C148" s="16">
        <f>IFERROR(__xludf.DUMMYFUNCTION("""COMPUTED_VALUE"""),700.0)</f>
        <v>700</v>
      </c>
      <c r="D148" s="16"/>
      <c r="E148"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16" t="str">
        <f>IFERROR(__xludf.DUMMYFUNCTION("""COMPUTED_VALUE"""),"Will Succeed")</f>
        <v>Will Succeed</v>
      </c>
      <c r="G148" s="18"/>
      <c r="H148" s="39" t="str">
        <f>IFERROR(__xludf.DUMMYFUNCTION("""COMPUTED_VALUE"""),"Delta")</f>
        <v>Delta</v>
      </c>
      <c r="I148" s="20" t="str">
        <f>IFERROR(__xludf.DUMMYFUNCTION("""COMPUTED_VALUE"""),"Player")</f>
        <v>Player</v>
      </c>
      <c r="J148" s="21" t="b">
        <f>IFERROR(__xludf.DUMMYFUNCTION("""COMPUTED_VALUE"""),FALSE)</f>
        <v>0</v>
      </c>
      <c r="K148" s="21"/>
      <c r="L148" s="21" t="b">
        <f>IFERROR(__xludf.DUMMYFUNCTION("""COMPUTED_VALUE"""),FALSE)</f>
        <v>0</v>
      </c>
      <c r="M148" s="21" t="b">
        <f>IFERROR(__xludf.DUMMYFUNCTION("""COMPUTED_VALUE"""),FALSE)</f>
        <v>0</v>
      </c>
      <c r="N148" s="1"/>
      <c r="O148" s="1"/>
      <c r="P148" s="1"/>
      <c r="Q148" s="1"/>
      <c r="R148" s="1"/>
      <c r="S148" s="1"/>
      <c r="T148" s="1"/>
      <c r="U148" s="1"/>
      <c r="V148" s="1"/>
      <c r="W148" s="1"/>
      <c r="X148" s="1"/>
      <c r="Y148" s="1"/>
      <c r="Z148" s="1"/>
    </row>
    <row r="149" ht="15.75" customHeight="1">
      <c r="A149" s="16" t="str">
        <f>IFERROR(__xludf.DUMMYFUNCTION("""COMPUTED_VALUE"""),"Delta Ball")</f>
        <v>Delta Ball</v>
      </c>
      <c r="B149" s="17">
        <f>IFERROR(__xludf.DUMMYFUNCTION("""COMPUTED_VALUE"""),4.0)</f>
        <v>4</v>
      </c>
      <c r="C149" s="16">
        <f>IFERROR(__xludf.DUMMYFUNCTION("""COMPUTED_VALUE"""),40.0)</f>
        <v>40</v>
      </c>
      <c r="D149" s="16"/>
      <c r="E149" s="16" t="str">
        <f>IFERROR(__xludf.DUMMYFUNCTION("""COMPUTED_VALUE"""),"Drains 4000 SP from the target.")</f>
        <v>Drains 4000 SP from the target.</v>
      </c>
      <c r="F149" s="16" t="str">
        <f>IFERROR(__xludf.DUMMYFUNCTION("""COMPUTED_VALUE"""),"Hit/Miss")</f>
        <v>Hit/Miss</v>
      </c>
      <c r="G149" s="18">
        <f>IFERROR(__xludf.DUMMYFUNCTION("""COMPUTED_VALUE"""),1.0)</f>
        <v>1</v>
      </c>
      <c r="H149" s="39" t="str">
        <f>IFERROR(__xludf.DUMMYFUNCTION("""COMPUTED_VALUE"""),"Delta")</f>
        <v>Delta</v>
      </c>
      <c r="I149" s="20" t="str">
        <f>IFERROR(__xludf.DUMMYFUNCTION("""COMPUTED_VALUE"""),"Player")</f>
        <v>Player</v>
      </c>
      <c r="J149" s="21" t="b">
        <f>IFERROR(__xludf.DUMMYFUNCTION("""COMPUTED_VALUE"""),FALSE)</f>
        <v>0</v>
      </c>
      <c r="K149" s="21"/>
      <c r="L149" s="21" t="b">
        <f>IFERROR(__xludf.DUMMYFUNCTION("""COMPUTED_VALUE"""),FALSE)</f>
        <v>0</v>
      </c>
      <c r="M149" s="21" t="b">
        <f>IFERROR(__xludf.DUMMYFUNCTION("""COMPUTED_VALUE"""),FALSE)</f>
        <v>0</v>
      </c>
      <c r="N149" s="1"/>
      <c r="O149" s="1"/>
      <c r="P149" s="1"/>
      <c r="Q149" s="1"/>
      <c r="R149" s="1"/>
      <c r="S149" s="1"/>
      <c r="T149" s="1"/>
      <c r="U149" s="1"/>
      <c r="V149" s="1"/>
      <c r="W149" s="1"/>
      <c r="X149" s="1"/>
      <c r="Y149" s="1"/>
      <c r="Z149" s="1"/>
    </row>
    <row r="150" ht="15.75" customHeight="1">
      <c r="A150" s="16" t="str">
        <f>IFERROR(__xludf.DUMMYFUNCTION("""COMPUTED_VALUE"""),"Delta Beam")</f>
        <v>Delta Beam</v>
      </c>
      <c r="B150" s="17">
        <f>IFERROR(__xludf.DUMMYFUNCTION("""COMPUTED_VALUE"""),6.0)</f>
        <v>6</v>
      </c>
      <c r="C150" s="16">
        <f>IFERROR(__xludf.DUMMYFUNCTION("""COMPUTED_VALUE"""),120.0)</f>
        <v>120</v>
      </c>
      <c r="D150" s="16"/>
      <c r="E150" s="16" t="str">
        <f>IFERROR(__xludf.DUMMYFUNCTION("""COMPUTED_VALUE"""),"Deals 6000 delta damage and drains 6000 sp from the target.")</f>
        <v>Deals 6000 delta damage and drains 6000 sp from the target.</v>
      </c>
      <c r="F150" s="16" t="str">
        <f>IFERROR(__xludf.DUMMYFUNCTION("""COMPUTED_VALUE"""),"Hit/Miss")</f>
        <v>Hit/Miss</v>
      </c>
      <c r="G150" s="18">
        <f>IFERROR(__xludf.DUMMYFUNCTION("""COMPUTED_VALUE"""),1.0)</f>
        <v>1</v>
      </c>
      <c r="H150" s="39" t="str">
        <f>IFERROR(__xludf.DUMMYFUNCTION("""COMPUTED_VALUE"""),"Delta")</f>
        <v>Delta</v>
      </c>
      <c r="I150" s="20" t="str">
        <f>IFERROR(__xludf.DUMMYFUNCTION("""COMPUTED_VALUE"""),"Player")</f>
        <v>Player</v>
      </c>
      <c r="J150" s="21" t="b">
        <f>IFERROR(__xludf.DUMMYFUNCTION("""COMPUTED_VALUE"""),FALSE)</f>
        <v>0</v>
      </c>
      <c r="K150" s="21"/>
      <c r="L150" s="21" t="b">
        <f>IFERROR(__xludf.DUMMYFUNCTION("""COMPUTED_VALUE"""),FALSE)</f>
        <v>0</v>
      </c>
      <c r="M150" s="21" t="b">
        <f>IFERROR(__xludf.DUMMYFUNCTION("""COMPUTED_VALUE"""),FALSE)</f>
        <v>0</v>
      </c>
      <c r="N150" s="1"/>
      <c r="O150" s="1"/>
      <c r="P150" s="1"/>
      <c r="Q150" s="1"/>
      <c r="R150" s="1"/>
      <c r="S150" s="1"/>
      <c r="T150" s="1"/>
      <c r="U150" s="1"/>
      <c r="V150" s="1"/>
      <c r="W150" s="1"/>
      <c r="X150" s="1"/>
      <c r="Y150" s="1"/>
      <c r="Z150" s="1"/>
    </row>
    <row r="151" ht="15.75" customHeight="1">
      <c r="A151" s="16" t="str">
        <f>IFERROR(__xludf.DUMMYFUNCTION("""COMPUTED_VALUE"""),"Delta Blast")</f>
        <v>Delta Blast</v>
      </c>
      <c r="B151" s="17">
        <f>IFERROR(__xludf.DUMMYFUNCTION("""COMPUTED_VALUE"""),6.0)</f>
        <v>6</v>
      </c>
      <c r="C151" s="16">
        <f>IFERROR(__xludf.DUMMYFUNCTION("""COMPUTED_VALUE"""),240.0)</f>
        <v>240</v>
      </c>
      <c r="D151" s="16"/>
      <c r="E151" s="16" t="str">
        <f>IFERROR(__xludf.DUMMYFUNCTION("""COMPUTED_VALUE"""),"6000 undefendable Delta damage to all enemies, when in a dungeon knocks back enemies 3 spaces.")</f>
        <v>6000 undefendable Delta damage to all enemies, when in a dungeon knocks back enemies 3 spaces.</v>
      </c>
      <c r="F151" s="16" t="str">
        <f>IFERROR(__xludf.DUMMYFUNCTION("""COMPUTED_VALUE"""),"Cannot Avoid")</f>
        <v>Cannot Avoid</v>
      </c>
      <c r="G151" s="18"/>
      <c r="H151" s="39" t="str">
        <f>IFERROR(__xludf.DUMMYFUNCTION("""COMPUTED_VALUE"""),"Delta")</f>
        <v>Delta</v>
      </c>
      <c r="I151" s="20" t="str">
        <f>IFERROR(__xludf.DUMMYFUNCTION("""COMPUTED_VALUE"""),"Player")</f>
        <v>Player</v>
      </c>
      <c r="J151" s="21" t="b">
        <f>IFERROR(__xludf.DUMMYFUNCTION("""COMPUTED_VALUE"""),FALSE)</f>
        <v>0</v>
      </c>
      <c r="K151" s="21"/>
      <c r="L151" s="21" t="b">
        <f>IFERROR(__xludf.DUMMYFUNCTION("""COMPUTED_VALUE"""),FALSE)</f>
        <v>0</v>
      </c>
      <c r="M151" s="21" t="b">
        <f>IFERROR(__xludf.DUMMYFUNCTION("""COMPUTED_VALUE"""),FALSE)</f>
        <v>0</v>
      </c>
      <c r="N151" s="1"/>
      <c r="O151" s="1"/>
      <c r="P151" s="1"/>
      <c r="Q151" s="1"/>
      <c r="R151" s="1"/>
      <c r="S151" s="1"/>
      <c r="T151" s="1"/>
      <c r="U151" s="1"/>
      <c r="V151" s="1"/>
      <c r="W151" s="1"/>
      <c r="X151" s="1"/>
      <c r="Y151" s="1"/>
      <c r="Z151" s="1"/>
    </row>
    <row r="152" ht="15.75" customHeight="1">
      <c r="A152" s="16" t="str">
        <f>IFERROR(__xludf.DUMMYFUNCTION("""COMPUTED_VALUE"""),"Delta Obelisk")</f>
        <v>Delta Obelisk</v>
      </c>
      <c r="B152" s="17">
        <f>IFERROR(__xludf.DUMMYFUNCTION("""COMPUTED_VALUE"""),8.0)</f>
        <v>8</v>
      </c>
      <c r="C152" s="16">
        <f>IFERROR(__xludf.DUMMYFUNCTION("""COMPUTED_VALUE"""),600.0)</f>
        <v>600</v>
      </c>
      <c r="D152" s="16"/>
      <c r="E152"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16" t="str">
        <f>IFERROR(__xludf.DUMMYFUNCTION("""COMPUTED_VALUE"""),"Will Succeed")</f>
        <v>Will Succeed</v>
      </c>
      <c r="G152" s="18"/>
      <c r="H152" s="39" t="str">
        <f>IFERROR(__xludf.DUMMYFUNCTION("""COMPUTED_VALUE"""),"Delta")</f>
        <v>Delta</v>
      </c>
      <c r="I152" s="20" t="str">
        <f>IFERROR(__xludf.DUMMYFUNCTION("""COMPUTED_VALUE"""),"Player")</f>
        <v>Player</v>
      </c>
      <c r="J152" s="21" t="b">
        <f>IFERROR(__xludf.DUMMYFUNCTION("""COMPUTED_VALUE"""),FALSE)</f>
        <v>0</v>
      </c>
      <c r="K152" s="21"/>
      <c r="L152" s="21" t="b">
        <f>IFERROR(__xludf.DUMMYFUNCTION("""COMPUTED_VALUE"""),FALSE)</f>
        <v>0</v>
      </c>
      <c r="M152" s="21" t="b">
        <f>IFERROR(__xludf.DUMMYFUNCTION("""COMPUTED_VALUE"""),FALSE)</f>
        <v>0</v>
      </c>
      <c r="N152" s="1"/>
      <c r="O152" s="1"/>
      <c r="P152" s="1"/>
      <c r="Q152" s="1"/>
      <c r="R152" s="1"/>
      <c r="S152" s="1"/>
      <c r="T152" s="1"/>
      <c r="U152" s="1"/>
      <c r="V152" s="1"/>
      <c r="W152" s="1"/>
      <c r="X152" s="1"/>
      <c r="Y152" s="1"/>
      <c r="Z152" s="1"/>
    </row>
    <row r="153" ht="15.75" customHeight="1">
      <c r="A153" s="16" t="str">
        <f>IFERROR(__xludf.DUMMYFUNCTION("""COMPUTED_VALUE"""),"Delta Rock")</f>
        <v>Delta Rock</v>
      </c>
      <c r="B153" s="17">
        <f>IFERROR(__xludf.DUMMYFUNCTION("""COMPUTED_VALUE"""),7.0)</f>
        <v>7</v>
      </c>
      <c r="C153" s="16">
        <f>IFERROR(__xludf.DUMMYFUNCTION("""COMPUTED_VALUE"""),500.0)</f>
        <v>500</v>
      </c>
      <c r="D153" s="16"/>
      <c r="E153" s="16" t="str">
        <f>IFERROR(__xludf.DUMMYFUNCTION("""COMPUTED_VALUE"""),"Unleashes a wave of sound. No spell can be casted for the rest of the round.")</f>
        <v>Unleashes a wave of sound. No spell can be casted for the rest of the round.</v>
      </c>
      <c r="F153" s="16" t="str">
        <f>IFERROR(__xludf.DUMMYFUNCTION("""COMPUTED_VALUE"""),"Fail/Succeed")</f>
        <v>Fail/Succeed</v>
      </c>
      <c r="G153" s="18"/>
      <c r="H153" s="39" t="str">
        <f>IFERROR(__xludf.DUMMYFUNCTION("""COMPUTED_VALUE"""),"Delta")</f>
        <v>Delta</v>
      </c>
      <c r="I153" s="20" t="str">
        <f>IFERROR(__xludf.DUMMYFUNCTION("""COMPUTED_VALUE"""),"Player")</f>
        <v>Player</v>
      </c>
      <c r="J153" s="21" t="b">
        <f>IFERROR(__xludf.DUMMYFUNCTION("""COMPUTED_VALUE"""),FALSE)</f>
        <v>0</v>
      </c>
      <c r="K153" s="21"/>
      <c r="L153" s="21" t="b">
        <f>IFERROR(__xludf.DUMMYFUNCTION("""COMPUTED_VALUE"""),FALSE)</f>
        <v>0</v>
      </c>
      <c r="M153" s="21" t="b">
        <f>IFERROR(__xludf.DUMMYFUNCTION("""COMPUTED_VALUE"""),FALSE)</f>
        <v>0</v>
      </c>
      <c r="N153" s="1"/>
      <c r="O153" s="1"/>
      <c r="P153" s="1"/>
      <c r="Q153" s="1"/>
      <c r="R153" s="1"/>
      <c r="S153" s="1"/>
      <c r="T153" s="1"/>
      <c r="U153" s="1"/>
      <c r="V153" s="1"/>
      <c r="W153" s="1"/>
      <c r="X153" s="1"/>
      <c r="Y153" s="1"/>
      <c r="Z153" s="1"/>
    </row>
    <row r="154" ht="15.75" customHeight="1">
      <c r="A154" s="16" t="str">
        <f>IFERROR(__xludf.DUMMYFUNCTION("""COMPUTED_VALUE"""),"Delta Rock &amp; Roll")</f>
        <v>Delta Rock &amp; Roll</v>
      </c>
      <c r="B154" s="17">
        <f>IFERROR(__xludf.DUMMYFUNCTION("""COMPUTED_VALUE"""),8.0)</f>
        <v>8</v>
      </c>
      <c r="C154" s="16" t="str">
        <f>IFERROR(__xludf.DUMMYFUNCTION("""COMPUTED_VALUE"""),"X*600")</f>
        <v>X*600</v>
      </c>
      <c r="D154" s="16"/>
      <c r="E154" s="16" t="str">
        <f>IFERROR(__xludf.DUMMYFUNCTION("""COMPUTED_VALUE"""),"Target enemies are incapable of performing an action for 3 rounds. X=number of enemies.")</f>
        <v>Target enemies are incapable of performing an action for 3 rounds. X=number of enemies.</v>
      </c>
      <c r="F154" s="16" t="str">
        <f>IFERROR(__xludf.DUMMYFUNCTION("""COMPUTED_VALUE"""),"Fail/Succeed")</f>
        <v>Fail/Succeed</v>
      </c>
      <c r="G154" s="18"/>
      <c r="H154" s="39" t="str">
        <f>IFERROR(__xludf.DUMMYFUNCTION("""COMPUTED_VALUE"""),"Delta")</f>
        <v>Delta</v>
      </c>
      <c r="I154" s="20" t="str">
        <f>IFERROR(__xludf.DUMMYFUNCTION("""COMPUTED_VALUE"""),"Player")</f>
        <v>Player</v>
      </c>
      <c r="J154" s="21" t="b">
        <f>IFERROR(__xludf.DUMMYFUNCTION("""COMPUTED_VALUE"""),FALSE)</f>
        <v>0</v>
      </c>
      <c r="K154" s="21"/>
      <c r="L154" s="21" t="b">
        <f>IFERROR(__xludf.DUMMYFUNCTION("""COMPUTED_VALUE"""),FALSE)</f>
        <v>0</v>
      </c>
      <c r="M154" s="21" t="b">
        <f>IFERROR(__xludf.DUMMYFUNCTION("""COMPUTED_VALUE"""),FALSE)</f>
        <v>0</v>
      </c>
      <c r="N154" s="1"/>
      <c r="O154" s="1"/>
      <c r="P154" s="1"/>
      <c r="Q154" s="1"/>
      <c r="R154" s="1"/>
      <c r="S154" s="1"/>
      <c r="T154" s="1"/>
      <c r="U154" s="1"/>
      <c r="V154" s="1"/>
      <c r="W154" s="1"/>
      <c r="X154" s="1"/>
      <c r="Y154" s="1"/>
      <c r="Z154" s="1"/>
    </row>
    <row r="155" ht="15.75" customHeight="1">
      <c r="A155" s="16" t="str">
        <f>IFERROR(__xludf.DUMMYFUNCTION("""COMPUTED_VALUE"""),"Delta Roll")</f>
        <v>Delta Roll</v>
      </c>
      <c r="B155" s="17">
        <f>IFERROR(__xludf.DUMMYFUNCTION("""COMPUTED_VALUE"""),7.0)</f>
        <v>7</v>
      </c>
      <c r="C155" s="16">
        <f>IFERROR(__xludf.DUMMYFUNCTION("""COMPUTED_VALUE"""),500.0)</f>
        <v>500</v>
      </c>
      <c r="D155" s="16"/>
      <c r="E155" s="16" t="str">
        <f>IFERROR(__xludf.DUMMYFUNCTION("""COMPUTED_VALUE"""),"Makes everyone incapable of attacking for the rest of the round.")</f>
        <v>Makes everyone incapable of attacking for the rest of the round.</v>
      </c>
      <c r="F155" s="16" t="str">
        <f>IFERROR(__xludf.DUMMYFUNCTION("""COMPUTED_VALUE"""),"FailSucceed")</f>
        <v>FailSucceed</v>
      </c>
      <c r="G155" s="18"/>
      <c r="H155" s="39" t="str">
        <f>IFERROR(__xludf.DUMMYFUNCTION("""COMPUTED_VALUE"""),"Delta")</f>
        <v>Delta</v>
      </c>
      <c r="I155" s="20" t="str">
        <f>IFERROR(__xludf.DUMMYFUNCTION("""COMPUTED_VALUE"""),"Player")</f>
        <v>Player</v>
      </c>
      <c r="J155" s="21" t="b">
        <f>IFERROR(__xludf.DUMMYFUNCTION("""COMPUTED_VALUE"""),FALSE)</f>
        <v>0</v>
      </c>
      <c r="K155" s="21"/>
      <c r="L155" s="21" t="b">
        <f>IFERROR(__xludf.DUMMYFUNCTION("""COMPUTED_VALUE"""),FALSE)</f>
        <v>0</v>
      </c>
      <c r="M155" s="21" t="b">
        <f>IFERROR(__xludf.DUMMYFUNCTION("""COMPUTED_VALUE"""),FALSE)</f>
        <v>0</v>
      </c>
      <c r="N155" s="1"/>
      <c r="O155" s="1"/>
      <c r="P155" s="1"/>
      <c r="Q155" s="1"/>
      <c r="R155" s="1"/>
      <c r="S155" s="1"/>
      <c r="T155" s="1"/>
      <c r="U155" s="1"/>
      <c r="V155" s="1"/>
      <c r="W155" s="1"/>
      <c r="X155" s="1"/>
      <c r="Y155" s="1"/>
      <c r="Z155" s="1"/>
    </row>
    <row r="156" ht="15.75" customHeight="1">
      <c r="A156" s="16" t="str">
        <f>IFERROR(__xludf.DUMMYFUNCTION("""COMPUTED_VALUE"""),"Delta World")</f>
        <v>Delta World</v>
      </c>
      <c r="B156" s="17">
        <f>IFERROR(__xludf.DUMMYFUNCTION("""COMPUTED_VALUE"""),9.0)</f>
        <v>9</v>
      </c>
      <c r="C156" s="16">
        <f>IFERROR(__xludf.DUMMYFUNCTION("""COMPUTED_VALUE"""),1000.0)</f>
        <v>1000</v>
      </c>
      <c r="D156" s="16"/>
      <c r="E156"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16" t="str">
        <f>IFERROR(__xludf.DUMMYFUNCTION("""COMPUTED_VALUE"""),"Fail/Succeed")</f>
        <v>Fail/Succeed</v>
      </c>
      <c r="G156" s="18"/>
      <c r="H156" s="40" t="str">
        <f>IFERROR(__xludf.DUMMYFUNCTION("""COMPUTED_VALUE"""),"Delta")</f>
        <v>Delta</v>
      </c>
      <c r="I156" s="20" t="str">
        <f>IFERROR(__xludf.DUMMYFUNCTION("""COMPUTED_VALUE"""),"Player")</f>
        <v>Player</v>
      </c>
      <c r="J156" s="21" t="b">
        <f>IFERROR(__xludf.DUMMYFUNCTION("""COMPUTED_VALUE"""),FALSE)</f>
        <v>0</v>
      </c>
      <c r="K156" s="21"/>
      <c r="L156" s="21" t="b">
        <f>IFERROR(__xludf.DUMMYFUNCTION("""COMPUTED_VALUE"""),FALSE)</f>
        <v>0</v>
      </c>
      <c r="M156" s="21" t="b">
        <f>IFERROR(__xludf.DUMMYFUNCTION("""COMPUTED_VALUE"""),FALSE)</f>
        <v>0</v>
      </c>
      <c r="N156" s="1"/>
      <c r="O156" s="1"/>
      <c r="P156" s="1"/>
      <c r="Q156" s="1"/>
      <c r="R156" s="1"/>
      <c r="S156" s="1"/>
      <c r="T156" s="1"/>
      <c r="U156" s="1"/>
      <c r="V156" s="1"/>
      <c r="W156" s="1"/>
      <c r="X156" s="1"/>
      <c r="Y156" s="1"/>
      <c r="Z156" s="1"/>
    </row>
    <row r="157" ht="15.75" customHeight="1">
      <c r="A157" s="16" t="str">
        <f>IFERROR(__xludf.DUMMYFUNCTION("""COMPUTED_VALUE"""),"False Tower")</f>
        <v>False Tower</v>
      </c>
      <c r="B157" s="17">
        <f>IFERROR(__xludf.DUMMYFUNCTION("""COMPUTED_VALUE"""),8.0)</f>
        <v>8</v>
      </c>
      <c r="C157" s="16">
        <f>IFERROR(__xludf.DUMMYFUNCTION("""COMPUTED_VALUE"""),600.0)</f>
        <v>600</v>
      </c>
      <c r="D157" s="16"/>
      <c r="E157"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16" t="str">
        <f>IFERROR(__xludf.DUMMYFUNCTION("""COMPUTED_VALUE"""),"Fail/Succeed")</f>
        <v>Fail/Succeed</v>
      </c>
      <c r="G157" s="18" t="str">
        <f>IFERROR(__xludf.DUMMYFUNCTION("""COMPUTED_VALUE"""),"All")</f>
        <v>All</v>
      </c>
      <c r="H157" s="40" t="str">
        <f>IFERROR(__xludf.DUMMYFUNCTION("""COMPUTED_VALUE"""),"Delta")</f>
        <v>Delta</v>
      </c>
      <c r="I157" s="20" t="str">
        <f>IFERROR(__xludf.DUMMYFUNCTION("""COMPUTED_VALUE"""),"Player")</f>
        <v>Player</v>
      </c>
      <c r="J157" s="21" t="b">
        <f>IFERROR(__xludf.DUMMYFUNCTION("""COMPUTED_VALUE"""),FALSE)</f>
        <v>0</v>
      </c>
      <c r="K157" s="21"/>
      <c r="L157" s="21" t="b">
        <f>IFERROR(__xludf.DUMMYFUNCTION("""COMPUTED_VALUE"""),FALSE)</f>
        <v>0</v>
      </c>
      <c r="M157" s="21" t="b">
        <f>IFERROR(__xludf.DUMMYFUNCTION("""COMPUTED_VALUE"""),FALSE)</f>
        <v>0</v>
      </c>
      <c r="N157" s="1"/>
      <c r="O157" s="1"/>
      <c r="P157" s="1"/>
      <c r="Q157" s="1"/>
      <c r="R157" s="1"/>
      <c r="S157" s="1"/>
      <c r="T157" s="1"/>
      <c r="U157" s="1"/>
      <c r="V157" s="1"/>
      <c r="W157" s="1"/>
      <c r="X157" s="1"/>
      <c r="Y157" s="1"/>
      <c r="Z157" s="1"/>
    </row>
    <row r="158" ht="15.75" customHeight="1">
      <c r="A158" s="16" t="str">
        <f>IFERROR(__xludf.DUMMYFUNCTION("""COMPUTED_VALUE"""),"Magic Barrier")</f>
        <v>Magic Barrier</v>
      </c>
      <c r="B158" s="17">
        <f>IFERROR(__xludf.DUMMYFUNCTION("""COMPUTED_VALUE"""),9.0)</f>
        <v>9</v>
      </c>
      <c r="C158" s="22">
        <f>IFERROR(__xludf.DUMMYFUNCTION("""COMPUTED_VALUE"""),10000.0)</f>
        <v>10000</v>
      </c>
      <c r="D158" s="16"/>
      <c r="E158" s="16" t="str">
        <f>IFERROR(__xludf.DUMMYFUNCTION("""COMPUTED_VALUE"""),"All Enemies cannot use magic for the rest of battle")</f>
        <v>All Enemies cannot use magic for the rest of battle</v>
      </c>
      <c r="F158" s="16" t="str">
        <f>IFERROR(__xludf.DUMMYFUNCTION("""COMPUTED_VALUE"""),"Fail/Succeed")</f>
        <v>Fail/Succeed</v>
      </c>
      <c r="G158" s="18" t="str">
        <f>IFERROR(__xludf.DUMMYFUNCTION("""COMPUTED_VALUE"""),"All")</f>
        <v>All</v>
      </c>
      <c r="H158" s="40" t="str">
        <f>IFERROR(__xludf.DUMMYFUNCTION("""COMPUTED_VALUE"""),"Delta")</f>
        <v>Delta</v>
      </c>
      <c r="I158" s="20" t="str">
        <f>IFERROR(__xludf.DUMMYFUNCTION("""COMPUTED_VALUE"""),"Mob")</f>
        <v>Mob</v>
      </c>
      <c r="J158" s="21" t="b">
        <f>IFERROR(__xludf.DUMMYFUNCTION("""COMPUTED_VALUE"""),TRUE)</f>
        <v>1</v>
      </c>
      <c r="K158" s="21"/>
      <c r="L158" s="21" t="b">
        <f>IFERROR(__xludf.DUMMYFUNCTION("""COMPUTED_VALUE"""),FALSE)</f>
        <v>0</v>
      </c>
      <c r="M158" s="21" t="b">
        <f>IFERROR(__xludf.DUMMYFUNCTION("""COMPUTED_VALUE"""),FALSE)</f>
        <v>0</v>
      </c>
      <c r="N158" s="1"/>
      <c r="O158" s="1"/>
      <c r="P158" s="1"/>
      <c r="Q158" s="1"/>
      <c r="R158" s="1"/>
      <c r="S158" s="1"/>
      <c r="T158" s="1"/>
      <c r="U158" s="1"/>
      <c r="V158" s="1"/>
      <c r="W158" s="1"/>
      <c r="X158" s="1"/>
      <c r="Y158" s="1"/>
      <c r="Z158" s="1"/>
    </row>
    <row r="159" ht="15.75" customHeight="1">
      <c r="A159" s="16" t="str">
        <f>IFERROR(__xludf.DUMMYFUNCTION("""COMPUTED_VALUE"""),"Magic Break")</f>
        <v>Magic Break</v>
      </c>
      <c r="B159" s="17">
        <f>IFERROR(__xludf.DUMMYFUNCTION("""COMPUTED_VALUE"""),2.0)</f>
        <v>2</v>
      </c>
      <c r="C159" s="16">
        <f>IFERROR(__xludf.DUMMYFUNCTION("""COMPUTED_VALUE"""),20.0)</f>
        <v>20</v>
      </c>
      <c r="D159" s="16"/>
      <c r="E159" s="16" t="str">
        <f>IFERROR(__xludf.DUMMYFUNCTION("""COMPUTED_VALUE"""),"2000 Delta damage, 25% chance to cancel an ongoing spell effect the target has casted upon themself.")</f>
        <v>2000 Delta damage, 25% chance to cancel an ongoing spell effect the target has casted upon themself.</v>
      </c>
      <c r="F159" s="16" t="str">
        <f>IFERROR(__xludf.DUMMYFUNCTION("""COMPUTED_VALUE"""),"Hit/Miss")</f>
        <v>Hit/Miss</v>
      </c>
      <c r="G159" s="18">
        <f>IFERROR(__xludf.DUMMYFUNCTION("""COMPUTED_VALUE"""),1.0)</f>
        <v>1</v>
      </c>
      <c r="H159" s="40" t="str">
        <f>IFERROR(__xludf.DUMMYFUNCTION("""COMPUTED_VALUE"""),"Delta")</f>
        <v>Delta</v>
      </c>
      <c r="I159" s="20" t="str">
        <f>IFERROR(__xludf.DUMMYFUNCTION("""COMPUTED_VALUE"""),"Player")</f>
        <v>Player</v>
      </c>
      <c r="J159" s="21" t="b">
        <f>IFERROR(__xludf.DUMMYFUNCTION("""COMPUTED_VALUE"""),FALSE)</f>
        <v>0</v>
      </c>
      <c r="K159" s="21"/>
      <c r="L159" s="21" t="b">
        <f>IFERROR(__xludf.DUMMYFUNCTION("""COMPUTED_VALUE"""),FALSE)</f>
        <v>0</v>
      </c>
      <c r="M159" s="21" t="b">
        <f>IFERROR(__xludf.DUMMYFUNCTION("""COMPUTED_VALUE"""),FALSE)</f>
        <v>0</v>
      </c>
      <c r="N159" s="1"/>
      <c r="O159" s="1"/>
      <c r="P159" s="1"/>
      <c r="Q159" s="1"/>
      <c r="R159" s="1"/>
      <c r="S159" s="1"/>
      <c r="T159" s="1"/>
      <c r="U159" s="1"/>
      <c r="V159" s="1"/>
      <c r="W159" s="1"/>
      <c r="X159" s="1"/>
      <c r="Y159" s="1"/>
      <c r="Z159" s="1"/>
    </row>
    <row r="160" ht="15.75" customHeight="1">
      <c r="A160" s="16" t="str">
        <f>IFERROR(__xludf.DUMMYFUNCTION("""COMPUTED_VALUE"""),"Mind Blast")</f>
        <v>Mind Blast</v>
      </c>
      <c r="B160" s="17">
        <f>IFERROR(__xludf.DUMMYFUNCTION("""COMPUTED_VALUE"""),1.0)</f>
        <v>1</v>
      </c>
      <c r="C160" s="16">
        <f>IFERROR(__xludf.DUMMYFUNCTION("""COMPUTED_VALUE"""),100.0)</f>
        <v>100</v>
      </c>
      <c r="D160" s="16"/>
      <c r="E160" s="16" t="str">
        <f>IFERROR(__xludf.DUMMYFUNCTION("""COMPUTED_VALUE"""),"Deals 1000 dmg and pacifies an enemy for 3 rounds.")</f>
        <v>Deals 1000 dmg and pacifies an enemy for 3 rounds.</v>
      </c>
      <c r="F160" s="16" t="str">
        <f>IFERROR(__xludf.DUMMYFUNCTION("""COMPUTED_VALUE"""),"Hit/Miss")</f>
        <v>Hit/Miss</v>
      </c>
      <c r="G160" s="18">
        <f>IFERROR(__xludf.DUMMYFUNCTION("""COMPUTED_VALUE"""),1.0)</f>
        <v>1</v>
      </c>
      <c r="H160" s="40" t="str">
        <f>IFERROR(__xludf.DUMMYFUNCTION("""COMPUTED_VALUE"""),"Delta")</f>
        <v>Delta</v>
      </c>
      <c r="I160" s="20" t="str">
        <f>IFERROR(__xludf.DUMMYFUNCTION("""COMPUTED_VALUE"""),"Player")</f>
        <v>Player</v>
      </c>
      <c r="J160" s="21" t="b">
        <f>IFERROR(__xludf.DUMMYFUNCTION("""COMPUTED_VALUE"""),FALSE)</f>
        <v>0</v>
      </c>
      <c r="K160" s="21"/>
      <c r="L160" s="21" t="b">
        <f>IFERROR(__xludf.DUMMYFUNCTION("""COMPUTED_VALUE"""),FALSE)</f>
        <v>0</v>
      </c>
      <c r="M160" s="21" t="b">
        <f>IFERROR(__xludf.DUMMYFUNCTION("""COMPUTED_VALUE"""),FALSE)</f>
        <v>0</v>
      </c>
      <c r="N160" s="1"/>
      <c r="O160" s="1"/>
      <c r="P160" s="1"/>
      <c r="Q160" s="1"/>
      <c r="R160" s="1"/>
      <c r="S160" s="1"/>
      <c r="T160" s="1"/>
      <c r="U160" s="1"/>
      <c r="V160" s="1"/>
      <c r="W160" s="1"/>
      <c r="X160" s="1"/>
      <c r="Y160" s="1"/>
      <c r="Z160" s="1"/>
    </row>
    <row r="161" ht="15.75" customHeight="1">
      <c r="A161" s="16" t="str">
        <f>IFERROR(__xludf.DUMMYFUNCTION("""COMPUTED_VALUE"""),"Rapid Delta Punch")</f>
        <v>Rapid Delta Punch</v>
      </c>
      <c r="B161" s="17">
        <f>IFERROR(__xludf.DUMMYFUNCTION("""COMPUTED_VALUE"""),9.0)</f>
        <v>9</v>
      </c>
      <c r="C161" s="16" t="str">
        <f>IFERROR(__xludf.DUMMYFUNCTION("""COMPUTED_VALUE"""),"X*420")</f>
        <v>X*420</v>
      </c>
      <c r="D161" s="16"/>
      <c r="E161" s="16" t="str">
        <f>IFERROR(__xludf.DUMMYFUNCTION("""COMPUTED_VALUE"""),"Drain 42,000 sp per Punch, X is equal to the amount of punches. X is equal to your attack roll.")</f>
        <v>Drain 42,000 sp per Punch, X is equal to the amount of punches. X is equal to your attack roll.</v>
      </c>
      <c r="F161" s="16" t="str">
        <f>IFERROR(__xludf.DUMMYFUNCTION("""COMPUTED_VALUE"""),"Hit/Miss")</f>
        <v>Hit/Miss</v>
      </c>
      <c r="G161" s="18">
        <f>IFERROR(__xludf.DUMMYFUNCTION("""COMPUTED_VALUE"""),1.0)</f>
        <v>1</v>
      </c>
      <c r="H161" s="40" t="str">
        <f>IFERROR(__xludf.DUMMYFUNCTION("""COMPUTED_VALUE"""),"Delta")</f>
        <v>Delta</v>
      </c>
      <c r="I161" s="20" t="str">
        <f>IFERROR(__xludf.DUMMYFUNCTION("""COMPUTED_VALUE"""),"Player")</f>
        <v>Player</v>
      </c>
      <c r="J161" s="21" t="b">
        <f>IFERROR(__xludf.DUMMYFUNCTION("""COMPUTED_VALUE"""),FALSE)</f>
        <v>0</v>
      </c>
      <c r="K161" s="21"/>
      <c r="L161" s="21" t="b">
        <f>IFERROR(__xludf.DUMMYFUNCTION("""COMPUTED_VALUE"""),FALSE)</f>
        <v>0</v>
      </c>
      <c r="M161" s="21" t="b">
        <f>IFERROR(__xludf.DUMMYFUNCTION("""COMPUTED_VALUE"""),FALSE)</f>
        <v>0</v>
      </c>
      <c r="N161" s="1"/>
      <c r="O161" s="1"/>
      <c r="P161" s="1"/>
      <c r="Q161" s="1"/>
      <c r="R161" s="1"/>
      <c r="S161" s="1"/>
      <c r="T161" s="1"/>
      <c r="U161" s="1"/>
      <c r="V161" s="1"/>
      <c r="W161" s="1"/>
      <c r="X161" s="1"/>
      <c r="Y161" s="1"/>
      <c r="Z161" s="1"/>
    </row>
    <row r="162" ht="15.75" customHeight="1">
      <c r="A162" s="16" t="str">
        <f>IFERROR(__xludf.DUMMYFUNCTION("""COMPUTED_VALUE"""),"Beast In Black")</f>
        <v>Beast In Black</v>
      </c>
      <c r="B162" s="17">
        <f>IFERROR(__xludf.DUMMYFUNCTION("""COMPUTED_VALUE"""),9.0)</f>
        <v>9</v>
      </c>
      <c r="C162" s="16">
        <f>IFERROR(__xludf.DUMMYFUNCTION("""COMPUTED_VALUE"""),500.0)</f>
        <v>500</v>
      </c>
      <c r="D162" s="16"/>
      <c r="E162" s="16"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16" t="str">
        <f>IFERROR(__xludf.DUMMYFUNCTION("""COMPUTED_VALUE"""),"Fail/Succeed")</f>
        <v>Fail/Succeed</v>
      </c>
      <c r="G162" s="18" t="str">
        <f>IFERROR(__xludf.DUMMYFUNCTION("""COMPUTED_VALUE"""),"All")</f>
        <v>All</v>
      </c>
      <c r="H162" s="40" t="str">
        <f>IFERROR(__xludf.DUMMYFUNCTION("""COMPUTED_VALUE"""),"Delta")</f>
        <v>Delta</v>
      </c>
      <c r="I162" s="20" t="str">
        <f>IFERROR(__xludf.DUMMYFUNCTION("""COMPUTED_VALUE"""),"Mob")</f>
        <v>Mob</v>
      </c>
      <c r="J162" s="21" t="b">
        <f>IFERROR(__xludf.DUMMYFUNCTION("""COMPUTED_VALUE"""),TRUE)</f>
        <v>1</v>
      </c>
      <c r="K162" s="21" t="str">
        <f>IFERROR(__xludf.DUMMYFUNCTION("""COMPUTED_VALUE"""),"Mob Spell")</f>
        <v>Mob Spell</v>
      </c>
      <c r="L162" s="21" t="b">
        <f>IFERROR(__xludf.DUMMYFUNCTION("""COMPUTED_VALUE"""),FALSE)</f>
        <v>0</v>
      </c>
      <c r="M162" s="21" t="b">
        <f>IFERROR(__xludf.DUMMYFUNCTION("""COMPUTED_VALUE"""),FALSE)</f>
        <v>0</v>
      </c>
      <c r="N162" s="1"/>
      <c r="O162" s="1"/>
      <c r="P162" s="1"/>
      <c r="Q162" s="1"/>
      <c r="R162" s="1"/>
      <c r="S162" s="1"/>
      <c r="T162" s="1"/>
      <c r="U162" s="1"/>
      <c r="V162" s="1"/>
      <c r="W162" s="1"/>
      <c r="X162" s="1"/>
      <c r="Y162" s="1"/>
      <c r="Z162" s="1"/>
    </row>
    <row r="163" ht="15.75" customHeight="1">
      <c r="A163" s="16" t="str">
        <f>IFERROR(__xludf.DUMMYFUNCTION("""COMPUTED_VALUE"""),"Domain Expansion")</f>
        <v>Domain Expansion</v>
      </c>
      <c r="B163" s="17">
        <f>IFERROR(__xludf.DUMMYFUNCTION("""COMPUTED_VALUE"""),9.0)</f>
        <v>9</v>
      </c>
      <c r="C163" s="16">
        <f>IFERROR(__xludf.DUMMYFUNCTION("""COMPUTED_VALUE"""),1000.0)</f>
        <v>1000</v>
      </c>
      <c r="D163" s="16"/>
      <c r="E163" s="16"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16" t="str">
        <f>IFERROR(__xludf.DUMMYFUNCTION("""COMPUTED_VALUE"""),"Will Succeed")</f>
        <v>Will Succeed</v>
      </c>
      <c r="G163" s="18" t="str">
        <f>IFERROR(__xludf.DUMMYFUNCTION("""COMPUTED_VALUE"""),"All")</f>
        <v>All</v>
      </c>
      <c r="H163" s="40" t="str">
        <f>IFERROR(__xludf.DUMMYFUNCTION("""COMPUTED_VALUE"""),"Delta")</f>
        <v>Delta</v>
      </c>
      <c r="I163" s="20" t="str">
        <f>IFERROR(__xludf.DUMMYFUNCTION("""COMPUTED_VALUE"""),"Mob")</f>
        <v>Mob</v>
      </c>
      <c r="J163" s="21" t="b">
        <f>IFERROR(__xludf.DUMMYFUNCTION("""COMPUTED_VALUE"""),TRUE)</f>
        <v>1</v>
      </c>
      <c r="K163" s="21" t="str">
        <f>IFERROR(__xludf.DUMMYFUNCTION("""COMPUTED_VALUE"""),"Mob Spell")</f>
        <v>Mob Spell</v>
      </c>
      <c r="L163" s="21" t="b">
        <f>IFERROR(__xludf.DUMMYFUNCTION("""COMPUTED_VALUE"""),FALSE)</f>
        <v>0</v>
      </c>
      <c r="M163" s="21" t="b">
        <f>IFERROR(__xludf.DUMMYFUNCTION("""COMPUTED_VALUE"""),FALSE)</f>
        <v>0</v>
      </c>
      <c r="N163" s="1"/>
      <c r="O163" s="1"/>
      <c r="P163" s="1"/>
      <c r="Q163" s="1"/>
      <c r="R163" s="1"/>
      <c r="S163" s="1"/>
      <c r="T163" s="1"/>
      <c r="U163" s="1"/>
      <c r="V163" s="1"/>
      <c r="W163" s="1"/>
      <c r="X163" s="1"/>
      <c r="Y163" s="1"/>
      <c r="Z163" s="1"/>
    </row>
    <row r="164" ht="15.75" customHeight="1">
      <c r="A164" s="16" t="str">
        <f>IFERROR(__xludf.DUMMYFUNCTION("""COMPUTED_VALUE"""),"Delta Strike")</f>
        <v>Delta Strike</v>
      </c>
      <c r="B164" s="17">
        <f>IFERROR(__xludf.DUMMYFUNCTION("""COMPUTED_VALUE"""),1.0)</f>
        <v>1</v>
      </c>
      <c r="C164" s="16" t="str">
        <f>IFERROR(__xludf.DUMMYFUNCTION("""COMPUTED_VALUE"""),"X")</f>
        <v>X</v>
      </c>
      <c r="D164" s="16"/>
      <c r="E164" s="16" t="str">
        <f>IFERROR(__xludf.DUMMYFUNCTION("""COMPUTED_VALUE"""),"Deals X*100 Delta damage to a single enemy where X is equal to SP spent.")</f>
        <v>Deals X*100 Delta damage to a single enemy where X is equal to SP spent.</v>
      </c>
      <c r="F164" s="16" t="str">
        <f>IFERROR(__xludf.DUMMYFUNCTION("""COMPUTED_VALUE"""),"Hit/Miss")</f>
        <v>Hit/Miss</v>
      </c>
      <c r="G164" s="18">
        <f>IFERROR(__xludf.DUMMYFUNCTION("""COMPUTED_VALUE"""),1.0)</f>
        <v>1</v>
      </c>
      <c r="H164" s="40" t="str">
        <f>IFERROR(__xludf.DUMMYFUNCTION("""COMPUTED_VALUE"""),"Delta")</f>
        <v>Delta</v>
      </c>
      <c r="I164" s="20" t="str">
        <f>IFERROR(__xludf.DUMMYFUNCTION("""COMPUTED_VALUE"""),"Player")</f>
        <v>Player</v>
      </c>
      <c r="J164" s="21" t="b">
        <f>IFERROR(__xludf.DUMMYFUNCTION("""COMPUTED_VALUE"""),FALSE)</f>
        <v>0</v>
      </c>
      <c r="K164" s="21"/>
      <c r="L164" s="21" t="b">
        <f>IFERROR(__xludf.DUMMYFUNCTION("""COMPUTED_VALUE"""),FALSE)</f>
        <v>0</v>
      </c>
      <c r="M164" s="21" t="b">
        <f>IFERROR(__xludf.DUMMYFUNCTION("""COMPUTED_VALUE"""),FALSE)</f>
        <v>0</v>
      </c>
      <c r="N164" s="1"/>
      <c r="O164" s="1"/>
      <c r="P164" s="1"/>
      <c r="Q164" s="1"/>
      <c r="R164" s="1"/>
      <c r="S164" s="1"/>
      <c r="T164" s="1"/>
      <c r="U164" s="1"/>
      <c r="V164" s="1"/>
      <c r="W164" s="1"/>
      <c r="X164" s="1"/>
      <c r="Y164" s="1"/>
      <c r="Z164" s="1"/>
    </row>
    <row r="165" ht="15.75" customHeight="1">
      <c r="A165" s="16" t="str">
        <f>IFERROR(__xludf.DUMMYFUNCTION("""COMPUTED_VALUE"""),"Magic Surge")</f>
        <v>Magic Surge</v>
      </c>
      <c r="B165" s="17">
        <f>IFERROR(__xludf.DUMMYFUNCTION("""COMPUTED_VALUE"""),5.0)</f>
        <v>5</v>
      </c>
      <c r="C165" s="16" t="str">
        <f>IFERROR(__xludf.DUMMYFUNCTION("""COMPUTED_VALUE"""),"X")</f>
        <v>X</v>
      </c>
      <c r="D165" s="16"/>
      <c r="E165" s="16" t="str">
        <f>IFERROR(__xludf.DUMMYFUNCTION("""COMPUTED_VALUE"""),"Deals X*50 Delta damage per round for 3 rounds to a single target where X is equal to SP spent.")</f>
        <v>Deals X*50 Delta damage per round for 3 rounds to a single target where X is equal to SP spent.</v>
      </c>
      <c r="F165" s="16" t="str">
        <f>IFERROR(__xludf.DUMMYFUNCTION("""COMPUTED_VALUE"""),"Hit/Miss")</f>
        <v>Hit/Miss</v>
      </c>
      <c r="G165" s="18">
        <f>IFERROR(__xludf.DUMMYFUNCTION("""COMPUTED_VALUE"""),1.0)</f>
        <v>1</v>
      </c>
      <c r="H165" s="40" t="str">
        <f>IFERROR(__xludf.DUMMYFUNCTION("""COMPUTED_VALUE"""),"Delta")</f>
        <v>Delta</v>
      </c>
      <c r="I165" s="20" t="str">
        <f>IFERROR(__xludf.DUMMYFUNCTION("""COMPUTED_VALUE"""),"Player")</f>
        <v>Player</v>
      </c>
      <c r="J165" s="21" t="b">
        <f>IFERROR(__xludf.DUMMYFUNCTION("""COMPUTED_VALUE"""),FALSE)</f>
        <v>0</v>
      </c>
      <c r="K165" s="21"/>
      <c r="L165" s="21" t="b">
        <f>IFERROR(__xludf.DUMMYFUNCTION("""COMPUTED_VALUE"""),FALSE)</f>
        <v>0</v>
      </c>
      <c r="M165" s="21" t="b">
        <f>IFERROR(__xludf.DUMMYFUNCTION("""COMPUTED_VALUE"""),FALSE)</f>
        <v>0</v>
      </c>
      <c r="N165" s="1"/>
      <c r="O165" s="1"/>
      <c r="P165" s="1"/>
      <c r="Q165" s="1"/>
      <c r="R165" s="1"/>
      <c r="S165" s="1"/>
      <c r="T165" s="1"/>
      <c r="U165" s="1"/>
      <c r="V165" s="1"/>
      <c r="W165" s="1"/>
      <c r="X165" s="1"/>
      <c r="Y165" s="1"/>
      <c r="Z165" s="1"/>
    </row>
    <row r="166" ht="15.75" customHeight="1">
      <c r="A166" s="16" t="str">
        <f>IFERROR(__xludf.DUMMYFUNCTION("""COMPUTED_VALUE"""),"Delta Pulse")</f>
        <v>Delta Pulse</v>
      </c>
      <c r="B166" s="17">
        <f>IFERROR(__xludf.DUMMYFUNCTION("""COMPUTED_VALUE"""),5.0)</f>
        <v>5</v>
      </c>
      <c r="C166" s="16" t="str">
        <f>IFERROR(__xludf.DUMMYFUNCTION("""COMPUTED_VALUE"""),"X")</f>
        <v>X</v>
      </c>
      <c r="D166" s="16"/>
      <c r="E166" s="16" t="str">
        <f>IFERROR(__xludf.DUMMYFUNCTION("""COMPUTED_VALUE"""),"Deals X*25 Delta damage to all enemies where X is equal to SP spent.")</f>
        <v>Deals X*25 Delta damage to all enemies where X is equal to SP spent.</v>
      </c>
      <c r="F166" s="16" t="str">
        <f>IFERROR(__xludf.DUMMYFUNCTION("""COMPUTED_VALUE"""),"Cannot Avoid")</f>
        <v>Cannot Avoid</v>
      </c>
      <c r="G166" s="18" t="str">
        <f>IFERROR(__xludf.DUMMYFUNCTION("""COMPUTED_VALUE"""),"All")</f>
        <v>All</v>
      </c>
      <c r="H166" s="40" t="str">
        <f>IFERROR(__xludf.DUMMYFUNCTION("""COMPUTED_VALUE"""),"Delta")</f>
        <v>Delta</v>
      </c>
      <c r="I166" s="20" t="str">
        <f>IFERROR(__xludf.DUMMYFUNCTION("""COMPUTED_VALUE"""),"Player")</f>
        <v>Player</v>
      </c>
      <c r="J166" s="21" t="b">
        <f>IFERROR(__xludf.DUMMYFUNCTION("""COMPUTED_VALUE"""),FALSE)</f>
        <v>0</v>
      </c>
      <c r="K166" s="21"/>
      <c r="L166" s="21" t="b">
        <f>IFERROR(__xludf.DUMMYFUNCTION("""COMPUTED_VALUE"""),FALSE)</f>
        <v>0</v>
      </c>
      <c r="M166" s="21" t="b">
        <f>IFERROR(__xludf.DUMMYFUNCTION("""COMPUTED_VALUE"""),FALSE)</f>
        <v>0</v>
      </c>
      <c r="N166" s="1"/>
      <c r="O166" s="1"/>
      <c r="P166" s="1"/>
      <c r="Q166" s="1"/>
      <c r="R166" s="1"/>
      <c r="S166" s="1"/>
      <c r="T166" s="1"/>
      <c r="U166" s="1"/>
      <c r="V166" s="1"/>
      <c r="W166" s="1"/>
      <c r="X166" s="1"/>
      <c r="Y166" s="1"/>
      <c r="Z166" s="1"/>
    </row>
    <row r="167" ht="15.75" customHeight="1">
      <c r="A167" s="16" t="str">
        <f>IFERROR(__xludf.DUMMYFUNCTION("""COMPUTED_VALUE"""),"Mass Magic Surge")</f>
        <v>Mass Magic Surge</v>
      </c>
      <c r="B167" s="17">
        <f>IFERROR(__xludf.DUMMYFUNCTION("""COMPUTED_VALUE"""),6.0)</f>
        <v>6</v>
      </c>
      <c r="C167" s="16" t="str">
        <f>IFERROR(__xludf.DUMMYFUNCTION("""COMPUTED_VALUE"""),"X")</f>
        <v>X</v>
      </c>
      <c r="D167" s="16"/>
      <c r="E167" s="16" t="str">
        <f>IFERROR(__xludf.DUMMYFUNCTION("""COMPUTED_VALUE"""),"Deals X*10 Delta damage per round to all enemies for 3 rounds where X is equal to SP spent.")</f>
        <v>Deals X*10 Delta damage per round to all enemies for 3 rounds where X is equal to SP spent.</v>
      </c>
      <c r="F167" s="16" t="str">
        <f>IFERROR(__xludf.DUMMYFUNCTION("""COMPUTED_VALUE"""),"Cannot Avoid")</f>
        <v>Cannot Avoid</v>
      </c>
      <c r="G167" s="18" t="str">
        <f>IFERROR(__xludf.DUMMYFUNCTION("""COMPUTED_VALUE"""),"All")</f>
        <v>All</v>
      </c>
      <c r="H167" s="40" t="str">
        <f>IFERROR(__xludf.DUMMYFUNCTION("""COMPUTED_VALUE"""),"Delta")</f>
        <v>Delta</v>
      </c>
      <c r="I167" s="20" t="str">
        <f>IFERROR(__xludf.DUMMYFUNCTION("""COMPUTED_VALUE"""),"Player")</f>
        <v>Player</v>
      </c>
      <c r="J167" s="21" t="b">
        <f>IFERROR(__xludf.DUMMYFUNCTION("""COMPUTED_VALUE"""),FALSE)</f>
        <v>0</v>
      </c>
      <c r="K167" s="21"/>
      <c r="L167" s="21" t="b">
        <f>IFERROR(__xludf.DUMMYFUNCTION("""COMPUTED_VALUE"""),FALSE)</f>
        <v>0</v>
      </c>
      <c r="M167" s="21" t="b">
        <f>IFERROR(__xludf.DUMMYFUNCTION("""COMPUTED_VALUE"""),FALSE)</f>
        <v>0</v>
      </c>
      <c r="N167" s="1"/>
      <c r="O167" s="1"/>
      <c r="P167" s="1"/>
      <c r="Q167" s="1"/>
      <c r="R167" s="1"/>
      <c r="S167" s="1"/>
      <c r="T167" s="1"/>
      <c r="U167" s="1"/>
      <c r="V167" s="1"/>
      <c r="W167" s="1"/>
      <c r="X167" s="1"/>
      <c r="Y167" s="1"/>
      <c r="Z167" s="1"/>
    </row>
    <row r="168" ht="15.75" customHeight="1">
      <c r="A168" s="16" t="str">
        <f>IFERROR(__xludf.DUMMYFUNCTION("""COMPUTED_VALUE"""),"Ancient Monolith Of Earth")</f>
        <v>Ancient Monolith Of Earth</v>
      </c>
      <c r="B168" s="17">
        <f>IFERROR(__xludf.DUMMYFUNCTION("""COMPUTED_VALUE"""),9.0)</f>
        <v>9</v>
      </c>
      <c r="C168" s="16">
        <f>IFERROR(__xludf.DUMMYFUNCTION("""COMPUTED_VALUE"""),300.0)</f>
        <v>300</v>
      </c>
      <c r="D168" s="16"/>
      <c r="E168" s="16" t="str">
        <f>IFERROR(__xludf.DUMMYFUNCTION("""COMPUTED_VALUE"""),"X4 additional earth damage for caster and allies. Fire Immunity for caster only.")</f>
        <v>X4 additional earth damage for caster and allies. Fire Immunity for caster only.</v>
      </c>
      <c r="F168" s="16" t="str">
        <f>IFERROR(__xludf.DUMMYFUNCTION("""COMPUTED_VALUE"""),"Fail/Succeed")</f>
        <v>Fail/Succeed</v>
      </c>
      <c r="G168" s="18"/>
      <c r="H168" s="40" t="str">
        <f>IFERROR(__xludf.DUMMYFUNCTION("""COMPUTED_VALUE"""),"Earth")</f>
        <v>Earth</v>
      </c>
      <c r="I168" s="20" t="str">
        <f>IFERROR(__xludf.DUMMYFUNCTION("""COMPUTED_VALUE"""),"Player")</f>
        <v>Player</v>
      </c>
      <c r="J168" s="21" t="b">
        <f>IFERROR(__xludf.DUMMYFUNCTION("""COMPUTED_VALUE"""),FALSE)</f>
        <v>0</v>
      </c>
      <c r="K168" s="21"/>
      <c r="L168" s="21" t="b">
        <f>IFERROR(__xludf.DUMMYFUNCTION("""COMPUTED_VALUE"""),FALSE)</f>
        <v>0</v>
      </c>
      <c r="M168" s="21" t="b">
        <f>IFERROR(__xludf.DUMMYFUNCTION("""COMPUTED_VALUE"""),FALSE)</f>
        <v>0</v>
      </c>
      <c r="N168" s="1"/>
      <c r="O168" s="1"/>
      <c r="P168" s="1"/>
      <c r="Q168" s="1"/>
      <c r="R168" s="1"/>
      <c r="S168" s="1"/>
      <c r="T168" s="1"/>
      <c r="U168" s="1"/>
      <c r="V168" s="1"/>
      <c r="W168" s="1"/>
      <c r="X168" s="1"/>
      <c r="Y168" s="1"/>
      <c r="Z168" s="1"/>
    </row>
    <row r="169" ht="15.75" customHeight="1">
      <c r="A169" s="16" t="str">
        <f>IFERROR(__xludf.DUMMYFUNCTION("""COMPUTED_VALUE"""),"Boulder Toss")</f>
        <v>Boulder Toss</v>
      </c>
      <c r="B169" s="17">
        <f>IFERROR(__xludf.DUMMYFUNCTION("""COMPUTED_VALUE"""),2.0)</f>
        <v>2</v>
      </c>
      <c r="C169" s="16">
        <f>IFERROR(__xludf.DUMMYFUNCTION("""COMPUTED_VALUE"""),20.0)</f>
        <v>20</v>
      </c>
      <c r="D169" s="16"/>
      <c r="E169" s="16" t="str">
        <f>IFERROR(__xludf.DUMMYFUNCTION("""COMPUTED_VALUE"""),"X Earth damage where X is equal to the users accuracy, and -2000 defense for the rest of battle.")</f>
        <v>X Earth damage where X is equal to the users accuracy, and -2000 defense for the rest of battle.</v>
      </c>
      <c r="F169" s="16" t="str">
        <f>IFERROR(__xludf.DUMMYFUNCTION("""COMPUTED_VALUE"""),"Hit/Miss")</f>
        <v>Hit/Miss</v>
      </c>
      <c r="G169" s="18">
        <f>IFERROR(__xludf.DUMMYFUNCTION("""COMPUTED_VALUE"""),1.0)</f>
        <v>1</v>
      </c>
      <c r="H169" s="40" t="str">
        <f>IFERROR(__xludf.DUMMYFUNCTION("""COMPUTED_VALUE"""),"Earth")</f>
        <v>Earth</v>
      </c>
      <c r="I169" s="20" t="str">
        <f>IFERROR(__xludf.DUMMYFUNCTION("""COMPUTED_VALUE"""),"Player")</f>
        <v>Player</v>
      </c>
      <c r="J169" s="21" t="b">
        <f>IFERROR(__xludf.DUMMYFUNCTION("""COMPUTED_VALUE"""),FALSE)</f>
        <v>0</v>
      </c>
      <c r="K169" s="21"/>
      <c r="L169" s="21" t="b">
        <f>IFERROR(__xludf.DUMMYFUNCTION("""COMPUTED_VALUE"""),FALSE)</f>
        <v>0</v>
      </c>
      <c r="M169" s="21" t="b">
        <f>IFERROR(__xludf.DUMMYFUNCTION("""COMPUTED_VALUE"""),FALSE)</f>
        <v>0</v>
      </c>
      <c r="N169" s="1"/>
      <c r="O169" s="1"/>
      <c r="P169" s="1"/>
      <c r="Q169" s="1"/>
      <c r="R169" s="1"/>
      <c r="S169" s="1"/>
      <c r="T169" s="1"/>
      <c r="U169" s="1"/>
      <c r="V169" s="1"/>
      <c r="W169" s="1"/>
      <c r="X169" s="1"/>
      <c r="Y169" s="1"/>
      <c r="Z169" s="1"/>
    </row>
    <row r="170" ht="15.75" customHeight="1">
      <c r="A170" s="16" t="str">
        <f>IFERROR(__xludf.DUMMYFUNCTION("""COMPUTED_VALUE"""),"Calcife")</f>
        <v>Calcife</v>
      </c>
      <c r="B170" s="17">
        <f>IFERROR(__xludf.DUMMYFUNCTION("""COMPUTED_VALUE"""),4.0)</f>
        <v>4</v>
      </c>
      <c r="C170" s="16" t="str">
        <f>IFERROR(__xludf.DUMMYFUNCTION("""COMPUTED_VALUE"""),"X")</f>
        <v>X</v>
      </c>
      <c r="D170" s="16"/>
      <c r="E170" s="16" t="str">
        <f>IFERROR(__xludf.DUMMYFUNCTION("""COMPUTED_VALUE"""),"Target gains X*100 Earth damage and X*100 Earth resistance, can’t be used on self")</f>
        <v>Target gains X*100 Earth damage and X*100 Earth resistance, can’t be used on self</v>
      </c>
      <c r="F170" s="16" t="str">
        <f>IFERROR(__xludf.DUMMYFUNCTION("""COMPUTED_VALUE"""),"Fail/Succeed")</f>
        <v>Fail/Succeed</v>
      </c>
      <c r="G170" s="18"/>
      <c r="H170" s="41" t="str">
        <f>IFERROR(__xludf.DUMMYFUNCTION("""COMPUTED_VALUE"""),"Earth")</f>
        <v>Earth</v>
      </c>
      <c r="I170" s="20" t="str">
        <f>IFERROR(__xludf.DUMMYFUNCTION("""COMPUTED_VALUE"""),"Player")</f>
        <v>Player</v>
      </c>
      <c r="J170" s="21" t="b">
        <f>IFERROR(__xludf.DUMMYFUNCTION("""COMPUTED_VALUE"""),FALSE)</f>
        <v>0</v>
      </c>
      <c r="K170" s="21"/>
      <c r="L170" s="21" t="b">
        <f>IFERROR(__xludf.DUMMYFUNCTION("""COMPUTED_VALUE"""),FALSE)</f>
        <v>0</v>
      </c>
      <c r="M170" s="21" t="b">
        <f>IFERROR(__xludf.DUMMYFUNCTION("""COMPUTED_VALUE"""),FALSE)</f>
        <v>0</v>
      </c>
      <c r="N170" s="1"/>
      <c r="O170" s="1"/>
      <c r="P170" s="1"/>
      <c r="Q170" s="1"/>
      <c r="R170" s="1"/>
      <c r="S170" s="1"/>
      <c r="T170" s="1"/>
      <c r="U170" s="1"/>
      <c r="V170" s="1"/>
      <c r="W170" s="1"/>
      <c r="X170" s="1"/>
      <c r="Y170" s="1"/>
      <c r="Z170" s="1"/>
    </row>
    <row r="171" ht="15.75" customHeight="1">
      <c r="A171" s="16" t="str">
        <f>IFERROR(__xludf.DUMMYFUNCTION("""COMPUTED_VALUE"""),"Calm Earth")</f>
        <v>Calm Earth</v>
      </c>
      <c r="B171" s="17">
        <f>IFERROR(__xludf.DUMMYFUNCTION("""COMPUTED_VALUE"""),7.0)</f>
        <v>7</v>
      </c>
      <c r="C171" s="16" t="str">
        <f>IFERROR(__xludf.DUMMYFUNCTION("""COMPUTED_VALUE"""),"X")</f>
        <v>X</v>
      </c>
      <c r="D171" s="16"/>
      <c r="E171"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16" t="str">
        <f>IFERROR(__xludf.DUMMYFUNCTION("""COMPUTED_VALUE"""),"Fail/Succeed")</f>
        <v>Fail/Succeed</v>
      </c>
      <c r="G171" s="18"/>
      <c r="H171" s="41" t="str">
        <f>IFERROR(__xludf.DUMMYFUNCTION("""COMPUTED_VALUE"""),"Earth")</f>
        <v>Earth</v>
      </c>
      <c r="I171" s="20" t="str">
        <f>IFERROR(__xludf.DUMMYFUNCTION("""COMPUTED_VALUE"""),"Player")</f>
        <v>Player</v>
      </c>
      <c r="J171" s="21" t="b">
        <f>IFERROR(__xludf.DUMMYFUNCTION("""COMPUTED_VALUE"""),FALSE)</f>
        <v>0</v>
      </c>
      <c r="K171" s="21"/>
      <c r="L171" s="21" t="b">
        <f>IFERROR(__xludf.DUMMYFUNCTION("""COMPUTED_VALUE"""),FALSE)</f>
        <v>0</v>
      </c>
      <c r="M171" s="21" t="b">
        <f>IFERROR(__xludf.DUMMYFUNCTION("""COMPUTED_VALUE"""),FALSE)</f>
        <v>0</v>
      </c>
      <c r="N171" s="1"/>
      <c r="O171" s="1"/>
      <c r="P171" s="1"/>
      <c r="Q171" s="1"/>
      <c r="R171" s="1"/>
      <c r="S171" s="1"/>
      <c r="T171" s="1"/>
      <c r="U171" s="1"/>
      <c r="V171" s="1"/>
      <c r="W171" s="1"/>
      <c r="X171" s="1"/>
      <c r="Y171" s="1"/>
      <c r="Z171" s="1"/>
    </row>
    <row r="172" ht="15.75" customHeight="1">
      <c r="A172" s="16" t="str">
        <f>IFERROR(__xludf.DUMMYFUNCTION("""COMPUTED_VALUE"""),"Dawn of Diamonds")</f>
        <v>Dawn of Diamonds</v>
      </c>
      <c r="B172" s="17">
        <f>IFERROR(__xludf.DUMMYFUNCTION("""COMPUTED_VALUE"""),1.0)</f>
        <v>1</v>
      </c>
      <c r="C172" s="16">
        <f>IFERROR(__xludf.DUMMYFUNCTION("""COMPUTED_VALUE"""),0.0)</f>
        <v>0</v>
      </c>
      <c r="D172" s="16"/>
      <c r="E172" s="16"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16" t="str">
        <f>IFERROR(__xludf.DUMMYFUNCTION("""COMPUTED_VALUE"""),"Natural/Cannot Avoid")</f>
        <v>Natural/Cannot Avoid</v>
      </c>
      <c r="G172" s="18" t="str">
        <f>IFERROR(__xludf.DUMMYFUNCTION("""COMPUTED_VALUE"""),"All")</f>
        <v>All</v>
      </c>
      <c r="H172" s="41" t="str">
        <f>IFERROR(__xludf.DUMMYFUNCTION("""COMPUTED_VALUE"""),"Earth")</f>
        <v>Earth</v>
      </c>
      <c r="I172" s="20" t="str">
        <f>IFERROR(__xludf.DUMMYFUNCTION("""COMPUTED_VALUE"""),"Mob")</f>
        <v>Mob</v>
      </c>
      <c r="J172" s="21" t="b">
        <f>IFERROR(__xludf.DUMMYFUNCTION("""COMPUTED_VALUE"""),TRUE)</f>
        <v>1</v>
      </c>
      <c r="K172" s="21"/>
      <c r="L172" s="21" t="b">
        <f>IFERROR(__xludf.DUMMYFUNCTION("""COMPUTED_VALUE"""),FALSE)</f>
        <v>0</v>
      </c>
      <c r="M172" s="21" t="b">
        <f>IFERROR(__xludf.DUMMYFUNCTION("""COMPUTED_VALUE"""),FALSE)</f>
        <v>0</v>
      </c>
      <c r="N172" s="1"/>
      <c r="O172" s="1"/>
      <c r="P172" s="1"/>
      <c r="Q172" s="1"/>
      <c r="R172" s="1"/>
      <c r="S172" s="1"/>
      <c r="T172" s="1"/>
      <c r="U172" s="1"/>
      <c r="V172" s="1"/>
      <c r="W172" s="1"/>
      <c r="X172" s="1"/>
      <c r="Y172" s="1"/>
      <c r="Z172" s="1"/>
    </row>
    <row r="173" ht="15.75" customHeight="1">
      <c r="A173" s="16" t="str">
        <f>IFERROR(__xludf.DUMMYFUNCTION("""COMPUTED_VALUE"""),"Dusk of Diamonds")</f>
        <v>Dusk of Diamonds</v>
      </c>
      <c r="B173" s="17">
        <f>IFERROR(__xludf.DUMMYFUNCTION("""COMPUTED_VALUE"""),1.0)</f>
        <v>1</v>
      </c>
      <c r="C173" s="16">
        <f>IFERROR(__xludf.DUMMYFUNCTION("""COMPUTED_VALUE"""),0.0)</f>
        <v>0</v>
      </c>
      <c r="D173" s="16"/>
      <c r="E173" s="16" t="str">
        <f>IFERROR(__xludf.DUMMYFUNCTION("""COMPUTED_VALUE"""),"10,000 Earth and 10,000 Dark damage to all enemies. 50% chance of Blidness 3, 50% Slowness 3")</f>
        <v>10,000 Earth and 10,000 Dark damage to all enemies. 50% chance of Blidness 3, 50% Slowness 3</v>
      </c>
      <c r="F173" s="16" t="str">
        <f>IFERROR(__xludf.DUMMYFUNCTION("""COMPUTED_VALUE"""),"Natural/Cannot Avoid")</f>
        <v>Natural/Cannot Avoid</v>
      </c>
      <c r="G173" s="18" t="str">
        <f>IFERROR(__xludf.DUMMYFUNCTION("""COMPUTED_VALUE"""),"All")</f>
        <v>All</v>
      </c>
      <c r="H173" s="41" t="str">
        <f>IFERROR(__xludf.DUMMYFUNCTION("""COMPUTED_VALUE"""),"Earth")</f>
        <v>Earth</v>
      </c>
      <c r="I173" s="20" t="str">
        <f>IFERROR(__xludf.DUMMYFUNCTION("""COMPUTED_VALUE"""),"Mob")</f>
        <v>Mob</v>
      </c>
      <c r="J173" s="21" t="b">
        <f>IFERROR(__xludf.DUMMYFUNCTION("""COMPUTED_VALUE"""),TRUE)</f>
        <v>1</v>
      </c>
      <c r="K173" s="21"/>
      <c r="L173" s="21" t="b">
        <f>IFERROR(__xludf.DUMMYFUNCTION("""COMPUTED_VALUE"""),FALSE)</f>
        <v>0</v>
      </c>
      <c r="M173" s="21" t="b">
        <f>IFERROR(__xludf.DUMMYFUNCTION("""COMPUTED_VALUE"""),FALSE)</f>
        <v>0</v>
      </c>
      <c r="N173" s="1"/>
      <c r="O173" s="1"/>
      <c r="P173" s="1"/>
      <c r="Q173" s="1"/>
      <c r="R173" s="1"/>
      <c r="S173" s="1"/>
      <c r="T173" s="1"/>
      <c r="U173" s="1"/>
      <c r="V173" s="1"/>
      <c r="W173" s="1"/>
      <c r="X173" s="1"/>
      <c r="Y173" s="1"/>
      <c r="Z173" s="1"/>
    </row>
    <row r="174" ht="15.75" customHeight="1">
      <c r="A174" s="16" t="str">
        <f>IFERROR(__xludf.DUMMYFUNCTION("""COMPUTED_VALUE"""),"Earth Punch")</f>
        <v>Earth Punch</v>
      </c>
      <c r="B174" s="17">
        <f>IFERROR(__xludf.DUMMYFUNCTION("""COMPUTED_VALUE"""),1.0)</f>
        <v>1</v>
      </c>
      <c r="C174" s="16">
        <f>IFERROR(__xludf.DUMMYFUNCTION("""COMPUTED_VALUE"""),0.0)</f>
        <v>0</v>
      </c>
      <c r="D174" s="16"/>
      <c r="E174" s="16" t="str">
        <f>IFERROR(__xludf.DUMMYFUNCTION("""COMPUTED_VALUE"""),"X*4 Earth damage where X is equal to the users attack, 25% chance this attack hits again.")</f>
        <v>X*4 Earth damage where X is equal to the users attack, 25% chance this attack hits again.</v>
      </c>
      <c r="F174" s="16" t="str">
        <f>IFERROR(__xludf.DUMMYFUNCTION("""COMPUTED_VALUE"""),"Natural/Hit or Miss")</f>
        <v>Natural/Hit or Miss</v>
      </c>
      <c r="G174" s="18">
        <f>IFERROR(__xludf.DUMMYFUNCTION("""COMPUTED_VALUE"""),1.0)</f>
        <v>1</v>
      </c>
      <c r="H174" s="41" t="str">
        <f>IFERROR(__xludf.DUMMYFUNCTION("""COMPUTED_VALUE"""),"Earth")</f>
        <v>Earth</v>
      </c>
      <c r="I174" s="20" t="str">
        <f>IFERROR(__xludf.DUMMYFUNCTION("""COMPUTED_VALUE"""),"Mob")</f>
        <v>Mob</v>
      </c>
      <c r="J174" s="21" t="b">
        <f>IFERROR(__xludf.DUMMYFUNCTION("""COMPUTED_VALUE"""),TRUE)</f>
        <v>1</v>
      </c>
      <c r="K174" s="21"/>
      <c r="L174" s="21" t="b">
        <f>IFERROR(__xludf.DUMMYFUNCTION("""COMPUTED_VALUE"""),FALSE)</f>
        <v>0</v>
      </c>
      <c r="M174" s="21" t="b">
        <f>IFERROR(__xludf.DUMMYFUNCTION("""COMPUTED_VALUE"""),FALSE)</f>
        <v>0</v>
      </c>
      <c r="N174" s="1"/>
      <c r="O174" s="1"/>
      <c r="P174" s="1"/>
      <c r="Q174" s="1"/>
      <c r="R174" s="1"/>
      <c r="S174" s="1"/>
      <c r="T174" s="1"/>
      <c r="U174" s="1"/>
      <c r="V174" s="1"/>
      <c r="W174" s="1"/>
      <c r="X174" s="1"/>
      <c r="Y174" s="1"/>
      <c r="Z174" s="1"/>
    </row>
    <row r="175" ht="15.75" customHeight="1">
      <c r="A175" s="16" t="str">
        <f>IFERROR(__xludf.DUMMYFUNCTION("""COMPUTED_VALUE"""),"Energizing Emerald Pulse")</f>
        <v>Energizing Emerald Pulse</v>
      </c>
      <c r="B175" s="17">
        <f>IFERROR(__xludf.DUMMYFUNCTION("""COMPUTED_VALUE"""),1.0)</f>
        <v>1</v>
      </c>
      <c r="C175" s="16">
        <f>IFERROR(__xludf.DUMMYFUNCTION("""COMPUTED_VALUE"""),0.0)</f>
        <v>0</v>
      </c>
      <c r="D175" s="16"/>
      <c r="E175" s="16"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16" t="str">
        <f>IFERROR(__xludf.DUMMYFUNCTION("""COMPUTED_VALUE"""),"Natural/Cannot Avoid")</f>
        <v>Natural/Cannot Avoid</v>
      </c>
      <c r="G175" s="18" t="str">
        <f>IFERROR(__xludf.DUMMYFUNCTION("""COMPUTED_VALUE"""),"All")</f>
        <v>All</v>
      </c>
      <c r="H175" s="41" t="str">
        <f>IFERROR(__xludf.DUMMYFUNCTION("""COMPUTED_VALUE"""),"Earth")</f>
        <v>Earth</v>
      </c>
      <c r="I175" s="20" t="str">
        <f>IFERROR(__xludf.DUMMYFUNCTION("""COMPUTED_VALUE"""),"Mob")</f>
        <v>Mob</v>
      </c>
      <c r="J175" s="21" t="b">
        <f>IFERROR(__xludf.DUMMYFUNCTION("""COMPUTED_VALUE"""),TRUE)</f>
        <v>1</v>
      </c>
      <c r="K175" s="21"/>
      <c r="L175" s="21" t="b">
        <f>IFERROR(__xludf.DUMMYFUNCTION("""COMPUTED_VALUE"""),FALSE)</f>
        <v>0</v>
      </c>
      <c r="M175" s="21" t="b">
        <f>IFERROR(__xludf.DUMMYFUNCTION("""COMPUTED_VALUE"""),FALSE)</f>
        <v>0</v>
      </c>
      <c r="N175" s="1"/>
      <c r="O175" s="1"/>
      <c r="P175" s="1"/>
      <c r="Q175" s="1"/>
      <c r="R175" s="1"/>
      <c r="S175" s="1"/>
      <c r="T175" s="1"/>
      <c r="U175" s="1"/>
      <c r="V175" s="1"/>
      <c r="W175" s="1"/>
      <c r="X175" s="1"/>
      <c r="Y175" s="1"/>
      <c r="Z175" s="1"/>
    </row>
    <row r="176" ht="15.75" customHeight="1">
      <c r="A176" s="16" t="str">
        <f>IFERROR(__xludf.DUMMYFUNCTION("""COMPUTED_VALUE"""),"Landslide")</f>
        <v>Landslide</v>
      </c>
      <c r="B176" s="17">
        <f>IFERROR(__xludf.DUMMYFUNCTION("""COMPUTED_VALUE"""),9.0)</f>
        <v>9</v>
      </c>
      <c r="C176" s="16">
        <f>IFERROR(__xludf.DUMMYFUNCTION("""COMPUTED_VALUE"""),1500.0)</f>
        <v>1500</v>
      </c>
      <c r="D176" s="16"/>
      <c r="E176" s="16" t="str">
        <f>IFERROR(__xludf.DUMMYFUNCTION("""COMPUTED_VALUE"""),"20,000 Undefendable Earth damage. 50% chance of instant death.")</f>
        <v>20,000 Undefendable Earth damage. 50% chance of instant death.</v>
      </c>
      <c r="F176" s="16" t="str">
        <f>IFERROR(__xludf.DUMMYFUNCTION("""COMPUTED_VALUE"""),"Cannot Avoid")</f>
        <v>Cannot Avoid</v>
      </c>
      <c r="G176" s="18">
        <f>IFERROR(__xludf.DUMMYFUNCTION("""COMPUTED_VALUE"""),1.0)</f>
        <v>1</v>
      </c>
      <c r="H176" s="41" t="str">
        <f>IFERROR(__xludf.DUMMYFUNCTION("""COMPUTED_VALUE"""),"Earth")</f>
        <v>Earth</v>
      </c>
      <c r="I176" s="20" t="str">
        <f>IFERROR(__xludf.DUMMYFUNCTION("""COMPUTED_VALUE"""),"Player")</f>
        <v>Player</v>
      </c>
      <c r="J176" s="21" t="b">
        <f>IFERROR(__xludf.DUMMYFUNCTION("""COMPUTED_VALUE"""),FALSE)</f>
        <v>0</v>
      </c>
      <c r="K176" s="21"/>
      <c r="L176" s="21" t="b">
        <f>IFERROR(__xludf.DUMMYFUNCTION("""COMPUTED_VALUE"""),FALSE)</f>
        <v>0</v>
      </c>
      <c r="M176" s="21" t="b">
        <f>IFERROR(__xludf.DUMMYFUNCTION("""COMPUTED_VALUE"""),FALSE)</f>
        <v>0</v>
      </c>
      <c r="N176" s="1"/>
      <c r="O176" s="1"/>
      <c r="P176" s="1"/>
      <c r="Q176" s="1"/>
      <c r="R176" s="1"/>
      <c r="S176" s="1"/>
      <c r="T176" s="1"/>
      <c r="U176" s="1"/>
      <c r="V176" s="1"/>
      <c r="W176" s="1"/>
      <c r="X176" s="1"/>
      <c r="Y176" s="1"/>
      <c r="Z176" s="1"/>
    </row>
    <row r="177" ht="15.75" customHeight="1">
      <c r="A177" s="16" t="str">
        <f>IFERROR(__xludf.DUMMYFUNCTION("""COMPUTED_VALUE"""),"Molten Bolder Toss")</f>
        <v>Molten Bolder Toss</v>
      </c>
      <c r="B177" s="17">
        <f>IFERROR(__xludf.DUMMYFUNCTION("""COMPUTED_VALUE"""),1.0)</f>
        <v>1</v>
      </c>
      <c r="C177" s="16">
        <f>IFERROR(__xludf.DUMMYFUNCTION("""COMPUTED_VALUE"""),0.0)</f>
        <v>0</v>
      </c>
      <c r="D177" s="16"/>
      <c r="E177" s="16" t="str">
        <f>IFERROR(__xludf.DUMMYFUNCTION("""COMPUTED_VALUE"""),"20,000 Earth and 20,000 Fire damage. Ignores Defense. Lowers an enemy's defense by half.")</f>
        <v>20,000 Earth and 20,000 Fire damage. Ignores Defense. Lowers an enemy's defense by half.</v>
      </c>
      <c r="F177" s="16" t="str">
        <f>IFERROR(__xludf.DUMMYFUNCTION("""COMPUTED_VALUE"""),"Natural/Hit or Miss")</f>
        <v>Natural/Hit or Miss</v>
      </c>
      <c r="G177" s="18">
        <f>IFERROR(__xludf.DUMMYFUNCTION("""COMPUTED_VALUE"""),1.0)</f>
        <v>1</v>
      </c>
      <c r="H177" s="41" t="str">
        <f>IFERROR(__xludf.DUMMYFUNCTION("""COMPUTED_VALUE"""),"Earth")</f>
        <v>Earth</v>
      </c>
      <c r="I177" s="20" t="str">
        <f>IFERROR(__xludf.DUMMYFUNCTION("""COMPUTED_VALUE"""),"Mob")</f>
        <v>Mob</v>
      </c>
      <c r="J177" s="21" t="b">
        <f>IFERROR(__xludf.DUMMYFUNCTION("""COMPUTED_VALUE"""),TRUE)</f>
        <v>1</v>
      </c>
      <c r="K177" s="21"/>
      <c r="L177" s="21" t="b">
        <f>IFERROR(__xludf.DUMMYFUNCTION("""COMPUTED_VALUE"""),FALSE)</f>
        <v>0</v>
      </c>
      <c r="M177" s="21" t="b">
        <f>IFERROR(__xludf.DUMMYFUNCTION("""COMPUTED_VALUE"""),FALSE)</f>
        <v>0</v>
      </c>
      <c r="N177" s="1"/>
      <c r="O177" s="1"/>
      <c r="P177" s="1"/>
      <c r="Q177" s="1"/>
      <c r="R177" s="1"/>
      <c r="S177" s="1"/>
      <c r="T177" s="1"/>
      <c r="U177" s="1"/>
      <c r="V177" s="1"/>
      <c r="W177" s="1"/>
      <c r="X177" s="1"/>
      <c r="Y177" s="1"/>
      <c r="Z177" s="1"/>
    </row>
    <row r="178" ht="15.75" customHeight="1">
      <c r="A178" s="16" t="str">
        <f>IFERROR(__xludf.DUMMYFUNCTION("""COMPUTED_VALUE"""),"Molten Ruby Spikes")</f>
        <v>Molten Ruby Spikes</v>
      </c>
      <c r="B178" s="17">
        <f>IFERROR(__xludf.DUMMYFUNCTION("""COMPUTED_VALUE"""),1.0)</f>
        <v>1</v>
      </c>
      <c r="C178" s="16">
        <f>IFERROR(__xludf.DUMMYFUNCTION("""COMPUTED_VALUE"""),0.0)</f>
        <v>0</v>
      </c>
      <c r="D178" s="16"/>
      <c r="E178" s="16" t="str">
        <f>IFERROR(__xludf.DUMMYFUNCTION("""COMPUTED_VALUE"""),"10,000 Earth and 10,000 Fire damage to all enemies. 5,000 Fire damage p/r to those targets.")</f>
        <v>10,000 Earth and 10,000 Fire damage to all enemies. 5,000 Fire damage p/r to those targets.</v>
      </c>
      <c r="F178" s="16" t="str">
        <f>IFERROR(__xludf.DUMMYFUNCTION("""COMPUTED_VALUE"""),"Natural/Cannot Avoid")</f>
        <v>Natural/Cannot Avoid</v>
      </c>
      <c r="G178" s="18" t="str">
        <f>IFERROR(__xludf.DUMMYFUNCTION("""COMPUTED_VALUE"""),"All")</f>
        <v>All</v>
      </c>
      <c r="H178" s="41" t="str">
        <f>IFERROR(__xludf.DUMMYFUNCTION("""COMPUTED_VALUE"""),"Earth")</f>
        <v>Earth</v>
      </c>
      <c r="I178" s="20" t="str">
        <f>IFERROR(__xludf.DUMMYFUNCTION("""COMPUTED_VALUE"""),"Mob")</f>
        <v>Mob</v>
      </c>
      <c r="J178" s="21" t="b">
        <f>IFERROR(__xludf.DUMMYFUNCTION("""COMPUTED_VALUE"""),TRUE)</f>
        <v>1</v>
      </c>
      <c r="K178" s="21"/>
      <c r="L178" s="21" t="b">
        <f>IFERROR(__xludf.DUMMYFUNCTION("""COMPUTED_VALUE"""),FALSE)</f>
        <v>0</v>
      </c>
      <c r="M178" s="21" t="b">
        <f>IFERROR(__xludf.DUMMYFUNCTION("""COMPUTED_VALUE"""),FALSE)</f>
        <v>0</v>
      </c>
      <c r="N178" s="1"/>
      <c r="O178" s="1"/>
      <c r="P178" s="1"/>
      <c r="Q178" s="1"/>
      <c r="R178" s="1"/>
      <c r="S178" s="1"/>
      <c r="T178" s="1"/>
      <c r="U178" s="1"/>
      <c r="V178" s="1"/>
      <c r="W178" s="1"/>
      <c r="X178" s="1"/>
      <c r="Y178" s="1"/>
      <c r="Z178" s="1"/>
    </row>
    <row r="179" ht="15.75" customHeight="1">
      <c r="A179" s="16" t="str">
        <f>IFERROR(__xludf.DUMMYFUNCTION("""COMPUTED_VALUE"""),"Mountain Formation")</f>
        <v>Mountain Formation</v>
      </c>
      <c r="B179" s="17">
        <f>IFERROR(__xludf.DUMMYFUNCTION("""COMPUTED_VALUE"""),5.0)</f>
        <v>5</v>
      </c>
      <c r="C179" s="16">
        <f>IFERROR(__xludf.DUMMYFUNCTION("""COMPUTED_VALUE"""),50.0)</f>
        <v>50</v>
      </c>
      <c r="D179" s="16"/>
      <c r="E179" s="16" t="str">
        <f>IFERROR(__xludf.DUMMYFUNCTION("""COMPUTED_VALUE"""),"X2 additional earth damage and X4 defense for self and allies.")</f>
        <v>X2 additional earth damage and X4 defense for self and allies.</v>
      </c>
      <c r="F179" s="16" t="str">
        <f>IFERROR(__xludf.DUMMYFUNCTION("""COMPUTED_VALUE"""),"Will Succeed")</f>
        <v>Will Succeed</v>
      </c>
      <c r="G179" s="18"/>
      <c r="H179" s="41" t="str">
        <f>IFERROR(__xludf.DUMMYFUNCTION("""COMPUTED_VALUE"""),"Earth")</f>
        <v>Earth</v>
      </c>
      <c r="I179" s="20" t="str">
        <f>IFERROR(__xludf.DUMMYFUNCTION("""COMPUTED_VALUE"""),"Player")</f>
        <v>Player</v>
      </c>
      <c r="J179" s="21" t="b">
        <f>IFERROR(__xludf.DUMMYFUNCTION("""COMPUTED_VALUE"""),FALSE)</f>
        <v>0</v>
      </c>
      <c r="K179" s="21"/>
      <c r="L179" s="21" t="b">
        <f>IFERROR(__xludf.DUMMYFUNCTION("""COMPUTED_VALUE"""),FALSE)</f>
        <v>0</v>
      </c>
      <c r="M179" s="21" t="b">
        <f>IFERROR(__xludf.DUMMYFUNCTION("""COMPUTED_VALUE"""),FALSE)</f>
        <v>0</v>
      </c>
      <c r="N179" s="1"/>
      <c r="O179" s="1"/>
      <c r="P179" s="1"/>
      <c r="Q179" s="1"/>
      <c r="R179" s="1"/>
      <c r="S179" s="1"/>
      <c r="T179" s="1"/>
      <c r="U179" s="1"/>
      <c r="V179" s="1"/>
      <c r="W179" s="1"/>
      <c r="X179" s="1"/>
      <c r="Y179" s="1"/>
      <c r="Z179" s="1"/>
    </row>
    <row r="180" ht="15.75" customHeight="1">
      <c r="A180" s="16" t="str">
        <f>IFERROR(__xludf.DUMMYFUNCTION("""COMPUTED_VALUE"""),"Mud Sling")</f>
        <v>Mud Sling</v>
      </c>
      <c r="B180" s="17">
        <f>IFERROR(__xludf.DUMMYFUNCTION("""COMPUTED_VALUE"""),1.0)</f>
        <v>1</v>
      </c>
      <c r="C180" s="16">
        <f>IFERROR(__xludf.DUMMYFUNCTION("""COMPUTED_VALUE"""),10.0)</f>
        <v>10</v>
      </c>
      <c r="D180" s="16"/>
      <c r="E180" s="16" t="str">
        <f>IFERROR(__xludf.DUMMYFUNCTION("""COMPUTED_VALUE"""),"50% chance target skips next turn and inflicts them with slowness 3.")</f>
        <v>50% chance target skips next turn and inflicts them with slowness 3.</v>
      </c>
      <c r="F180" s="16" t="str">
        <f>IFERROR(__xludf.DUMMYFUNCTION("""COMPUTED_VALUE"""),"Fail/Succeed")</f>
        <v>Fail/Succeed</v>
      </c>
      <c r="G180" s="18"/>
      <c r="H180" s="41" t="str">
        <f>IFERROR(__xludf.DUMMYFUNCTION("""COMPUTED_VALUE"""),"Earth")</f>
        <v>Earth</v>
      </c>
      <c r="I180" s="20" t="str">
        <f>IFERROR(__xludf.DUMMYFUNCTION("""COMPUTED_VALUE"""),"Player")</f>
        <v>Player</v>
      </c>
      <c r="J180" s="21" t="b">
        <f>IFERROR(__xludf.DUMMYFUNCTION("""COMPUTED_VALUE"""),FALSE)</f>
        <v>0</v>
      </c>
      <c r="K180" s="21"/>
      <c r="L180" s="21" t="b">
        <f>IFERROR(__xludf.DUMMYFUNCTION("""COMPUTED_VALUE"""),FALSE)</f>
        <v>0</v>
      </c>
      <c r="M180" s="21" t="b">
        <f>IFERROR(__xludf.DUMMYFUNCTION("""COMPUTED_VALUE"""),FALSE)</f>
        <v>0</v>
      </c>
      <c r="N180" s="1"/>
      <c r="O180" s="1"/>
      <c r="P180" s="1"/>
      <c r="Q180" s="1"/>
      <c r="R180" s="1"/>
      <c r="S180" s="1"/>
      <c r="T180" s="1"/>
      <c r="U180" s="1"/>
      <c r="V180" s="1"/>
      <c r="W180" s="1"/>
      <c r="X180" s="1"/>
      <c r="Y180" s="1"/>
      <c r="Z180" s="1"/>
    </row>
    <row r="181" ht="15.75" customHeight="1">
      <c r="A181" s="16" t="str">
        <f>IFERROR(__xludf.DUMMYFUNCTION("""COMPUTED_VALUE"""),"Mud Wave")</f>
        <v>Mud Wave</v>
      </c>
      <c r="B181" s="17">
        <f>IFERROR(__xludf.DUMMYFUNCTION("""COMPUTED_VALUE"""),9.0)</f>
        <v>9</v>
      </c>
      <c r="C181" s="16">
        <f>IFERROR(__xludf.DUMMYFUNCTION("""COMPUTED_VALUE"""),400.0)</f>
        <v>400</v>
      </c>
      <c r="D181" s="16"/>
      <c r="E181"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16" t="str">
        <f>IFERROR(__xludf.DUMMYFUNCTION("""COMPUTED_VALUE"""),"Fail/Succeed")</f>
        <v>Fail/Succeed</v>
      </c>
      <c r="G181" s="18" t="str">
        <f>IFERROR(__xludf.DUMMYFUNCTION("""COMPUTED_VALUE"""),"All")</f>
        <v>All</v>
      </c>
      <c r="H181" s="41" t="str">
        <f>IFERROR(__xludf.DUMMYFUNCTION("""COMPUTED_VALUE"""),"Earth")</f>
        <v>Earth</v>
      </c>
      <c r="I181" s="20" t="str">
        <f>IFERROR(__xludf.DUMMYFUNCTION("""COMPUTED_VALUE"""),"Player")</f>
        <v>Player</v>
      </c>
      <c r="J181" s="21" t="b">
        <f>IFERROR(__xludf.DUMMYFUNCTION("""COMPUTED_VALUE"""),FALSE)</f>
        <v>0</v>
      </c>
      <c r="K181" s="21"/>
      <c r="L181" s="21" t="b">
        <f>IFERROR(__xludf.DUMMYFUNCTION("""COMPUTED_VALUE"""),FALSE)</f>
        <v>0</v>
      </c>
      <c r="M181" s="21" t="b">
        <f>IFERROR(__xludf.DUMMYFUNCTION("""COMPUTED_VALUE"""),FALSE)</f>
        <v>0</v>
      </c>
      <c r="N181" s="1"/>
      <c r="O181" s="1"/>
      <c r="P181" s="1"/>
      <c r="Q181" s="1"/>
      <c r="R181" s="1"/>
      <c r="S181" s="1"/>
      <c r="T181" s="1"/>
      <c r="U181" s="1"/>
      <c r="V181" s="1"/>
      <c r="W181" s="1"/>
      <c r="X181" s="1"/>
      <c r="Y181" s="1"/>
      <c r="Z181" s="1"/>
    </row>
    <row r="182" ht="15.75" customHeight="1">
      <c r="A182" s="16" t="str">
        <f>IFERROR(__xludf.DUMMYFUNCTION("""COMPUTED_VALUE"""),"Quicksand")</f>
        <v>Quicksand</v>
      </c>
      <c r="B182" s="17">
        <f>IFERROR(__xludf.DUMMYFUNCTION("""COMPUTED_VALUE"""),8.0)</f>
        <v>8</v>
      </c>
      <c r="C182" s="16" t="str">
        <f>IFERROR(__xludf.DUMMYFUNCTION("""COMPUTED_VALUE"""),"X*10")</f>
        <v>X*10</v>
      </c>
      <c r="D182" s="16"/>
      <c r="E182" s="16" t="str">
        <f>IFERROR(__xludf.DUMMYFUNCTION("""COMPUTED_VALUE"""),"Instantly kills all enemies. The % chance of instant death is XSP.")</f>
        <v>Instantly kills all enemies. The % chance of instant death is XSP.</v>
      </c>
      <c r="F182" s="16" t="str">
        <f>IFERROR(__xludf.DUMMYFUNCTION("""COMPUTED_VALUE"""),"Fail/Succeed")</f>
        <v>Fail/Succeed</v>
      </c>
      <c r="G182" s="18"/>
      <c r="H182" s="41" t="str">
        <f>IFERROR(__xludf.DUMMYFUNCTION("""COMPUTED_VALUE"""),"Earth")</f>
        <v>Earth</v>
      </c>
      <c r="I182" s="20" t="str">
        <f>IFERROR(__xludf.DUMMYFUNCTION("""COMPUTED_VALUE"""),"Player")</f>
        <v>Player</v>
      </c>
      <c r="J182" s="21" t="b">
        <f>IFERROR(__xludf.DUMMYFUNCTION("""COMPUTED_VALUE"""),FALSE)</f>
        <v>0</v>
      </c>
      <c r="K182" s="21"/>
      <c r="L182" s="21" t="b">
        <f>IFERROR(__xludf.DUMMYFUNCTION("""COMPUTED_VALUE"""),FALSE)</f>
        <v>0</v>
      </c>
      <c r="M182" s="21" t="b">
        <f>IFERROR(__xludf.DUMMYFUNCTION("""COMPUTED_VALUE"""),FALSE)</f>
        <v>0</v>
      </c>
      <c r="N182" s="1"/>
      <c r="O182" s="1"/>
      <c r="P182" s="1"/>
      <c r="Q182" s="1"/>
      <c r="R182" s="1"/>
      <c r="S182" s="1"/>
      <c r="T182" s="1"/>
      <c r="U182" s="1"/>
      <c r="V182" s="1"/>
      <c r="W182" s="1"/>
      <c r="X182" s="1"/>
      <c r="Y182" s="1"/>
      <c r="Z182" s="1"/>
    </row>
    <row r="183" ht="15.75" customHeight="1">
      <c r="A183" s="16" t="str">
        <f>IFERROR(__xludf.DUMMYFUNCTION("""COMPUTED_VALUE"""),"Rock Cycle")</f>
        <v>Rock Cycle</v>
      </c>
      <c r="B183" s="17">
        <f>IFERROR(__xludf.DUMMYFUNCTION("""COMPUTED_VALUE"""),9.0)</f>
        <v>9</v>
      </c>
      <c r="C183" s="16">
        <f>IFERROR(__xludf.DUMMYFUNCTION("""COMPUTED_VALUE"""),300.0)</f>
        <v>300</v>
      </c>
      <c r="D183" s="16"/>
      <c r="E183" s="16" t="str">
        <f>IFERROR(__xludf.DUMMYFUNCTION("""COMPUTED_VALUE"""),"Become unaffected by status effects, spells and weapons for 3 rounds.")</f>
        <v>Become unaffected by status effects, spells and weapons for 3 rounds.</v>
      </c>
      <c r="F183" s="16" t="str">
        <f>IFERROR(__xludf.DUMMYFUNCTION("""COMPUTED_VALUE"""),"Fail/Succeed")</f>
        <v>Fail/Succeed</v>
      </c>
      <c r="G183" s="18"/>
      <c r="H183" s="42" t="str">
        <f>IFERROR(__xludf.DUMMYFUNCTION("""COMPUTED_VALUE"""),"Earth")</f>
        <v>Earth</v>
      </c>
      <c r="I183" s="20" t="str">
        <f>IFERROR(__xludf.DUMMYFUNCTION("""COMPUTED_VALUE"""),"Player")</f>
        <v>Player</v>
      </c>
      <c r="J183" s="21" t="b">
        <f>IFERROR(__xludf.DUMMYFUNCTION("""COMPUTED_VALUE"""),FALSE)</f>
        <v>0</v>
      </c>
      <c r="K183" s="21"/>
      <c r="L183" s="21" t="b">
        <f>IFERROR(__xludf.DUMMYFUNCTION("""COMPUTED_VALUE"""),FALSE)</f>
        <v>0</v>
      </c>
      <c r="M183" s="21" t="b">
        <f>IFERROR(__xludf.DUMMYFUNCTION("""COMPUTED_VALUE"""),FALSE)</f>
        <v>0</v>
      </c>
      <c r="N183" s="1"/>
      <c r="O183" s="1"/>
      <c r="P183" s="1"/>
      <c r="Q183" s="1"/>
      <c r="R183" s="1"/>
      <c r="S183" s="1"/>
      <c r="T183" s="1"/>
      <c r="U183" s="1"/>
      <c r="V183" s="1"/>
      <c r="W183" s="1"/>
      <c r="X183" s="1"/>
      <c r="Y183" s="1"/>
      <c r="Z183" s="1"/>
    </row>
    <row r="184" ht="15.75" customHeight="1">
      <c r="A184" s="16" t="str">
        <f>IFERROR(__xludf.DUMMYFUNCTION("""COMPUTED_VALUE"""),"Rock Missiles")</f>
        <v>Rock Missiles</v>
      </c>
      <c r="B184" s="17">
        <f>IFERROR(__xludf.DUMMYFUNCTION("""COMPUTED_VALUE"""),9.0)</f>
        <v>9</v>
      </c>
      <c r="C184" s="16">
        <f>IFERROR(__xludf.DUMMYFUNCTION("""COMPUTED_VALUE"""),5000.0)</f>
        <v>5000</v>
      </c>
      <c r="D184" s="16"/>
      <c r="E184" s="16" t="str">
        <f>IFERROR(__xludf.DUMMYFUNCTION("""COMPUTED_VALUE"""),"10,000 earth damage to all enemies lowering their defense by 50,000.")</f>
        <v>10,000 earth damage to all enemies lowering their defense by 50,000.</v>
      </c>
      <c r="F184" s="16" t="str">
        <f>IFERROR(__xludf.DUMMYFUNCTION("""COMPUTED_VALUE"""),"Cannot Avoid")</f>
        <v>Cannot Avoid</v>
      </c>
      <c r="G184" s="18" t="str">
        <f>IFERROR(__xludf.DUMMYFUNCTION("""COMPUTED_VALUE"""),"All")</f>
        <v>All</v>
      </c>
      <c r="H184" s="42" t="str">
        <f>IFERROR(__xludf.DUMMYFUNCTION("""COMPUTED_VALUE"""),"Earth")</f>
        <v>Earth</v>
      </c>
      <c r="I184" s="20" t="str">
        <f>IFERROR(__xludf.DUMMYFUNCTION("""COMPUTED_VALUE"""),"Mob")</f>
        <v>Mob</v>
      </c>
      <c r="J184" s="21" t="b">
        <f>IFERROR(__xludf.DUMMYFUNCTION("""COMPUTED_VALUE"""),TRUE)</f>
        <v>1</v>
      </c>
      <c r="K184" s="21"/>
      <c r="L184" s="21" t="b">
        <f>IFERROR(__xludf.DUMMYFUNCTION("""COMPUTED_VALUE"""),FALSE)</f>
        <v>0</v>
      </c>
      <c r="M184" s="21" t="b">
        <f>IFERROR(__xludf.DUMMYFUNCTION("""COMPUTED_VALUE"""),FALSE)</f>
        <v>0</v>
      </c>
      <c r="N184" s="1"/>
      <c r="O184" s="1"/>
      <c r="P184" s="1"/>
      <c r="Q184" s="1"/>
      <c r="R184" s="1"/>
      <c r="S184" s="1"/>
      <c r="T184" s="1"/>
      <c r="U184" s="1"/>
      <c r="V184" s="1"/>
      <c r="W184" s="1"/>
      <c r="X184" s="1"/>
      <c r="Y184" s="1"/>
      <c r="Z184" s="1"/>
    </row>
    <row r="185" ht="15.75" customHeight="1">
      <c r="A185" s="16" t="str">
        <f>IFERROR(__xludf.DUMMYFUNCTION("""COMPUTED_VALUE"""),"Sand Hole")</f>
        <v>Sand Hole</v>
      </c>
      <c r="B185" s="17">
        <f>IFERROR(__xludf.DUMMYFUNCTION("""COMPUTED_VALUE"""),7.0)</f>
        <v>7</v>
      </c>
      <c r="C185" s="16">
        <f>IFERROR(__xludf.DUMMYFUNCTION("""COMPUTED_VALUE"""),5000.0)</f>
        <v>5000</v>
      </c>
      <c r="D185" s="16"/>
      <c r="E185" s="16" t="str">
        <f>IFERROR(__xludf.DUMMYFUNCTION("""COMPUTED_VALUE"""),"50% chance of instant death to all enemies.")</f>
        <v>50% chance of instant death to all enemies.</v>
      </c>
      <c r="F185" s="16" t="str">
        <f>IFERROR(__xludf.DUMMYFUNCTION("""COMPUTED_VALUE"""),"Fail/Succeed")</f>
        <v>Fail/Succeed</v>
      </c>
      <c r="G185" s="18" t="str">
        <f>IFERROR(__xludf.DUMMYFUNCTION("""COMPUTED_VALUE"""),"All")</f>
        <v>All</v>
      </c>
      <c r="H185" s="42" t="str">
        <f>IFERROR(__xludf.DUMMYFUNCTION("""COMPUTED_VALUE"""),"Earth")</f>
        <v>Earth</v>
      </c>
      <c r="I185" s="20" t="str">
        <f>IFERROR(__xludf.DUMMYFUNCTION("""COMPUTED_VALUE"""),"Mob")</f>
        <v>Mob</v>
      </c>
      <c r="J185" s="21" t="b">
        <f>IFERROR(__xludf.DUMMYFUNCTION("""COMPUTED_VALUE"""),TRUE)</f>
        <v>1</v>
      </c>
      <c r="K185" s="21"/>
      <c r="L185" s="21" t="b">
        <f>IFERROR(__xludf.DUMMYFUNCTION("""COMPUTED_VALUE"""),FALSE)</f>
        <v>0</v>
      </c>
      <c r="M185" s="21" t="b">
        <f>IFERROR(__xludf.DUMMYFUNCTION("""COMPUTED_VALUE"""),FALSE)</f>
        <v>0</v>
      </c>
      <c r="N185" s="1"/>
      <c r="O185" s="1"/>
      <c r="P185" s="1"/>
      <c r="Q185" s="1"/>
      <c r="R185" s="1"/>
      <c r="S185" s="1"/>
      <c r="T185" s="1"/>
      <c r="U185" s="1"/>
      <c r="V185" s="1"/>
      <c r="W185" s="1"/>
      <c r="X185" s="1"/>
      <c r="Y185" s="1"/>
      <c r="Z185" s="1"/>
    </row>
    <row r="186" ht="15.75" customHeight="1">
      <c r="A186" s="16" t="str">
        <f>IFERROR(__xludf.DUMMYFUNCTION("""COMPUTED_VALUE"""),"Sandstorm")</f>
        <v>Sandstorm</v>
      </c>
      <c r="B186" s="17">
        <f>IFERROR(__xludf.DUMMYFUNCTION("""COMPUTED_VALUE"""),9.0)</f>
        <v>9</v>
      </c>
      <c r="C186" s="16">
        <f>IFERROR(__xludf.DUMMYFUNCTION("""COMPUTED_VALUE"""),300.0)</f>
        <v>300</v>
      </c>
      <c r="D186" s="16"/>
      <c r="E186" s="16" t="str">
        <f>IFERROR(__xludf.DUMMYFUNCTION("""COMPUTED_VALUE"""),"20,000 Earth damage to all enemies, 25% chance of Blindness 3, and Slowness 3.")</f>
        <v>20,000 Earth damage to all enemies, 25% chance of Blindness 3, and Slowness 3.</v>
      </c>
      <c r="F186" s="16" t="str">
        <f>IFERROR(__xludf.DUMMYFUNCTION("""COMPUTED_VALUE"""),"Cannot Avoid")</f>
        <v>Cannot Avoid</v>
      </c>
      <c r="G186" s="18" t="str">
        <f>IFERROR(__xludf.DUMMYFUNCTION("""COMPUTED_VALUE"""),"All")</f>
        <v>All</v>
      </c>
      <c r="H186" s="42" t="str">
        <f>IFERROR(__xludf.DUMMYFUNCTION("""COMPUTED_VALUE"""),"Earth")</f>
        <v>Earth</v>
      </c>
      <c r="I186" s="20" t="str">
        <f>IFERROR(__xludf.DUMMYFUNCTION("""COMPUTED_VALUE"""),"Player")</f>
        <v>Player</v>
      </c>
      <c r="J186" s="21" t="b">
        <f>IFERROR(__xludf.DUMMYFUNCTION("""COMPUTED_VALUE"""),FALSE)</f>
        <v>0</v>
      </c>
      <c r="K186" s="21"/>
      <c r="L186" s="21" t="b">
        <f>IFERROR(__xludf.DUMMYFUNCTION("""COMPUTED_VALUE"""),FALSE)</f>
        <v>0</v>
      </c>
      <c r="M186" s="21" t="b">
        <f>IFERROR(__xludf.DUMMYFUNCTION("""COMPUTED_VALUE"""),FALSE)</f>
        <v>0</v>
      </c>
      <c r="N186" s="1"/>
      <c r="O186" s="1"/>
      <c r="P186" s="1"/>
      <c r="Q186" s="1"/>
      <c r="R186" s="1"/>
      <c r="S186" s="1"/>
      <c r="T186" s="1"/>
      <c r="U186" s="1"/>
      <c r="V186" s="1"/>
      <c r="W186" s="1"/>
      <c r="X186" s="1"/>
      <c r="Y186" s="1"/>
      <c r="Z186" s="1"/>
    </row>
    <row r="187" ht="15.75" customHeight="1">
      <c r="A187" s="16" t="str">
        <f>IFERROR(__xludf.DUMMYFUNCTION("""COMPUTED_VALUE"""),"Searing Saphire Strike")</f>
        <v>Searing Saphire Strike</v>
      </c>
      <c r="B187" s="17">
        <f>IFERROR(__xludf.DUMMYFUNCTION("""COMPUTED_VALUE"""),0.0)</f>
        <v>0</v>
      </c>
      <c r="C187" s="16">
        <f>IFERROR(__xludf.DUMMYFUNCTION("""COMPUTED_VALUE"""),0.0)</f>
        <v>0</v>
      </c>
      <c r="D187" s="16"/>
      <c r="E187" s="16"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16" t="str">
        <f>IFERROR(__xludf.DUMMYFUNCTION("""COMPUTED_VALUE"""),"Natural/Cannot Avoid")</f>
        <v>Natural/Cannot Avoid</v>
      </c>
      <c r="G187" s="18" t="str">
        <f>IFERROR(__xludf.DUMMYFUNCTION("""COMPUTED_VALUE"""),"All")</f>
        <v>All</v>
      </c>
      <c r="H187" s="42" t="str">
        <f>IFERROR(__xludf.DUMMYFUNCTION("""COMPUTED_VALUE"""),"Earth")</f>
        <v>Earth</v>
      </c>
      <c r="I187" s="20" t="str">
        <f>IFERROR(__xludf.DUMMYFUNCTION("""COMPUTED_VALUE"""),"Mob")</f>
        <v>Mob</v>
      </c>
      <c r="J187" s="21" t="b">
        <f>IFERROR(__xludf.DUMMYFUNCTION("""COMPUTED_VALUE"""),TRUE)</f>
        <v>1</v>
      </c>
      <c r="K187" s="21"/>
      <c r="L187" s="21" t="b">
        <f>IFERROR(__xludf.DUMMYFUNCTION("""COMPUTED_VALUE"""),FALSE)</f>
        <v>0</v>
      </c>
      <c r="M187" s="21" t="b">
        <f>IFERROR(__xludf.DUMMYFUNCTION("""COMPUTED_VALUE"""),FALSE)</f>
        <v>0</v>
      </c>
      <c r="N187" s="1"/>
      <c r="O187" s="1"/>
      <c r="P187" s="1"/>
      <c r="Q187" s="1"/>
      <c r="R187" s="1"/>
      <c r="S187" s="1"/>
      <c r="T187" s="1"/>
      <c r="U187" s="1"/>
      <c r="V187" s="1"/>
      <c r="W187" s="1"/>
      <c r="X187" s="1"/>
      <c r="Y187" s="1"/>
      <c r="Z187" s="1"/>
    </row>
    <row r="188" ht="15.75" customHeight="1">
      <c r="A188" s="16" t="str">
        <f>IFERROR(__xludf.DUMMYFUNCTION("""COMPUTED_VALUE"""),"Sling Stone")</f>
        <v>Sling Stone</v>
      </c>
      <c r="B188" s="17">
        <f>IFERROR(__xludf.DUMMYFUNCTION("""COMPUTED_VALUE"""),0.0)</f>
        <v>0</v>
      </c>
      <c r="C188" s="16">
        <f>IFERROR(__xludf.DUMMYFUNCTION("""COMPUTED_VALUE"""),0.0)</f>
        <v>0</v>
      </c>
      <c r="D188" s="16"/>
      <c r="E188" s="16" t="str">
        <f>IFERROR(__xludf.DUMMYFUNCTION("""COMPUTED_VALUE"""),"6000 earth damage. Stun 3.")</f>
        <v>6000 earth damage. Stun 3.</v>
      </c>
      <c r="F188" s="16" t="str">
        <f>IFERROR(__xludf.DUMMYFUNCTION("""COMPUTED_VALUE"""),"Natural/Hit Or Miss")</f>
        <v>Natural/Hit Or Miss</v>
      </c>
      <c r="G188" s="18">
        <f>IFERROR(__xludf.DUMMYFUNCTION("""COMPUTED_VALUE"""),1.0)</f>
        <v>1</v>
      </c>
      <c r="H188" s="42" t="str">
        <f>IFERROR(__xludf.DUMMYFUNCTION("""COMPUTED_VALUE"""),"Earth")</f>
        <v>Earth</v>
      </c>
      <c r="I188" s="20" t="str">
        <f>IFERROR(__xludf.DUMMYFUNCTION("""COMPUTED_VALUE"""),"Mob")</f>
        <v>Mob</v>
      </c>
      <c r="J188" s="21" t="b">
        <f>IFERROR(__xludf.DUMMYFUNCTION("""COMPUTED_VALUE"""),TRUE)</f>
        <v>1</v>
      </c>
      <c r="K188" s="21" t="str">
        <f>IFERROR(__xludf.DUMMYFUNCTION("""COMPUTED_VALUE"""),"Event Power")</f>
        <v>Event Power</v>
      </c>
      <c r="L188" s="21" t="b">
        <f>IFERROR(__xludf.DUMMYFUNCTION("""COMPUTED_VALUE"""),TRUE)</f>
        <v>1</v>
      </c>
      <c r="M188" s="21" t="b">
        <f>IFERROR(__xludf.DUMMYFUNCTION("""COMPUTED_VALUE"""),TRUE)</f>
        <v>1</v>
      </c>
      <c r="N188" s="1"/>
      <c r="O188" s="1"/>
      <c r="P188" s="1"/>
      <c r="Q188" s="1"/>
      <c r="R188" s="1"/>
      <c r="S188" s="1"/>
      <c r="T188" s="1"/>
      <c r="U188" s="1"/>
      <c r="V188" s="1"/>
      <c r="W188" s="1"/>
      <c r="X188" s="1"/>
      <c r="Y188" s="1"/>
      <c r="Z188" s="1"/>
    </row>
    <row r="189" ht="15.75" customHeight="1">
      <c r="A189" s="16" t="str">
        <f>IFERROR(__xludf.DUMMYFUNCTION("""COMPUTED_VALUE"""),"Tremor")</f>
        <v>Tremor</v>
      </c>
      <c r="B189" s="17">
        <f>IFERROR(__xludf.DUMMYFUNCTION("""COMPUTED_VALUE"""),3.0)</f>
        <v>3</v>
      </c>
      <c r="C189" s="16" t="str">
        <f>IFERROR(__xludf.DUMMYFUNCTION("""COMPUTED_VALUE"""),"d12*20")</f>
        <v>d12*20</v>
      </c>
      <c r="D189" s="16"/>
      <c r="E189"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16" t="str">
        <f>IFERROR(__xludf.DUMMYFUNCTION("""COMPUTED_VALUE"""),"Cannot Avoid")</f>
        <v>Cannot Avoid</v>
      </c>
      <c r="G189" s="18"/>
      <c r="H189" s="42" t="str">
        <f>IFERROR(__xludf.DUMMYFUNCTION("""COMPUTED_VALUE"""),"Earth")</f>
        <v>Earth</v>
      </c>
      <c r="I189" s="20" t="str">
        <f>IFERROR(__xludf.DUMMYFUNCTION("""COMPUTED_VALUE"""),"Player")</f>
        <v>Player</v>
      </c>
      <c r="J189" s="21" t="b">
        <f>IFERROR(__xludf.DUMMYFUNCTION("""COMPUTED_VALUE"""),FALSE)</f>
        <v>0</v>
      </c>
      <c r="K189" s="21"/>
      <c r="L189" s="21" t="b">
        <f>IFERROR(__xludf.DUMMYFUNCTION("""COMPUTED_VALUE"""),FALSE)</f>
        <v>0</v>
      </c>
      <c r="M189" s="21" t="b">
        <f>IFERROR(__xludf.DUMMYFUNCTION("""COMPUTED_VALUE"""),FALSE)</f>
        <v>0</v>
      </c>
      <c r="N189" s="1"/>
      <c r="O189" s="1"/>
      <c r="P189" s="1"/>
      <c r="Q189" s="1"/>
      <c r="R189" s="1"/>
      <c r="S189" s="1"/>
      <c r="T189" s="1"/>
      <c r="U189" s="1"/>
      <c r="V189" s="1"/>
      <c r="W189" s="1"/>
      <c r="X189" s="1"/>
      <c r="Y189" s="1"/>
      <c r="Z189" s="1"/>
    </row>
    <row r="190" ht="15.75" customHeight="1">
      <c r="A190" s="16" t="str">
        <f>IFERROR(__xludf.DUMMYFUNCTION("""COMPUTED_VALUE"""),"Call of Gaia")</f>
        <v>Call of Gaia</v>
      </c>
      <c r="B190" s="17">
        <f>IFERROR(__xludf.DUMMYFUNCTION("""COMPUTED_VALUE"""),1.0)</f>
        <v>1</v>
      </c>
      <c r="C190" s="16">
        <f>IFERROR(__xludf.DUMMYFUNCTION("""COMPUTED_VALUE"""),0.0)</f>
        <v>0</v>
      </c>
      <c r="D190" s="16"/>
      <c r="E190" s="16" t="str">
        <f>IFERROR(__xludf.DUMMYFUNCTION("""COMPUTED_VALUE"""),"Summon a d4 of Gaia's Paladins.")</f>
        <v>Summon a d4 of Gaia's Paladins.</v>
      </c>
      <c r="F190" s="16" t="str">
        <f>IFERROR(__xludf.DUMMYFUNCTION("""COMPUTED_VALUE"""),"Natural/Fail or Succeed")</f>
        <v>Natural/Fail or Succeed</v>
      </c>
      <c r="G190" s="18" t="str">
        <f>IFERROR(__xludf.DUMMYFUNCTION("""COMPUTED_VALUE"""),"Self")</f>
        <v>Self</v>
      </c>
      <c r="H190" s="42" t="str">
        <f>IFERROR(__xludf.DUMMYFUNCTION("""COMPUTED_VALUE"""),"Earth")</f>
        <v>Earth</v>
      </c>
      <c r="I190" s="20" t="str">
        <f>IFERROR(__xludf.DUMMYFUNCTION("""COMPUTED_VALUE"""),"Mob")</f>
        <v>Mob</v>
      </c>
      <c r="J190" s="21" t="b">
        <f>IFERROR(__xludf.DUMMYFUNCTION("""COMPUTED_VALUE"""),TRUE)</f>
        <v>1</v>
      </c>
      <c r="K190" s="21" t="str">
        <f>IFERROR(__xludf.DUMMYFUNCTION("""COMPUTED_VALUE"""),"mob power")</f>
        <v>mob power</v>
      </c>
      <c r="L190" s="21" t="b">
        <f>IFERROR(__xludf.DUMMYFUNCTION("""COMPUTED_VALUE"""),FALSE)</f>
        <v>0</v>
      </c>
      <c r="M190" s="21" t="b">
        <f>IFERROR(__xludf.DUMMYFUNCTION("""COMPUTED_VALUE"""),FALSE)</f>
        <v>0</v>
      </c>
      <c r="N190" s="1"/>
      <c r="O190" s="1"/>
      <c r="P190" s="1"/>
      <c r="Q190" s="1"/>
      <c r="R190" s="1"/>
      <c r="S190" s="1"/>
      <c r="T190" s="1"/>
      <c r="U190" s="1"/>
      <c r="V190" s="1"/>
      <c r="W190" s="1"/>
      <c r="X190" s="1"/>
      <c r="Y190" s="1"/>
      <c r="Z190" s="1"/>
    </row>
    <row r="191" ht="15.75" customHeight="1">
      <c r="A191" s="16" t="str">
        <f>IFERROR(__xludf.DUMMYFUNCTION("""COMPUTED_VALUE"""),"Rock Shot")</f>
        <v>Rock Shot</v>
      </c>
      <c r="B191" s="17">
        <f>IFERROR(__xludf.DUMMYFUNCTION("""COMPUTED_VALUE"""),1.0)</f>
        <v>1</v>
      </c>
      <c r="C191" s="16" t="str">
        <f>IFERROR(__xludf.DUMMYFUNCTION("""COMPUTED_VALUE"""),"X")</f>
        <v>X</v>
      </c>
      <c r="D191" s="16"/>
      <c r="E191" s="16" t="str">
        <f>IFERROR(__xludf.DUMMYFUNCTION("""COMPUTED_VALUE"""),"Deals X*100 Earth damage to a single enemy where X is equal to SP spent.")</f>
        <v>Deals X*100 Earth damage to a single enemy where X is equal to SP spent.</v>
      </c>
      <c r="F191" s="16" t="str">
        <f>IFERROR(__xludf.DUMMYFUNCTION("""COMPUTED_VALUE"""),"Hit/Miss")</f>
        <v>Hit/Miss</v>
      </c>
      <c r="G191" s="18">
        <f>IFERROR(__xludf.DUMMYFUNCTION("""COMPUTED_VALUE"""),1.0)</f>
        <v>1</v>
      </c>
      <c r="H191" s="42" t="str">
        <f>IFERROR(__xludf.DUMMYFUNCTION("""COMPUTED_VALUE"""),"Earth")</f>
        <v>Earth</v>
      </c>
      <c r="I191" s="20" t="str">
        <f>IFERROR(__xludf.DUMMYFUNCTION("""COMPUTED_VALUE"""),"Player")</f>
        <v>Player</v>
      </c>
      <c r="J191" s="21" t="b">
        <f>IFERROR(__xludf.DUMMYFUNCTION("""COMPUTED_VALUE"""),FALSE)</f>
        <v>0</v>
      </c>
      <c r="K191" s="21"/>
      <c r="L191" s="21" t="b">
        <f>IFERROR(__xludf.DUMMYFUNCTION("""COMPUTED_VALUE"""),FALSE)</f>
        <v>0</v>
      </c>
      <c r="M191" s="21" t="b">
        <f>IFERROR(__xludf.DUMMYFUNCTION("""COMPUTED_VALUE"""),FALSE)</f>
        <v>0</v>
      </c>
      <c r="N191" s="1"/>
      <c r="O191" s="1"/>
      <c r="P191" s="1"/>
      <c r="Q191" s="1"/>
      <c r="R191" s="1"/>
      <c r="S191" s="1"/>
      <c r="T191" s="1"/>
      <c r="U191" s="1"/>
      <c r="V191" s="1"/>
      <c r="W191" s="1"/>
      <c r="X191" s="1"/>
      <c r="Y191" s="1"/>
      <c r="Z191" s="1"/>
    </row>
    <row r="192" ht="15.75" customHeight="1">
      <c r="A192" s="16" t="str">
        <f>IFERROR(__xludf.DUMMYFUNCTION("""COMPUTED_VALUE"""),"Petrification")</f>
        <v>Petrification</v>
      </c>
      <c r="B192" s="17">
        <f>IFERROR(__xludf.DUMMYFUNCTION("""COMPUTED_VALUE"""),5.0)</f>
        <v>5</v>
      </c>
      <c r="C192" s="16" t="str">
        <f>IFERROR(__xludf.DUMMYFUNCTION("""COMPUTED_VALUE"""),"X")</f>
        <v>X</v>
      </c>
      <c r="D192" s="16"/>
      <c r="E192" s="16" t="str">
        <f>IFERROR(__xludf.DUMMYFUNCTION("""COMPUTED_VALUE"""),"Deals X*50 Earth damage per round for 3 rounds to a single target where X is equal to SP spent.")</f>
        <v>Deals X*50 Earth damage per round for 3 rounds to a single target where X is equal to SP spent.</v>
      </c>
      <c r="F192" s="16" t="str">
        <f>IFERROR(__xludf.DUMMYFUNCTION("""COMPUTED_VALUE"""),"Hit/Miss")</f>
        <v>Hit/Miss</v>
      </c>
      <c r="G192" s="18">
        <f>IFERROR(__xludf.DUMMYFUNCTION("""COMPUTED_VALUE"""),1.0)</f>
        <v>1</v>
      </c>
      <c r="H192" s="42" t="str">
        <f>IFERROR(__xludf.DUMMYFUNCTION("""COMPUTED_VALUE"""),"Earth")</f>
        <v>Earth</v>
      </c>
      <c r="I192" s="20" t="str">
        <f>IFERROR(__xludf.DUMMYFUNCTION("""COMPUTED_VALUE"""),"Player")</f>
        <v>Player</v>
      </c>
      <c r="J192" s="21" t="b">
        <f>IFERROR(__xludf.DUMMYFUNCTION("""COMPUTED_VALUE"""),FALSE)</f>
        <v>0</v>
      </c>
      <c r="K192" s="21"/>
      <c r="L192" s="21" t="b">
        <f>IFERROR(__xludf.DUMMYFUNCTION("""COMPUTED_VALUE"""),FALSE)</f>
        <v>0</v>
      </c>
      <c r="M192" s="21" t="b">
        <f>IFERROR(__xludf.DUMMYFUNCTION("""COMPUTED_VALUE"""),FALSE)</f>
        <v>0</v>
      </c>
      <c r="N192" s="1"/>
      <c r="O192" s="1"/>
      <c r="P192" s="1"/>
      <c r="Q192" s="1"/>
      <c r="R192" s="1"/>
      <c r="S192" s="1"/>
      <c r="T192" s="1"/>
      <c r="U192" s="1"/>
      <c r="V192" s="1"/>
      <c r="W192" s="1"/>
      <c r="X192" s="1"/>
      <c r="Y192" s="1"/>
      <c r="Z192" s="1"/>
    </row>
    <row r="193" ht="15.75" customHeight="1">
      <c r="A193" s="16" t="str">
        <f>IFERROR(__xludf.DUMMYFUNCTION("""COMPUTED_VALUE"""),"Earthquake")</f>
        <v>Earthquake</v>
      </c>
      <c r="B193" s="17">
        <f>IFERROR(__xludf.DUMMYFUNCTION("""COMPUTED_VALUE"""),5.0)</f>
        <v>5</v>
      </c>
      <c r="C193" s="16" t="str">
        <f>IFERROR(__xludf.DUMMYFUNCTION("""COMPUTED_VALUE"""),"d20*40")</f>
        <v>d20*40</v>
      </c>
      <c r="D193" s="16"/>
      <c r="E193"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16" t="str">
        <f>IFERROR(__xludf.DUMMYFUNCTION("""COMPUTED_VALUE"""),"Cannot Avoid")</f>
        <v>Cannot Avoid</v>
      </c>
      <c r="G193" s="18" t="str">
        <f>IFERROR(__xludf.DUMMYFUNCTION("""COMPUTED_VALUE"""),"All")</f>
        <v>All</v>
      </c>
      <c r="H193" s="42" t="str">
        <f>IFERROR(__xludf.DUMMYFUNCTION("""COMPUTED_VALUE"""),"Earth")</f>
        <v>Earth</v>
      </c>
      <c r="I193" s="20" t="str">
        <f>IFERROR(__xludf.DUMMYFUNCTION("""COMPUTED_VALUE"""),"Player")</f>
        <v>Player</v>
      </c>
      <c r="J193" s="21" t="b">
        <f>IFERROR(__xludf.DUMMYFUNCTION("""COMPUTED_VALUE"""),FALSE)</f>
        <v>0</v>
      </c>
      <c r="K193" s="21"/>
      <c r="L193" s="21" t="b">
        <f>IFERROR(__xludf.DUMMYFUNCTION("""COMPUTED_VALUE"""),FALSE)</f>
        <v>0</v>
      </c>
      <c r="M193" s="21" t="b">
        <f>IFERROR(__xludf.DUMMYFUNCTION("""COMPUTED_VALUE"""),FALSE)</f>
        <v>0</v>
      </c>
      <c r="N193" s="1"/>
      <c r="O193" s="1"/>
      <c r="P193" s="1"/>
      <c r="Q193" s="1"/>
      <c r="R193" s="1"/>
      <c r="S193" s="1"/>
      <c r="T193" s="1"/>
      <c r="U193" s="1"/>
      <c r="V193" s="1"/>
      <c r="W193" s="1"/>
      <c r="X193" s="1"/>
      <c r="Y193" s="1"/>
      <c r="Z193" s="1"/>
    </row>
    <row r="194" ht="15.75" customHeight="1">
      <c r="A194" s="16" t="str">
        <f>IFERROR(__xludf.DUMMYFUNCTION("""COMPUTED_VALUE"""),"Mass Petrification")</f>
        <v>Mass Petrification</v>
      </c>
      <c r="B194" s="17">
        <f>IFERROR(__xludf.DUMMYFUNCTION("""COMPUTED_VALUE"""),6.0)</f>
        <v>6</v>
      </c>
      <c r="C194" s="16" t="str">
        <f>IFERROR(__xludf.DUMMYFUNCTION("""COMPUTED_VALUE"""),"X")</f>
        <v>X</v>
      </c>
      <c r="D194" s="16"/>
      <c r="E194" s="16" t="str">
        <f>IFERROR(__xludf.DUMMYFUNCTION("""COMPUTED_VALUE"""),"Deals X*10 Earth damage per round to all enemies for 3 rounds where X is equal to SP spent.")</f>
        <v>Deals X*10 Earth damage per round to all enemies for 3 rounds where X is equal to SP spent.</v>
      </c>
      <c r="F194" s="16" t="str">
        <f>IFERROR(__xludf.DUMMYFUNCTION("""COMPUTED_VALUE"""),"Cannot Avoid")</f>
        <v>Cannot Avoid</v>
      </c>
      <c r="G194" s="18" t="str">
        <f>IFERROR(__xludf.DUMMYFUNCTION("""COMPUTED_VALUE"""),"All")</f>
        <v>All</v>
      </c>
      <c r="H194" s="42" t="str">
        <f>IFERROR(__xludf.DUMMYFUNCTION("""COMPUTED_VALUE"""),"Earth")</f>
        <v>Earth</v>
      </c>
      <c r="I194" s="20" t="str">
        <f>IFERROR(__xludf.DUMMYFUNCTION("""COMPUTED_VALUE"""),"Player")</f>
        <v>Player</v>
      </c>
      <c r="J194" s="21" t="b">
        <f>IFERROR(__xludf.DUMMYFUNCTION("""COMPUTED_VALUE"""),FALSE)</f>
        <v>0</v>
      </c>
      <c r="K194" s="21"/>
      <c r="L194" s="21" t="b">
        <f>IFERROR(__xludf.DUMMYFUNCTION("""COMPUTED_VALUE"""),FALSE)</f>
        <v>0</v>
      </c>
      <c r="M194" s="21" t="b">
        <f>IFERROR(__xludf.DUMMYFUNCTION("""COMPUTED_VALUE"""),FALSE)</f>
        <v>0</v>
      </c>
      <c r="N194" s="1"/>
      <c r="O194" s="1"/>
      <c r="P194" s="1"/>
      <c r="Q194" s="1"/>
      <c r="R194" s="1"/>
      <c r="S194" s="1"/>
      <c r="T194" s="1"/>
      <c r="U194" s="1"/>
      <c r="V194" s="1"/>
      <c r="W194" s="1"/>
      <c r="X194" s="1"/>
      <c r="Y194" s="1"/>
      <c r="Z194" s="1"/>
    </row>
    <row r="195" ht="15.75" customHeight="1">
      <c r="A195" s="16" t="str">
        <f>IFERROR(__xludf.DUMMYFUNCTION("""COMPUTED_VALUE"""),"Breaking Earth")</f>
        <v>Breaking Earth</v>
      </c>
      <c r="B195" s="17">
        <f>IFERROR(__xludf.DUMMYFUNCTION("""COMPUTED_VALUE"""),6.0)</f>
        <v>6</v>
      </c>
      <c r="C195" s="16" t="str">
        <f>IFERROR(__xludf.DUMMYFUNCTION("""COMPUTED_VALUE"""),"X")</f>
        <v>X</v>
      </c>
      <c r="D195" s="16"/>
      <c r="E195" s="16" t="str">
        <f>IFERROR(__xludf.DUMMYFUNCTION("""COMPUTED_VALUE"""),"Deals X*25 Earth damage to all enemies where X is equal to SP spent.")</f>
        <v>Deals X*25 Earth damage to all enemies where X is equal to SP spent.</v>
      </c>
      <c r="F195" s="16" t="str">
        <f>IFERROR(__xludf.DUMMYFUNCTION("""COMPUTED_VALUE"""),"Cannot Avoid")</f>
        <v>Cannot Avoid</v>
      </c>
      <c r="G195" s="18" t="str">
        <f>IFERROR(__xludf.DUMMYFUNCTION("""COMPUTED_VALUE"""),"All")</f>
        <v>All</v>
      </c>
      <c r="H195" s="42" t="str">
        <f>IFERROR(__xludf.DUMMYFUNCTION("""COMPUTED_VALUE"""),"Earth")</f>
        <v>Earth</v>
      </c>
      <c r="I195" s="20" t="str">
        <f>IFERROR(__xludf.DUMMYFUNCTION("""COMPUTED_VALUE"""),"Player")</f>
        <v>Player</v>
      </c>
      <c r="J195" s="21" t="b">
        <f>IFERROR(__xludf.DUMMYFUNCTION("""COMPUTED_VALUE"""),FALSE)</f>
        <v>0</v>
      </c>
      <c r="K195" s="21"/>
      <c r="L195" s="21" t="b">
        <f>IFERROR(__xludf.DUMMYFUNCTION("""COMPUTED_VALUE"""),FALSE)</f>
        <v>0</v>
      </c>
      <c r="M195" s="21" t="b">
        <f>IFERROR(__xludf.DUMMYFUNCTION("""COMPUTED_VALUE"""),FALSE)</f>
        <v>0</v>
      </c>
      <c r="N195" s="1"/>
      <c r="O195" s="1"/>
      <c r="P195" s="1"/>
      <c r="Q195" s="1"/>
      <c r="R195" s="1"/>
      <c r="S195" s="1"/>
      <c r="T195" s="1"/>
      <c r="U195" s="1"/>
      <c r="V195" s="1"/>
      <c r="W195" s="1"/>
      <c r="X195" s="1"/>
      <c r="Y195" s="1"/>
      <c r="Z195" s="1"/>
    </row>
    <row r="196" ht="15.75" customHeight="1">
      <c r="A196" s="16" t="str">
        <f>IFERROR(__xludf.DUMMYFUNCTION("""COMPUTED_VALUE"""),"Blazing Scratch")</f>
        <v>Blazing Scratch</v>
      </c>
      <c r="B196" s="17">
        <f>IFERROR(__xludf.DUMMYFUNCTION("""COMPUTED_VALUE"""),0.0)</f>
        <v>0</v>
      </c>
      <c r="C196" s="22">
        <f>IFERROR(__xludf.DUMMYFUNCTION("""COMPUTED_VALUE"""),0.0)</f>
        <v>0</v>
      </c>
      <c r="D196" s="16"/>
      <c r="E196" s="16" t="str">
        <f>IFERROR(__xludf.DUMMYFUNCTION("""COMPUTED_VALUE"""),"5000 fire damage to all enemies, -5 evasion to all enemies for 3 rounds.")</f>
        <v>5000 fire damage to all enemies, -5 evasion to all enemies for 3 rounds.</v>
      </c>
      <c r="F196" s="16" t="str">
        <f>IFERROR(__xludf.DUMMYFUNCTION("""COMPUTED_VALUE"""),"Natural/Cannot Avoid")</f>
        <v>Natural/Cannot Avoid</v>
      </c>
      <c r="G196" s="18" t="str">
        <f>IFERROR(__xludf.DUMMYFUNCTION("""COMPUTED_VALUE"""),"All")</f>
        <v>All</v>
      </c>
      <c r="H196" s="42" t="str">
        <f>IFERROR(__xludf.DUMMYFUNCTION("""COMPUTED_VALUE"""),"Fire")</f>
        <v>Fire</v>
      </c>
      <c r="I196" s="20" t="str">
        <f>IFERROR(__xludf.DUMMYFUNCTION("""COMPUTED_VALUE"""),"Mob")</f>
        <v>Mob</v>
      </c>
      <c r="J196" s="21" t="b">
        <f>IFERROR(__xludf.DUMMYFUNCTION("""COMPUTED_VALUE"""),TRUE)</f>
        <v>1</v>
      </c>
      <c r="K196" s="21"/>
      <c r="L196" s="21" t="b">
        <f>IFERROR(__xludf.DUMMYFUNCTION("""COMPUTED_VALUE"""),FALSE)</f>
        <v>0</v>
      </c>
      <c r="M196" s="21" t="b">
        <f>IFERROR(__xludf.DUMMYFUNCTION("""COMPUTED_VALUE"""),FALSE)</f>
        <v>0</v>
      </c>
      <c r="N196" s="1"/>
      <c r="O196" s="1"/>
      <c r="P196" s="1"/>
      <c r="Q196" s="1"/>
      <c r="R196" s="1"/>
      <c r="S196" s="1"/>
      <c r="T196" s="1"/>
      <c r="U196" s="1"/>
      <c r="V196" s="1"/>
      <c r="W196" s="1"/>
      <c r="X196" s="1"/>
      <c r="Y196" s="1"/>
      <c r="Z196" s="1"/>
    </row>
    <row r="197" ht="15.75" customHeight="1">
      <c r="A197" s="16" t="str">
        <f>IFERROR(__xludf.DUMMYFUNCTION("""COMPUTED_VALUE"""),"Calm Fire")</f>
        <v>Calm Fire</v>
      </c>
      <c r="B197" s="17">
        <f>IFERROR(__xludf.DUMMYFUNCTION("""COMPUTED_VALUE"""),7.0)</f>
        <v>7</v>
      </c>
      <c r="C197" s="16">
        <f>IFERROR(__xludf.DUMMYFUNCTION("""COMPUTED_VALUE"""),100.0)</f>
        <v>100</v>
      </c>
      <c r="D197" s="16"/>
      <c r="E197" s="16" t="str">
        <f>IFERROR(__xludf.DUMMYFUNCTION("""COMPUTED_VALUE"""),"Negate X points of fire damage")</f>
        <v>Negate X points of fire damage</v>
      </c>
      <c r="F197" s="16" t="str">
        <f>IFERROR(__xludf.DUMMYFUNCTION("""COMPUTED_VALUE"""),"Fail/Succeed")</f>
        <v>Fail/Succeed</v>
      </c>
      <c r="G197" s="18"/>
      <c r="H197" s="42" t="str">
        <f>IFERROR(__xludf.DUMMYFUNCTION("""COMPUTED_VALUE"""),"Fire")</f>
        <v>Fire</v>
      </c>
      <c r="I197" s="20" t="str">
        <f>IFERROR(__xludf.DUMMYFUNCTION("""COMPUTED_VALUE"""),"Player")</f>
        <v>Player</v>
      </c>
      <c r="J197" s="21" t="b">
        <f>IFERROR(__xludf.DUMMYFUNCTION("""COMPUTED_VALUE"""),FALSE)</f>
        <v>0</v>
      </c>
      <c r="K197" s="21"/>
      <c r="L197" s="21" t="b">
        <f>IFERROR(__xludf.DUMMYFUNCTION("""COMPUTED_VALUE"""),FALSE)</f>
        <v>0</v>
      </c>
      <c r="M197" s="21" t="b">
        <f>IFERROR(__xludf.DUMMYFUNCTION("""COMPUTED_VALUE"""),FALSE)</f>
        <v>0</v>
      </c>
      <c r="N197" s="1"/>
      <c r="O197" s="1"/>
      <c r="P197" s="1"/>
      <c r="Q197" s="1"/>
      <c r="R197" s="1"/>
      <c r="S197" s="1"/>
      <c r="T197" s="1"/>
      <c r="U197" s="1"/>
      <c r="V197" s="1"/>
      <c r="W197" s="1"/>
      <c r="X197" s="1"/>
      <c r="Y197" s="1"/>
      <c r="Z197" s="1"/>
    </row>
    <row r="198" ht="15.75" customHeight="1">
      <c r="A198" s="16" t="str">
        <f>IFERROR(__xludf.DUMMYFUNCTION("""COMPUTED_VALUE"""),"Curse Of Heatmore")</f>
        <v>Curse Of Heatmore</v>
      </c>
      <c r="B198" s="17">
        <f>IFERROR(__xludf.DUMMYFUNCTION("""COMPUTED_VALUE"""),0.0)</f>
        <v>0</v>
      </c>
      <c r="C198" s="22">
        <f>IFERROR(__xludf.DUMMYFUNCTION("""COMPUTED_VALUE"""),0.0)</f>
        <v>0</v>
      </c>
      <c r="D198" s="16"/>
      <c r="E198" s="16"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16" t="str">
        <f>IFERROR(__xludf.DUMMYFUNCTION("""COMPUTED_VALUE"""),"Fail or Succeed")</f>
        <v>Fail or Succeed</v>
      </c>
      <c r="G198" s="18">
        <f>IFERROR(__xludf.DUMMYFUNCTION("""COMPUTED_VALUE"""),1.0)</f>
        <v>1</v>
      </c>
      <c r="H198" s="42" t="str">
        <f>IFERROR(__xludf.DUMMYFUNCTION("""COMPUTED_VALUE"""),"Fire")</f>
        <v>Fire</v>
      </c>
      <c r="I198" s="20" t="str">
        <f>IFERROR(__xludf.DUMMYFUNCTION("""COMPUTED_VALUE"""),"Mob")</f>
        <v>Mob</v>
      </c>
      <c r="J198" s="21" t="b">
        <f>IFERROR(__xludf.DUMMYFUNCTION("""COMPUTED_VALUE"""),TRUE)</f>
        <v>1</v>
      </c>
      <c r="K198" s="21"/>
      <c r="L198" s="21" t="b">
        <f>IFERROR(__xludf.DUMMYFUNCTION("""COMPUTED_VALUE"""),FALSE)</f>
        <v>0</v>
      </c>
      <c r="M198" s="21" t="b">
        <f>IFERROR(__xludf.DUMMYFUNCTION("""COMPUTED_VALUE"""),FALSE)</f>
        <v>0</v>
      </c>
      <c r="N198" s="1"/>
      <c r="O198" s="1"/>
      <c r="P198" s="1"/>
      <c r="Q198" s="1"/>
      <c r="R198" s="1"/>
      <c r="S198" s="1"/>
      <c r="T198" s="1"/>
      <c r="U198" s="1"/>
      <c r="V198" s="1"/>
      <c r="W198" s="1"/>
      <c r="X198" s="1"/>
      <c r="Y198" s="1"/>
      <c r="Z198" s="1"/>
    </row>
    <row r="199" ht="15.75" customHeight="1">
      <c r="A199" s="16" t="str">
        <f>IFERROR(__xludf.DUMMYFUNCTION("""COMPUTED_VALUE"""),"Divine Flame Cloak")</f>
        <v>Divine Flame Cloak</v>
      </c>
      <c r="B199" s="17">
        <f>IFERROR(__xludf.DUMMYFUNCTION("""COMPUTED_VALUE"""),9.0)</f>
        <v>9</v>
      </c>
      <c r="C199" s="22">
        <f>IFERROR(__xludf.DUMMYFUNCTION("""COMPUTED_VALUE"""),10000.0)</f>
        <v>10000</v>
      </c>
      <c r="D199" s="16"/>
      <c r="E199" s="16" t="str">
        <f>IFERROR(__xludf.DUMMYFUNCTION("""COMPUTED_VALUE"""),"Caster is protected from all spells for 3 rounds.")</f>
        <v>Caster is protected from all spells for 3 rounds.</v>
      </c>
      <c r="F199" s="16" t="str">
        <f>IFERROR(__xludf.DUMMYFUNCTION("""COMPUTED_VALUE"""),"Fail/Succeed")</f>
        <v>Fail/Succeed</v>
      </c>
      <c r="G199" s="18" t="str">
        <f>IFERROR(__xludf.DUMMYFUNCTION("""COMPUTED_VALUE"""),"Self")</f>
        <v>Self</v>
      </c>
      <c r="H199" s="42" t="str">
        <f>IFERROR(__xludf.DUMMYFUNCTION("""COMPUTED_VALUE"""),"Fire")</f>
        <v>Fire</v>
      </c>
      <c r="I199" s="20" t="str">
        <f>IFERROR(__xludf.DUMMYFUNCTION("""COMPUTED_VALUE"""),"Mob")</f>
        <v>Mob</v>
      </c>
      <c r="J199" s="21" t="b">
        <f>IFERROR(__xludf.DUMMYFUNCTION("""COMPUTED_VALUE"""),TRUE)</f>
        <v>1</v>
      </c>
      <c r="K199" s="21"/>
      <c r="L199" s="21" t="b">
        <f>IFERROR(__xludf.DUMMYFUNCTION("""COMPUTED_VALUE"""),FALSE)</f>
        <v>0</v>
      </c>
      <c r="M199" s="21" t="b">
        <f>IFERROR(__xludf.DUMMYFUNCTION("""COMPUTED_VALUE"""),FALSE)</f>
        <v>0</v>
      </c>
      <c r="N199" s="1"/>
      <c r="O199" s="1"/>
      <c r="P199" s="1"/>
      <c r="Q199" s="1"/>
      <c r="R199" s="1"/>
      <c r="S199" s="1"/>
      <c r="T199" s="1"/>
      <c r="U199" s="1"/>
      <c r="V199" s="1"/>
      <c r="W199" s="1"/>
      <c r="X199" s="1"/>
      <c r="Y199" s="1"/>
      <c r="Z199" s="1"/>
    </row>
    <row r="200" ht="15.75" customHeight="1">
      <c r="A200" s="16" t="str">
        <f>IFERROR(__xludf.DUMMYFUNCTION("""COMPUTED_VALUE"""),"Fiery Acidic Spit")</f>
        <v>Fiery Acidic Spit</v>
      </c>
      <c r="B200" s="17">
        <f>IFERROR(__xludf.DUMMYFUNCTION("""COMPUTED_VALUE"""),1.0)</f>
        <v>1</v>
      </c>
      <c r="C200" s="22">
        <f>IFERROR(__xludf.DUMMYFUNCTION("""COMPUTED_VALUE"""),0.0)</f>
        <v>0</v>
      </c>
      <c r="D200" s="16"/>
      <c r="E200" s="16" t="str">
        <f>IFERROR(__xludf.DUMMYFUNCTION("""COMPUTED_VALUE"""),"20,000 Fire damage to all enemies, Poison and Burn 10,000 for 3 rounds to all enemies.")</f>
        <v>20,000 Fire damage to all enemies, Poison and Burn 10,000 for 3 rounds to all enemies.</v>
      </c>
      <c r="F200" s="16" t="str">
        <f>IFERROR(__xludf.DUMMYFUNCTION("""COMPUTED_VALUE"""),"Natural/Cannot Avoid")</f>
        <v>Natural/Cannot Avoid</v>
      </c>
      <c r="G200" s="18" t="str">
        <f>IFERROR(__xludf.DUMMYFUNCTION("""COMPUTED_VALUE"""),"All")</f>
        <v>All</v>
      </c>
      <c r="H200" s="42" t="str">
        <f>IFERROR(__xludf.DUMMYFUNCTION("""COMPUTED_VALUE"""),"Fire")</f>
        <v>Fire</v>
      </c>
      <c r="I200" s="20" t="str">
        <f>IFERROR(__xludf.DUMMYFUNCTION("""COMPUTED_VALUE"""),"Mob")</f>
        <v>Mob</v>
      </c>
      <c r="J200" s="21" t="b">
        <f>IFERROR(__xludf.DUMMYFUNCTION("""COMPUTED_VALUE"""),TRUE)</f>
        <v>1</v>
      </c>
      <c r="K200" s="21"/>
      <c r="L200" s="21" t="b">
        <f>IFERROR(__xludf.DUMMYFUNCTION("""COMPUTED_VALUE"""),FALSE)</f>
        <v>0</v>
      </c>
      <c r="M200" s="21" t="b">
        <f>IFERROR(__xludf.DUMMYFUNCTION("""COMPUTED_VALUE"""),FALSE)</f>
        <v>0</v>
      </c>
      <c r="N200" s="1"/>
      <c r="O200" s="1"/>
      <c r="P200" s="1"/>
      <c r="Q200" s="1"/>
      <c r="R200" s="1"/>
      <c r="S200" s="1"/>
      <c r="T200" s="1"/>
      <c r="U200" s="1"/>
      <c r="V200" s="1"/>
      <c r="W200" s="1"/>
      <c r="X200" s="1"/>
      <c r="Y200" s="1"/>
      <c r="Z200" s="1"/>
    </row>
    <row r="201" ht="15.75" customHeight="1">
      <c r="A201" s="16" t="str">
        <f>IFERROR(__xludf.DUMMYFUNCTION("""COMPUTED_VALUE"""),"Flame Sanctuary")</f>
        <v>Flame Sanctuary</v>
      </c>
      <c r="B201" s="17">
        <f>IFERROR(__xludf.DUMMYFUNCTION("""COMPUTED_VALUE"""),9.0)</f>
        <v>9</v>
      </c>
      <c r="C201" s="16">
        <f>IFERROR(__xludf.DUMMYFUNCTION("""COMPUTED_VALUE"""),300.0)</f>
        <v>300</v>
      </c>
      <c r="D201" s="16"/>
      <c r="E201"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16" t="str">
        <f>IFERROR(__xludf.DUMMYFUNCTION("""COMPUTED_VALUE"""),"Fail/Succeed")</f>
        <v>Fail/Succeed</v>
      </c>
      <c r="G201" s="18"/>
      <c r="H201" s="42" t="str">
        <f>IFERROR(__xludf.DUMMYFUNCTION("""COMPUTED_VALUE"""),"Fire")</f>
        <v>Fire</v>
      </c>
      <c r="I201" s="20" t="str">
        <f>IFERROR(__xludf.DUMMYFUNCTION("""COMPUTED_VALUE"""),"Player")</f>
        <v>Player</v>
      </c>
      <c r="J201" s="21" t="b">
        <f>IFERROR(__xludf.DUMMYFUNCTION("""COMPUTED_VALUE"""),FALSE)</f>
        <v>0</v>
      </c>
      <c r="K201" s="21"/>
      <c r="L201" s="21" t="b">
        <f>IFERROR(__xludf.DUMMYFUNCTION("""COMPUTED_VALUE"""),FALSE)</f>
        <v>0</v>
      </c>
      <c r="M201" s="21" t="b">
        <f>IFERROR(__xludf.DUMMYFUNCTION("""COMPUTED_VALUE"""),FALSE)</f>
        <v>0</v>
      </c>
      <c r="N201" s="1"/>
      <c r="O201" s="1"/>
      <c r="P201" s="1"/>
      <c r="Q201" s="1"/>
      <c r="R201" s="1"/>
      <c r="S201" s="1"/>
      <c r="T201" s="1"/>
      <c r="U201" s="1"/>
      <c r="V201" s="1"/>
      <c r="W201" s="1"/>
      <c r="X201" s="1"/>
      <c r="Y201" s="1"/>
      <c r="Z201" s="1"/>
    </row>
    <row r="202" ht="15.75" customHeight="1">
      <c r="A202" s="16" t="str">
        <f>IFERROR(__xludf.DUMMYFUNCTION("""COMPUTED_VALUE"""),"Flaming Bite")</f>
        <v>Flaming Bite</v>
      </c>
      <c r="B202" s="17">
        <f>IFERROR(__xludf.DUMMYFUNCTION("""COMPUTED_VALUE"""),1.0)</f>
        <v>1</v>
      </c>
      <c r="C202" s="16">
        <f>IFERROR(__xludf.DUMMYFUNCTION("""COMPUTED_VALUE"""),0.0)</f>
        <v>0</v>
      </c>
      <c r="D202" s="16"/>
      <c r="E202" s="16" t="str">
        <f>IFERROR(__xludf.DUMMYFUNCTION("""COMPUTED_VALUE"""),"Deal X*2 fire damage equal to the users attack, 50% chance to hit twice.")</f>
        <v>Deal X*2 fire damage equal to the users attack, 50% chance to hit twice.</v>
      </c>
      <c r="F202" s="16" t="str">
        <f>IFERROR(__xludf.DUMMYFUNCTION("""COMPUTED_VALUE"""),"Natural/Hit Or Miss")</f>
        <v>Natural/Hit Or Miss</v>
      </c>
      <c r="G202" s="18">
        <f>IFERROR(__xludf.DUMMYFUNCTION("""COMPUTED_VALUE"""),1.0)</f>
        <v>1</v>
      </c>
      <c r="H202" s="42" t="str">
        <f>IFERROR(__xludf.DUMMYFUNCTION("""COMPUTED_VALUE"""),"Fire")</f>
        <v>Fire</v>
      </c>
      <c r="I202" s="20" t="str">
        <f>IFERROR(__xludf.DUMMYFUNCTION("""COMPUTED_VALUE"""),"Mob")</f>
        <v>Mob</v>
      </c>
      <c r="J202" s="21" t="b">
        <f>IFERROR(__xludf.DUMMYFUNCTION("""COMPUTED_VALUE"""),TRUE)</f>
        <v>1</v>
      </c>
      <c r="K202" s="21"/>
      <c r="L202" s="21" t="b">
        <f>IFERROR(__xludf.DUMMYFUNCTION("""COMPUTED_VALUE"""),FALSE)</f>
        <v>0</v>
      </c>
      <c r="M202" s="21" t="b">
        <f>IFERROR(__xludf.DUMMYFUNCTION("""COMPUTED_VALUE"""),FALSE)</f>
        <v>0</v>
      </c>
      <c r="N202" s="1"/>
      <c r="O202" s="1"/>
      <c r="P202" s="1"/>
      <c r="Q202" s="1"/>
      <c r="R202" s="1"/>
      <c r="S202" s="1"/>
      <c r="T202" s="1"/>
      <c r="U202" s="1"/>
      <c r="V202" s="1"/>
      <c r="W202" s="1"/>
      <c r="X202" s="1"/>
      <c r="Y202" s="1"/>
      <c r="Z202" s="1"/>
    </row>
    <row r="203" ht="15.75" customHeight="1">
      <c r="A203" s="16" t="str">
        <f>IFERROR(__xludf.DUMMYFUNCTION("""COMPUTED_VALUE"""),"Flaming Golem Smash")</f>
        <v>Flaming Golem Smash</v>
      </c>
      <c r="B203" s="17">
        <f>IFERROR(__xludf.DUMMYFUNCTION("""COMPUTED_VALUE"""),1.0)</f>
        <v>1</v>
      </c>
      <c r="C203" s="16">
        <f>IFERROR(__xludf.DUMMYFUNCTION("""COMPUTED_VALUE"""),0.0)</f>
        <v>0</v>
      </c>
      <c r="D203" s="16"/>
      <c r="E203" s="16" t="str">
        <f>IFERROR(__xludf.DUMMYFUNCTION("""COMPUTED_VALUE"""),"All enemies take 10000 damage and 10000 fire damage, 50% chance to hit twice.")</f>
        <v>All enemies take 10000 damage and 10000 fire damage, 50% chance to hit twice.</v>
      </c>
      <c r="F203" s="16" t="str">
        <f>IFERROR(__xludf.DUMMYFUNCTION("""COMPUTED_VALUE"""),"Natural/Cannot Avoid")</f>
        <v>Natural/Cannot Avoid</v>
      </c>
      <c r="G203" s="18" t="str">
        <f>IFERROR(__xludf.DUMMYFUNCTION("""COMPUTED_VALUE"""),"All")</f>
        <v>All</v>
      </c>
      <c r="H203" s="42" t="str">
        <f>IFERROR(__xludf.DUMMYFUNCTION("""COMPUTED_VALUE"""),"Fire")</f>
        <v>Fire</v>
      </c>
      <c r="I203" s="20" t="str">
        <f>IFERROR(__xludf.DUMMYFUNCTION("""COMPUTED_VALUE"""),"Mob")</f>
        <v>Mob</v>
      </c>
      <c r="J203" s="21" t="b">
        <f>IFERROR(__xludf.DUMMYFUNCTION("""COMPUTED_VALUE"""),TRUE)</f>
        <v>1</v>
      </c>
      <c r="K203" s="21"/>
      <c r="L203" s="21" t="b">
        <f>IFERROR(__xludf.DUMMYFUNCTION("""COMPUTED_VALUE"""),FALSE)</f>
        <v>0</v>
      </c>
      <c r="M203" s="21" t="b">
        <f>IFERROR(__xludf.DUMMYFUNCTION("""COMPUTED_VALUE"""),FALSE)</f>
        <v>0</v>
      </c>
      <c r="N203" s="1"/>
      <c r="O203" s="1"/>
      <c r="P203" s="1"/>
      <c r="Q203" s="1"/>
      <c r="R203" s="1"/>
      <c r="S203" s="1"/>
      <c r="T203" s="1"/>
      <c r="U203" s="1"/>
      <c r="V203" s="1"/>
      <c r="W203" s="1"/>
      <c r="X203" s="1"/>
      <c r="Y203" s="1"/>
      <c r="Z203" s="1"/>
    </row>
    <row r="204" ht="15.75" customHeight="1">
      <c r="A204" s="16" t="str">
        <f>IFERROR(__xludf.DUMMYFUNCTION("""COMPUTED_VALUE"""),"Flaming Horns")</f>
        <v>Flaming Horns</v>
      </c>
      <c r="B204" s="17">
        <f>IFERROR(__xludf.DUMMYFUNCTION("""COMPUTED_VALUE"""),1.0)</f>
        <v>1</v>
      </c>
      <c r="C204" s="22">
        <f>IFERROR(__xludf.DUMMYFUNCTION("""COMPUTED_VALUE"""),0.0)</f>
        <v>0</v>
      </c>
      <c r="D204" s="16"/>
      <c r="E204" s="16" t="str">
        <f>IFERROR(__xludf.DUMMYFUNCTION("""COMPUTED_VALUE"""),"X damage and X Fire damage to 2 targets, where X is equal to the users attack.")</f>
        <v>X damage and X Fire damage to 2 targets, where X is equal to the users attack.</v>
      </c>
      <c r="F204" s="16" t="str">
        <f>IFERROR(__xludf.DUMMYFUNCTION("""COMPUTED_VALUE"""),"Natural/Hit or Miss")</f>
        <v>Natural/Hit or Miss</v>
      </c>
      <c r="G204" s="18">
        <f>IFERROR(__xludf.DUMMYFUNCTION("""COMPUTED_VALUE"""),2.0)</f>
        <v>2</v>
      </c>
      <c r="H204" s="42" t="str">
        <f>IFERROR(__xludf.DUMMYFUNCTION("""COMPUTED_VALUE"""),"Fire")</f>
        <v>Fire</v>
      </c>
      <c r="I204" s="20" t="str">
        <f>IFERROR(__xludf.DUMMYFUNCTION("""COMPUTED_VALUE"""),"Mob")</f>
        <v>Mob</v>
      </c>
      <c r="J204" s="21" t="b">
        <f>IFERROR(__xludf.DUMMYFUNCTION("""COMPUTED_VALUE"""),TRUE)</f>
        <v>1</v>
      </c>
      <c r="K204" s="21" t="str">
        <f>IFERROR(__xludf.DUMMYFUNCTION("""COMPUTED_VALUE"""),"Mob power")</f>
        <v>Mob power</v>
      </c>
      <c r="L204" s="21" t="b">
        <f>IFERROR(__xludf.DUMMYFUNCTION("""COMPUTED_VALUE"""),FALSE)</f>
        <v>0</v>
      </c>
      <c r="M204" s="21" t="b">
        <f>IFERROR(__xludf.DUMMYFUNCTION("""COMPUTED_VALUE"""),FALSE)</f>
        <v>0</v>
      </c>
      <c r="N204" s="1"/>
      <c r="O204" s="1"/>
      <c r="P204" s="1"/>
      <c r="Q204" s="1"/>
      <c r="R204" s="1"/>
      <c r="S204" s="1"/>
      <c r="T204" s="1"/>
      <c r="U204" s="1"/>
      <c r="V204" s="1"/>
      <c r="W204" s="1"/>
      <c r="X204" s="1"/>
      <c r="Y204" s="1"/>
      <c r="Z204" s="1"/>
    </row>
    <row r="205" ht="15.75" customHeight="1">
      <c r="A205" s="16" t="str">
        <f>IFERROR(__xludf.DUMMYFUNCTION("""COMPUTED_VALUE"""),"Flaming Spider Senses")</f>
        <v>Flaming Spider Senses</v>
      </c>
      <c r="B205" s="17">
        <f>IFERROR(__xludf.DUMMYFUNCTION("""COMPUTED_VALUE"""),1.0)</f>
        <v>1</v>
      </c>
      <c r="C205" s="22">
        <f>IFERROR(__xludf.DUMMYFUNCTION("""COMPUTED_VALUE"""),0.0)</f>
        <v>0</v>
      </c>
      <c r="D205" s="16"/>
      <c r="E205" s="16" t="str">
        <f>IFERROR(__xludf.DUMMYFUNCTION("""COMPUTED_VALUE"""),"Doubles the users next attack roll. Doubles fire damage for user.")</f>
        <v>Doubles the users next attack roll. Doubles fire damage for user.</v>
      </c>
      <c r="F205" s="16" t="str">
        <f>IFERROR(__xludf.DUMMYFUNCTION("""COMPUTED_VALUE"""),"Natural/Fail Or Succeed")</f>
        <v>Natural/Fail Or Succeed</v>
      </c>
      <c r="G205" s="18" t="str">
        <f>IFERROR(__xludf.DUMMYFUNCTION("""COMPUTED_VALUE"""),"Self")</f>
        <v>Self</v>
      </c>
      <c r="H205" s="42" t="str">
        <f>IFERROR(__xludf.DUMMYFUNCTION("""COMPUTED_VALUE"""),"Fire")</f>
        <v>Fire</v>
      </c>
      <c r="I205" s="20" t="str">
        <f>IFERROR(__xludf.DUMMYFUNCTION("""COMPUTED_VALUE"""),"Mob")</f>
        <v>Mob</v>
      </c>
      <c r="J205" s="21" t="b">
        <f>IFERROR(__xludf.DUMMYFUNCTION("""COMPUTED_VALUE"""),TRUE)</f>
        <v>1</v>
      </c>
      <c r="K205" s="21"/>
      <c r="L205" s="21" t="b">
        <f>IFERROR(__xludf.DUMMYFUNCTION("""COMPUTED_VALUE"""),FALSE)</f>
        <v>0</v>
      </c>
      <c r="M205" s="21" t="b">
        <f>IFERROR(__xludf.DUMMYFUNCTION("""COMPUTED_VALUE"""),FALSE)</f>
        <v>0</v>
      </c>
      <c r="N205" s="1"/>
      <c r="O205" s="1"/>
      <c r="P205" s="1"/>
      <c r="Q205" s="1"/>
      <c r="R205" s="1"/>
      <c r="S205" s="1"/>
      <c r="T205" s="1"/>
      <c r="U205" s="1"/>
      <c r="V205" s="1"/>
      <c r="W205" s="1"/>
      <c r="X205" s="1"/>
      <c r="Y205" s="1"/>
      <c r="Z205" s="1"/>
    </row>
    <row r="206" ht="15.75" customHeight="1">
      <c r="A206" s="16" t="str">
        <f>IFERROR(__xludf.DUMMYFUNCTION("""COMPUTED_VALUE"""),"Flaming Tail Smash")</f>
        <v>Flaming Tail Smash</v>
      </c>
      <c r="B206" s="17">
        <f>IFERROR(__xludf.DUMMYFUNCTION("""COMPUTED_VALUE"""),1.0)</f>
        <v>1</v>
      </c>
      <c r="C206" s="22">
        <f>IFERROR(__xludf.DUMMYFUNCTION("""COMPUTED_VALUE"""),0.0)</f>
        <v>0</v>
      </c>
      <c r="D206" s="16"/>
      <c r="E206" s="16" t="str">
        <f>IFERROR(__xludf.DUMMYFUNCTION("""COMPUTED_VALUE"""),"10,000 fire damage to one target, 75% chance to deal 20,000 more fire damage to another target.")</f>
        <v>10,000 fire damage to one target, 75% chance to deal 20,000 more fire damage to another target.</v>
      </c>
      <c r="F206" s="16" t="str">
        <f>IFERROR(__xludf.DUMMYFUNCTION("""COMPUTED_VALUE"""),"Natural/Hit or Miss")</f>
        <v>Natural/Hit or Miss</v>
      </c>
      <c r="G206" s="18" t="str">
        <f>IFERROR(__xludf.DUMMYFUNCTION("""COMPUTED_VALUE"""),"1 or 2")</f>
        <v>1 or 2</v>
      </c>
      <c r="H206" s="42" t="str">
        <f>IFERROR(__xludf.DUMMYFUNCTION("""COMPUTED_VALUE"""),"Fire")</f>
        <v>Fire</v>
      </c>
      <c r="I206" s="20" t="str">
        <f>IFERROR(__xludf.DUMMYFUNCTION("""COMPUTED_VALUE"""),"Mob")</f>
        <v>Mob</v>
      </c>
      <c r="J206" s="21" t="b">
        <f>IFERROR(__xludf.DUMMYFUNCTION("""COMPUTED_VALUE"""),TRUE)</f>
        <v>1</v>
      </c>
      <c r="K206" s="21"/>
      <c r="L206" s="21" t="b">
        <f>IFERROR(__xludf.DUMMYFUNCTION("""COMPUTED_VALUE"""),FALSE)</f>
        <v>0</v>
      </c>
      <c r="M206" s="21" t="b">
        <f>IFERROR(__xludf.DUMMYFUNCTION("""COMPUTED_VALUE"""),FALSE)</f>
        <v>0</v>
      </c>
      <c r="N206" s="1"/>
      <c r="O206" s="1"/>
      <c r="P206" s="1"/>
      <c r="Q206" s="1"/>
      <c r="R206" s="1"/>
      <c r="S206" s="1"/>
      <c r="T206" s="1"/>
      <c r="U206" s="1"/>
      <c r="V206" s="1"/>
      <c r="W206" s="1"/>
      <c r="X206" s="1"/>
      <c r="Y206" s="1"/>
      <c r="Z206" s="1"/>
    </row>
    <row r="207" ht="15.75" customHeight="1">
      <c r="A207" s="16" t="str">
        <f>IFERROR(__xludf.DUMMYFUNCTION("""COMPUTED_VALUE"""),"Forgotten Fire")</f>
        <v>Forgotten Fire</v>
      </c>
      <c r="B207" s="17">
        <f>IFERROR(__xludf.DUMMYFUNCTION("""COMPUTED_VALUE"""),8.0)</f>
        <v>8</v>
      </c>
      <c r="C207" s="16">
        <f>IFERROR(__xludf.DUMMYFUNCTION("""COMPUTED_VALUE"""),200.0)</f>
        <v>200</v>
      </c>
      <c r="D207" s="16"/>
      <c r="E207" s="16" t="str">
        <f>IFERROR(__xludf.DUMMYFUNCTION("""COMPUTED_VALUE"""),"Any damage you take from the next attack is doubled. Any fire damage you deal from your next attack is X4.")</f>
        <v>Any damage you take from the next attack is doubled. Any fire damage you deal from your next attack is X4.</v>
      </c>
      <c r="F207" s="16" t="str">
        <f>IFERROR(__xludf.DUMMYFUNCTION("""COMPUTED_VALUE"""),"Will Succeed")</f>
        <v>Will Succeed</v>
      </c>
      <c r="G207" s="18"/>
      <c r="H207" s="42" t="str">
        <f>IFERROR(__xludf.DUMMYFUNCTION("""COMPUTED_VALUE"""),"Fire")</f>
        <v>Fire</v>
      </c>
      <c r="I207" s="20" t="str">
        <f>IFERROR(__xludf.DUMMYFUNCTION("""COMPUTED_VALUE"""),"Player")</f>
        <v>Player</v>
      </c>
      <c r="J207" s="21" t="b">
        <f>IFERROR(__xludf.DUMMYFUNCTION("""COMPUTED_VALUE"""),FALSE)</f>
        <v>0</v>
      </c>
      <c r="K207" s="21"/>
      <c r="L207" s="21" t="b">
        <f>IFERROR(__xludf.DUMMYFUNCTION("""COMPUTED_VALUE"""),FALSE)</f>
        <v>0</v>
      </c>
      <c r="M207" s="21" t="b">
        <f>IFERROR(__xludf.DUMMYFUNCTION("""COMPUTED_VALUE"""),FALSE)</f>
        <v>0</v>
      </c>
      <c r="N207" s="1"/>
      <c r="O207" s="1"/>
      <c r="P207" s="1"/>
      <c r="Q207" s="1"/>
      <c r="R207" s="1"/>
      <c r="S207" s="1"/>
      <c r="T207" s="1"/>
      <c r="U207" s="1"/>
      <c r="V207" s="1"/>
      <c r="W207" s="1"/>
      <c r="X207" s="1"/>
      <c r="Y207" s="1"/>
      <c r="Z207" s="1"/>
    </row>
    <row r="208" ht="15.75" customHeight="1">
      <c r="A208" s="16" t="str">
        <f>IFERROR(__xludf.DUMMYFUNCTION("""COMPUTED_VALUE"""),"Ignite")</f>
        <v>Ignite</v>
      </c>
      <c r="B208" s="17">
        <f>IFERROR(__xludf.DUMMYFUNCTION("""COMPUTED_VALUE"""),4.0)</f>
        <v>4</v>
      </c>
      <c r="C208" s="16" t="str">
        <f>IFERROR(__xludf.DUMMYFUNCTION("""COMPUTED_VALUE"""),"X")</f>
        <v>X</v>
      </c>
      <c r="D208" s="16"/>
      <c r="E208" s="16" t="str">
        <f>IFERROR(__xludf.DUMMYFUNCTION("""COMPUTED_VALUE"""),"Target gains X*4 Fire damage and X*4 Fire resistance, can’t be used on self")</f>
        <v>Target gains X*4 Fire damage and X*4 Fire resistance, can’t be used on self</v>
      </c>
      <c r="F208" s="16" t="str">
        <f>IFERROR(__xludf.DUMMYFUNCTION("""COMPUTED_VALUE"""),"Will Succeed")</f>
        <v>Will Succeed</v>
      </c>
      <c r="G208" s="18"/>
      <c r="H208" s="42" t="str">
        <f>IFERROR(__xludf.DUMMYFUNCTION("""COMPUTED_VALUE"""),"Fire")</f>
        <v>Fire</v>
      </c>
      <c r="I208" s="20" t="str">
        <f>IFERROR(__xludf.DUMMYFUNCTION("""COMPUTED_VALUE"""),"Player")</f>
        <v>Player</v>
      </c>
      <c r="J208" s="21" t="b">
        <f>IFERROR(__xludf.DUMMYFUNCTION("""COMPUTED_VALUE"""),FALSE)</f>
        <v>0</v>
      </c>
      <c r="K208" s="21"/>
      <c r="L208" s="21" t="b">
        <f>IFERROR(__xludf.DUMMYFUNCTION("""COMPUTED_VALUE"""),FALSE)</f>
        <v>0</v>
      </c>
      <c r="M208" s="21" t="b">
        <f>IFERROR(__xludf.DUMMYFUNCTION("""COMPUTED_VALUE"""),FALSE)</f>
        <v>0</v>
      </c>
      <c r="N208" s="1"/>
      <c r="O208" s="1"/>
      <c r="P208" s="1"/>
      <c r="Q208" s="1"/>
      <c r="R208" s="1"/>
      <c r="S208" s="1"/>
      <c r="T208" s="1"/>
      <c r="U208" s="1"/>
      <c r="V208" s="1"/>
      <c r="W208" s="1"/>
      <c r="X208" s="1"/>
      <c r="Y208" s="1"/>
      <c r="Z208" s="1"/>
    </row>
    <row r="209" ht="15.75" customHeight="1">
      <c r="A209" s="16" t="str">
        <f>IFERROR(__xludf.DUMMYFUNCTION("""COMPUTED_VALUE"""),"Last Resort")</f>
        <v>Last Resort</v>
      </c>
      <c r="B209" s="17">
        <f>IFERROR(__xludf.DUMMYFUNCTION("""COMPUTED_VALUE"""),8.0)</f>
        <v>8</v>
      </c>
      <c r="C209" s="16"/>
      <c r="D209" s="16" t="str">
        <f>IFERROR(__xludf.DUMMYFUNCTION("""COMPUTED_VALUE"""),"X")</f>
        <v>X</v>
      </c>
      <c r="E209" s="16" t="str">
        <f>IFERROR(__xludf.DUMMYFUNCTION("""COMPUTED_VALUE"""),"You die and every enemy takes X*4 Fire Damage. X is equal to your current HP.")</f>
        <v>You die and every enemy takes X*4 Fire Damage. X is equal to your current HP.</v>
      </c>
      <c r="F209" s="16" t="str">
        <f>IFERROR(__xludf.DUMMYFUNCTION("""COMPUTED_VALUE"""),"Will Succeed")</f>
        <v>Will Succeed</v>
      </c>
      <c r="G209" s="18"/>
      <c r="H209" s="42" t="str">
        <f>IFERROR(__xludf.DUMMYFUNCTION("""COMPUTED_VALUE"""),"Fire")</f>
        <v>Fire</v>
      </c>
      <c r="I209" s="20" t="str">
        <f>IFERROR(__xludf.DUMMYFUNCTION("""COMPUTED_VALUE"""),"Player")</f>
        <v>Player</v>
      </c>
      <c r="J209" s="21" t="b">
        <f>IFERROR(__xludf.DUMMYFUNCTION("""COMPUTED_VALUE"""),FALSE)</f>
        <v>0</v>
      </c>
      <c r="K209" s="21"/>
      <c r="L209" s="21" t="b">
        <f>IFERROR(__xludf.DUMMYFUNCTION("""COMPUTED_VALUE"""),FALSE)</f>
        <v>0</v>
      </c>
      <c r="M209" s="21" t="b">
        <f>IFERROR(__xludf.DUMMYFUNCTION("""COMPUTED_VALUE"""),FALSE)</f>
        <v>0</v>
      </c>
      <c r="N209" s="1"/>
      <c r="O209" s="1"/>
      <c r="P209" s="1"/>
      <c r="Q209" s="1"/>
      <c r="R209" s="1"/>
      <c r="S209" s="1"/>
      <c r="T209" s="1"/>
      <c r="U209" s="1"/>
      <c r="V209" s="1"/>
      <c r="W209" s="1"/>
      <c r="X209" s="1"/>
      <c r="Y209" s="1"/>
      <c r="Z209" s="1"/>
    </row>
    <row r="210" ht="15.75" customHeight="1">
      <c r="A210" s="16" t="str">
        <f>IFERROR(__xludf.DUMMYFUNCTION("""COMPUTED_VALUE"""),"Lesser Nova")</f>
        <v>Lesser Nova</v>
      </c>
      <c r="B210" s="17">
        <f>IFERROR(__xludf.DUMMYFUNCTION("""COMPUTED_VALUE"""),3.0)</f>
        <v>3</v>
      </c>
      <c r="C210" s="16" t="str">
        <f>IFERROR(__xludf.DUMMYFUNCTION("""COMPUTED_VALUE"""),"X")</f>
        <v>X</v>
      </c>
      <c r="D210" s="16"/>
      <c r="E210" s="16" t="str">
        <f>IFERROR(__xludf.DUMMYFUNCTION("""COMPUTED_VALUE"""),"X*25 Fire damage where X equals sp spent.")</f>
        <v>X*25 Fire damage where X equals sp spent.</v>
      </c>
      <c r="F210" s="16" t="str">
        <f>IFERROR(__xludf.DUMMYFUNCTION("""COMPUTED_VALUE"""),"Fail/Succeed")</f>
        <v>Fail/Succeed</v>
      </c>
      <c r="G210" s="18"/>
      <c r="H210" s="42" t="str">
        <f>IFERROR(__xludf.DUMMYFUNCTION("""COMPUTED_VALUE"""),"Fire")</f>
        <v>Fire</v>
      </c>
      <c r="I210" s="20" t="str">
        <f>IFERROR(__xludf.DUMMYFUNCTION("""COMPUTED_VALUE"""),"Player")</f>
        <v>Player</v>
      </c>
      <c r="J210" s="21" t="b">
        <f>IFERROR(__xludf.DUMMYFUNCTION("""COMPUTED_VALUE"""),FALSE)</f>
        <v>0</v>
      </c>
      <c r="K210" s="21"/>
      <c r="L210" s="21" t="b">
        <f>IFERROR(__xludf.DUMMYFUNCTION("""COMPUTED_VALUE"""),FALSE)</f>
        <v>0</v>
      </c>
      <c r="M210" s="21" t="b">
        <f>IFERROR(__xludf.DUMMYFUNCTION("""COMPUTED_VALUE"""),FALSE)</f>
        <v>0</v>
      </c>
      <c r="N210" s="1"/>
      <c r="O210" s="1"/>
      <c r="P210" s="1"/>
      <c r="Q210" s="1"/>
      <c r="R210" s="1"/>
      <c r="S210" s="1"/>
      <c r="T210" s="1"/>
      <c r="U210" s="1"/>
      <c r="V210" s="1"/>
      <c r="W210" s="1"/>
      <c r="X210" s="1"/>
      <c r="Y210" s="1"/>
      <c r="Z210" s="1"/>
    </row>
    <row r="211" ht="15.75" customHeight="1">
      <c r="A211" s="16" t="str">
        <f>IFERROR(__xludf.DUMMYFUNCTION("""COMPUTED_VALUE"""),"Roar Of Heatmore")</f>
        <v>Roar Of Heatmore</v>
      </c>
      <c r="B211" s="17">
        <f>IFERROR(__xludf.DUMMYFUNCTION("""COMPUTED_VALUE"""),1.0)</f>
        <v>1</v>
      </c>
      <c r="C211" s="22">
        <f>IFERROR(__xludf.DUMMYFUNCTION("""COMPUTED_VALUE"""),0.0)</f>
        <v>0</v>
      </c>
      <c r="D211" s="16"/>
      <c r="E211" s="16" t="str">
        <f>IFERROR(__xludf.DUMMYFUNCTION("""COMPUTED_VALUE"""),"Lowers all enemies' evasion and mobility by 5, and causes Stun 3.")</f>
        <v>Lowers all enemies' evasion and mobility by 5, and causes Stun 3.</v>
      </c>
      <c r="F211" s="16" t="str">
        <f>IFERROR(__xludf.DUMMYFUNCTION("""COMPUTED_VALUE"""),"Natural/Fail Or Succeed")</f>
        <v>Natural/Fail Or Succeed</v>
      </c>
      <c r="G211" s="18" t="str">
        <f>IFERROR(__xludf.DUMMYFUNCTION("""COMPUTED_VALUE"""),"All")</f>
        <v>All</v>
      </c>
      <c r="H211" s="42" t="str">
        <f>IFERROR(__xludf.DUMMYFUNCTION("""COMPUTED_VALUE"""),"Fire")</f>
        <v>Fire</v>
      </c>
      <c r="I211" s="20" t="str">
        <f>IFERROR(__xludf.DUMMYFUNCTION("""COMPUTED_VALUE"""),"Mob")</f>
        <v>Mob</v>
      </c>
      <c r="J211" s="21" t="b">
        <f>IFERROR(__xludf.DUMMYFUNCTION("""COMPUTED_VALUE"""),TRUE)</f>
        <v>1</v>
      </c>
      <c r="K211" s="21" t="str">
        <f>IFERROR(__xludf.DUMMYFUNCTION("""COMPUTED_VALUE"""),"Cannot be obtained by players.")</f>
        <v>Cannot be obtained by players.</v>
      </c>
      <c r="L211" s="21" t="b">
        <f>IFERROR(__xludf.DUMMYFUNCTION("""COMPUTED_VALUE"""),FALSE)</f>
        <v>0</v>
      </c>
      <c r="M211" s="21" t="b">
        <f>IFERROR(__xludf.DUMMYFUNCTION("""COMPUTED_VALUE"""),FALSE)</f>
        <v>0</v>
      </c>
      <c r="N211" s="1"/>
      <c r="O211" s="1"/>
      <c r="P211" s="1"/>
      <c r="Q211" s="1"/>
      <c r="R211" s="1"/>
      <c r="S211" s="1"/>
      <c r="T211" s="1"/>
      <c r="U211" s="1"/>
      <c r="V211" s="1"/>
      <c r="W211" s="1"/>
      <c r="X211" s="1"/>
      <c r="Y211" s="1"/>
      <c r="Z211" s="1"/>
    </row>
    <row r="212" ht="15.75" customHeight="1">
      <c r="A212" s="16" t="str">
        <f>IFERROR(__xludf.DUMMYFUNCTION("""COMPUTED_VALUE"""),"Royal Golem Flamequake")</f>
        <v>Royal Golem Flamequake</v>
      </c>
      <c r="B212" s="17">
        <f>IFERROR(__xludf.DUMMYFUNCTION("""COMPUTED_VALUE"""),9.0)</f>
        <v>9</v>
      </c>
      <c r="C212" s="22">
        <f>IFERROR(__xludf.DUMMYFUNCTION("""COMPUTED_VALUE"""),10000.0)</f>
        <v>10000</v>
      </c>
      <c r="D212" s="16"/>
      <c r="E212" s="16" t="str">
        <f>IFERROR(__xludf.DUMMYFUNCTION("""COMPUTED_VALUE"""),"20,000 fire damage to all enemies. X4 defense for self until the end of your next turn.")</f>
        <v>20,000 fire damage to all enemies. X4 defense for self until the end of your next turn.</v>
      </c>
      <c r="F212" s="16" t="str">
        <f>IFERROR(__xludf.DUMMYFUNCTION("""COMPUTED_VALUE"""),"Cannot Avoid")</f>
        <v>Cannot Avoid</v>
      </c>
      <c r="G212" s="18" t="str">
        <f>IFERROR(__xludf.DUMMYFUNCTION("""COMPUTED_VALUE"""),"All")</f>
        <v>All</v>
      </c>
      <c r="H212" s="42" t="str">
        <f>IFERROR(__xludf.DUMMYFUNCTION("""COMPUTED_VALUE"""),"Fire")</f>
        <v>Fire</v>
      </c>
      <c r="I212" s="20" t="str">
        <f>IFERROR(__xludf.DUMMYFUNCTION("""COMPUTED_VALUE"""),"Mob")</f>
        <v>Mob</v>
      </c>
      <c r="J212" s="21" t="b">
        <f>IFERROR(__xludf.DUMMYFUNCTION("""COMPUTED_VALUE"""),TRUE)</f>
        <v>1</v>
      </c>
      <c r="K212" s="21"/>
      <c r="L212" s="21" t="b">
        <f>IFERROR(__xludf.DUMMYFUNCTION("""COMPUTED_VALUE"""),FALSE)</f>
        <v>0</v>
      </c>
      <c r="M212" s="21" t="b">
        <f>IFERROR(__xludf.DUMMYFUNCTION("""COMPUTED_VALUE"""),FALSE)</f>
        <v>0</v>
      </c>
      <c r="N212" s="1"/>
      <c r="O212" s="1"/>
      <c r="P212" s="1"/>
      <c r="Q212" s="1"/>
      <c r="R212" s="1"/>
      <c r="S212" s="1"/>
      <c r="T212" s="1"/>
      <c r="U212" s="1"/>
      <c r="V212" s="1"/>
      <c r="W212" s="1"/>
      <c r="X212" s="1"/>
      <c r="Y212" s="1"/>
      <c r="Z212" s="1"/>
    </row>
    <row r="213" ht="15.75" customHeight="1">
      <c r="A213" s="16" t="str">
        <f>IFERROR(__xludf.DUMMYFUNCTION("""COMPUTED_VALUE"""),"Sacred Flame Peck")</f>
        <v>Sacred Flame Peck</v>
      </c>
      <c r="B213" s="17">
        <f>IFERROR(__xludf.DUMMYFUNCTION("""COMPUTED_VALUE"""),1.0)</f>
        <v>1</v>
      </c>
      <c r="C213" s="22">
        <f>IFERROR(__xludf.DUMMYFUNCTION("""COMPUTED_VALUE"""),0.0)</f>
        <v>0</v>
      </c>
      <c r="D213" s="16"/>
      <c r="E213" s="16" t="str">
        <f>IFERROR(__xludf.DUMMYFUNCTION("""COMPUTED_VALUE"""),"10000 damage +10000 fire damage.")</f>
        <v>10000 damage +10000 fire damage.</v>
      </c>
      <c r="F213" s="16" t="str">
        <f>IFERROR(__xludf.DUMMYFUNCTION("""COMPUTED_VALUE"""),"Natural/Hit Or Miss")</f>
        <v>Natural/Hit Or Miss</v>
      </c>
      <c r="G213" s="18">
        <f>IFERROR(__xludf.DUMMYFUNCTION("""COMPUTED_VALUE"""),1.0)</f>
        <v>1</v>
      </c>
      <c r="H213" s="42" t="str">
        <f>IFERROR(__xludf.DUMMYFUNCTION("""COMPUTED_VALUE"""),"Fire")</f>
        <v>Fire</v>
      </c>
      <c r="I213" s="20" t="str">
        <f>IFERROR(__xludf.DUMMYFUNCTION("""COMPUTED_VALUE"""),"Mob")</f>
        <v>Mob</v>
      </c>
      <c r="J213" s="21" t="b">
        <f>IFERROR(__xludf.DUMMYFUNCTION("""COMPUTED_VALUE"""),TRUE)</f>
        <v>1</v>
      </c>
      <c r="K213" s="21"/>
      <c r="L213" s="21" t="b">
        <f>IFERROR(__xludf.DUMMYFUNCTION("""COMPUTED_VALUE"""),FALSE)</f>
        <v>0</v>
      </c>
      <c r="M213" s="21" t="b">
        <f>IFERROR(__xludf.DUMMYFUNCTION("""COMPUTED_VALUE"""),FALSE)</f>
        <v>0</v>
      </c>
      <c r="N213" s="1"/>
      <c r="O213" s="1"/>
      <c r="P213" s="1"/>
      <c r="Q213" s="1"/>
      <c r="R213" s="1"/>
      <c r="S213" s="1"/>
      <c r="T213" s="1"/>
      <c r="U213" s="1"/>
      <c r="V213" s="1"/>
      <c r="W213" s="1"/>
      <c r="X213" s="1"/>
      <c r="Y213" s="1"/>
      <c r="Z213" s="1"/>
    </row>
    <row r="214" ht="15.75" customHeight="1">
      <c r="A214" s="16" t="str">
        <f>IFERROR(__xludf.DUMMYFUNCTION("""COMPUTED_VALUE"""),"Screech of the Ostrich")</f>
        <v>Screech of the Ostrich</v>
      </c>
      <c r="B214" s="17">
        <f>IFERROR(__xludf.DUMMYFUNCTION("""COMPUTED_VALUE"""),1.0)</f>
        <v>1</v>
      </c>
      <c r="C214" s="22">
        <f>IFERROR(__xludf.DUMMYFUNCTION("""COMPUTED_VALUE"""),0.0)</f>
        <v>0</v>
      </c>
      <c r="D214" s="16"/>
      <c r="E214" s="16" t="str">
        <f>IFERROR(__xludf.DUMMYFUNCTION("""COMPUTED_VALUE"""),"Calls 1 Ancient Flame Ostrich to battle. Has a 50% Chance to call 2 of them.")</f>
        <v>Calls 1 Ancient Flame Ostrich to battle. Has a 50% Chance to call 2 of them.</v>
      </c>
      <c r="F214" s="16" t="str">
        <f>IFERROR(__xludf.DUMMYFUNCTION("""COMPUTED_VALUE"""),"Natural/Fail Or Succeed")</f>
        <v>Natural/Fail Or Succeed</v>
      </c>
      <c r="G214" s="18" t="str">
        <f>IFERROR(__xludf.DUMMYFUNCTION("""COMPUTED_VALUE"""),"Self")</f>
        <v>Self</v>
      </c>
      <c r="H214" s="42" t="str">
        <f>IFERROR(__xludf.DUMMYFUNCTION("""COMPUTED_VALUE"""),"Fire")</f>
        <v>Fire</v>
      </c>
      <c r="I214" s="20" t="str">
        <f>IFERROR(__xludf.DUMMYFUNCTION("""COMPUTED_VALUE"""),"Mob")</f>
        <v>Mob</v>
      </c>
      <c r="J214" s="21" t="b">
        <f>IFERROR(__xludf.DUMMYFUNCTION("""COMPUTED_VALUE"""),TRUE)</f>
        <v>1</v>
      </c>
      <c r="K214" s="21"/>
      <c r="L214" s="21" t="b">
        <f>IFERROR(__xludf.DUMMYFUNCTION("""COMPUTED_VALUE"""),FALSE)</f>
        <v>0</v>
      </c>
      <c r="M214" s="21" t="b">
        <f>IFERROR(__xludf.DUMMYFUNCTION("""COMPUTED_VALUE"""),FALSE)</f>
        <v>0</v>
      </c>
      <c r="N214" s="1"/>
      <c r="O214" s="1"/>
      <c r="P214" s="1"/>
      <c r="Q214" s="1"/>
      <c r="R214" s="1"/>
      <c r="S214" s="1"/>
      <c r="T214" s="1"/>
      <c r="U214" s="1"/>
      <c r="V214" s="1"/>
      <c r="W214" s="1"/>
      <c r="X214" s="1"/>
      <c r="Y214" s="1"/>
      <c r="Z214" s="1"/>
    </row>
    <row r="215" ht="15.75" customHeight="1">
      <c r="A215" s="16" t="str">
        <f>IFERROR(__xludf.DUMMYFUNCTION("""COMPUTED_VALUE"""),"Solar Storm")</f>
        <v>Solar Storm</v>
      </c>
      <c r="B215" s="17">
        <f>IFERROR(__xludf.DUMMYFUNCTION("""COMPUTED_VALUE"""),9.0)</f>
        <v>9</v>
      </c>
      <c r="C215" s="16">
        <f>IFERROR(__xludf.DUMMYFUNCTION("""COMPUTED_VALUE"""),2000.0)</f>
        <v>2000</v>
      </c>
      <c r="D215" s="16"/>
      <c r="E215" s="16" t="str">
        <f>IFERROR(__xludf.DUMMYFUNCTION("""COMPUTED_VALUE"""),"20,000 burn to all enemies for 3 rounds. X2 fire damage for self and allies for 3 rounds.")</f>
        <v>20,000 burn to all enemies for 3 rounds. X2 fire damage for self and allies for 3 rounds.</v>
      </c>
      <c r="F215" s="16" t="str">
        <f>IFERROR(__xludf.DUMMYFUNCTION("""COMPUTED_VALUE"""),"Cannot Avoid")</f>
        <v>Cannot Avoid</v>
      </c>
      <c r="G215" s="18"/>
      <c r="H215" s="42" t="str">
        <f>IFERROR(__xludf.DUMMYFUNCTION("""COMPUTED_VALUE"""),"Fire")</f>
        <v>Fire</v>
      </c>
      <c r="I215" s="20" t="str">
        <f>IFERROR(__xludf.DUMMYFUNCTION("""COMPUTED_VALUE"""),"Player")</f>
        <v>Player</v>
      </c>
      <c r="J215" s="21" t="b">
        <f>IFERROR(__xludf.DUMMYFUNCTION("""COMPUTED_VALUE"""),FALSE)</f>
        <v>0</v>
      </c>
      <c r="K215" s="21"/>
      <c r="L215" s="21" t="b">
        <f>IFERROR(__xludf.DUMMYFUNCTION("""COMPUTED_VALUE"""),FALSE)</f>
        <v>0</v>
      </c>
      <c r="M215" s="21" t="b">
        <f>IFERROR(__xludf.DUMMYFUNCTION("""COMPUTED_VALUE"""),FALSE)</f>
        <v>0</v>
      </c>
      <c r="N215" s="1"/>
      <c r="O215" s="1"/>
      <c r="P215" s="1"/>
      <c r="Q215" s="1"/>
      <c r="R215" s="1"/>
      <c r="S215" s="1"/>
      <c r="T215" s="1"/>
      <c r="U215" s="1"/>
      <c r="V215" s="1"/>
      <c r="W215" s="1"/>
      <c r="X215" s="1"/>
      <c r="Y215" s="1"/>
      <c r="Z215" s="1"/>
    </row>
    <row r="216" ht="15.75" customHeight="1">
      <c r="A216" s="16" t="str">
        <f>IFERROR(__xludf.DUMMYFUNCTION("""COMPUTED_VALUE"""),"Underling Stampede")</f>
        <v>Underling Stampede</v>
      </c>
      <c r="B216" s="17">
        <f>IFERROR(__xludf.DUMMYFUNCTION("""COMPUTED_VALUE"""),1.0)</f>
        <v>1</v>
      </c>
      <c r="C216" s="22">
        <f>IFERROR(__xludf.DUMMYFUNCTION("""COMPUTED_VALUE"""),0.0)</f>
        <v>0</v>
      </c>
      <c r="D216" s="16"/>
      <c r="E216" s="16" t="str">
        <f>IFERROR(__xludf.DUMMYFUNCTION("""COMPUTED_VALUE"""),"50% chance to call in 1 Heatmore Underling to battle.")</f>
        <v>50% chance to call in 1 Heatmore Underling to battle.</v>
      </c>
      <c r="F216" s="16" t="str">
        <f>IFERROR(__xludf.DUMMYFUNCTION("""COMPUTED_VALUE"""),"Natural/Fail Or Succeed")</f>
        <v>Natural/Fail Or Succeed</v>
      </c>
      <c r="G216" s="18" t="str">
        <f>IFERROR(__xludf.DUMMYFUNCTION("""COMPUTED_VALUE"""),"Self")</f>
        <v>Self</v>
      </c>
      <c r="H216" s="43" t="str">
        <f>IFERROR(__xludf.DUMMYFUNCTION("""COMPUTED_VALUE"""),"Fire")</f>
        <v>Fire</v>
      </c>
      <c r="I216" s="20" t="str">
        <f>IFERROR(__xludf.DUMMYFUNCTION("""COMPUTED_VALUE"""),"Mob")</f>
        <v>Mob</v>
      </c>
      <c r="J216" s="21" t="b">
        <f>IFERROR(__xludf.DUMMYFUNCTION("""COMPUTED_VALUE"""),TRUE)</f>
        <v>1</v>
      </c>
      <c r="K216" s="21"/>
      <c r="L216" s="21" t="b">
        <f>IFERROR(__xludf.DUMMYFUNCTION("""COMPUTED_VALUE"""),FALSE)</f>
        <v>0</v>
      </c>
      <c r="M216" s="21" t="b">
        <f>IFERROR(__xludf.DUMMYFUNCTION("""COMPUTED_VALUE"""),FALSE)</f>
        <v>0</v>
      </c>
      <c r="N216" s="1"/>
      <c r="O216" s="1"/>
      <c r="P216" s="1"/>
      <c r="Q216" s="1"/>
      <c r="R216" s="1"/>
      <c r="S216" s="1"/>
      <c r="T216" s="1"/>
      <c r="U216" s="1"/>
      <c r="V216" s="1"/>
      <c r="W216" s="1"/>
      <c r="X216" s="1"/>
      <c r="Y216" s="1"/>
      <c r="Z216" s="1"/>
    </row>
    <row r="217" ht="15.75" customHeight="1">
      <c r="A217" s="16" t="str">
        <f>IFERROR(__xludf.DUMMYFUNCTION("""COMPUTED_VALUE"""),"Volcanic Claws")</f>
        <v>Volcanic Claws</v>
      </c>
      <c r="B217" s="17">
        <f>IFERROR(__xludf.DUMMYFUNCTION("""COMPUTED_VALUE"""),1.0)</f>
        <v>1</v>
      </c>
      <c r="C217" s="22">
        <f>IFERROR(__xludf.DUMMYFUNCTION("""COMPUTED_VALUE"""),0.0)</f>
        <v>0</v>
      </c>
      <c r="D217" s="16"/>
      <c r="E217" s="16" t="str">
        <f>IFERROR(__xludf.DUMMYFUNCTION("""COMPUTED_VALUE"""),"10,000 fire damage, Burn 5,000. cannot resist or be immune to.")</f>
        <v>10,000 fire damage, Burn 5,000. cannot resist or be immune to.</v>
      </c>
      <c r="F217" s="16" t="str">
        <f>IFERROR(__xludf.DUMMYFUNCTION("""COMPUTED_VALUE"""),"Natural/Hit Or Miss")</f>
        <v>Natural/Hit Or Miss</v>
      </c>
      <c r="G217" s="18">
        <f>IFERROR(__xludf.DUMMYFUNCTION("""COMPUTED_VALUE"""),1.0)</f>
        <v>1</v>
      </c>
      <c r="H217" s="43" t="str">
        <f>IFERROR(__xludf.DUMMYFUNCTION("""COMPUTED_VALUE"""),"Fire")</f>
        <v>Fire</v>
      </c>
      <c r="I217" s="20" t="str">
        <f>IFERROR(__xludf.DUMMYFUNCTION("""COMPUTED_VALUE"""),"Mob")</f>
        <v>Mob</v>
      </c>
      <c r="J217" s="21" t="b">
        <f>IFERROR(__xludf.DUMMYFUNCTION("""COMPUTED_VALUE"""),TRUE)</f>
        <v>1</v>
      </c>
      <c r="K217" s="21"/>
      <c r="L217" s="21" t="b">
        <f>IFERROR(__xludf.DUMMYFUNCTION("""COMPUTED_VALUE"""),FALSE)</f>
        <v>0</v>
      </c>
      <c r="M217" s="21" t="b">
        <f>IFERROR(__xludf.DUMMYFUNCTION("""COMPUTED_VALUE"""),FALSE)</f>
        <v>0</v>
      </c>
      <c r="N217" s="1"/>
      <c r="O217" s="1"/>
      <c r="P217" s="1"/>
      <c r="Q217" s="1"/>
      <c r="R217" s="1"/>
      <c r="S217" s="1"/>
      <c r="T217" s="1"/>
      <c r="U217" s="1"/>
      <c r="V217" s="1"/>
      <c r="W217" s="1"/>
      <c r="X217" s="1"/>
      <c r="Y217" s="1"/>
      <c r="Z217" s="1"/>
    </row>
    <row r="218" ht="15.75" customHeight="1">
      <c r="A218" s="16" t="str">
        <f>IFERROR(__xludf.DUMMYFUNCTION("""COMPUTED_VALUE"""),"Volcanic Rain")</f>
        <v>Volcanic Rain</v>
      </c>
      <c r="B218" s="17">
        <f>IFERROR(__xludf.DUMMYFUNCTION("""COMPUTED_VALUE"""),9.0)</f>
        <v>9</v>
      </c>
      <c r="C218" s="22">
        <f>IFERROR(__xludf.DUMMYFUNCTION("""COMPUTED_VALUE"""),25000.0)</f>
        <v>25000</v>
      </c>
      <c r="D218" s="16"/>
      <c r="E218"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16" t="str">
        <f>IFERROR(__xludf.DUMMYFUNCTION("""COMPUTED_VALUE"""),"Cannot Avoid")</f>
        <v>Cannot Avoid</v>
      </c>
      <c r="G218" s="18"/>
      <c r="H218" s="43" t="str">
        <f>IFERROR(__xludf.DUMMYFUNCTION("""COMPUTED_VALUE"""),"Fire")</f>
        <v>Fire</v>
      </c>
      <c r="I218" s="20" t="str">
        <f>IFERROR(__xludf.DUMMYFUNCTION("""COMPUTED_VALUE"""),"Player")</f>
        <v>Player</v>
      </c>
      <c r="J218" s="21" t="b">
        <f>IFERROR(__xludf.DUMMYFUNCTION("""COMPUTED_VALUE"""),FALSE)</f>
        <v>0</v>
      </c>
      <c r="K218" s="21"/>
      <c r="L218" s="21" t="b">
        <f>IFERROR(__xludf.DUMMYFUNCTION("""COMPUTED_VALUE"""),TRUE)</f>
        <v>1</v>
      </c>
      <c r="M218" s="21" t="b">
        <f>IFERROR(__xludf.DUMMYFUNCTION("""COMPUTED_VALUE"""),FALSE)</f>
        <v>0</v>
      </c>
      <c r="N218" s="1"/>
      <c r="O218" s="1"/>
      <c r="P218" s="1"/>
      <c r="Q218" s="1"/>
      <c r="R218" s="1"/>
      <c r="S218" s="1"/>
      <c r="T218" s="1"/>
      <c r="U218" s="1"/>
      <c r="V218" s="1"/>
      <c r="W218" s="1"/>
      <c r="X218" s="1"/>
      <c r="Y218" s="1"/>
      <c r="Z218" s="1"/>
    </row>
    <row r="219" ht="15.75" customHeight="1">
      <c r="A219" s="16" t="str">
        <f>IFERROR(__xludf.DUMMYFUNCTION("""COMPUTED_VALUE"""),"Volcanic Wall")</f>
        <v>Volcanic Wall</v>
      </c>
      <c r="B219" s="17">
        <f>IFERROR(__xludf.DUMMYFUNCTION("""COMPUTED_VALUE"""),9.0)</f>
        <v>9</v>
      </c>
      <c r="C219" s="16">
        <f>IFERROR(__xludf.DUMMYFUNCTION("""COMPUTED_VALUE"""),300.0)</f>
        <v>300</v>
      </c>
      <c r="D219" s="16"/>
      <c r="E219"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16" t="str">
        <f>IFERROR(__xludf.DUMMYFUNCTION("""COMPUTED_VALUE"""),"Fail/Succeed")</f>
        <v>Fail/Succeed</v>
      </c>
      <c r="G219" s="18"/>
      <c r="H219" s="43" t="str">
        <f>IFERROR(__xludf.DUMMYFUNCTION("""COMPUTED_VALUE"""),"Fire")</f>
        <v>Fire</v>
      </c>
      <c r="I219" s="20" t="str">
        <f>IFERROR(__xludf.DUMMYFUNCTION("""COMPUTED_VALUE"""),"Player")</f>
        <v>Player</v>
      </c>
      <c r="J219" s="21" t="b">
        <f>IFERROR(__xludf.DUMMYFUNCTION("""COMPUTED_VALUE"""),FALSE)</f>
        <v>0</v>
      </c>
      <c r="K219" s="21"/>
      <c r="L219" s="21" t="b">
        <f>IFERROR(__xludf.DUMMYFUNCTION("""COMPUTED_VALUE"""),FALSE)</f>
        <v>0</v>
      </c>
      <c r="M219" s="21" t="b">
        <f>IFERROR(__xludf.DUMMYFUNCTION("""COMPUTED_VALUE"""),FALSE)</f>
        <v>0</v>
      </c>
      <c r="N219" s="1"/>
      <c r="O219" s="1"/>
      <c r="P219" s="1"/>
      <c r="Q219" s="1"/>
      <c r="R219" s="1"/>
      <c r="S219" s="1"/>
      <c r="T219" s="1"/>
      <c r="U219" s="1"/>
      <c r="V219" s="1"/>
      <c r="W219" s="1"/>
      <c r="X219" s="1"/>
      <c r="Y219" s="1"/>
      <c r="Z219" s="1"/>
    </row>
    <row r="220" ht="15.75" customHeight="1">
      <c r="A220" s="16" t="str">
        <f>IFERROR(__xludf.DUMMYFUNCTION("""COMPUTED_VALUE"""),"Webs Of Inferno")</f>
        <v>Webs Of Inferno</v>
      </c>
      <c r="B220" s="17">
        <f>IFERROR(__xludf.DUMMYFUNCTION("""COMPUTED_VALUE"""),1.0)</f>
        <v>1</v>
      </c>
      <c r="C220" s="22">
        <f>IFERROR(__xludf.DUMMYFUNCTION("""COMPUTED_VALUE"""),0.0)</f>
        <v>0</v>
      </c>
      <c r="D220" s="16"/>
      <c r="E220" s="16" t="str">
        <f>IFERROR(__xludf.DUMMYFUNCTION("""COMPUTED_VALUE"""),"All targets are bound in flaming webs causing Stun 3, and dealing 500 fire damage p/r for 3 rounds.")</f>
        <v>All targets are bound in flaming webs causing Stun 3, and dealing 500 fire damage p/r for 3 rounds.</v>
      </c>
      <c r="F220" s="16" t="str">
        <f>IFERROR(__xludf.DUMMYFUNCTION("""COMPUTED_VALUE"""),"Natural/Fail Or Succeed")</f>
        <v>Natural/Fail Or Succeed</v>
      </c>
      <c r="G220" s="18" t="str">
        <f>IFERROR(__xludf.DUMMYFUNCTION("""COMPUTED_VALUE"""),"All")</f>
        <v>All</v>
      </c>
      <c r="H220" s="43" t="str">
        <f>IFERROR(__xludf.DUMMYFUNCTION("""COMPUTED_VALUE"""),"Fire")</f>
        <v>Fire</v>
      </c>
      <c r="I220" s="20" t="str">
        <f>IFERROR(__xludf.DUMMYFUNCTION("""COMPUTED_VALUE"""),"Mob")</f>
        <v>Mob</v>
      </c>
      <c r="J220" s="21" t="b">
        <f>IFERROR(__xludf.DUMMYFUNCTION("""COMPUTED_VALUE"""),TRUE)</f>
        <v>1</v>
      </c>
      <c r="K220" s="21" t="str">
        <f>IFERROR(__xludf.DUMMYFUNCTION("""COMPUTED_VALUE"""),"Cannot be obtained by players.")</f>
        <v>Cannot be obtained by players.</v>
      </c>
      <c r="L220" s="21" t="b">
        <f>IFERROR(__xludf.DUMMYFUNCTION("""COMPUTED_VALUE"""),FALSE)</f>
        <v>0</v>
      </c>
      <c r="M220" s="21" t="b">
        <f>IFERROR(__xludf.DUMMYFUNCTION("""COMPUTED_VALUE"""),FALSE)</f>
        <v>0</v>
      </c>
      <c r="N220" s="1"/>
      <c r="O220" s="1"/>
      <c r="P220" s="1"/>
      <c r="Q220" s="1"/>
      <c r="R220" s="1"/>
      <c r="S220" s="1"/>
      <c r="T220" s="1"/>
      <c r="U220" s="1"/>
      <c r="V220" s="1"/>
      <c r="W220" s="1"/>
      <c r="X220" s="1"/>
      <c r="Y220" s="1"/>
      <c r="Z220" s="1"/>
    </row>
    <row r="221" ht="15.75" customHeight="1">
      <c r="A221" s="16" t="str">
        <f>IFERROR(__xludf.DUMMYFUNCTION("""COMPUTED_VALUE"""),"Wrath of Heatmore")</f>
        <v>Wrath of Heatmore</v>
      </c>
      <c r="B221" s="17">
        <f>IFERROR(__xludf.DUMMYFUNCTION("""COMPUTED_VALUE"""),9.0)</f>
        <v>9</v>
      </c>
      <c r="C221" s="22">
        <f>IFERROR(__xludf.DUMMYFUNCTION("""COMPUTED_VALUE"""),10000.0)</f>
        <v>10000</v>
      </c>
      <c r="D221" s="16"/>
      <c r="E221" s="16" t="str">
        <f>IFERROR(__xludf.DUMMYFUNCTION("""COMPUTED_VALUE"""),"100,000 fire damage to all enemies. Cannot resist or be immune to.")</f>
        <v>100,000 fire damage to all enemies. Cannot resist or be immune to.</v>
      </c>
      <c r="F221" s="16" t="str">
        <f>IFERROR(__xludf.DUMMYFUNCTION("""COMPUTED_VALUE"""),"Cannot Avoid")</f>
        <v>Cannot Avoid</v>
      </c>
      <c r="G221" s="18" t="str">
        <f>IFERROR(__xludf.DUMMYFUNCTION("""COMPUTED_VALUE"""),"All")</f>
        <v>All</v>
      </c>
      <c r="H221" s="43" t="str">
        <f>IFERROR(__xludf.DUMMYFUNCTION("""COMPUTED_VALUE"""),"Fire")</f>
        <v>Fire</v>
      </c>
      <c r="I221" s="20" t="str">
        <f>IFERROR(__xludf.DUMMYFUNCTION("""COMPUTED_VALUE"""),"Mob")</f>
        <v>Mob</v>
      </c>
      <c r="J221" s="21" t="b">
        <f>IFERROR(__xludf.DUMMYFUNCTION("""COMPUTED_VALUE"""),TRUE)</f>
        <v>1</v>
      </c>
      <c r="K221" s="21"/>
      <c r="L221" s="21" t="b">
        <f>IFERROR(__xludf.DUMMYFUNCTION("""COMPUTED_VALUE"""),FALSE)</f>
        <v>0</v>
      </c>
      <c r="M221" s="21" t="b">
        <f>IFERROR(__xludf.DUMMYFUNCTION("""COMPUTED_VALUE"""),FALSE)</f>
        <v>0</v>
      </c>
      <c r="N221" s="1"/>
      <c r="O221" s="1"/>
      <c r="P221" s="1"/>
      <c r="Q221" s="1"/>
      <c r="R221" s="1"/>
      <c r="S221" s="1"/>
      <c r="T221" s="1"/>
      <c r="U221" s="1"/>
      <c r="V221" s="1"/>
      <c r="W221" s="1"/>
      <c r="X221" s="1"/>
      <c r="Y221" s="1"/>
      <c r="Z221" s="1"/>
    </row>
    <row r="222" ht="15.75" customHeight="1">
      <c r="A222" s="16" t="str">
        <f>IFERROR(__xludf.DUMMYFUNCTION("""COMPUTED_VALUE"""),"Wrath Of The Fire Dragon")</f>
        <v>Wrath Of The Fire Dragon</v>
      </c>
      <c r="B222" s="17">
        <f>IFERROR(__xludf.DUMMYFUNCTION("""COMPUTED_VALUE"""),1.0)</f>
        <v>1</v>
      </c>
      <c r="C222" s="22">
        <f>IFERROR(__xludf.DUMMYFUNCTION("""COMPUTED_VALUE"""),0.0)</f>
        <v>0</v>
      </c>
      <c r="D222" s="16"/>
      <c r="E222" s="16" t="str">
        <f>IFERROR(__xludf.DUMMYFUNCTION("""COMPUTED_VALUE"""),"10,000 fire damage to all enemies. Cannot resist or be immune to.")</f>
        <v>10,000 fire damage to all enemies. Cannot resist or be immune to.</v>
      </c>
      <c r="F222" s="16" t="str">
        <f>IFERROR(__xludf.DUMMYFUNCTION("""COMPUTED_VALUE"""),"Natural/Cannot Avoid")</f>
        <v>Natural/Cannot Avoid</v>
      </c>
      <c r="G222" s="18" t="str">
        <f>IFERROR(__xludf.DUMMYFUNCTION("""COMPUTED_VALUE"""),"All")</f>
        <v>All</v>
      </c>
      <c r="H222" s="43" t="str">
        <f>IFERROR(__xludf.DUMMYFUNCTION("""COMPUTED_VALUE"""),"Fire")</f>
        <v>Fire</v>
      </c>
      <c r="I222" s="20" t="str">
        <f>IFERROR(__xludf.DUMMYFUNCTION("""COMPUTED_VALUE"""),"Mob")</f>
        <v>Mob</v>
      </c>
      <c r="J222" s="21" t="b">
        <f>IFERROR(__xludf.DUMMYFUNCTION("""COMPUTED_VALUE"""),TRUE)</f>
        <v>1</v>
      </c>
      <c r="K222" s="21"/>
      <c r="L222" s="21" t="b">
        <f>IFERROR(__xludf.DUMMYFUNCTION("""COMPUTED_VALUE"""),FALSE)</f>
        <v>0</v>
      </c>
      <c r="M222" s="21" t="b">
        <f>IFERROR(__xludf.DUMMYFUNCTION("""COMPUTED_VALUE"""),FALSE)</f>
        <v>0</v>
      </c>
      <c r="N222" s="1"/>
      <c r="O222" s="1"/>
      <c r="P222" s="1"/>
      <c r="Q222" s="1"/>
      <c r="R222" s="1"/>
      <c r="S222" s="1"/>
      <c r="T222" s="1"/>
      <c r="U222" s="1"/>
      <c r="V222" s="1"/>
      <c r="W222" s="1"/>
      <c r="X222" s="1"/>
      <c r="Y222" s="1"/>
      <c r="Z222" s="1"/>
    </row>
    <row r="223" ht="15.75" customHeight="1">
      <c r="A223" s="16" t="str">
        <f>IFERROR(__xludf.DUMMYFUNCTION("""COMPUTED_VALUE"""),"Forged in Fire")</f>
        <v>Forged in Fire</v>
      </c>
      <c r="B223" s="17">
        <f>IFERROR(__xludf.DUMMYFUNCTION("""COMPUTED_VALUE"""),9.0)</f>
        <v>9</v>
      </c>
      <c r="C223" s="16" t="str">
        <f>IFERROR(__xludf.DUMMYFUNCTION("""COMPUTED_VALUE"""),"X")</f>
        <v>X</v>
      </c>
      <c r="D223" s="16"/>
      <c r="E223" s="16" t="str">
        <f>IFERROR(__xludf.DUMMYFUNCTION("""COMPUTED_VALUE"""),"Take X Fire damage but any enemy that deals weapon damage to you takes X*2 Burn for 3 rounds.")</f>
        <v>Take X Fire damage but any enemy that deals weapon damage to you takes X*2 Burn for 3 rounds.</v>
      </c>
      <c r="F223" s="16" t="str">
        <f>IFERROR(__xludf.DUMMYFUNCTION("""COMPUTED_VALUE"""),"Fail/Succeed")</f>
        <v>Fail/Succeed</v>
      </c>
      <c r="G223" s="18" t="str">
        <f>IFERROR(__xludf.DUMMYFUNCTION("""COMPUTED_VALUE"""),"Self")</f>
        <v>Self</v>
      </c>
      <c r="H223" s="43" t="str">
        <f>IFERROR(__xludf.DUMMYFUNCTION("""COMPUTED_VALUE"""),"Fire")</f>
        <v>Fire</v>
      </c>
      <c r="I223" s="20" t="str">
        <f>IFERROR(__xludf.DUMMYFUNCTION("""COMPUTED_VALUE"""),"Mob")</f>
        <v>Mob</v>
      </c>
      <c r="J223" s="21" t="b">
        <f>IFERROR(__xludf.DUMMYFUNCTION("""COMPUTED_VALUE"""),TRUE)</f>
        <v>1</v>
      </c>
      <c r="K223" s="21"/>
      <c r="L223" s="21" t="b">
        <f>IFERROR(__xludf.DUMMYFUNCTION("""COMPUTED_VALUE"""),FALSE)</f>
        <v>0</v>
      </c>
      <c r="M223" s="21" t="b">
        <f>IFERROR(__xludf.DUMMYFUNCTION("""COMPUTED_VALUE"""),FALSE)</f>
        <v>0</v>
      </c>
      <c r="N223" s="1"/>
      <c r="O223" s="1"/>
      <c r="P223" s="1"/>
      <c r="Q223" s="1"/>
      <c r="R223" s="1"/>
      <c r="S223" s="1"/>
      <c r="T223" s="1"/>
      <c r="U223" s="1"/>
      <c r="V223" s="1"/>
      <c r="W223" s="1"/>
      <c r="X223" s="1"/>
      <c r="Y223" s="1"/>
      <c r="Z223" s="1"/>
    </row>
    <row r="224" ht="15.75" customHeight="1">
      <c r="A224" s="16" t="str">
        <f>IFERROR(__xludf.DUMMYFUNCTION("""COMPUTED_VALUE"""),"Overcharge")</f>
        <v>Overcharge</v>
      </c>
      <c r="B224" s="17">
        <f>IFERROR(__xludf.DUMMYFUNCTION("""COMPUTED_VALUE"""),5.0)</f>
        <v>5</v>
      </c>
      <c r="C224" s="16">
        <f>IFERROR(__xludf.DUMMYFUNCTION("""COMPUTED_VALUE"""),0.0)</f>
        <v>0</v>
      </c>
      <c r="D224" s="16"/>
      <c r="E224" s="16"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16" t="str">
        <f>IFERROR(__xludf.DUMMYFUNCTION("""COMPUTED_VALUE"""),"Natural/Fail or Succeed")</f>
        <v>Natural/Fail or Succeed</v>
      </c>
      <c r="G224" s="18" t="str">
        <f>IFERROR(__xludf.DUMMYFUNCTION("""COMPUTED_VALUE"""),"Self")</f>
        <v>Self</v>
      </c>
      <c r="H224" s="43" t="str">
        <f>IFERROR(__xludf.DUMMYFUNCTION("""COMPUTED_VALUE"""),"Fire")</f>
        <v>Fire</v>
      </c>
      <c r="I224" s="20" t="str">
        <f>IFERROR(__xludf.DUMMYFUNCTION("""COMPUTED_VALUE"""),"Player")</f>
        <v>Player</v>
      </c>
      <c r="J224" s="21" t="b">
        <f>IFERROR(__xludf.DUMMYFUNCTION("""COMPUTED_VALUE"""),TRUE)</f>
        <v>1</v>
      </c>
      <c r="K224" s="21" t="str">
        <f>IFERROR(__xludf.DUMMYFUNCTION("""COMPUTED_VALUE"""),"Mekanian")</f>
        <v>Mekanian</v>
      </c>
      <c r="L224" s="21" t="b">
        <f>IFERROR(__xludf.DUMMYFUNCTION("""COMPUTED_VALUE"""),FALSE)</f>
        <v>0</v>
      </c>
      <c r="M224" s="21" t="b">
        <f>IFERROR(__xludf.DUMMYFUNCTION("""COMPUTED_VALUE"""),FALSE)</f>
        <v>0</v>
      </c>
      <c r="N224" s="1"/>
      <c r="O224" s="1"/>
      <c r="P224" s="1"/>
      <c r="Q224" s="1"/>
      <c r="R224" s="1"/>
      <c r="S224" s="1"/>
      <c r="T224" s="1"/>
      <c r="U224" s="1"/>
      <c r="V224" s="1"/>
      <c r="W224" s="1"/>
      <c r="X224" s="1"/>
      <c r="Y224" s="1"/>
      <c r="Z224" s="1"/>
    </row>
    <row r="225" ht="15.75" customHeight="1">
      <c r="A225" s="16" t="str">
        <f>IFERROR(__xludf.DUMMYFUNCTION("""COMPUTED_VALUE"""),"Cooldown")</f>
        <v>Cooldown</v>
      </c>
      <c r="B225" s="17">
        <f>IFERROR(__xludf.DUMMYFUNCTION("""COMPUTED_VALUE"""),3.0)</f>
        <v>3</v>
      </c>
      <c r="C225" s="16">
        <f>IFERROR(__xludf.DUMMYFUNCTION("""COMPUTED_VALUE"""),0.0)</f>
        <v>0</v>
      </c>
      <c r="D225" s="16"/>
      <c r="E225" s="16"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16" t="str">
        <f>IFERROR(__xludf.DUMMYFUNCTION("""COMPUTED_VALUE"""),"Natural/Fail or Succeed")</f>
        <v>Natural/Fail or Succeed</v>
      </c>
      <c r="G225" s="18" t="str">
        <f>IFERROR(__xludf.DUMMYFUNCTION("""COMPUTED_VALUE"""),"Self")</f>
        <v>Self</v>
      </c>
      <c r="H225" s="43" t="str">
        <f>IFERROR(__xludf.DUMMYFUNCTION("""COMPUTED_VALUE"""),"Fire")</f>
        <v>Fire</v>
      </c>
      <c r="I225" s="20" t="str">
        <f>IFERROR(__xludf.DUMMYFUNCTION("""COMPUTED_VALUE"""),"Player")</f>
        <v>Player</v>
      </c>
      <c r="J225" s="21" t="b">
        <f>IFERROR(__xludf.DUMMYFUNCTION("""COMPUTED_VALUE"""),TRUE)</f>
        <v>1</v>
      </c>
      <c r="K225" s="21" t="str">
        <f>IFERROR(__xludf.DUMMYFUNCTION("""COMPUTED_VALUE"""),"Mekanian")</f>
        <v>Mekanian</v>
      </c>
      <c r="L225" s="21" t="b">
        <f>IFERROR(__xludf.DUMMYFUNCTION("""COMPUTED_VALUE"""),FALSE)</f>
        <v>0</v>
      </c>
      <c r="M225" s="21" t="b">
        <f>IFERROR(__xludf.DUMMYFUNCTION("""COMPUTED_VALUE"""),FALSE)</f>
        <v>0</v>
      </c>
      <c r="N225" s="1"/>
      <c r="O225" s="1"/>
      <c r="P225" s="1"/>
      <c r="Q225" s="1"/>
      <c r="R225" s="1"/>
      <c r="S225" s="1"/>
      <c r="T225" s="1"/>
      <c r="U225" s="1"/>
      <c r="V225" s="1"/>
      <c r="W225" s="1"/>
      <c r="X225" s="1"/>
      <c r="Y225" s="1"/>
      <c r="Z225" s="1"/>
    </row>
    <row r="226" ht="15.75" customHeight="1">
      <c r="A226" s="16" t="str">
        <f>IFERROR(__xludf.DUMMYFUNCTION("""COMPUTED_VALUE"""),"Recharge")</f>
        <v>Recharge</v>
      </c>
      <c r="B226" s="17">
        <f>IFERROR(__xludf.DUMMYFUNCTION("""COMPUTED_VALUE"""),9.0)</f>
        <v>9</v>
      </c>
      <c r="C226" s="16">
        <f>IFERROR(__xludf.DUMMYFUNCTION("""COMPUTED_VALUE"""),0.0)</f>
        <v>0</v>
      </c>
      <c r="D226" s="16"/>
      <c r="E226" s="16" t="str">
        <f>IFERROR(__xludf.DUMMYFUNCTION("""COMPUTED_VALUE"""),"If you are a construct heal 500 hp and gain the effects of Invigorated 3 and Haste 2.")</f>
        <v>If you are a construct heal 500 hp and gain the effects of Invigorated 3 and Haste 2.</v>
      </c>
      <c r="F226" s="16" t="str">
        <f>IFERROR(__xludf.DUMMYFUNCTION("""COMPUTED_VALUE"""),"Natural/Fail or Succeed")</f>
        <v>Natural/Fail or Succeed</v>
      </c>
      <c r="G226" s="18" t="str">
        <f>IFERROR(__xludf.DUMMYFUNCTION("""COMPUTED_VALUE"""),"Self")</f>
        <v>Self</v>
      </c>
      <c r="H226" s="43" t="str">
        <f>IFERROR(__xludf.DUMMYFUNCTION("""COMPUTED_VALUE"""),"Fire")</f>
        <v>Fire</v>
      </c>
      <c r="I226" s="20" t="str">
        <f>IFERROR(__xludf.DUMMYFUNCTION("""COMPUTED_VALUE"""),"Player")</f>
        <v>Player</v>
      </c>
      <c r="J226" s="21" t="b">
        <f>IFERROR(__xludf.DUMMYFUNCTION("""COMPUTED_VALUE"""),TRUE)</f>
        <v>1</v>
      </c>
      <c r="K226" s="21" t="str">
        <f>IFERROR(__xludf.DUMMYFUNCTION("""COMPUTED_VALUE"""),"Mekanian")</f>
        <v>Mekanian</v>
      </c>
      <c r="L226" s="21" t="b">
        <f>IFERROR(__xludf.DUMMYFUNCTION("""COMPUTED_VALUE"""),FALSE)</f>
        <v>0</v>
      </c>
      <c r="M226" s="21" t="b">
        <f>IFERROR(__xludf.DUMMYFUNCTION("""COMPUTED_VALUE"""),FALSE)</f>
        <v>0</v>
      </c>
      <c r="N226" s="1"/>
      <c r="O226" s="1"/>
      <c r="P226" s="1"/>
      <c r="Q226" s="1"/>
      <c r="R226" s="1"/>
      <c r="S226" s="1"/>
      <c r="T226" s="1"/>
      <c r="U226" s="1"/>
      <c r="V226" s="1"/>
      <c r="W226" s="1"/>
      <c r="X226" s="1"/>
      <c r="Y226" s="1"/>
      <c r="Z226" s="1"/>
    </row>
    <row r="227" ht="15.75" customHeight="1">
      <c r="A227" s="16" t="str">
        <f>IFERROR(__xludf.DUMMYFUNCTION("""COMPUTED_VALUE"""),"Fire Bolt")</f>
        <v>Fire Bolt</v>
      </c>
      <c r="B227" s="17">
        <f>IFERROR(__xludf.DUMMYFUNCTION("""COMPUTED_VALUE"""),1.0)</f>
        <v>1</v>
      </c>
      <c r="C227" s="16" t="str">
        <f>IFERROR(__xludf.DUMMYFUNCTION("""COMPUTED_VALUE"""),"X")</f>
        <v>X</v>
      </c>
      <c r="D227" s="16"/>
      <c r="E227" s="16" t="str">
        <f>IFERROR(__xludf.DUMMYFUNCTION("""COMPUTED_VALUE"""),"Deals X*100 Fire damage to a single enemy where X is equal to SP spent.")</f>
        <v>Deals X*100 Fire damage to a single enemy where X is equal to SP spent.</v>
      </c>
      <c r="F227" s="16" t="str">
        <f>IFERROR(__xludf.DUMMYFUNCTION("""COMPUTED_VALUE"""),"Hit/Miss")</f>
        <v>Hit/Miss</v>
      </c>
      <c r="G227" s="18">
        <f>IFERROR(__xludf.DUMMYFUNCTION("""COMPUTED_VALUE"""),1.0)</f>
        <v>1</v>
      </c>
      <c r="H227" s="44" t="str">
        <f>IFERROR(__xludf.DUMMYFUNCTION("""COMPUTED_VALUE"""),"Fire")</f>
        <v>Fire</v>
      </c>
      <c r="I227" s="20" t="str">
        <f>IFERROR(__xludf.DUMMYFUNCTION("""COMPUTED_VALUE"""),"Player")</f>
        <v>Player</v>
      </c>
      <c r="J227" s="21" t="b">
        <f>IFERROR(__xludf.DUMMYFUNCTION("""COMPUTED_VALUE"""),FALSE)</f>
        <v>0</v>
      </c>
      <c r="K227" s="21"/>
      <c r="L227" s="21" t="b">
        <f>IFERROR(__xludf.DUMMYFUNCTION("""COMPUTED_VALUE"""),FALSE)</f>
        <v>0</v>
      </c>
      <c r="M227" s="21" t="b">
        <f>IFERROR(__xludf.DUMMYFUNCTION("""COMPUTED_VALUE"""),FALSE)</f>
        <v>0</v>
      </c>
      <c r="N227" s="1"/>
      <c r="O227" s="1"/>
      <c r="P227" s="1"/>
      <c r="Q227" s="1"/>
      <c r="R227" s="1"/>
      <c r="S227" s="1"/>
      <c r="T227" s="1"/>
      <c r="U227" s="1"/>
      <c r="V227" s="1"/>
      <c r="W227" s="1"/>
      <c r="X227" s="1"/>
      <c r="Y227" s="1"/>
      <c r="Z227" s="1"/>
    </row>
    <row r="228" ht="15.75" customHeight="1">
      <c r="A228" s="16" t="str">
        <f>IFERROR(__xludf.DUMMYFUNCTION("""COMPUTED_VALUE"""),"Flame Thrower")</f>
        <v>Flame Thrower</v>
      </c>
      <c r="B228" s="17">
        <f>IFERROR(__xludf.DUMMYFUNCTION("""COMPUTED_VALUE"""),5.0)</f>
        <v>5</v>
      </c>
      <c r="C228" s="16" t="str">
        <f>IFERROR(__xludf.DUMMYFUNCTION("""COMPUTED_VALUE"""),"X")</f>
        <v>X</v>
      </c>
      <c r="D228" s="16"/>
      <c r="E228" s="16" t="str">
        <f>IFERROR(__xludf.DUMMYFUNCTION("""COMPUTED_VALUE"""),"Deals X*50 Burn for 3 rounds to a single target where X is equal to SP spent.")</f>
        <v>Deals X*50 Burn for 3 rounds to a single target where X is equal to SP spent.</v>
      </c>
      <c r="F228" s="16" t="str">
        <f>IFERROR(__xludf.DUMMYFUNCTION("""COMPUTED_VALUE"""),"Hit/Miss")</f>
        <v>Hit/Miss</v>
      </c>
      <c r="G228" s="18">
        <f>IFERROR(__xludf.DUMMYFUNCTION("""COMPUTED_VALUE"""),1.0)</f>
        <v>1</v>
      </c>
      <c r="H228" s="44" t="str">
        <f>IFERROR(__xludf.DUMMYFUNCTION("""COMPUTED_VALUE"""),"Fire")</f>
        <v>Fire</v>
      </c>
      <c r="I228" s="20" t="str">
        <f>IFERROR(__xludf.DUMMYFUNCTION("""COMPUTED_VALUE"""),"Player")</f>
        <v>Player</v>
      </c>
      <c r="J228" s="21" t="b">
        <f>IFERROR(__xludf.DUMMYFUNCTION("""COMPUTED_VALUE"""),FALSE)</f>
        <v>0</v>
      </c>
      <c r="K228" s="21"/>
      <c r="L228" s="21" t="b">
        <f>IFERROR(__xludf.DUMMYFUNCTION("""COMPUTED_VALUE"""),FALSE)</f>
        <v>0</v>
      </c>
      <c r="M228" s="21" t="b">
        <f>IFERROR(__xludf.DUMMYFUNCTION("""COMPUTED_VALUE"""),FALSE)</f>
        <v>0</v>
      </c>
      <c r="N228" s="1"/>
      <c r="O228" s="1"/>
      <c r="P228" s="1"/>
      <c r="Q228" s="1"/>
      <c r="R228" s="1"/>
      <c r="S228" s="1"/>
      <c r="T228" s="1"/>
      <c r="U228" s="1"/>
      <c r="V228" s="1"/>
      <c r="W228" s="1"/>
      <c r="X228" s="1"/>
      <c r="Y228" s="1"/>
      <c r="Z228" s="1"/>
    </row>
    <row r="229" ht="15.75" customHeight="1">
      <c r="A229" s="16" t="str">
        <f>IFERROR(__xludf.DUMMYFUNCTION("""COMPUTED_VALUE"""),"Meteor Shower")</f>
        <v>Meteor Shower</v>
      </c>
      <c r="B229" s="17">
        <f>IFERROR(__xludf.DUMMYFUNCTION("""COMPUTED_VALUE"""),5.0)</f>
        <v>5</v>
      </c>
      <c r="C229" s="16" t="str">
        <f>IFERROR(__xludf.DUMMYFUNCTION("""COMPUTED_VALUE"""),"X")</f>
        <v>X</v>
      </c>
      <c r="D229" s="16"/>
      <c r="E229" s="16" t="str">
        <f>IFERROR(__xludf.DUMMYFUNCTION("""COMPUTED_VALUE"""),"Deals X*25 Fire damage to all enemies where X is equal to SP spent.")</f>
        <v>Deals X*25 Fire damage to all enemies where X is equal to SP spent.</v>
      </c>
      <c r="F229" s="16" t="str">
        <f>IFERROR(__xludf.DUMMYFUNCTION("""COMPUTED_VALUE"""),"Cannot Avoid")</f>
        <v>Cannot Avoid</v>
      </c>
      <c r="G229" s="18" t="str">
        <f>IFERROR(__xludf.DUMMYFUNCTION("""COMPUTED_VALUE"""),"All")</f>
        <v>All</v>
      </c>
      <c r="H229" s="44" t="str">
        <f>IFERROR(__xludf.DUMMYFUNCTION("""COMPUTED_VALUE"""),"Fire")</f>
        <v>Fire</v>
      </c>
      <c r="I229" s="20" t="str">
        <f>IFERROR(__xludf.DUMMYFUNCTION("""COMPUTED_VALUE"""),"Player")</f>
        <v>Player</v>
      </c>
      <c r="J229" s="21" t="b">
        <f>IFERROR(__xludf.DUMMYFUNCTION("""COMPUTED_VALUE"""),FALSE)</f>
        <v>0</v>
      </c>
      <c r="K229" s="21"/>
      <c r="L229" s="21" t="b">
        <f>IFERROR(__xludf.DUMMYFUNCTION("""COMPUTED_VALUE"""),FALSE)</f>
        <v>0</v>
      </c>
      <c r="M229" s="21" t="b">
        <f>IFERROR(__xludf.DUMMYFUNCTION("""COMPUTED_VALUE"""),FALSE)</f>
        <v>0</v>
      </c>
      <c r="N229" s="1"/>
      <c r="O229" s="1"/>
      <c r="P229" s="1"/>
      <c r="Q229" s="1"/>
      <c r="R229" s="1"/>
      <c r="S229" s="1"/>
      <c r="T229" s="1"/>
      <c r="U229" s="1"/>
      <c r="V229" s="1"/>
      <c r="W229" s="1"/>
      <c r="X229" s="1"/>
      <c r="Y229" s="1"/>
      <c r="Z229" s="1"/>
    </row>
    <row r="230" ht="15.75" customHeight="1">
      <c r="A230" s="16" t="str">
        <f>IFERROR(__xludf.DUMMYFUNCTION("""COMPUTED_VALUE"""),"Mass Ignition")</f>
        <v>Mass Ignition</v>
      </c>
      <c r="B230" s="17">
        <f>IFERROR(__xludf.DUMMYFUNCTION("""COMPUTED_VALUE"""),6.0)</f>
        <v>6</v>
      </c>
      <c r="C230" s="16" t="str">
        <f>IFERROR(__xludf.DUMMYFUNCTION("""COMPUTED_VALUE"""),"X")</f>
        <v>X</v>
      </c>
      <c r="D230" s="16"/>
      <c r="E230" s="16" t="str">
        <f>IFERROR(__xludf.DUMMYFUNCTION("""COMPUTED_VALUE"""),"Deals X*10 Burn to all enemies for 3 rounds where X is equal to SP spent.")</f>
        <v>Deals X*10 Burn to all enemies for 3 rounds where X is equal to SP spent.</v>
      </c>
      <c r="F230" s="16" t="str">
        <f>IFERROR(__xludf.DUMMYFUNCTION("""COMPUTED_VALUE"""),"Cannot Avoid")</f>
        <v>Cannot Avoid</v>
      </c>
      <c r="G230" s="18" t="str">
        <f>IFERROR(__xludf.DUMMYFUNCTION("""COMPUTED_VALUE"""),"All")</f>
        <v>All</v>
      </c>
      <c r="H230" s="44" t="str">
        <f>IFERROR(__xludf.DUMMYFUNCTION("""COMPUTED_VALUE"""),"Fire")</f>
        <v>Fire</v>
      </c>
      <c r="I230" s="20" t="str">
        <f>IFERROR(__xludf.DUMMYFUNCTION("""COMPUTED_VALUE"""),"Player")</f>
        <v>Player</v>
      </c>
      <c r="J230" s="21" t="b">
        <f>IFERROR(__xludf.DUMMYFUNCTION("""COMPUTED_VALUE"""),FALSE)</f>
        <v>0</v>
      </c>
      <c r="K230" s="21"/>
      <c r="L230" s="21" t="b">
        <f>IFERROR(__xludf.DUMMYFUNCTION("""COMPUTED_VALUE"""),FALSE)</f>
        <v>0</v>
      </c>
      <c r="M230" s="21" t="b">
        <f>IFERROR(__xludf.DUMMYFUNCTION("""COMPUTED_VALUE"""),FALSE)</f>
        <v>0</v>
      </c>
      <c r="N230" s="1"/>
      <c r="O230" s="1"/>
      <c r="P230" s="1"/>
      <c r="Q230" s="1"/>
      <c r="R230" s="1"/>
      <c r="S230" s="1"/>
      <c r="T230" s="1"/>
      <c r="U230" s="1"/>
      <c r="V230" s="1"/>
      <c r="W230" s="1"/>
      <c r="X230" s="1"/>
      <c r="Y230" s="1"/>
      <c r="Z230" s="1"/>
    </row>
    <row r="231" ht="15.75" customHeight="1">
      <c r="A231" s="16" t="str">
        <f>IFERROR(__xludf.DUMMYFUNCTION("""COMPUTED_VALUE"""),"Wall of Flames")</f>
        <v>Wall of Flames</v>
      </c>
      <c r="B231" s="17">
        <f>IFERROR(__xludf.DUMMYFUNCTION("""COMPUTED_VALUE"""),9.0)</f>
        <v>9</v>
      </c>
      <c r="C231" s="16">
        <f>IFERROR(__xludf.DUMMYFUNCTION("""COMPUTED_VALUE"""),2000.0)</f>
        <v>2000</v>
      </c>
      <c r="D231" s="16"/>
      <c r="E231" s="16" t="str">
        <f>IFERROR(__xludf.DUMMYFUNCTION("""COMPUTED_VALUE"""),"Deals 20,000 fire damage per round to all enemies that doubles each round for 3 rounds.")</f>
        <v>Deals 20,000 fire damage per round to all enemies that doubles each round for 3 rounds.</v>
      </c>
      <c r="F231" s="16" t="str">
        <f>IFERROR(__xludf.DUMMYFUNCTION("""COMPUTED_VALUE"""),"Fail/Succeed")</f>
        <v>Fail/Succeed</v>
      </c>
      <c r="G231" s="18" t="str">
        <f>IFERROR(__xludf.DUMMYFUNCTION("""COMPUTED_VALUE"""),"All")</f>
        <v>All</v>
      </c>
      <c r="H231" s="44" t="str">
        <f>IFERROR(__xludf.DUMMYFUNCTION("""COMPUTED_VALUE"""),"Fire")</f>
        <v>Fire</v>
      </c>
      <c r="I231" s="20" t="str">
        <f>IFERROR(__xludf.DUMMYFUNCTION("""COMPUTED_VALUE"""),"Player")</f>
        <v>Player</v>
      </c>
      <c r="J231" s="21" t="b">
        <f>IFERROR(__xludf.DUMMYFUNCTION("""COMPUTED_VALUE"""),FALSE)</f>
        <v>0</v>
      </c>
      <c r="K231" s="21"/>
      <c r="L231" s="21" t="b">
        <f>IFERROR(__xludf.DUMMYFUNCTION("""COMPUTED_VALUE"""),FALSE)</f>
        <v>0</v>
      </c>
      <c r="M231" s="21" t="b">
        <f>IFERROR(__xludf.DUMMYFUNCTION("""COMPUTED_VALUE"""),FALSE)</f>
        <v>0</v>
      </c>
      <c r="N231" s="1"/>
      <c r="O231" s="1"/>
      <c r="P231" s="1"/>
      <c r="Q231" s="1"/>
      <c r="R231" s="1"/>
      <c r="S231" s="1"/>
      <c r="T231" s="1"/>
      <c r="U231" s="1"/>
      <c r="V231" s="1"/>
      <c r="W231" s="1"/>
      <c r="X231" s="1"/>
      <c r="Y231" s="1"/>
      <c r="Z231" s="1"/>
    </row>
    <row r="232" ht="15.75" customHeight="1">
      <c r="A232" s="16" t="str">
        <f>IFERROR(__xludf.DUMMYFUNCTION("""COMPUTED_VALUE"""),"Meltdown")</f>
        <v>Meltdown</v>
      </c>
      <c r="B232" s="17">
        <f>IFERROR(__xludf.DUMMYFUNCTION("""COMPUTED_VALUE"""),9.0)</f>
        <v>9</v>
      </c>
      <c r="C232" s="16"/>
      <c r="D232" s="16" t="str">
        <f>IFERROR(__xludf.DUMMYFUNCTION("""COMPUTED_VALUE"""),"X")</f>
        <v>X</v>
      </c>
      <c r="E232" s="16"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16" t="str">
        <f>IFERROR(__xludf.DUMMYFUNCTION("""COMPUTED_VALUE"""),"Fail/Succeed")</f>
        <v>Fail/Succeed</v>
      </c>
      <c r="G232" s="18" t="str">
        <f>IFERROR(__xludf.DUMMYFUNCTION("""COMPUTED_VALUE"""),"All")</f>
        <v>All</v>
      </c>
      <c r="H232" s="44" t="str">
        <f>IFERROR(__xludf.DUMMYFUNCTION("""COMPUTED_VALUE"""),"Fire")</f>
        <v>Fire</v>
      </c>
      <c r="I232" s="20" t="str">
        <f>IFERROR(__xludf.DUMMYFUNCTION("""COMPUTED_VALUE"""),"Player")</f>
        <v>Player</v>
      </c>
      <c r="J232" s="21" t="b">
        <f>IFERROR(__xludf.DUMMYFUNCTION("""COMPUTED_VALUE"""),TRUE)</f>
        <v>1</v>
      </c>
      <c r="K232" s="21"/>
      <c r="L232" s="21" t="b">
        <f>IFERROR(__xludf.DUMMYFUNCTION("""COMPUTED_VALUE"""),FALSE)</f>
        <v>0</v>
      </c>
      <c r="M232" s="21" t="b">
        <f>IFERROR(__xludf.DUMMYFUNCTION("""COMPUTED_VALUE"""),FALSE)</f>
        <v>0</v>
      </c>
      <c r="N232" s="1"/>
      <c r="O232" s="1"/>
      <c r="P232" s="1"/>
      <c r="Q232" s="1"/>
      <c r="R232" s="1"/>
      <c r="S232" s="1"/>
      <c r="T232" s="1"/>
      <c r="U232" s="1"/>
      <c r="V232" s="1"/>
      <c r="W232" s="1"/>
      <c r="X232" s="1"/>
      <c r="Y232" s="1"/>
      <c r="Z232" s="1"/>
    </row>
    <row r="233" ht="15.75" customHeight="1">
      <c r="A233" s="16" t="str">
        <f>IFERROR(__xludf.DUMMYFUNCTION("""COMPUTED_VALUE"""),"Radiant Aura")</f>
        <v>Radiant Aura</v>
      </c>
      <c r="B233" s="17">
        <f>IFERROR(__xludf.DUMMYFUNCTION("""COMPUTED_VALUE"""),7.0)</f>
        <v>7</v>
      </c>
      <c r="C233" s="16" t="str">
        <f>IFERROR(__xludf.DUMMYFUNCTION("""COMPUTED_VALUE"""),"X")</f>
        <v>X</v>
      </c>
      <c r="D233" s="16"/>
      <c r="E233" s="16" t="str">
        <f>IFERROR(__xludf.DUMMYFUNCTION("""COMPUTED_VALUE"""),"X*10 Light damage per round for 3 rounds to all enemies where X is equal to SP spent.")</f>
        <v>X*10 Light damage per round for 3 rounds to all enemies where X is equal to SP spent.</v>
      </c>
      <c r="F233" s="16" t="str">
        <f>IFERROR(__xludf.DUMMYFUNCTION("""COMPUTED_VALUE"""),"Cannot Avoid")</f>
        <v>Cannot Avoid</v>
      </c>
      <c r="G233" s="18"/>
      <c r="H233" s="44" t="str">
        <f>IFERROR(__xludf.DUMMYFUNCTION("""COMPUTED_VALUE"""),"Light")</f>
        <v>Light</v>
      </c>
      <c r="I233" s="20" t="str">
        <f>IFERROR(__xludf.DUMMYFUNCTION("""COMPUTED_VALUE"""),"Player")</f>
        <v>Player</v>
      </c>
      <c r="J233" s="21" t="b">
        <f>IFERROR(__xludf.DUMMYFUNCTION("""COMPUTED_VALUE"""),TRUE)</f>
        <v>1</v>
      </c>
      <c r="K233" s="21"/>
      <c r="L233" s="21" t="b">
        <f>IFERROR(__xludf.DUMMYFUNCTION("""COMPUTED_VALUE"""),FALSE)</f>
        <v>0</v>
      </c>
      <c r="M233" s="21" t="b">
        <f>IFERROR(__xludf.DUMMYFUNCTION("""COMPUTED_VALUE"""),FALSE)</f>
        <v>0</v>
      </c>
      <c r="N233" s="1"/>
      <c r="O233" s="1"/>
      <c r="P233" s="1"/>
      <c r="Q233" s="1"/>
      <c r="R233" s="1"/>
      <c r="S233" s="1"/>
      <c r="T233" s="1"/>
      <c r="U233" s="1"/>
      <c r="V233" s="1"/>
      <c r="W233" s="1"/>
      <c r="X233" s="1"/>
      <c r="Y233" s="1"/>
      <c r="Z233" s="1"/>
    </row>
    <row r="234" ht="15.75" customHeight="1">
      <c r="A234" s="16" t="str">
        <f>IFERROR(__xludf.DUMMYFUNCTION("""COMPUTED_VALUE"""),"Baptize")</f>
        <v>Baptize</v>
      </c>
      <c r="B234" s="17">
        <f>IFERROR(__xludf.DUMMYFUNCTION("""COMPUTED_VALUE"""),4.0)</f>
        <v>4</v>
      </c>
      <c r="C234" s="16">
        <f>IFERROR(__xludf.DUMMYFUNCTION("""COMPUTED_VALUE"""),40.0)</f>
        <v>40</v>
      </c>
      <c r="D234" s="16"/>
      <c r="E234" s="16" t="str">
        <f>IFERROR(__xludf.DUMMYFUNCTION("""COMPUTED_VALUE"""),"Target becomes immune to light and dark until the end of Battle. Cannot be casted on self.")</f>
        <v>Target becomes immune to light and dark until the end of Battle. Cannot be casted on self.</v>
      </c>
      <c r="F234" s="16" t="str">
        <f>IFERROR(__xludf.DUMMYFUNCTION("""COMPUTED_VALUE"""),"Fail/Succeed")</f>
        <v>Fail/Succeed</v>
      </c>
      <c r="G234" s="18"/>
      <c r="H234" s="44" t="str">
        <f>IFERROR(__xludf.DUMMYFUNCTION("""COMPUTED_VALUE"""),"Light")</f>
        <v>Light</v>
      </c>
      <c r="I234" s="20" t="str">
        <f>IFERROR(__xludf.DUMMYFUNCTION("""COMPUTED_VALUE"""),"Player")</f>
        <v>Player</v>
      </c>
      <c r="J234" s="21" t="b">
        <f>IFERROR(__xludf.DUMMYFUNCTION("""COMPUTED_VALUE"""),FALSE)</f>
        <v>0</v>
      </c>
      <c r="K234" s="21"/>
      <c r="L234" s="21" t="b">
        <f>IFERROR(__xludf.DUMMYFUNCTION("""COMPUTED_VALUE"""),FALSE)</f>
        <v>0</v>
      </c>
      <c r="M234" s="21" t="b">
        <f>IFERROR(__xludf.DUMMYFUNCTION("""COMPUTED_VALUE"""),FALSE)</f>
        <v>0</v>
      </c>
      <c r="N234" s="1"/>
      <c r="O234" s="1"/>
      <c r="P234" s="1"/>
      <c r="Q234" s="1"/>
      <c r="R234" s="1"/>
      <c r="S234" s="1"/>
      <c r="T234" s="1"/>
      <c r="U234" s="1"/>
      <c r="V234" s="1"/>
      <c r="W234" s="1"/>
      <c r="X234" s="1"/>
      <c r="Y234" s="1"/>
      <c r="Z234" s="1"/>
    </row>
    <row r="235" ht="15.75" customHeight="1">
      <c r="A235" s="16" t="str">
        <f>IFERROR(__xludf.DUMMYFUNCTION("""COMPUTED_VALUE"""),"Bless")</f>
        <v>Bless</v>
      </c>
      <c r="B235" s="17">
        <f>IFERROR(__xludf.DUMMYFUNCTION("""COMPUTED_VALUE"""),4.0)</f>
        <v>4</v>
      </c>
      <c r="C235" s="16" t="str">
        <f>IFERROR(__xludf.DUMMYFUNCTION("""COMPUTED_VALUE"""),"X")</f>
        <v>X</v>
      </c>
      <c r="D235" s="16"/>
      <c r="E235" s="16" t="str">
        <f>IFERROR(__xludf.DUMMYFUNCTION("""COMPUTED_VALUE"""),"Target gains X*4 Light damage and X*4 Light resistance, can’t be used on self")</f>
        <v>Target gains X*4 Light damage and X*4 Light resistance, can’t be used on self</v>
      </c>
      <c r="F235" s="16" t="str">
        <f>IFERROR(__xludf.DUMMYFUNCTION("""COMPUTED_VALUE"""),"Will Succeed")</f>
        <v>Will Succeed</v>
      </c>
      <c r="G235" s="18"/>
      <c r="H235" s="44" t="str">
        <f>IFERROR(__xludf.DUMMYFUNCTION("""COMPUTED_VALUE"""),"Light")</f>
        <v>Light</v>
      </c>
      <c r="I235" s="20" t="str">
        <f>IFERROR(__xludf.DUMMYFUNCTION("""COMPUTED_VALUE"""),"Player")</f>
        <v>Player</v>
      </c>
      <c r="J235" s="21" t="b">
        <f>IFERROR(__xludf.DUMMYFUNCTION("""COMPUTED_VALUE"""),FALSE)</f>
        <v>0</v>
      </c>
      <c r="K235" s="21"/>
      <c r="L235" s="21" t="b">
        <f>IFERROR(__xludf.DUMMYFUNCTION("""COMPUTED_VALUE"""),FALSE)</f>
        <v>0</v>
      </c>
      <c r="M235" s="21" t="b">
        <f>IFERROR(__xludf.DUMMYFUNCTION("""COMPUTED_VALUE"""),FALSE)</f>
        <v>0</v>
      </c>
      <c r="N235" s="1"/>
      <c r="O235" s="1"/>
      <c r="P235" s="1"/>
      <c r="Q235" s="1"/>
      <c r="R235" s="1"/>
      <c r="S235" s="1"/>
      <c r="T235" s="1"/>
      <c r="U235" s="1"/>
      <c r="V235" s="1"/>
      <c r="W235" s="1"/>
      <c r="X235" s="1"/>
      <c r="Y235" s="1"/>
      <c r="Z235" s="1"/>
    </row>
    <row r="236" ht="15.75" customHeight="1">
      <c r="A236" s="16" t="str">
        <f>IFERROR(__xludf.DUMMYFUNCTION("""COMPUTED_VALUE"""),"Bright Light")</f>
        <v>Bright Light</v>
      </c>
      <c r="B236" s="17">
        <f>IFERROR(__xludf.DUMMYFUNCTION("""COMPUTED_VALUE"""),2.0)</f>
        <v>2</v>
      </c>
      <c r="C236" s="16" t="str">
        <f>IFERROR(__xludf.DUMMYFUNCTION("""COMPUTED_VALUE"""),"X")</f>
        <v>X</v>
      </c>
      <c r="D236" s="16"/>
      <c r="E236" s="16" t="str">
        <f>IFERROR(__xludf.DUMMYFUNCTION("""COMPUTED_VALUE"""),"X*25 Light damage to all enemies where X is equal to the users SP spent, sheds light for 3 rounds.")</f>
        <v>X*25 Light damage to all enemies where X is equal to the users SP spent, sheds light for 3 rounds.</v>
      </c>
      <c r="F236" s="16" t="str">
        <f>IFERROR(__xludf.DUMMYFUNCTION("""COMPUTED_VALUE"""),"Cannot Avoid")</f>
        <v>Cannot Avoid</v>
      </c>
      <c r="G236" s="18" t="str">
        <f>IFERROR(__xludf.DUMMYFUNCTION("""COMPUTED_VALUE"""),"All")</f>
        <v>All</v>
      </c>
      <c r="H236" s="44" t="str">
        <f>IFERROR(__xludf.DUMMYFUNCTION("""COMPUTED_VALUE"""),"Light")</f>
        <v>Light</v>
      </c>
      <c r="I236" s="20" t="str">
        <f>IFERROR(__xludf.DUMMYFUNCTION("""COMPUTED_VALUE"""),"Player")</f>
        <v>Player</v>
      </c>
      <c r="J236" s="21" t="b">
        <f>IFERROR(__xludf.DUMMYFUNCTION("""COMPUTED_VALUE"""),FALSE)</f>
        <v>0</v>
      </c>
      <c r="K236" s="21"/>
      <c r="L236" s="21" t="b">
        <f>IFERROR(__xludf.DUMMYFUNCTION("""COMPUTED_VALUE"""),FALSE)</f>
        <v>0</v>
      </c>
      <c r="M236" s="21" t="b">
        <f>IFERROR(__xludf.DUMMYFUNCTION("""COMPUTED_VALUE"""),FALSE)</f>
        <v>0</v>
      </c>
      <c r="N236" s="1"/>
      <c r="O236" s="1"/>
      <c r="P236" s="1"/>
      <c r="Q236" s="1"/>
      <c r="R236" s="1"/>
      <c r="S236" s="1"/>
      <c r="T236" s="1"/>
      <c r="U236" s="1"/>
      <c r="V236" s="1"/>
      <c r="W236" s="1"/>
      <c r="X236" s="1"/>
      <c r="Y236" s="1"/>
      <c r="Z236" s="1"/>
    </row>
    <row r="237" ht="15.75" customHeight="1">
      <c r="A237" s="16" t="str">
        <f>IFERROR(__xludf.DUMMYFUNCTION("""COMPUTED_VALUE"""),"Disease Control")</f>
        <v>Disease Control</v>
      </c>
      <c r="B237" s="17">
        <f>IFERROR(__xludf.DUMMYFUNCTION("""COMPUTED_VALUE"""),9.0)</f>
        <v>9</v>
      </c>
      <c r="C237" s="16">
        <f>IFERROR(__xludf.DUMMYFUNCTION("""COMPUTED_VALUE"""),300.0)</f>
        <v>300</v>
      </c>
      <c r="D237" s="16"/>
      <c r="E237"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16" t="str">
        <f>IFERROR(__xludf.DUMMYFUNCTION("""COMPUTED_VALUE"""),"Fail/succeed")</f>
        <v>Fail/succeed</v>
      </c>
      <c r="G237" s="18">
        <f>IFERROR(__xludf.DUMMYFUNCTION("""COMPUTED_VALUE"""),1.0)</f>
        <v>1</v>
      </c>
      <c r="H237" s="44" t="str">
        <f>IFERROR(__xludf.DUMMYFUNCTION("""COMPUTED_VALUE"""),"Light")</f>
        <v>Light</v>
      </c>
      <c r="I237" s="20" t="str">
        <f>IFERROR(__xludf.DUMMYFUNCTION("""COMPUTED_VALUE"""),"Player")</f>
        <v>Player</v>
      </c>
      <c r="J237" s="21" t="b">
        <f>IFERROR(__xludf.DUMMYFUNCTION("""COMPUTED_VALUE"""),FALSE)</f>
        <v>0</v>
      </c>
      <c r="K237" s="21"/>
      <c r="L237" s="21" t="b">
        <f>IFERROR(__xludf.DUMMYFUNCTION("""COMPUTED_VALUE"""),FALSE)</f>
        <v>0</v>
      </c>
      <c r="M237" s="21" t="b">
        <f>IFERROR(__xludf.DUMMYFUNCTION("""COMPUTED_VALUE"""),FALSE)</f>
        <v>0</v>
      </c>
      <c r="N237" s="1"/>
      <c r="O237" s="1"/>
      <c r="P237" s="1"/>
      <c r="Q237" s="1"/>
      <c r="R237" s="1"/>
      <c r="S237" s="1"/>
      <c r="T237" s="1"/>
      <c r="U237" s="1"/>
      <c r="V237" s="1"/>
      <c r="W237" s="1"/>
      <c r="X237" s="1"/>
      <c r="Y237" s="1"/>
      <c r="Z237" s="1"/>
    </row>
    <row r="238" ht="15.75" customHeight="1">
      <c r="A238" s="16" t="str">
        <f>IFERROR(__xludf.DUMMYFUNCTION("""COMPUTED_VALUE"""),"Flare")</f>
        <v>Flare</v>
      </c>
      <c r="B238" s="17">
        <f>IFERROR(__xludf.DUMMYFUNCTION("""COMPUTED_VALUE"""),1.0)</f>
        <v>1</v>
      </c>
      <c r="C238" s="16" t="str">
        <f>IFERROR(__xludf.DUMMYFUNCTION("""COMPUTED_VALUE"""),"X")</f>
        <v>X</v>
      </c>
      <c r="D238" s="16"/>
      <c r="E238" s="16" t="str">
        <f>IFERROR(__xludf.DUMMYFUNCTION("""COMPUTED_VALUE"""),"X*100 Light damage to one target where X is equal to sp spent, sheds light for 3 rounds")</f>
        <v>X*100 Light damage to one target where X is equal to sp spent, sheds light for 3 rounds</v>
      </c>
      <c r="F238" s="16" t="str">
        <f>IFERROR(__xludf.DUMMYFUNCTION("""COMPUTED_VALUE"""),"Hit/Miss")</f>
        <v>Hit/Miss</v>
      </c>
      <c r="G238" s="18">
        <f>IFERROR(__xludf.DUMMYFUNCTION("""COMPUTED_VALUE"""),1.0)</f>
        <v>1</v>
      </c>
      <c r="H238" s="44" t="str">
        <f>IFERROR(__xludf.DUMMYFUNCTION("""COMPUTED_VALUE"""),"Light")</f>
        <v>Light</v>
      </c>
      <c r="I238" s="20" t="str">
        <f>IFERROR(__xludf.DUMMYFUNCTION("""COMPUTED_VALUE"""),"Player")</f>
        <v>Player</v>
      </c>
      <c r="J238" s="21" t="b">
        <f>IFERROR(__xludf.DUMMYFUNCTION("""COMPUTED_VALUE"""),FALSE)</f>
        <v>0</v>
      </c>
      <c r="K238" s="21"/>
      <c r="L238" s="21" t="b">
        <f>IFERROR(__xludf.DUMMYFUNCTION("""COMPUTED_VALUE"""),FALSE)</f>
        <v>0</v>
      </c>
      <c r="M238" s="21" t="b">
        <f>IFERROR(__xludf.DUMMYFUNCTION("""COMPUTED_VALUE"""),FALSE)</f>
        <v>0</v>
      </c>
      <c r="N238" s="1"/>
      <c r="O238" s="1"/>
      <c r="P238" s="1"/>
      <c r="Q238" s="1"/>
      <c r="R238" s="1"/>
      <c r="S238" s="1"/>
      <c r="T238" s="1"/>
      <c r="U238" s="1"/>
      <c r="V238" s="1"/>
      <c r="W238" s="1"/>
      <c r="X238" s="1"/>
      <c r="Y238" s="1"/>
      <c r="Z238" s="1"/>
    </row>
    <row r="239" ht="15.75" customHeight="1">
      <c r="A239" s="16" t="str">
        <f>IFERROR(__xludf.DUMMYFUNCTION("""COMPUTED_VALUE"""),"Focused Light")</f>
        <v>Focused Light</v>
      </c>
      <c r="B239" s="17">
        <f>IFERROR(__xludf.DUMMYFUNCTION("""COMPUTED_VALUE"""),5.0)</f>
        <v>5</v>
      </c>
      <c r="C239" s="16" t="str">
        <f>IFERROR(__xludf.DUMMYFUNCTION("""COMPUTED_VALUE"""),"X")</f>
        <v>X</v>
      </c>
      <c r="D239" s="16"/>
      <c r="E239" s="16" t="str">
        <f>IFERROR(__xludf.DUMMYFUNCTION("""COMPUTED_VALUE"""),"X*50 Light damage and X*50 Fire damage to one target where X is equal to Sp spent. Sheds light for 3 rounds.")</f>
        <v>X*50 Light damage and X*50 Fire damage to one target where X is equal to Sp spent. Sheds light for 3 rounds.</v>
      </c>
      <c r="F239" s="16" t="str">
        <f>IFERROR(__xludf.DUMMYFUNCTION("""COMPUTED_VALUE"""),"Hit/Miss")</f>
        <v>Hit/Miss</v>
      </c>
      <c r="G239" s="18">
        <f>IFERROR(__xludf.DUMMYFUNCTION("""COMPUTED_VALUE"""),1.0)</f>
        <v>1</v>
      </c>
      <c r="H239" s="45" t="str">
        <f>IFERROR(__xludf.DUMMYFUNCTION("""COMPUTED_VALUE"""),"Light")</f>
        <v>Light</v>
      </c>
      <c r="I239" s="20" t="str">
        <f>IFERROR(__xludf.DUMMYFUNCTION("""COMPUTED_VALUE"""),"Player")</f>
        <v>Player</v>
      </c>
      <c r="J239" s="21" t="b">
        <f>IFERROR(__xludf.DUMMYFUNCTION("""COMPUTED_VALUE"""),FALSE)</f>
        <v>0</v>
      </c>
      <c r="K239" s="21"/>
      <c r="L239" s="21" t="b">
        <f>IFERROR(__xludf.DUMMYFUNCTION("""COMPUTED_VALUE"""),FALSE)</f>
        <v>0</v>
      </c>
      <c r="M239" s="21" t="b">
        <f>IFERROR(__xludf.DUMMYFUNCTION("""COMPUTED_VALUE"""),FALSE)</f>
        <v>0</v>
      </c>
      <c r="N239" s="1"/>
      <c r="O239" s="1"/>
      <c r="P239" s="1"/>
      <c r="Q239" s="1"/>
      <c r="R239" s="1"/>
      <c r="S239" s="1"/>
      <c r="T239" s="1"/>
      <c r="U239" s="1"/>
      <c r="V239" s="1"/>
      <c r="W239" s="1"/>
      <c r="X239" s="1"/>
      <c r="Y239" s="1"/>
      <c r="Z239" s="1"/>
    </row>
    <row r="240" ht="15.75" customHeight="1">
      <c r="A240" s="16" t="str">
        <f>IFERROR(__xludf.DUMMYFUNCTION("""COMPUTED_VALUE"""),"Full Revive")</f>
        <v>Full Revive</v>
      </c>
      <c r="B240" s="17">
        <f>IFERROR(__xludf.DUMMYFUNCTION("""COMPUTED_VALUE"""),9.0)</f>
        <v>9</v>
      </c>
      <c r="C240" s="16">
        <f>IFERROR(__xludf.DUMMYFUNCTION("""COMPUTED_VALUE"""),300.0)</f>
        <v>300</v>
      </c>
      <c r="D240" s="16"/>
      <c r="E240" s="16" t="str">
        <f>IFERROR(__xludf.DUMMYFUNCTION("""COMPUTED_VALUE"""),"Return all allies from death with full HP, must be done before they respawn.")</f>
        <v>Return all allies from death with full HP, must be done before they respawn.</v>
      </c>
      <c r="F240" s="16" t="str">
        <f>IFERROR(__xludf.DUMMYFUNCTION("""COMPUTED_VALUE"""),"Fail/succeed")</f>
        <v>Fail/succeed</v>
      </c>
      <c r="G240" s="18"/>
      <c r="H240" s="45" t="str">
        <f>IFERROR(__xludf.DUMMYFUNCTION("""COMPUTED_VALUE"""),"Light")</f>
        <v>Light</v>
      </c>
      <c r="I240" s="20" t="str">
        <f>IFERROR(__xludf.DUMMYFUNCTION("""COMPUTED_VALUE"""),"Player")</f>
        <v>Player</v>
      </c>
      <c r="J240" s="21" t="b">
        <f>IFERROR(__xludf.DUMMYFUNCTION("""COMPUTED_VALUE"""),FALSE)</f>
        <v>0</v>
      </c>
      <c r="K240" s="21"/>
      <c r="L240" s="21" t="b">
        <f>IFERROR(__xludf.DUMMYFUNCTION("""COMPUTED_VALUE"""),FALSE)</f>
        <v>0</v>
      </c>
      <c r="M240" s="21" t="b">
        <f>IFERROR(__xludf.DUMMYFUNCTION("""COMPUTED_VALUE"""),FALSE)</f>
        <v>0</v>
      </c>
      <c r="N240" s="1"/>
      <c r="O240" s="1"/>
      <c r="P240" s="1"/>
      <c r="Q240" s="1"/>
      <c r="R240" s="1"/>
      <c r="S240" s="1"/>
      <c r="T240" s="1"/>
      <c r="U240" s="1"/>
      <c r="V240" s="1"/>
      <c r="W240" s="1"/>
      <c r="X240" s="1"/>
      <c r="Y240" s="1"/>
      <c r="Z240" s="1"/>
    </row>
    <row r="241" ht="15.75" customHeight="1">
      <c r="A241" s="16" t="str">
        <f>IFERROR(__xludf.DUMMYFUNCTION("""COMPUTED_VALUE"""),"Heal")</f>
        <v>Heal</v>
      </c>
      <c r="B241" s="17">
        <f>IFERROR(__xludf.DUMMYFUNCTION("""COMPUTED_VALUE"""),1.0)</f>
        <v>1</v>
      </c>
      <c r="C241" s="16" t="str">
        <f>IFERROR(__xludf.DUMMYFUNCTION("""COMPUTED_VALUE"""),"X")</f>
        <v>X</v>
      </c>
      <c r="D241" s="16"/>
      <c r="E241" s="16" t="str">
        <f>IFERROR(__xludf.DUMMYFUNCTION("""COMPUTED_VALUE"""),"+x*100 HP healed to all allies where X is equal to SP spent.")</f>
        <v>+x*100 HP healed to all allies where X is equal to SP spent.</v>
      </c>
      <c r="F241" s="16" t="str">
        <f>IFERROR(__xludf.DUMMYFUNCTION("""COMPUTED_VALUE"""),"Will Succeed")</f>
        <v>Will Succeed</v>
      </c>
      <c r="G241" s="18">
        <f>IFERROR(__xludf.DUMMYFUNCTION("""COMPUTED_VALUE"""),1.0)</f>
        <v>1</v>
      </c>
      <c r="H241" s="45" t="str">
        <f>IFERROR(__xludf.DUMMYFUNCTION("""COMPUTED_VALUE"""),"Light")</f>
        <v>Light</v>
      </c>
      <c r="I241" s="20" t="str">
        <f>IFERROR(__xludf.DUMMYFUNCTION("""COMPUTED_VALUE"""),"Player")</f>
        <v>Player</v>
      </c>
      <c r="J241" s="21" t="b">
        <f>IFERROR(__xludf.DUMMYFUNCTION("""COMPUTED_VALUE"""),FALSE)</f>
        <v>0</v>
      </c>
      <c r="K241" s="21"/>
      <c r="L241" s="21" t="b">
        <f>IFERROR(__xludf.DUMMYFUNCTION("""COMPUTED_VALUE"""),FALSE)</f>
        <v>0</v>
      </c>
      <c r="M241" s="21" t="b">
        <f>IFERROR(__xludf.DUMMYFUNCTION("""COMPUTED_VALUE"""),FALSE)</f>
        <v>0</v>
      </c>
      <c r="N241" s="1"/>
      <c r="O241" s="1"/>
      <c r="P241" s="1"/>
      <c r="Q241" s="1"/>
      <c r="R241" s="1"/>
      <c r="S241" s="1"/>
      <c r="T241" s="1"/>
      <c r="U241" s="1"/>
      <c r="V241" s="1"/>
      <c r="W241" s="1"/>
      <c r="X241" s="1"/>
      <c r="Y241" s="1"/>
      <c r="Z241" s="1"/>
    </row>
    <row r="242" ht="15.75" customHeight="1">
      <c r="A242" s="16" t="str">
        <f>IFERROR(__xludf.DUMMYFUNCTION("""COMPUTED_VALUE"""),"Healing Alliance")</f>
        <v>Healing Alliance</v>
      </c>
      <c r="B242" s="17">
        <f>IFERROR(__xludf.DUMMYFUNCTION("""COMPUTED_VALUE"""),5.0)</f>
        <v>5</v>
      </c>
      <c r="C242" s="16" t="str">
        <f>IFERROR(__xludf.DUMMYFUNCTION("""COMPUTED_VALUE"""),"X")</f>
        <v>X</v>
      </c>
      <c r="D242" s="16"/>
      <c r="E242" s="16" t="str">
        <f>IFERROR(__xludf.DUMMYFUNCTION("""COMPUTED_VALUE"""),"+X*25 HP healed to all allies where X is equal to SP spent.")</f>
        <v>+X*25 HP healed to all allies where X is equal to SP spent.</v>
      </c>
      <c r="F242" s="16" t="str">
        <f>IFERROR(__xludf.DUMMYFUNCTION("""COMPUTED_VALUE"""),"Will Succeed")</f>
        <v>Will Succeed</v>
      </c>
      <c r="G242" s="18"/>
      <c r="H242" s="45" t="str">
        <f>IFERROR(__xludf.DUMMYFUNCTION("""COMPUTED_VALUE"""),"Light")</f>
        <v>Light</v>
      </c>
      <c r="I242" s="20" t="str">
        <f>IFERROR(__xludf.DUMMYFUNCTION("""COMPUTED_VALUE"""),"Player")</f>
        <v>Player</v>
      </c>
      <c r="J242" s="21" t="b">
        <f>IFERROR(__xludf.DUMMYFUNCTION("""COMPUTED_VALUE"""),FALSE)</f>
        <v>0</v>
      </c>
      <c r="K242" s="21"/>
      <c r="L242" s="21" t="b">
        <f>IFERROR(__xludf.DUMMYFUNCTION("""COMPUTED_VALUE"""),FALSE)</f>
        <v>0</v>
      </c>
      <c r="M242" s="21" t="b">
        <f>IFERROR(__xludf.DUMMYFUNCTION("""COMPUTED_VALUE"""),FALSE)</f>
        <v>0</v>
      </c>
      <c r="N242" s="1"/>
      <c r="O242" s="1"/>
      <c r="P242" s="1"/>
      <c r="Q242" s="1"/>
      <c r="R242" s="1"/>
      <c r="S242" s="1"/>
      <c r="T242" s="1"/>
      <c r="U242" s="1"/>
      <c r="V242" s="1"/>
      <c r="W242" s="1"/>
      <c r="X242" s="1"/>
      <c r="Y242" s="1"/>
      <c r="Z242" s="1"/>
    </row>
    <row r="243" ht="15.75" customHeight="1">
      <c r="A243" s="16" t="str">
        <f>IFERROR(__xludf.DUMMYFUNCTION("""COMPUTED_VALUE"""),"Hygiene")</f>
        <v>Hygiene</v>
      </c>
      <c r="B243" s="17">
        <f>IFERROR(__xludf.DUMMYFUNCTION("""COMPUTED_VALUE"""),7.0)</f>
        <v>7</v>
      </c>
      <c r="C243" s="16">
        <f>IFERROR(__xludf.DUMMYFUNCTION("""COMPUTED_VALUE"""),100.0)</f>
        <v>100</v>
      </c>
      <c r="D243" s="16"/>
      <c r="E243" s="16" t="str">
        <f>IFERROR(__xludf.DUMMYFUNCTION("""COMPUTED_VALUE"""),"Caster becomes immune to all status effects.")</f>
        <v>Caster becomes immune to all status effects.</v>
      </c>
      <c r="F243" s="16" t="str">
        <f>IFERROR(__xludf.DUMMYFUNCTION("""COMPUTED_VALUE"""),"Will Succeed")</f>
        <v>Will Succeed</v>
      </c>
      <c r="G243" s="18"/>
      <c r="H243" s="45" t="str">
        <f>IFERROR(__xludf.DUMMYFUNCTION("""COMPUTED_VALUE"""),"Light")</f>
        <v>Light</v>
      </c>
      <c r="I243" s="20" t="str">
        <f>IFERROR(__xludf.DUMMYFUNCTION("""COMPUTED_VALUE"""),"Player")</f>
        <v>Player</v>
      </c>
      <c r="J243" s="21" t="b">
        <f>IFERROR(__xludf.DUMMYFUNCTION("""COMPUTED_VALUE"""),FALSE)</f>
        <v>0</v>
      </c>
      <c r="K243" s="21"/>
      <c r="L243" s="21" t="b">
        <f>IFERROR(__xludf.DUMMYFUNCTION("""COMPUTED_VALUE"""),FALSE)</f>
        <v>0</v>
      </c>
      <c r="M243" s="21" t="b">
        <f>IFERROR(__xludf.DUMMYFUNCTION("""COMPUTED_VALUE"""),FALSE)</f>
        <v>0</v>
      </c>
      <c r="N243" s="1"/>
      <c r="O243" s="1"/>
      <c r="P243" s="1"/>
      <c r="Q243" s="1"/>
      <c r="R243" s="1"/>
      <c r="S243" s="1"/>
      <c r="T243" s="1"/>
      <c r="U243" s="1"/>
      <c r="V243" s="1"/>
      <c r="W243" s="1"/>
      <c r="X243" s="1"/>
      <c r="Y243" s="1"/>
      <c r="Z243" s="1"/>
    </row>
    <row r="244" ht="15.75" customHeight="1">
      <c r="A244" s="16" t="str">
        <f>IFERROR(__xludf.DUMMYFUNCTION("""COMPUTED_VALUE"""),"Instant Regeneration")</f>
        <v>Instant Regeneration</v>
      </c>
      <c r="B244" s="17">
        <f>IFERROR(__xludf.DUMMYFUNCTION("""COMPUTED_VALUE"""),8.0)</f>
        <v>8</v>
      </c>
      <c r="C244" s="16">
        <f>IFERROR(__xludf.DUMMYFUNCTION("""COMPUTED_VALUE"""),200.0)</f>
        <v>200</v>
      </c>
      <c r="D244" s="16"/>
      <c r="E244"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16" t="str">
        <f>IFERROR(__xludf.DUMMYFUNCTION("""COMPUTED_VALUE"""),"Fail/succeed")</f>
        <v>Fail/succeed</v>
      </c>
      <c r="G244" s="18"/>
      <c r="H244" s="45" t="str">
        <f>IFERROR(__xludf.DUMMYFUNCTION("""COMPUTED_VALUE"""),"Light")</f>
        <v>Light</v>
      </c>
      <c r="I244" s="20" t="str">
        <f>IFERROR(__xludf.DUMMYFUNCTION("""COMPUTED_VALUE"""),"Player")</f>
        <v>Player</v>
      </c>
      <c r="J244" s="21" t="b">
        <f>IFERROR(__xludf.DUMMYFUNCTION("""COMPUTED_VALUE"""),FALSE)</f>
        <v>0</v>
      </c>
      <c r="K244" s="21"/>
      <c r="L244" s="21" t="b">
        <f>IFERROR(__xludf.DUMMYFUNCTION("""COMPUTED_VALUE"""),FALSE)</f>
        <v>0</v>
      </c>
      <c r="M244" s="21" t="b">
        <f>IFERROR(__xludf.DUMMYFUNCTION("""COMPUTED_VALUE"""),FALSE)</f>
        <v>0</v>
      </c>
      <c r="N244" s="1"/>
      <c r="O244" s="1"/>
      <c r="P244" s="1"/>
      <c r="Q244" s="1"/>
      <c r="R244" s="1"/>
      <c r="S244" s="1"/>
      <c r="T244" s="1"/>
      <c r="U244" s="1"/>
      <c r="V244" s="1"/>
      <c r="W244" s="1"/>
      <c r="X244" s="1"/>
      <c r="Y244" s="1"/>
      <c r="Z244" s="1"/>
    </row>
    <row r="245" ht="15.75" customHeight="1">
      <c r="A245" s="16" t="str">
        <f>IFERROR(__xludf.DUMMYFUNCTION("""COMPUTED_VALUE"""),"Light Ray")</f>
        <v>Light Ray</v>
      </c>
      <c r="B245" s="17">
        <f>IFERROR(__xludf.DUMMYFUNCTION("""COMPUTED_VALUE"""),2.0)</f>
        <v>2</v>
      </c>
      <c r="C245" s="16">
        <f>IFERROR(__xludf.DUMMYFUNCTION("""COMPUTED_VALUE"""),20.0)</f>
        <v>20</v>
      </c>
      <c r="D245" s="16"/>
      <c r="E245" s="16" t="str">
        <f>IFERROR(__xludf.DUMMYFUNCTION("""COMPUTED_VALUE"""),"Blindness 3 to a single target and sheds light for 3 rounds.")</f>
        <v>Blindness 3 to a single target and sheds light for 3 rounds.</v>
      </c>
      <c r="F245" s="16" t="str">
        <f>IFERROR(__xludf.DUMMYFUNCTION("""COMPUTED_VALUE"""),"Hit/Miss")</f>
        <v>Hit/Miss</v>
      </c>
      <c r="G245" s="18">
        <f>IFERROR(__xludf.DUMMYFUNCTION("""COMPUTED_VALUE"""),1.0)</f>
        <v>1</v>
      </c>
      <c r="H245" s="45" t="str">
        <f>IFERROR(__xludf.DUMMYFUNCTION("""COMPUTED_VALUE"""),"Light")</f>
        <v>Light</v>
      </c>
      <c r="I245" s="20" t="str">
        <f>IFERROR(__xludf.DUMMYFUNCTION("""COMPUTED_VALUE"""),"Player")</f>
        <v>Player</v>
      </c>
      <c r="J245" s="21" t="b">
        <f>IFERROR(__xludf.DUMMYFUNCTION("""COMPUTED_VALUE"""),FALSE)</f>
        <v>0</v>
      </c>
      <c r="K245" s="21"/>
      <c r="L245" s="21" t="b">
        <f>IFERROR(__xludf.DUMMYFUNCTION("""COMPUTED_VALUE"""),FALSE)</f>
        <v>0</v>
      </c>
      <c r="M245" s="21" t="b">
        <f>IFERROR(__xludf.DUMMYFUNCTION("""COMPUTED_VALUE"""),FALSE)</f>
        <v>0</v>
      </c>
      <c r="N245" s="1"/>
      <c r="O245" s="1"/>
      <c r="P245" s="1"/>
      <c r="Q245" s="1"/>
      <c r="R245" s="1"/>
      <c r="S245" s="1"/>
      <c r="T245" s="1"/>
      <c r="U245" s="1"/>
      <c r="V245" s="1"/>
      <c r="W245" s="1"/>
      <c r="X245" s="1"/>
      <c r="Y245" s="1"/>
      <c r="Z245" s="1"/>
    </row>
    <row r="246" ht="15.75" customHeight="1">
      <c r="A246" s="16" t="str">
        <f>IFERROR(__xludf.DUMMYFUNCTION("""COMPUTED_VALUE"""),"Obliterating Light of Blindness")</f>
        <v>Obliterating Light of Blindness</v>
      </c>
      <c r="B246" s="17">
        <f>IFERROR(__xludf.DUMMYFUNCTION("""COMPUTED_VALUE"""),9.0)</f>
        <v>9</v>
      </c>
      <c r="C246" s="29" t="str">
        <f>IFERROR(__xludf.DUMMYFUNCTION("""COMPUTED_VALUE"""),"300")</f>
        <v>300</v>
      </c>
      <c r="D246" s="16"/>
      <c r="E246" s="16" t="str">
        <f>IFERROR(__xludf.DUMMYFUNCTION("""COMPUTED_VALUE"""),"20,000 Light damage to all enemies, 25% chance of Blidness 3. and sheds light for 3 rounds.")</f>
        <v>20,000 Light damage to all enemies, 25% chance of Blidness 3. and sheds light for 3 rounds.</v>
      </c>
      <c r="F246" s="16" t="str">
        <f>IFERROR(__xludf.DUMMYFUNCTION("""COMPUTED_VALUE"""),"Cannot Avoid")</f>
        <v>Cannot Avoid</v>
      </c>
      <c r="G246" s="18" t="str">
        <f>IFERROR(__xludf.DUMMYFUNCTION("""COMPUTED_VALUE"""),"All")</f>
        <v>All</v>
      </c>
      <c r="H246" s="45" t="str">
        <f>IFERROR(__xludf.DUMMYFUNCTION("""COMPUTED_VALUE"""),"Light")</f>
        <v>Light</v>
      </c>
      <c r="I246" s="20" t="str">
        <f>IFERROR(__xludf.DUMMYFUNCTION("""COMPUTED_VALUE"""),"Player")</f>
        <v>Player</v>
      </c>
      <c r="J246" s="21" t="b">
        <f>IFERROR(__xludf.DUMMYFUNCTION("""COMPUTED_VALUE"""),FALSE)</f>
        <v>0</v>
      </c>
      <c r="K246" s="21"/>
      <c r="L246" s="21" t="b">
        <f>IFERROR(__xludf.DUMMYFUNCTION("""COMPUTED_VALUE"""),FALSE)</f>
        <v>0</v>
      </c>
      <c r="M246" s="21" t="b">
        <f>IFERROR(__xludf.DUMMYFUNCTION("""COMPUTED_VALUE"""),FALSE)</f>
        <v>0</v>
      </c>
      <c r="N246" s="1"/>
      <c r="O246" s="1"/>
      <c r="P246" s="1"/>
      <c r="Q246" s="1"/>
      <c r="R246" s="1"/>
      <c r="S246" s="1"/>
      <c r="T246" s="1"/>
      <c r="U246" s="1"/>
      <c r="V246" s="1"/>
      <c r="W246" s="1"/>
      <c r="X246" s="1"/>
      <c r="Y246" s="1"/>
      <c r="Z246" s="1"/>
    </row>
    <row r="247" ht="15.75" customHeight="1">
      <c r="A247" s="16" t="str">
        <f>IFERROR(__xludf.DUMMYFUNCTION("""COMPUTED_VALUE"""),"Regeneration")</f>
        <v>Regeneration</v>
      </c>
      <c r="B247" s="17">
        <f>IFERROR(__xludf.DUMMYFUNCTION("""COMPUTED_VALUE"""),6.0)</f>
        <v>6</v>
      </c>
      <c r="C247" s="16" t="str">
        <f>IFERROR(__xludf.DUMMYFUNCTION("""COMPUTED_VALUE"""),"X")</f>
        <v>X</v>
      </c>
      <c r="D247" s="16"/>
      <c r="E247" s="16" t="str">
        <f>IFERROR(__xludf.DUMMYFUNCTION("""COMPUTED_VALUE"""),"+X*50 HP healed per round for 3 rounds to a single ally.")</f>
        <v>+X*50 HP healed per round for 3 rounds to a single ally.</v>
      </c>
      <c r="F247" s="16" t="str">
        <f>IFERROR(__xludf.DUMMYFUNCTION("""COMPUTED_VALUE"""),"Fail/Succeed")</f>
        <v>Fail/Succeed</v>
      </c>
      <c r="G247" s="18"/>
      <c r="H247" s="45" t="str">
        <f>IFERROR(__xludf.DUMMYFUNCTION("""COMPUTED_VALUE"""),"Light")</f>
        <v>Light</v>
      </c>
      <c r="I247" s="20" t="str">
        <f>IFERROR(__xludf.DUMMYFUNCTION("""COMPUTED_VALUE"""),"Player")</f>
        <v>Player</v>
      </c>
      <c r="J247" s="21" t="b">
        <f>IFERROR(__xludf.DUMMYFUNCTION("""COMPUTED_VALUE"""),FALSE)</f>
        <v>0</v>
      </c>
      <c r="K247" s="21"/>
      <c r="L247" s="21" t="b">
        <f>IFERROR(__xludf.DUMMYFUNCTION("""COMPUTED_VALUE"""),FALSE)</f>
        <v>0</v>
      </c>
      <c r="M247" s="21" t="b">
        <f>IFERROR(__xludf.DUMMYFUNCTION("""COMPUTED_VALUE"""),FALSE)</f>
        <v>0</v>
      </c>
      <c r="N247" s="1"/>
      <c r="O247" s="1"/>
      <c r="P247" s="1"/>
      <c r="Q247" s="1"/>
      <c r="R247" s="1"/>
      <c r="S247" s="1"/>
      <c r="T247" s="1"/>
      <c r="U247" s="1"/>
      <c r="V247" s="1"/>
      <c r="W247" s="1"/>
      <c r="X247" s="1"/>
      <c r="Y247" s="1"/>
      <c r="Z247" s="1"/>
    </row>
    <row r="248" ht="15.75" customHeight="1">
      <c r="A248" s="16" t="str">
        <f>IFERROR(__xludf.DUMMYFUNCTION("""COMPUTED_VALUE"""),"Revive")</f>
        <v>Revive</v>
      </c>
      <c r="B248" s="17">
        <f>IFERROR(__xludf.DUMMYFUNCTION("""COMPUTED_VALUE"""),6.0)</f>
        <v>6</v>
      </c>
      <c r="C248" s="16">
        <f>IFERROR(__xludf.DUMMYFUNCTION("""COMPUTED_VALUE"""),60.0)</f>
        <v>60</v>
      </c>
      <c r="D248" s="16"/>
      <c r="E248" s="16" t="str">
        <f>IFERROR(__xludf.DUMMYFUNCTION("""COMPUTED_VALUE"""),"Return a target from death with half their max HP, must be done before they respawn")</f>
        <v>Return a target from death with half their max HP, must be done before they respawn</v>
      </c>
      <c r="F248" s="16" t="str">
        <f>IFERROR(__xludf.DUMMYFUNCTION("""COMPUTED_VALUE"""),"Fail/Succeed")</f>
        <v>Fail/Succeed</v>
      </c>
      <c r="G248" s="18">
        <f>IFERROR(__xludf.DUMMYFUNCTION("""COMPUTED_VALUE"""),1.0)</f>
        <v>1</v>
      </c>
      <c r="H248" s="45" t="str">
        <f>IFERROR(__xludf.DUMMYFUNCTION("""COMPUTED_VALUE"""),"Light")</f>
        <v>Light</v>
      </c>
      <c r="I248" s="20" t="str">
        <f>IFERROR(__xludf.DUMMYFUNCTION("""COMPUTED_VALUE"""),"Player")</f>
        <v>Player</v>
      </c>
      <c r="J248" s="21" t="b">
        <f>IFERROR(__xludf.DUMMYFUNCTION("""COMPUTED_VALUE"""),FALSE)</f>
        <v>0</v>
      </c>
      <c r="K248" s="21"/>
      <c r="L248" s="21" t="b">
        <f>IFERROR(__xludf.DUMMYFUNCTION("""COMPUTED_VALUE"""),FALSE)</f>
        <v>0</v>
      </c>
      <c r="M248" s="21" t="b">
        <f>IFERROR(__xludf.DUMMYFUNCTION("""COMPUTED_VALUE"""),FALSE)</f>
        <v>0</v>
      </c>
      <c r="N248" s="1"/>
      <c r="O248" s="1"/>
      <c r="P248" s="1"/>
      <c r="Q248" s="1"/>
      <c r="R248" s="1"/>
      <c r="S248" s="1"/>
      <c r="T248" s="1"/>
      <c r="U248" s="1"/>
      <c r="V248" s="1"/>
      <c r="W248" s="1"/>
      <c r="X248" s="1"/>
      <c r="Y248" s="1"/>
      <c r="Z248" s="1"/>
    </row>
    <row r="249" ht="15.75" customHeight="1">
      <c r="A249" s="16" t="str">
        <f>IFERROR(__xludf.DUMMYFUNCTION("""COMPUTED_VALUE"""),"Teleport")</f>
        <v>Teleport</v>
      </c>
      <c r="B249" s="17">
        <f>IFERROR(__xludf.DUMMYFUNCTION("""COMPUTED_VALUE"""),9.0)</f>
        <v>9</v>
      </c>
      <c r="C249" s="16">
        <f>IFERROR(__xludf.DUMMYFUNCTION("""COMPUTED_VALUE"""),300.0)</f>
        <v>300</v>
      </c>
      <c r="D249" s="16"/>
      <c r="E249"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16" t="str">
        <f>IFERROR(__xludf.DUMMYFUNCTION("""COMPUTED_VALUE"""),"Fail/succeed")</f>
        <v>Fail/succeed</v>
      </c>
      <c r="G249" s="18"/>
      <c r="H249" s="45" t="str">
        <f>IFERROR(__xludf.DUMMYFUNCTION("""COMPUTED_VALUE"""),"Light")</f>
        <v>Light</v>
      </c>
      <c r="I249" s="20" t="str">
        <f>IFERROR(__xludf.DUMMYFUNCTION("""COMPUTED_VALUE"""),"Player")</f>
        <v>Player</v>
      </c>
      <c r="J249" s="21" t="b">
        <f>IFERROR(__xludf.DUMMYFUNCTION("""COMPUTED_VALUE"""),FALSE)</f>
        <v>0</v>
      </c>
      <c r="K249" s="21"/>
      <c r="L249" s="21" t="b">
        <f>IFERROR(__xludf.DUMMYFUNCTION("""COMPUTED_VALUE"""),FALSE)</f>
        <v>0</v>
      </c>
      <c r="M249" s="21" t="b">
        <f>IFERROR(__xludf.DUMMYFUNCTION("""COMPUTED_VALUE"""),FALSE)</f>
        <v>0</v>
      </c>
      <c r="N249" s="1"/>
      <c r="O249" s="1"/>
      <c r="P249" s="1"/>
      <c r="Q249" s="1"/>
      <c r="R249" s="1"/>
      <c r="S249" s="1"/>
      <c r="T249" s="1"/>
      <c r="U249" s="1"/>
      <c r="V249" s="1"/>
      <c r="W249" s="1"/>
      <c r="X249" s="1"/>
      <c r="Y249" s="1"/>
      <c r="Z249" s="1"/>
    </row>
    <row r="250" ht="15.75" customHeight="1">
      <c r="A250" s="16" t="str">
        <f>IFERROR(__xludf.DUMMYFUNCTION("""COMPUTED_VALUE"""),"Continuous Light")</f>
        <v>Continuous Light</v>
      </c>
      <c r="B250" s="17">
        <f>IFERROR(__xludf.DUMMYFUNCTION("""COMPUTED_VALUE"""),3.0)</f>
        <v>3</v>
      </c>
      <c r="C250" s="16" t="str">
        <f>IFERROR(__xludf.DUMMYFUNCTION("""COMPUTED_VALUE"""),"X")</f>
        <v>X</v>
      </c>
      <c r="D250" s="16"/>
      <c r="E250" s="16" t="str">
        <f>IFERROR(__xludf.DUMMYFUNCTION("""COMPUTED_VALUE"""),"X*50 Light damage per round for 3 rounds to a single target where X is equal to SP spent.")</f>
        <v>X*50 Light damage per round for 3 rounds to a single target where X is equal to SP spent.</v>
      </c>
      <c r="F250" s="16" t="str">
        <f>IFERROR(__xludf.DUMMYFUNCTION("""COMPUTED_VALUE"""),"Hit/Miss")</f>
        <v>Hit/Miss</v>
      </c>
      <c r="G250" s="18"/>
      <c r="H250" s="45" t="str">
        <f>IFERROR(__xludf.DUMMYFUNCTION("""COMPUTED_VALUE"""),"Light")</f>
        <v>Light</v>
      </c>
      <c r="I250" s="20" t="str">
        <f>IFERROR(__xludf.DUMMYFUNCTION("""COMPUTED_VALUE"""),"Player")</f>
        <v>Player</v>
      </c>
      <c r="J250" s="21" t="b">
        <f>IFERROR(__xludf.DUMMYFUNCTION("""COMPUTED_VALUE"""),FALSE)</f>
        <v>0</v>
      </c>
      <c r="K250" s="21"/>
      <c r="L250" s="21" t="b">
        <f>IFERROR(__xludf.DUMMYFUNCTION("""COMPUTED_VALUE"""),FALSE)</f>
        <v>0</v>
      </c>
      <c r="M250" s="21" t="b">
        <f>IFERROR(__xludf.DUMMYFUNCTION("""COMPUTED_VALUE"""),FALSE)</f>
        <v>0</v>
      </c>
      <c r="N250" s="1"/>
      <c r="O250" s="1"/>
      <c r="P250" s="1"/>
      <c r="Q250" s="1"/>
      <c r="R250" s="1"/>
      <c r="S250" s="1"/>
      <c r="T250" s="1"/>
      <c r="U250" s="1"/>
      <c r="V250" s="1"/>
      <c r="W250" s="1"/>
      <c r="X250" s="1"/>
      <c r="Y250" s="1"/>
      <c r="Z250" s="1"/>
    </row>
    <row r="251" ht="15.75" customHeight="1">
      <c r="A251" s="16" t="str">
        <f>IFERROR(__xludf.DUMMYFUNCTION("""COMPUTED_VALUE"""),"[Element] Swing")</f>
        <v>[Element] Swing</v>
      </c>
      <c r="B251" s="17">
        <f>IFERROR(__xludf.DUMMYFUNCTION("""COMPUTED_VALUE"""),4.0)</f>
        <v>4</v>
      </c>
      <c r="C251" s="16">
        <f>IFERROR(__xludf.DUMMYFUNCTION("""COMPUTED_VALUE"""),40.0)</f>
        <v>40</v>
      </c>
      <c r="D251" s="16"/>
      <c r="E251"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16" t="str">
        <f>IFERROR(__xludf.DUMMYFUNCTION("""COMPUTED_VALUE"""),"Fail/Succeed")</f>
        <v>Fail/Succeed</v>
      </c>
      <c r="G251" s="18"/>
      <c r="H251" s="45" t="str">
        <f>IFERROR(__xludf.DUMMYFUNCTION("""COMPUTED_VALUE"""),"Melee")</f>
        <v>Melee</v>
      </c>
      <c r="I251" s="20" t="str">
        <f>IFERROR(__xludf.DUMMYFUNCTION("""COMPUTED_VALUE"""),"Player")</f>
        <v>Player</v>
      </c>
      <c r="J251" s="21" t="b">
        <f>IFERROR(__xludf.DUMMYFUNCTION("""COMPUTED_VALUE"""),FALSE)</f>
        <v>0</v>
      </c>
      <c r="K251" s="21"/>
      <c r="L251" s="21" t="b">
        <f>IFERROR(__xludf.DUMMYFUNCTION("""COMPUTED_VALUE"""),FALSE)</f>
        <v>0</v>
      </c>
      <c r="M251" s="21" t="b">
        <f>IFERROR(__xludf.DUMMYFUNCTION("""COMPUTED_VALUE"""),TRUE)</f>
        <v>1</v>
      </c>
      <c r="N251" s="1"/>
      <c r="O251" s="1"/>
      <c r="P251" s="1"/>
      <c r="Q251" s="1"/>
      <c r="R251" s="1"/>
      <c r="S251" s="1"/>
      <c r="T251" s="1"/>
      <c r="U251" s="1"/>
      <c r="V251" s="1"/>
      <c r="W251" s="1"/>
      <c r="X251" s="1"/>
      <c r="Y251" s="1"/>
      <c r="Z251" s="1"/>
    </row>
    <row r="252" ht="15.75" customHeight="1">
      <c r="A252" s="16" t="str">
        <f>IFERROR(__xludf.DUMMYFUNCTION("""COMPUTED_VALUE"""),"Berserk")</f>
        <v>Berserk</v>
      </c>
      <c r="B252" s="17">
        <f>IFERROR(__xludf.DUMMYFUNCTION("""COMPUTED_VALUE"""),8.0)</f>
        <v>8</v>
      </c>
      <c r="C252" s="16">
        <f>IFERROR(__xludf.DUMMYFUNCTION("""COMPUTED_VALUE"""),200.0)</f>
        <v>200</v>
      </c>
      <c r="D252" s="16"/>
      <c r="E252" s="16" t="str">
        <f>IFERROR(__xludf.DUMMYFUNCTION("""COMPUTED_VALUE"""),"Double your attack roll and damage dealt during your next attack.")</f>
        <v>Double your attack roll and damage dealt during your next attack.</v>
      </c>
      <c r="F252" s="16" t="str">
        <f>IFERROR(__xludf.DUMMYFUNCTION("""COMPUTED_VALUE"""),"Will Succeed")</f>
        <v>Will Succeed</v>
      </c>
      <c r="G252" s="18"/>
      <c r="H252" s="45" t="str">
        <f>IFERROR(__xludf.DUMMYFUNCTION("""COMPUTED_VALUE"""),"Melee")</f>
        <v>Melee</v>
      </c>
      <c r="I252" s="20" t="str">
        <f>IFERROR(__xludf.DUMMYFUNCTION("""COMPUTED_VALUE"""),"Player")</f>
        <v>Player</v>
      </c>
      <c r="J252" s="21" t="b">
        <f>IFERROR(__xludf.DUMMYFUNCTION("""COMPUTED_VALUE"""),FALSE)</f>
        <v>0</v>
      </c>
      <c r="K252" s="21"/>
      <c r="L252" s="21" t="b">
        <f>IFERROR(__xludf.DUMMYFUNCTION("""COMPUTED_VALUE"""),FALSE)</f>
        <v>0</v>
      </c>
      <c r="M252" s="21" t="b">
        <f>IFERROR(__xludf.DUMMYFUNCTION("""COMPUTED_VALUE"""),TRUE)</f>
        <v>1</v>
      </c>
      <c r="N252" s="1"/>
      <c r="O252" s="1"/>
      <c r="P252" s="1"/>
      <c r="Q252" s="1"/>
      <c r="R252" s="1"/>
      <c r="S252" s="1"/>
      <c r="T252" s="1"/>
      <c r="U252" s="1"/>
      <c r="V252" s="1"/>
      <c r="W252" s="1"/>
      <c r="X252" s="1"/>
      <c r="Y252" s="1"/>
      <c r="Z252" s="1"/>
    </row>
    <row r="253" ht="15.75" customHeight="1">
      <c r="A253" s="16" t="str">
        <f>IFERROR(__xludf.DUMMYFUNCTION("""COMPUTED_VALUE"""),"Blade Barrier")</f>
        <v>Blade Barrier</v>
      </c>
      <c r="B253" s="17">
        <f>IFERROR(__xludf.DUMMYFUNCTION("""COMPUTED_VALUE"""),6.0)</f>
        <v>6</v>
      </c>
      <c r="C253" s="16">
        <f>IFERROR(__xludf.DUMMYFUNCTION("""COMPUTED_VALUE"""),60.0)</f>
        <v>60</v>
      </c>
      <c r="D253" s="16"/>
      <c r="E253"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16" t="str">
        <f>IFERROR(__xludf.DUMMYFUNCTION("""COMPUTED_VALUE"""),"Fail/Succeed")</f>
        <v>Fail/Succeed</v>
      </c>
      <c r="G253" s="18"/>
      <c r="H253" s="45" t="str">
        <f>IFERROR(__xludf.DUMMYFUNCTION("""COMPUTED_VALUE"""),"Melee")</f>
        <v>Melee</v>
      </c>
      <c r="I253" s="20" t="str">
        <f>IFERROR(__xludf.DUMMYFUNCTION("""COMPUTED_VALUE"""),"Player")</f>
        <v>Player</v>
      </c>
      <c r="J253" s="21" t="b">
        <f>IFERROR(__xludf.DUMMYFUNCTION("""COMPUTED_VALUE"""),FALSE)</f>
        <v>0</v>
      </c>
      <c r="K253" s="21"/>
      <c r="L253" s="21" t="b">
        <f>IFERROR(__xludf.DUMMYFUNCTION("""COMPUTED_VALUE"""),FALSE)</f>
        <v>0</v>
      </c>
      <c r="M253" s="21" t="b">
        <f>IFERROR(__xludf.DUMMYFUNCTION("""COMPUTED_VALUE"""),TRUE)</f>
        <v>1</v>
      </c>
      <c r="N253" s="1"/>
      <c r="O253" s="1"/>
      <c r="P253" s="1"/>
      <c r="Q253" s="1"/>
      <c r="R253" s="1"/>
      <c r="S253" s="1"/>
      <c r="T253" s="1"/>
      <c r="U253" s="1"/>
      <c r="V253" s="1"/>
      <c r="W253" s="1"/>
      <c r="X253" s="1"/>
      <c r="Y253" s="1"/>
      <c r="Z253" s="1"/>
    </row>
    <row r="254" ht="15.75" customHeight="1">
      <c r="A254" s="16" t="str">
        <f>IFERROR(__xludf.DUMMYFUNCTION("""COMPUTED_VALUE"""),"Double Strike")</f>
        <v>Double Strike</v>
      </c>
      <c r="B254" s="17">
        <f>IFERROR(__xludf.DUMMYFUNCTION("""COMPUTED_VALUE"""),9.0)</f>
        <v>9</v>
      </c>
      <c r="C254" s="16">
        <f>IFERROR(__xludf.DUMMYFUNCTION("""COMPUTED_VALUE"""),300.0)</f>
        <v>300</v>
      </c>
      <c r="D254" s="16"/>
      <c r="E254" s="16" t="str">
        <f>IFERROR(__xludf.DUMMYFUNCTION("""COMPUTED_VALUE"""),"Allows you to attack an additional time during your next attack with a weapon or natural attack.")</f>
        <v>Allows you to attack an additional time during your next attack with a weapon or natural attack.</v>
      </c>
      <c r="F254" s="16" t="str">
        <f>IFERROR(__xludf.DUMMYFUNCTION("""COMPUTED_VALUE"""),"Will Succeed")</f>
        <v>Will Succeed</v>
      </c>
      <c r="G254" s="18" t="str">
        <f>IFERROR(__xludf.DUMMYFUNCTION("""COMPUTED_VALUE"""),"Self")</f>
        <v>Self</v>
      </c>
      <c r="H254" s="45" t="str">
        <f>IFERROR(__xludf.DUMMYFUNCTION("""COMPUTED_VALUE"""),"Melee")</f>
        <v>Melee</v>
      </c>
      <c r="I254" s="20" t="str">
        <f>IFERROR(__xludf.DUMMYFUNCTION("""COMPUTED_VALUE"""),"Player")</f>
        <v>Player</v>
      </c>
      <c r="J254" s="21" t="b">
        <f>IFERROR(__xludf.DUMMYFUNCTION("""COMPUTED_VALUE"""),FALSE)</f>
        <v>0</v>
      </c>
      <c r="K254" s="21"/>
      <c r="L254" s="21" t="b">
        <f>IFERROR(__xludf.DUMMYFUNCTION("""COMPUTED_VALUE"""),FALSE)</f>
        <v>0</v>
      </c>
      <c r="M254" s="21" t="b">
        <f>IFERROR(__xludf.DUMMYFUNCTION("""COMPUTED_VALUE"""),TRUE)</f>
        <v>1</v>
      </c>
      <c r="N254" s="1"/>
      <c r="O254" s="1"/>
      <c r="P254" s="1"/>
      <c r="Q254" s="1"/>
      <c r="R254" s="1"/>
      <c r="S254" s="1"/>
      <c r="T254" s="1"/>
      <c r="U254" s="1"/>
      <c r="V254" s="1"/>
      <c r="W254" s="1"/>
      <c r="X254" s="1"/>
      <c r="Y254" s="1"/>
      <c r="Z254" s="1"/>
    </row>
    <row r="255" ht="15.75" customHeight="1">
      <c r="A255" s="16" t="str">
        <f>IFERROR(__xludf.DUMMYFUNCTION("""COMPUTED_VALUE"""),"Energy Charge")</f>
        <v>Energy Charge</v>
      </c>
      <c r="B255" s="17">
        <f>IFERROR(__xludf.DUMMYFUNCTION("""COMPUTED_VALUE"""),7.0)</f>
        <v>7</v>
      </c>
      <c r="C255" s="16" t="str">
        <f>IFERROR(__xludf.DUMMYFUNCTION("""COMPUTED_VALUE"""),"X")</f>
        <v>X</v>
      </c>
      <c r="D255" s="16"/>
      <c r="E255" s="32" t="str">
        <f>IFERROR(__xludf.DUMMYFUNCTION("""COMPUTED_VALUE"""),"Raises attack and accuracy by X*2 SP")</f>
        <v>Raises attack and accuracy by X*2 SP</v>
      </c>
      <c r="F255" s="16" t="str">
        <f>IFERROR(__xludf.DUMMYFUNCTION("""COMPUTED_VALUE"""),"Will Succeed")</f>
        <v>Will Succeed</v>
      </c>
      <c r="G255" s="18"/>
      <c r="H255" s="45" t="str">
        <f>IFERROR(__xludf.DUMMYFUNCTION("""COMPUTED_VALUE"""),"Melee")</f>
        <v>Melee</v>
      </c>
      <c r="I255" s="20" t="str">
        <f>IFERROR(__xludf.DUMMYFUNCTION("""COMPUTED_VALUE"""),"Player")</f>
        <v>Player</v>
      </c>
      <c r="J255" s="21" t="b">
        <f>IFERROR(__xludf.DUMMYFUNCTION("""COMPUTED_VALUE"""),FALSE)</f>
        <v>0</v>
      </c>
      <c r="K255" s="21"/>
      <c r="L255" s="21" t="b">
        <f>IFERROR(__xludf.DUMMYFUNCTION("""COMPUTED_VALUE"""),FALSE)</f>
        <v>0</v>
      </c>
      <c r="M255" s="21" t="b">
        <f>IFERROR(__xludf.DUMMYFUNCTION("""COMPUTED_VALUE"""),TRUE)</f>
        <v>1</v>
      </c>
      <c r="N255" s="1"/>
      <c r="O255" s="1"/>
      <c r="P255" s="1"/>
      <c r="Q255" s="1"/>
      <c r="R255" s="1"/>
      <c r="S255" s="1"/>
      <c r="T255" s="1"/>
      <c r="U255" s="1"/>
      <c r="V255" s="1"/>
      <c r="W255" s="1"/>
      <c r="X255" s="1"/>
      <c r="Y255" s="1"/>
      <c r="Z255" s="1"/>
    </row>
    <row r="256" ht="15.75" customHeight="1">
      <c r="A256" s="16" t="str">
        <f>IFERROR(__xludf.DUMMYFUNCTION("""COMPUTED_VALUE"""),"Go For The Vitals")</f>
        <v>Go For The Vitals</v>
      </c>
      <c r="B256" s="17">
        <f>IFERROR(__xludf.DUMMYFUNCTION("""COMPUTED_VALUE"""),2.0)</f>
        <v>2</v>
      </c>
      <c r="C256" s="16">
        <f>IFERROR(__xludf.DUMMYFUNCTION("""COMPUTED_VALUE"""),20.0)</f>
        <v>20</v>
      </c>
      <c r="D256" s="16"/>
      <c r="E256" s="32" t="str">
        <f>IFERROR(__xludf.DUMMYFUNCTION("""COMPUTED_VALUE"""),"Treat your next attack roll as double.")</f>
        <v>Treat your next attack roll as double.</v>
      </c>
      <c r="F256" s="16" t="str">
        <f>IFERROR(__xludf.DUMMYFUNCTION("""COMPUTED_VALUE"""),"Fail/Succeed")</f>
        <v>Fail/Succeed</v>
      </c>
      <c r="G256" s="18"/>
      <c r="H256" s="45" t="str">
        <f>IFERROR(__xludf.DUMMYFUNCTION("""COMPUTED_VALUE"""),"Melee")</f>
        <v>Melee</v>
      </c>
      <c r="I256" s="20" t="str">
        <f>IFERROR(__xludf.DUMMYFUNCTION("""COMPUTED_VALUE"""),"Player")</f>
        <v>Player</v>
      </c>
      <c r="J256" s="21" t="b">
        <f>IFERROR(__xludf.DUMMYFUNCTION("""COMPUTED_VALUE"""),FALSE)</f>
        <v>0</v>
      </c>
      <c r="K256" s="21"/>
      <c r="L256" s="21" t="b">
        <f>IFERROR(__xludf.DUMMYFUNCTION("""COMPUTED_VALUE"""),FALSE)</f>
        <v>0</v>
      </c>
      <c r="M256" s="21" t="b">
        <f>IFERROR(__xludf.DUMMYFUNCTION("""COMPUTED_VALUE"""),TRUE)</f>
        <v>1</v>
      </c>
      <c r="N256" s="1"/>
      <c r="O256" s="1"/>
      <c r="P256" s="1"/>
      <c r="Q256" s="1"/>
      <c r="R256" s="1"/>
      <c r="S256" s="1"/>
      <c r="T256" s="1"/>
      <c r="U256" s="1"/>
      <c r="V256" s="1"/>
      <c r="W256" s="1"/>
      <c r="X256" s="1"/>
      <c r="Y256" s="1"/>
      <c r="Z256" s="1"/>
    </row>
    <row r="257" ht="15.75" customHeight="1">
      <c r="A257" s="16" t="str">
        <f>IFERROR(__xludf.DUMMYFUNCTION("""COMPUTED_VALUE"""),"Hard swing")</f>
        <v>Hard swing</v>
      </c>
      <c r="B257" s="17">
        <f>IFERROR(__xludf.DUMMYFUNCTION("""COMPUTED_VALUE"""),1.0)</f>
        <v>1</v>
      </c>
      <c r="C257" s="16">
        <f>IFERROR(__xludf.DUMMYFUNCTION("""COMPUTED_VALUE"""),10.0)</f>
        <v>10</v>
      </c>
      <c r="D257" s="16"/>
      <c r="E257" s="16" t="str">
        <f>IFERROR(__xludf.DUMMYFUNCTION("""COMPUTED_VALUE"""),"During your next attack while attacking with a weapon; Roll for the attack twice and take the higher number.")</f>
        <v>During your next attack while attacking with a weapon; Roll for the attack twice and take the higher number.</v>
      </c>
      <c r="F257" s="16" t="str">
        <f>IFERROR(__xludf.DUMMYFUNCTION("""COMPUTED_VALUE"""),"Fail/Succeed")</f>
        <v>Fail/Succeed</v>
      </c>
      <c r="G257" s="18"/>
      <c r="H257" s="46" t="str">
        <f>IFERROR(__xludf.DUMMYFUNCTION("""COMPUTED_VALUE"""),"Melee")</f>
        <v>Melee</v>
      </c>
      <c r="I257" s="20" t="str">
        <f>IFERROR(__xludf.DUMMYFUNCTION("""COMPUTED_VALUE"""),"Player")</f>
        <v>Player</v>
      </c>
      <c r="J257" s="21" t="b">
        <f>IFERROR(__xludf.DUMMYFUNCTION("""COMPUTED_VALUE"""),FALSE)</f>
        <v>0</v>
      </c>
      <c r="K257" s="21"/>
      <c r="L257" s="21" t="b">
        <f>IFERROR(__xludf.DUMMYFUNCTION("""COMPUTED_VALUE"""),FALSE)</f>
        <v>0</v>
      </c>
      <c r="M257" s="21" t="b">
        <f>IFERROR(__xludf.DUMMYFUNCTION("""COMPUTED_VALUE"""),TRUE)</f>
        <v>1</v>
      </c>
      <c r="N257" s="1"/>
      <c r="O257" s="1"/>
      <c r="P257" s="1"/>
      <c r="Q257" s="1"/>
      <c r="R257" s="1"/>
      <c r="S257" s="1"/>
      <c r="T257" s="1"/>
      <c r="U257" s="1"/>
      <c r="V257" s="1"/>
      <c r="W257" s="1"/>
      <c r="X257" s="1"/>
      <c r="Y257" s="1"/>
      <c r="Z257" s="1"/>
    </row>
    <row r="258" ht="15.75" customHeight="1">
      <c r="A258" s="16" t="str">
        <f>IFERROR(__xludf.DUMMYFUNCTION("""COMPUTED_VALUE"""),"Melee Barrier")</f>
        <v>Melee Barrier</v>
      </c>
      <c r="B258" s="17">
        <f>IFERROR(__xludf.DUMMYFUNCTION("""COMPUTED_VALUE"""),3.0)</f>
        <v>3</v>
      </c>
      <c r="C258" s="16">
        <f>IFERROR(__xludf.DUMMYFUNCTION("""COMPUTED_VALUE"""),30.0)</f>
        <v>30</v>
      </c>
      <c r="D258" s="16"/>
      <c r="E258" s="16" t="str">
        <f>IFERROR(__xludf.DUMMYFUNCTION("""COMPUTED_VALUE"""),"Take half damage from the next attack.")</f>
        <v>Take half damage from the next attack.</v>
      </c>
      <c r="F258" s="16" t="str">
        <f>IFERROR(__xludf.DUMMYFUNCTION("""COMPUTED_VALUE"""),"Fail/Succeed")</f>
        <v>Fail/Succeed</v>
      </c>
      <c r="G258" s="18"/>
      <c r="H258" s="46" t="str">
        <f>IFERROR(__xludf.DUMMYFUNCTION("""COMPUTED_VALUE"""),"Melee")</f>
        <v>Melee</v>
      </c>
      <c r="I258" s="20" t="str">
        <f>IFERROR(__xludf.DUMMYFUNCTION("""COMPUTED_VALUE"""),"Player")</f>
        <v>Player</v>
      </c>
      <c r="J258" s="21" t="b">
        <f>IFERROR(__xludf.DUMMYFUNCTION("""COMPUTED_VALUE"""),FALSE)</f>
        <v>0</v>
      </c>
      <c r="K258" s="21"/>
      <c r="L258" s="21" t="b">
        <f>IFERROR(__xludf.DUMMYFUNCTION("""COMPUTED_VALUE"""),FALSE)</f>
        <v>0</v>
      </c>
      <c r="M258" s="21" t="b">
        <f>IFERROR(__xludf.DUMMYFUNCTION("""COMPUTED_VALUE"""),TRUE)</f>
        <v>1</v>
      </c>
      <c r="N258" s="1"/>
      <c r="O258" s="1"/>
      <c r="P258" s="1"/>
      <c r="Q258" s="1"/>
      <c r="R258" s="1"/>
      <c r="S258" s="1"/>
      <c r="T258" s="1"/>
      <c r="U258" s="1"/>
      <c r="V258" s="1"/>
      <c r="W258" s="1"/>
      <c r="X258" s="1"/>
      <c r="Y258" s="1"/>
      <c r="Z258" s="1"/>
    </row>
    <row r="259" ht="15.75" customHeight="1">
      <c r="A259" s="16" t="str">
        <f>IFERROR(__xludf.DUMMYFUNCTION("""COMPUTED_VALUE"""),"Melee Boost")</f>
        <v>Melee Boost</v>
      </c>
      <c r="B259" s="17">
        <f>IFERROR(__xludf.DUMMYFUNCTION("""COMPUTED_VALUE"""),8.0)</f>
        <v>8</v>
      </c>
      <c r="C259" s="16">
        <f>IFERROR(__xludf.DUMMYFUNCTION("""COMPUTED_VALUE"""),200.0)</f>
        <v>200</v>
      </c>
      <c r="D259" s="16"/>
      <c r="E259" s="16" t="str">
        <f>IFERROR(__xludf.DUMMYFUNCTION("""COMPUTED_VALUE"""),"X2 attack for caster only.")</f>
        <v>X2 attack for caster only.</v>
      </c>
      <c r="F259" s="16" t="str">
        <f>IFERROR(__xludf.DUMMYFUNCTION("""COMPUTED_VALUE"""),"Will Succeed")</f>
        <v>Will Succeed</v>
      </c>
      <c r="G259" s="18"/>
      <c r="H259" s="46" t="str">
        <f>IFERROR(__xludf.DUMMYFUNCTION("""COMPUTED_VALUE"""),"Melee")</f>
        <v>Melee</v>
      </c>
      <c r="I259" s="20" t="str">
        <f>IFERROR(__xludf.DUMMYFUNCTION("""COMPUTED_VALUE"""),"Player")</f>
        <v>Player</v>
      </c>
      <c r="J259" s="21" t="b">
        <f>IFERROR(__xludf.DUMMYFUNCTION("""COMPUTED_VALUE"""),FALSE)</f>
        <v>0</v>
      </c>
      <c r="K259" s="21"/>
      <c r="L259" s="21" t="b">
        <f>IFERROR(__xludf.DUMMYFUNCTION("""COMPUTED_VALUE"""),FALSE)</f>
        <v>0</v>
      </c>
      <c r="M259" s="21" t="b">
        <f>IFERROR(__xludf.DUMMYFUNCTION("""COMPUTED_VALUE"""),TRUE)</f>
        <v>1</v>
      </c>
      <c r="N259" s="1"/>
      <c r="O259" s="1"/>
      <c r="P259" s="1"/>
      <c r="Q259" s="1"/>
      <c r="R259" s="1"/>
      <c r="S259" s="1"/>
      <c r="T259" s="1"/>
      <c r="U259" s="1"/>
      <c r="V259" s="1"/>
      <c r="W259" s="1"/>
      <c r="X259" s="1"/>
      <c r="Y259" s="1"/>
      <c r="Z259" s="1"/>
    </row>
    <row r="260" ht="15.75" customHeight="1">
      <c r="A260" s="16" t="str">
        <f>IFERROR(__xludf.DUMMYFUNCTION("""COMPUTED_VALUE"""),"Melee Shield")</f>
        <v>Melee Shield</v>
      </c>
      <c r="B260" s="17">
        <f>IFERROR(__xludf.DUMMYFUNCTION("""COMPUTED_VALUE"""),5.0)</f>
        <v>5</v>
      </c>
      <c r="C260" s="16">
        <f>IFERROR(__xludf.DUMMYFUNCTION("""COMPUTED_VALUE"""),50.0)</f>
        <v>50</v>
      </c>
      <c r="D260" s="16"/>
      <c r="E260" s="16" t="str">
        <f>IFERROR(__xludf.DUMMYFUNCTION("""COMPUTED_VALUE"""),"You take no damage from the next weapon attack targeting you.")</f>
        <v>You take no damage from the next weapon attack targeting you.</v>
      </c>
      <c r="F260" s="16" t="str">
        <f>IFERROR(__xludf.DUMMYFUNCTION("""COMPUTED_VALUE"""),"Fail/Succeed")</f>
        <v>Fail/Succeed</v>
      </c>
      <c r="G260" s="18"/>
      <c r="H260" s="46" t="str">
        <f>IFERROR(__xludf.DUMMYFUNCTION("""COMPUTED_VALUE"""),"Melee")</f>
        <v>Melee</v>
      </c>
      <c r="I260" s="20" t="str">
        <f>IFERROR(__xludf.DUMMYFUNCTION("""COMPUTED_VALUE"""),"Player")</f>
        <v>Player</v>
      </c>
      <c r="J260" s="21" t="b">
        <f>IFERROR(__xludf.DUMMYFUNCTION("""COMPUTED_VALUE"""),FALSE)</f>
        <v>0</v>
      </c>
      <c r="K260" s="21"/>
      <c r="L260" s="21" t="b">
        <f>IFERROR(__xludf.DUMMYFUNCTION("""COMPUTED_VALUE"""),FALSE)</f>
        <v>0</v>
      </c>
      <c r="M260" s="21" t="b">
        <f>IFERROR(__xludf.DUMMYFUNCTION("""COMPUTED_VALUE"""),TRUE)</f>
        <v>1</v>
      </c>
      <c r="N260" s="1"/>
      <c r="O260" s="1"/>
      <c r="P260" s="1"/>
      <c r="Q260" s="1"/>
      <c r="R260" s="1"/>
      <c r="S260" s="1"/>
      <c r="T260" s="1"/>
      <c r="U260" s="1"/>
      <c r="V260" s="1"/>
      <c r="W260" s="1"/>
      <c r="X260" s="1"/>
      <c r="Y260" s="1"/>
      <c r="Z260" s="1"/>
    </row>
    <row r="261" ht="15.75" customHeight="1">
      <c r="A261" s="16" t="str">
        <f>IFERROR(__xludf.DUMMYFUNCTION("""COMPUTED_VALUE"""),"Tower Of Balance II")</f>
        <v>Tower Of Balance II</v>
      </c>
      <c r="B261" s="17">
        <f>IFERROR(__xludf.DUMMYFUNCTION("""COMPUTED_VALUE"""),8.0)</f>
        <v>8</v>
      </c>
      <c r="C261" s="16">
        <f>IFERROR(__xludf.DUMMYFUNCTION("""COMPUTED_VALUE"""),200.0)</f>
        <v>200</v>
      </c>
      <c r="D261" s="16"/>
      <c r="E261"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16" t="str">
        <f>IFERROR(__xludf.DUMMYFUNCTION("""COMPUTED_VALUE"""),"Will Succeed")</f>
        <v>Will Succeed</v>
      </c>
      <c r="G261" s="18"/>
      <c r="H261" s="46" t="str">
        <f>IFERROR(__xludf.DUMMYFUNCTION("""COMPUTED_VALUE"""),"Melee")</f>
        <v>Melee</v>
      </c>
      <c r="I261" s="20" t="str">
        <f>IFERROR(__xludf.DUMMYFUNCTION("""COMPUTED_VALUE"""),"Player")</f>
        <v>Player</v>
      </c>
      <c r="J261" s="21" t="b">
        <f>IFERROR(__xludf.DUMMYFUNCTION("""COMPUTED_VALUE"""),FALSE)</f>
        <v>0</v>
      </c>
      <c r="K261" s="21"/>
      <c r="L261" s="21" t="b">
        <f>IFERROR(__xludf.DUMMYFUNCTION("""COMPUTED_VALUE"""),FALSE)</f>
        <v>0</v>
      </c>
      <c r="M261" s="21" t="b">
        <f>IFERROR(__xludf.DUMMYFUNCTION("""COMPUTED_VALUE"""),TRUE)</f>
        <v>1</v>
      </c>
      <c r="N261" s="1"/>
      <c r="O261" s="1"/>
      <c r="P261" s="1"/>
      <c r="Q261" s="1"/>
      <c r="R261" s="1"/>
      <c r="S261" s="1"/>
      <c r="T261" s="1"/>
      <c r="U261" s="1"/>
      <c r="V261" s="1"/>
      <c r="W261" s="1"/>
      <c r="X261" s="1"/>
      <c r="Y261" s="1"/>
      <c r="Z261" s="1"/>
    </row>
    <row r="262" ht="15.75" customHeight="1">
      <c r="A262" s="16" t="str">
        <f>IFERROR(__xludf.DUMMYFUNCTION("""COMPUTED_VALUE"""),"Ancient Forest Colossus form")</f>
        <v>Ancient Forest Colossus form</v>
      </c>
      <c r="B262" s="17">
        <f>IFERROR(__xludf.DUMMYFUNCTION("""COMPUTED_VALUE"""),9.0)</f>
        <v>9</v>
      </c>
      <c r="C262" s="16">
        <f>IFERROR(__xludf.DUMMYFUNCTION("""COMPUTED_VALUE"""),300.0)</f>
        <v>300</v>
      </c>
      <c r="D262" s="16"/>
      <c r="E262"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16" t="str">
        <f>IFERROR(__xludf.DUMMYFUNCTION("""COMPUTED_VALUE"""),"Fail/succeed")</f>
        <v>Fail/succeed</v>
      </c>
      <c r="G262" s="18"/>
      <c r="H262" s="46" t="str">
        <f>IFERROR(__xludf.DUMMYFUNCTION("""COMPUTED_VALUE"""),"Nature")</f>
        <v>Nature</v>
      </c>
      <c r="I262" s="20" t="str">
        <f>IFERROR(__xludf.DUMMYFUNCTION("""COMPUTED_VALUE"""),"Player")</f>
        <v>Player</v>
      </c>
      <c r="J262" s="21" t="b">
        <f>IFERROR(__xludf.DUMMYFUNCTION("""COMPUTED_VALUE"""),FALSE)</f>
        <v>0</v>
      </c>
      <c r="K262" s="21"/>
      <c r="L262" s="21" t="b">
        <f>IFERROR(__xludf.DUMMYFUNCTION("""COMPUTED_VALUE"""),FALSE)</f>
        <v>0</v>
      </c>
      <c r="M262" s="21" t="b">
        <f>IFERROR(__xludf.DUMMYFUNCTION("""COMPUTED_VALUE"""),FALSE)</f>
        <v>0</v>
      </c>
      <c r="N262" s="1"/>
      <c r="O262" s="1"/>
      <c r="P262" s="1"/>
      <c r="Q262" s="1"/>
      <c r="R262" s="1"/>
      <c r="S262" s="1"/>
      <c r="T262" s="1"/>
      <c r="U262" s="1"/>
      <c r="V262" s="1"/>
      <c r="W262" s="1"/>
      <c r="X262" s="1"/>
      <c r="Y262" s="1"/>
      <c r="Z262" s="1"/>
    </row>
    <row r="263" ht="15.75" customHeight="1">
      <c r="A263" s="16" t="str">
        <f>IFERROR(__xludf.DUMMYFUNCTION("""COMPUTED_VALUE"""),"Beast Form")</f>
        <v>Beast Form</v>
      </c>
      <c r="B263" s="17">
        <f>IFERROR(__xludf.DUMMYFUNCTION("""COMPUTED_VALUE"""),5.0)</f>
        <v>5</v>
      </c>
      <c r="C263" s="16">
        <f>IFERROR(__xludf.DUMMYFUNCTION("""COMPUTED_VALUE"""),50.0)</f>
        <v>50</v>
      </c>
      <c r="D263" s="16"/>
      <c r="E263" s="16" t="str">
        <f>IFERROR(__xludf.DUMMYFUNCTION("""COMPUTED_VALUE"""),"You become a beast that is equal or lower level than you.")</f>
        <v>You become a beast that is equal or lower level than you.</v>
      </c>
      <c r="F263" s="16" t="str">
        <f>IFERROR(__xludf.DUMMYFUNCTION("""COMPUTED_VALUE"""),"Fail/succeed")</f>
        <v>Fail/succeed</v>
      </c>
      <c r="G263" s="18"/>
      <c r="H263" s="46" t="str">
        <f>IFERROR(__xludf.DUMMYFUNCTION("""COMPUTED_VALUE"""),"Nature")</f>
        <v>Nature</v>
      </c>
      <c r="I263" s="20" t="str">
        <f>IFERROR(__xludf.DUMMYFUNCTION("""COMPUTED_VALUE"""),"Player")</f>
        <v>Player</v>
      </c>
      <c r="J263" s="21" t="b">
        <f>IFERROR(__xludf.DUMMYFUNCTION("""COMPUTED_VALUE"""),FALSE)</f>
        <v>0</v>
      </c>
      <c r="K263" s="21"/>
      <c r="L263" s="21" t="b">
        <f>IFERROR(__xludf.DUMMYFUNCTION("""COMPUTED_VALUE"""),FALSE)</f>
        <v>0</v>
      </c>
      <c r="M263" s="21" t="b">
        <f>IFERROR(__xludf.DUMMYFUNCTION("""COMPUTED_VALUE"""),FALSE)</f>
        <v>0</v>
      </c>
      <c r="N263" s="1"/>
      <c r="O263" s="1"/>
      <c r="P263" s="1"/>
      <c r="Q263" s="1"/>
      <c r="R263" s="1"/>
      <c r="S263" s="1"/>
      <c r="T263" s="1"/>
      <c r="U263" s="1"/>
      <c r="V263" s="1"/>
      <c r="W263" s="1"/>
      <c r="X263" s="1"/>
      <c r="Y263" s="1"/>
      <c r="Z263" s="1"/>
    </row>
    <row r="264" ht="15.75" customHeight="1">
      <c r="A264" s="16" t="str">
        <f>IFERROR(__xludf.DUMMYFUNCTION("""COMPUTED_VALUE"""),"Call of the Ancient Forest")</f>
        <v>Call of the Ancient Forest</v>
      </c>
      <c r="B264" s="17">
        <f>IFERROR(__xludf.DUMMYFUNCTION("""COMPUTED_VALUE"""),9.0)</f>
        <v>9</v>
      </c>
      <c r="C264" s="22">
        <f>IFERROR(__xludf.DUMMYFUNCTION("""COMPUTED_VALUE"""),5000.0)</f>
        <v>5000</v>
      </c>
      <c r="D264" s="16"/>
      <c r="E264" s="16" t="str">
        <f>IFERROR(__xludf.DUMMYFUNCTION("""COMPUTED_VALUE"""),"(1 use): Summons a Ancient Forest Colossus")</f>
        <v>(1 use): Summons a Ancient Forest Colossus</v>
      </c>
      <c r="F264" s="16" t="str">
        <f>IFERROR(__xludf.DUMMYFUNCTION("""COMPUTED_VALUE"""),"Fail/Succeed")</f>
        <v>Fail/Succeed</v>
      </c>
      <c r="G264" s="18" t="str">
        <f>IFERROR(__xludf.DUMMYFUNCTION("""COMPUTED_VALUE"""),"Self")</f>
        <v>Self</v>
      </c>
      <c r="H264" s="46" t="str">
        <f>IFERROR(__xludf.DUMMYFUNCTION("""COMPUTED_VALUE"""),"Nature")</f>
        <v>Nature</v>
      </c>
      <c r="I264" s="20" t="str">
        <f>IFERROR(__xludf.DUMMYFUNCTION("""COMPUTED_VALUE"""),"Mob")</f>
        <v>Mob</v>
      </c>
      <c r="J264" s="21" t="b">
        <f>IFERROR(__xludf.DUMMYFUNCTION("""COMPUTED_VALUE"""),TRUE)</f>
        <v>1</v>
      </c>
      <c r="K264" s="21"/>
      <c r="L264" s="21" t="b">
        <f>IFERROR(__xludf.DUMMYFUNCTION("""COMPUTED_VALUE"""),FALSE)</f>
        <v>0</v>
      </c>
      <c r="M264" s="21" t="b">
        <f>IFERROR(__xludf.DUMMYFUNCTION("""COMPUTED_VALUE"""),FALSE)</f>
        <v>0</v>
      </c>
      <c r="N264" s="1"/>
      <c r="O264" s="1"/>
      <c r="P264" s="1"/>
      <c r="Q264" s="1"/>
      <c r="R264" s="1"/>
      <c r="S264" s="1"/>
      <c r="T264" s="1"/>
      <c r="U264" s="1"/>
      <c r="V264" s="1"/>
      <c r="W264" s="1"/>
      <c r="X264" s="1"/>
      <c r="Y264" s="1"/>
      <c r="Z264" s="1"/>
    </row>
    <row r="265" ht="15.75" customHeight="1">
      <c r="A265" s="16" t="str">
        <f>IFERROR(__xludf.DUMMYFUNCTION("""COMPUTED_VALUE"""),"Class 3 Poison")</f>
        <v>Class 3 Poison</v>
      </c>
      <c r="B265" s="17">
        <f>IFERROR(__xludf.DUMMYFUNCTION("""COMPUTED_VALUE"""),9.0)</f>
        <v>9</v>
      </c>
      <c r="C265" s="22">
        <f>IFERROR(__xludf.DUMMYFUNCTION("""COMPUTED_VALUE"""),5000.0)</f>
        <v>5000</v>
      </c>
      <c r="D265" s="16"/>
      <c r="E265" s="16" t="str">
        <f>IFERROR(__xludf.DUMMYFUNCTION("""COMPUTED_VALUE"""),"When attacked, the attacker will take Poison 10,000 for 3 rounds.")</f>
        <v>When attacked, the attacker will take Poison 10,000 for 3 rounds.</v>
      </c>
      <c r="F265" s="16" t="str">
        <f>IFERROR(__xludf.DUMMYFUNCTION("""COMPUTED_VALUE"""),"Fail/Succeed")</f>
        <v>Fail/Succeed</v>
      </c>
      <c r="G265" s="18" t="str">
        <f>IFERROR(__xludf.DUMMYFUNCTION("""COMPUTED_VALUE"""),"Self")</f>
        <v>Self</v>
      </c>
      <c r="H265" s="46" t="str">
        <f>IFERROR(__xludf.DUMMYFUNCTION("""COMPUTED_VALUE"""),"Nature")</f>
        <v>Nature</v>
      </c>
      <c r="I265" s="20" t="str">
        <f>IFERROR(__xludf.DUMMYFUNCTION("""COMPUTED_VALUE"""),"Mob")</f>
        <v>Mob</v>
      </c>
      <c r="J265" s="21" t="b">
        <f>IFERROR(__xludf.DUMMYFUNCTION("""COMPUTED_VALUE"""),TRUE)</f>
        <v>1</v>
      </c>
      <c r="K265" s="21"/>
      <c r="L265" s="21" t="b">
        <f>IFERROR(__xludf.DUMMYFUNCTION("""COMPUTED_VALUE"""),FALSE)</f>
        <v>0</v>
      </c>
      <c r="M265" s="21" t="b">
        <f>IFERROR(__xludf.DUMMYFUNCTION("""COMPUTED_VALUE"""),FALSE)</f>
        <v>0</v>
      </c>
      <c r="N265" s="1"/>
      <c r="O265" s="1"/>
      <c r="P265" s="1"/>
      <c r="Q265" s="1"/>
      <c r="R265" s="1"/>
      <c r="S265" s="1"/>
      <c r="T265" s="1"/>
      <c r="U265" s="1"/>
      <c r="V265" s="1"/>
      <c r="W265" s="1"/>
      <c r="X265" s="1"/>
      <c r="Y265" s="1"/>
      <c r="Z265" s="1"/>
    </row>
    <row r="266" ht="15.75" customHeight="1">
      <c r="A266" s="16" t="str">
        <f>IFERROR(__xludf.DUMMYFUNCTION("""COMPUTED_VALUE"""),"Creature Control")</f>
        <v>Creature Control</v>
      </c>
      <c r="B266" s="17">
        <f>IFERROR(__xludf.DUMMYFUNCTION("""COMPUTED_VALUE"""),3.0)</f>
        <v>3</v>
      </c>
      <c r="C266" s="16">
        <f>IFERROR(__xludf.DUMMYFUNCTION("""COMPUTED_VALUE"""),30.0)</f>
        <v>30</v>
      </c>
      <c r="D266" s="16"/>
      <c r="E266"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16" t="str">
        <f>IFERROR(__xludf.DUMMYFUNCTION("""COMPUTED_VALUE"""),"Fail/succeed")</f>
        <v>Fail/succeed</v>
      </c>
      <c r="G266" s="18"/>
      <c r="H266" s="46" t="str">
        <f>IFERROR(__xludf.DUMMYFUNCTION("""COMPUTED_VALUE"""),"Nature")</f>
        <v>Nature</v>
      </c>
      <c r="I266" s="20" t="str">
        <f>IFERROR(__xludf.DUMMYFUNCTION("""COMPUTED_VALUE"""),"Player")</f>
        <v>Player</v>
      </c>
      <c r="J266" s="21" t="b">
        <f>IFERROR(__xludf.DUMMYFUNCTION("""COMPUTED_VALUE"""),FALSE)</f>
        <v>0</v>
      </c>
      <c r="K266" s="21"/>
      <c r="L266" s="21" t="b">
        <f>IFERROR(__xludf.DUMMYFUNCTION("""COMPUTED_VALUE"""),FALSE)</f>
        <v>0</v>
      </c>
      <c r="M266" s="21" t="b">
        <f>IFERROR(__xludf.DUMMYFUNCTION("""COMPUTED_VALUE"""),FALSE)</f>
        <v>0</v>
      </c>
      <c r="N266" s="1"/>
      <c r="O266" s="1"/>
      <c r="P266" s="1"/>
      <c r="Q266" s="1"/>
      <c r="R266" s="1"/>
      <c r="S266" s="1"/>
      <c r="T266" s="1"/>
      <c r="U266" s="1"/>
      <c r="V266" s="1"/>
      <c r="W266" s="1"/>
      <c r="X266" s="1"/>
      <c r="Y266" s="1"/>
      <c r="Z266" s="1"/>
    </row>
    <row r="267" ht="15.75" customHeight="1">
      <c r="A267" s="16" t="str">
        <f>IFERROR(__xludf.DUMMYFUNCTION("""COMPUTED_VALUE"""),"Grounds")</f>
        <v>Grounds</v>
      </c>
      <c r="B267" s="17">
        <f>IFERROR(__xludf.DUMMYFUNCTION("""COMPUTED_VALUE"""),9.0)</f>
        <v>9</v>
      </c>
      <c r="C267" s="16" t="str">
        <f>IFERROR(__xludf.DUMMYFUNCTION("""COMPUTED_VALUE"""),"X")</f>
        <v>X</v>
      </c>
      <c r="D267" s="16"/>
      <c r="E267"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16" t="str">
        <f>IFERROR(__xludf.DUMMYFUNCTION("""COMPUTED_VALUE"""),"Will Succeed")</f>
        <v>Will Succeed</v>
      </c>
      <c r="G267" s="18"/>
      <c r="H267" s="46" t="str">
        <f>IFERROR(__xludf.DUMMYFUNCTION("""COMPUTED_VALUE"""),"Nature")</f>
        <v>Nature</v>
      </c>
      <c r="I267" s="20" t="str">
        <f>IFERROR(__xludf.DUMMYFUNCTION("""COMPUTED_VALUE"""),"Player")</f>
        <v>Player</v>
      </c>
      <c r="J267" s="21" t="b">
        <f>IFERROR(__xludf.DUMMYFUNCTION("""COMPUTED_VALUE"""),FALSE)</f>
        <v>0</v>
      </c>
      <c r="K267" s="21"/>
      <c r="L267" s="21" t="b">
        <f>IFERROR(__xludf.DUMMYFUNCTION("""COMPUTED_VALUE"""),FALSE)</f>
        <v>0</v>
      </c>
      <c r="M267" s="21" t="b">
        <f>IFERROR(__xludf.DUMMYFUNCTION("""COMPUTED_VALUE"""),FALSE)</f>
        <v>0</v>
      </c>
      <c r="N267" s="1"/>
      <c r="O267" s="1"/>
      <c r="P267" s="1"/>
      <c r="Q267" s="1"/>
      <c r="R267" s="1"/>
      <c r="S267" s="1"/>
      <c r="T267" s="1"/>
      <c r="U267" s="1"/>
      <c r="V267" s="1"/>
      <c r="W267" s="1"/>
      <c r="X267" s="1"/>
      <c r="Y267" s="1"/>
      <c r="Z267" s="1"/>
    </row>
    <row r="268" ht="15.75" customHeight="1">
      <c r="A268" s="16" t="str">
        <f>IFERROR(__xludf.DUMMYFUNCTION("""COMPUTED_VALUE"""),"Nature Ward")</f>
        <v>Nature Ward</v>
      </c>
      <c r="B268" s="17">
        <f>IFERROR(__xludf.DUMMYFUNCTION("""COMPUTED_VALUE"""),9.0)</f>
        <v>9</v>
      </c>
      <c r="C268" s="16">
        <f>IFERROR(__xludf.DUMMYFUNCTION("""COMPUTED_VALUE"""),300.0)</f>
        <v>300</v>
      </c>
      <c r="D268" s="16"/>
      <c r="E26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16" t="str">
        <f>IFERROR(__xludf.DUMMYFUNCTION("""COMPUTED_VALUE"""),"Fail/Succeed")</f>
        <v>Fail/Succeed</v>
      </c>
      <c r="G268" s="18">
        <f>IFERROR(__xludf.DUMMYFUNCTION("""COMPUTED_VALUE"""),1.0)</f>
        <v>1</v>
      </c>
      <c r="H268" s="46" t="str">
        <f>IFERROR(__xludf.DUMMYFUNCTION("""COMPUTED_VALUE"""),"Nature")</f>
        <v>Nature</v>
      </c>
      <c r="I268" s="20" t="str">
        <f>IFERROR(__xludf.DUMMYFUNCTION("""COMPUTED_VALUE"""),"Player")</f>
        <v>Player</v>
      </c>
      <c r="J268" s="21" t="b">
        <f>IFERROR(__xludf.DUMMYFUNCTION("""COMPUTED_VALUE"""),FALSE)</f>
        <v>0</v>
      </c>
      <c r="K268" s="21"/>
      <c r="L268" s="21" t="b">
        <f>IFERROR(__xludf.DUMMYFUNCTION("""COMPUTED_VALUE"""),FALSE)</f>
        <v>0</v>
      </c>
      <c r="M268" s="21" t="b">
        <f>IFERROR(__xludf.DUMMYFUNCTION("""COMPUTED_VALUE"""),FALSE)</f>
        <v>0</v>
      </c>
      <c r="N268" s="1"/>
      <c r="O268" s="1"/>
      <c r="P268" s="1"/>
      <c r="Q268" s="1"/>
      <c r="R268" s="1"/>
      <c r="S268" s="1"/>
      <c r="T268" s="1"/>
      <c r="U268" s="1"/>
      <c r="V268" s="1"/>
      <c r="W268" s="1"/>
      <c r="X268" s="1"/>
      <c r="Y268" s="1"/>
      <c r="Z268" s="1"/>
    </row>
    <row r="269" ht="15.75" customHeight="1">
      <c r="A269" s="16" t="str">
        <f>IFERROR(__xludf.DUMMYFUNCTION("""COMPUTED_VALUE"""),"Poison Fang")</f>
        <v>Poison Fang</v>
      </c>
      <c r="B269" s="17">
        <f>IFERROR(__xludf.DUMMYFUNCTION("""COMPUTED_VALUE"""),1.0)</f>
        <v>1</v>
      </c>
      <c r="C269" s="16">
        <f>IFERROR(__xludf.DUMMYFUNCTION("""COMPUTED_VALUE"""),0.0)</f>
        <v>0</v>
      </c>
      <c r="D269" s="16"/>
      <c r="E269" s="16" t="str">
        <f>IFERROR(__xludf.DUMMYFUNCTION("""COMPUTED_VALUE"""),"Poison 1000")</f>
        <v>Poison 1000</v>
      </c>
      <c r="F269" s="16" t="str">
        <f>IFERROR(__xludf.DUMMYFUNCTION("""COMPUTED_VALUE"""),"Natural/Hit or Miss")</f>
        <v>Natural/Hit or Miss</v>
      </c>
      <c r="G269" s="18">
        <f>IFERROR(__xludf.DUMMYFUNCTION("""COMPUTED_VALUE"""),1.0)</f>
        <v>1</v>
      </c>
      <c r="H269" s="46" t="str">
        <f>IFERROR(__xludf.DUMMYFUNCTION("""COMPUTED_VALUE"""),"Nature")</f>
        <v>Nature</v>
      </c>
      <c r="I269" s="20" t="str">
        <f>IFERROR(__xludf.DUMMYFUNCTION("""COMPUTED_VALUE"""),"Mob")</f>
        <v>Mob</v>
      </c>
      <c r="J269" s="21" t="b">
        <f>IFERROR(__xludf.DUMMYFUNCTION("""COMPUTED_VALUE"""),TRUE)</f>
        <v>1</v>
      </c>
      <c r="K269" s="21"/>
      <c r="L269" s="21" t="b">
        <f>IFERROR(__xludf.DUMMYFUNCTION("""COMPUTED_VALUE"""),FALSE)</f>
        <v>0</v>
      </c>
      <c r="M269" s="21" t="b">
        <f>IFERROR(__xludf.DUMMYFUNCTION("""COMPUTED_VALUE"""),FALSE)</f>
        <v>0</v>
      </c>
      <c r="N269" s="1"/>
      <c r="O269" s="1"/>
      <c r="P269" s="1"/>
      <c r="Q269" s="1"/>
      <c r="R269" s="1"/>
      <c r="S269" s="1"/>
      <c r="T269" s="1"/>
      <c r="U269" s="1"/>
      <c r="V269" s="1"/>
      <c r="W269" s="1"/>
      <c r="X269" s="1"/>
      <c r="Y269" s="1"/>
      <c r="Z269" s="1"/>
    </row>
    <row r="270" ht="15.75" customHeight="1">
      <c r="A270" s="16"/>
      <c r="B270" s="16"/>
      <c r="C270" s="16"/>
      <c r="D270" s="16"/>
      <c r="E270" s="16"/>
      <c r="F270" s="16"/>
      <c r="G270" s="18"/>
      <c r="H270" s="46"/>
      <c r="I270" s="20"/>
      <c r="J270" s="21" t="b">
        <f>IFERROR(__xludf.DUMMYFUNCTION("""COMPUTED_VALUE"""),FALSE)</f>
        <v>0</v>
      </c>
      <c r="K270" s="21"/>
      <c r="L270" s="21" t="b">
        <f>IFERROR(__xludf.DUMMYFUNCTION("""COMPUTED_VALUE"""),FALSE)</f>
        <v>0</v>
      </c>
      <c r="M270" s="21" t="b">
        <f>IFERROR(__xludf.DUMMYFUNCTION("""COMPUTED_VALUE"""),FALSE)</f>
        <v>0</v>
      </c>
      <c r="N270" s="1"/>
      <c r="O270" s="1"/>
      <c r="P270" s="1"/>
      <c r="Q270" s="1"/>
      <c r="R270" s="1"/>
      <c r="S270" s="1"/>
      <c r="T270" s="1"/>
      <c r="U270" s="1"/>
      <c r="V270" s="1"/>
      <c r="W270" s="1"/>
      <c r="X270" s="1"/>
      <c r="Y270" s="1"/>
      <c r="Z270" s="1"/>
    </row>
    <row r="271" ht="15.75" customHeight="1">
      <c r="A271" s="16" t="str">
        <f>IFERROR(__xludf.DUMMYFUNCTION("""COMPUTED_VALUE"""),"Poison Stomp")</f>
        <v>Poison Stomp</v>
      </c>
      <c r="B271" s="17">
        <f>IFERROR(__xludf.DUMMYFUNCTION("""COMPUTED_VALUE"""),1.0)</f>
        <v>1</v>
      </c>
      <c r="C271" s="16">
        <f>IFERROR(__xludf.DUMMYFUNCTION("""COMPUTED_VALUE"""),0.0)</f>
        <v>0</v>
      </c>
      <c r="D271" s="16"/>
      <c r="E271" s="16" t="str">
        <f>IFERROR(__xludf.DUMMYFUNCTION("""COMPUTED_VALUE"""),"1000 damage, poison 500 for 3 rounds.")</f>
        <v>1000 damage, poison 500 for 3 rounds.</v>
      </c>
      <c r="F271" s="16" t="str">
        <f>IFERROR(__xludf.DUMMYFUNCTION("""COMPUTED_VALUE"""),"Natural/Hit or Miss")</f>
        <v>Natural/Hit or Miss</v>
      </c>
      <c r="G271" s="18">
        <f>IFERROR(__xludf.DUMMYFUNCTION("""COMPUTED_VALUE"""),1.0)</f>
        <v>1</v>
      </c>
      <c r="H271" s="46" t="str">
        <f>IFERROR(__xludf.DUMMYFUNCTION("""COMPUTED_VALUE"""),"Nature")</f>
        <v>Nature</v>
      </c>
      <c r="I271" s="20" t="str">
        <f>IFERROR(__xludf.DUMMYFUNCTION("""COMPUTED_VALUE"""),"Mob")</f>
        <v>Mob</v>
      </c>
      <c r="J271" s="21" t="b">
        <f>IFERROR(__xludf.DUMMYFUNCTION("""COMPUTED_VALUE"""),TRUE)</f>
        <v>1</v>
      </c>
      <c r="K271" s="21"/>
      <c r="L271" s="21" t="b">
        <f>IFERROR(__xludf.DUMMYFUNCTION("""COMPUTED_VALUE"""),FALSE)</f>
        <v>0</v>
      </c>
      <c r="M271" s="21" t="b">
        <f>IFERROR(__xludf.DUMMYFUNCTION("""COMPUTED_VALUE"""),FALSE)</f>
        <v>0</v>
      </c>
      <c r="N271" s="1"/>
      <c r="O271" s="1"/>
      <c r="P271" s="1"/>
      <c r="Q271" s="1"/>
      <c r="R271" s="1"/>
      <c r="S271" s="1"/>
      <c r="T271" s="1"/>
      <c r="U271" s="1"/>
      <c r="V271" s="1"/>
      <c r="W271" s="1"/>
      <c r="X271" s="1"/>
      <c r="Y271" s="1"/>
      <c r="Z271" s="1"/>
    </row>
    <row r="272" ht="15.75" customHeight="1">
      <c r="A272" s="16" t="str">
        <f>IFERROR(__xludf.DUMMYFUNCTION("""COMPUTED_VALUE"""),"Cocoon")</f>
        <v>Cocoon</v>
      </c>
      <c r="B272" s="17">
        <f>IFERROR(__xludf.DUMMYFUNCTION("""COMPUTED_VALUE"""),9.0)</f>
        <v>9</v>
      </c>
      <c r="C272" s="22">
        <f>IFERROR(__xludf.DUMMYFUNCTION("""COMPUTED_VALUE"""),1000.0)</f>
        <v>1000</v>
      </c>
      <c r="D272" s="16"/>
      <c r="E272" s="16"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16" t="str">
        <f>IFERROR(__xludf.DUMMYFUNCTION("""COMPUTED_VALUE"""),"Fail/Succeed")</f>
        <v>Fail/Succeed</v>
      </c>
      <c r="G272" s="18" t="str">
        <f>IFERROR(__xludf.DUMMYFUNCTION("""COMPUTED_VALUE"""),"Self")</f>
        <v>Self</v>
      </c>
      <c r="H272" s="46" t="str">
        <f>IFERROR(__xludf.DUMMYFUNCTION("""COMPUTED_VALUE"""),"Nature")</f>
        <v>Nature</v>
      </c>
      <c r="I272" s="20" t="str">
        <f>IFERROR(__xludf.DUMMYFUNCTION("""COMPUTED_VALUE"""),"Mob")</f>
        <v>Mob</v>
      </c>
      <c r="J272" s="21" t="b">
        <f>IFERROR(__xludf.DUMMYFUNCTION("""COMPUTED_VALUE"""),TRUE)</f>
        <v>1</v>
      </c>
      <c r="K272" s="21"/>
      <c r="L272" s="21" t="b">
        <f>IFERROR(__xludf.DUMMYFUNCTION("""COMPUTED_VALUE"""),FALSE)</f>
        <v>0</v>
      </c>
      <c r="M272" s="21" t="b">
        <f>IFERROR(__xludf.DUMMYFUNCTION("""COMPUTED_VALUE"""),FALSE)</f>
        <v>0</v>
      </c>
      <c r="N272" s="1"/>
      <c r="O272" s="1"/>
      <c r="P272" s="1"/>
      <c r="Q272" s="1"/>
      <c r="R272" s="1"/>
      <c r="S272" s="1"/>
      <c r="T272" s="1"/>
      <c r="U272" s="1"/>
      <c r="V272" s="1"/>
      <c r="W272" s="1"/>
      <c r="X272" s="1"/>
      <c r="Y272" s="1"/>
      <c r="Z272" s="1"/>
    </row>
    <row r="273" ht="15.75" customHeight="1">
      <c r="A273" s="16" t="str">
        <f>IFERROR(__xludf.DUMMYFUNCTION("""COMPUTED_VALUE"""),"Poisonous Fumes")</f>
        <v>Poisonous Fumes</v>
      </c>
      <c r="B273" s="17">
        <f>IFERROR(__xludf.DUMMYFUNCTION("""COMPUTED_VALUE"""),8.0)</f>
        <v>8</v>
      </c>
      <c r="C273" s="16">
        <f>IFERROR(__xludf.DUMMYFUNCTION("""COMPUTED_VALUE"""),1400.0)</f>
        <v>1400</v>
      </c>
      <c r="D273" s="16"/>
      <c r="E273"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16" t="str">
        <f>IFERROR(__xludf.DUMMYFUNCTION("""COMPUTED_VALUE"""),"Fail/Succeed")</f>
        <v>Fail/Succeed</v>
      </c>
      <c r="G273" s="18"/>
      <c r="H273" s="46" t="str">
        <f>IFERROR(__xludf.DUMMYFUNCTION("""COMPUTED_VALUE"""),"Nature")</f>
        <v>Nature</v>
      </c>
      <c r="I273" s="20" t="str">
        <f>IFERROR(__xludf.DUMMYFUNCTION("""COMPUTED_VALUE"""),"Player")</f>
        <v>Player</v>
      </c>
      <c r="J273" s="21" t="b">
        <f>IFERROR(__xludf.DUMMYFUNCTION("""COMPUTED_VALUE"""),FALSE)</f>
        <v>0</v>
      </c>
      <c r="K273" s="21"/>
      <c r="L273" s="21" t="b">
        <f>IFERROR(__xludf.DUMMYFUNCTION("""COMPUTED_VALUE"""),FALSE)</f>
        <v>0</v>
      </c>
      <c r="M273" s="21" t="b">
        <f>IFERROR(__xludf.DUMMYFUNCTION("""COMPUTED_VALUE"""),FALSE)</f>
        <v>0</v>
      </c>
      <c r="N273" s="1"/>
      <c r="O273" s="1"/>
      <c r="P273" s="1"/>
      <c r="Q273" s="1"/>
      <c r="R273" s="1"/>
      <c r="S273" s="1"/>
      <c r="T273" s="1"/>
      <c r="U273" s="1"/>
      <c r="V273" s="1"/>
      <c r="W273" s="1"/>
      <c r="X273" s="1"/>
      <c r="Y273" s="1"/>
      <c r="Z273" s="1"/>
    </row>
    <row r="274" ht="15.75" customHeight="1">
      <c r="A274" s="16" t="str">
        <f>IFERROR(__xludf.DUMMYFUNCTION("""COMPUTED_VALUE"""),"The World Tree")</f>
        <v>The World Tree</v>
      </c>
      <c r="B274" s="17">
        <f>IFERROR(__xludf.DUMMYFUNCTION("""COMPUTED_VALUE"""),9.0)</f>
        <v>9</v>
      </c>
      <c r="C274" s="16">
        <f>IFERROR(__xludf.DUMMYFUNCTION("""COMPUTED_VALUE"""),500.0)</f>
        <v>500</v>
      </c>
      <c r="D274" s="16"/>
      <c r="E274"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16" t="str">
        <f>IFERROR(__xludf.DUMMYFUNCTION("""COMPUTED_VALUE"""),"Fail/Succeed")</f>
        <v>Fail/Succeed</v>
      </c>
      <c r="G274" s="18"/>
      <c r="H274" s="46" t="str">
        <f>IFERROR(__xludf.DUMMYFUNCTION("""COMPUTED_VALUE"""),"Nature")</f>
        <v>Nature</v>
      </c>
      <c r="I274" s="20" t="str">
        <f>IFERROR(__xludf.DUMMYFUNCTION("""COMPUTED_VALUE"""),"Player")</f>
        <v>Player</v>
      </c>
      <c r="J274" s="21" t="b">
        <f>IFERROR(__xludf.DUMMYFUNCTION("""COMPUTED_VALUE"""),FALSE)</f>
        <v>0</v>
      </c>
      <c r="K274" s="21"/>
      <c r="L274" s="21" t="b">
        <f>IFERROR(__xludf.DUMMYFUNCTION("""COMPUTED_VALUE"""),FALSE)</f>
        <v>0</v>
      </c>
      <c r="M274" s="21" t="b">
        <f>IFERROR(__xludf.DUMMYFUNCTION("""COMPUTED_VALUE"""),FALSE)</f>
        <v>0</v>
      </c>
      <c r="N274" s="1"/>
      <c r="O274" s="1"/>
      <c r="P274" s="1"/>
      <c r="Q274" s="1"/>
      <c r="R274" s="1"/>
      <c r="S274" s="1"/>
      <c r="T274" s="1"/>
      <c r="U274" s="1"/>
      <c r="V274" s="1"/>
      <c r="W274" s="1"/>
      <c r="X274" s="1"/>
      <c r="Y274" s="1"/>
      <c r="Z274" s="1"/>
    </row>
    <row r="275" ht="15.75" customHeight="1">
      <c r="A275" s="16" t="str">
        <f>IFERROR(__xludf.DUMMYFUNCTION("""COMPUTED_VALUE"""),"Tower Of The Forest")</f>
        <v>Tower Of The Forest</v>
      </c>
      <c r="B275" s="17">
        <f>IFERROR(__xludf.DUMMYFUNCTION("""COMPUTED_VALUE"""),8.0)</f>
        <v>8</v>
      </c>
      <c r="C275" s="16">
        <f>IFERROR(__xludf.DUMMYFUNCTION("""COMPUTED_VALUE"""),200.0)</f>
        <v>200</v>
      </c>
      <c r="D275" s="16"/>
      <c r="E275"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16" t="str">
        <f>IFERROR(__xludf.DUMMYFUNCTION("""COMPUTED_VALUE"""),"Fail/Succeed")</f>
        <v>Fail/Succeed</v>
      </c>
      <c r="G275" s="18">
        <f>IFERROR(__xludf.DUMMYFUNCTION("""COMPUTED_VALUE"""),1.0)</f>
        <v>1</v>
      </c>
      <c r="H275" s="46" t="str">
        <f>IFERROR(__xludf.DUMMYFUNCTION("""COMPUTED_VALUE"""),"Nature")</f>
        <v>Nature</v>
      </c>
      <c r="I275" s="20" t="str">
        <f>IFERROR(__xludf.DUMMYFUNCTION("""COMPUTED_VALUE"""),"Player")</f>
        <v>Player</v>
      </c>
      <c r="J275" s="21" t="b">
        <f>IFERROR(__xludf.DUMMYFUNCTION("""COMPUTED_VALUE"""),FALSE)</f>
        <v>0</v>
      </c>
      <c r="K275" s="21"/>
      <c r="L275" s="21" t="b">
        <f>IFERROR(__xludf.DUMMYFUNCTION("""COMPUTED_VALUE"""),FALSE)</f>
        <v>0</v>
      </c>
      <c r="M275" s="21" t="b">
        <f>IFERROR(__xludf.DUMMYFUNCTION("""COMPUTED_VALUE"""),FALSE)</f>
        <v>0</v>
      </c>
      <c r="N275" s="1"/>
      <c r="O275" s="1"/>
      <c r="P275" s="1"/>
      <c r="Q275" s="1"/>
      <c r="R275" s="1"/>
      <c r="S275" s="1"/>
      <c r="T275" s="1"/>
      <c r="U275" s="1"/>
      <c r="V275" s="1"/>
      <c r="W275" s="1"/>
      <c r="X275" s="1"/>
      <c r="Y275" s="1"/>
      <c r="Z275" s="1"/>
    </row>
    <row r="276" ht="15.75" customHeight="1">
      <c r="A276" s="16" t="str">
        <f>IFERROR(__xludf.DUMMYFUNCTION("""COMPUTED_VALUE"""),"Tree Stance")</f>
        <v>Tree Stance</v>
      </c>
      <c r="B276" s="17">
        <f>IFERROR(__xludf.DUMMYFUNCTION("""COMPUTED_VALUE"""),9.0)</f>
        <v>9</v>
      </c>
      <c r="C276" s="16">
        <f>IFERROR(__xludf.DUMMYFUNCTION("""COMPUTED_VALUE"""),300.0)</f>
        <v>300</v>
      </c>
      <c r="D276" s="16"/>
      <c r="E276" s="16"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16" t="str">
        <f>IFERROR(__xludf.DUMMYFUNCTION("""COMPUTED_VALUE"""),"Will Succeed")</f>
        <v>Will Succeed</v>
      </c>
      <c r="G276" s="18" t="str">
        <f>IFERROR(__xludf.DUMMYFUNCTION("""COMPUTED_VALUE"""),"Self ")</f>
        <v>Self </v>
      </c>
      <c r="H276" s="46" t="str">
        <f>IFERROR(__xludf.DUMMYFUNCTION("""COMPUTED_VALUE"""),"Nature")</f>
        <v>Nature</v>
      </c>
      <c r="I276" s="20" t="str">
        <f>IFERROR(__xludf.DUMMYFUNCTION("""COMPUTED_VALUE"""),"Player")</f>
        <v>Player</v>
      </c>
      <c r="J276" s="21" t="b">
        <f>IFERROR(__xludf.DUMMYFUNCTION("""COMPUTED_VALUE"""),TRUE)</f>
        <v>1</v>
      </c>
      <c r="K276" s="21" t="str">
        <f>IFERROR(__xludf.DUMMYFUNCTION("""COMPUTED_VALUE"""),"shop spell")</f>
        <v>shop spell</v>
      </c>
      <c r="L276" s="21" t="b">
        <f>IFERROR(__xludf.DUMMYFUNCTION("""COMPUTED_VALUE"""),FALSE)</f>
        <v>0</v>
      </c>
      <c r="M276" s="21" t="b">
        <f>IFERROR(__xludf.DUMMYFUNCTION("""COMPUTED_VALUE"""),FALSE)</f>
        <v>0</v>
      </c>
      <c r="N276" s="1"/>
      <c r="O276" s="1"/>
      <c r="P276" s="1"/>
      <c r="Q276" s="1"/>
      <c r="R276" s="1"/>
      <c r="S276" s="1"/>
      <c r="T276" s="1"/>
      <c r="U276" s="1"/>
      <c r="V276" s="1"/>
      <c r="W276" s="1"/>
      <c r="X276" s="1"/>
      <c r="Y276" s="1"/>
      <c r="Z276" s="1"/>
    </row>
    <row r="277" ht="15.75" customHeight="1">
      <c r="A277" s="16" t="str">
        <f>IFERROR(__xludf.DUMMYFUNCTION("""COMPUTED_VALUE"""),"Tree Throw")</f>
        <v>Tree Throw</v>
      </c>
      <c r="B277" s="17">
        <f>IFERROR(__xludf.DUMMYFUNCTION("""COMPUTED_VALUE"""),1.0)</f>
        <v>1</v>
      </c>
      <c r="C277" s="22">
        <f>IFERROR(__xludf.DUMMYFUNCTION("""COMPUTED_VALUE"""),0.0)</f>
        <v>0</v>
      </c>
      <c r="D277" s="16"/>
      <c r="E277" s="16" t="str">
        <f>IFERROR(__xludf.DUMMYFUNCTION("""COMPUTED_VALUE"""),"10,000 nature damage.")</f>
        <v>10,000 nature damage.</v>
      </c>
      <c r="F277" s="16" t="str">
        <f>IFERROR(__xludf.DUMMYFUNCTION("""COMPUTED_VALUE"""),"Hit/Miss")</f>
        <v>Hit/Miss</v>
      </c>
      <c r="G277" s="18">
        <f>IFERROR(__xludf.DUMMYFUNCTION("""COMPUTED_VALUE"""),1.0)</f>
        <v>1</v>
      </c>
      <c r="H277" s="46" t="str">
        <f>IFERROR(__xludf.DUMMYFUNCTION("""COMPUTED_VALUE"""),"Nature")</f>
        <v>Nature</v>
      </c>
      <c r="I277" s="20" t="str">
        <f>IFERROR(__xludf.DUMMYFUNCTION("""COMPUTED_VALUE"""),"Mob")</f>
        <v>Mob</v>
      </c>
      <c r="J277" s="21" t="b">
        <f>IFERROR(__xludf.DUMMYFUNCTION("""COMPUTED_VALUE"""),TRUE)</f>
        <v>1</v>
      </c>
      <c r="K277" s="21"/>
      <c r="L277" s="21" t="b">
        <f>IFERROR(__xludf.DUMMYFUNCTION("""COMPUTED_VALUE"""),FALSE)</f>
        <v>0</v>
      </c>
      <c r="M277" s="21" t="b">
        <f>IFERROR(__xludf.DUMMYFUNCTION("""COMPUTED_VALUE"""),FALSE)</f>
        <v>0</v>
      </c>
      <c r="N277" s="1"/>
      <c r="O277" s="1"/>
      <c r="P277" s="1"/>
      <c r="Q277" s="1"/>
      <c r="R277" s="1"/>
      <c r="S277" s="1"/>
      <c r="T277" s="1"/>
      <c r="U277" s="1"/>
      <c r="V277" s="1"/>
      <c r="W277" s="1"/>
      <c r="X277" s="1"/>
      <c r="Y277" s="1"/>
      <c r="Z277" s="1"/>
    </row>
    <row r="278" ht="15.75" customHeight="1">
      <c r="A278" s="16" t="str">
        <f>IFERROR(__xludf.DUMMYFUNCTION("""COMPUTED_VALUE"""),"Vine Hold")</f>
        <v>Vine Hold</v>
      </c>
      <c r="B278" s="17">
        <f>IFERROR(__xludf.DUMMYFUNCTION("""COMPUTED_VALUE"""),6.0)</f>
        <v>6</v>
      </c>
      <c r="C278" s="16">
        <f>IFERROR(__xludf.DUMMYFUNCTION("""COMPUTED_VALUE"""),60.0)</f>
        <v>60</v>
      </c>
      <c r="D278" s="16"/>
      <c r="E278" s="16" t="str">
        <f>IFERROR(__xludf.DUMMYFUNCTION("""COMPUTED_VALUE"""),"6000 poison for 3 rounds, Stun 3")</f>
        <v>6000 poison for 3 rounds, Stun 3</v>
      </c>
      <c r="F278" s="16" t="str">
        <f>IFERROR(__xludf.DUMMYFUNCTION("""COMPUTED_VALUE"""),"Fail/succeed")</f>
        <v>Fail/succeed</v>
      </c>
      <c r="G278" s="18"/>
      <c r="H278" s="46" t="str">
        <f>IFERROR(__xludf.DUMMYFUNCTION("""COMPUTED_VALUE"""),"Nature")</f>
        <v>Nature</v>
      </c>
      <c r="I278" s="20" t="str">
        <f>IFERROR(__xludf.DUMMYFUNCTION("""COMPUTED_VALUE"""),"Player")</f>
        <v>Player</v>
      </c>
      <c r="J278" s="21" t="b">
        <f>IFERROR(__xludf.DUMMYFUNCTION("""COMPUTED_VALUE"""),FALSE)</f>
        <v>0</v>
      </c>
      <c r="K278" s="21"/>
      <c r="L278" s="21" t="b">
        <f>IFERROR(__xludf.DUMMYFUNCTION("""COMPUTED_VALUE"""),FALSE)</f>
        <v>0</v>
      </c>
      <c r="M278" s="21" t="b">
        <f>IFERROR(__xludf.DUMMYFUNCTION("""COMPUTED_VALUE"""),FALSE)</f>
        <v>0</v>
      </c>
      <c r="N278" s="1"/>
      <c r="O278" s="1"/>
      <c r="P278" s="1"/>
      <c r="Q278" s="1"/>
      <c r="R278" s="1"/>
      <c r="S278" s="1"/>
      <c r="T278" s="1"/>
      <c r="U278" s="1"/>
      <c r="V278" s="1"/>
      <c r="W278" s="1"/>
      <c r="X278" s="1"/>
      <c r="Y278" s="1"/>
      <c r="Z278" s="1"/>
    </row>
    <row r="279" ht="15.75" customHeight="1">
      <c r="A279" s="16" t="str">
        <f>IFERROR(__xludf.DUMMYFUNCTION("""COMPUTED_VALUE"""),"Grace of the Forest")</f>
        <v>Grace of the Forest</v>
      </c>
      <c r="B279" s="17">
        <f>IFERROR(__xludf.DUMMYFUNCTION("""COMPUTED_VALUE"""),9.0)</f>
        <v>9</v>
      </c>
      <c r="C279" s="16">
        <f>IFERROR(__xludf.DUMMYFUNCTION("""COMPUTED_VALUE"""),5000.0)</f>
        <v>5000</v>
      </c>
      <c r="D279" s="16"/>
      <c r="E279" s="16" t="str">
        <f>IFERROR(__xludf.DUMMYFUNCTION("""COMPUTED_VALUE"""),"Grants Haste 3 and Truesight 3 to self and all allies.")</f>
        <v>Grants Haste 3 and Truesight 3 to self and all allies.</v>
      </c>
      <c r="F279" s="16" t="str">
        <f>IFERROR(__xludf.DUMMYFUNCTION("""COMPUTED_VALUE"""),"Fail/Succeed")</f>
        <v>Fail/Succeed</v>
      </c>
      <c r="G279" s="18" t="str">
        <f>IFERROR(__xludf.DUMMYFUNCTION("""COMPUTED_VALUE"""),"All")</f>
        <v>All</v>
      </c>
      <c r="H279" s="46" t="str">
        <f>IFERROR(__xludf.DUMMYFUNCTION("""COMPUTED_VALUE"""),"Nature")</f>
        <v>Nature</v>
      </c>
      <c r="I279" s="20" t="str">
        <f>IFERROR(__xludf.DUMMYFUNCTION("""COMPUTED_VALUE"""),"Mob")</f>
        <v>Mob</v>
      </c>
      <c r="J279" s="21" t="b">
        <f>IFERROR(__xludf.DUMMYFUNCTION("""COMPUTED_VALUE"""),TRUE)</f>
        <v>1</v>
      </c>
      <c r="K279" s="21"/>
      <c r="L279" s="21" t="b">
        <f>IFERROR(__xludf.DUMMYFUNCTION("""COMPUTED_VALUE"""),FALSE)</f>
        <v>0</v>
      </c>
      <c r="M279" s="21" t="b">
        <f>IFERROR(__xludf.DUMMYFUNCTION("""COMPUTED_VALUE"""),FALSE)</f>
        <v>0</v>
      </c>
      <c r="N279" s="1"/>
      <c r="O279" s="1"/>
      <c r="P279" s="1"/>
      <c r="Q279" s="1"/>
      <c r="R279" s="1"/>
      <c r="S279" s="1"/>
      <c r="T279" s="1"/>
      <c r="U279" s="1"/>
      <c r="V279" s="1"/>
      <c r="W279" s="1"/>
      <c r="X279" s="1"/>
      <c r="Y279" s="1"/>
      <c r="Z279" s="1"/>
    </row>
    <row r="280" ht="15.75" customHeight="1">
      <c r="A280" s="16" t="str">
        <f>IFERROR(__xludf.DUMMYFUNCTION("""COMPUTED_VALUE"""),"Nature's Light")</f>
        <v>Nature's Light</v>
      </c>
      <c r="B280" s="17">
        <f>IFERROR(__xludf.DUMMYFUNCTION("""COMPUTED_VALUE"""),9.0)</f>
        <v>9</v>
      </c>
      <c r="C280" s="16" t="str">
        <f>IFERROR(__xludf.DUMMYFUNCTION("""COMPUTED_VALUE"""),"X")</f>
        <v>X</v>
      </c>
      <c r="D280" s="16"/>
      <c r="E280" s="16" t="str">
        <f>IFERROR(__xludf.DUMMYFUNCTION("""COMPUTED_VALUE"""),"A gentle glow emanates from the caster healing all allies by X HP every round and dealing X2 Nature damage.")</f>
        <v>A gentle glow emanates from the caster healing all allies by X HP every round and dealing X2 Nature damage.</v>
      </c>
      <c r="F280" s="16" t="str">
        <f>IFERROR(__xludf.DUMMYFUNCTION("""COMPUTED_VALUE"""),"Fail/Succeed")</f>
        <v>Fail/Succeed</v>
      </c>
      <c r="G280" s="18" t="str">
        <f>IFERROR(__xludf.DUMMYFUNCTION("""COMPUTED_VALUE"""),"All")</f>
        <v>All</v>
      </c>
      <c r="H280" s="47" t="str">
        <f>IFERROR(__xludf.DUMMYFUNCTION("""COMPUTED_VALUE"""),"Nature")</f>
        <v>Nature</v>
      </c>
      <c r="I280" s="20" t="str">
        <f>IFERROR(__xludf.DUMMYFUNCTION("""COMPUTED_VALUE"""),"Player")</f>
        <v>Player</v>
      </c>
      <c r="J280" s="21" t="b">
        <f>IFERROR(__xludf.DUMMYFUNCTION("""COMPUTED_VALUE"""),FALSE)</f>
        <v>0</v>
      </c>
      <c r="K280" s="21"/>
      <c r="L280" s="21" t="b">
        <f>IFERROR(__xludf.DUMMYFUNCTION("""COMPUTED_VALUE"""),FALSE)</f>
        <v>0</v>
      </c>
      <c r="M280" s="21" t="b">
        <f>IFERROR(__xludf.DUMMYFUNCTION("""COMPUTED_VALUE"""),FALSE)</f>
        <v>0</v>
      </c>
      <c r="N280" s="1"/>
      <c r="O280" s="1"/>
      <c r="P280" s="1"/>
      <c r="Q280" s="1"/>
      <c r="R280" s="1"/>
      <c r="S280" s="1"/>
      <c r="T280" s="1"/>
      <c r="U280" s="1"/>
      <c r="V280" s="1"/>
      <c r="W280" s="1"/>
      <c r="X280" s="1"/>
      <c r="Y280" s="1"/>
      <c r="Z280" s="1"/>
    </row>
    <row r="281" ht="15.75" customHeight="1">
      <c r="A281" s="16" t="str">
        <f>IFERROR(__xludf.DUMMYFUNCTION("""COMPUTED_VALUE"""),"Nature's Embrace")</f>
        <v>Nature's Embrace</v>
      </c>
      <c r="B281" s="17">
        <f>IFERROR(__xludf.DUMMYFUNCTION("""COMPUTED_VALUE"""),7.0)</f>
        <v>7</v>
      </c>
      <c r="C281" s="16">
        <f>IFERROR(__xludf.DUMMYFUNCTION("""COMPUTED_VALUE"""),200.0)</f>
        <v>200</v>
      </c>
      <c r="D281" s="16"/>
      <c r="E281" s="16" t="str">
        <f>IFERROR(__xludf.DUMMYFUNCTION("""COMPUTED_VALUE"""),"Has a 40% chance to inflict Pacified 3 on a single target. (once per battle)")</f>
        <v>Has a 40% chance to inflict Pacified 3 on a single target. (once per battle)</v>
      </c>
      <c r="F281" s="16" t="str">
        <f>IFERROR(__xludf.DUMMYFUNCTION("""COMPUTED_VALUE"""),"Fail/Succeed")</f>
        <v>Fail/Succeed</v>
      </c>
      <c r="G281" s="18">
        <f>IFERROR(__xludf.DUMMYFUNCTION("""COMPUTED_VALUE"""),1.0)</f>
        <v>1</v>
      </c>
      <c r="H281" s="47" t="str">
        <f>IFERROR(__xludf.DUMMYFUNCTION("""COMPUTED_VALUE"""),"Nature")</f>
        <v>Nature</v>
      </c>
      <c r="I281" s="20" t="str">
        <f>IFERROR(__xludf.DUMMYFUNCTION("""COMPUTED_VALUE"""),"Player")</f>
        <v>Player</v>
      </c>
      <c r="J281" s="21" t="b">
        <f>IFERROR(__xludf.DUMMYFUNCTION("""COMPUTED_VALUE"""),FALSE)</f>
        <v>0</v>
      </c>
      <c r="K281" s="21"/>
      <c r="L281" s="21" t="b">
        <f>IFERROR(__xludf.DUMMYFUNCTION("""COMPUTED_VALUE"""),FALSE)</f>
        <v>0</v>
      </c>
      <c r="M281" s="21" t="b">
        <f>IFERROR(__xludf.DUMMYFUNCTION("""COMPUTED_VALUE"""),FALSE)</f>
        <v>0</v>
      </c>
      <c r="N281" s="1"/>
      <c r="O281" s="1"/>
      <c r="P281" s="1"/>
      <c r="Q281" s="1"/>
      <c r="R281" s="1"/>
      <c r="S281" s="1"/>
      <c r="T281" s="1"/>
      <c r="U281" s="1"/>
      <c r="V281" s="1"/>
      <c r="W281" s="1"/>
      <c r="X281" s="1"/>
      <c r="Y281" s="1"/>
      <c r="Z281" s="1"/>
    </row>
    <row r="282" ht="15.75" customHeight="1">
      <c r="A282" s="16" t="str">
        <f>IFERROR(__xludf.DUMMYFUNCTION("""COMPUTED_VALUE"""),"Nature's Wrath")</f>
        <v>Nature's Wrath</v>
      </c>
      <c r="B282" s="17">
        <f>IFERROR(__xludf.DUMMYFUNCTION("""COMPUTED_VALUE"""),9.0)</f>
        <v>9</v>
      </c>
      <c r="C282" s="16">
        <f>IFERROR(__xludf.DUMMYFUNCTION("""COMPUTED_VALUE"""),4000.0)</f>
        <v>4000</v>
      </c>
      <c r="D282" s="16"/>
      <c r="E282" s="16" t="str">
        <f>IFERROR(__xludf.DUMMYFUNCTION("""COMPUTED_VALUE"""),"Deals 20,000 undefendable damage to all enemies with a 5% chance to inflict the effect of entagle.")</f>
        <v>Deals 20,000 undefendable damage to all enemies with a 5% chance to inflict the effect of entagle.</v>
      </c>
      <c r="F282" s="16" t="str">
        <f>IFERROR(__xludf.DUMMYFUNCTION("""COMPUTED_VALUE"""),"Cannot Avoid")</f>
        <v>Cannot Avoid</v>
      </c>
      <c r="G282" s="18" t="str">
        <f>IFERROR(__xludf.DUMMYFUNCTION("""COMPUTED_VALUE"""),"All")</f>
        <v>All</v>
      </c>
      <c r="H282" s="47" t="str">
        <f>IFERROR(__xludf.DUMMYFUNCTION("""COMPUTED_VALUE"""),"Nature")</f>
        <v>Nature</v>
      </c>
      <c r="I282" s="20" t="str">
        <f>IFERROR(__xludf.DUMMYFUNCTION("""COMPUTED_VALUE"""),"Player")</f>
        <v>Player</v>
      </c>
      <c r="J282" s="21" t="b">
        <f>IFERROR(__xludf.DUMMYFUNCTION("""COMPUTED_VALUE"""),FALSE)</f>
        <v>0</v>
      </c>
      <c r="K282" s="21"/>
      <c r="L282" s="21" t="b">
        <f>IFERROR(__xludf.DUMMYFUNCTION("""COMPUTED_VALUE"""),FALSE)</f>
        <v>0</v>
      </c>
      <c r="M282" s="21" t="b">
        <f>IFERROR(__xludf.DUMMYFUNCTION("""COMPUTED_VALUE"""),FALSE)</f>
        <v>0</v>
      </c>
      <c r="N282" s="1"/>
      <c r="O282" s="1"/>
      <c r="P282" s="1"/>
      <c r="Q282" s="1"/>
      <c r="R282" s="1"/>
      <c r="S282" s="1"/>
      <c r="T282" s="1"/>
      <c r="U282" s="1"/>
      <c r="V282" s="1"/>
      <c r="W282" s="1"/>
      <c r="X282" s="1"/>
      <c r="Y282" s="1"/>
      <c r="Z282" s="1"/>
    </row>
    <row r="283" ht="15.75" customHeight="1">
      <c r="A283" s="16" t="str">
        <f>IFERROR(__xludf.DUMMYFUNCTION("""COMPUTED_VALUE"""),"Entangle")</f>
        <v>Entangle</v>
      </c>
      <c r="B283" s="17">
        <f>IFERROR(__xludf.DUMMYFUNCTION("""COMPUTED_VALUE"""),9.0)</f>
        <v>9</v>
      </c>
      <c r="C283" s="16">
        <f>IFERROR(__xludf.DUMMYFUNCTION("""COMPUTED_VALUE"""),2000.0)</f>
        <v>2000</v>
      </c>
      <c r="D283" s="16"/>
      <c r="E283" s="16"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16" t="str">
        <f>IFERROR(__xludf.DUMMYFUNCTION("""COMPUTED_VALUE"""),"Fail/Succeed")</f>
        <v>Fail/Succeed</v>
      </c>
      <c r="G283" s="18" t="str">
        <f>IFERROR(__xludf.DUMMYFUNCTION("""COMPUTED_VALUE"""),"All")</f>
        <v>All</v>
      </c>
      <c r="H283" s="47" t="str">
        <f>IFERROR(__xludf.DUMMYFUNCTION("""COMPUTED_VALUE"""),"Nature")</f>
        <v>Nature</v>
      </c>
      <c r="I283" s="20" t="str">
        <f>IFERROR(__xludf.DUMMYFUNCTION("""COMPUTED_VALUE"""),"Player")</f>
        <v>Player</v>
      </c>
      <c r="J283" s="21" t="b">
        <f>IFERROR(__xludf.DUMMYFUNCTION("""COMPUTED_VALUE"""),TRUE)</f>
        <v>1</v>
      </c>
      <c r="K283" s="21" t="str">
        <f>IFERROR(__xludf.DUMMYFUNCTION("""COMPUTED_VALUE"""),"Quest Spell")</f>
        <v>Quest Spell</v>
      </c>
      <c r="L283" s="21" t="b">
        <f>IFERROR(__xludf.DUMMYFUNCTION("""COMPUTED_VALUE"""),FALSE)</f>
        <v>0</v>
      </c>
      <c r="M283" s="21" t="b">
        <f>IFERROR(__xludf.DUMMYFUNCTION("""COMPUTED_VALUE"""),FALSE)</f>
        <v>0</v>
      </c>
      <c r="N283" s="1"/>
      <c r="O283" s="1"/>
      <c r="P283" s="1"/>
      <c r="Q283" s="1"/>
      <c r="R283" s="1"/>
      <c r="S283" s="1"/>
      <c r="T283" s="1"/>
      <c r="U283" s="1"/>
      <c r="V283" s="1"/>
      <c r="W283" s="1"/>
      <c r="X283" s="1"/>
      <c r="Y283" s="1"/>
      <c r="Z283" s="1"/>
    </row>
    <row r="284" ht="15.75" customHeight="1">
      <c r="A284" s="16" t="str">
        <f>IFERROR(__xludf.DUMMYFUNCTION("""COMPUTED_VALUE"""),"Barkskin")</f>
        <v>Barkskin</v>
      </c>
      <c r="B284" s="17">
        <f>IFERROR(__xludf.DUMMYFUNCTION("""COMPUTED_VALUE"""),3.0)</f>
        <v>3</v>
      </c>
      <c r="C284" s="16">
        <f>IFERROR(__xludf.DUMMYFUNCTION("""COMPUTED_VALUE"""),30.0)</f>
        <v>30</v>
      </c>
      <c r="D284" s="16"/>
      <c r="E284" s="16" t="str">
        <f>IFERROR(__xludf.DUMMYFUNCTION("""COMPUTED_VALUE"""),"X2 defense for target.")</f>
        <v>X2 defense for target.</v>
      </c>
      <c r="F284" s="16" t="str">
        <f>IFERROR(__xludf.DUMMYFUNCTION("""COMPUTED_VALUE"""),"Fail/Succeed")</f>
        <v>Fail/Succeed</v>
      </c>
      <c r="G284" s="18">
        <f>IFERROR(__xludf.DUMMYFUNCTION("""COMPUTED_VALUE"""),1.0)</f>
        <v>1</v>
      </c>
      <c r="H284" s="47" t="str">
        <f>IFERROR(__xludf.DUMMYFUNCTION("""COMPUTED_VALUE"""),"Nature")</f>
        <v>Nature</v>
      </c>
      <c r="I284" s="20" t="str">
        <f>IFERROR(__xludf.DUMMYFUNCTION("""COMPUTED_VALUE"""),"Player")</f>
        <v>Player</v>
      </c>
      <c r="J284" s="21" t="b">
        <f>IFERROR(__xludf.DUMMYFUNCTION("""COMPUTED_VALUE"""),FALSE)</f>
        <v>0</v>
      </c>
      <c r="K284" s="21"/>
      <c r="L284" s="21" t="b">
        <f>IFERROR(__xludf.DUMMYFUNCTION("""COMPUTED_VALUE"""),FALSE)</f>
        <v>0</v>
      </c>
      <c r="M284" s="21" t="b">
        <f>IFERROR(__xludf.DUMMYFUNCTION("""COMPUTED_VALUE"""),FALSE)</f>
        <v>0</v>
      </c>
      <c r="N284" s="1"/>
      <c r="O284" s="1"/>
      <c r="P284" s="1"/>
      <c r="Q284" s="1"/>
      <c r="R284" s="1"/>
      <c r="S284" s="1"/>
      <c r="T284" s="1"/>
      <c r="U284" s="1"/>
      <c r="V284" s="1"/>
      <c r="W284" s="1"/>
      <c r="X284" s="1"/>
      <c r="Y284" s="1"/>
      <c r="Z284" s="1"/>
    </row>
    <row r="285" ht="15.75" customHeight="1">
      <c r="A285" s="16" t="str">
        <f>IFERROR(__xludf.DUMMYFUNCTION("""COMPUTED_VALUE"""),"Regrowth")</f>
        <v>Regrowth</v>
      </c>
      <c r="B285" s="17">
        <f>IFERROR(__xludf.DUMMYFUNCTION("""COMPUTED_VALUE"""),6.0)</f>
        <v>6</v>
      </c>
      <c r="C285" s="16">
        <f>IFERROR(__xludf.DUMMYFUNCTION("""COMPUTED_VALUE"""),75.0)</f>
        <v>75</v>
      </c>
      <c r="D285" s="16"/>
      <c r="E285" s="16" t="str">
        <f>IFERROR(__xludf.DUMMYFUNCTION("""COMPUTED_VALUE"""),"Heals target by 5000 and grants them Invigorated 5.")</f>
        <v>Heals target by 5000 and grants them Invigorated 5.</v>
      </c>
      <c r="F285" s="16" t="str">
        <f>IFERROR(__xludf.DUMMYFUNCTION("""COMPUTED_VALUE"""),"Fail/Succeed")</f>
        <v>Fail/Succeed</v>
      </c>
      <c r="G285" s="18">
        <f>IFERROR(__xludf.DUMMYFUNCTION("""COMPUTED_VALUE"""),1.0)</f>
        <v>1</v>
      </c>
      <c r="H285" s="47" t="str">
        <f>IFERROR(__xludf.DUMMYFUNCTION("""COMPUTED_VALUE"""),"Nature")</f>
        <v>Nature</v>
      </c>
      <c r="I285" s="20" t="str">
        <f>IFERROR(__xludf.DUMMYFUNCTION("""COMPUTED_VALUE"""),"Player")</f>
        <v>Player</v>
      </c>
      <c r="J285" s="21" t="b">
        <f>IFERROR(__xludf.DUMMYFUNCTION("""COMPUTED_VALUE"""),FALSE)</f>
        <v>0</v>
      </c>
      <c r="K285" s="21"/>
      <c r="L285" s="21" t="b">
        <f>IFERROR(__xludf.DUMMYFUNCTION("""COMPUTED_VALUE"""),FALSE)</f>
        <v>0</v>
      </c>
      <c r="M285" s="21" t="b">
        <f>IFERROR(__xludf.DUMMYFUNCTION("""COMPUTED_VALUE"""),FALSE)</f>
        <v>0</v>
      </c>
      <c r="N285" s="1"/>
      <c r="O285" s="1"/>
      <c r="P285" s="1"/>
      <c r="Q285" s="1"/>
      <c r="R285" s="1"/>
      <c r="S285" s="1"/>
      <c r="T285" s="1"/>
      <c r="U285" s="1"/>
      <c r="V285" s="1"/>
      <c r="W285" s="1"/>
      <c r="X285" s="1"/>
      <c r="Y285" s="1"/>
      <c r="Z285" s="1"/>
    </row>
    <row r="286" ht="15.75" customHeight="1">
      <c r="A286" s="16" t="str">
        <f>IFERROR(__xludf.DUMMYFUNCTION("""COMPUTED_VALUE"""),"The Orb of Life")</f>
        <v>The Orb of Life</v>
      </c>
      <c r="B286" s="17">
        <f>IFERROR(__xludf.DUMMYFUNCTION("""COMPUTED_VALUE"""),9.0)</f>
        <v>9</v>
      </c>
      <c r="C286" s="16">
        <f>IFERROR(__xludf.DUMMYFUNCTION("""COMPUTED_VALUE"""),300.0)</f>
        <v>300</v>
      </c>
      <c r="D286" s="16"/>
      <c r="E286" s="16" t="str">
        <f>IFERROR(__xludf.DUMMYFUNCTION("""COMPUTED_VALUE"""),"Summons a life orb that revives 1 target.")</f>
        <v>Summons a life orb that revives 1 target.</v>
      </c>
      <c r="F286" s="16" t="str">
        <f>IFERROR(__xludf.DUMMYFUNCTION("""COMPUTED_VALUE"""),"Fail/Succeed")</f>
        <v>Fail/Succeed</v>
      </c>
      <c r="G286" s="18">
        <f>IFERROR(__xludf.DUMMYFUNCTION("""COMPUTED_VALUE"""),1.0)</f>
        <v>1</v>
      </c>
      <c r="H286" s="47" t="str">
        <f>IFERROR(__xludf.DUMMYFUNCTION("""COMPUTED_VALUE"""),"Nature")</f>
        <v>Nature</v>
      </c>
      <c r="I286" s="20" t="str">
        <f>IFERROR(__xludf.DUMMYFUNCTION("""COMPUTED_VALUE"""),"Player")</f>
        <v>Player</v>
      </c>
      <c r="J286" s="21" t="b">
        <f>IFERROR(__xludf.DUMMYFUNCTION("""COMPUTED_VALUE"""),FALSE)</f>
        <v>0</v>
      </c>
      <c r="K286" s="21"/>
      <c r="L286" s="21" t="b">
        <f>IFERROR(__xludf.DUMMYFUNCTION("""COMPUTED_VALUE"""),FALSE)</f>
        <v>0</v>
      </c>
      <c r="M286" s="21" t="b">
        <f>IFERROR(__xludf.DUMMYFUNCTION("""COMPUTED_VALUE"""),FALSE)</f>
        <v>0</v>
      </c>
      <c r="N286" s="1"/>
      <c r="O286" s="1"/>
      <c r="P286" s="1"/>
      <c r="Q286" s="1"/>
      <c r="R286" s="1"/>
      <c r="S286" s="1"/>
      <c r="T286" s="1"/>
      <c r="U286" s="1"/>
      <c r="V286" s="1"/>
      <c r="W286" s="1"/>
      <c r="X286" s="1"/>
      <c r="Y286" s="1"/>
      <c r="Z286" s="1"/>
    </row>
    <row r="287" ht="15.75" customHeight="1">
      <c r="A287" s="16" t="str">
        <f>IFERROR(__xludf.DUMMYFUNCTION("""COMPUTED_VALUE"""),"Artemis' Wave")</f>
        <v>Artemis' Wave</v>
      </c>
      <c r="B287" s="17">
        <f>IFERROR(__xludf.DUMMYFUNCTION("""COMPUTED_VALUE"""),9.0)</f>
        <v>9</v>
      </c>
      <c r="C287" s="16">
        <f>IFERROR(__xludf.DUMMYFUNCTION("""COMPUTED_VALUE"""),8000.0)</f>
        <v>8000</v>
      </c>
      <c r="D287" s="16"/>
      <c r="E287" s="16" t="str">
        <f>IFERROR(__xludf.DUMMYFUNCTION("""COMPUTED_VALUE"""),"Creates a vibrant blast that deals 20,000 Nature damage to all enemies; Cannot resist or be Immune to.")</f>
        <v>Creates a vibrant blast that deals 20,000 Nature damage to all enemies; Cannot resist or be Immune to.</v>
      </c>
      <c r="F287" s="16" t="str">
        <f>IFERROR(__xludf.DUMMYFUNCTION("""COMPUTED_VALUE"""),"Cannot Avoid")</f>
        <v>Cannot Avoid</v>
      </c>
      <c r="G287" s="18" t="str">
        <f>IFERROR(__xludf.DUMMYFUNCTION("""COMPUTED_VALUE"""),"All")</f>
        <v>All</v>
      </c>
      <c r="H287" s="47" t="str">
        <f>IFERROR(__xludf.DUMMYFUNCTION("""COMPUTED_VALUE"""),"Nature")</f>
        <v>Nature</v>
      </c>
      <c r="I287" s="20" t="str">
        <f>IFERROR(__xludf.DUMMYFUNCTION("""COMPUTED_VALUE"""),"Mob")</f>
        <v>Mob</v>
      </c>
      <c r="J287" s="21" t="b">
        <f>IFERROR(__xludf.DUMMYFUNCTION("""COMPUTED_VALUE"""),TRUE)</f>
        <v>1</v>
      </c>
      <c r="K287" s="21" t="str">
        <f>IFERROR(__xludf.DUMMYFUNCTION("""COMPUTED_VALUE"""),"Artemis")</f>
        <v>Artemis</v>
      </c>
      <c r="L287" s="21" t="b">
        <f>IFERROR(__xludf.DUMMYFUNCTION("""COMPUTED_VALUE"""),FALSE)</f>
        <v>0</v>
      </c>
      <c r="M287" s="21" t="b">
        <f>IFERROR(__xludf.DUMMYFUNCTION("""COMPUTED_VALUE"""),TRUE)</f>
        <v>1</v>
      </c>
      <c r="N287" s="1"/>
      <c r="O287" s="1"/>
      <c r="P287" s="1"/>
      <c r="Q287" s="1"/>
      <c r="R287" s="1"/>
      <c r="S287" s="1"/>
      <c r="T287" s="1"/>
      <c r="U287" s="1"/>
      <c r="V287" s="1"/>
      <c r="W287" s="1"/>
      <c r="X287" s="1"/>
      <c r="Y287" s="1"/>
      <c r="Z287" s="1"/>
    </row>
    <row r="288" ht="15.75" customHeight="1">
      <c r="A288" s="16" t="str">
        <f>IFERROR(__xludf.DUMMYFUNCTION("""COMPUTED_VALUE"""),"Artemis' Godly Grace")</f>
        <v>Artemis' Godly Grace</v>
      </c>
      <c r="B288" s="17">
        <f>IFERROR(__xludf.DUMMYFUNCTION("""COMPUTED_VALUE"""),9.0)</f>
        <v>9</v>
      </c>
      <c r="C288" s="16">
        <f>IFERROR(__xludf.DUMMYFUNCTION("""COMPUTED_VALUE"""),10000.0)</f>
        <v>10000</v>
      </c>
      <c r="D288" s="16"/>
      <c r="E288" s="16"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16" t="str">
        <f>IFERROR(__xludf.DUMMYFUNCTION("""COMPUTED_VALUE"""),"Will Succeed")</f>
        <v>Will Succeed</v>
      </c>
      <c r="G288" s="18" t="str">
        <f>IFERROR(__xludf.DUMMYFUNCTION("""COMPUTED_VALUE"""),"All")</f>
        <v>All</v>
      </c>
      <c r="H288" s="47" t="str">
        <f>IFERROR(__xludf.DUMMYFUNCTION("""COMPUTED_VALUE"""),"Nature")</f>
        <v>Nature</v>
      </c>
      <c r="I288" s="20" t="str">
        <f>IFERROR(__xludf.DUMMYFUNCTION("""COMPUTED_VALUE"""),"Mob")</f>
        <v>Mob</v>
      </c>
      <c r="J288" s="21" t="b">
        <f>IFERROR(__xludf.DUMMYFUNCTION("""COMPUTED_VALUE"""),TRUE)</f>
        <v>1</v>
      </c>
      <c r="K288" s="21" t="str">
        <f>IFERROR(__xludf.DUMMYFUNCTION("""COMPUTED_VALUE"""),"Artemis")</f>
        <v>Artemis</v>
      </c>
      <c r="L288" s="21" t="b">
        <f>IFERROR(__xludf.DUMMYFUNCTION("""COMPUTED_VALUE"""),FALSE)</f>
        <v>0</v>
      </c>
      <c r="M288" s="21" t="b">
        <f>IFERROR(__xludf.DUMMYFUNCTION("""COMPUTED_VALUE"""),FALSE)</f>
        <v>0</v>
      </c>
      <c r="N288" s="1"/>
      <c r="O288" s="1"/>
      <c r="P288" s="1"/>
      <c r="Q288" s="1"/>
      <c r="R288" s="1"/>
      <c r="S288" s="1"/>
      <c r="T288" s="1"/>
      <c r="U288" s="1"/>
      <c r="V288" s="1"/>
      <c r="W288" s="1"/>
      <c r="X288" s="1"/>
      <c r="Y288" s="1"/>
      <c r="Z288" s="1"/>
    </row>
    <row r="289" ht="15.75" customHeight="1">
      <c r="A289" s="16" t="str">
        <f>IFERROR(__xludf.DUMMYFUNCTION("""COMPUTED_VALUE"""),"Artemis'  Force of Nature")</f>
        <v>Artemis'  Force of Nature</v>
      </c>
      <c r="B289" s="17">
        <f>IFERROR(__xludf.DUMMYFUNCTION("""COMPUTED_VALUE"""),1.0)</f>
        <v>1</v>
      </c>
      <c r="C289" s="22">
        <f>IFERROR(__xludf.DUMMYFUNCTION("""COMPUTED_VALUE"""),40000.0)</f>
        <v>40000</v>
      </c>
      <c r="D289" s="16"/>
      <c r="E289" s="16"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16" t="str">
        <f>IFERROR(__xludf.DUMMYFUNCTION("""COMPUTED_VALUE"""),"Cannot Avoid")</f>
        <v>Cannot Avoid</v>
      </c>
      <c r="G289" s="18" t="str">
        <f>IFERROR(__xludf.DUMMYFUNCTION("""COMPUTED_VALUE"""),"All")</f>
        <v>All</v>
      </c>
      <c r="H289" s="47" t="str">
        <f>IFERROR(__xludf.DUMMYFUNCTION("""COMPUTED_VALUE"""),"Nature")</f>
        <v>Nature</v>
      </c>
      <c r="I289" s="20" t="str">
        <f>IFERROR(__xludf.DUMMYFUNCTION("""COMPUTED_VALUE"""),"Mob")</f>
        <v>Mob</v>
      </c>
      <c r="J289" s="21" t="b">
        <f>IFERROR(__xludf.DUMMYFUNCTION("""COMPUTED_VALUE"""),TRUE)</f>
        <v>1</v>
      </c>
      <c r="K289" s="21" t="str">
        <f>IFERROR(__xludf.DUMMYFUNCTION("""COMPUTED_VALUE"""),"Artemis")</f>
        <v>Artemis</v>
      </c>
      <c r="L289" s="21" t="b">
        <f>IFERROR(__xludf.DUMMYFUNCTION("""COMPUTED_VALUE"""),FALSE)</f>
        <v>0</v>
      </c>
      <c r="M289" s="21" t="b">
        <f>IFERROR(__xludf.DUMMYFUNCTION("""COMPUTED_VALUE"""),TRUE)</f>
        <v>1</v>
      </c>
      <c r="N289" s="1"/>
      <c r="O289" s="1"/>
      <c r="P289" s="1"/>
      <c r="Q289" s="1"/>
      <c r="R289" s="1"/>
      <c r="S289" s="1"/>
      <c r="T289" s="1"/>
      <c r="U289" s="1"/>
      <c r="V289" s="1"/>
      <c r="W289" s="1"/>
      <c r="X289" s="1"/>
      <c r="Y289" s="1"/>
      <c r="Z289" s="1"/>
    </row>
    <row r="290" ht="15.75" customHeight="1">
      <c r="A290" s="16" t="str">
        <f>IFERROR(__xludf.DUMMYFUNCTION("""COMPUTED_VALUE"""),"World Tree's Unbridled Rage")</f>
        <v>World Tree's Unbridled Rage</v>
      </c>
      <c r="B290" s="17">
        <f>IFERROR(__xludf.DUMMYFUNCTION("""COMPUTED_VALUE"""),9.0)</f>
        <v>9</v>
      </c>
      <c r="C290" s="22">
        <f>IFERROR(__xludf.DUMMYFUNCTION("""COMPUTED_VALUE"""),80000.0)</f>
        <v>80000</v>
      </c>
      <c r="D290" s="16"/>
      <c r="E290" s="16"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16" t="str">
        <f>IFERROR(__xludf.DUMMYFUNCTION("""COMPUTED_VALUE"""),"Cannot Avoid")</f>
        <v>Cannot Avoid</v>
      </c>
      <c r="G290" s="18" t="str">
        <f>IFERROR(__xludf.DUMMYFUNCTION("""COMPUTED_VALUE"""),"All")</f>
        <v>All</v>
      </c>
      <c r="H290" s="47" t="str">
        <f>IFERROR(__xludf.DUMMYFUNCTION("""COMPUTED_VALUE"""),"Nature")</f>
        <v>Nature</v>
      </c>
      <c r="I290" s="20" t="str">
        <f>IFERROR(__xludf.DUMMYFUNCTION("""COMPUTED_VALUE"""),"Mob")</f>
        <v>Mob</v>
      </c>
      <c r="J290" s="21" t="b">
        <f>IFERROR(__xludf.DUMMYFUNCTION("""COMPUTED_VALUE"""),TRUE)</f>
        <v>1</v>
      </c>
      <c r="K290" s="21" t="str">
        <f>IFERROR(__xludf.DUMMYFUNCTION("""COMPUTED_VALUE"""),"Artemis")</f>
        <v>Artemis</v>
      </c>
      <c r="L290" s="21" t="b">
        <f>IFERROR(__xludf.DUMMYFUNCTION("""COMPUTED_VALUE"""),FALSE)</f>
        <v>0</v>
      </c>
      <c r="M290" s="21" t="b">
        <f>IFERROR(__xludf.DUMMYFUNCTION("""COMPUTED_VALUE"""),TRUE)</f>
        <v>1</v>
      </c>
      <c r="N290" s="1"/>
      <c r="O290" s="1"/>
      <c r="P290" s="1"/>
      <c r="Q290" s="1"/>
      <c r="R290" s="1"/>
      <c r="S290" s="1"/>
      <c r="T290" s="1"/>
      <c r="U290" s="1"/>
      <c r="V290" s="1"/>
      <c r="W290" s="1"/>
      <c r="X290" s="1"/>
      <c r="Y290" s="1"/>
      <c r="Z290" s="1"/>
    </row>
    <row r="291" ht="15.75" customHeight="1">
      <c r="A291" s="16" t="str">
        <f>IFERROR(__xludf.DUMMYFUNCTION("""COMPUTED_VALUE"""),"Oberon's Birthright")</f>
        <v>Oberon's Birthright</v>
      </c>
      <c r="B291" s="17">
        <f>IFERROR(__xludf.DUMMYFUNCTION("""COMPUTED_VALUE"""),1.0)</f>
        <v>1</v>
      </c>
      <c r="C291" s="16">
        <f>IFERROR(__xludf.DUMMYFUNCTION("""COMPUTED_VALUE"""),0.0)</f>
        <v>0</v>
      </c>
      <c r="D291" s="16"/>
      <c r="E291" s="16" t="str">
        <f>IFERROR(__xludf.DUMMYFUNCTION("""COMPUTED_VALUE"""),"Transform into Oberon The Faery King.")</f>
        <v>Transform into Oberon The Faery King.</v>
      </c>
      <c r="F291" s="16" t="str">
        <f>IFERROR(__xludf.DUMMYFUNCTION("""COMPUTED_VALUE"""),"Natural/Fail or Succeed")</f>
        <v>Natural/Fail or Succeed</v>
      </c>
      <c r="G291" s="18" t="str">
        <f>IFERROR(__xludf.DUMMYFUNCTION("""COMPUTED_VALUE"""),"Self")</f>
        <v>Self</v>
      </c>
      <c r="H291" s="47" t="str">
        <f>IFERROR(__xludf.DUMMYFUNCTION("""COMPUTED_VALUE"""),"Nature")</f>
        <v>Nature</v>
      </c>
      <c r="I291" s="20" t="str">
        <f>IFERROR(__xludf.DUMMYFUNCTION("""COMPUTED_VALUE"""),"Mob")</f>
        <v>Mob</v>
      </c>
      <c r="J291" s="21" t="b">
        <f>IFERROR(__xludf.DUMMYFUNCTION("""COMPUTED_VALUE"""),TRUE)</f>
        <v>1</v>
      </c>
      <c r="K291" s="21" t="str">
        <f>IFERROR(__xludf.DUMMYFUNCTION("""COMPUTED_VALUE"""),"Event Mob Only")</f>
        <v>Event Mob Only</v>
      </c>
      <c r="L291" s="21" t="b">
        <f>IFERROR(__xludf.DUMMYFUNCTION("""COMPUTED_VALUE"""),FALSE)</f>
        <v>0</v>
      </c>
      <c r="M291" s="21" t="b">
        <f>IFERROR(__xludf.DUMMYFUNCTION("""COMPUTED_VALUE"""),FALSE)</f>
        <v>0</v>
      </c>
      <c r="N291" s="1" t="str">
        <f>IFERROR(__xludf.DUMMYFUNCTION("""COMPUTED_VALUE"""),"Event Hub")</f>
        <v>Event Hub</v>
      </c>
      <c r="O291" s="1"/>
      <c r="P291" s="1"/>
      <c r="Q291" s="1"/>
      <c r="R291" s="1"/>
      <c r="S291" s="1"/>
      <c r="T291" s="1"/>
      <c r="U291" s="1"/>
      <c r="V291" s="1"/>
      <c r="W291" s="1"/>
      <c r="X291" s="1"/>
      <c r="Y291" s="1"/>
      <c r="Z291" s="1"/>
    </row>
    <row r="292" ht="15.75" customHeight="1">
      <c r="A292" s="16" t="str">
        <f>IFERROR(__xludf.DUMMYFUNCTION("""COMPUTED_VALUE"""),"Vine Whip")</f>
        <v>Vine Whip</v>
      </c>
      <c r="B292" s="17">
        <f>IFERROR(__xludf.DUMMYFUNCTION("""COMPUTED_VALUE"""),1.0)</f>
        <v>1</v>
      </c>
      <c r="C292" s="16" t="str">
        <f>IFERROR(__xludf.DUMMYFUNCTION("""COMPUTED_VALUE"""),"X")</f>
        <v>X</v>
      </c>
      <c r="D292" s="16"/>
      <c r="E292" s="16" t="str">
        <f>IFERROR(__xludf.DUMMYFUNCTION("""COMPUTED_VALUE"""),"Deals X*100 Nature damage to a single enemy where X is equal to SP spent.")</f>
        <v>Deals X*100 Nature damage to a single enemy where X is equal to SP spent.</v>
      </c>
      <c r="F292" s="16" t="str">
        <f>IFERROR(__xludf.DUMMYFUNCTION("""COMPUTED_VALUE"""),"Hit/Miss")</f>
        <v>Hit/Miss</v>
      </c>
      <c r="G292" s="18">
        <f>IFERROR(__xludf.DUMMYFUNCTION("""COMPUTED_VALUE"""),1.0)</f>
        <v>1</v>
      </c>
      <c r="H292" s="47" t="str">
        <f>IFERROR(__xludf.DUMMYFUNCTION("""COMPUTED_VALUE"""),"Nature")</f>
        <v>Nature</v>
      </c>
      <c r="I292" s="20" t="str">
        <f>IFERROR(__xludf.DUMMYFUNCTION("""COMPUTED_VALUE"""),"Player")</f>
        <v>Player</v>
      </c>
      <c r="J292" s="21" t="b">
        <f>IFERROR(__xludf.DUMMYFUNCTION("""COMPUTED_VALUE"""),FALSE)</f>
        <v>0</v>
      </c>
      <c r="K292" s="21"/>
      <c r="L292" s="21" t="b">
        <f>IFERROR(__xludf.DUMMYFUNCTION("""COMPUTED_VALUE"""),FALSE)</f>
        <v>0</v>
      </c>
      <c r="M292" s="21" t="b">
        <f>IFERROR(__xludf.DUMMYFUNCTION("""COMPUTED_VALUE"""),FALSE)</f>
        <v>0</v>
      </c>
      <c r="N292" s="1"/>
      <c r="O292" s="1"/>
      <c r="P292" s="1"/>
      <c r="Q292" s="1"/>
      <c r="R292" s="1"/>
      <c r="S292" s="1"/>
      <c r="T292" s="1"/>
      <c r="U292" s="1"/>
      <c r="V292" s="1"/>
      <c r="W292" s="1"/>
      <c r="X292" s="1"/>
      <c r="Y292" s="1"/>
      <c r="Z292" s="1"/>
    </row>
    <row r="293" ht="15.75" customHeight="1">
      <c r="A293" s="16" t="str">
        <f>IFERROR(__xludf.DUMMYFUNCTION("""COMPUTED_VALUE"""),"Poison Ivy")</f>
        <v>Poison Ivy</v>
      </c>
      <c r="B293" s="17">
        <f>IFERROR(__xludf.DUMMYFUNCTION("""COMPUTED_VALUE"""),5.0)</f>
        <v>5</v>
      </c>
      <c r="C293" s="16" t="str">
        <f>IFERROR(__xludf.DUMMYFUNCTION("""COMPUTED_VALUE"""),"X")</f>
        <v>X</v>
      </c>
      <c r="D293" s="16"/>
      <c r="E293" s="16" t="str">
        <f>IFERROR(__xludf.DUMMYFUNCTION("""COMPUTED_VALUE"""),"Deals X*50 Poison for 3 rounds to a single target where X is equal to SP spent.")</f>
        <v>Deals X*50 Poison for 3 rounds to a single target where X is equal to SP spent.</v>
      </c>
      <c r="F293" s="16" t="str">
        <f>IFERROR(__xludf.DUMMYFUNCTION("""COMPUTED_VALUE"""),"Hit/Miss")</f>
        <v>Hit/Miss</v>
      </c>
      <c r="G293" s="48">
        <f>IFERROR(__xludf.DUMMYFUNCTION("""COMPUTED_VALUE"""),1.0)</f>
        <v>1</v>
      </c>
      <c r="H293" s="47" t="str">
        <f>IFERROR(__xludf.DUMMYFUNCTION("""COMPUTED_VALUE"""),"Nature")</f>
        <v>Nature</v>
      </c>
      <c r="I293" s="20" t="str">
        <f>IFERROR(__xludf.DUMMYFUNCTION("""COMPUTED_VALUE"""),"Player")</f>
        <v>Player</v>
      </c>
      <c r="J293" s="21" t="b">
        <f>IFERROR(__xludf.DUMMYFUNCTION("""COMPUTED_VALUE"""),FALSE)</f>
        <v>0</v>
      </c>
      <c r="K293" s="21"/>
      <c r="L293" s="21" t="b">
        <f>IFERROR(__xludf.DUMMYFUNCTION("""COMPUTED_VALUE"""),FALSE)</f>
        <v>0</v>
      </c>
      <c r="M293" s="21" t="b">
        <f>IFERROR(__xludf.DUMMYFUNCTION("""COMPUTED_VALUE"""),FALSE)</f>
        <v>0</v>
      </c>
      <c r="N293" s="1"/>
      <c r="O293" s="1"/>
      <c r="P293" s="1"/>
      <c r="Q293" s="1"/>
      <c r="R293" s="1"/>
      <c r="S293" s="1"/>
      <c r="T293" s="1"/>
      <c r="U293" s="1"/>
      <c r="V293" s="1"/>
      <c r="W293" s="1"/>
      <c r="X293" s="1"/>
      <c r="Y293" s="1"/>
      <c r="Z293" s="1"/>
    </row>
    <row r="294" ht="15.75" customHeight="1">
      <c r="A294" s="16" t="str">
        <f>IFERROR(__xludf.DUMMYFUNCTION("""COMPUTED_VALUE"""),"Razor Leaves")</f>
        <v>Razor Leaves</v>
      </c>
      <c r="B294" s="17">
        <f>IFERROR(__xludf.DUMMYFUNCTION("""COMPUTED_VALUE"""),5.0)</f>
        <v>5</v>
      </c>
      <c r="C294" s="16" t="str">
        <f>IFERROR(__xludf.DUMMYFUNCTION("""COMPUTED_VALUE"""),"X")</f>
        <v>X</v>
      </c>
      <c r="D294" s="16"/>
      <c r="E294" s="16" t="str">
        <f>IFERROR(__xludf.DUMMYFUNCTION("""COMPUTED_VALUE"""),"Deals X*25 Nature damage to all enemies where X is equal to SP spent.")</f>
        <v>Deals X*25 Nature damage to all enemies where X is equal to SP spent.</v>
      </c>
      <c r="F294" s="16" t="str">
        <f>IFERROR(__xludf.DUMMYFUNCTION("""COMPUTED_VALUE"""),"Cannot Avoid")</f>
        <v>Cannot Avoid</v>
      </c>
      <c r="G294" s="18" t="str">
        <f>IFERROR(__xludf.DUMMYFUNCTION("""COMPUTED_VALUE"""),"All")</f>
        <v>All</v>
      </c>
      <c r="H294" s="47" t="str">
        <f>IFERROR(__xludf.DUMMYFUNCTION("""COMPUTED_VALUE"""),"Nature")</f>
        <v>Nature</v>
      </c>
      <c r="I294" s="20" t="str">
        <f>IFERROR(__xludf.DUMMYFUNCTION("""COMPUTED_VALUE"""),"Player")</f>
        <v>Player</v>
      </c>
      <c r="J294" s="21" t="b">
        <f>IFERROR(__xludf.DUMMYFUNCTION("""COMPUTED_VALUE"""),FALSE)</f>
        <v>0</v>
      </c>
      <c r="K294" s="21"/>
      <c r="L294" s="21" t="b">
        <f>IFERROR(__xludf.DUMMYFUNCTION("""COMPUTED_VALUE"""),FALSE)</f>
        <v>0</v>
      </c>
      <c r="M294" s="21" t="b">
        <f>IFERROR(__xludf.DUMMYFUNCTION("""COMPUTED_VALUE"""),FALSE)</f>
        <v>0</v>
      </c>
      <c r="N294" s="1"/>
      <c r="O294" s="1"/>
      <c r="P294" s="1"/>
      <c r="Q294" s="1"/>
      <c r="R294" s="1"/>
      <c r="S294" s="1"/>
      <c r="T294" s="1"/>
      <c r="U294" s="1"/>
      <c r="V294" s="1"/>
      <c r="W294" s="1"/>
      <c r="X294" s="1"/>
      <c r="Y294" s="1"/>
      <c r="Z294" s="1"/>
    </row>
    <row r="295" ht="15.75" customHeight="1">
      <c r="A295" s="16" t="str">
        <f>IFERROR(__xludf.DUMMYFUNCTION("""COMPUTED_VALUE"""),"Thorn Bush")</f>
        <v>Thorn Bush</v>
      </c>
      <c r="B295" s="17">
        <f>IFERROR(__xludf.DUMMYFUNCTION("""COMPUTED_VALUE"""),6.0)</f>
        <v>6</v>
      </c>
      <c r="C295" s="16" t="str">
        <f>IFERROR(__xludf.DUMMYFUNCTION("""COMPUTED_VALUE"""),"X")</f>
        <v>X</v>
      </c>
      <c r="D295" s="16"/>
      <c r="E295" s="16" t="str">
        <f>IFERROR(__xludf.DUMMYFUNCTION("""COMPUTED_VALUE"""),"Deals X*10 Poison to all enemies for 3 rounds where X is equal to SP spent.")</f>
        <v>Deals X*10 Poison to all enemies for 3 rounds where X is equal to SP spent.</v>
      </c>
      <c r="F295" s="16" t="str">
        <f>IFERROR(__xludf.DUMMYFUNCTION("""COMPUTED_VALUE"""),"Cannot Avoid")</f>
        <v>Cannot Avoid</v>
      </c>
      <c r="G295" s="18" t="str">
        <f>IFERROR(__xludf.DUMMYFUNCTION("""COMPUTED_VALUE"""),"All")</f>
        <v>All</v>
      </c>
      <c r="H295" s="47" t="str">
        <f>IFERROR(__xludf.DUMMYFUNCTION("""COMPUTED_VALUE"""),"Nature")</f>
        <v>Nature</v>
      </c>
      <c r="I295" s="20" t="str">
        <f>IFERROR(__xludf.DUMMYFUNCTION("""COMPUTED_VALUE"""),"Player")</f>
        <v>Player</v>
      </c>
      <c r="J295" s="21" t="b">
        <f>IFERROR(__xludf.DUMMYFUNCTION("""COMPUTED_VALUE"""),FALSE)</f>
        <v>0</v>
      </c>
      <c r="K295" s="21"/>
      <c r="L295" s="21" t="b">
        <f>IFERROR(__xludf.DUMMYFUNCTION("""COMPUTED_VALUE"""),FALSE)</f>
        <v>0</v>
      </c>
      <c r="M295" s="21" t="b">
        <f>IFERROR(__xludf.DUMMYFUNCTION("""COMPUTED_VALUE"""),FALSE)</f>
        <v>0</v>
      </c>
      <c r="N295" s="1"/>
      <c r="O295" s="1"/>
      <c r="P295" s="1"/>
      <c r="Q295" s="1"/>
      <c r="R295" s="1"/>
      <c r="S295" s="1"/>
      <c r="T295" s="1"/>
      <c r="U295" s="1"/>
      <c r="V295" s="1"/>
      <c r="W295" s="1"/>
      <c r="X295" s="1"/>
      <c r="Y295" s="1"/>
      <c r="Z295" s="1"/>
    </row>
    <row r="296" ht="15.75" customHeight="1">
      <c r="A296" s="16" t="str">
        <f>IFERROR(__xludf.DUMMYFUNCTION("""COMPUTED_VALUE"""),"Call of the Paladin")</f>
        <v>Call of the Paladin</v>
      </c>
      <c r="B296" s="17">
        <f>IFERROR(__xludf.DUMMYFUNCTION("""COMPUTED_VALUE"""),1.0)</f>
        <v>1</v>
      </c>
      <c r="C296" s="16">
        <f>IFERROR(__xludf.DUMMYFUNCTION("""COMPUTED_VALUE"""),0.0)</f>
        <v>0</v>
      </c>
      <c r="D296" s="16"/>
      <c r="E296" s="16" t="str">
        <f>IFERROR(__xludf.DUMMYFUNCTION("""COMPUTED_VALUE"""),"Summons 1d4 paladins of the summoner's order.")</f>
        <v>Summons 1d4 paladins of the summoner's order.</v>
      </c>
      <c r="F296" s="16" t="str">
        <f>IFERROR(__xludf.DUMMYFUNCTION("""COMPUTED_VALUE"""),"Natural/Fail or Succeed")</f>
        <v>Natural/Fail or Succeed</v>
      </c>
      <c r="G296" s="18" t="str">
        <f>IFERROR(__xludf.DUMMYFUNCTION("""COMPUTED_VALUE"""),"Self")</f>
        <v>Self</v>
      </c>
      <c r="H296" s="49" t="str">
        <f>IFERROR(__xludf.DUMMYFUNCTION("""COMPUTED_VALUE"""),"Order")</f>
        <v>Order</v>
      </c>
      <c r="I296" s="20" t="str">
        <f>IFERROR(__xludf.DUMMYFUNCTION("""COMPUTED_VALUE"""),"Mob")</f>
        <v>Mob</v>
      </c>
      <c r="J296" s="21" t="b">
        <f>IFERROR(__xludf.DUMMYFUNCTION("""COMPUTED_VALUE"""),TRUE)</f>
        <v>1</v>
      </c>
      <c r="K296" s="21" t="str">
        <f>IFERROR(__xludf.DUMMYFUNCTION("""COMPUTED_VALUE"""),"mob exclusive")</f>
        <v>mob exclusive</v>
      </c>
      <c r="L296" s="21" t="b">
        <f>IFERROR(__xludf.DUMMYFUNCTION("""COMPUTED_VALUE"""),FALSE)</f>
        <v>0</v>
      </c>
      <c r="M296" s="21" t="b">
        <f>IFERROR(__xludf.DUMMYFUNCTION("""COMPUTED_VALUE"""),FALSE)</f>
        <v>0</v>
      </c>
      <c r="N296" s="1"/>
      <c r="O296" s="1"/>
      <c r="P296" s="1"/>
      <c r="Q296" s="1"/>
      <c r="R296" s="1"/>
      <c r="S296" s="1"/>
      <c r="T296" s="1"/>
      <c r="U296" s="1"/>
      <c r="V296" s="1"/>
      <c r="W296" s="1"/>
      <c r="X296" s="1"/>
      <c r="Y296" s="1"/>
      <c r="Z296" s="1"/>
    </row>
    <row r="297" ht="15.75" customHeight="1">
      <c r="A297" s="16" t="str">
        <f>IFERROR(__xludf.DUMMYFUNCTION("""COMPUTED_VALUE"""),"Alliance Guard")</f>
        <v>Alliance Guard</v>
      </c>
      <c r="B297" s="17">
        <f>IFERROR(__xludf.DUMMYFUNCTION("""COMPUTED_VALUE"""),8.0)</f>
        <v>8</v>
      </c>
      <c r="C297" s="16">
        <f>IFERROR(__xludf.DUMMYFUNCTION("""COMPUTED_VALUE"""),80.0)</f>
        <v>80</v>
      </c>
      <c r="D297" s="16"/>
      <c r="E297" s="16" t="str">
        <f>IFERROR(__xludf.DUMMYFUNCTION("""COMPUTED_VALUE"""),"X4 defense to self and all allies until end of battle. 
(1 use)")</f>
        <v>X4 defense to self and all allies until end of battle. 
(1 use)</v>
      </c>
      <c r="F297" s="16" t="str">
        <f>IFERROR(__xludf.DUMMYFUNCTION("""COMPUTED_VALUE"""),"Will succeed")</f>
        <v>Will succeed</v>
      </c>
      <c r="G297" s="18"/>
      <c r="H297" s="49" t="str">
        <f>IFERROR(__xludf.DUMMYFUNCTION("""COMPUTED_VALUE"""),"Order")</f>
        <v>Order</v>
      </c>
      <c r="I297" s="20" t="str">
        <f>IFERROR(__xludf.DUMMYFUNCTION("""COMPUTED_VALUE"""),"Player")</f>
        <v>Player</v>
      </c>
      <c r="J297" s="21" t="b">
        <f>IFERROR(__xludf.DUMMYFUNCTION("""COMPUTED_VALUE"""),FALSE)</f>
        <v>0</v>
      </c>
      <c r="K297" s="21"/>
      <c r="L297" s="21" t="b">
        <f>IFERROR(__xludf.DUMMYFUNCTION("""COMPUTED_VALUE"""),FALSE)</f>
        <v>0</v>
      </c>
      <c r="M297" s="21" t="b">
        <f>IFERROR(__xludf.DUMMYFUNCTION("""COMPUTED_VALUE"""),FALSE)</f>
        <v>0</v>
      </c>
      <c r="N297" s="1"/>
      <c r="O297" s="1"/>
      <c r="P297" s="1"/>
      <c r="Q297" s="1"/>
      <c r="R297" s="1"/>
      <c r="S297" s="1"/>
      <c r="T297" s="1"/>
      <c r="U297" s="1"/>
      <c r="V297" s="1"/>
      <c r="W297" s="1"/>
      <c r="X297" s="1"/>
      <c r="Y297" s="1"/>
      <c r="Z297" s="1"/>
    </row>
    <row r="298" ht="15.75" customHeight="1">
      <c r="A298" s="16" t="str">
        <f>IFERROR(__xludf.DUMMYFUNCTION("""COMPUTED_VALUE"""),"Cancel")</f>
        <v>Cancel</v>
      </c>
      <c r="B298" s="17">
        <f>IFERROR(__xludf.DUMMYFUNCTION("""COMPUTED_VALUE"""),9.0)</f>
        <v>9</v>
      </c>
      <c r="C298" s="16" t="str">
        <f>IFERROR(__xludf.DUMMYFUNCTION("""COMPUTED_VALUE"""),"X*1000")</f>
        <v>X*1000</v>
      </c>
      <c r="D298" s="16"/>
      <c r="E298" s="16" t="str">
        <f>IFERROR(__xludf.DUMMYFUNCTION("""COMPUTED_VALUE"""),"Choose an X amount of target's, those target's Ongoing Spell Effects immediately end.")</f>
        <v>Choose an X amount of target's, those target's Ongoing Spell Effects immediately end.</v>
      </c>
      <c r="F298" s="16" t="str">
        <f>IFERROR(__xludf.DUMMYFUNCTION("""COMPUTED_VALUE"""),"Fail/Succeed")</f>
        <v>Fail/Succeed</v>
      </c>
      <c r="G298" s="18" t="str">
        <f>IFERROR(__xludf.DUMMYFUNCTION("""COMPUTED_VALUE"""),"X")</f>
        <v>X</v>
      </c>
      <c r="H298" s="49" t="str">
        <f>IFERROR(__xludf.DUMMYFUNCTION("""COMPUTED_VALUE"""),"Order")</f>
        <v>Order</v>
      </c>
      <c r="I298" s="20" t="str">
        <f>IFERROR(__xludf.DUMMYFUNCTION("""COMPUTED_VALUE"""),"Player")</f>
        <v>Player</v>
      </c>
      <c r="J298" s="21" t="b">
        <f>IFERROR(__xludf.DUMMYFUNCTION("""COMPUTED_VALUE"""),FALSE)</f>
        <v>0</v>
      </c>
      <c r="K298" s="21"/>
      <c r="L298" s="21" t="b">
        <f>IFERROR(__xludf.DUMMYFUNCTION("""COMPUTED_VALUE"""),FALSE)</f>
        <v>0</v>
      </c>
      <c r="M298" s="21" t="b">
        <f>IFERROR(__xludf.DUMMYFUNCTION("""COMPUTED_VALUE"""),FALSE)</f>
        <v>0</v>
      </c>
      <c r="N298" s="1"/>
      <c r="O298" s="1"/>
      <c r="P298" s="1"/>
      <c r="Q298" s="1"/>
      <c r="R298" s="1"/>
      <c r="S298" s="1"/>
      <c r="T298" s="1"/>
      <c r="U298" s="1"/>
      <c r="V298" s="1"/>
      <c r="W298" s="1"/>
      <c r="X298" s="1"/>
      <c r="Y298" s="1"/>
      <c r="Z298" s="1"/>
    </row>
    <row r="299" ht="15.75" customHeight="1">
      <c r="A299" s="16" t="str">
        <f>IFERROR(__xludf.DUMMYFUNCTION("""COMPUTED_VALUE"""),"Continue")</f>
        <v>Continue</v>
      </c>
      <c r="B299" s="17">
        <f>IFERROR(__xludf.DUMMYFUNCTION("""COMPUTED_VALUE"""),5.0)</f>
        <v>5</v>
      </c>
      <c r="C299" s="16">
        <f>IFERROR(__xludf.DUMMYFUNCTION("""COMPUTED_VALUE"""),50.0)</f>
        <v>50</v>
      </c>
      <c r="D299" s="16"/>
      <c r="E299"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16" t="str">
        <f>IFERROR(__xludf.DUMMYFUNCTION("""COMPUTED_VALUE"""),"Fail/Succeed")</f>
        <v>Fail/Succeed</v>
      </c>
      <c r="G299" s="18"/>
      <c r="H299" s="49" t="str">
        <f>IFERROR(__xludf.DUMMYFUNCTION("""COMPUTED_VALUE"""),"Order")</f>
        <v>Order</v>
      </c>
      <c r="I299" s="20" t="str">
        <f>IFERROR(__xludf.DUMMYFUNCTION("""COMPUTED_VALUE"""),"Player")</f>
        <v>Player</v>
      </c>
      <c r="J299" s="21" t="b">
        <f>IFERROR(__xludf.DUMMYFUNCTION("""COMPUTED_VALUE"""),FALSE)</f>
        <v>0</v>
      </c>
      <c r="K299" s="21"/>
      <c r="L299" s="21" t="b">
        <f>IFERROR(__xludf.DUMMYFUNCTION("""COMPUTED_VALUE"""),FALSE)</f>
        <v>0</v>
      </c>
      <c r="M299" s="21" t="b">
        <f>IFERROR(__xludf.DUMMYFUNCTION("""COMPUTED_VALUE"""),FALSE)</f>
        <v>0</v>
      </c>
      <c r="N299" s="1"/>
      <c r="O299" s="1"/>
      <c r="P299" s="1"/>
      <c r="Q299" s="1"/>
      <c r="R299" s="1"/>
      <c r="S299" s="1"/>
      <c r="T299" s="1"/>
      <c r="U299" s="1"/>
      <c r="V299" s="1"/>
      <c r="W299" s="1"/>
      <c r="X299" s="1"/>
      <c r="Y299" s="1"/>
      <c r="Z299" s="1"/>
    </row>
    <row r="300" ht="15.75" customHeight="1">
      <c r="A300" s="16" t="str">
        <f>IFERROR(__xludf.DUMMYFUNCTION("""COMPUTED_VALUE"""),"Deflect")</f>
        <v>Deflect</v>
      </c>
      <c r="B300" s="17">
        <f>IFERROR(__xludf.DUMMYFUNCTION("""COMPUTED_VALUE"""),4.0)</f>
        <v>4</v>
      </c>
      <c r="C300" s="22">
        <f>IFERROR(__xludf.DUMMYFUNCTION("""COMPUTED_VALUE"""),40.0)</f>
        <v>40</v>
      </c>
      <c r="D300" s="16"/>
      <c r="E300" s="16" t="str">
        <f>IFERROR(__xludf.DUMMYFUNCTION("""COMPUTED_VALUE"""),"The next incoming natural attack is deflected back at the target that used it.")</f>
        <v>The next incoming natural attack is deflected back at the target that used it.</v>
      </c>
      <c r="F300" s="16" t="str">
        <f>IFERROR(__xludf.DUMMYFUNCTION("""COMPUTED_VALUE"""),"Fail/Succeed")</f>
        <v>Fail/Succeed</v>
      </c>
      <c r="G300" s="18" t="str">
        <f>IFERROR(__xludf.DUMMYFUNCTION("""COMPUTED_VALUE"""),"All")</f>
        <v>All</v>
      </c>
      <c r="H300" s="49" t="str">
        <f>IFERROR(__xludf.DUMMYFUNCTION("""COMPUTED_VALUE"""),"Order")</f>
        <v>Order</v>
      </c>
      <c r="I300" s="20" t="str">
        <f>IFERROR(__xludf.DUMMYFUNCTION("""COMPUTED_VALUE"""),"Player")</f>
        <v>Player</v>
      </c>
      <c r="J300" s="21" t="b">
        <f>IFERROR(__xludf.DUMMYFUNCTION("""COMPUTED_VALUE"""),TRUE)</f>
        <v>1</v>
      </c>
      <c r="K300" s="21" t="str">
        <f>IFERROR(__xludf.DUMMYFUNCTION("""COMPUTED_VALUE"""),"shop spell")</f>
        <v>shop spell</v>
      </c>
      <c r="L300" s="21" t="b">
        <f>IFERROR(__xludf.DUMMYFUNCTION("""COMPUTED_VALUE"""),FALSE)</f>
        <v>0</v>
      </c>
      <c r="M300" s="21" t="b">
        <f>IFERROR(__xludf.DUMMYFUNCTION("""COMPUTED_VALUE"""),FALSE)</f>
        <v>0</v>
      </c>
      <c r="N300" s="1"/>
      <c r="O300" s="1"/>
      <c r="P300" s="1"/>
      <c r="Q300" s="1"/>
      <c r="R300" s="1"/>
      <c r="S300" s="1"/>
      <c r="T300" s="1"/>
      <c r="U300" s="1"/>
      <c r="V300" s="1"/>
      <c r="W300" s="1"/>
      <c r="X300" s="1"/>
      <c r="Y300" s="1"/>
      <c r="Z300" s="1"/>
    </row>
    <row r="301" ht="15.75" customHeight="1">
      <c r="A301" s="16" t="str">
        <f>IFERROR(__xludf.DUMMYFUNCTION("""COMPUTED_VALUE"""),"Downgrade")</f>
        <v>Downgrade</v>
      </c>
      <c r="B301" s="17">
        <f>IFERROR(__xludf.DUMMYFUNCTION("""COMPUTED_VALUE"""),6.0)</f>
        <v>6</v>
      </c>
      <c r="C301" s="16">
        <f>IFERROR(__xludf.DUMMYFUNCTION("""COMPUTED_VALUE"""),60.0)</f>
        <v>60</v>
      </c>
      <c r="D301" s="16"/>
      <c r="E301" s="16" t="str">
        <f>IFERROR(__xludf.DUMMYFUNCTION("""COMPUTED_VALUE"""),"Decrease an ongoing spell's round/and or turn count by 2.")</f>
        <v>Decrease an ongoing spell's round/and or turn count by 2.</v>
      </c>
      <c r="F301" s="16" t="str">
        <f>IFERROR(__xludf.DUMMYFUNCTION("""COMPUTED_VALUE"""),"Fail/Succeed")</f>
        <v>Fail/Succeed</v>
      </c>
      <c r="G301" s="18"/>
      <c r="H301" s="49" t="str">
        <f>IFERROR(__xludf.DUMMYFUNCTION("""COMPUTED_VALUE"""),"Order")</f>
        <v>Order</v>
      </c>
      <c r="I301" s="20" t="str">
        <f>IFERROR(__xludf.DUMMYFUNCTION("""COMPUTED_VALUE"""),"Player")</f>
        <v>Player</v>
      </c>
      <c r="J301" s="21" t="b">
        <f>IFERROR(__xludf.DUMMYFUNCTION("""COMPUTED_VALUE"""),FALSE)</f>
        <v>0</v>
      </c>
      <c r="K301" s="21"/>
      <c r="L301" s="21" t="b">
        <f>IFERROR(__xludf.DUMMYFUNCTION("""COMPUTED_VALUE"""),FALSE)</f>
        <v>0</v>
      </c>
      <c r="M301" s="21" t="b">
        <f>IFERROR(__xludf.DUMMYFUNCTION("""COMPUTED_VALUE"""),FALSE)</f>
        <v>0</v>
      </c>
      <c r="N301" s="1"/>
      <c r="O301" s="1"/>
      <c r="P301" s="1"/>
      <c r="Q301" s="1"/>
      <c r="R301" s="1"/>
      <c r="S301" s="1"/>
      <c r="T301" s="1"/>
      <c r="U301" s="1"/>
      <c r="V301" s="1"/>
      <c r="W301" s="1"/>
      <c r="X301" s="1"/>
      <c r="Y301" s="1"/>
      <c r="Z301" s="1"/>
    </row>
    <row r="302" ht="15.75" customHeight="1">
      <c r="A302" s="16" t="str">
        <f>IFERROR(__xludf.DUMMYFUNCTION("""COMPUTED_VALUE"""),"Medium Ward")</f>
        <v>Medium Ward</v>
      </c>
      <c r="B302" s="17">
        <f>IFERROR(__xludf.DUMMYFUNCTION("""COMPUTED_VALUE"""),6.0)</f>
        <v>6</v>
      </c>
      <c r="C302" s="16">
        <f>IFERROR(__xludf.DUMMYFUNCTION("""COMPUTED_VALUE"""),60.0)</f>
        <v>60</v>
      </c>
      <c r="D302" s="16"/>
      <c r="E302"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16" t="str">
        <f>IFERROR(__xludf.DUMMYFUNCTION("""COMPUTED_VALUE"""),"Fail/succeed")</f>
        <v>Fail/succeed</v>
      </c>
      <c r="G302" s="18"/>
      <c r="H302" s="49" t="str">
        <f>IFERROR(__xludf.DUMMYFUNCTION("""COMPUTED_VALUE"""),"Order")</f>
        <v>Order</v>
      </c>
      <c r="I302" s="20" t="str">
        <f>IFERROR(__xludf.DUMMYFUNCTION("""COMPUTED_VALUE"""),"Player")</f>
        <v>Player</v>
      </c>
      <c r="J302" s="21" t="b">
        <f>IFERROR(__xludf.DUMMYFUNCTION("""COMPUTED_VALUE"""),FALSE)</f>
        <v>0</v>
      </c>
      <c r="K302" s="21"/>
      <c r="L302" s="21" t="b">
        <f>IFERROR(__xludf.DUMMYFUNCTION("""COMPUTED_VALUE"""),FALSE)</f>
        <v>0</v>
      </c>
      <c r="M302" s="21" t="b">
        <f>IFERROR(__xludf.DUMMYFUNCTION("""COMPUTED_VALUE"""),FALSE)</f>
        <v>0</v>
      </c>
      <c r="N302" s="1"/>
      <c r="O302" s="1"/>
      <c r="P302" s="1"/>
      <c r="Q302" s="1"/>
      <c r="R302" s="1"/>
      <c r="S302" s="1"/>
      <c r="T302" s="1"/>
      <c r="U302" s="1"/>
      <c r="V302" s="1"/>
      <c r="W302" s="1"/>
      <c r="X302" s="1"/>
      <c r="Y302" s="1"/>
      <c r="Z302" s="1"/>
    </row>
    <row r="303" ht="15.75" customHeight="1">
      <c r="A303" s="16" t="str">
        <f>IFERROR(__xludf.DUMMYFUNCTION("""COMPUTED_VALUE"""),"Multi Ward")</f>
        <v>Multi Ward</v>
      </c>
      <c r="B303" s="17">
        <f>IFERROR(__xludf.DUMMYFUNCTION("""COMPUTED_VALUE"""),9.0)</f>
        <v>9</v>
      </c>
      <c r="C303" s="16">
        <f>IFERROR(__xludf.DUMMYFUNCTION("""COMPUTED_VALUE"""),300.0)</f>
        <v>300</v>
      </c>
      <c r="D303" s="16"/>
      <c r="E303"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16" t="str">
        <f>IFERROR(__xludf.DUMMYFUNCTION("""COMPUTED_VALUE"""),"Fail/Succeed")</f>
        <v>Fail/Succeed</v>
      </c>
      <c r="G303" s="18"/>
      <c r="H303" s="49" t="str">
        <f>IFERROR(__xludf.DUMMYFUNCTION("""COMPUTED_VALUE"""),"Order")</f>
        <v>Order</v>
      </c>
      <c r="I303" s="20" t="str">
        <f>IFERROR(__xludf.DUMMYFUNCTION("""COMPUTED_VALUE"""),"Player")</f>
        <v>Player</v>
      </c>
      <c r="J303" s="21" t="b">
        <f>IFERROR(__xludf.DUMMYFUNCTION("""COMPUTED_VALUE"""),FALSE)</f>
        <v>0</v>
      </c>
      <c r="K303" s="21"/>
      <c r="L303" s="21" t="b">
        <f>IFERROR(__xludf.DUMMYFUNCTION("""COMPUTED_VALUE"""),FALSE)</f>
        <v>0</v>
      </c>
      <c r="M303" s="21" t="b">
        <f>IFERROR(__xludf.DUMMYFUNCTION("""COMPUTED_VALUE"""),FALSE)</f>
        <v>0</v>
      </c>
      <c r="N303" s="1"/>
      <c r="O303" s="1"/>
      <c r="P303" s="1"/>
      <c r="Q303" s="1"/>
      <c r="R303" s="1"/>
      <c r="S303" s="1"/>
      <c r="T303" s="1"/>
      <c r="U303" s="1"/>
      <c r="V303" s="1"/>
      <c r="W303" s="1"/>
      <c r="X303" s="1"/>
      <c r="Y303" s="1"/>
      <c r="Z303" s="1"/>
    </row>
    <row r="304" ht="15.75" customHeight="1">
      <c r="A304" s="16" t="str">
        <f>IFERROR(__xludf.DUMMYFUNCTION("""COMPUTED_VALUE"""),"Neutralize")</f>
        <v>Neutralize</v>
      </c>
      <c r="B304" s="17">
        <f>IFERROR(__xludf.DUMMYFUNCTION("""COMPUTED_VALUE"""),9.0)</f>
        <v>9</v>
      </c>
      <c r="C304" s="16">
        <f>IFERROR(__xludf.DUMMYFUNCTION("""COMPUTED_VALUE"""),300.0)</f>
        <v>300</v>
      </c>
      <c r="D304" s="16"/>
      <c r="E304"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16" t="str">
        <f>IFERROR(__xludf.DUMMYFUNCTION("""COMPUTED_VALUE"""),"Fail/Succeed")</f>
        <v>Fail/Succeed</v>
      </c>
      <c r="G304" s="18"/>
      <c r="H304" s="49" t="str">
        <f>IFERROR(__xludf.DUMMYFUNCTION("""COMPUTED_VALUE"""),"Order")</f>
        <v>Order</v>
      </c>
      <c r="I304" s="20" t="str">
        <f>IFERROR(__xludf.DUMMYFUNCTION("""COMPUTED_VALUE"""),"Player")</f>
        <v>Player</v>
      </c>
      <c r="J304" s="21" t="b">
        <f>IFERROR(__xludf.DUMMYFUNCTION("""COMPUTED_VALUE"""),FALSE)</f>
        <v>0</v>
      </c>
      <c r="K304" s="21"/>
      <c r="L304" s="21" t="b">
        <f>IFERROR(__xludf.DUMMYFUNCTION("""COMPUTED_VALUE"""),FALSE)</f>
        <v>0</v>
      </c>
      <c r="M304" s="21" t="b">
        <f>IFERROR(__xludf.DUMMYFUNCTION("""COMPUTED_VALUE"""),FALSE)</f>
        <v>0</v>
      </c>
      <c r="N304" s="1"/>
      <c r="O304" s="1"/>
      <c r="P304" s="1"/>
      <c r="Q304" s="1"/>
      <c r="R304" s="1"/>
      <c r="S304" s="1"/>
      <c r="T304" s="1"/>
      <c r="U304" s="1"/>
      <c r="V304" s="1"/>
      <c r="W304" s="1"/>
      <c r="X304" s="1"/>
      <c r="Y304" s="1"/>
      <c r="Z304" s="1"/>
    </row>
    <row r="305" ht="15.75" customHeight="1">
      <c r="A305" s="16" t="str">
        <f>IFERROR(__xludf.DUMMYFUNCTION("""COMPUTED_VALUE"""),"Protection")</f>
        <v>Protection</v>
      </c>
      <c r="B305" s="17">
        <f>IFERROR(__xludf.DUMMYFUNCTION("""COMPUTED_VALUE"""),2.0)</f>
        <v>2</v>
      </c>
      <c r="C305" s="16">
        <f>IFERROR(__xludf.DUMMYFUNCTION("""COMPUTED_VALUE"""),20.0)</f>
        <v>20</v>
      </c>
      <c r="D305" s="16"/>
      <c r="E305" s="16" t="str">
        <f>IFERROR(__xludf.DUMMYFUNCTION("""COMPUTED_VALUE"""),"X2 Defense to self and allies.")</f>
        <v>X2 Defense to self and allies.</v>
      </c>
      <c r="F305" s="16" t="str">
        <f>IFERROR(__xludf.DUMMYFUNCTION("""COMPUTED_VALUE"""),"Will Succeed")</f>
        <v>Will Succeed</v>
      </c>
      <c r="G305" s="18"/>
      <c r="H305" s="49" t="str">
        <f>IFERROR(__xludf.DUMMYFUNCTION("""COMPUTED_VALUE"""),"Order")</f>
        <v>Order</v>
      </c>
      <c r="I305" s="20" t="str">
        <f>IFERROR(__xludf.DUMMYFUNCTION("""COMPUTED_VALUE"""),"Player")</f>
        <v>Player</v>
      </c>
      <c r="J305" s="21" t="b">
        <f>IFERROR(__xludf.DUMMYFUNCTION("""COMPUTED_VALUE"""),FALSE)</f>
        <v>0</v>
      </c>
      <c r="K305" s="21"/>
      <c r="L305" s="21" t="b">
        <f>IFERROR(__xludf.DUMMYFUNCTION("""COMPUTED_VALUE"""),FALSE)</f>
        <v>0</v>
      </c>
      <c r="M305" s="21" t="b">
        <f>IFERROR(__xludf.DUMMYFUNCTION("""COMPUTED_VALUE"""),FALSE)</f>
        <v>0</v>
      </c>
      <c r="N305" s="1"/>
      <c r="O305" s="1"/>
      <c r="P305" s="1"/>
      <c r="Q305" s="1"/>
      <c r="R305" s="1"/>
      <c r="S305" s="1"/>
      <c r="T305" s="1"/>
      <c r="U305" s="1"/>
      <c r="V305" s="1"/>
      <c r="W305" s="1"/>
      <c r="X305" s="1"/>
      <c r="Y305" s="1"/>
      <c r="Z305" s="1"/>
    </row>
    <row r="306" ht="15.75" customHeight="1">
      <c r="A306" s="16" t="str">
        <f>IFERROR(__xludf.DUMMYFUNCTION("""COMPUTED_VALUE"""),"Reflect")</f>
        <v>Reflect</v>
      </c>
      <c r="B306" s="17">
        <f>IFERROR(__xludf.DUMMYFUNCTION("""COMPUTED_VALUE"""),2.0)</f>
        <v>2</v>
      </c>
      <c r="C306" s="16">
        <f>IFERROR(__xludf.DUMMYFUNCTION("""COMPUTED_VALUE"""),20.0)</f>
        <v>20</v>
      </c>
      <c r="D306" s="16"/>
      <c r="E306" s="16" t="str">
        <f>IFERROR(__xludf.DUMMYFUNCTION("""COMPUTED_VALUE"""),"Inflict Half the damage you take from the next attack on the attacker")</f>
        <v>Inflict Half the damage you take from the next attack on the attacker</v>
      </c>
      <c r="F306" s="16" t="str">
        <f>IFERROR(__xludf.DUMMYFUNCTION("""COMPUTED_VALUE"""),"Fail/succeed")</f>
        <v>Fail/succeed</v>
      </c>
      <c r="G306" s="18"/>
      <c r="H306" s="49" t="str">
        <f>IFERROR(__xludf.DUMMYFUNCTION("""COMPUTED_VALUE"""),"Order")</f>
        <v>Order</v>
      </c>
      <c r="I306" s="20" t="str">
        <f>IFERROR(__xludf.DUMMYFUNCTION("""COMPUTED_VALUE"""),"Player")</f>
        <v>Player</v>
      </c>
      <c r="J306" s="21" t="b">
        <f>IFERROR(__xludf.DUMMYFUNCTION("""COMPUTED_VALUE"""),FALSE)</f>
        <v>0</v>
      </c>
      <c r="K306" s="21"/>
      <c r="L306" s="21" t="b">
        <f>IFERROR(__xludf.DUMMYFUNCTION("""COMPUTED_VALUE"""),FALSE)</f>
        <v>0</v>
      </c>
      <c r="M306" s="21" t="b">
        <f>IFERROR(__xludf.DUMMYFUNCTION("""COMPUTED_VALUE"""),FALSE)</f>
        <v>0</v>
      </c>
      <c r="N306" s="1"/>
      <c r="O306" s="1"/>
      <c r="P306" s="1"/>
      <c r="Q306" s="1"/>
      <c r="R306" s="1"/>
      <c r="S306" s="1"/>
      <c r="T306" s="1"/>
      <c r="U306" s="1"/>
      <c r="V306" s="1"/>
      <c r="W306" s="1"/>
      <c r="X306" s="1"/>
      <c r="Y306" s="1"/>
      <c r="Z306" s="1"/>
    </row>
    <row r="307" ht="15.75" customHeight="1">
      <c r="A307" s="16" t="str">
        <f>IFERROR(__xludf.DUMMYFUNCTION("""COMPUTED_VALUE"""),"Stat Swap")</f>
        <v>Stat Swap</v>
      </c>
      <c r="B307" s="17">
        <f>IFERROR(__xludf.DUMMYFUNCTION("""COMPUTED_VALUE"""),9.0)</f>
        <v>9</v>
      </c>
      <c r="C307" s="22">
        <f>IFERROR(__xludf.DUMMYFUNCTION("""COMPUTED_VALUE"""),300.0)</f>
        <v>300</v>
      </c>
      <c r="D307" s="16"/>
      <c r="E307" s="16" t="str">
        <f>IFERROR(__xludf.DUMMYFUNCTION("""COMPUTED_VALUE"""),"Swap your attack and defense with 1 other targets attack and defense.")</f>
        <v>Swap your attack and defense with 1 other targets attack and defense.</v>
      </c>
      <c r="F307" s="16" t="str">
        <f>IFERROR(__xludf.DUMMYFUNCTION("""COMPUTED_VALUE"""),"Fail/Succeed")</f>
        <v>Fail/Succeed</v>
      </c>
      <c r="G307" s="18">
        <f>IFERROR(__xludf.DUMMYFUNCTION("""COMPUTED_VALUE"""),1.0)</f>
        <v>1</v>
      </c>
      <c r="H307" s="49" t="str">
        <f>IFERROR(__xludf.DUMMYFUNCTION("""COMPUTED_VALUE"""),"Order")</f>
        <v>Order</v>
      </c>
      <c r="I307" s="20" t="str">
        <f>IFERROR(__xludf.DUMMYFUNCTION("""COMPUTED_VALUE"""),"Player")</f>
        <v>Player</v>
      </c>
      <c r="J307" s="21" t="b">
        <f>IFERROR(__xludf.DUMMYFUNCTION("""COMPUTED_VALUE"""),TRUE)</f>
        <v>1</v>
      </c>
      <c r="K307" s="21" t="str">
        <f>IFERROR(__xludf.DUMMYFUNCTION("""COMPUTED_VALUE"""),"shop spell")</f>
        <v>shop spell</v>
      </c>
      <c r="L307" s="21" t="b">
        <f>IFERROR(__xludf.DUMMYFUNCTION("""COMPUTED_VALUE"""),FALSE)</f>
        <v>0</v>
      </c>
      <c r="M307" s="21" t="b">
        <f>IFERROR(__xludf.DUMMYFUNCTION("""COMPUTED_VALUE"""),FALSE)</f>
        <v>0</v>
      </c>
      <c r="N307" s="1"/>
      <c r="O307" s="1"/>
      <c r="P307" s="1"/>
      <c r="Q307" s="1"/>
      <c r="R307" s="1"/>
      <c r="S307" s="1"/>
      <c r="T307" s="1"/>
      <c r="U307" s="1"/>
      <c r="V307" s="1"/>
      <c r="W307" s="1"/>
      <c r="X307" s="1"/>
      <c r="Y307" s="1"/>
      <c r="Z307" s="1"/>
    </row>
    <row r="308" ht="15.75" customHeight="1">
      <c r="A308" s="16" t="str">
        <f>IFERROR(__xludf.DUMMYFUNCTION("""COMPUTED_VALUE"""),"Strong Ward")</f>
        <v>Strong Ward</v>
      </c>
      <c r="B308" s="17">
        <f>IFERROR(__xludf.DUMMYFUNCTION("""COMPUTED_VALUE"""),9.0)</f>
        <v>9</v>
      </c>
      <c r="C308" s="16">
        <f>IFERROR(__xludf.DUMMYFUNCTION("""COMPUTED_VALUE"""),300.0)</f>
        <v>300</v>
      </c>
      <c r="D308" s="16"/>
      <c r="E30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16" t="str">
        <f>IFERROR(__xludf.DUMMYFUNCTION("""COMPUTED_VALUE"""),"Fail/succeed")</f>
        <v>Fail/succeed</v>
      </c>
      <c r="G308" s="18"/>
      <c r="H308" s="49" t="str">
        <f>IFERROR(__xludf.DUMMYFUNCTION("""COMPUTED_VALUE"""),"Order")</f>
        <v>Order</v>
      </c>
      <c r="I308" s="20" t="str">
        <f>IFERROR(__xludf.DUMMYFUNCTION("""COMPUTED_VALUE"""),"Player")</f>
        <v>Player</v>
      </c>
      <c r="J308" s="21" t="b">
        <f>IFERROR(__xludf.DUMMYFUNCTION("""COMPUTED_VALUE"""),FALSE)</f>
        <v>0</v>
      </c>
      <c r="K308" s="21"/>
      <c r="L308" s="21" t="b">
        <f>IFERROR(__xludf.DUMMYFUNCTION("""COMPUTED_VALUE"""),FALSE)</f>
        <v>0</v>
      </c>
      <c r="M308" s="21" t="b">
        <f>IFERROR(__xludf.DUMMYFUNCTION("""COMPUTED_VALUE"""),FALSE)</f>
        <v>0</v>
      </c>
      <c r="N308" s="1"/>
      <c r="O308" s="1"/>
      <c r="P308" s="1"/>
      <c r="Q308" s="1"/>
      <c r="R308" s="1"/>
      <c r="S308" s="1"/>
      <c r="T308" s="1"/>
      <c r="U308" s="1"/>
      <c r="V308" s="1"/>
      <c r="W308" s="1"/>
      <c r="X308" s="1"/>
      <c r="Y308" s="1"/>
      <c r="Z308" s="1"/>
    </row>
    <row r="309" ht="15.75" customHeight="1">
      <c r="A309" s="16" t="str">
        <f>IFERROR(__xludf.DUMMYFUNCTION("""COMPUTED_VALUE"""),"Tower Of Truth")</f>
        <v>Tower Of Truth</v>
      </c>
      <c r="B309" s="17">
        <f>IFERROR(__xludf.DUMMYFUNCTION("""COMPUTED_VALUE"""),8.0)</f>
        <v>8</v>
      </c>
      <c r="C309" s="16">
        <f>IFERROR(__xludf.DUMMYFUNCTION("""COMPUTED_VALUE"""),200.0)</f>
        <v>200</v>
      </c>
      <c r="D309" s="16"/>
      <c r="E309"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16" t="str">
        <f>IFERROR(__xludf.DUMMYFUNCTION("""COMPUTED_VALUE"""),"Fail/succeed")</f>
        <v>Fail/succeed</v>
      </c>
      <c r="G309" s="18">
        <f>IFERROR(__xludf.DUMMYFUNCTION("""COMPUTED_VALUE"""),1.0)</f>
        <v>1</v>
      </c>
      <c r="H309" s="50" t="str">
        <f>IFERROR(__xludf.DUMMYFUNCTION("""COMPUTED_VALUE"""),"Order")</f>
        <v>Order</v>
      </c>
      <c r="I309" s="20" t="str">
        <f>IFERROR(__xludf.DUMMYFUNCTION("""COMPUTED_VALUE"""),"Player")</f>
        <v>Player</v>
      </c>
      <c r="J309" s="21" t="b">
        <f>IFERROR(__xludf.DUMMYFUNCTION("""COMPUTED_VALUE"""),FALSE)</f>
        <v>0</v>
      </c>
      <c r="K309" s="51"/>
      <c r="L309" s="21" t="b">
        <f>IFERROR(__xludf.DUMMYFUNCTION("""COMPUTED_VALUE"""),FALSE)</f>
        <v>0</v>
      </c>
      <c r="M309" s="21" t="b">
        <f>IFERROR(__xludf.DUMMYFUNCTION("""COMPUTED_VALUE"""),FALSE)</f>
        <v>0</v>
      </c>
      <c r="N309" s="1"/>
      <c r="O309" s="1"/>
      <c r="P309" s="1"/>
      <c r="Q309" s="1"/>
      <c r="R309" s="1"/>
      <c r="S309" s="1"/>
      <c r="T309" s="1"/>
      <c r="U309" s="1"/>
      <c r="V309" s="1"/>
      <c r="W309" s="1"/>
      <c r="X309" s="1"/>
      <c r="Y309" s="1"/>
      <c r="Z309" s="1"/>
    </row>
    <row r="310" ht="15.75" customHeight="1">
      <c r="A310" s="16" t="str">
        <f>IFERROR(__xludf.DUMMYFUNCTION("""COMPUTED_VALUE"""),"Ward")</f>
        <v>Ward</v>
      </c>
      <c r="B310" s="17">
        <f>IFERROR(__xludf.DUMMYFUNCTION("""COMPUTED_VALUE"""),6.0)</f>
        <v>6</v>
      </c>
      <c r="C310" s="16">
        <f>IFERROR(__xludf.DUMMYFUNCTION("""COMPUTED_VALUE"""),60.0)</f>
        <v>60</v>
      </c>
      <c r="D310" s="16"/>
      <c r="E310"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16" t="str">
        <f>IFERROR(__xludf.DUMMYFUNCTION("""COMPUTED_VALUE"""),"Fail/succeed")</f>
        <v>Fail/succeed</v>
      </c>
      <c r="G310" s="18"/>
      <c r="H310" s="50" t="str">
        <f>IFERROR(__xludf.DUMMYFUNCTION("""COMPUTED_VALUE"""),"Order")</f>
        <v>Order</v>
      </c>
      <c r="I310" s="20" t="str">
        <f>IFERROR(__xludf.DUMMYFUNCTION("""COMPUTED_VALUE"""),"Player")</f>
        <v>Player</v>
      </c>
      <c r="J310" s="21" t="b">
        <f>IFERROR(__xludf.DUMMYFUNCTION("""COMPUTED_VALUE"""),FALSE)</f>
        <v>0</v>
      </c>
      <c r="K310" s="51"/>
      <c r="L310" s="21" t="b">
        <f>IFERROR(__xludf.DUMMYFUNCTION("""COMPUTED_VALUE"""),FALSE)</f>
        <v>0</v>
      </c>
      <c r="M310" s="21" t="b">
        <f>IFERROR(__xludf.DUMMYFUNCTION("""COMPUTED_VALUE"""),FALSE)</f>
        <v>0</v>
      </c>
      <c r="N310" s="1"/>
      <c r="O310" s="1"/>
      <c r="P310" s="1"/>
      <c r="Q310" s="1"/>
      <c r="R310" s="1"/>
      <c r="S310" s="1"/>
      <c r="T310" s="1"/>
      <c r="U310" s="1"/>
      <c r="V310" s="1"/>
      <c r="W310" s="1"/>
      <c r="X310" s="1"/>
      <c r="Y310" s="1"/>
      <c r="Z310" s="1"/>
    </row>
    <row r="311" ht="15.75" customHeight="1">
      <c r="A311" s="16" t="str">
        <f>IFERROR(__xludf.DUMMYFUNCTION("""COMPUTED_VALUE"""),"Call of the Paladin (Player)")</f>
        <v>Call of the Paladin (Player)</v>
      </c>
      <c r="B311" s="17">
        <f>IFERROR(__xludf.DUMMYFUNCTION("""COMPUTED_VALUE"""),1.0)</f>
        <v>1</v>
      </c>
      <c r="C311" s="16">
        <f>IFERROR(__xludf.DUMMYFUNCTION("""COMPUTED_VALUE"""),0.0)</f>
        <v>0</v>
      </c>
      <c r="D311" s="16"/>
      <c r="E311" s="16" t="str">
        <f>IFERROR(__xludf.DUMMYFUNCTION("""COMPUTED_VALUE"""),"Summons a single paladin from the same order as you who's level is the same as yours.")</f>
        <v>Summons a single paladin from the same order as you who's level is the same as yours.</v>
      </c>
      <c r="F311" s="16" t="str">
        <f>IFERROR(__xludf.DUMMYFUNCTION("""COMPUTED_VALUE"""),"Natural/Fail or Succeed")</f>
        <v>Natural/Fail or Succeed</v>
      </c>
      <c r="G311" s="18" t="str">
        <f>IFERROR(__xludf.DUMMYFUNCTION("""COMPUTED_VALUE"""),"Self")</f>
        <v>Self</v>
      </c>
      <c r="H311" s="50" t="str">
        <f>IFERROR(__xludf.DUMMYFUNCTION("""COMPUTED_VALUE"""),"Order")</f>
        <v>Order</v>
      </c>
      <c r="I311" s="20" t="str">
        <f>IFERROR(__xludf.DUMMYFUNCTION("""COMPUTED_VALUE"""),"Player")</f>
        <v>Player</v>
      </c>
      <c r="J311" s="21" t="b">
        <f>IFERROR(__xludf.DUMMYFUNCTION("""COMPUTED_VALUE"""),TRUE)</f>
        <v>1</v>
      </c>
      <c r="K311" s="51" t="str">
        <f>IFERROR(__xludf.DUMMYFUNCTION("""COMPUTED_VALUE"""),"Paladin exclusive")</f>
        <v>Paladin exclusive</v>
      </c>
      <c r="L311" s="21" t="b">
        <f>IFERROR(__xludf.DUMMYFUNCTION("""COMPUTED_VALUE"""),FALSE)</f>
        <v>0</v>
      </c>
      <c r="M311" s="21" t="b">
        <f>IFERROR(__xludf.DUMMYFUNCTION("""COMPUTED_VALUE"""),FALSE)</f>
        <v>0</v>
      </c>
      <c r="N311" s="1"/>
      <c r="O311" s="1"/>
      <c r="P311" s="1"/>
      <c r="Q311" s="1"/>
      <c r="R311" s="1"/>
      <c r="S311" s="1"/>
      <c r="T311" s="1"/>
      <c r="U311" s="1"/>
      <c r="V311" s="1"/>
      <c r="W311" s="1"/>
      <c r="X311" s="1"/>
      <c r="Y311" s="1"/>
      <c r="Z311" s="1"/>
    </row>
    <row r="312" ht="15.75" customHeight="1">
      <c r="A312" s="16" t="str">
        <f>IFERROR(__xludf.DUMMYFUNCTION("""COMPUTED_VALUE"""),"Aura Shot")</f>
        <v>Aura Shot</v>
      </c>
      <c r="B312" s="17">
        <f>IFERROR(__xludf.DUMMYFUNCTION("""COMPUTED_VALUE"""),1.0)</f>
        <v>1</v>
      </c>
      <c r="C312" s="16" t="str">
        <f>IFERROR(__xludf.DUMMYFUNCTION("""COMPUTED_VALUE"""),"X")</f>
        <v>X</v>
      </c>
      <c r="D312" s="16"/>
      <c r="E312" s="16" t="str">
        <f>IFERROR(__xludf.DUMMYFUNCTION("""COMPUTED_VALUE"""),"Deals X*100 Order damage to a single enemy where X is equal to SP spent.")</f>
        <v>Deals X*100 Order damage to a single enemy where X is equal to SP spent.</v>
      </c>
      <c r="F312" s="16" t="str">
        <f>IFERROR(__xludf.DUMMYFUNCTION("""COMPUTED_VALUE"""),"Hit/Miss")</f>
        <v>Hit/Miss</v>
      </c>
      <c r="G312" s="18">
        <f>IFERROR(__xludf.DUMMYFUNCTION("""COMPUTED_VALUE"""),1.0)</f>
        <v>1</v>
      </c>
      <c r="H312" s="50" t="str">
        <f>IFERROR(__xludf.DUMMYFUNCTION("""COMPUTED_VALUE"""),"Order")</f>
        <v>Order</v>
      </c>
      <c r="I312" s="20" t="str">
        <f>IFERROR(__xludf.DUMMYFUNCTION("""COMPUTED_VALUE"""),"Player")</f>
        <v>Player</v>
      </c>
      <c r="J312" s="21" t="b">
        <f>IFERROR(__xludf.DUMMYFUNCTION("""COMPUTED_VALUE"""),FALSE)</f>
        <v>0</v>
      </c>
      <c r="K312" s="51"/>
      <c r="L312" s="21" t="b">
        <f>IFERROR(__xludf.DUMMYFUNCTION("""COMPUTED_VALUE"""),FALSE)</f>
        <v>0</v>
      </c>
      <c r="M312" s="21" t="b">
        <f>IFERROR(__xludf.DUMMYFUNCTION("""COMPUTED_VALUE"""),FALSE)</f>
        <v>0</v>
      </c>
      <c r="N312" s="1"/>
      <c r="O312" s="1"/>
      <c r="P312" s="1"/>
      <c r="Q312" s="1"/>
      <c r="R312" s="1"/>
      <c r="S312" s="1"/>
      <c r="T312" s="1"/>
      <c r="U312" s="1"/>
      <c r="V312" s="1"/>
      <c r="W312" s="1"/>
      <c r="X312" s="1"/>
      <c r="Y312" s="1"/>
      <c r="Z312" s="1"/>
    </row>
    <row r="313" ht="15.75" customHeight="1">
      <c r="A313" s="16" t="str">
        <f>IFERROR(__xludf.DUMMYFUNCTION("""COMPUTED_VALUE"""),"Judgement")</f>
        <v>Judgement</v>
      </c>
      <c r="B313" s="17">
        <f>IFERROR(__xludf.DUMMYFUNCTION("""COMPUTED_VALUE"""),5.0)</f>
        <v>5</v>
      </c>
      <c r="C313" s="16" t="str">
        <f>IFERROR(__xludf.DUMMYFUNCTION("""COMPUTED_VALUE"""),"X")</f>
        <v>X</v>
      </c>
      <c r="D313" s="16"/>
      <c r="E313" s="16" t="str">
        <f>IFERROR(__xludf.DUMMYFUNCTION("""COMPUTED_VALUE"""),"Deals X*50 Order damage per round for 3 rounds to a single target where X is equal to SP spent.")</f>
        <v>Deals X*50 Order damage per round for 3 rounds to a single target where X is equal to SP spent.</v>
      </c>
      <c r="F313" s="16" t="str">
        <f>IFERROR(__xludf.DUMMYFUNCTION("""COMPUTED_VALUE"""),"Hit/Miss")</f>
        <v>Hit/Miss</v>
      </c>
      <c r="G313" s="18">
        <f>IFERROR(__xludf.DUMMYFUNCTION("""COMPUTED_VALUE"""),1.0)</f>
        <v>1</v>
      </c>
      <c r="H313" s="50" t="str">
        <f>IFERROR(__xludf.DUMMYFUNCTION("""COMPUTED_VALUE"""),"Order")</f>
        <v>Order</v>
      </c>
      <c r="I313" s="20" t="str">
        <f>IFERROR(__xludf.DUMMYFUNCTION("""COMPUTED_VALUE"""),"Player")</f>
        <v>Player</v>
      </c>
      <c r="J313" s="21" t="b">
        <f>IFERROR(__xludf.DUMMYFUNCTION("""COMPUTED_VALUE"""),FALSE)</f>
        <v>0</v>
      </c>
      <c r="K313" s="51"/>
      <c r="L313" s="21" t="b">
        <f>IFERROR(__xludf.DUMMYFUNCTION("""COMPUTED_VALUE"""),FALSE)</f>
        <v>0</v>
      </c>
      <c r="M313" s="21" t="b">
        <f>IFERROR(__xludf.DUMMYFUNCTION("""COMPUTED_VALUE"""),FALSE)</f>
        <v>0</v>
      </c>
      <c r="N313" s="1"/>
      <c r="O313" s="1"/>
      <c r="P313" s="1"/>
      <c r="Q313" s="1"/>
      <c r="R313" s="1"/>
      <c r="S313" s="1"/>
      <c r="T313" s="1"/>
      <c r="U313" s="1"/>
      <c r="V313" s="1"/>
      <c r="W313" s="1"/>
      <c r="X313" s="1"/>
      <c r="Y313" s="1"/>
      <c r="Z313" s="1"/>
    </row>
    <row r="314" ht="15.75" customHeight="1">
      <c r="A314" s="16" t="str">
        <f>IFERROR(__xludf.DUMMYFUNCTION("""COMPUTED_VALUE"""),"Aura of Order")</f>
        <v>Aura of Order</v>
      </c>
      <c r="B314" s="17">
        <f>IFERROR(__xludf.DUMMYFUNCTION("""COMPUTED_VALUE"""),5.0)</f>
        <v>5</v>
      </c>
      <c r="C314" s="16" t="str">
        <f>IFERROR(__xludf.DUMMYFUNCTION("""COMPUTED_VALUE"""),"X")</f>
        <v>X</v>
      </c>
      <c r="D314" s="16"/>
      <c r="E314" s="16" t="str">
        <f>IFERROR(__xludf.DUMMYFUNCTION("""COMPUTED_VALUE"""),"Deals X*25 Order damage to all enemies where X is equal to SP spent.")</f>
        <v>Deals X*25 Order damage to all enemies where X is equal to SP spent.</v>
      </c>
      <c r="F314" s="16" t="str">
        <f>IFERROR(__xludf.DUMMYFUNCTION("""COMPUTED_VALUE"""),"Cannot Avoid")</f>
        <v>Cannot Avoid</v>
      </c>
      <c r="G314" s="18" t="str">
        <f>IFERROR(__xludf.DUMMYFUNCTION("""COMPUTED_VALUE"""),"All")</f>
        <v>All</v>
      </c>
      <c r="H314" s="50" t="str">
        <f>IFERROR(__xludf.DUMMYFUNCTION("""COMPUTED_VALUE"""),"Order")</f>
        <v>Order</v>
      </c>
      <c r="I314" s="20" t="str">
        <f>IFERROR(__xludf.DUMMYFUNCTION("""COMPUTED_VALUE"""),"Player")</f>
        <v>Player</v>
      </c>
      <c r="J314" s="21" t="b">
        <f>IFERROR(__xludf.DUMMYFUNCTION("""COMPUTED_VALUE"""),FALSE)</f>
        <v>0</v>
      </c>
      <c r="K314" s="51"/>
      <c r="L314" s="21" t="b">
        <f>IFERROR(__xludf.DUMMYFUNCTION("""COMPUTED_VALUE"""),FALSE)</f>
        <v>0</v>
      </c>
      <c r="M314" s="21" t="b">
        <f>IFERROR(__xludf.DUMMYFUNCTION("""COMPUTED_VALUE"""),FALSE)</f>
        <v>0</v>
      </c>
      <c r="N314" s="1"/>
      <c r="O314" s="1"/>
      <c r="P314" s="1"/>
      <c r="Q314" s="1"/>
      <c r="R314" s="1"/>
      <c r="S314" s="1"/>
      <c r="T314" s="1"/>
      <c r="U314" s="1"/>
      <c r="V314" s="1"/>
      <c r="W314" s="1"/>
      <c r="X314" s="1"/>
      <c r="Y314" s="1"/>
      <c r="Z314" s="1"/>
    </row>
    <row r="315" ht="15.75" customHeight="1">
      <c r="A315" s="16" t="str">
        <f>IFERROR(__xludf.DUMMYFUNCTION("""COMPUTED_VALUE"""),"Mass Judgement")</f>
        <v>Mass Judgement</v>
      </c>
      <c r="B315" s="17">
        <f>IFERROR(__xludf.DUMMYFUNCTION("""COMPUTED_VALUE"""),6.0)</f>
        <v>6</v>
      </c>
      <c r="C315" s="16" t="str">
        <f>IFERROR(__xludf.DUMMYFUNCTION("""COMPUTED_VALUE"""),"X")</f>
        <v>X</v>
      </c>
      <c r="D315" s="16"/>
      <c r="E315" s="16" t="str">
        <f>IFERROR(__xludf.DUMMYFUNCTION("""COMPUTED_VALUE"""),"Deals X*10 Order damage per round to all enemies for 3 rounds where X is equal to SP spent.")</f>
        <v>Deals X*10 Order damage per round to all enemies for 3 rounds where X is equal to SP spent.</v>
      </c>
      <c r="F315" s="16" t="str">
        <f>IFERROR(__xludf.DUMMYFUNCTION("""COMPUTED_VALUE"""),"Cannot Avoid")</f>
        <v>Cannot Avoid</v>
      </c>
      <c r="G315" s="18" t="str">
        <f>IFERROR(__xludf.DUMMYFUNCTION("""COMPUTED_VALUE"""),"All")</f>
        <v>All</v>
      </c>
      <c r="H315" s="50" t="str">
        <f>IFERROR(__xludf.DUMMYFUNCTION("""COMPUTED_VALUE"""),"Order")</f>
        <v>Order</v>
      </c>
      <c r="I315" s="20" t="str">
        <f>IFERROR(__xludf.DUMMYFUNCTION("""COMPUTED_VALUE"""),"Player")</f>
        <v>Player</v>
      </c>
      <c r="J315" s="21" t="b">
        <f>IFERROR(__xludf.DUMMYFUNCTION("""COMPUTED_VALUE"""),FALSE)</f>
        <v>0</v>
      </c>
      <c r="K315" s="51"/>
      <c r="L315" s="21" t="b">
        <f>IFERROR(__xludf.DUMMYFUNCTION("""COMPUTED_VALUE"""),FALSE)</f>
        <v>0</v>
      </c>
      <c r="M315" s="21" t="b">
        <f>IFERROR(__xludf.DUMMYFUNCTION("""COMPUTED_VALUE"""),FALSE)</f>
        <v>0</v>
      </c>
      <c r="N315" s="1"/>
      <c r="O315" s="1"/>
      <c r="P315" s="1"/>
      <c r="Q315" s="1"/>
      <c r="R315" s="1"/>
      <c r="S315" s="1"/>
      <c r="T315" s="1"/>
      <c r="U315" s="1"/>
      <c r="V315" s="1"/>
      <c r="W315" s="1"/>
      <c r="X315" s="1"/>
      <c r="Y315" s="1"/>
      <c r="Z315" s="1"/>
    </row>
    <row r="316" ht="15.75" customHeight="1">
      <c r="A316" s="16" t="str">
        <f>IFERROR(__xludf.DUMMYFUNCTION("""COMPUTED_VALUE"""),"[Element] Strike")</f>
        <v>[Element] Strike</v>
      </c>
      <c r="B316" s="17">
        <f>IFERROR(__xludf.DUMMYFUNCTION("""COMPUTED_VALUE"""),4.0)</f>
        <v>4</v>
      </c>
      <c r="C316" s="16">
        <f>IFERROR(__xludf.DUMMYFUNCTION("""COMPUTED_VALUE"""),40.0)</f>
        <v>40</v>
      </c>
      <c r="D316" s="16"/>
      <c r="E31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16" t="str">
        <f>IFERROR(__xludf.DUMMYFUNCTION("""COMPUTED_VALUE"""),"Fail/succeed")</f>
        <v>Fail/succeed</v>
      </c>
      <c r="G316" s="18"/>
      <c r="H316" s="50" t="str">
        <f>IFERROR(__xludf.DUMMYFUNCTION("""COMPUTED_VALUE"""),"Physical")</f>
        <v>Physical</v>
      </c>
      <c r="I316" s="20" t="str">
        <f>IFERROR(__xludf.DUMMYFUNCTION("""COMPUTED_VALUE"""),"Player")</f>
        <v>Player</v>
      </c>
      <c r="J316" s="21" t="b">
        <f>IFERROR(__xludf.DUMMYFUNCTION("""COMPUTED_VALUE"""),FALSE)</f>
        <v>0</v>
      </c>
      <c r="K316" s="51"/>
      <c r="L316" s="21" t="b">
        <f>IFERROR(__xludf.DUMMYFUNCTION("""COMPUTED_VALUE"""),FALSE)</f>
        <v>0</v>
      </c>
      <c r="M316" s="21" t="b">
        <f>IFERROR(__xludf.DUMMYFUNCTION("""COMPUTED_VALUE"""),TRUE)</f>
        <v>1</v>
      </c>
      <c r="N316" s="1"/>
      <c r="O316" s="1"/>
      <c r="P316" s="1"/>
      <c r="Q316" s="1"/>
      <c r="R316" s="1"/>
      <c r="S316" s="1"/>
      <c r="T316" s="1"/>
      <c r="U316" s="1"/>
      <c r="V316" s="1"/>
      <c r="W316" s="1"/>
      <c r="X316" s="1"/>
      <c r="Y316" s="1"/>
      <c r="Z316" s="1"/>
    </row>
    <row r="317" ht="15.75" customHeight="1">
      <c r="A317" s="16" t="str">
        <f>IFERROR(__xludf.DUMMYFUNCTION("""COMPUTED_VALUE"""),"Absorb")</f>
        <v>Absorb</v>
      </c>
      <c r="B317" s="17">
        <f>IFERROR(__xludf.DUMMYFUNCTION("""COMPUTED_VALUE"""),1.0)</f>
        <v>1</v>
      </c>
      <c r="C317" s="22">
        <f>IFERROR(__xludf.DUMMYFUNCTION("""COMPUTED_VALUE"""),0.0)</f>
        <v>0</v>
      </c>
      <c r="D317" s="16"/>
      <c r="E317" s="16" t="str">
        <f>IFERROR(__xludf.DUMMYFUNCTION("""COMPUTED_VALUE"""),"Absorb an item of choice.")</f>
        <v>Absorb an item of choice.</v>
      </c>
      <c r="F317" s="16" t="str">
        <f>IFERROR(__xludf.DUMMYFUNCTION("""COMPUTED_VALUE"""),"Natural/Fail or Succeed")</f>
        <v>Natural/Fail or Succeed</v>
      </c>
      <c r="G317" s="18">
        <f>IFERROR(__xludf.DUMMYFUNCTION("""COMPUTED_VALUE"""),1.0)</f>
        <v>1</v>
      </c>
      <c r="H317" s="50" t="str">
        <f>IFERROR(__xludf.DUMMYFUNCTION("""COMPUTED_VALUE"""),"Physical")</f>
        <v>Physical</v>
      </c>
      <c r="I317" s="20" t="str">
        <f>IFERROR(__xludf.DUMMYFUNCTION("""COMPUTED_VALUE"""),"Mob")</f>
        <v>Mob</v>
      </c>
      <c r="J317" s="21" t="b">
        <f>IFERROR(__xludf.DUMMYFUNCTION("""COMPUTED_VALUE"""),TRUE)</f>
        <v>1</v>
      </c>
      <c r="K317" s="51"/>
      <c r="L317" s="21" t="b">
        <f>IFERROR(__xludf.DUMMYFUNCTION("""COMPUTED_VALUE"""),FALSE)</f>
        <v>0</v>
      </c>
      <c r="M317" s="21" t="b">
        <f>IFERROR(__xludf.DUMMYFUNCTION("""COMPUTED_VALUE"""),FALSE)</f>
        <v>0</v>
      </c>
      <c r="N317" s="1"/>
      <c r="O317" s="1"/>
      <c r="P317" s="1"/>
      <c r="Q317" s="1"/>
      <c r="R317" s="1"/>
      <c r="S317" s="1"/>
      <c r="T317" s="1"/>
      <c r="U317" s="1"/>
      <c r="V317" s="1"/>
      <c r="W317" s="1"/>
      <c r="X317" s="1"/>
      <c r="Y317" s="1"/>
      <c r="Z317" s="1"/>
    </row>
    <row r="318" ht="15.75" customHeight="1">
      <c r="A318" s="16" t="str">
        <f>IFERROR(__xludf.DUMMYFUNCTION("""COMPUTED_VALUE"""),"Absorb Enemy ")</f>
        <v>Absorb Enemy </v>
      </c>
      <c r="B318" s="17">
        <f>IFERROR(__xludf.DUMMYFUNCTION("""COMPUTED_VALUE"""),1.0)</f>
        <v>1</v>
      </c>
      <c r="C318" s="22">
        <f>IFERROR(__xludf.DUMMYFUNCTION("""COMPUTED_VALUE"""),0.0)</f>
        <v>0</v>
      </c>
      <c r="D318" s="16"/>
      <c r="E318" s="16" t="str">
        <f>IFERROR(__xludf.DUMMYFUNCTION("""COMPUTED_VALUE"""),"Absorb a targeted enemy of choice, The target cannot perform its turn orders while absorbed.")</f>
        <v>Absorb a targeted enemy of choice, The target cannot perform its turn orders while absorbed.</v>
      </c>
      <c r="F318" s="16" t="str">
        <f>IFERROR(__xludf.DUMMYFUNCTION("""COMPUTED_VALUE"""),"Natural/Hit or Miss")</f>
        <v>Natural/Hit or Miss</v>
      </c>
      <c r="G318" s="18">
        <f>IFERROR(__xludf.DUMMYFUNCTION("""COMPUTED_VALUE"""),1.0)</f>
        <v>1</v>
      </c>
      <c r="H318" s="50" t="str">
        <f>IFERROR(__xludf.DUMMYFUNCTION("""COMPUTED_VALUE"""),"Physical")</f>
        <v>Physical</v>
      </c>
      <c r="I318" s="20" t="str">
        <f>IFERROR(__xludf.DUMMYFUNCTION("""COMPUTED_VALUE"""),"Mob")</f>
        <v>Mob</v>
      </c>
      <c r="J318" s="21" t="b">
        <f>IFERROR(__xludf.DUMMYFUNCTION("""COMPUTED_VALUE"""),TRUE)</f>
        <v>1</v>
      </c>
      <c r="K318" s="51"/>
      <c r="L318" s="21" t="b">
        <f>IFERROR(__xludf.DUMMYFUNCTION("""COMPUTED_VALUE"""),FALSE)</f>
        <v>0</v>
      </c>
      <c r="M318" s="21" t="b">
        <f>IFERROR(__xludf.DUMMYFUNCTION("""COMPUTED_VALUE"""),FALSE)</f>
        <v>0</v>
      </c>
      <c r="N318" s="1"/>
      <c r="O318" s="1"/>
      <c r="P318" s="1"/>
      <c r="Q318" s="1"/>
      <c r="R318" s="1"/>
      <c r="S318" s="1"/>
      <c r="T318" s="1"/>
      <c r="U318" s="1"/>
      <c r="V318" s="1"/>
      <c r="W318" s="1"/>
      <c r="X318" s="1"/>
      <c r="Y318" s="1"/>
      <c r="Z318" s="1"/>
    </row>
    <row r="319" ht="15.75" customHeight="1">
      <c r="A319" s="16" t="str">
        <f>IFERROR(__xludf.DUMMYFUNCTION("""COMPUTED_VALUE"""),"Aggressive Chomp")</f>
        <v>Aggressive Chomp</v>
      </c>
      <c r="B319" s="17">
        <f>IFERROR(__xludf.DUMMYFUNCTION("""COMPUTED_VALUE"""),1.0)</f>
        <v>1</v>
      </c>
      <c r="C319" s="22">
        <f>IFERROR(__xludf.DUMMYFUNCTION("""COMPUTED_VALUE"""),0.0)</f>
        <v>0</v>
      </c>
      <c r="D319" s="16"/>
      <c r="E319" s="16" t="str">
        <f>IFERROR(__xludf.DUMMYFUNCTION("""COMPUTED_VALUE"""),"20000 damage, 20000 water damage to all enemies")</f>
        <v>20000 damage, 20000 water damage to all enemies</v>
      </c>
      <c r="F319" s="16" t="str">
        <f>IFERROR(__xludf.DUMMYFUNCTION("""COMPUTED_VALUE"""),"Natural/Cannot Avoid")</f>
        <v>Natural/Cannot Avoid</v>
      </c>
      <c r="G319" s="18">
        <f>IFERROR(__xludf.DUMMYFUNCTION("""COMPUTED_VALUE"""),1.0)</f>
        <v>1</v>
      </c>
      <c r="H319" s="50" t="str">
        <f>IFERROR(__xludf.DUMMYFUNCTION("""COMPUTED_VALUE"""),"Physical")</f>
        <v>Physical</v>
      </c>
      <c r="I319" s="20" t="str">
        <f>IFERROR(__xludf.DUMMYFUNCTION("""COMPUTED_VALUE"""),"Mob")</f>
        <v>Mob</v>
      </c>
      <c r="J319" s="21" t="b">
        <f>IFERROR(__xludf.DUMMYFUNCTION("""COMPUTED_VALUE"""),TRUE)</f>
        <v>1</v>
      </c>
      <c r="K319" s="51"/>
      <c r="L319" s="21" t="b">
        <f>IFERROR(__xludf.DUMMYFUNCTION("""COMPUTED_VALUE"""),FALSE)</f>
        <v>0</v>
      </c>
      <c r="M319" s="21" t="b">
        <f>IFERROR(__xludf.DUMMYFUNCTION("""COMPUTED_VALUE"""),FALSE)</f>
        <v>0</v>
      </c>
      <c r="N319" s="1"/>
      <c r="O319" s="1"/>
      <c r="P319" s="1"/>
      <c r="Q319" s="1"/>
      <c r="R319" s="1"/>
      <c r="S319" s="1"/>
      <c r="T319" s="1"/>
      <c r="U319" s="1"/>
      <c r="V319" s="1"/>
      <c r="W319" s="1"/>
      <c r="X319" s="1"/>
      <c r="Y319" s="1"/>
      <c r="Z319" s="1"/>
    </row>
    <row r="320" ht="15.75" customHeight="1">
      <c r="A320" s="16" t="str">
        <f>IFERROR(__xludf.DUMMYFUNCTION("""COMPUTED_VALUE"""),"Arrest")</f>
        <v>Arrest</v>
      </c>
      <c r="B320" s="17">
        <f>IFERROR(__xludf.DUMMYFUNCTION("""COMPUTED_VALUE"""),1.0)</f>
        <v>1</v>
      </c>
      <c r="C320" s="22">
        <f>IFERROR(__xludf.DUMMYFUNCTION("""COMPUTED_VALUE"""),0.0)</f>
        <v>0</v>
      </c>
      <c r="D320" s="16"/>
      <c r="E320" s="16"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16" t="str">
        <f>IFERROR(__xludf.DUMMYFUNCTION("""COMPUTED_VALUE"""),"Natural/Hit or Miss.")</f>
        <v>Natural/Hit or Miss.</v>
      </c>
      <c r="G320" s="18">
        <f>IFERROR(__xludf.DUMMYFUNCTION("""COMPUTED_VALUE"""),1.0)</f>
        <v>1</v>
      </c>
      <c r="H320" s="52" t="str">
        <f>IFERROR(__xludf.DUMMYFUNCTION("""COMPUTED_VALUE"""),"Physical")</f>
        <v>Physical</v>
      </c>
      <c r="I320" s="20" t="str">
        <f>IFERROR(__xludf.DUMMYFUNCTION("""COMPUTED_VALUE"""),"Mob")</f>
        <v>Mob</v>
      </c>
      <c r="J320" s="21" t="b">
        <f>IFERROR(__xludf.DUMMYFUNCTION("""COMPUTED_VALUE"""),TRUE)</f>
        <v>1</v>
      </c>
      <c r="K320" s="21" t="str">
        <f>IFERROR(__xludf.DUMMYFUNCTION("""COMPUTED_VALUE"""),"Can only be optained by the Spira Guard ability")</f>
        <v>Can only be optained by the Spira Guard ability</v>
      </c>
      <c r="L320" s="21" t="b">
        <f>IFERROR(__xludf.DUMMYFUNCTION("""COMPUTED_VALUE"""),TRUE)</f>
        <v>1</v>
      </c>
      <c r="M320" s="21" t="b">
        <f>IFERROR(__xludf.DUMMYFUNCTION("""COMPUTED_VALUE"""),TRUE)</f>
        <v>1</v>
      </c>
      <c r="N320" s="1"/>
      <c r="O320" s="1"/>
      <c r="P320" s="1"/>
      <c r="Q320" s="1"/>
      <c r="R320" s="1"/>
      <c r="S320" s="1"/>
      <c r="T320" s="1"/>
      <c r="U320" s="1"/>
      <c r="V320" s="1"/>
      <c r="W320" s="1"/>
      <c r="X320" s="1"/>
      <c r="Y320" s="1"/>
      <c r="Z320" s="1"/>
    </row>
    <row r="321" ht="15.75" customHeight="1">
      <c r="A321" s="16" t="str">
        <f>IFERROR(__xludf.DUMMYFUNCTION("""COMPUTED_VALUE"""),"Bite")</f>
        <v>Bite</v>
      </c>
      <c r="B321" s="17">
        <f>IFERROR(__xludf.DUMMYFUNCTION("""COMPUTED_VALUE"""),1.0)</f>
        <v>1</v>
      </c>
      <c r="C321" s="16">
        <f>IFERROR(__xludf.DUMMYFUNCTION("""COMPUTED_VALUE"""),0.0)</f>
        <v>0</v>
      </c>
      <c r="D321" s="16"/>
      <c r="E321" s="16" t="str">
        <f>IFERROR(__xludf.DUMMYFUNCTION("""COMPUTED_VALUE"""),"X*2 damage of your primary element where X is equal to your attack. 50% chance to hit twice")</f>
        <v>X*2 damage of your primary element where X is equal to your attack. 50% chance to hit twice</v>
      </c>
      <c r="F321" s="16" t="str">
        <f>IFERROR(__xludf.DUMMYFUNCTION("""COMPUTED_VALUE"""),"Natural/Hit or Miss")</f>
        <v>Natural/Hit or Miss</v>
      </c>
      <c r="G321" s="18">
        <f>IFERROR(__xludf.DUMMYFUNCTION("""COMPUTED_VALUE"""),1.0)</f>
        <v>1</v>
      </c>
      <c r="H321" s="52" t="str">
        <f>IFERROR(__xludf.DUMMYFUNCTION("""COMPUTED_VALUE"""),"Physical")</f>
        <v>Physical</v>
      </c>
      <c r="I321" s="20" t="str">
        <f>IFERROR(__xludf.DUMMYFUNCTION("""COMPUTED_VALUE"""),"Player")</f>
        <v>Player</v>
      </c>
      <c r="J321" s="21" t="b">
        <f>IFERROR(__xludf.DUMMYFUNCTION("""COMPUTED_VALUE"""),FALSE)</f>
        <v>0</v>
      </c>
      <c r="K321" s="21"/>
      <c r="L321" s="21" t="b">
        <f>IFERROR(__xludf.DUMMYFUNCTION("""COMPUTED_VALUE"""),FALSE)</f>
        <v>0</v>
      </c>
      <c r="M321" s="21" t="b">
        <f>IFERROR(__xludf.DUMMYFUNCTION("""COMPUTED_VALUE"""),FALSE)</f>
        <v>0</v>
      </c>
      <c r="N321" s="1"/>
      <c r="O321" s="1"/>
      <c r="P321" s="1"/>
      <c r="Q321" s="1"/>
      <c r="R321" s="1"/>
      <c r="S321" s="1"/>
      <c r="T321" s="1"/>
      <c r="U321" s="1"/>
      <c r="V321" s="1"/>
      <c r="W321" s="1"/>
      <c r="X321" s="1"/>
      <c r="Y321" s="1"/>
      <c r="Z321" s="1"/>
    </row>
    <row r="322" ht="15.75" customHeight="1">
      <c r="A322" s="16" t="str">
        <f>IFERROR(__xludf.DUMMYFUNCTION("""COMPUTED_VALUE"""),"Body armor")</f>
        <v>Body armor</v>
      </c>
      <c r="B322" s="17">
        <f>IFERROR(__xludf.DUMMYFUNCTION("""COMPUTED_VALUE"""),1.0)</f>
        <v>1</v>
      </c>
      <c r="C322" s="16">
        <f>IFERROR(__xludf.DUMMYFUNCTION("""COMPUTED_VALUE"""),10.0)</f>
        <v>10</v>
      </c>
      <c r="D322" s="16"/>
      <c r="E322" s="16" t="str">
        <f>IFERROR(__xludf.DUMMYFUNCTION("""COMPUTED_VALUE"""),"100 defense until the end of the round")</f>
        <v>100 defense until the end of the round</v>
      </c>
      <c r="F322" s="16" t="str">
        <f>IFERROR(__xludf.DUMMYFUNCTION("""COMPUTED_VALUE"""),"Will Succeed")</f>
        <v>Will Succeed</v>
      </c>
      <c r="G322" s="18"/>
      <c r="H322" s="52" t="str">
        <f>IFERROR(__xludf.DUMMYFUNCTION("""COMPUTED_VALUE"""),"Physical")</f>
        <v>Physical</v>
      </c>
      <c r="I322" s="20" t="str">
        <f>IFERROR(__xludf.DUMMYFUNCTION("""COMPUTED_VALUE"""),"Player")</f>
        <v>Player</v>
      </c>
      <c r="J322" s="21" t="b">
        <f>IFERROR(__xludf.DUMMYFUNCTION("""COMPUTED_VALUE"""),FALSE)</f>
        <v>0</v>
      </c>
      <c r="K322" s="21"/>
      <c r="L322" s="21" t="b">
        <f>IFERROR(__xludf.DUMMYFUNCTION("""COMPUTED_VALUE"""),FALSE)</f>
        <v>0</v>
      </c>
      <c r="M322" s="21" t="b">
        <f>IFERROR(__xludf.DUMMYFUNCTION("""COMPUTED_VALUE"""),TRUE)</f>
        <v>1</v>
      </c>
      <c r="N322" s="1"/>
      <c r="O322" s="1"/>
      <c r="P322" s="1"/>
      <c r="Q322" s="1"/>
      <c r="R322" s="1"/>
      <c r="S322" s="1"/>
      <c r="T322" s="1"/>
      <c r="U322" s="1"/>
      <c r="V322" s="1"/>
      <c r="W322" s="1"/>
      <c r="X322" s="1"/>
      <c r="Y322" s="1"/>
      <c r="Z322" s="1"/>
    </row>
    <row r="323" ht="15.75" customHeight="1">
      <c r="A323" s="16" t="str">
        <f>IFERROR(__xludf.DUMMYFUNCTION("""COMPUTED_VALUE"""),"Call of The Sharks")</f>
        <v>Call of The Sharks</v>
      </c>
      <c r="B323" s="17">
        <f>IFERROR(__xludf.DUMMYFUNCTION("""COMPUTED_VALUE"""),1.0)</f>
        <v>1</v>
      </c>
      <c r="C323" s="22">
        <f>IFERROR(__xludf.DUMMYFUNCTION("""COMPUTED_VALUE"""),0.0)</f>
        <v>0</v>
      </c>
      <c r="D323" s="16"/>
      <c r="E323" s="16" t="str">
        <f>IFERROR(__xludf.DUMMYFUNCTION("""COMPUTED_VALUE"""),"85% chance to call 2  sharks to battle")</f>
        <v>85% chance to call 2  sharks to battle</v>
      </c>
      <c r="F323" s="16" t="str">
        <f>IFERROR(__xludf.DUMMYFUNCTION("""COMPUTED_VALUE"""),"Natural/Fail Or Succeed")</f>
        <v>Natural/Fail Or Succeed</v>
      </c>
      <c r="G323" s="18" t="str">
        <f>IFERROR(__xludf.DUMMYFUNCTION("""COMPUTED_VALUE"""),"Self")</f>
        <v>Self</v>
      </c>
      <c r="H323" s="52" t="str">
        <f>IFERROR(__xludf.DUMMYFUNCTION("""COMPUTED_VALUE"""),"Physical")</f>
        <v>Physical</v>
      </c>
      <c r="I323" s="20" t="str">
        <f>IFERROR(__xludf.DUMMYFUNCTION("""COMPUTED_VALUE"""),"Mob")</f>
        <v>Mob</v>
      </c>
      <c r="J323" s="21" t="b">
        <f>IFERROR(__xludf.DUMMYFUNCTION("""COMPUTED_VALUE"""),TRUE)</f>
        <v>1</v>
      </c>
      <c r="K323" s="21"/>
      <c r="L323" s="21" t="b">
        <f>IFERROR(__xludf.DUMMYFUNCTION("""COMPUTED_VALUE"""),FALSE)</f>
        <v>0</v>
      </c>
      <c r="M323" s="21" t="b">
        <f>IFERROR(__xludf.DUMMYFUNCTION("""COMPUTED_VALUE"""),FALSE)</f>
        <v>0</v>
      </c>
      <c r="N323" s="1"/>
      <c r="O323" s="1"/>
      <c r="P323" s="1"/>
      <c r="Q323" s="1"/>
      <c r="R323" s="1"/>
      <c r="S323" s="1"/>
      <c r="T323" s="1"/>
      <c r="U323" s="1"/>
      <c r="V323" s="1"/>
      <c r="W323" s="1"/>
      <c r="X323" s="1"/>
      <c r="Y323" s="1"/>
      <c r="Z323" s="1"/>
    </row>
    <row r="324" ht="15.75" customHeight="1">
      <c r="A324" s="16" t="str">
        <f>IFERROR(__xludf.DUMMYFUNCTION("""COMPUTED_VALUE"""),"Charge")</f>
        <v>Charge</v>
      </c>
      <c r="B324" s="17">
        <f>IFERROR(__xludf.DUMMYFUNCTION("""COMPUTED_VALUE"""),2.0)</f>
        <v>2</v>
      </c>
      <c r="C324" s="16">
        <f>IFERROR(__xludf.DUMMYFUNCTION("""COMPUTED_VALUE"""),20.0)</f>
        <v>20</v>
      </c>
      <c r="D324" s="16"/>
      <c r="E324" s="16" t="str">
        <f>IFERROR(__xludf.DUMMYFUNCTION("""COMPUTED_VALUE"""),"X2 additional damage for the Caster for 3 rounds.")</f>
        <v>X2 additional damage for the Caster for 3 rounds.</v>
      </c>
      <c r="F324" s="16" t="str">
        <f>IFERROR(__xludf.DUMMYFUNCTION("""COMPUTED_VALUE"""),"Will Succeed")</f>
        <v>Will Succeed</v>
      </c>
      <c r="G324" s="18"/>
      <c r="H324" s="52" t="str">
        <f>IFERROR(__xludf.DUMMYFUNCTION("""COMPUTED_VALUE"""),"Physical")</f>
        <v>Physical</v>
      </c>
      <c r="I324" s="20" t="str">
        <f>IFERROR(__xludf.DUMMYFUNCTION("""COMPUTED_VALUE"""),"Player")</f>
        <v>Player</v>
      </c>
      <c r="J324" s="21" t="b">
        <f>IFERROR(__xludf.DUMMYFUNCTION("""COMPUTED_VALUE"""),FALSE)</f>
        <v>0</v>
      </c>
      <c r="K324" s="21"/>
      <c r="L324" s="21" t="b">
        <f>IFERROR(__xludf.DUMMYFUNCTION("""COMPUTED_VALUE"""),FALSE)</f>
        <v>0</v>
      </c>
      <c r="M324" s="21" t="b">
        <f>IFERROR(__xludf.DUMMYFUNCTION("""COMPUTED_VALUE"""),TRUE)</f>
        <v>1</v>
      </c>
      <c r="N324" s="1"/>
      <c r="O324" s="1"/>
      <c r="P324" s="1"/>
      <c r="Q324" s="1"/>
      <c r="R324" s="1"/>
      <c r="S324" s="1"/>
      <c r="T324" s="1"/>
      <c r="U324" s="1"/>
      <c r="V324" s="1"/>
      <c r="W324" s="1"/>
      <c r="X324" s="1"/>
      <c r="Y324" s="1"/>
      <c r="Z324" s="1"/>
    </row>
    <row r="325" ht="15.75" customHeight="1">
      <c r="A325" s="16" t="str">
        <f>IFERROR(__xludf.DUMMYFUNCTION("""COMPUTED_VALUE"""),"Claws")</f>
        <v>Claws</v>
      </c>
      <c r="B325" s="17">
        <f>IFERROR(__xludf.DUMMYFUNCTION("""COMPUTED_VALUE"""),1.0)</f>
        <v>1</v>
      </c>
      <c r="C325" s="16">
        <f>IFERROR(__xludf.DUMMYFUNCTION("""COMPUTED_VALUE"""),0.0)</f>
        <v>0</v>
      </c>
      <c r="D325" s="16"/>
      <c r="E325" s="16"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16" t="str">
        <f>IFERROR(__xludf.DUMMYFUNCTION("""COMPUTED_VALUE"""),"Natural/Hit or Miss")</f>
        <v>Natural/Hit or Miss</v>
      </c>
      <c r="G325" s="18">
        <f>IFERROR(__xludf.DUMMYFUNCTION("""COMPUTED_VALUE"""),1.0)</f>
        <v>1</v>
      </c>
      <c r="H325" s="52" t="str">
        <f>IFERROR(__xludf.DUMMYFUNCTION("""COMPUTED_VALUE"""),"Physical")</f>
        <v>Physical</v>
      </c>
      <c r="I325" s="20" t="str">
        <f>IFERROR(__xludf.DUMMYFUNCTION("""COMPUTED_VALUE"""),"Mob")</f>
        <v>Mob</v>
      </c>
      <c r="J325" s="21" t="b">
        <f>IFERROR(__xludf.DUMMYFUNCTION("""COMPUTED_VALUE"""),TRUE)</f>
        <v>1</v>
      </c>
      <c r="K325" s="21"/>
      <c r="L325" s="21" t="b">
        <f>IFERROR(__xludf.DUMMYFUNCTION("""COMPUTED_VALUE"""),FALSE)</f>
        <v>0</v>
      </c>
      <c r="M325" s="21" t="b">
        <f>IFERROR(__xludf.DUMMYFUNCTION("""COMPUTED_VALUE"""),FALSE)</f>
        <v>0</v>
      </c>
      <c r="N325" s="1"/>
      <c r="O325" s="1"/>
      <c r="P325" s="1"/>
      <c r="Q325" s="1"/>
      <c r="R325" s="1"/>
      <c r="S325" s="1"/>
      <c r="T325" s="1"/>
      <c r="U325" s="1"/>
      <c r="V325" s="1"/>
      <c r="W325" s="1"/>
      <c r="X325" s="1"/>
      <c r="Y325" s="1"/>
      <c r="Z325" s="1"/>
    </row>
    <row r="326" ht="15.75" customHeight="1">
      <c r="A326" s="16" t="str">
        <f>IFERROR(__xludf.DUMMYFUNCTION("""COMPUTED_VALUE"""),"Confiscate")</f>
        <v>Confiscate</v>
      </c>
      <c r="B326" s="17">
        <f>IFERROR(__xludf.DUMMYFUNCTION("""COMPUTED_VALUE"""),1.0)</f>
        <v>1</v>
      </c>
      <c r="C326" s="16">
        <f>IFERROR(__xludf.DUMMYFUNCTION("""COMPUTED_VALUE"""),0.0)</f>
        <v>0</v>
      </c>
      <c r="D326" s="16"/>
      <c r="E326"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16" t="str">
        <f>IFERROR(__xludf.DUMMYFUNCTION("""COMPUTED_VALUE"""),"Natural/Fail or Succeed")</f>
        <v>Natural/Fail or Succeed</v>
      </c>
      <c r="G326" s="18">
        <f>IFERROR(__xludf.DUMMYFUNCTION("""COMPUTED_VALUE"""),1.0)</f>
        <v>1</v>
      </c>
      <c r="H326" s="52" t="str">
        <f>IFERROR(__xludf.DUMMYFUNCTION("""COMPUTED_VALUE"""),"Physical")</f>
        <v>Physical</v>
      </c>
      <c r="I326" s="20" t="str">
        <f>IFERROR(__xludf.DUMMYFUNCTION("""COMPUTED_VALUE"""),"Player")</f>
        <v>Player</v>
      </c>
      <c r="J326" s="21" t="b">
        <f>IFERROR(__xludf.DUMMYFUNCTION("""COMPUTED_VALUE"""),FALSE)</f>
        <v>0</v>
      </c>
      <c r="K326" s="21"/>
      <c r="L326" s="21" t="b">
        <f>IFERROR(__xludf.DUMMYFUNCTION("""COMPUTED_VALUE"""),FALSE)</f>
        <v>0</v>
      </c>
      <c r="M326" s="21" t="b">
        <f>IFERROR(__xludf.DUMMYFUNCTION("""COMPUTED_VALUE"""),TRUE)</f>
        <v>1</v>
      </c>
      <c r="N326" s="1"/>
      <c r="O326" s="1"/>
      <c r="P326" s="1"/>
      <c r="Q326" s="1"/>
      <c r="R326" s="1"/>
      <c r="S326" s="1"/>
      <c r="T326" s="1"/>
      <c r="U326" s="1"/>
      <c r="V326" s="1"/>
      <c r="W326" s="1"/>
      <c r="X326" s="1"/>
      <c r="Y326" s="1"/>
      <c r="Z326" s="1"/>
    </row>
    <row r="327" ht="15.75" customHeight="1">
      <c r="A327" s="16" t="str">
        <f>IFERROR(__xludf.DUMMYFUNCTION("""COMPUTED_VALUE"""),"Confiscate (Enhanced)")</f>
        <v>Confiscate (Enhanced)</v>
      </c>
      <c r="B327" s="17">
        <f>IFERROR(__xludf.DUMMYFUNCTION("""COMPUTED_VALUE"""),1.0)</f>
        <v>1</v>
      </c>
      <c r="C327" s="22">
        <f>IFERROR(__xludf.DUMMYFUNCTION("""COMPUTED_VALUE"""),0.0)</f>
        <v>0</v>
      </c>
      <c r="D327" s="16"/>
      <c r="E327" s="16" t="str">
        <f>IFERROR(__xludf.DUMMYFUNCTION("""COMPUTED_VALUE"""),"Take 2 target’s items in their equipment slot, loot table or backpack.  The item is the caster's choice.")</f>
        <v>Take 2 target’s items in their equipment slot, loot table or backpack.  The item is the caster's choice.</v>
      </c>
      <c r="F327" s="16" t="str">
        <f>IFERROR(__xludf.DUMMYFUNCTION("""COMPUTED_VALUE"""),"Natural/Fail or Succeed")</f>
        <v>Natural/Fail or Succeed</v>
      </c>
      <c r="G327" s="18">
        <f>IFERROR(__xludf.DUMMYFUNCTION("""COMPUTED_VALUE"""),2.0)</f>
        <v>2</v>
      </c>
      <c r="H327" s="52" t="str">
        <f>IFERROR(__xludf.DUMMYFUNCTION("""COMPUTED_VALUE"""),"Physical")</f>
        <v>Physical</v>
      </c>
      <c r="I327" s="20" t="str">
        <f>IFERROR(__xludf.DUMMYFUNCTION("""COMPUTED_VALUE"""),"Mob")</f>
        <v>Mob</v>
      </c>
      <c r="J327" s="21" t="b">
        <f>IFERROR(__xludf.DUMMYFUNCTION("""COMPUTED_VALUE"""),TRUE)</f>
        <v>1</v>
      </c>
      <c r="K327" s="21"/>
      <c r="L327" s="21" t="b">
        <f>IFERROR(__xludf.DUMMYFUNCTION("""COMPUTED_VALUE"""),FALSE)</f>
        <v>0</v>
      </c>
      <c r="M327" s="21" t="b">
        <f>IFERROR(__xludf.DUMMYFUNCTION("""COMPUTED_VALUE"""),FALSE)</f>
        <v>0</v>
      </c>
      <c r="N327" s="1"/>
      <c r="O327" s="1"/>
      <c r="P327" s="1"/>
      <c r="Q327" s="1"/>
      <c r="R327" s="1"/>
      <c r="S327" s="1"/>
      <c r="T327" s="1"/>
      <c r="U327" s="1"/>
      <c r="V327" s="1"/>
      <c r="W327" s="1"/>
      <c r="X327" s="1"/>
      <c r="Y327" s="1"/>
      <c r="Z327" s="1"/>
    </row>
    <row r="328" ht="15.75" customHeight="1">
      <c r="A328" s="16" t="str">
        <f>IFERROR(__xludf.DUMMYFUNCTION("""COMPUTED_VALUE"""),"Decrease")</f>
        <v>Decrease</v>
      </c>
      <c r="B328" s="17">
        <f>IFERROR(__xludf.DUMMYFUNCTION("""COMPUTED_VALUE"""),7.0)</f>
        <v>7</v>
      </c>
      <c r="C328" s="16">
        <f>IFERROR(__xludf.DUMMYFUNCTION("""COMPUTED_VALUE"""),100.0)</f>
        <v>100</v>
      </c>
      <c r="D328" s="16"/>
      <c r="E328" s="16" t="str">
        <f>IFERROR(__xludf.DUMMYFUNCTION("""COMPUTED_VALUE"""),"Decrease targets attack, defense, and accuracy permanently by 7000.")</f>
        <v>Decrease targets attack, defense, and accuracy permanently by 7000.</v>
      </c>
      <c r="F328" s="16" t="str">
        <f>IFERROR(__xludf.DUMMYFUNCTION("""COMPUTED_VALUE"""),"Fail/succeed")</f>
        <v>Fail/succeed</v>
      </c>
      <c r="G328" s="18"/>
      <c r="H328" s="52" t="str">
        <f>IFERROR(__xludf.DUMMYFUNCTION("""COMPUTED_VALUE"""),"Physical")</f>
        <v>Physical</v>
      </c>
      <c r="I328" s="20" t="str">
        <f>IFERROR(__xludf.DUMMYFUNCTION("""COMPUTED_VALUE"""),"Player")</f>
        <v>Player</v>
      </c>
      <c r="J328" s="21" t="b">
        <f>IFERROR(__xludf.DUMMYFUNCTION("""COMPUTED_VALUE"""),FALSE)</f>
        <v>0</v>
      </c>
      <c r="K328" s="21"/>
      <c r="L328" s="21" t="b">
        <f>IFERROR(__xludf.DUMMYFUNCTION("""COMPUTED_VALUE"""),FALSE)</f>
        <v>0</v>
      </c>
      <c r="M328" s="21" t="b">
        <f>IFERROR(__xludf.DUMMYFUNCTION("""COMPUTED_VALUE"""),TRUE)</f>
        <v>1</v>
      </c>
      <c r="N328" s="1"/>
      <c r="O328" s="1"/>
      <c r="P328" s="1"/>
      <c r="Q328" s="1"/>
      <c r="R328" s="1"/>
      <c r="S328" s="1"/>
      <c r="T328" s="1"/>
      <c r="U328" s="1"/>
      <c r="V328" s="1"/>
      <c r="W328" s="1"/>
      <c r="X328" s="1"/>
      <c r="Y328" s="1"/>
      <c r="Z328" s="1"/>
    </row>
    <row r="329" ht="15.75" customHeight="1">
      <c r="A329" s="16" t="str">
        <f>IFERROR(__xludf.DUMMYFUNCTION("""COMPUTED_VALUE"""),"Enrage")</f>
        <v>Enrage</v>
      </c>
      <c r="B329" s="17">
        <f>IFERROR(__xludf.DUMMYFUNCTION("""COMPUTED_VALUE"""),1.0)</f>
        <v>1</v>
      </c>
      <c r="C329" s="22">
        <f>IFERROR(__xludf.DUMMYFUNCTION("""COMPUTED_VALUE"""),0.0)</f>
        <v>0</v>
      </c>
      <c r="D329" s="16"/>
      <c r="E329" s="16" t="str">
        <f>IFERROR(__xludf.DUMMYFUNCTION("""COMPUTED_VALUE"""),"Target is forced to attack the enemy this turn. Cannot be used on self.")</f>
        <v>Target is forced to attack the enemy this turn. Cannot be used on self.</v>
      </c>
      <c r="F329" s="16" t="str">
        <f>IFERROR(__xludf.DUMMYFUNCTION("""COMPUTED_VALUE"""),"Natural/Fail or Succeed")</f>
        <v>Natural/Fail or Succeed</v>
      </c>
      <c r="G329" s="18">
        <f>IFERROR(__xludf.DUMMYFUNCTION("""COMPUTED_VALUE"""),1.0)</f>
        <v>1</v>
      </c>
      <c r="H329" s="52" t="str">
        <f>IFERROR(__xludf.DUMMYFUNCTION("""COMPUTED_VALUE"""),"Physical")</f>
        <v>Physical</v>
      </c>
      <c r="I329" s="20" t="str">
        <f>IFERROR(__xludf.DUMMYFUNCTION("""COMPUTED_VALUE"""),"Mob")</f>
        <v>Mob</v>
      </c>
      <c r="J329" s="21" t="b">
        <f>IFERROR(__xludf.DUMMYFUNCTION("""COMPUTED_VALUE"""),TRUE)</f>
        <v>1</v>
      </c>
      <c r="K329" s="21" t="str">
        <f>IFERROR(__xludf.DUMMYFUNCTION("""COMPUTED_VALUE"""),"Mob Power")</f>
        <v>Mob Power</v>
      </c>
      <c r="L329" s="21" t="b">
        <f>IFERROR(__xludf.DUMMYFUNCTION("""COMPUTED_VALUE"""),FALSE)</f>
        <v>0</v>
      </c>
      <c r="M329" s="21" t="b">
        <f>IFERROR(__xludf.DUMMYFUNCTION("""COMPUTED_VALUE"""),FALSE)</f>
        <v>0</v>
      </c>
      <c r="N329" s="1"/>
      <c r="O329" s="1"/>
      <c r="P329" s="1"/>
      <c r="Q329" s="1"/>
      <c r="R329" s="1"/>
      <c r="S329" s="1"/>
      <c r="T329" s="1"/>
      <c r="U329" s="1"/>
      <c r="V329" s="1"/>
      <c r="W329" s="1"/>
      <c r="X329" s="1"/>
      <c r="Y329" s="1"/>
      <c r="Z329" s="1"/>
    </row>
    <row r="330" ht="15.75" customHeight="1">
      <c r="A330" s="16" t="str">
        <f>IFERROR(__xludf.DUMMYFUNCTION("""COMPUTED_VALUE"""),"Evil touch")</f>
        <v>Evil touch</v>
      </c>
      <c r="B330" s="17">
        <f>IFERROR(__xludf.DUMMYFUNCTION("""COMPUTED_VALUE"""),1.0)</f>
        <v>1</v>
      </c>
      <c r="C330" s="16">
        <f>IFERROR(__xludf.DUMMYFUNCTION("""COMPUTED_VALUE"""),10.0)</f>
        <v>10</v>
      </c>
      <c r="D330" s="16"/>
      <c r="E330" s="16" t="str">
        <f>IFERROR(__xludf.DUMMYFUNCTION("""COMPUTED_VALUE"""),"50% chance of poison 100")</f>
        <v>50% chance of poison 100</v>
      </c>
      <c r="F330" s="16" t="str">
        <f>IFERROR(__xludf.DUMMYFUNCTION("""COMPUTED_VALUE"""),"Will Succeed")</f>
        <v>Will Succeed</v>
      </c>
      <c r="G330" s="18"/>
      <c r="H330" s="52" t="str">
        <f>IFERROR(__xludf.DUMMYFUNCTION("""COMPUTED_VALUE"""),"Physical")</f>
        <v>Physical</v>
      </c>
      <c r="I330" s="20" t="str">
        <f>IFERROR(__xludf.DUMMYFUNCTION("""COMPUTED_VALUE"""),"Player")</f>
        <v>Player</v>
      </c>
      <c r="J330" s="21" t="b">
        <f>IFERROR(__xludf.DUMMYFUNCTION("""COMPUTED_VALUE"""),FALSE)</f>
        <v>0</v>
      </c>
      <c r="K330" s="21"/>
      <c r="L330" s="21" t="b">
        <f>IFERROR(__xludf.DUMMYFUNCTION("""COMPUTED_VALUE"""),FALSE)</f>
        <v>0</v>
      </c>
      <c r="M330" s="21" t="b">
        <f>IFERROR(__xludf.DUMMYFUNCTION("""COMPUTED_VALUE"""),TRUE)</f>
        <v>1</v>
      </c>
      <c r="N330" s="1"/>
      <c r="O330" s="1"/>
      <c r="P330" s="1"/>
      <c r="Q330" s="1"/>
      <c r="R330" s="1"/>
      <c r="S330" s="1"/>
      <c r="T330" s="1"/>
      <c r="U330" s="1"/>
      <c r="V330" s="1"/>
      <c r="W330" s="1"/>
      <c r="X330" s="1"/>
      <c r="Y330" s="1"/>
      <c r="Z330" s="1"/>
    </row>
    <row r="331" ht="15.75" customHeight="1">
      <c r="A331" s="16" t="str">
        <f>IFERROR(__xludf.DUMMYFUNCTION("""COMPUTED_VALUE"""),"Full Impact")</f>
        <v>Full Impact</v>
      </c>
      <c r="B331" s="17">
        <f>IFERROR(__xludf.DUMMYFUNCTION("""COMPUTED_VALUE"""),1.0)</f>
        <v>1</v>
      </c>
      <c r="C331" s="22">
        <f>IFERROR(__xludf.DUMMYFUNCTION("""COMPUTED_VALUE"""),0.0)</f>
        <v>0</v>
      </c>
      <c r="D331" s="16"/>
      <c r="E331" s="16"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16" t="str">
        <f>IFERROR(__xludf.DUMMYFUNCTION("""COMPUTED_VALUE"""),"Natural/Cannot Avoid")</f>
        <v>Natural/Cannot Avoid</v>
      </c>
      <c r="G331" s="18" t="str">
        <f>IFERROR(__xludf.DUMMYFUNCTION("""COMPUTED_VALUE"""),"All")</f>
        <v>All</v>
      </c>
      <c r="H331" s="53" t="str">
        <f>IFERROR(__xludf.DUMMYFUNCTION("""COMPUTED_VALUE"""),"Physical")</f>
        <v>Physical</v>
      </c>
      <c r="I331" s="20" t="str">
        <f>IFERROR(__xludf.DUMMYFUNCTION("""COMPUTED_VALUE"""),"Mob")</f>
        <v>Mob</v>
      </c>
      <c r="J331" s="21" t="b">
        <f>IFERROR(__xludf.DUMMYFUNCTION("""COMPUTED_VALUE"""),TRUE)</f>
        <v>1</v>
      </c>
      <c r="K331" s="54"/>
      <c r="L331" s="21" t="b">
        <f>IFERROR(__xludf.DUMMYFUNCTION("""COMPUTED_VALUE"""),FALSE)</f>
        <v>0</v>
      </c>
      <c r="M331" s="21" t="b">
        <f>IFERROR(__xludf.DUMMYFUNCTION("""COMPUTED_VALUE"""),FALSE)</f>
        <v>0</v>
      </c>
      <c r="N331" s="1"/>
      <c r="O331" s="1"/>
      <c r="P331" s="1"/>
      <c r="Q331" s="1"/>
      <c r="R331" s="1"/>
      <c r="S331" s="1"/>
      <c r="T331" s="1"/>
      <c r="U331" s="1"/>
      <c r="V331" s="1"/>
      <c r="W331" s="1"/>
      <c r="X331" s="1"/>
      <c r="Y331" s="1"/>
      <c r="Z331" s="1"/>
    </row>
    <row r="332" ht="15.75" customHeight="1">
      <c r="A332" s="16" t="str">
        <f>IFERROR(__xludf.DUMMYFUNCTION("""COMPUTED_VALUE"""),"Guard Call (Player)")</f>
        <v>Guard Call (Player)</v>
      </c>
      <c r="B332" s="17">
        <f>IFERROR(__xludf.DUMMYFUNCTION("""COMPUTED_VALUE"""),1.0)</f>
        <v>1</v>
      </c>
      <c r="C332" s="22">
        <f>IFERROR(__xludf.DUMMYFUNCTION("""COMPUTED_VALUE"""),0.0)</f>
        <v>0</v>
      </c>
      <c r="D332" s="16"/>
      <c r="E332" s="16" t="str">
        <f>IFERROR(__xludf.DUMMYFUNCTION("""COMPUTED_VALUE"""),"Call 1 guard to battle. The guard is 1 rank lower then you. Can only be used once per battle.")</f>
        <v>Call 1 guard to battle. The guard is 1 rank lower then you. Can only be used once per battle.</v>
      </c>
      <c r="F332" s="16" t="str">
        <f>IFERROR(__xludf.DUMMYFUNCTION("""COMPUTED_VALUE"""),"Natural/Fail or Succeed")</f>
        <v>Natural/Fail or Succeed</v>
      </c>
      <c r="G332" s="18" t="str">
        <f>IFERROR(__xludf.DUMMYFUNCTION("""COMPUTED_VALUE"""),"Self")</f>
        <v>Self</v>
      </c>
      <c r="H332" s="53" t="str">
        <f>IFERROR(__xludf.DUMMYFUNCTION("""COMPUTED_VALUE"""),"Physical")</f>
        <v>Physical</v>
      </c>
      <c r="I332" s="20" t="str">
        <f>IFERROR(__xludf.DUMMYFUNCTION("""COMPUTED_VALUE"""),"Player")</f>
        <v>Player</v>
      </c>
      <c r="J332" s="21" t="b">
        <f>IFERROR(__xludf.DUMMYFUNCTION("""COMPUTED_VALUE"""),TRUE)</f>
        <v>1</v>
      </c>
      <c r="K332" s="54" t="str">
        <f>IFERROR(__xludf.DUMMYFUNCTION("""COMPUTED_VALUE"""),"Can only be optained by the Spira Guard ability")</f>
        <v>Can only be optained by the Spira Guard ability</v>
      </c>
      <c r="L332" s="21" t="b">
        <f>IFERROR(__xludf.DUMMYFUNCTION("""COMPUTED_VALUE"""),FALSE)</f>
        <v>0</v>
      </c>
      <c r="M332" s="21" t="b">
        <f>IFERROR(__xludf.DUMMYFUNCTION("""COMPUTED_VALUE"""),FALSE)</f>
        <v>0</v>
      </c>
      <c r="N332" s="1"/>
      <c r="O332" s="1"/>
      <c r="P332" s="1"/>
      <c r="Q332" s="1"/>
      <c r="R332" s="1"/>
      <c r="S332" s="1"/>
      <c r="T332" s="1"/>
      <c r="U332" s="1"/>
      <c r="V332" s="1"/>
      <c r="W332" s="1"/>
      <c r="X332" s="1"/>
      <c r="Y332" s="1"/>
      <c r="Z332" s="1"/>
    </row>
    <row r="333" ht="15.75" customHeight="1">
      <c r="A333" s="16" t="str">
        <f>IFERROR(__xludf.DUMMYFUNCTION("""COMPUTED_VALUE"""),"Hard Punch")</f>
        <v>Hard Punch</v>
      </c>
      <c r="B333" s="17">
        <f>IFERROR(__xludf.DUMMYFUNCTION("""COMPUTED_VALUE"""),1.0)</f>
        <v>1</v>
      </c>
      <c r="C333" s="16">
        <f>IFERROR(__xludf.DUMMYFUNCTION("""COMPUTED_VALUE"""),10.0)</f>
        <v>10</v>
      </c>
      <c r="D333" s="16"/>
      <c r="E333" s="16" t="str">
        <f>IFERROR(__xludf.DUMMYFUNCTION("""COMPUTED_VALUE"""),"Roll for an attack twice and take the higher number.")</f>
        <v>Roll for an attack twice and take the higher number.</v>
      </c>
      <c r="F333" s="16" t="str">
        <f>IFERROR(__xludf.DUMMYFUNCTION("""COMPUTED_VALUE"""),"Will Succeed")</f>
        <v>Will Succeed</v>
      </c>
      <c r="G333" s="18"/>
      <c r="H333" s="53" t="str">
        <f>IFERROR(__xludf.DUMMYFUNCTION("""COMPUTED_VALUE"""),"Physical")</f>
        <v>Physical</v>
      </c>
      <c r="I333" s="20" t="str">
        <f>IFERROR(__xludf.DUMMYFUNCTION("""COMPUTED_VALUE"""),"Player")</f>
        <v>Player</v>
      </c>
      <c r="J333" s="21" t="b">
        <f>IFERROR(__xludf.DUMMYFUNCTION("""COMPUTED_VALUE"""),FALSE)</f>
        <v>0</v>
      </c>
      <c r="K333" s="54"/>
      <c r="L333" s="21" t="b">
        <f>IFERROR(__xludf.DUMMYFUNCTION("""COMPUTED_VALUE"""),FALSE)</f>
        <v>0</v>
      </c>
      <c r="M333" s="21" t="b">
        <f>IFERROR(__xludf.DUMMYFUNCTION("""COMPUTED_VALUE"""),TRUE)</f>
        <v>1</v>
      </c>
      <c r="N333" s="1"/>
      <c r="O333" s="1"/>
      <c r="P333" s="1"/>
      <c r="Q333" s="1"/>
      <c r="R333" s="1"/>
      <c r="S333" s="1"/>
      <c r="T333" s="1"/>
      <c r="U333" s="1"/>
      <c r="V333" s="1"/>
      <c r="W333" s="1"/>
      <c r="X333" s="1"/>
      <c r="Y333" s="1"/>
      <c r="Z333" s="1"/>
    </row>
    <row r="334" ht="15.75" customHeight="1">
      <c r="A334" s="16" t="str">
        <f>IFERROR(__xludf.DUMMYFUNCTION("""COMPUTED_VALUE"""),"Heighten Reflexes")</f>
        <v>Heighten Reflexes</v>
      </c>
      <c r="B334" s="17">
        <f>IFERROR(__xludf.DUMMYFUNCTION("""COMPUTED_VALUE"""),3.0)</f>
        <v>3</v>
      </c>
      <c r="C334" s="16">
        <f>IFERROR(__xludf.DUMMYFUNCTION("""COMPUTED_VALUE"""),30.0)</f>
        <v>30</v>
      </c>
      <c r="D334" s="16"/>
      <c r="E334" s="16" t="str">
        <f>IFERROR(__xludf.DUMMYFUNCTION("""COMPUTED_VALUE"""),"Double your own evasion until the end of your next turn.")</f>
        <v>Double your own evasion until the end of your next turn.</v>
      </c>
      <c r="F334" s="16" t="str">
        <f>IFERROR(__xludf.DUMMYFUNCTION("""COMPUTED_VALUE"""),"Will Succeed")</f>
        <v>Will Succeed</v>
      </c>
      <c r="G334" s="18"/>
      <c r="H334" s="53" t="str">
        <f>IFERROR(__xludf.DUMMYFUNCTION("""COMPUTED_VALUE"""),"Physical")</f>
        <v>Physical</v>
      </c>
      <c r="I334" s="20" t="str">
        <f>IFERROR(__xludf.DUMMYFUNCTION("""COMPUTED_VALUE"""),"Player")</f>
        <v>Player</v>
      </c>
      <c r="J334" s="21" t="b">
        <f>IFERROR(__xludf.DUMMYFUNCTION("""COMPUTED_VALUE"""),FALSE)</f>
        <v>0</v>
      </c>
      <c r="K334" s="54"/>
      <c r="L334" s="21" t="b">
        <f>IFERROR(__xludf.DUMMYFUNCTION("""COMPUTED_VALUE"""),FALSE)</f>
        <v>0</v>
      </c>
      <c r="M334" s="21" t="b">
        <f>IFERROR(__xludf.DUMMYFUNCTION("""COMPUTED_VALUE"""),TRUE)</f>
        <v>1</v>
      </c>
      <c r="N334" s="1"/>
      <c r="O334" s="1"/>
      <c r="P334" s="1"/>
      <c r="Q334" s="1"/>
      <c r="R334" s="1"/>
      <c r="S334" s="1"/>
      <c r="T334" s="1"/>
      <c r="U334" s="1"/>
      <c r="V334" s="1"/>
      <c r="W334" s="1"/>
      <c r="X334" s="1"/>
      <c r="Y334" s="1"/>
      <c r="Z334" s="1"/>
    </row>
    <row r="335" ht="15.75" customHeight="1">
      <c r="A335" s="16" t="str">
        <f>IFERROR(__xludf.DUMMYFUNCTION("""COMPUTED_VALUE"""),"Honk")</f>
        <v>Honk</v>
      </c>
      <c r="B335" s="17">
        <f>IFERROR(__xludf.DUMMYFUNCTION("""COMPUTED_VALUE"""),1.0)</f>
        <v>1</v>
      </c>
      <c r="C335" s="22">
        <f>IFERROR(__xludf.DUMMYFUNCTION("""COMPUTED_VALUE"""),0.0)</f>
        <v>0</v>
      </c>
      <c r="D335" s="16"/>
      <c r="E335" s="16" t="str">
        <f>IFERROR(__xludf.DUMMYFUNCTION("""COMPUTED_VALUE"""),"Reduces target's defense by half and stuns them for 3 rounds")</f>
        <v>Reduces target's defense by half and stuns them for 3 rounds</v>
      </c>
      <c r="F335" s="16" t="str">
        <f>IFERROR(__xludf.DUMMYFUNCTION("""COMPUTED_VALUE"""),"Natural/Fail Or Succeed")</f>
        <v>Natural/Fail Or Succeed</v>
      </c>
      <c r="G335" s="18">
        <f>IFERROR(__xludf.DUMMYFUNCTION("""COMPUTED_VALUE"""),1.0)</f>
        <v>1</v>
      </c>
      <c r="H335" s="53" t="str">
        <f>IFERROR(__xludf.DUMMYFUNCTION("""COMPUTED_VALUE"""),"Physical")</f>
        <v>Physical</v>
      </c>
      <c r="I335" s="20" t="str">
        <f>IFERROR(__xludf.DUMMYFUNCTION("""COMPUTED_VALUE"""),"Mob")</f>
        <v>Mob</v>
      </c>
      <c r="J335" s="21" t="b">
        <f>IFERROR(__xludf.DUMMYFUNCTION("""COMPUTED_VALUE"""),TRUE)</f>
        <v>1</v>
      </c>
      <c r="K335" s="54"/>
      <c r="L335" s="21" t="b">
        <f>IFERROR(__xludf.DUMMYFUNCTION("""COMPUTED_VALUE"""),FALSE)</f>
        <v>0</v>
      </c>
      <c r="M335" s="21" t="b">
        <f>IFERROR(__xludf.DUMMYFUNCTION("""COMPUTED_VALUE"""),FALSE)</f>
        <v>0</v>
      </c>
      <c r="N335" s="1"/>
      <c r="O335" s="1"/>
      <c r="P335" s="1"/>
      <c r="Q335" s="1"/>
      <c r="R335" s="1"/>
      <c r="S335" s="1"/>
      <c r="T335" s="1"/>
      <c r="U335" s="1"/>
      <c r="V335" s="1"/>
      <c r="W335" s="1"/>
      <c r="X335" s="1"/>
      <c r="Y335" s="1"/>
      <c r="Z335" s="1"/>
    </row>
    <row r="336" ht="15.75" customHeight="1">
      <c r="A336" s="16" t="str">
        <f>IFERROR(__xludf.DUMMYFUNCTION("""COMPUTED_VALUE"""),"Horns")</f>
        <v>Horns</v>
      </c>
      <c r="B336" s="17">
        <f>IFERROR(__xludf.DUMMYFUNCTION("""COMPUTED_VALUE"""),1.0)</f>
        <v>1</v>
      </c>
      <c r="C336" s="16">
        <f>IFERROR(__xludf.DUMMYFUNCTION("""COMPUTED_VALUE"""),0.0)</f>
        <v>0</v>
      </c>
      <c r="D336" s="16"/>
      <c r="E336" s="16" t="str">
        <f>IFERROR(__xludf.DUMMYFUNCTION("""COMPUTED_VALUE"""),"10,000 damage to 2 targets. Add mobility to your roll.")</f>
        <v>10,000 damage to 2 targets. Add mobility to your roll.</v>
      </c>
      <c r="F336" s="16" t="str">
        <f>IFERROR(__xludf.DUMMYFUNCTION("""COMPUTED_VALUE"""),"Natural/Hit or Miss")</f>
        <v>Natural/Hit or Miss</v>
      </c>
      <c r="G336" s="18">
        <f>IFERROR(__xludf.DUMMYFUNCTION("""COMPUTED_VALUE"""),2.0)</f>
        <v>2</v>
      </c>
      <c r="H336" s="53" t="str">
        <f>IFERROR(__xludf.DUMMYFUNCTION("""COMPUTED_VALUE"""),"Physical")</f>
        <v>Physical</v>
      </c>
      <c r="I336" s="20" t="str">
        <f>IFERROR(__xludf.DUMMYFUNCTION("""COMPUTED_VALUE"""),"Mob")</f>
        <v>Mob</v>
      </c>
      <c r="J336" s="21" t="b">
        <f>IFERROR(__xludf.DUMMYFUNCTION("""COMPUTED_VALUE"""),TRUE)</f>
        <v>1</v>
      </c>
      <c r="K336" s="54"/>
      <c r="L336" s="21" t="b">
        <f>IFERROR(__xludf.DUMMYFUNCTION("""COMPUTED_VALUE"""),FALSE)</f>
        <v>0</v>
      </c>
      <c r="M336" s="21" t="b">
        <f>IFERROR(__xludf.DUMMYFUNCTION("""COMPUTED_VALUE"""),FALSE)</f>
        <v>0</v>
      </c>
      <c r="N336" s="1"/>
      <c r="O336" s="1"/>
      <c r="P336" s="1"/>
      <c r="Q336" s="1"/>
      <c r="R336" s="1"/>
      <c r="S336" s="1"/>
      <c r="T336" s="1"/>
      <c r="U336" s="1"/>
      <c r="V336" s="1"/>
      <c r="W336" s="1"/>
      <c r="X336" s="1"/>
      <c r="Y336" s="1"/>
      <c r="Z336" s="1"/>
    </row>
    <row r="337" ht="15.75" customHeight="1">
      <c r="A337" s="16" t="str">
        <f>IFERROR(__xludf.DUMMYFUNCTION("""COMPUTED_VALUE"""),"Increase")</f>
        <v>Increase</v>
      </c>
      <c r="B337" s="17">
        <f>IFERROR(__xludf.DUMMYFUNCTION("""COMPUTED_VALUE"""),5.0)</f>
        <v>5</v>
      </c>
      <c r="C337" s="16">
        <f>IFERROR(__xludf.DUMMYFUNCTION("""COMPUTED_VALUE"""),50.0)</f>
        <v>50</v>
      </c>
      <c r="D337" s="16"/>
      <c r="E337" s="16" t="str">
        <f>IFERROR(__xludf.DUMMYFUNCTION("""COMPUTED_VALUE"""),"X4 additional damage for the Caster for 3 rounds.")</f>
        <v>X4 additional damage for the Caster for 3 rounds.</v>
      </c>
      <c r="F337" s="16" t="str">
        <f>IFERROR(__xludf.DUMMYFUNCTION("""COMPUTED_VALUE"""),"Will Succeed")</f>
        <v>Will Succeed</v>
      </c>
      <c r="G337" s="18"/>
      <c r="H337" s="53" t="str">
        <f>IFERROR(__xludf.DUMMYFUNCTION("""COMPUTED_VALUE"""),"Physical")</f>
        <v>Physical</v>
      </c>
      <c r="I337" s="20" t="str">
        <f>IFERROR(__xludf.DUMMYFUNCTION("""COMPUTED_VALUE"""),"Player")</f>
        <v>Player</v>
      </c>
      <c r="J337" s="21" t="b">
        <f>IFERROR(__xludf.DUMMYFUNCTION("""COMPUTED_VALUE"""),FALSE)</f>
        <v>0</v>
      </c>
      <c r="K337" s="54"/>
      <c r="L337" s="21" t="b">
        <f>IFERROR(__xludf.DUMMYFUNCTION("""COMPUTED_VALUE"""),FALSE)</f>
        <v>0</v>
      </c>
      <c r="M337" s="21" t="b">
        <f>IFERROR(__xludf.DUMMYFUNCTION("""COMPUTED_VALUE"""),TRUE)</f>
        <v>1</v>
      </c>
      <c r="N337" s="1"/>
      <c r="O337" s="1"/>
      <c r="P337" s="1"/>
      <c r="Q337" s="1"/>
      <c r="R337" s="1"/>
      <c r="S337" s="1"/>
      <c r="T337" s="1"/>
      <c r="U337" s="1"/>
      <c r="V337" s="1"/>
      <c r="W337" s="1"/>
      <c r="X337" s="1"/>
      <c r="Y337" s="1"/>
      <c r="Z337" s="1"/>
    </row>
    <row r="338" ht="15.75" customHeight="1">
      <c r="A338" s="16" t="str">
        <f>IFERROR(__xludf.DUMMYFUNCTION("""COMPUTED_VALUE"""),"Ink Shot ")</f>
        <v>Ink Shot </v>
      </c>
      <c r="B338" s="17">
        <f>IFERROR(__xludf.DUMMYFUNCTION("""COMPUTED_VALUE"""),1.0)</f>
        <v>1</v>
      </c>
      <c r="C338" s="22">
        <f>IFERROR(__xludf.DUMMYFUNCTION("""COMPUTED_VALUE"""),0.0)</f>
        <v>0</v>
      </c>
      <c r="D338" s="16"/>
      <c r="E338" s="16" t="str">
        <f>IFERROR(__xludf.DUMMYFUNCTION("""COMPUTED_VALUE"""),"Blindness 6")</f>
        <v>Blindness 6</v>
      </c>
      <c r="F338" s="16" t="str">
        <f>IFERROR(__xludf.DUMMYFUNCTION("""COMPUTED_VALUE"""),"Hit/Miss")</f>
        <v>Hit/Miss</v>
      </c>
      <c r="G338" s="18">
        <f>IFERROR(__xludf.DUMMYFUNCTION("""COMPUTED_VALUE"""),1.0)</f>
        <v>1</v>
      </c>
      <c r="H338" s="53" t="str">
        <f>IFERROR(__xludf.DUMMYFUNCTION("""COMPUTED_VALUE"""),"Physical")</f>
        <v>Physical</v>
      </c>
      <c r="I338" s="20" t="str">
        <f>IFERROR(__xludf.DUMMYFUNCTION("""COMPUTED_VALUE"""),"Mob")</f>
        <v>Mob</v>
      </c>
      <c r="J338" s="21" t="b">
        <f>IFERROR(__xludf.DUMMYFUNCTION("""COMPUTED_VALUE"""),TRUE)</f>
        <v>1</v>
      </c>
      <c r="K338" s="54"/>
      <c r="L338" s="21" t="b">
        <f>IFERROR(__xludf.DUMMYFUNCTION("""COMPUTED_VALUE"""),FALSE)</f>
        <v>0</v>
      </c>
      <c r="M338" s="21" t="b">
        <f>IFERROR(__xludf.DUMMYFUNCTION("""COMPUTED_VALUE"""),FALSE)</f>
        <v>0</v>
      </c>
      <c r="N338" s="1"/>
      <c r="O338" s="1"/>
      <c r="P338" s="1"/>
      <c r="Q338" s="1"/>
      <c r="R338" s="1"/>
      <c r="S338" s="1"/>
      <c r="T338" s="1"/>
      <c r="U338" s="1"/>
      <c r="V338" s="1"/>
      <c r="W338" s="1"/>
      <c r="X338" s="1"/>
      <c r="Y338" s="1"/>
      <c r="Z338" s="1"/>
    </row>
    <row r="339" ht="15.75" customHeight="1">
      <c r="A339" s="16" t="str">
        <f>IFERROR(__xludf.DUMMYFUNCTION("""COMPUTED_VALUE"""),"Kraken Smarts")</f>
        <v>Kraken Smarts</v>
      </c>
      <c r="B339" s="17">
        <f>IFERROR(__xludf.DUMMYFUNCTION("""COMPUTED_VALUE"""),1.0)</f>
        <v>1</v>
      </c>
      <c r="C339" s="16">
        <f>IFERROR(__xludf.DUMMYFUNCTION("""COMPUTED_VALUE"""),0.0)</f>
        <v>0</v>
      </c>
      <c r="D339" s="16"/>
      <c r="E339" s="16" t="str">
        <f>IFERROR(__xludf.DUMMYFUNCTION("""COMPUTED_VALUE"""),"doubles accuracy, defense and attack.")</f>
        <v>doubles accuracy, defense and attack.</v>
      </c>
      <c r="F339" s="16" t="str">
        <f>IFERROR(__xludf.DUMMYFUNCTION("""COMPUTED_VALUE"""),"Natural/Will Succeed")</f>
        <v>Natural/Will Succeed</v>
      </c>
      <c r="G339" s="18" t="str">
        <f>IFERROR(__xludf.DUMMYFUNCTION("""COMPUTED_VALUE"""),"Self")</f>
        <v>Self</v>
      </c>
      <c r="H339" s="53" t="str">
        <f>IFERROR(__xludf.DUMMYFUNCTION("""COMPUTED_VALUE"""),"Physical")</f>
        <v>Physical</v>
      </c>
      <c r="I339" s="20" t="str">
        <f>IFERROR(__xludf.DUMMYFUNCTION("""COMPUTED_VALUE"""),"Mob")</f>
        <v>Mob</v>
      </c>
      <c r="J339" s="21" t="b">
        <f>IFERROR(__xludf.DUMMYFUNCTION("""COMPUTED_VALUE"""),TRUE)</f>
        <v>1</v>
      </c>
      <c r="K339" s="54"/>
      <c r="L339" s="21" t="b">
        <f>IFERROR(__xludf.DUMMYFUNCTION("""COMPUTED_VALUE"""),FALSE)</f>
        <v>0</v>
      </c>
      <c r="M339" s="21" t="b">
        <f>IFERROR(__xludf.DUMMYFUNCTION("""COMPUTED_VALUE"""),FALSE)</f>
        <v>0</v>
      </c>
      <c r="N339" s="1"/>
      <c r="O339" s="1"/>
      <c r="P339" s="1"/>
      <c r="Q339" s="1"/>
      <c r="R339" s="1"/>
      <c r="S339" s="1"/>
      <c r="T339" s="1"/>
      <c r="U339" s="1"/>
      <c r="V339" s="1"/>
      <c r="W339" s="1"/>
      <c r="X339" s="1"/>
      <c r="Y339" s="1"/>
      <c r="Z339" s="1"/>
    </row>
    <row r="340" ht="15.75" customHeight="1">
      <c r="A340" s="16" t="str">
        <f>IFERROR(__xludf.DUMMYFUNCTION("""COMPUTED_VALUE"""),"Krakens Roar")</f>
        <v>Krakens Roar</v>
      </c>
      <c r="B340" s="17">
        <f>IFERROR(__xludf.DUMMYFUNCTION("""COMPUTED_VALUE"""),1.0)</f>
        <v>1</v>
      </c>
      <c r="C340" s="16">
        <f>IFERROR(__xludf.DUMMYFUNCTION("""COMPUTED_VALUE"""),0.0)</f>
        <v>0</v>
      </c>
      <c r="D340" s="16"/>
      <c r="E340" s="16" t="str">
        <f>IFERROR(__xludf.DUMMYFUNCTION("""COMPUTED_VALUE"""),"Stun 3 to all enemies.")</f>
        <v>Stun 3 to all enemies.</v>
      </c>
      <c r="F340" s="16" t="str">
        <f>IFERROR(__xludf.DUMMYFUNCTION("""COMPUTED_VALUE"""),"Natural/Fail Or Succeed")</f>
        <v>Natural/Fail Or Succeed</v>
      </c>
      <c r="G340" s="18" t="str">
        <f>IFERROR(__xludf.DUMMYFUNCTION("""COMPUTED_VALUE"""),"All")</f>
        <v>All</v>
      </c>
      <c r="H340" s="53" t="str">
        <f>IFERROR(__xludf.DUMMYFUNCTION("""COMPUTED_VALUE"""),"Physical")</f>
        <v>Physical</v>
      </c>
      <c r="I340" s="20" t="str">
        <f>IFERROR(__xludf.DUMMYFUNCTION("""COMPUTED_VALUE"""),"Mob")</f>
        <v>Mob</v>
      </c>
      <c r="J340" s="21" t="b">
        <f>IFERROR(__xludf.DUMMYFUNCTION("""COMPUTED_VALUE"""),TRUE)</f>
        <v>1</v>
      </c>
      <c r="K340" s="54"/>
      <c r="L340" s="21" t="b">
        <f>IFERROR(__xludf.DUMMYFUNCTION("""COMPUTED_VALUE"""),FALSE)</f>
        <v>0</v>
      </c>
      <c r="M340" s="21" t="b">
        <f>IFERROR(__xludf.DUMMYFUNCTION("""COMPUTED_VALUE"""),FALSE)</f>
        <v>0</v>
      </c>
      <c r="N340" s="1"/>
      <c r="O340" s="1"/>
      <c r="P340" s="1"/>
      <c r="Q340" s="1"/>
      <c r="R340" s="1"/>
      <c r="S340" s="1"/>
      <c r="T340" s="1"/>
      <c r="U340" s="1"/>
      <c r="V340" s="1"/>
      <c r="W340" s="1"/>
      <c r="X340" s="1"/>
      <c r="Y340" s="1"/>
      <c r="Z340" s="1"/>
    </row>
    <row r="341" ht="15.75" customHeight="1">
      <c r="A341" s="16" t="str">
        <f>IFERROR(__xludf.DUMMYFUNCTION("""COMPUTED_VALUE"""),"Krakoken")</f>
        <v>Krakoken</v>
      </c>
      <c r="B341" s="17">
        <f>IFERROR(__xludf.DUMMYFUNCTION("""COMPUTED_VALUE"""),1.0)</f>
        <v>1</v>
      </c>
      <c r="C341" s="22">
        <f>IFERROR(__xludf.DUMMYFUNCTION("""COMPUTED_VALUE"""),0.0)</f>
        <v>0</v>
      </c>
      <c r="D341" s="16"/>
      <c r="E341" s="16" t="str">
        <f>IFERROR(__xludf.DUMMYFUNCTION("""COMPUTED_VALUE"""),"X8 attack, defense, and accuracy.")</f>
        <v>X8 attack, defense, and accuracy.</v>
      </c>
      <c r="F341" s="16" t="str">
        <f>IFERROR(__xludf.DUMMYFUNCTION("""COMPUTED_VALUE"""),"Natural/Will Succeed")</f>
        <v>Natural/Will Succeed</v>
      </c>
      <c r="G341" s="18" t="str">
        <f>IFERROR(__xludf.DUMMYFUNCTION("""COMPUTED_VALUE"""),"Self")</f>
        <v>Self</v>
      </c>
      <c r="H341" s="53" t="str">
        <f>IFERROR(__xludf.DUMMYFUNCTION("""COMPUTED_VALUE"""),"Physical")</f>
        <v>Physical</v>
      </c>
      <c r="I341" s="20" t="str">
        <f>IFERROR(__xludf.DUMMYFUNCTION("""COMPUTED_VALUE"""),"Mob")</f>
        <v>Mob</v>
      </c>
      <c r="J341" s="21" t="b">
        <f>IFERROR(__xludf.DUMMYFUNCTION("""COMPUTED_VALUE"""),TRUE)</f>
        <v>1</v>
      </c>
      <c r="K341" s="54"/>
      <c r="L341" s="21" t="b">
        <f>IFERROR(__xludf.DUMMYFUNCTION("""COMPUTED_VALUE"""),FALSE)</f>
        <v>0</v>
      </c>
      <c r="M341" s="21" t="b">
        <f>IFERROR(__xludf.DUMMYFUNCTION("""COMPUTED_VALUE"""),FALSE)</f>
        <v>0</v>
      </c>
      <c r="N341" s="1"/>
      <c r="O341" s="1"/>
      <c r="P341" s="1"/>
      <c r="Q341" s="1"/>
      <c r="R341" s="1"/>
      <c r="S341" s="1"/>
      <c r="T341" s="1"/>
      <c r="U341" s="1"/>
      <c r="V341" s="1"/>
      <c r="W341" s="1"/>
      <c r="X341" s="1"/>
      <c r="Y341" s="1"/>
      <c r="Z341" s="1"/>
    </row>
    <row r="342" ht="15.75" customHeight="1">
      <c r="A342" s="16" t="str">
        <f>IFERROR(__xludf.DUMMYFUNCTION("""COMPUTED_VALUE"""),"Latch on")</f>
        <v>Latch on</v>
      </c>
      <c r="B342" s="17">
        <f>IFERROR(__xludf.DUMMYFUNCTION("""COMPUTED_VALUE"""),1.0)</f>
        <v>1</v>
      </c>
      <c r="C342" s="22">
        <f>IFERROR(__xludf.DUMMYFUNCTION("""COMPUTED_VALUE"""),0.0)</f>
        <v>0</v>
      </c>
      <c r="D342" s="16"/>
      <c r="E342" s="16" t="str">
        <f>IFERROR(__xludf.DUMMYFUNCTION("""COMPUTED_VALUE"""),"the target is grappled, target must attack this enemy only. They cannot flee from battle.")</f>
        <v>the target is grappled, target must attack this enemy only. They cannot flee from battle.</v>
      </c>
      <c r="F342" s="16" t="str">
        <f>IFERROR(__xludf.DUMMYFUNCTION("""COMPUTED_VALUE"""),"Natural/Hit or Miss")</f>
        <v>Natural/Hit or Miss</v>
      </c>
      <c r="G342" s="18">
        <f>IFERROR(__xludf.DUMMYFUNCTION("""COMPUTED_VALUE"""),1.0)</f>
        <v>1</v>
      </c>
      <c r="H342" s="53" t="str">
        <f>IFERROR(__xludf.DUMMYFUNCTION("""COMPUTED_VALUE"""),"Physical")</f>
        <v>Physical</v>
      </c>
      <c r="I342" s="20" t="str">
        <f>IFERROR(__xludf.DUMMYFUNCTION("""COMPUTED_VALUE"""),"Mob")</f>
        <v>Mob</v>
      </c>
      <c r="J342" s="21" t="b">
        <f>IFERROR(__xludf.DUMMYFUNCTION("""COMPUTED_VALUE"""),TRUE)</f>
        <v>1</v>
      </c>
      <c r="K342" s="54"/>
      <c r="L342" s="21" t="b">
        <f>IFERROR(__xludf.DUMMYFUNCTION("""COMPUTED_VALUE"""),FALSE)</f>
        <v>0</v>
      </c>
      <c r="M342" s="21" t="b">
        <f>IFERROR(__xludf.DUMMYFUNCTION("""COMPUTED_VALUE"""),FALSE)</f>
        <v>0</v>
      </c>
      <c r="N342" s="1"/>
      <c r="O342" s="1"/>
      <c r="P342" s="1"/>
      <c r="Q342" s="1"/>
      <c r="R342" s="1"/>
      <c r="S342" s="1"/>
      <c r="T342" s="1"/>
      <c r="U342" s="1"/>
      <c r="V342" s="1"/>
      <c r="W342" s="1"/>
      <c r="X342" s="1"/>
      <c r="Y342" s="1"/>
      <c r="Z342" s="1"/>
    </row>
    <row r="343" ht="15.75" customHeight="1">
      <c r="A343" s="55" t="str">
        <f>IFERROR(__xludf.DUMMYFUNCTION("""COMPUTED_VALUE"""),"Lunge")</f>
        <v>Lunge</v>
      </c>
      <c r="B343" s="56">
        <f>IFERROR(__xludf.DUMMYFUNCTION("""COMPUTED_VALUE"""),1.0)</f>
        <v>1</v>
      </c>
      <c r="C343" s="57">
        <f>IFERROR(__xludf.DUMMYFUNCTION("""COMPUTED_VALUE"""),0.0)</f>
        <v>0</v>
      </c>
      <c r="D343" s="55"/>
      <c r="E343" s="18" t="str">
        <f>IFERROR(__xludf.DUMMYFUNCTION("""COMPUTED_VALUE"""),"Evade the next incoming Hit or Miss attack without fail.")</f>
        <v>Evade the next incoming Hit or Miss attack without fail.</v>
      </c>
      <c r="F343" s="18" t="str">
        <f>IFERROR(__xludf.DUMMYFUNCTION("""COMPUTED_VALUE"""),"Natural/Fail Or Succeed")</f>
        <v>Natural/Fail Or Succeed</v>
      </c>
      <c r="G343" s="18"/>
      <c r="H343" s="58" t="str">
        <f>IFERROR(__xludf.DUMMYFUNCTION("""COMPUTED_VALUE"""),"Physical")</f>
        <v>Physical</v>
      </c>
      <c r="I343" s="18" t="str">
        <f>IFERROR(__xludf.DUMMYFUNCTION("""COMPUTED_VALUE"""),"Mob")</f>
        <v>Mob</v>
      </c>
      <c r="J343" s="21" t="b">
        <f>IFERROR(__xludf.DUMMYFUNCTION("""COMPUTED_VALUE"""),TRUE)</f>
        <v>1</v>
      </c>
      <c r="K343" s="21"/>
      <c r="L343" s="21" t="b">
        <f>IFERROR(__xludf.DUMMYFUNCTION("""COMPUTED_VALUE"""),FALSE)</f>
        <v>0</v>
      </c>
      <c r="M343" s="21" t="b">
        <f>IFERROR(__xludf.DUMMYFUNCTION("""COMPUTED_VALUE"""),FALSE)</f>
        <v>0</v>
      </c>
      <c r="N343" s="1"/>
      <c r="O343" s="1"/>
      <c r="P343" s="1"/>
      <c r="Q343" s="1"/>
      <c r="R343" s="1"/>
      <c r="S343" s="1"/>
      <c r="T343" s="1"/>
      <c r="U343" s="1"/>
      <c r="V343" s="1"/>
      <c r="W343" s="1"/>
      <c r="X343" s="1"/>
      <c r="Y343" s="1"/>
      <c r="Z343" s="1"/>
    </row>
    <row r="344" ht="15.75" customHeight="1">
      <c r="A344" s="55" t="str">
        <f>IFERROR(__xludf.DUMMYFUNCTION("""COMPUTED_VALUE"""),"Meditate")</f>
        <v>Meditate</v>
      </c>
      <c r="B344" s="56">
        <f>IFERROR(__xludf.DUMMYFUNCTION("""COMPUTED_VALUE"""),6.0)</f>
        <v>6</v>
      </c>
      <c r="C344" s="55" t="str">
        <f>IFERROR(__xludf.DUMMYFUNCTION("""COMPUTED_VALUE"""),"X")</f>
        <v>X</v>
      </c>
      <c r="D344" s="55"/>
      <c r="E344" s="18" t="str">
        <f>IFERROR(__xludf.DUMMYFUNCTION("""COMPUTED_VALUE"""),"Regain X*100 HP")</f>
        <v>Regain X*100 HP</v>
      </c>
      <c r="F344" s="18" t="str">
        <f>IFERROR(__xludf.DUMMYFUNCTION("""COMPUTED_VALUE"""),"Will succeed")</f>
        <v>Will succeed</v>
      </c>
      <c r="G344" s="18"/>
      <c r="H344" s="58" t="str">
        <f>IFERROR(__xludf.DUMMYFUNCTION("""COMPUTED_VALUE"""),"Physical")</f>
        <v>Physical</v>
      </c>
      <c r="I344" s="18" t="str">
        <f>IFERROR(__xludf.DUMMYFUNCTION("""COMPUTED_VALUE"""),"Player")</f>
        <v>Player</v>
      </c>
      <c r="J344" s="21" t="b">
        <f>IFERROR(__xludf.DUMMYFUNCTION("""COMPUTED_VALUE"""),FALSE)</f>
        <v>0</v>
      </c>
      <c r="K344" s="21"/>
      <c r="L344" s="21" t="b">
        <f>IFERROR(__xludf.DUMMYFUNCTION("""COMPUTED_VALUE"""),FALSE)</f>
        <v>0</v>
      </c>
      <c r="M344" s="21" t="b">
        <f>IFERROR(__xludf.DUMMYFUNCTION("""COMPUTED_VALUE"""),TRUE)</f>
        <v>1</v>
      </c>
      <c r="N344" s="1"/>
      <c r="O344" s="1"/>
      <c r="P344" s="1"/>
      <c r="Q344" s="1"/>
      <c r="R344" s="1"/>
      <c r="S344" s="1"/>
      <c r="T344" s="1"/>
      <c r="U344" s="1"/>
      <c r="V344" s="1"/>
      <c r="W344" s="1"/>
      <c r="X344" s="1"/>
      <c r="Y344" s="1"/>
      <c r="Z344" s="1"/>
    </row>
    <row r="345" ht="15.75" customHeight="1">
      <c r="A345" s="55" t="str">
        <f>IFERROR(__xludf.DUMMYFUNCTION("""COMPUTED_VALUE"""),"Pay Back")</f>
        <v>Pay Back</v>
      </c>
      <c r="B345" s="56">
        <f>IFERROR(__xludf.DUMMYFUNCTION("""COMPUTED_VALUE"""),9.0)</f>
        <v>9</v>
      </c>
      <c r="C345" s="57">
        <f>IFERROR(__xludf.DUMMYFUNCTION("""COMPUTED_VALUE"""),300.0)</f>
        <v>300</v>
      </c>
      <c r="D345" s="55"/>
      <c r="E345" s="18"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18" t="str">
        <f>IFERROR(__xludf.DUMMYFUNCTION("""COMPUTED_VALUE"""),"Fail/Succeed")</f>
        <v>Fail/Succeed</v>
      </c>
      <c r="G345" s="18">
        <f>IFERROR(__xludf.DUMMYFUNCTION("""COMPUTED_VALUE"""),1.0)</f>
        <v>1</v>
      </c>
      <c r="H345" s="58" t="str">
        <f>IFERROR(__xludf.DUMMYFUNCTION("""COMPUTED_VALUE"""),"Physical")</f>
        <v>Physical</v>
      </c>
      <c r="I345" s="18" t="str">
        <f>IFERROR(__xludf.DUMMYFUNCTION("""COMPUTED_VALUE"""),"Player")</f>
        <v>Player</v>
      </c>
      <c r="J345" s="21" t="b">
        <f>IFERROR(__xludf.DUMMYFUNCTION("""COMPUTED_VALUE"""),FALSE)</f>
        <v>0</v>
      </c>
      <c r="K345" s="21"/>
      <c r="L345" s="21" t="b">
        <f>IFERROR(__xludf.DUMMYFUNCTION("""COMPUTED_VALUE"""),FALSE)</f>
        <v>0</v>
      </c>
      <c r="M345" s="21" t="b">
        <f>IFERROR(__xludf.DUMMYFUNCTION("""COMPUTED_VALUE"""),FALSE)</f>
        <v>0</v>
      </c>
      <c r="N345" s="1"/>
      <c r="O345" s="1"/>
      <c r="P345" s="1"/>
      <c r="Q345" s="1"/>
      <c r="R345" s="1"/>
      <c r="S345" s="1"/>
      <c r="T345" s="1"/>
      <c r="U345" s="1"/>
      <c r="V345" s="1"/>
      <c r="W345" s="1"/>
      <c r="X345" s="1"/>
      <c r="Y345" s="1"/>
      <c r="Z345" s="1"/>
    </row>
    <row r="346" ht="15.75" customHeight="1">
      <c r="A346" s="55" t="str">
        <f>IFERROR(__xludf.DUMMYFUNCTION("""COMPUTED_VALUE"""),"Power Increase")</f>
        <v>Power Increase</v>
      </c>
      <c r="B346" s="56">
        <f>IFERROR(__xludf.DUMMYFUNCTION("""COMPUTED_VALUE"""),9.0)</f>
        <v>9</v>
      </c>
      <c r="C346" s="55">
        <f>IFERROR(__xludf.DUMMYFUNCTION("""COMPUTED_VALUE"""),300.0)</f>
        <v>300</v>
      </c>
      <c r="D346" s="55"/>
      <c r="E346" s="18" t="str">
        <f>IFERROR(__xludf.DUMMYFUNCTION("""COMPUTED_VALUE"""),"Gain 20000 attack and accuracy for 3 rounds.")</f>
        <v>Gain 20000 attack and accuracy for 3 rounds.</v>
      </c>
      <c r="F346" s="18" t="str">
        <f>IFERROR(__xludf.DUMMYFUNCTION("""COMPUTED_VALUE"""),"Will Succeed")</f>
        <v>Will Succeed</v>
      </c>
      <c r="G346" s="18"/>
      <c r="H346" s="58" t="str">
        <f>IFERROR(__xludf.DUMMYFUNCTION("""COMPUTED_VALUE"""),"Physical")</f>
        <v>Physical</v>
      </c>
      <c r="I346" s="18" t="str">
        <f>IFERROR(__xludf.DUMMYFUNCTION("""COMPUTED_VALUE"""),"Player")</f>
        <v>Player</v>
      </c>
      <c r="J346" s="21" t="b">
        <f>IFERROR(__xludf.DUMMYFUNCTION("""COMPUTED_VALUE"""),FALSE)</f>
        <v>0</v>
      </c>
      <c r="K346" s="21"/>
      <c r="L346" s="21" t="b">
        <f>IFERROR(__xludf.DUMMYFUNCTION("""COMPUTED_VALUE"""),FALSE)</f>
        <v>0</v>
      </c>
      <c r="M346" s="21" t="b">
        <f>IFERROR(__xludf.DUMMYFUNCTION("""COMPUTED_VALUE"""),TRUE)</f>
        <v>1</v>
      </c>
      <c r="N346" s="1"/>
      <c r="O346" s="1"/>
      <c r="P346" s="1"/>
      <c r="Q346" s="1"/>
      <c r="R346" s="1"/>
      <c r="S346" s="1"/>
      <c r="T346" s="1"/>
      <c r="U346" s="1"/>
      <c r="V346" s="1"/>
      <c r="W346" s="1"/>
      <c r="X346" s="1"/>
      <c r="Y346" s="1"/>
      <c r="Z346" s="1"/>
    </row>
    <row r="347" ht="15.75" customHeight="1">
      <c r="A347" s="55" t="str">
        <f>IFERROR(__xludf.DUMMYFUNCTION("""COMPUTED_VALUE"""),"Punch")</f>
        <v>Punch</v>
      </c>
      <c r="B347" s="56">
        <f>IFERROR(__xludf.DUMMYFUNCTION("""COMPUTED_VALUE"""),1.0)</f>
        <v>1</v>
      </c>
      <c r="C347" s="55">
        <f>IFERROR(__xludf.DUMMYFUNCTION("""COMPUTED_VALUE"""),0.0)</f>
        <v>0</v>
      </c>
      <c r="D347" s="55"/>
      <c r="E347" s="18" t="str">
        <f>IFERROR(__xludf.DUMMYFUNCTION("""COMPUTED_VALUE"""),"X*2 Damage of your primary element Where X is equal to your attack.")</f>
        <v>X*2 Damage of your primary element Where X is equal to your attack.</v>
      </c>
      <c r="F347" s="18" t="str">
        <f>IFERROR(__xludf.DUMMYFUNCTION("""COMPUTED_VALUE"""),"Natural/Hit or Miss")</f>
        <v>Natural/Hit or Miss</v>
      </c>
      <c r="G347" s="18">
        <f>IFERROR(__xludf.DUMMYFUNCTION("""COMPUTED_VALUE"""),1.0)</f>
        <v>1</v>
      </c>
      <c r="H347" s="58" t="str">
        <f>IFERROR(__xludf.DUMMYFUNCTION("""COMPUTED_VALUE"""),"Physical")</f>
        <v>Physical</v>
      </c>
      <c r="I347" s="18" t="str">
        <f>IFERROR(__xludf.DUMMYFUNCTION("""COMPUTED_VALUE"""),"Player")</f>
        <v>Player</v>
      </c>
      <c r="J347" s="21" t="b">
        <f>IFERROR(__xludf.DUMMYFUNCTION("""COMPUTED_VALUE"""),FALSE)</f>
        <v>0</v>
      </c>
      <c r="K347" s="21"/>
      <c r="L347" s="21" t="b">
        <f>IFERROR(__xludf.DUMMYFUNCTION("""COMPUTED_VALUE"""),FALSE)</f>
        <v>0</v>
      </c>
      <c r="M347" s="21" t="b">
        <f>IFERROR(__xludf.DUMMYFUNCTION("""COMPUTED_VALUE"""),FALSE)</f>
        <v>0</v>
      </c>
      <c r="N347" s="1"/>
      <c r="O347" s="1"/>
      <c r="P347" s="1"/>
      <c r="Q347" s="1"/>
      <c r="R347" s="1"/>
      <c r="S347" s="1"/>
      <c r="T347" s="1"/>
      <c r="U347" s="1"/>
      <c r="V347" s="1"/>
      <c r="W347" s="1"/>
      <c r="X347" s="1"/>
      <c r="Y347" s="1"/>
      <c r="Z347" s="1"/>
    </row>
    <row r="348" ht="15.75" customHeight="1">
      <c r="A348" s="55" t="str">
        <f>IFERROR(__xludf.DUMMYFUNCTION("""COMPUTED_VALUE"""),"Shark Bite")</f>
        <v>Shark Bite</v>
      </c>
      <c r="B348" s="56">
        <f>IFERROR(__xludf.DUMMYFUNCTION("""COMPUTED_VALUE"""),1.0)</f>
        <v>1</v>
      </c>
      <c r="C348" s="57">
        <f>IFERROR(__xludf.DUMMYFUNCTION("""COMPUTED_VALUE"""),0.0)</f>
        <v>0</v>
      </c>
      <c r="D348" s="55"/>
      <c r="E348" s="18" t="str">
        <f>IFERROR(__xludf.DUMMYFUNCTION("""COMPUTED_VALUE"""),"1500 damage +1000 bleeding damage p/r for 3 rounds.")</f>
        <v>1500 damage +1000 bleeding damage p/r for 3 rounds.</v>
      </c>
      <c r="F348" s="18" t="str">
        <f>IFERROR(__xludf.DUMMYFUNCTION("""COMPUTED_VALUE"""),"Natural/ Hit Or Miss")</f>
        <v>Natural/ Hit Or Miss</v>
      </c>
      <c r="G348" s="18">
        <f>IFERROR(__xludf.DUMMYFUNCTION("""COMPUTED_VALUE"""),1.0)</f>
        <v>1</v>
      </c>
      <c r="H348" s="58" t="str">
        <f>IFERROR(__xludf.DUMMYFUNCTION("""COMPUTED_VALUE"""),"Physical")</f>
        <v>Physical</v>
      </c>
      <c r="I348" s="18" t="str">
        <f>IFERROR(__xludf.DUMMYFUNCTION("""COMPUTED_VALUE"""),"Mob")</f>
        <v>Mob</v>
      </c>
      <c r="J348" s="21" t="b">
        <f>IFERROR(__xludf.DUMMYFUNCTION("""COMPUTED_VALUE"""),TRUE)</f>
        <v>1</v>
      </c>
      <c r="K348" s="21"/>
      <c r="L348" s="21" t="b">
        <f>IFERROR(__xludf.DUMMYFUNCTION("""COMPUTED_VALUE"""),FALSE)</f>
        <v>0</v>
      </c>
      <c r="M348" s="21" t="b">
        <f>IFERROR(__xludf.DUMMYFUNCTION("""COMPUTED_VALUE"""),FALSE)</f>
        <v>0</v>
      </c>
      <c r="N348" s="1"/>
      <c r="O348" s="1"/>
      <c r="P348" s="1"/>
      <c r="Q348" s="1"/>
      <c r="R348" s="1"/>
      <c r="S348" s="1"/>
      <c r="T348" s="1"/>
      <c r="U348" s="1"/>
      <c r="V348" s="1"/>
      <c r="W348" s="1"/>
      <c r="X348" s="1"/>
      <c r="Y348" s="1"/>
      <c r="Z348" s="1"/>
    </row>
    <row r="349" ht="15.75" customHeight="1">
      <c r="A349" s="55" t="str">
        <f>IFERROR(__xludf.DUMMYFUNCTION("""COMPUTED_VALUE"""),"Stinger ")</f>
        <v>Stinger </v>
      </c>
      <c r="B349" s="56">
        <f>IFERROR(__xludf.DUMMYFUNCTION("""COMPUTED_VALUE"""),1.0)</f>
        <v>1</v>
      </c>
      <c r="C349" s="57">
        <f>IFERROR(__xludf.DUMMYFUNCTION("""COMPUTED_VALUE"""),0.0)</f>
        <v>0</v>
      </c>
      <c r="D349" s="55"/>
      <c r="E349" s="18" t="str">
        <f>IFERROR(__xludf.DUMMYFUNCTION("""COMPUTED_VALUE"""),"Stun 3")</f>
        <v>Stun 3</v>
      </c>
      <c r="F349" s="18" t="str">
        <f>IFERROR(__xludf.DUMMYFUNCTION("""COMPUTED_VALUE"""),"Natural/Hit or Miss.")</f>
        <v>Natural/Hit or Miss.</v>
      </c>
      <c r="G349" s="18">
        <f>IFERROR(__xludf.DUMMYFUNCTION("""COMPUTED_VALUE"""),1.0)</f>
        <v>1</v>
      </c>
      <c r="H349" s="58" t="str">
        <f>IFERROR(__xludf.DUMMYFUNCTION("""COMPUTED_VALUE"""),"Physical")</f>
        <v>Physical</v>
      </c>
      <c r="I349" s="18" t="str">
        <f>IFERROR(__xludf.DUMMYFUNCTION("""COMPUTED_VALUE"""),"Mob")</f>
        <v>Mob</v>
      </c>
      <c r="J349" s="21" t="b">
        <f>IFERROR(__xludf.DUMMYFUNCTION("""COMPUTED_VALUE"""),TRUE)</f>
        <v>1</v>
      </c>
      <c r="K349" s="21"/>
      <c r="L349" s="21" t="b">
        <f>IFERROR(__xludf.DUMMYFUNCTION("""COMPUTED_VALUE"""),FALSE)</f>
        <v>0</v>
      </c>
      <c r="M349" s="21" t="b">
        <f>IFERROR(__xludf.DUMMYFUNCTION("""COMPUTED_VALUE"""),FALSE)</f>
        <v>0</v>
      </c>
      <c r="N349" s="1"/>
      <c r="O349" s="1"/>
      <c r="P349" s="1"/>
      <c r="Q349" s="1"/>
      <c r="R349" s="1"/>
      <c r="S349" s="1"/>
      <c r="T349" s="1"/>
      <c r="U349" s="1"/>
      <c r="V349" s="1"/>
      <c r="W349" s="1"/>
      <c r="X349" s="1"/>
      <c r="Y349" s="1"/>
      <c r="Z349" s="1"/>
    </row>
    <row r="350" ht="15.75" customHeight="1">
      <c r="A350" s="55" t="str">
        <f>IFERROR(__xludf.DUMMYFUNCTION("""COMPUTED_VALUE"""),"Stinger (Bee)")</f>
        <v>Stinger (Bee)</v>
      </c>
      <c r="B350" s="56">
        <f>IFERROR(__xludf.DUMMYFUNCTION("""COMPUTED_VALUE"""),1.0)</f>
        <v>1</v>
      </c>
      <c r="C350" s="57">
        <f>IFERROR(__xludf.DUMMYFUNCTION("""COMPUTED_VALUE"""),0.0)</f>
        <v>0</v>
      </c>
      <c r="D350" s="55"/>
      <c r="E350" s="18" t="str">
        <f>IFERROR(__xludf.DUMMYFUNCTION("""COMPUTED_VALUE"""),"X*4 damage where X is equal to attack, poison 100")</f>
        <v>X*4 damage where X is equal to attack, poison 100</v>
      </c>
      <c r="F350" s="18" t="str">
        <f>IFERROR(__xludf.DUMMYFUNCTION("""COMPUTED_VALUE"""),"Natural/Hit Or Miss")</f>
        <v>Natural/Hit Or Miss</v>
      </c>
      <c r="G350" s="18">
        <f>IFERROR(__xludf.DUMMYFUNCTION("""COMPUTED_VALUE"""),1.0)</f>
        <v>1</v>
      </c>
      <c r="H350" s="58" t="str">
        <f>IFERROR(__xludf.DUMMYFUNCTION("""COMPUTED_VALUE"""),"Physical")</f>
        <v>Physical</v>
      </c>
      <c r="I350" s="18" t="str">
        <f>IFERROR(__xludf.DUMMYFUNCTION("""COMPUTED_VALUE"""),"Mob")</f>
        <v>Mob</v>
      </c>
      <c r="J350" s="21" t="b">
        <f>IFERROR(__xludf.DUMMYFUNCTION("""COMPUTED_VALUE"""),TRUE)</f>
        <v>1</v>
      </c>
      <c r="K350" s="21"/>
      <c r="L350" s="21" t="b">
        <f>IFERROR(__xludf.DUMMYFUNCTION("""COMPUTED_VALUE"""),FALSE)</f>
        <v>0</v>
      </c>
      <c r="M350" s="21" t="b">
        <f>IFERROR(__xludf.DUMMYFUNCTION("""COMPUTED_VALUE"""),FALSE)</f>
        <v>0</v>
      </c>
      <c r="N350" s="1"/>
      <c r="O350" s="1"/>
      <c r="P350" s="1"/>
      <c r="Q350" s="1"/>
      <c r="R350" s="1"/>
      <c r="S350" s="1"/>
      <c r="T350" s="1"/>
      <c r="U350" s="1"/>
      <c r="V350" s="1"/>
      <c r="W350" s="1"/>
      <c r="X350" s="1"/>
      <c r="Y350" s="1"/>
      <c r="Z350" s="1"/>
    </row>
    <row r="351" ht="15.75" customHeight="1">
      <c r="A351" s="21" t="str">
        <f>IFERROR(__xludf.DUMMYFUNCTION("""COMPUTED_VALUE"""),"Strangle")</f>
        <v>Strangle</v>
      </c>
      <c r="B351" s="59">
        <f>IFERROR(__xludf.DUMMYFUNCTION("""COMPUTED_VALUE"""),1.0)</f>
        <v>1</v>
      </c>
      <c r="C351" s="60">
        <f>IFERROR(__xludf.DUMMYFUNCTION("""COMPUTED_VALUE"""),0.0)</f>
        <v>0</v>
      </c>
      <c r="D351" s="21"/>
      <c r="E351" s="21" t="str">
        <f>IFERROR(__xludf.DUMMYFUNCTION("""COMPUTED_VALUE"""),"Grabs all enemies, targets are unable to perform there turn order for 3 rounds")</f>
        <v>Grabs all enemies, targets are unable to perform there turn order for 3 rounds</v>
      </c>
      <c r="F351" s="21" t="str">
        <f>IFERROR(__xludf.DUMMYFUNCTION("""COMPUTED_VALUE"""),"Natural/Hit or Miss")</f>
        <v>Natural/Hit or Miss</v>
      </c>
      <c r="G351" s="21" t="str">
        <f>IFERROR(__xludf.DUMMYFUNCTION("""COMPUTED_VALUE"""),"All")</f>
        <v>All</v>
      </c>
      <c r="H351" s="21" t="str">
        <f>IFERROR(__xludf.DUMMYFUNCTION("""COMPUTED_VALUE"""),"Physical")</f>
        <v>Physical</v>
      </c>
      <c r="I351" s="18" t="str">
        <f>IFERROR(__xludf.DUMMYFUNCTION("""COMPUTED_VALUE"""),"Mob")</f>
        <v>Mob</v>
      </c>
      <c r="J351" s="21" t="b">
        <f>IFERROR(__xludf.DUMMYFUNCTION("""COMPUTED_VALUE"""),TRUE)</f>
        <v>1</v>
      </c>
      <c r="K351" s="21"/>
      <c r="L351" s="21" t="b">
        <f>IFERROR(__xludf.DUMMYFUNCTION("""COMPUTED_VALUE"""),FALSE)</f>
        <v>0</v>
      </c>
      <c r="M351" s="21" t="b">
        <f>IFERROR(__xludf.DUMMYFUNCTION("""COMPUTED_VALUE"""),FALSE)</f>
        <v>0</v>
      </c>
      <c r="N351" s="1"/>
      <c r="O351" s="1"/>
      <c r="P351" s="1"/>
      <c r="Q351" s="1"/>
      <c r="R351" s="1"/>
      <c r="S351" s="1"/>
      <c r="T351" s="1"/>
      <c r="U351" s="1"/>
      <c r="V351" s="1"/>
      <c r="W351" s="1"/>
      <c r="X351" s="1"/>
      <c r="Y351" s="1"/>
      <c r="Z351" s="1"/>
    </row>
    <row r="352" ht="15.75" customHeight="1">
      <c r="A352" s="21" t="str">
        <f>IFERROR(__xludf.DUMMYFUNCTION("""COMPUTED_VALUE"""),"Swarm")</f>
        <v>Swarm</v>
      </c>
      <c r="B352" s="61">
        <f>IFERROR(__xludf.DUMMYFUNCTION("""COMPUTED_VALUE"""),1.0)</f>
        <v>1</v>
      </c>
      <c r="C352" s="60">
        <f>IFERROR(__xludf.DUMMYFUNCTION("""COMPUTED_VALUE"""),0.0)</f>
        <v>0</v>
      </c>
      <c r="D352" s="21"/>
      <c r="E352" s="21"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21" t="str">
        <f>IFERROR(__xludf.DUMMYFUNCTION("""COMPUTED_VALUE"""),"Natural/Fail Or Succeed")</f>
        <v>Natural/Fail Or Succeed</v>
      </c>
      <c r="G352" s="21">
        <f>IFERROR(__xludf.DUMMYFUNCTION("""COMPUTED_VALUE"""),1.0)</f>
        <v>1</v>
      </c>
      <c r="H352" s="21" t="str">
        <f>IFERROR(__xludf.DUMMYFUNCTION("""COMPUTED_VALUE"""),"Physical")</f>
        <v>Physical</v>
      </c>
      <c r="I352" s="18" t="str">
        <f>IFERROR(__xludf.DUMMYFUNCTION("""COMPUTED_VALUE"""),"Mob")</f>
        <v>Mob</v>
      </c>
      <c r="J352" s="21" t="b">
        <f>IFERROR(__xludf.DUMMYFUNCTION("""COMPUTED_VALUE"""),TRUE)</f>
        <v>1</v>
      </c>
      <c r="K352" s="21"/>
      <c r="L352" s="21" t="b">
        <f>IFERROR(__xludf.DUMMYFUNCTION("""COMPUTED_VALUE"""),FALSE)</f>
        <v>0</v>
      </c>
      <c r="M352" s="21" t="b">
        <f>IFERROR(__xludf.DUMMYFUNCTION("""COMPUTED_VALUE"""),FALSE)</f>
        <v>0</v>
      </c>
      <c r="N352" s="1"/>
      <c r="O352" s="1"/>
      <c r="P352" s="1"/>
      <c r="Q352" s="1"/>
      <c r="R352" s="1"/>
      <c r="S352" s="1"/>
      <c r="T352" s="1"/>
      <c r="U352" s="1"/>
      <c r="V352" s="1"/>
      <c r="W352" s="1"/>
      <c r="X352" s="1"/>
      <c r="Y352" s="1"/>
      <c r="Z352" s="1"/>
    </row>
    <row r="353" ht="15.75" customHeight="1">
      <c r="A353" s="21" t="str">
        <f>IFERROR(__xludf.DUMMYFUNCTION("""COMPUTED_VALUE"""),"Tail Smash")</f>
        <v>Tail Smash</v>
      </c>
      <c r="B353" s="59">
        <f>IFERROR(__xludf.DUMMYFUNCTION("""COMPUTED_VALUE"""),1.0)</f>
        <v>1</v>
      </c>
      <c r="C353" s="60">
        <f>IFERROR(__xludf.DUMMYFUNCTION("""COMPUTED_VALUE"""),0.0)</f>
        <v>0</v>
      </c>
      <c r="D353" s="21"/>
      <c r="E353" s="21" t="str">
        <f>IFERROR(__xludf.DUMMYFUNCTION("""COMPUTED_VALUE"""),"10,000 damage to one target, 50% chance to deal another 10,000 damage to another target.")</f>
        <v>10,000 damage to one target, 50% chance to deal another 10,000 damage to another target.</v>
      </c>
      <c r="F353" s="21" t="str">
        <f>IFERROR(__xludf.DUMMYFUNCTION("""COMPUTED_VALUE"""),"Natural/Hit or Miss.")</f>
        <v>Natural/Hit or Miss.</v>
      </c>
      <c r="G353" s="21" t="str">
        <f>IFERROR(__xludf.DUMMYFUNCTION("""COMPUTED_VALUE"""),"1 or 2")</f>
        <v>1 or 2</v>
      </c>
      <c r="H353" s="21" t="str">
        <f>IFERROR(__xludf.DUMMYFUNCTION("""COMPUTED_VALUE"""),"Physical")</f>
        <v>Physical</v>
      </c>
      <c r="I353" s="18" t="str">
        <f>IFERROR(__xludf.DUMMYFUNCTION("""COMPUTED_VALUE"""),"Mob")</f>
        <v>Mob</v>
      </c>
      <c r="J353" s="21" t="b">
        <f>IFERROR(__xludf.DUMMYFUNCTION("""COMPUTED_VALUE"""),TRUE)</f>
        <v>1</v>
      </c>
      <c r="K353" s="21"/>
      <c r="L353" s="21" t="b">
        <f>IFERROR(__xludf.DUMMYFUNCTION("""COMPUTED_VALUE"""),FALSE)</f>
        <v>0</v>
      </c>
      <c r="M353" s="21" t="b">
        <f>IFERROR(__xludf.DUMMYFUNCTION("""COMPUTED_VALUE"""),FALSE)</f>
        <v>0</v>
      </c>
      <c r="N353" s="1"/>
      <c r="O353" s="1"/>
      <c r="P353" s="1"/>
      <c r="Q353" s="1"/>
      <c r="R353" s="1"/>
      <c r="S353" s="1"/>
      <c r="T353" s="1"/>
      <c r="U353" s="1"/>
      <c r="V353" s="1"/>
      <c r="W353" s="1"/>
      <c r="X353" s="1"/>
      <c r="Y353" s="1"/>
      <c r="Z353" s="1"/>
    </row>
    <row r="354" ht="15.75" customHeight="1">
      <c r="A354" s="21" t="str">
        <f>IFERROR(__xludf.DUMMYFUNCTION("""COMPUTED_VALUE"""),"Take")</f>
        <v>Take</v>
      </c>
      <c r="B354" s="59">
        <f>IFERROR(__xludf.DUMMYFUNCTION("""COMPUTED_VALUE"""),1.0)</f>
        <v>1</v>
      </c>
      <c r="C354" s="21">
        <f>IFERROR(__xludf.DUMMYFUNCTION("""COMPUTED_VALUE"""),0.0)</f>
        <v>0</v>
      </c>
      <c r="D354" s="21"/>
      <c r="E354" s="21"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21" t="str">
        <f>IFERROR(__xludf.DUMMYFUNCTION("""COMPUTED_VALUE"""),"Natural/Fail or Succeed")</f>
        <v>Natural/Fail or Succeed</v>
      </c>
      <c r="G354" s="21">
        <f>IFERROR(__xludf.DUMMYFUNCTION("""COMPUTED_VALUE"""),1.0)</f>
        <v>1</v>
      </c>
      <c r="H354" s="21" t="str">
        <f>IFERROR(__xludf.DUMMYFUNCTION("""COMPUTED_VALUE"""),"Physical")</f>
        <v>Physical</v>
      </c>
      <c r="I354" s="18" t="str">
        <f>IFERROR(__xludf.DUMMYFUNCTION("""COMPUTED_VALUE"""),"Player")</f>
        <v>Player</v>
      </c>
      <c r="J354" s="21" t="b">
        <f>IFERROR(__xludf.DUMMYFUNCTION("""COMPUTED_VALUE"""),FALSE)</f>
        <v>0</v>
      </c>
      <c r="K354" s="21"/>
      <c r="L354" s="21" t="b">
        <f>IFERROR(__xludf.DUMMYFUNCTION("""COMPUTED_VALUE"""),FALSE)</f>
        <v>0</v>
      </c>
      <c r="M354" s="21" t="b">
        <f>IFERROR(__xludf.DUMMYFUNCTION("""COMPUTED_VALUE"""),TRUE)</f>
        <v>1</v>
      </c>
      <c r="N354" s="1"/>
      <c r="O354" s="1"/>
      <c r="P354" s="1"/>
      <c r="Q354" s="1"/>
      <c r="R354" s="1"/>
      <c r="S354" s="1"/>
      <c r="T354" s="1"/>
      <c r="U354" s="1"/>
      <c r="V354" s="1"/>
      <c r="W354" s="1"/>
      <c r="X354" s="1"/>
      <c r="Y354" s="1"/>
      <c r="Z354" s="1"/>
    </row>
    <row r="355" ht="15.75" customHeight="1">
      <c r="A355" s="21" t="str">
        <f>IFERROR(__xludf.DUMMYFUNCTION("""COMPUTED_VALUE"""),"Tentacle Wack ")</f>
        <v>Tentacle Wack </v>
      </c>
      <c r="B355" s="59">
        <f>IFERROR(__xludf.DUMMYFUNCTION("""COMPUTED_VALUE"""),1.0)</f>
        <v>1</v>
      </c>
      <c r="C355" s="60">
        <f>IFERROR(__xludf.DUMMYFUNCTION("""COMPUTED_VALUE"""),0.0)</f>
        <v>0</v>
      </c>
      <c r="D355" s="21"/>
      <c r="E355" s="21" t="str">
        <f>IFERROR(__xludf.DUMMYFUNCTION("""COMPUTED_VALUE"""),"The damage of this attack is equal to the users attack bonus.")</f>
        <v>The damage of this attack is equal to the users attack bonus.</v>
      </c>
      <c r="F355" s="21" t="str">
        <f>IFERROR(__xludf.DUMMYFUNCTION("""COMPUTED_VALUE"""),"Hit/Miss")</f>
        <v>Hit/Miss</v>
      </c>
      <c r="G355" s="21">
        <f>IFERROR(__xludf.DUMMYFUNCTION("""COMPUTED_VALUE"""),2.0)</f>
        <v>2</v>
      </c>
      <c r="H355" s="21" t="str">
        <f>IFERROR(__xludf.DUMMYFUNCTION("""COMPUTED_VALUE"""),"Physical")</f>
        <v>Physical</v>
      </c>
      <c r="I355" s="18" t="str">
        <f>IFERROR(__xludf.DUMMYFUNCTION("""COMPUTED_VALUE"""),"Mob")</f>
        <v>Mob</v>
      </c>
      <c r="J355" s="21" t="b">
        <f>IFERROR(__xludf.DUMMYFUNCTION("""COMPUTED_VALUE"""),TRUE)</f>
        <v>1</v>
      </c>
      <c r="K355" s="21"/>
      <c r="L355" s="21" t="b">
        <f>IFERROR(__xludf.DUMMYFUNCTION("""COMPUTED_VALUE"""),FALSE)</f>
        <v>0</v>
      </c>
      <c r="M355" s="21" t="b">
        <f>IFERROR(__xludf.DUMMYFUNCTION("""COMPUTED_VALUE"""),FALSE)</f>
        <v>0</v>
      </c>
      <c r="N355" s="1"/>
      <c r="O355" s="1"/>
      <c r="P355" s="1"/>
      <c r="Q355" s="1"/>
      <c r="R355" s="1"/>
      <c r="S355" s="1"/>
      <c r="T355" s="1"/>
      <c r="U355" s="1"/>
      <c r="V355" s="1"/>
      <c r="W355" s="1"/>
      <c r="X355" s="1"/>
      <c r="Y355" s="1"/>
      <c r="Z355" s="1"/>
    </row>
    <row r="356" ht="15.75" customHeight="1">
      <c r="A356" s="21" t="str">
        <f>IFERROR(__xludf.DUMMYFUNCTION("""COMPUTED_VALUE"""),"Tower Of Balance I")</f>
        <v>Tower Of Balance I</v>
      </c>
      <c r="B356" s="59">
        <f>IFERROR(__xludf.DUMMYFUNCTION("""COMPUTED_VALUE"""),8.0)</f>
        <v>8</v>
      </c>
      <c r="C356" s="21">
        <f>IFERROR(__xludf.DUMMYFUNCTION("""COMPUTED_VALUE"""),200.0)</f>
        <v>200</v>
      </c>
      <c r="D356" s="21"/>
      <c r="E356" s="21"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21" t="str">
        <f>IFERROR(__xludf.DUMMYFUNCTION("""COMPUTED_VALUE"""),"Fail/Succeed")</f>
        <v>Fail/Succeed</v>
      </c>
      <c r="G356" s="21"/>
      <c r="H356" s="21" t="str">
        <f>IFERROR(__xludf.DUMMYFUNCTION("""COMPUTED_VALUE"""),"Physical")</f>
        <v>Physical</v>
      </c>
      <c r="I356" s="18" t="str">
        <f>IFERROR(__xludf.DUMMYFUNCTION("""COMPUTED_VALUE"""),"Player")</f>
        <v>Player</v>
      </c>
      <c r="J356" s="21" t="b">
        <f>IFERROR(__xludf.DUMMYFUNCTION("""COMPUTED_VALUE"""),FALSE)</f>
        <v>0</v>
      </c>
      <c r="K356" s="21"/>
      <c r="L356" s="21" t="b">
        <f>IFERROR(__xludf.DUMMYFUNCTION("""COMPUTED_VALUE"""),FALSE)</f>
        <v>0</v>
      </c>
      <c r="M356" s="21" t="b">
        <f>IFERROR(__xludf.DUMMYFUNCTION("""COMPUTED_VALUE"""),TRUE)</f>
        <v>1</v>
      </c>
      <c r="N356" s="1"/>
      <c r="O356" s="1"/>
      <c r="P356" s="1"/>
      <c r="Q356" s="1"/>
      <c r="R356" s="1"/>
      <c r="S356" s="1"/>
      <c r="T356" s="1"/>
      <c r="U356" s="1"/>
      <c r="V356" s="1"/>
      <c r="W356" s="1"/>
      <c r="X356" s="1"/>
      <c r="Y356" s="1"/>
      <c r="Z356" s="1"/>
    </row>
    <row r="357" ht="15.75" customHeight="1">
      <c r="A357" s="21" t="str">
        <f>IFERROR(__xludf.DUMMYFUNCTION("""COMPUTED_VALUE"""),"Werewolf Bite")</f>
        <v>Werewolf Bite</v>
      </c>
      <c r="B357" s="59">
        <f>IFERROR(__xludf.DUMMYFUNCTION("""COMPUTED_VALUE"""),1.0)</f>
        <v>1</v>
      </c>
      <c r="C357" s="60">
        <f>IFERROR(__xludf.DUMMYFUNCTION("""COMPUTED_VALUE"""),0.0)</f>
        <v>0</v>
      </c>
      <c r="D357" s="21"/>
      <c r="E357" s="21" t="str">
        <f>IFERROR(__xludf.DUMMYFUNCTION("""COMPUTED_VALUE"""),"1000 damage, 50% chance to turn the bit player into a werewolf.")</f>
        <v>1000 damage, 50% chance to turn the bit player into a werewolf.</v>
      </c>
      <c r="F357" s="21" t="str">
        <f>IFERROR(__xludf.DUMMYFUNCTION("""COMPUTED_VALUE"""),"Hit/Miss")</f>
        <v>Hit/Miss</v>
      </c>
      <c r="G357" s="21">
        <f>IFERROR(__xludf.DUMMYFUNCTION("""COMPUTED_VALUE"""),1.0)</f>
        <v>1</v>
      </c>
      <c r="H357" s="21" t="str">
        <f>IFERROR(__xludf.DUMMYFUNCTION("""COMPUTED_VALUE"""),"Physical")</f>
        <v>Physical</v>
      </c>
      <c r="I357" s="18" t="str">
        <f>IFERROR(__xludf.DUMMYFUNCTION("""COMPUTED_VALUE"""),"Mob")</f>
        <v>Mob</v>
      </c>
      <c r="J357" s="21" t="b">
        <f>IFERROR(__xludf.DUMMYFUNCTION("""COMPUTED_VALUE"""),TRUE)</f>
        <v>1</v>
      </c>
      <c r="K357" s="21"/>
      <c r="L357" s="21" t="b">
        <f>IFERROR(__xludf.DUMMYFUNCTION("""COMPUTED_VALUE"""),FALSE)</f>
        <v>0</v>
      </c>
      <c r="M357" s="21" t="b">
        <f>IFERROR(__xludf.DUMMYFUNCTION("""COMPUTED_VALUE"""),FALSE)</f>
        <v>0</v>
      </c>
      <c r="N357" s="1"/>
      <c r="O357" s="1"/>
      <c r="P357" s="1"/>
      <c r="Q357" s="1"/>
      <c r="R357" s="1"/>
      <c r="S357" s="1"/>
      <c r="T357" s="1"/>
      <c r="U357" s="1"/>
      <c r="V357" s="1"/>
      <c r="W357" s="1"/>
      <c r="X357" s="1"/>
      <c r="Y357" s="1"/>
      <c r="Z357" s="1"/>
    </row>
    <row r="358" ht="15.75" customHeight="1">
      <c r="A358" s="21" t="str">
        <f>IFERROR(__xludf.DUMMYFUNCTION("""COMPUTED_VALUE"""),"Reckless Chomp ")</f>
        <v>Reckless Chomp </v>
      </c>
      <c r="B358" s="59">
        <f>IFERROR(__xludf.DUMMYFUNCTION("""COMPUTED_VALUE"""),1.0)</f>
        <v>1</v>
      </c>
      <c r="C358" s="60">
        <f>IFERROR(__xludf.DUMMYFUNCTION("""COMPUTED_VALUE"""),0.0)</f>
        <v>0</v>
      </c>
      <c r="D358" s="21"/>
      <c r="E358" s="21" t="str">
        <f>IFERROR(__xludf.DUMMYFUNCTION("""COMPUTED_VALUE"""),"10,000 damage to all enemies, 50% chance to deal another 20,000 to all enemies.")</f>
        <v>10,000 damage to all enemies, 50% chance to deal another 20,000 to all enemies.</v>
      </c>
      <c r="F358" s="21" t="str">
        <f>IFERROR(__xludf.DUMMYFUNCTION("""COMPUTED_VALUE"""),"Natural/Cannot Avoid")</f>
        <v>Natural/Cannot Avoid</v>
      </c>
      <c r="G358" s="21" t="str">
        <f>IFERROR(__xludf.DUMMYFUNCTION("""COMPUTED_VALUE"""),"All")</f>
        <v>All</v>
      </c>
      <c r="H358" s="21" t="str">
        <f>IFERROR(__xludf.DUMMYFUNCTION("""COMPUTED_VALUE"""),"Physical")</f>
        <v>Physical</v>
      </c>
      <c r="I358" s="18" t="str">
        <f>IFERROR(__xludf.DUMMYFUNCTION("""COMPUTED_VALUE"""),"Mob")</f>
        <v>Mob</v>
      </c>
      <c r="J358" s="21" t="b">
        <f>IFERROR(__xludf.DUMMYFUNCTION("""COMPUTED_VALUE"""),TRUE)</f>
        <v>1</v>
      </c>
      <c r="K358" s="21"/>
      <c r="L358" s="21" t="b">
        <f>IFERROR(__xludf.DUMMYFUNCTION("""COMPUTED_VALUE"""),FALSE)</f>
        <v>0</v>
      </c>
      <c r="M358" s="21" t="b">
        <f>IFERROR(__xludf.DUMMYFUNCTION("""COMPUTED_VALUE"""),FALSE)</f>
        <v>0</v>
      </c>
      <c r="N358" s="1"/>
      <c r="O358" s="1"/>
      <c r="P358" s="1"/>
      <c r="Q358" s="1"/>
      <c r="R358" s="1"/>
      <c r="S358" s="1"/>
      <c r="T358" s="1"/>
      <c r="U358" s="1"/>
      <c r="V358" s="1"/>
      <c r="W358" s="1"/>
      <c r="X358" s="1"/>
      <c r="Y358" s="1"/>
      <c r="Z358" s="1"/>
    </row>
    <row r="359" ht="15.75" customHeight="1">
      <c r="A359" s="21" t="str">
        <f>IFERROR(__xludf.DUMMYFUNCTION("""COMPUTED_VALUE"""),"Guard Call (Mob)")</f>
        <v>Guard Call (Mob)</v>
      </c>
      <c r="B359" s="59">
        <f>IFERROR(__xludf.DUMMYFUNCTION("""COMPUTED_VALUE"""),1.0)</f>
        <v>1</v>
      </c>
      <c r="C359" s="21">
        <f>IFERROR(__xludf.DUMMYFUNCTION("""COMPUTED_VALUE"""),0.0)</f>
        <v>0</v>
      </c>
      <c r="D359" s="21"/>
      <c r="E359" s="21" t="str">
        <f>IFERROR(__xludf.DUMMYFUNCTION("""COMPUTED_VALUE"""),"Call a d4 of guards to battle. Roll a d3 for the type of guard.")</f>
        <v>Call a d4 of guards to battle. Roll a d3 for the type of guard.</v>
      </c>
      <c r="F359" s="21" t="str">
        <f>IFERROR(__xludf.DUMMYFUNCTION("""COMPUTED_VALUE"""),"Natural/Fail or Succeed")</f>
        <v>Natural/Fail or Succeed</v>
      </c>
      <c r="G359" s="21" t="str">
        <f>IFERROR(__xludf.DUMMYFUNCTION("""COMPUTED_VALUE"""),"Self")</f>
        <v>Self</v>
      </c>
      <c r="H359" s="21" t="str">
        <f>IFERROR(__xludf.DUMMYFUNCTION("""COMPUTED_VALUE"""),"Physical")</f>
        <v>Physical</v>
      </c>
      <c r="I359" s="18" t="str">
        <f>IFERROR(__xludf.DUMMYFUNCTION("""COMPUTED_VALUE"""),"Mob")</f>
        <v>Mob</v>
      </c>
      <c r="J359" s="21" t="b">
        <f>IFERROR(__xludf.DUMMYFUNCTION("""COMPUTED_VALUE"""),TRUE)</f>
        <v>1</v>
      </c>
      <c r="K359" s="21" t="str">
        <f>IFERROR(__xludf.DUMMYFUNCTION("""COMPUTED_VALUE"""),"Cannot be obtained by players.")</f>
        <v>Cannot be obtained by players.</v>
      </c>
      <c r="L359" s="21" t="b">
        <f>IFERROR(__xludf.DUMMYFUNCTION("""COMPUTED_VALUE"""),FALSE)</f>
        <v>0</v>
      </c>
      <c r="M359" s="21" t="b">
        <f>IFERROR(__xludf.DUMMYFUNCTION("""COMPUTED_VALUE"""),FALSE)</f>
        <v>0</v>
      </c>
      <c r="N359" s="1"/>
      <c r="O359" s="1"/>
      <c r="P359" s="1"/>
      <c r="Q359" s="1"/>
      <c r="R359" s="1"/>
      <c r="S359" s="1"/>
      <c r="T359" s="1"/>
      <c r="U359" s="1"/>
      <c r="V359" s="1"/>
      <c r="W359" s="1"/>
      <c r="X359" s="1"/>
      <c r="Y359" s="1"/>
      <c r="Z359" s="1"/>
    </row>
    <row r="360" ht="15.75" customHeight="1">
      <c r="A360" s="21" t="str">
        <f>IFERROR(__xludf.DUMMYFUNCTION("""COMPUTED_VALUE"""),"Arrest II")</f>
        <v>Arrest II</v>
      </c>
      <c r="B360" s="59">
        <f>IFERROR(__xludf.DUMMYFUNCTION("""COMPUTED_VALUE"""),1.0)</f>
        <v>1</v>
      </c>
      <c r="C360" s="21">
        <f>IFERROR(__xludf.DUMMYFUNCTION("""COMPUTED_VALUE"""),0.0)</f>
        <v>0</v>
      </c>
      <c r="D360" s="21"/>
      <c r="E360" s="21"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21" t="str">
        <f>IFERROR(__xludf.DUMMYFUNCTION("""COMPUTED_VALUE"""),"Natural/Hit or Miss")</f>
        <v>Natural/Hit or Miss</v>
      </c>
      <c r="G360" s="21" t="str">
        <f>IFERROR(__xludf.DUMMYFUNCTION("""COMPUTED_VALUE"""),"1 or 2")</f>
        <v>1 or 2</v>
      </c>
      <c r="H360" s="21" t="str">
        <f>IFERROR(__xludf.DUMMYFUNCTION("""COMPUTED_VALUE"""),"Physical")</f>
        <v>Physical</v>
      </c>
      <c r="I360" s="18" t="str">
        <f>IFERROR(__xludf.DUMMYFUNCTION("""COMPUTED_VALUE"""),"Mob")</f>
        <v>Mob</v>
      </c>
      <c r="J360" s="21" t="b">
        <f>IFERROR(__xludf.DUMMYFUNCTION("""COMPUTED_VALUE"""),TRUE)</f>
        <v>1</v>
      </c>
      <c r="K360" s="21" t="str">
        <f>IFERROR(__xludf.DUMMYFUNCTION("""COMPUTED_VALUE"""),"Mob Power")</f>
        <v>Mob Power</v>
      </c>
      <c r="L360" s="21" t="b">
        <f>IFERROR(__xludf.DUMMYFUNCTION("""COMPUTED_VALUE"""),FALSE)</f>
        <v>0</v>
      </c>
      <c r="M360" s="21" t="b">
        <f>IFERROR(__xludf.DUMMYFUNCTION("""COMPUTED_VALUE"""),FALSE)</f>
        <v>0</v>
      </c>
      <c r="N360" s="1" t="str">
        <f>IFERROR(__xludf.DUMMYFUNCTION("""COMPUTED_VALUE"""),"Abstara")</f>
        <v>Abstara</v>
      </c>
      <c r="O360" s="1"/>
      <c r="P360" s="1"/>
      <c r="Q360" s="1"/>
      <c r="R360" s="1"/>
      <c r="S360" s="1"/>
      <c r="T360" s="1"/>
      <c r="U360" s="1"/>
      <c r="V360" s="1"/>
      <c r="W360" s="1"/>
      <c r="X360" s="1"/>
      <c r="Y360" s="1"/>
      <c r="Z360" s="1"/>
    </row>
    <row r="361" ht="15.75" customHeight="1">
      <c r="A361" s="21" t="str">
        <f>IFERROR(__xludf.DUMMYFUNCTION("""COMPUTED_VALUE"""),"Hit and Run")</f>
        <v>Hit and Run</v>
      </c>
      <c r="B361" s="59">
        <f>IFERROR(__xludf.DUMMYFUNCTION("""COMPUTED_VALUE"""),1.0)</f>
        <v>1</v>
      </c>
      <c r="C361" s="60">
        <f>IFERROR(__xludf.DUMMYFUNCTION("""COMPUTED_VALUE"""),0.0)</f>
        <v>0</v>
      </c>
      <c r="D361" s="21"/>
      <c r="E361" s="21" t="str">
        <f>IFERROR(__xludf.DUMMYFUNCTION("""COMPUTED_VALUE"""),"Ram or drive over a target. X damage, X= Vehicles attack stat.")</f>
        <v>Ram or drive over a target. X damage, X= Vehicles attack stat.</v>
      </c>
      <c r="F361" s="21" t="str">
        <f>IFERROR(__xludf.DUMMYFUNCTION("""COMPUTED_VALUE"""),"Natural/Hit or Miss")</f>
        <v>Natural/Hit or Miss</v>
      </c>
      <c r="G361" s="21">
        <f>IFERROR(__xludf.DUMMYFUNCTION("""COMPUTED_VALUE"""),1.0)</f>
        <v>1</v>
      </c>
      <c r="H361" s="21" t="str">
        <f>IFERROR(__xludf.DUMMYFUNCTION("""COMPUTED_VALUE"""),"Physical")</f>
        <v>Physical</v>
      </c>
      <c r="I361" s="18" t="str">
        <f>IFERROR(__xludf.DUMMYFUNCTION("""COMPUTED_VALUE"""),"Mob")</f>
        <v>Mob</v>
      </c>
      <c r="J361" s="21" t="b">
        <f>IFERROR(__xludf.DUMMYFUNCTION("""COMPUTED_VALUE"""),TRUE)</f>
        <v>1</v>
      </c>
      <c r="K361" s="21" t="str">
        <f>IFERROR(__xludf.DUMMYFUNCTION("""COMPUTED_VALUE"""),"Vehicle Power")</f>
        <v>Vehicle Power</v>
      </c>
      <c r="L361" s="21" t="b">
        <f>IFERROR(__xludf.DUMMYFUNCTION("""COMPUTED_VALUE"""),FALSE)</f>
        <v>0</v>
      </c>
      <c r="M361" s="21" t="b">
        <f>IFERROR(__xludf.DUMMYFUNCTION("""COMPUTED_VALUE"""),FALSE)</f>
        <v>0</v>
      </c>
      <c r="N361" s="1"/>
      <c r="O361" s="1"/>
      <c r="P361" s="1"/>
      <c r="Q361" s="1"/>
      <c r="R361" s="1"/>
      <c r="S361" s="1"/>
      <c r="T361" s="1"/>
      <c r="U361" s="1"/>
      <c r="V361" s="1"/>
      <c r="W361" s="1"/>
      <c r="X361" s="1"/>
      <c r="Y361" s="1"/>
      <c r="Z361" s="1"/>
    </row>
    <row r="362" ht="15.75" customHeight="1">
      <c r="A362" s="21" t="str">
        <f>IFERROR(__xludf.DUMMYFUNCTION("""COMPUTED_VALUE"""),"Radar")</f>
        <v>Radar</v>
      </c>
      <c r="B362" s="59">
        <f>IFERROR(__xludf.DUMMYFUNCTION("""COMPUTED_VALUE"""),1.0)</f>
        <v>1</v>
      </c>
      <c r="C362" s="60">
        <f>IFERROR(__xludf.DUMMYFUNCTION("""COMPUTED_VALUE"""),0.0)</f>
        <v>0</v>
      </c>
      <c r="D362" s="21"/>
      <c r="E362" s="21" t="str">
        <f>IFERROR(__xludf.DUMMYFUNCTION("""COMPUTED_VALUE"""),"Allows you to see hidden vehicles above the ocean or on land.")</f>
        <v>Allows you to see hidden vehicles above the ocean or on land.</v>
      </c>
      <c r="F362" s="21" t="str">
        <f>IFERROR(__xludf.DUMMYFUNCTION("""COMPUTED_VALUE"""),"Natural/Fail or Succeed")</f>
        <v>Natural/Fail or Succeed</v>
      </c>
      <c r="G362" s="21" t="str">
        <f>IFERROR(__xludf.DUMMYFUNCTION("""COMPUTED_VALUE"""),"Self")</f>
        <v>Self</v>
      </c>
      <c r="H362" s="21" t="str">
        <f>IFERROR(__xludf.DUMMYFUNCTION("""COMPUTED_VALUE"""),"Physical")</f>
        <v>Physical</v>
      </c>
      <c r="I362" s="18" t="str">
        <f>IFERROR(__xludf.DUMMYFUNCTION("""COMPUTED_VALUE"""),"Mob")</f>
        <v>Mob</v>
      </c>
      <c r="J362" s="21" t="b">
        <f>IFERROR(__xludf.DUMMYFUNCTION("""COMPUTED_VALUE"""),TRUE)</f>
        <v>1</v>
      </c>
      <c r="K362" s="21" t="str">
        <f>IFERROR(__xludf.DUMMYFUNCTION("""COMPUTED_VALUE"""),"Vehicle Power")</f>
        <v>Vehicle Power</v>
      </c>
      <c r="L362" s="21" t="b">
        <f>IFERROR(__xludf.DUMMYFUNCTION("""COMPUTED_VALUE"""),FALSE)</f>
        <v>0</v>
      </c>
      <c r="M362" s="21" t="b">
        <f>IFERROR(__xludf.DUMMYFUNCTION("""COMPUTED_VALUE"""),FALSE)</f>
        <v>0</v>
      </c>
      <c r="N362" s="1"/>
      <c r="O362" s="1"/>
      <c r="P362" s="1"/>
      <c r="Q362" s="1"/>
      <c r="R362" s="1"/>
      <c r="S362" s="1"/>
      <c r="T362" s="1"/>
      <c r="U362" s="1"/>
      <c r="V362" s="1"/>
      <c r="W362" s="1"/>
      <c r="X362" s="1"/>
      <c r="Y362" s="1"/>
      <c r="Z362" s="1"/>
    </row>
    <row r="363" ht="15.75" customHeight="1">
      <c r="A363" s="1" t="str">
        <f>IFERROR(__xludf.DUMMYFUNCTION("""COMPUTED_VALUE"""),"Sonar")</f>
        <v>Sonar</v>
      </c>
      <c r="B363" s="62">
        <f>IFERROR(__xludf.DUMMYFUNCTION("""COMPUTED_VALUE"""),1.0)</f>
        <v>1</v>
      </c>
      <c r="C363" s="7">
        <f>IFERROR(__xludf.DUMMYFUNCTION("""COMPUTED_VALUE"""),0.0)</f>
        <v>0</v>
      </c>
      <c r="D363" s="1"/>
      <c r="E363" s="1"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1" t="str">
        <f>IFERROR(__xludf.DUMMYFUNCTION("""COMPUTED_VALUE"""),"Natural/Fail or Succeed")</f>
        <v>Natural/Fail or Succeed</v>
      </c>
      <c r="G363" s="1" t="str">
        <f>IFERROR(__xludf.DUMMYFUNCTION("""COMPUTED_VALUE"""),"Self")</f>
        <v>Self</v>
      </c>
      <c r="H363" s="1" t="str">
        <f>IFERROR(__xludf.DUMMYFUNCTION("""COMPUTED_VALUE"""),"Physical")</f>
        <v>Physical</v>
      </c>
      <c r="I363" s="1" t="str">
        <f>IFERROR(__xludf.DUMMYFUNCTION("""COMPUTED_VALUE"""),"Mob")</f>
        <v>Mob</v>
      </c>
      <c r="J363" s="1" t="b">
        <f>IFERROR(__xludf.DUMMYFUNCTION("""COMPUTED_VALUE"""),TRUE)</f>
        <v>1</v>
      </c>
      <c r="K363" s="1" t="str">
        <f>IFERROR(__xludf.DUMMYFUNCTION("""COMPUTED_VALUE"""),"Vehicle Power")</f>
        <v>Vehicle Power</v>
      </c>
      <c r="L363" s="1" t="b">
        <f>IFERROR(__xludf.DUMMYFUNCTION("""COMPUTED_VALUE"""),FALSE)</f>
        <v>0</v>
      </c>
      <c r="M363" s="21" t="b">
        <f>IFERROR(__xludf.DUMMYFUNCTION("""COMPUTED_VALUE"""),FALSE)</f>
        <v>0</v>
      </c>
      <c r="N363" s="1"/>
      <c r="O363" s="1"/>
      <c r="P363" s="1"/>
      <c r="Q363" s="1"/>
      <c r="R363" s="1"/>
      <c r="S363" s="1"/>
      <c r="T363" s="1"/>
      <c r="U363" s="1"/>
      <c r="V363" s="1"/>
      <c r="W363" s="1"/>
      <c r="X363" s="1"/>
      <c r="Y363" s="1"/>
      <c r="Z363" s="1"/>
    </row>
    <row r="364" ht="15.75" customHeight="1">
      <c r="A364" s="1" t="str">
        <f>IFERROR(__xludf.DUMMYFUNCTION("""COMPUTED_VALUE"""),"Vehicular Cloak")</f>
        <v>Vehicular Cloak</v>
      </c>
      <c r="B364" s="62">
        <f>IFERROR(__xludf.DUMMYFUNCTION("""COMPUTED_VALUE"""),9.0)</f>
        <v>9</v>
      </c>
      <c r="C364" s="7">
        <f>IFERROR(__xludf.DUMMYFUNCTION("""COMPUTED_VALUE"""),10000.0)</f>
        <v>10000</v>
      </c>
      <c r="D364" s="1"/>
      <c r="E364" s="1" t="str">
        <f>IFERROR(__xludf.DUMMYFUNCTION("""COMPUTED_VALUE"""),"Invisible from other vehicles, players, and mobs not in the vehicle.")</f>
        <v>Invisible from other vehicles, players, and mobs not in the vehicle.</v>
      </c>
      <c r="F364" s="1" t="str">
        <f>IFERROR(__xludf.DUMMYFUNCTION("""COMPUTED_VALUE"""),"Natural/Fail or Succeed")</f>
        <v>Natural/Fail or Succeed</v>
      </c>
      <c r="G364" s="1" t="str">
        <f>IFERROR(__xludf.DUMMYFUNCTION("""COMPUTED_VALUE"""),"Self")</f>
        <v>Self</v>
      </c>
      <c r="H364" s="1" t="str">
        <f>IFERROR(__xludf.DUMMYFUNCTION("""COMPUTED_VALUE"""),"Physical")</f>
        <v>Physical</v>
      </c>
      <c r="I364" s="1" t="str">
        <f>IFERROR(__xludf.DUMMYFUNCTION("""COMPUTED_VALUE"""),"Mob")</f>
        <v>Mob</v>
      </c>
      <c r="J364" s="1" t="b">
        <f>IFERROR(__xludf.DUMMYFUNCTION("""COMPUTED_VALUE"""),TRUE)</f>
        <v>1</v>
      </c>
      <c r="K364" s="1" t="str">
        <f>IFERROR(__xludf.DUMMYFUNCTION("""COMPUTED_VALUE"""),"Vehicle Power")</f>
        <v>Vehicle Power</v>
      </c>
      <c r="L364" s="1" t="b">
        <f>IFERROR(__xludf.DUMMYFUNCTION("""COMPUTED_VALUE"""),FALSE)</f>
        <v>0</v>
      </c>
      <c r="M364" s="21" t="b">
        <f>IFERROR(__xludf.DUMMYFUNCTION("""COMPUTED_VALUE"""),FALSE)</f>
        <v>0</v>
      </c>
      <c r="N364" s="1"/>
      <c r="O364" s="1"/>
      <c r="P364" s="1"/>
      <c r="Q364" s="1"/>
      <c r="R364" s="1"/>
      <c r="S364" s="1"/>
      <c r="T364" s="1"/>
      <c r="U364" s="1"/>
      <c r="V364" s="1"/>
      <c r="W364" s="1"/>
      <c r="X364" s="1"/>
      <c r="Y364" s="1"/>
      <c r="Z364" s="1"/>
    </row>
    <row r="365" ht="15.75" customHeight="1">
      <c r="A365" s="1" t="str">
        <f>IFERROR(__xludf.DUMMYFUNCTION("""COMPUTED_VALUE"""),"Vehicular Ward")</f>
        <v>Vehicular Ward</v>
      </c>
      <c r="B365" s="62">
        <f>IFERROR(__xludf.DUMMYFUNCTION("""COMPUTED_VALUE"""),9.0)</f>
        <v>9</v>
      </c>
      <c r="C365" s="7">
        <f>IFERROR(__xludf.DUMMYFUNCTION("""COMPUTED_VALUE"""),10000.0)</f>
        <v>10000</v>
      </c>
      <c r="D365" s="1"/>
      <c r="E365" s="1"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1" t="str">
        <f>IFERROR(__xludf.DUMMYFUNCTION("""COMPUTED_VALUE"""),"Natural/Fail or Succeed")</f>
        <v>Natural/Fail or Succeed</v>
      </c>
      <c r="G365" s="1" t="str">
        <f>IFERROR(__xludf.DUMMYFUNCTION("""COMPUTED_VALUE"""),"Self")</f>
        <v>Self</v>
      </c>
      <c r="H365" s="1" t="str">
        <f>IFERROR(__xludf.DUMMYFUNCTION("""COMPUTED_VALUE"""),"Physical")</f>
        <v>Physical</v>
      </c>
      <c r="I365" s="1" t="str">
        <f>IFERROR(__xludf.DUMMYFUNCTION("""COMPUTED_VALUE"""),"Mob")</f>
        <v>Mob</v>
      </c>
      <c r="J365" s="1" t="b">
        <f>IFERROR(__xludf.DUMMYFUNCTION("""COMPUTED_VALUE"""),TRUE)</f>
        <v>1</v>
      </c>
      <c r="K365" s="1" t="str">
        <f>IFERROR(__xludf.DUMMYFUNCTION("""COMPUTED_VALUE"""),"Vehicle Power")</f>
        <v>Vehicle Power</v>
      </c>
      <c r="L365" s="1" t="b">
        <f>IFERROR(__xludf.DUMMYFUNCTION("""COMPUTED_VALUE"""),FALSE)</f>
        <v>0</v>
      </c>
      <c r="M365" s="21" t="b">
        <f>IFERROR(__xludf.DUMMYFUNCTION("""COMPUTED_VALUE"""),FALSE)</f>
        <v>0</v>
      </c>
      <c r="N365" s="1"/>
      <c r="O365" s="1"/>
      <c r="P365" s="1"/>
      <c r="Q365" s="1"/>
      <c r="R365" s="1"/>
      <c r="S365" s="1"/>
      <c r="T365" s="1"/>
      <c r="U365" s="1"/>
      <c r="V365" s="1"/>
      <c r="W365" s="1"/>
      <c r="X365" s="1"/>
      <c r="Y365" s="1"/>
      <c r="Z365" s="1"/>
    </row>
    <row r="366" ht="15.75" customHeight="1">
      <c r="A366" s="1" t="str">
        <f>IFERROR(__xludf.DUMMYFUNCTION("""COMPUTED_VALUE"""),"Dragon's Breath")</f>
        <v>Dragon's Breath</v>
      </c>
      <c r="B366" s="62">
        <f>IFERROR(__xludf.DUMMYFUNCTION("""COMPUTED_VALUE"""),1.0)</f>
        <v>1</v>
      </c>
      <c r="C366" s="1">
        <f>IFERROR(__xludf.DUMMYFUNCTION("""COMPUTED_VALUE"""),0.0)</f>
        <v>0</v>
      </c>
      <c r="D366" s="1"/>
      <c r="E366" s="1"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1" t="str">
        <f>IFERROR(__xludf.DUMMYFUNCTION("""COMPUTED_VALUE"""),"Natural/Cannot Avoid")</f>
        <v>Natural/Cannot Avoid</v>
      </c>
      <c r="G366" s="1" t="str">
        <f>IFERROR(__xludf.DUMMYFUNCTION("""COMPUTED_VALUE"""),"All")</f>
        <v>All</v>
      </c>
      <c r="H366" s="1" t="str">
        <f>IFERROR(__xludf.DUMMYFUNCTION("""COMPUTED_VALUE"""),"Physical")</f>
        <v>Physical</v>
      </c>
      <c r="I366" s="1" t="str">
        <f>IFERROR(__xludf.DUMMYFUNCTION("""COMPUTED_VALUE"""),"Mob")</f>
        <v>Mob</v>
      </c>
      <c r="J366" s="1" t="b">
        <f>IFERROR(__xludf.DUMMYFUNCTION("""COMPUTED_VALUE"""),TRUE)</f>
        <v>1</v>
      </c>
      <c r="K366" s="1" t="str">
        <f>IFERROR(__xludf.DUMMYFUNCTION("""COMPUTED_VALUE"""),"mob power")</f>
        <v>mob power</v>
      </c>
      <c r="L366" s="1" t="b">
        <f>IFERROR(__xludf.DUMMYFUNCTION("""COMPUTED_VALUE"""),FALSE)</f>
        <v>0</v>
      </c>
      <c r="M366" s="21" t="b">
        <f>IFERROR(__xludf.DUMMYFUNCTION("""COMPUTED_VALUE"""),FALSE)</f>
        <v>0</v>
      </c>
      <c r="N366" s="1"/>
      <c r="O366" s="1"/>
      <c r="P366" s="1"/>
      <c r="Q366" s="1"/>
      <c r="R366" s="1"/>
      <c r="S366" s="1"/>
      <c r="T366" s="1"/>
      <c r="U366" s="1"/>
      <c r="V366" s="1"/>
      <c r="W366" s="1"/>
      <c r="X366" s="1"/>
      <c r="Y366" s="1"/>
      <c r="Z366" s="1"/>
    </row>
    <row r="367" ht="15.75" customHeight="1">
      <c r="A367" s="1" t="str">
        <f>IFERROR(__xludf.DUMMYFUNCTION("""COMPUTED_VALUE"""),"Tackle")</f>
        <v>Tackle</v>
      </c>
      <c r="B367" s="62">
        <f>IFERROR(__xludf.DUMMYFUNCTION("""COMPUTED_VALUE"""),1.0)</f>
        <v>1</v>
      </c>
      <c r="C367" s="1">
        <f>IFERROR(__xludf.DUMMYFUNCTION("""COMPUTED_VALUE"""),0.0)</f>
        <v>0</v>
      </c>
      <c r="D367" s="1"/>
      <c r="E367" s="1" t="str">
        <f>IFERROR(__xludf.DUMMYFUNCTION("""COMPUTED_VALUE"""),"Stuns yourself and a single target for 1d4 rounds")</f>
        <v>Stuns yourself and a single target for 1d4 rounds</v>
      </c>
      <c r="F367" s="1" t="str">
        <f>IFERROR(__xludf.DUMMYFUNCTION("""COMPUTED_VALUE"""),"Natural/Hit or Miss")</f>
        <v>Natural/Hit or Miss</v>
      </c>
      <c r="G367" s="1">
        <f>IFERROR(__xludf.DUMMYFUNCTION("""COMPUTED_VALUE"""),1.0)</f>
        <v>1</v>
      </c>
      <c r="H367" s="1" t="str">
        <f>IFERROR(__xludf.DUMMYFUNCTION("""COMPUTED_VALUE"""),"Physical")</f>
        <v>Physical</v>
      </c>
      <c r="I367" s="1" t="str">
        <f>IFERROR(__xludf.DUMMYFUNCTION("""COMPUTED_VALUE"""),"Mob")</f>
        <v>Mob</v>
      </c>
      <c r="J367" s="1" t="b">
        <f>IFERROR(__xludf.DUMMYFUNCTION("""COMPUTED_VALUE"""),TRUE)</f>
        <v>1</v>
      </c>
      <c r="K367" s="1" t="str">
        <f>IFERROR(__xludf.DUMMYFUNCTION("""COMPUTED_VALUE"""),"mob power")</f>
        <v>mob power</v>
      </c>
      <c r="L367" s="1" t="b">
        <f>IFERROR(__xludf.DUMMYFUNCTION("""COMPUTED_VALUE"""),FALSE)</f>
        <v>0</v>
      </c>
      <c r="M367" s="21" t="b">
        <f>IFERROR(__xludf.DUMMYFUNCTION("""COMPUTED_VALUE"""),FALSE)</f>
        <v>0</v>
      </c>
      <c r="N367" s="1"/>
      <c r="O367" s="1"/>
      <c r="P367" s="1"/>
      <c r="Q367" s="1"/>
      <c r="R367" s="1"/>
      <c r="S367" s="1"/>
      <c r="T367" s="1"/>
      <c r="U367" s="1"/>
      <c r="V367" s="1"/>
      <c r="W367" s="1"/>
      <c r="X367" s="1"/>
      <c r="Y367" s="1"/>
      <c r="Z367" s="1"/>
    </row>
    <row r="368" ht="15.75" customHeight="1">
      <c r="A368" s="1" t="str">
        <f>IFERROR(__xludf.DUMMYFUNCTION("""COMPUTED_VALUE"""),"Guard")</f>
        <v>Guard</v>
      </c>
      <c r="B368" s="62">
        <f>IFERROR(__xludf.DUMMYFUNCTION("""COMPUTED_VALUE"""),1.0)</f>
        <v>1</v>
      </c>
      <c r="C368" s="1">
        <f>IFERROR(__xludf.DUMMYFUNCTION("""COMPUTED_VALUE"""),0.0)</f>
        <v>0</v>
      </c>
      <c r="D368" s="1"/>
      <c r="E368" s="1" t="str">
        <f>IFERROR(__xludf.DUMMYFUNCTION("""COMPUTED_VALUE"""),"X2 defense for the user only.")</f>
        <v>X2 defense for the user only.</v>
      </c>
      <c r="F368" s="1" t="str">
        <f>IFERROR(__xludf.DUMMYFUNCTION("""COMPUTED_VALUE"""),"Natural/Fail or Succeed")</f>
        <v>Natural/Fail or Succeed</v>
      </c>
      <c r="G368" s="1" t="str">
        <f>IFERROR(__xludf.DUMMYFUNCTION("""COMPUTED_VALUE"""),"Self")</f>
        <v>Self</v>
      </c>
      <c r="H368" s="1" t="str">
        <f>IFERROR(__xludf.DUMMYFUNCTION("""COMPUTED_VALUE"""),"Physical")</f>
        <v>Physical</v>
      </c>
      <c r="I368" s="1" t="str">
        <f>IFERROR(__xludf.DUMMYFUNCTION("""COMPUTED_VALUE"""),"Player")</f>
        <v>Player</v>
      </c>
      <c r="J368" s="1" t="b">
        <f>IFERROR(__xludf.DUMMYFUNCTION("""COMPUTED_VALUE"""),FALSE)</f>
        <v>0</v>
      </c>
      <c r="K368" s="1"/>
      <c r="L368" s="1" t="b">
        <f>IFERROR(__xludf.DUMMYFUNCTION("""COMPUTED_VALUE"""),FALSE)</f>
        <v>0</v>
      </c>
      <c r="M368" s="21" t="b">
        <f>IFERROR(__xludf.DUMMYFUNCTION("""COMPUTED_VALUE"""),FALSE)</f>
        <v>0</v>
      </c>
      <c r="N368" s="1"/>
      <c r="O368" s="1"/>
      <c r="P368" s="1"/>
      <c r="Q368" s="1"/>
      <c r="R368" s="1"/>
      <c r="S368" s="1"/>
      <c r="T368" s="1"/>
      <c r="U368" s="1"/>
      <c r="V368" s="1"/>
      <c r="W368" s="1"/>
      <c r="X368" s="1"/>
      <c r="Y368" s="1"/>
      <c r="Z368" s="1"/>
    </row>
    <row r="369" ht="15.75" customHeight="1">
      <c r="A369" s="1" t="str">
        <f>IFERROR(__xludf.DUMMYFUNCTION("""COMPUTED_VALUE"""),"Aggresive Tear")</f>
        <v>Aggresive Tear</v>
      </c>
      <c r="B369" s="62">
        <f>IFERROR(__xludf.DUMMYFUNCTION("""COMPUTED_VALUE"""),1.0)</f>
        <v>1</v>
      </c>
      <c r="C369" s="1">
        <f>IFERROR(__xludf.DUMMYFUNCTION("""COMPUTED_VALUE"""),0.0)</f>
        <v>0</v>
      </c>
      <c r="D369" s="1"/>
      <c r="E369" s="1" t="str">
        <f>IFERROR(__xludf.DUMMYFUNCTION("""COMPUTED_VALUE"""),"15% chance to lower a targets defense by half")</f>
        <v>15% chance to lower a targets defense by half</v>
      </c>
      <c r="F369" s="1" t="str">
        <f>IFERROR(__xludf.DUMMYFUNCTION("""COMPUTED_VALUE"""),"Natural/Fail or Succeed")</f>
        <v>Natural/Fail or Succeed</v>
      </c>
      <c r="G369" s="1">
        <f>IFERROR(__xludf.DUMMYFUNCTION("""COMPUTED_VALUE"""),1.0)</f>
        <v>1</v>
      </c>
      <c r="H369" s="1" t="str">
        <f>IFERROR(__xludf.DUMMYFUNCTION("""COMPUTED_VALUE"""),"Physical")</f>
        <v>Physical</v>
      </c>
      <c r="I369" s="1" t="str">
        <f>IFERROR(__xludf.DUMMYFUNCTION("""COMPUTED_VALUE"""),"Player")</f>
        <v>Player</v>
      </c>
      <c r="J369" s="1" t="b">
        <f>IFERROR(__xludf.DUMMYFUNCTION("""COMPUTED_VALUE"""),TRUE)</f>
        <v>1</v>
      </c>
      <c r="K369" s="1" t="str">
        <f>IFERROR(__xludf.DUMMYFUNCTION("""COMPUTED_VALUE"""),"mob power")</f>
        <v>mob power</v>
      </c>
      <c r="L369" s="1" t="b">
        <f>IFERROR(__xludf.DUMMYFUNCTION("""COMPUTED_VALUE"""),FALSE)</f>
        <v>0</v>
      </c>
      <c r="M369" s="21" t="b">
        <f>IFERROR(__xludf.DUMMYFUNCTION("""COMPUTED_VALUE"""),FALSE)</f>
        <v>0</v>
      </c>
      <c r="N369" s="1"/>
      <c r="O369" s="1"/>
      <c r="P369" s="1"/>
      <c r="Q369" s="1"/>
      <c r="R369" s="1"/>
      <c r="S369" s="1"/>
      <c r="T369" s="1"/>
      <c r="U369" s="1"/>
      <c r="V369" s="1"/>
      <c r="W369" s="1"/>
      <c r="X369" s="1"/>
      <c r="Y369" s="1"/>
      <c r="Z369" s="1"/>
    </row>
    <row r="370" ht="15.75" customHeight="1">
      <c r="A370" s="1" t="str">
        <f>IFERROR(__xludf.DUMMYFUNCTION("""COMPUTED_VALUE"""),"Taunt (Mob)")</f>
        <v>Taunt (Mob)</v>
      </c>
      <c r="B370" s="62">
        <f>IFERROR(__xludf.DUMMYFUNCTION("""COMPUTED_VALUE"""),1.0)</f>
        <v>1</v>
      </c>
      <c r="C370" s="1">
        <f>IFERROR(__xludf.DUMMYFUNCTION("""COMPUTED_VALUE"""),0.0)</f>
        <v>0</v>
      </c>
      <c r="D370" s="1"/>
      <c r="E370" s="1"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1" t="str">
        <f>IFERROR(__xludf.DUMMYFUNCTION("""COMPUTED_VALUE"""),"Natural/Fail or Succeed")</f>
        <v>Natural/Fail or Succeed</v>
      </c>
      <c r="G370" s="1" t="str">
        <f>IFERROR(__xludf.DUMMYFUNCTION("""COMPUTED_VALUE"""),"All")</f>
        <v>All</v>
      </c>
      <c r="H370" s="1" t="str">
        <f>IFERROR(__xludf.DUMMYFUNCTION("""COMPUTED_VALUE"""),"Physical")</f>
        <v>Physical</v>
      </c>
      <c r="I370" s="1" t="str">
        <f>IFERROR(__xludf.DUMMYFUNCTION("""COMPUTED_VALUE"""),"Mob")</f>
        <v>Mob</v>
      </c>
      <c r="J370" s="1" t="b">
        <f>IFERROR(__xludf.DUMMYFUNCTION("""COMPUTED_VALUE"""),TRUE)</f>
        <v>1</v>
      </c>
      <c r="K370" s="1"/>
      <c r="L370" s="1" t="b">
        <f>IFERROR(__xludf.DUMMYFUNCTION("""COMPUTED_VALUE"""),FALSE)</f>
        <v>0</v>
      </c>
      <c r="M370" s="21" t="b">
        <f>IFERROR(__xludf.DUMMYFUNCTION("""COMPUTED_VALUE"""),FALSE)</f>
        <v>0</v>
      </c>
      <c r="N370" s="1"/>
      <c r="O370" s="1"/>
      <c r="P370" s="1"/>
      <c r="Q370" s="1"/>
      <c r="R370" s="1"/>
      <c r="S370" s="1"/>
      <c r="T370" s="1"/>
      <c r="U370" s="1"/>
      <c r="V370" s="1"/>
      <c r="W370" s="1"/>
      <c r="X370" s="1"/>
      <c r="Y370" s="1"/>
      <c r="Z370" s="1"/>
    </row>
    <row r="371" ht="15.75" customHeight="1">
      <c r="A371" s="1" t="str">
        <f>IFERROR(__xludf.DUMMYFUNCTION("""COMPUTED_VALUE"""),"Distracting Blow")</f>
        <v>Distracting Blow</v>
      </c>
      <c r="B371" s="62">
        <f>IFERROR(__xludf.DUMMYFUNCTION("""COMPUTED_VALUE"""),1.0)</f>
        <v>1</v>
      </c>
      <c r="C371" s="1">
        <f>IFERROR(__xludf.DUMMYFUNCTION("""COMPUTED_VALUE"""),0.0)</f>
        <v>0</v>
      </c>
      <c r="D371" s="1"/>
      <c r="E371" s="1"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1" t="str">
        <f>IFERROR(__xludf.DUMMYFUNCTION("""COMPUTED_VALUE"""),"Natural/Hit or Miss")</f>
        <v>Natural/Hit or Miss</v>
      </c>
      <c r="G371" s="1">
        <f>IFERROR(__xludf.DUMMYFUNCTION("""COMPUTED_VALUE"""),1.0)</f>
        <v>1</v>
      </c>
      <c r="H371" s="1" t="str">
        <f>IFERROR(__xludf.DUMMYFUNCTION("""COMPUTED_VALUE"""),"Physical")</f>
        <v>Physical</v>
      </c>
      <c r="I371" s="1" t="str">
        <f>IFERROR(__xludf.DUMMYFUNCTION("""COMPUTED_VALUE"""),"Mob")</f>
        <v>Mob</v>
      </c>
      <c r="J371" s="1" t="b">
        <f>IFERROR(__xludf.DUMMYFUNCTION("""COMPUTED_VALUE"""),TRUE)</f>
        <v>1</v>
      </c>
      <c r="K371" s="1" t="str">
        <f>IFERROR(__xludf.DUMMYFUNCTION("""COMPUTED_VALUE"""),"mob power")</f>
        <v>mob power</v>
      </c>
      <c r="L371" s="1" t="b">
        <f>IFERROR(__xludf.DUMMYFUNCTION("""COMPUTED_VALUE"""),TRUE)</f>
        <v>1</v>
      </c>
      <c r="M371" s="21" t="b">
        <f>IFERROR(__xludf.DUMMYFUNCTION("""COMPUTED_VALUE"""),TRUE)</f>
        <v>1</v>
      </c>
      <c r="N371" s="1"/>
      <c r="O371" s="1"/>
      <c r="P371" s="1"/>
      <c r="Q371" s="1"/>
      <c r="R371" s="1"/>
      <c r="S371" s="1"/>
      <c r="T371" s="1"/>
      <c r="U371" s="1"/>
      <c r="V371" s="1"/>
      <c r="W371" s="1"/>
      <c r="X371" s="1"/>
      <c r="Y371" s="1"/>
      <c r="Z371" s="1"/>
    </row>
    <row r="372" ht="15.75" customHeight="1">
      <c r="A372" s="1" t="str">
        <f>IFERROR(__xludf.DUMMYFUNCTION("""COMPUTED_VALUE"""),"Gore")</f>
        <v>Gore</v>
      </c>
      <c r="B372" s="62">
        <f>IFERROR(__xludf.DUMMYFUNCTION("""COMPUTED_VALUE"""),1.0)</f>
        <v>1</v>
      </c>
      <c r="C372" s="1">
        <f>IFERROR(__xludf.DUMMYFUNCTION("""COMPUTED_VALUE"""),0.0)</f>
        <v>0</v>
      </c>
      <c r="D372" s="1"/>
      <c r="E372" s="1" t="str">
        <f>IFERROR(__xludf.DUMMYFUNCTION("""COMPUTED_VALUE"""),"Deal X4 your attack bonus as damage to each enemy, 25% chance to use this action again in the same turn.")</f>
        <v>Deal X4 your attack bonus as damage to each enemy, 25% chance to use this action again in the same turn.</v>
      </c>
      <c r="F372" s="1" t="str">
        <f>IFERROR(__xludf.DUMMYFUNCTION("""COMPUTED_VALUE"""),"Natural/Cannot Avoid")</f>
        <v>Natural/Cannot Avoid</v>
      </c>
      <c r="G372" s="1" t="str">
        <f>IFERROR(__xludf.DUMMYFUNCTION("""COMPUTED_VALUE"""),"All")</f>
        <v>All</v>
      </c>
      <c r="H372" s="1" t="str">
        <f>IFERROR(__xludf.DUMMYFUNCTION("""COMPUTED_VALUE"""),"Physical")</f>
        <v>Physical</v>
      </c>
      <c r="I372" s="1" t="str">
        <f>IFERROR(__xludf.DUMMYFUNCTION("""COMPUTED_VALUE"""),"Mob")</f>
        <v>Mob</v>
      </c>
      <c r="J372" s="1" t="b">
        <f>IFERROR(__xludf.DUMMYFUNCTION("""COMPUTED_VALUE"""),TRUE)</f>
        <v>1</v>
      </c>
      <c r="K372" s="1" t="str">
        <f>IFERROR(__xludf.DUMMYFUNCTION("""COMPUTED_VALUE"""),"mob power")</f>
        <v>mob power</v>
      </c>
      <c r="L372" s="1" t="b">
        <f>IFERROR(__xludf.DUMMYFUNCTION("""COMPUTED_VALUE"""),FALSE)</f>
        <v>0</v>
      </c>
      <c r="M372" s="21" t="b">
        <f>IFERROR(__xludf.DUMMYFUNCTION("""COMPUTED_VALUE"""),FALSE)</f>
        <v>0</v>
      </c>
      <c r="N372" s="1"/>
      <c r="O372" s="1"/>
      <c r="P372" s="1"/>
      <c r="Q372" s="1"/>
      <c r="R372" s="1"/>
      <c r="S372" s="1"/>
      <c r="T372" s="1"/>
      <c r="U372" s="1"/>
      <c r="V372" s="1"/>
      <c r="W372" s="1"/>
      <c r="X372" s="1"/>
      <c r="Y372" s="1"/>
      <c r="Z372" s="1"/>
    </row>
    <row r="373" ht="15.75" customHeight="1">
      <c r="A373" s="1" t="str">
        <f>IFERROR(__xludf.DUMMYFUNCTION("""COMPUTED_VALUE"""),"Parry")</f>
        <v>Parry</v>
      </c>
      <c r="B373" s="62">
        <f>IFERROR(__xludf.DUMMYFUNCTION("""COMPUTED_VALUE"""),1.0)</f>
        <v>1</v>
      </c>
      <c r="C373" s="1">
        <f>IFERROR(__xludf.DUMMYFUNCTION("""COMPUTED_VALUE"""),0.0)</f>
        <v>0</v>
      </c>
      <c r="D373" s="1"/>
      <c r="E373" s="1" t="str">
        <f>IFERROR(__xludf.DUMMYFUNCTION("""COMPUTED_VALUE"""),"(requires a weapon be equipped) parry the next weapon attack as per the handbook ability: Parry")</f>
        <v>(requires a weapon be equipped) parry the next weapon attack as per the handbook ability: Parry</v>
      </c>
      <c r="F373" s="1" t="str">
        <f>IFERROR(__xludf.DUMMYFUNCTION("""COMPUTED_VALUE"""),"Natural/Fail or Succeed")</f>
        <v>Natural/Fail or Succeed</v>
      </c>
      <c r="G373" s="1" t="str">
        <f>IFERROR(__xludf.DUMMYFUNCTION("""COMPUTED_VALUE"""),"Self")</f>
        <v>Self</v>
      </c>
      <c r="H373" s="1" t="str">
        <f>IFERROR(__xludf.DUMMYFUNCTION("""COMPUTED_VALUE"""),"Physical")</f>
        <v>Physical</v>
      </c>
      <c r="I373" s="1" t="str">
        <f>IFERROR(__xludf.DUMMYFUNCTION("""COMPUTED_VALUE"""),"Player")</f>
        <v>Player</v>
      </c>
      <c r="J373" s="1" t="b">
        <f>IFERROR(__xludf.DUMMYFUNCTION("""COMPUTED_VALUE"""),FALSE)</f>
        <v>0</v>
      </c>
      <c r="K373" s="1"/>
      <c r="L373" s="1" t="b">
        <f>IFERROR(__xludf.DUMMYFUNCTION("""COMPUTED_VALUE"""),FALSE)</f>
        <v>0</v>
      </c>
      <c r="M373" s="21" t="b">
        <f>IFERROR(__xludf.DUMMYFUNCTION("""COMPUTED_VALUE"""),FALSE)</f>
        <v>0</v>
      </c>
      <c r="N373" s="1"/>
      <c r="O373" s="1"/>
      <c r="P373" s="1"/>
      <c r="Q373" s="1"/>
      <c r="R373" s="1"/>
      <c r="S373" s="1"/>
      <c r="T373" s="1"/>
      <c r="U373" s="1"/>
      <c r="V373" s="1"/>
      <c r="W373" s="1"/>
      <c r="X373" s="1"/>
      <c r="Y373" s="1"/>
      <c r="Z373" s="1"/>
    </row>
    <row r="374" ht="15.75" customHeight="1">
      <c r="A374" s="1" t="str">
        <f>IFERROR(__xludf.DUMMYFUNCTION("""COMPUTED_VALUE"""),"Dive Bomb")</f>
        <v>Dive Bomb</v>
      </c>
      <c r="B374" s="62">
        <f>IFERROR(__xludf.DUMMYFUNCTION("""COMPUTED_VALUE"""),9.0)</f>
        <v>9</v>
      </c>
      <c r="C374" s="1"/>
      <c r="D374" s="1" t="str">
        <f>IFERROR(__xludf.DUMMYFUNCTION("""COMPUTED_VALUE"""),"X")</f>
        <v>X</v>
      </c>
      <c r="E374" s="1"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1" t="str">
        <f>IFERROR(__xludf.DUMMYFUNCTION("""COMPUTED_VALUE"""),"Cannot Avoid")</f>
        <v>Cannot Avoid</v>
      </c>
      <c r="G374" s="1" t="str">
        <f>IFERROR(__xludf.DUMMYFUNCTION("""COMPUTED_VALUE"""),"All")</f>
        <v>All</v>
      </c>
      <c r="H374" s="1" t="str">
        <f>IFERROR(__xludf.DUMMYFUNCTION("""COMPUTED_VALUE"""),"Physical")</f>
        <v>Physical</v>
      </c>
      <c r="I374" s="1" t="str">
        <f>IFERROR(__xludf.DUMMYFUNCTION("""COMPUTED_VALUE"""),"Mob")</f>
        <v>Mob</v>
      </c>
      <c r="J374" s="1" t="b">
        <f>IFERROR(__xludf.DUMMYFUNCTION("""COMPUTED_VALUE"""),TRUE)</f>
        <v>1</v>
      </c>
      <c r="K374" s="1" t="str">
        <f>IFERROR(__xludf.DUMMYFUNCTION("""COMPUTED_VALUE"""),"mob power")</f>
        <v>mob power</v>
      </c>
      <c r="L374" s="1" t="b">
        <f>IFERROR(__xludf.DUMMYFUNCTION("""COMPUTED_VALUE"""),FALSE)</f>
        <v>0</v>
      </c>
      <c r="M374" s="21" t="b">
        <f>IFERROR(__xludf.DUMMYFUNCTION("""COMPUTED_VALUE"""),FALSE)</f>
        <v>0</v>
      </c>
      <c r="N374" s="1"/>
      <c r="O374" s="1"/>
      <c r="P374" s="1"/>
      <c r="Q374" s="1"/>
      <c r="R374" s="1"/>
      <c r="S374" s="1"/>
      <c r="T374" s="1"/>
      <c r="U374" s="1"/>
      <c r="V374" s="1"/>
      <c r="W374" s="1"/>
      <c r="X374" s="1"/>
      <c r="Y374" s="1"/>
      <c r="Z374" s="1"/>
    </row>
    <row r="375" ht="15.75" customHeight="1">
      <c r="A375" s="1" t="str">
        <f>IFERROR(__xludf.DUMMYFUNCTION("""COMPUTED_VALUE"""),"Taunt")</f>
        <v>Taunt</v>
      </c>
      <c r="B375" s="62">
        <f>IFERROR(__xludf.DUMMYFUNCTION("""COMPUTED_VALUE"""),1.0)</f>
        <v>1</v>
      </c>
      <c r="C375" s="1">
        <f>IFERROR(__xludf.DUMMYFUNCTION("""COMPUTED_VALUE"""),0.0)</f>
        <v>0</v>
      </c>
      <c r="D375" s="1"/>
      <c r="E375" s="1"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1" t="str">
        <f>IFERROR(__xludf.DUMMYFUNCTION("""COMPUTED_VALUE"""),"Natural/Fail or succeed")</f>
        <v>Natural/Fail or succeed</v>
      </c>
      <c r="G375" s="1">
        <f>IFERROR(__xludf.DUMMYFUNCTION("""COMPUTED_VALUE"""),1.0)</f>
        <v>1</v>
      </c>
      <c r="H375" s="1" t="str">
        <f>IFERROR(__xludf.DUMMYFUNCTION("""COMPUTED_VALUE"""),"Physical")</f>
        <v>Physical</v>
      </c>
      <c r="I375" s="1" t="str">
        <f>IFERROR(__xludf.DUMMYFUNCTION("""COMPUTED_VALUE"""),"Player")</f>
        <v>Player</v>
      </c>
      <c r="J375" s="1" t="b">
        <f>IFERROR(__xludf.DUMMYFUNCTION("""COMPUTED_VALUE"""),FALSE)</f>
        <v>0</v>
      </c>
      <c r="K375" s="1"/>
      <c r="L375" s="1" t="b">
        <f>IFERROR(__xludf.DUMMYFUNCTION("""COMPUTED_VALUE"""),FALSE)</f>
        <v>0</v>
      </c>
      <c r="M375" s="21" t="b">
        <f>IFERROR(__xludf.DUMMYFUNCTION("""COMPUTED_VALUE"""),FALSE)</f>
        <v>0</v>
      </c>
      <c r="N375" s="1"/>
      <c r="O375" s="1"/>
      <c r="P375" s="1"/>
      <c r="Q375" s="1"/>
      <c r="R375" s="1"/>
      <c r="S375" s="1"/>
      <c r="T375" s="1"/>
      <c r="U375" s="1"/>
      <c r="V375" s="1"/>
      <c r="W375" s="1"/>
      <c r="X375" s="1"/>
      <c r="Y375" s="1"/>
      <c r="Z375" s="1"/>
    </row>
    <row r="376" ht="15.75" customHeight="1">
      <c r="A376" s="1" t="str">
        <f>IFERROR(__xludf.DUMMYFUNCTION("""COMPUTED_VALUE"""),"Lasso")</f>
        <v>Lasso</v>
      </c>
      <c r="B376" s="62">
        <f>IFERROR(__xludf.DUMMYFUNCTION("""COMPUTED_VALUE"""),1.0)</f>
        <v>1</v>
      </c>
      <c r="C376" s="1">
        <f>IFERROR(__xludf.DUMMYFUNCTION("""COMPUTED_VALUE"""),0.0)</f>
        <v>0</v>
      </c>
      <c r="D376" s="1"/>
      <c r="E376" s="1"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1" t="str">
        <f>IFERROR(__xludf.DUMMYFUNCTION("""COMPUTED_VALUE"""),"Natural/Hit or Miss")</f>
        <v>Natural/Hit or Miss</v>
      </c>
      <c r="G376" s="1">
        <f>IFERROR(__xludf.DUMMYFUNCTION("""COMPUTED_VALUE"""),1.0)</f>
        <v>1</v>
      </c>
      <c r="H376" s="1" t="str">
        <f>IFERROR(__xludf.DUMMYFUNCTION("""COMPUTED_VALUE"""),"Physical")</f>
        <v>Physical</v>
      </c>
      <c r="I376" s="1" t="str">
        <f>IFERROR(__xludf.DUMMYFUNCTION("""COMPUTED_VALUE"""),"Player")</f>
        <v>Player</v>
      </c>
      <c r="J376" s="1" t="b">
        <f>IFERROR(__xludf.DUMMYFUNCTION("""COMPUTED_VALUE"""),TRUE)</f>
        <v>1</v>
      </c>
      <c r="K376" s="1" t="str">
        <f>IFERROR(__xludf.DUMMYFUNCTION("""COMPUTED_VALUE"""),"mob and class exclusive.")</f>
        <v>mob and class exclusive.</v>
      </c>
      <c r="L376" s="1" t="b">
        <f>IFERROR(__xludf.DUMMYFUNCTION("""COMPUTED_VALUE"""),TRUE)</f>
        <v>1</v>
      </c>
      <c r="M376" s="21" t="b">
        <f>IFERROR(__xludf.DUMMYFUNCTION("""COMPUTED_VALUE"""),FALSE)</f>
        <v>0</v>
      </c>
      <c r="N376" s="1"/>
      <c r="O376" s="1"/>
      <c r="P376" s="1"/>
      <c r="Q376" s="1"/>
      <c r="R376" s="1"/>
      <c r="S376" s="1"/>
      <c r="T376" s="1"/>
      <c r="U376" s="1"/>
      <c r="V376" s="1"/>
      <c r="W376" s="1"/>
      <c r="X376" s="1"/>
      <c r="Y376" s="1"/>
      <c r="Z376" s="1"/>
    </row>
    <row r="377" ht="15.75" customHeight="1">
      <c r="A377" s="1" t="str">
        <f>IFERROR(__xludf.DUMMYFUNCTION("""COMPUTED_VALUE"""),"Captivating Wobble")</f>
        <v>Captivating Wobble</v>
      </c>
      <c r="B377" s="62">
        <f>IFERROR(__xludf.DUMMYFUNCTION("""COMPUTED_VALUE"""),9.0)</f>
        <v>9</v>
      </c>
      <c r="C377" s="7">
        <f>IFERROR(__xludf.DUMMYFUNCTION("""COMPUTED_VALUE"""),50000.0)</f>
        <v>50000</v>
      </c>
      <c r="D377" s="1"/>
      <c r="E377" s="1" t="str">
        <f>IFERROR(__xludf.DUMMYFUNCTION("""COMPUTED_VALUE"""),"Stun all enemies for three rounds.")</f>
        <v>Stun all enemies for three rounds.</v>
      </c>
      <c r="F377" s="1" t="str">
        <f>IFERROR(__xludf.DUMMYFUNCTION("""COMPUTED_VALUE"""),"Fail/Succeed")</f>
        <v>Fail/Succeed</v>
      </c>
      <c r="G377" s="1" t="str">
        <f>IFERROR(__xludf.DUMMYFUNCTION("""COMPUTED_VALUE"""),"All")</f>
        <v>All</v>
      </c>
      <c r="H377" s="1" t="str">
        <f>IFERROR(__xludf.DUMMYFUNCTION("""COMPUTED_VALUE"""),"Physical")</f>
        <v>Physical</v>
      </c>
      <c r="I377" s="1" t="str">
        <f>IFERROR(__xludf.DUMMYFUNCTION("""COMPUTED_VALUE"""),"Mob")</f>
        <v>Mob</v>
      </c>
      <c r="J377" s="1" t="b">
        <f>IFERROR(__xludf.DUMMYFUNCTION("""COMPUTED_VALUE"""),TRUE)</f>
        <v>1</v>
      </c>
      <c r="K377" s="1" t="str">
        <f>IFERROR(__xludf.DUMMYFUNCTION("""COMPUTED_VALUE"""),"Event ")</f>
        <v>Event </v>
      </c>
      <c r="L377" s="1" t="b">
        <f>IFERROR(__xludf.DUMMYFUNCTION("""COMPUTED_VALUE"""),FALSE)</f>
        <v>0</v>
      </c>
      <c r="M377" s="21" t="b">
        <f>IFERROR(__xludf.DUMMYFUNCTION("""COMPUTED_VALUE"""),FALSE)</f>
        <v>0</v>
      </c>
      <c r="N377" s="1" t="str">
        <f>IFERROR(__xludf.DUMMYFUNCTION("""COMPUTED_VALUE"""),"Event Hub")</f>
        <v>Event Hub</v>
      </c>
      <c r="O377" s="1"/>
      <c r="P377" s="1"/>
      <c r="Q377" s="1"/>
      <c r="R377" s="1"/>
      <c r="S377" s="1"/>
      <c r="T377" s="1"/>
      <c r="U377" s="1"/>
      <c r="V377" s="1"/>
      <c r="W377" s="1"/>
      <c r="X377" s="1"/>
      <c r="Y377" s="1"/>
      <c r="Z377" s="1"/>
    </row>
    <row r="378" ht="15.75" customHeight="1">
      <c r="A378" s="1" t="str">
        <f>IFERROR(__xludf.DUMMYFUNCTION("""COMPUTED_VALUE"""),"Grash's Smashing Success")</f>
        <v>Grash's Smashing Success</v>
      </c>
      <c r="B378" s="62">
        <f>IFERROR(__xludf.DUMMYFUNCTION("""COMPUTED_VALUE"""),1.0)</f>
        <v>1</v>
      </c>
      <c r="C378" s="1">
        <f>IFERROR(__xludf.DUMMYFUNCTION("""COMPUTED_VALUE"""),0.0)</f>
        <v>0</v>
      </c>
      <c r="D378" s="1"/>
      <c r="E378" s="1" t="str">
        <f>IFERROR(__xludf.DUMMYFUNCTION("""COMPUTED_VALUE"""),"Slam your weapon into the Ground disarming you and all opponents for 3 rounds.")</f>
        <v>Slam your weapon into the Ground disarming you and all opponents for 3 rounds.</v>
      </c>
      <c r="F378" s="1" t="str">
        <f>IFERROR(__xludf.DUMMYFUNCTION("""COMPUTED_VALUE"""),"Natural/Fail or Succeed")</f>
        <v>Natural/Fail or Succeed</v>
      </c>
      <c r="G378" s="1" t="str">
        <f>IFERROR(__xludf.DUMMYFUNCTION("""COMPUTED_VALUE"""),"All")</f>
        <v>All</v>
      </c>
      <c r="H378" s="1" t="str">
        <f>IFERROR(__xludf.DUMMYFUNCTION("""COMPUTED_VALUE"""),"Physical")</f>
        <v>Physical</v>
      </c>
      <c r="I378" s="1" t="str">
        <f>IFERROR(__xludf.DUMMYFUNCTION("""COMPUTED_VALUE"""),"Mob")</f>
        <v>Mob</v>
      </c>
      <c r="J378" s="1" t="b">
        <f>IFERROR(__xludf.DUMMYFUNCTION("""COMPUTED_VALUE"""),TRUE)</f>
        <v>1</v>
      </c>
      <c r="K378" s="1"/>
      <c r="L378" s="1" t="b">
        <f>IFERROR(__xludf.DUMMYFUNCTION("""COMPUTED_VALUE"""),FALSE)</f>
        <v>0</v>
      </c>
      <c r="M378" s="21" t="b">
        <f>IFERROR(__xludf.DUMMYFUNCTION("""COMPUTED_VALUE"""),FALSE)</f>
        <v>0</v>
      </c>
      <c r="N378" s="1"/>
      <c r="O378" s="1"/>
      <c r="P378" s="1"/>
      <c r="Q378" s="1"/>
      <c r="R378" s="1"/>
      <c r="S378" s="1"/>
      <c r="T378" s="1"/>
      <c r="U378" s="1"/>
      <c r="V378" s="1"/>
      <c r="W378" s="1"/>
      <c r="X378" s="1"/>
      <c r="Y378" s="1"/>
      <c r="Z378" s="1"/>
    </row>
    <row r="379" ht="15.75" customHeight="1">
      <c r="A379" s="1" t="str">
        <f>IFERROR(__xludf.DUMMYFUNCTION("""COMPUTED_VALUE"""),"Greater Dragon's Breath")</f>
        <v>Greater Dragon's Breath</v>
      </c>
      <c r="B379" s="62">
        <f>IFERROR(__xludf.DUMMYFUNCTION("""COMPUTED_VALUE"""),9.0)</f>
        <v>9</v>
      </c>
      <c r="C379" s="1">
        <f>IFERROR(__xludf.DUMMYFUNCTION("""COMPUTED_VALUE"""),0.0)</f>
        <v>0</v>
      </c>
      <c r="D379" s="1"/>
      <c r="E379" s="1"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1" t="str">
        <f>IFERROR(__xludf.DUMMYFUNCTION("""COMPUTED_VALUE"""),"Natural/Cannot Avoid")</f>
        <v>Natural/Cannot Avoid</v>
      </c>
      <c r="G379" s="1" t="str">
        <f>IFERROR(__xludf.DUMMYFUNCTION("""COMPUTED_VALUE"""),"All")</f>
        <v>All</v>
      </c>
      <c r="H379" s="1" t="str">
        <f>IFERROR(__xludf.DUMMYFUNCTION("""COMPUTED_VALUE"""),"Physical")</f>
        <v>Physical</v>
      </c>
      <c r="I379" s="1" t="str">
        <f>IFERROR(__xludf.DUMMYFUNCTION("""COMPUTED_VALUE"""),"Mob")</f>
        <v>Mob</v>
      </c>
      <c r="J379" s="1" t="b">
        <f>IFERROR(__xludf.DUMMYFUNCTION("""COMPUTED_VALUE"""),TRUE)</f>
        <v>1</v>
      </c>
      <c r="K379" s="1"/>
      <c r="L379" s="1" t="b">
        <f>IFERROR(__xludf.DUMMYFUNCTION("""COMPUTED_VALUE"""),FALSE)</f>
        <v>0</v>
      </c>
      <c r="M379" s="21" t="b">
        <f>IFERROR(__xludf.DUMMYFUNCTION("""COMPUTED_VALUE"""),FALSE)</f>
        <v>0</v>
      </c>
      <c r="N379" s="1"/>
      <c r="O379" s="1"/>
      <c r="P379" s="1"/>
      <c r="Q379" s="1"/>
      <c r="R379" s="1"/>
      <c r="S379" s="1"/>
      <c r="T379" s="1"/>
      <c r="U379" s="1"/>
      <c r="V379" s="1"/>
      <c r="W379" s="1"/>
      <c r="X379" s="1"/>
      <c r="Y379" s="1"/>
      <c r="Z379" s="1"/>
    </row>
    <row r="380" ht="15.75" customHeight="1">
      <c r="A380" s="1" t="str">
        <f>IFERROR(__xludf.DUMMYFUNCTION("""COMPUTED_VALUE"""),"Divine Dragon's Breath")</f>
        <v>Divine Dragon's Breath</v>
      </c>
      <c r="B380" s="62">
        <f>IFERROR(__xludf.DUMMYFUNCTION("""COMPUTED_VALUE"""),9.0)</f>
        <v>9</v>
      </c>
      <c r="C380" s="1">
        <f>IFERROR(__xludf.DUMMYFUNCTION("""COMPUTED_VALUE"""),0.0)</f>
        <v>0</v>
      </c>
      <c r="D380" s="1"/>
      <c r="E380" s="1"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1" t="str">
        <f>IFERROR(__xludf.DUMMYFUNCTION("""COMPUTED_VALUE"""),"Natural/Cannot Avoid")</f>
        <v>Natural/Cannot Avoid</v>
      </c>
      <c r="G380" s="1" t="str">
        <f>IFERROR(__xludf.DUMMYFUNCTION("""COMPUTED_VALUE"""),"All")</f>
        <v>All</v>
      </c>
      <c r="H380" s="1" t="str">
        <f>IFERROR(__xludf.DUMMYFUNCTION("""COMPUTED_VALUE"""),"Physical")</f>
        <v>Physical</v>
      </c>
      <c r="I380" s="1" t="str">
        <f>IFERROR(__xludf.DUMMYFUNCTION("""COMPUTED_VALUE"""),"Mob")</f>
        <v>Mob</v>
      </c>
      <c r="J380" s="1" t="b">
        <f>IFERROR(__xludf.DUMMYFUNCTION("""COMPUTED_VALUE"""),TRUE)</f>
        <v>1</v>
      </c>
      <c r="K380" s="1"/>
      <c r="L380" s="1" t="b">
        <f>IFERROR(__xludf.DUMMYFUNCTION("""COMPUTED_VALUE"""),FALSE)</f>
        <v>0</v>
      </c>
      <c r="M380" s="21" t="b">
        <f>IFERROR(__xludf.DUMMYFUNCTION("""COMPUTED_VALUE"""),FALSE)</f>
        <v>0</v>
      </c>
      <c r="N380" s="1"/>
      <c r="O380" s="1"/>
      <c r="P380" s="1"/>
      <c r="Q380" s="1"/>
      <c r="R380" s="1"/>
      <c r="S380" s="1"/>
      <c r="T380" s="1"/>
      <c r="U380" s="1"/>
      <c r="V380" s="1"/>
      <c r="W380" s="1"/>
      <c r="X380" s="1"/>
      <c r="Y380" s="1"/>
      <c r="Z380" s="1"/>
    </row>
    <row r="381" ht="15.75" customHeight="1">
      <c r="A381" s="1" t="str">
        <f>IFERROR(__xludf.DUMMYFUNCTION("""COMPUTED_VALUE"""),"Trample")</f>
        <v>Trample</v>
      </c>
      <c r="B381" s="62">
        <f>IFERROR(__xludf.DUMMYFUNCTION("""COMPUTED_VALUE"""),1.0)</f>
        <v>1</v>
      </c>
      <c r="C381" s="1">
        <f>IFERROR(__xludf.DUMMYFUNCTION("""COMPUTED_VALUE"""),0.0)</f>
        <v>0</v>
      </c>
      <c r="D381" s="1"/>
      <c r="E381" s="1" t="str">
        <f>IFERROR(__xludf.DUMMYFUNCTION("""COMPUTED_VALUE"""),"Deal damage equal to your attack.")</f>
        <v>Deal damage equal to your attack.</v>
      </c>
      <c r="F381" s="1" t="str">
        <f>IFERROR(__xludf.DUMMYFUNCTION("""COMPUTED_VALUE"""),"Natural/Hit or Miss")</f>
        <v>Natural/Hit or Miss</v>
      </c>
      <c r="G381" s="1">
        <f>IFERROR(__xludf.DUMMYFUNCTION("""COMPUTED_VALUE"""),1.0)</f>
        <v>1</v>
      </c>
      <c r="H381" s="1" t="str">
        <f>IFERROR(__xludf.DUMMYFUNCTION("""COMPUTED_VALUE"""),"Physical")</f>
        <v>Physical</v>
      </c>
      <c r="I381" s="1" t="str">
        <f>IFERROR(__xludf.DUMMYFUNCTION("""COMPUTED_VALUE"""),"Mob")</f>
        <v>Mob</v>
      </c>
      <c r="J381" s="1" t="b">
        <f>IFERROR(__xludf.DUMMYFUNCTION("""COMPUTED_VALUE"""),TRUE)</f>
        <v>1</v>
      </c>
      <c r="K381" s="1"/>
      <c r="L381" s="1" t="b">
        <f>IFERROR(__xludf.DUMMYFUNCTION("""COMPUTED_VALUE"""),FALSE)</f>
        <v>0</v>
      </c>
      <c r="M381" s="21" t="b">
        <f>IFERROR(__xludf.DUMMYFUNCTION("""COMPUTED_VALUE"""),FALSE)</f>
        <v>0</v>
      </c>
      <c r="N381" s="1"/>
      <c r="O381" s="1"/>
      <c r="P381" s="1"/>
      <c r="Q381" s="1"/>
      <c r="R381" s="1"/>
      <c r="S381" s="1"/>
      <c r="T381" s="1"/>
      <c r="U381" s="1"/>
      <c r="V381" s="1"/>
      <c r="W381" s="1"/>
      <c r="X381" s="1"/>
      <c r="Y381" s="1"/>
      <c r="Z381" s="1"/>
    </row>
    <row r="382" ht="15.75" customHeight="1">
      <c r="A382" s="1" t="str">
        <f>IFERROR(__xludf.DUMMYFUNCTION("""COMPUTED_VALUE"""),"Antler Stab")</f>
        <v>Antler Stab</v>
      </c>
      <c r="B382" s="62">
        <f>IFERROR(__xludf.DUMMYFUNCTION("""COMPUTED_VALUE"""),1.0)</f>
        <v>1</v>
      </c>
      <c r="C382" s="1">
        <f>IFERROR(__xludf.DUMMYFUNCTION("""COMPUTED_VALUE"""),0.0)</f>
        <v>0</v>
      </c>
      <c r="D382" s="1"/>
      <c r="E382" s="1" t="str">
        <f>IFERROR(__xludf.DUMMYFUNCTION("""COMPUTED_VALUE"""),"Deal damage equal to your attack.")</f>
        <v>Deal damage equal to your attack.</v>
      </c>
      <c r="F382" s="1" t="str">
        <f>IFERROR(__xludf.DUMMYFUNCTION("""COMPUTED_VALUE"""),"Natural/Hit or Miss")</f>
        <v>Natural/Hit or Miss</v>
      </c>
      <c r="G382" s="1">
        <f>IFERROR(__xludf.DUMMYFUNCTION("""COMPUTED_VALUE"""),1.0)</f>
        <v>1</v>
      </c>
      <c r="H382" s="1" t="str">
        <f>IFERROR(__xludf.DUMMYFUNCTION("""COMPUTED_VALUE"""),"Physical")</f>
        <v>Physical</v>
      </c>
      <c r="I382" s="1" t="str">
        <f>IFERROR(__xludf.DUMMYFUNCTION("""COMPUTED_VALUE"""),"Mob")</f>
        <v>Mob</v>
      </c>
      <c r="J382" s="1" t="b">
        <f>IFERROR(__xludf.DUMMYFUNCTION("""COMPUTED_VALUE"""),TRUE)</f>
        <v>1</v>
      </c>
      <c r="K382" s="1"/>
      <c r="L382" s="1" t="b">
        <f>IFERROR(__xludf.DUMMYFUNCTION("""COMPUTED_VALUE"""),FALSE)</f>
        <v>0</v>
      </c>
      <c r="M382" s="21" t="b">
        <f>IFERROR(__xludf.DUMMYFUNCTION("""COMPUTED_VALUE"""),FALSE)</f>
        <v>0</v>
      </c>
      <c r="N382" s="1"/>
      <c r="O382" s="1"/>
      <c r="P382" s="1"/>
      <c r="Q382" s="1"/>
      <c r="R382" s="1"/>
      <c r="S382" s="1"/>
      <c r="T382" s="1"/>
      <c r="U382" s="1"/>
      <c r="V382" s="1"/>
      <c r="W382" s="1"/>
      <c r="X382" s="1"/>
      <c r="Y382" s="1"/>
      <c r="Z382" s="1"/>
    </row>
    <row r="383" ht="15.75" customHeight="1">
      <c r="A383" s="1" t="str">
        <f>IFERROR(__xludf.DUMMYFUNCTION("""COMPUTED_VALUE"""),"Acidic Claws")</f>
        <v>Acidic Claws</v>
      </c>
      <c r="B383" s="62">
        <f>IFERROR(__xludf.DUMMYFUNCTION("""COMPUTED_VALUE"""),1.0)</f>
        <v>1</v>
      </c>
      <c r="C383" s="1">
        <f>IFERROR(__xludf.DUMMYFUNCTION("""COMPUTED_VALUE"""),0.0)</f>
        <v>0</v>
      </c>
      <c r="D383" s="1"/>
      <c r="E383" s="1" t="str">
        <f>IFERROR(__xludf.DUMMYFUNCTION("""COMPUTED_VALUE"""),"Poison X and Bleed X per round to 1 target, where X is equal to your attack.")</f>
        <v>Poison X and Bleed X per round to 1 target, where X is equal to your attack.</v>
      </c>
      <c r="F383" s="1" t="str">
        <f>IFERROR(__xludf.DUMMYFUNCTION("""COMPUTED_VALUE"""),"Natural/Hit or Miss")</f>
        <v>Natural/Hit or Miss</v>
      </c>
      <c r="G383" s="1">
        <f>IFERROR(__xludf.DUMMYFUNCTION("""COMPUTED_VALUE"""),1.0)</f>
        <v>1</v>
      </c>
      <c r="H383" s="1" t="str">
        <f>IFERROR(__xludf.DUMMYFUNCTION("""COMPUTED_VALUE"""),"Physical")</f>
        <v>Physical</v>
      </c>
      <c r="I383" s="1" t="str">
        <f>IFERROR(__xludf.DUMMYFUNCTION("""COMPUTED_VALUE"""),"Mob")</f>
        <v>Mob</v>
      </c>
      <c r="J383" s="1" t="b">
        <f>IFERROR(__xludf.DUMMYFUNCTION("""COMPUTED_VALUE"""),TRUE)</f>
        <v>1</v>
      </c>
      <c r="K383" s="1"/>
      <c r="L383" s="1" t="b">
        <f>IFERROR(__xludf.DUMMYFUNCTION("""COMPUTED_VALUE"""),FALSE)</f>
        <v>0</v>
      </c>
      <c r="M383" s="21" t="b">
        <f>IFERROR(__xludf.DUMMYFUNCTION("""COMPUTED_VALUE"""),FALSE)</f>
        <v>0</v>
      </c>
      <c r="N383" s="1"/>
      <c r="O383" s="1"/>
      <c r="P383" s="1"/>
      <c r="Q383" s="1"/>
      <c r="R383" s="1"/>
      <c r="S383" s="1"/>
      <c r="T383" s="1"/>
      <c r="U383" s="1"/>
      <c r="V383" s="1"/>
      <c r="W383" s="1"/>
      <c r="X383" s="1"/>
      <c r="Y383" s="1"/>
      <c r="Z383" s="1"/>
    </row>
    <row r="384" ht="15.75" customHeight="1">
      <c r="A384" s="1" t="str">
        <f>IFERROR(__xludf.DUMMYFUNCTION("""COMPUTED_VALUE"""),"Acidic Jaws")</f>
        <v>Acidic Jaws</v>
      </c>
      <c r="B384" s="62">
        <f>IFERROR(__xludf.DUMMYFUNCTION("""COMPUTED_VALUE"""),1.0)</f>
        <v>1</v>
      </c>
      <c r="C384" s="1">
        <f>IFERROR(__xludf.DUMMYFUNCTION("""COMPUTED_VALUE"""),0.0)</f>
        <v>0</v>
      </c>
      <c r="D384" s="1"/>
      <c r="E384" s="1" t="str">
        <f>IFERROR(__xludf.DUMMYFUNCTION("""COMPUTED_VALUE"""),"Poison X*2 per round to 1 target, where X is equal to your attack. 25% chance this action activates again.")</f>
        <v>Poison X*2 per round to 1 target, where X is equal to your attack. 25% chance this action activates again.</v>
      </c>
      <c r="F384" s="1" t="str">
        <f>IFERROR(__xludf.DUMMYFUNCTION("""COMPUTED_VALUE"""),"Natural/Hit or Miss")</f>
        <v>Natural/Hit or Miss</v>
      </c>
      <c r="G384" s="1">
        <f>IFERROR(__xludf.DUMMYFUNCTION("""COMPUTED_VALUE"""),1.0)</f>
        <v>1</v>
      </c>
      <c r="H384" s="1" t="str">
        <f>IFERROR(__xludf.DUMMYFUNCTION("""COMPUTED_VALUE"""),"Physical")</f>
        <v>Physical</v>
      </c>
      <c r="I384" s="1" t="str">
        <f>IFERROR(__xludf.DUMMYFUNCTION("""COMPUTED_VALUE"""),"Mob")</f>
        <v>Mob</v>
      </c>
      <c r="J384" s="1" t="b">
        <f>IFERROR(__xludf.DUMMYFUNCTION("""COMPUTED_VALUE"""),TRUE)</f>
        <v>1</v>
      </c>
      <c r="K384" s="1"/>
      <c r="L384" s="1" t="b">
        <f>IFERROR(__xludf.DUMMYFUNCTION("""COMPUTED_VALUE"""),FALSE)</f>
        <v>0</v>
      </c>
      <c r="M384" s="21" t="b">
        <f>IFERROR(__xludf.DUMMYFUNCTION("""COMPUTED_VALUE"""),FALSE)</f>
        <v>0</v>
      </c>
      <c r="N384" s="1"/>
      <c r="O384" s="1"/>
      <c r="P384" s="1"/>
      <c r="Q384" s="1"/>
      <c r="R384" s="1"/>
      <c r="S384" s="1"/>
      <c r="T384" s="1"/>
      <c r="U384" s="1"/>
      <c r="V384" s="1"/>
      <c r="W384" s="1"/>
      <c r="X384" s="1"/>
      <c r="Y384" s="1"/>
      <c r="Z384" s="1"/>
    </row>
    <row r="385" ht="15.75" customHeight="1">
      <c r="A385" s="1" t="str">
        <f>IFERROR(__xludf.DUMMYFUNCTION("""COMPUTED_VALUE"""),"Camouflage")</f>
        <v>Camouflage</v>
      </c>
      <c r="B385" s="62">
        <f>IFERROR(__xludf.DUMMYFUNCTION("""COMPUTED_VALUE"""),1.0)</f>
        <v>1</v>
      </c>
      <c r="C385" s="1">
        <f>IFERROR(__xludf.DUMMYFUNCTION("""COMPUTED_VALUE"""),0.0)</f>
        <v>0</v>
      </c>
      <c r="D385" s="1"/>
      <c r="E385" s="1"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1" t="str">
        <f>IFERROR(__xludf.DUMMYFUNCTION("""COMPUTED_VALUE"""),"Natural/Fail or Succeed")</f>
        <v>Natural/Fail or Succeed</v>
      </c>
      <c r="G385" s="1" t="str">
        <f>IFERROR(__xludf.DUMMYFUNCTION("""COMPUTED_VALUE"""),"Self")</f>
        <v>Self</v>
      </c>
      <c r="H385" s="1" t="str">
        <f>IFERROR(__xludf.DUMMYFUNCTION("""COMPUTED_VALUE"""),"Physical")</f>
        <v>Physical</v>
      </c>
      <c r="I385" s="1" t="str">
        <f>IFERROR(__xludf.DUMMYFUNCTION("""COMPUTED_VALUE"""),"Mob")</f>
        <v>Mob</v>
      </c>
      <c r="J385" s="1" t="b">
        <f>IFERROR(__xludf.DUMMYFUNCTION("""COMPUTED_VALUE"""),TRUE)</f>
        <v>1</v>
      </c>
      <c r="K385" s="1"/>
      <c r="L385" s="1" t="b">
        <f>IFERROR(__xludf.DUMMYFUNCTION("""COMPUTED_VALUE"""),FALSE)</f>
        <v>0</v>
      </c>
      <c r="M385" s="21" t="b">
        <f>IFERROR(__xludf.DUMMYFUNCTION("""COMPUTED_VALUE"""),FALSE)</f>
        <v>0</v>
      </c>
      <c r="N385" s="1"/>
      <c r="O385" s="1"/>
      <c r="P385" s="1"/>
      <c r="Q385" s="1"/>
      <c r="R385" s="1"/>
      <c r="S385" s="1"/>
      <c r="T385" s="1"/>
      <c r="U385" s="1"/>
      <c r="V385" s="1"/>
      <c r="W385" s="1"/>
      <c r="X385" s="1"/>
      <c r="Y385" s="1"/>
      <c r="Z385" s="1"/>
    </row>
    <row r="386" ht="15.75" customHeight="1">
      <c r="A386" s="1" t="str">
        <f>IFERROR(__xludf.DUMMYFUNCTION("""COMPUTED_VALUE"""),"[Element] Shot")</f>
        <v>[Element] Shot</v>
      </c>
      <c r="B386" s="62">
        <f>IFERROR(__xludf.DUMMYFUNCTION("""COMPUTED_VALUE"""),4.0)</f>
        <v>4</v>
      </c>
      <c r="C386" s="1">
        <f>IFERROR(__xludf.DUMMYFUNCTION("""COMPUTED_VALUE"""),40.0)</f>
        <v>40</v>
      </c>
      <c r="D386" s="1"/>
      <c r="E386" s="1"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1" t="str">
        <f>IFERROR(__xludf.DUMMYFUNCTION("""COMPUTED_VALUE"""),"Fail/succeed")</f>
        <v>Fail/succeed</v>
      </c>
      <c r="G386" s="1"/>
      <c r="H386" s="1" t="str">
        <f>IFERROR(__xludf.DUMMYFUNCTION("""COMPUTED_VALUE"""),"Ranged")</f>
        <v>Ranged</v>
      </c>
      <c r="I386" s="1" t="str">
        <f>IFERROR(__xludf.DUMMYFUNCTION("""COMPUTED_VALUE"""),"Player")</f>
        <v>Player</v>
      </c>
      <c r="J386" s="1" t="b">
        <f>IFERROR(__xludf.DUMMYFUNCTION("""COMPUTED_VALUE"""),FALSE)</f>
        <v>0</v>
      </c>
      <c r="K386" s="1"/>
      <c r="L386" s="1" t="b">
        <f>IFERROR(__xludf.DUMMYFUNCTION("""COMPUTED_VALUE"""),FALSE)</f>
        <v>0</v>
      </c>
      <c r="M386" s="21" t="b">
        <f>IFERROR(__xludf.DUMMYFUNCTION("""COMPUTED_VALUE"""),TRUE)</f>
        <v>1</v>
      </c>
      <c r="N386" s="1"/>
      <c r="O386" s="1"/>
      <c r="P386" s="1"/>
      <c r="Q386" s="1"/>
      <c r="R386" s="1"/>
      <c r="S386" s="1"/>
      <c r="T386" s="1"/>
      <c r="U386" s="1"/>
      <c r="V386" s="1"/>
      <c r="W386" s="1"/>
      <c r="X386" s="1"/>
      <c r="Y386" s="1"/>
      <c r="Z386" s="1"/>
    </row>
    <row r="387" ht="15.75" customHeight="1">
      <c r="A387" s="1" t="str">
        <f>IFERROR(__xludf.DUMMYFUNCTION("""COMPUTED_VALUE"""),"Accuracy Boost")</f>
        <v>Accuracy Boost</v>
      </c>
      <c r="B387" s="62">
        <f>IFERROR(__xludf.DUMMYFUNCTION("""COMPUTED_VALUE"""),6.0)</f>
        <v>6</v>
      </c>
      <c r="C387" s="1">
        <f>IFERROR(__xludf.DUMMYFUNCTION("""COMPUTED_VALUE"""),60.0)</f>
        <v>60</v>
      </c>
      <c r="D387" s="1"/>
      <c r="E387" s="1" t="str">
        <f>IFERROR(__xludf.DUMMYFUNCTION("""COMPUTED_VALUE"""),"Raise accuracy by X2 for 3 rounds (1 use)")</f>
        <v>Raise accuracy by X2 for 3 rounds (1 use)</v>
      </c>
      <c r="F387" s="1" t="str">
        <f>IFERROR(__xludf.DUMMYFUNCTION("""COMPUTED_VALUE"""),"Will Succeed")</f>
        <v>Will Succeed</v>
      </c>
      <c r="G387" s="1"/>
      <c r="H387" s="1" t="str">
        <f>IFERROR(__xludf.DUMMYFUNCTION("""COMPUTED_VALUE"""),"Ranged")</f>
        <v>Ranged</v>
      </c>
      <c r="I387" s="1" t="str">
        <f>IFERROR(__xludf.DUMMYFUNCTION("""COMPUTED_VALUE"""),"Player")</f>
        <v>Player</v>
      </c>
      <c r="J387" s="1" t="b">
        <f>IFERROR(__xludf.DUMMYFUNCTION("""COMPUTED_VALUE"""),FALSE)</f>
        <v>0</v>
      </c>
      <c r="K387" s="1"/>
      <c r="L387" s="1" t="b">
        <f>IFERROR(__xludf.DUMMYFUNCTION("""COMPUTED_VALUE"""),FALSE)</f>
        <v>0</v>
      </c>
      <c r="M387" s="21" t="b">
        <f>IFERROR(__xludf.DUMMYFUNCTION("""COMPUTED_VALUE"""),TRUE)</f>
        <v>1</v>
      </c>
      <c r="N387" s="1"/>
      <c r="O387" s="1"/>
      <c r="P387" s="1"/>
      <c r="Q387" s="1"/>
      <c r="R387" s="1"/>
      <c r="S387" s="1"/>
      <c r="T387" s="1"/>
      <c r="U387" s="1"/>
      <c r="V387" s="1"/>
      <c r="W387" s="1"/>
      <c r="X387" s="1"/>
      <c r="Y387" s="1"/>
      <c r="Z387" s="1"/>
    </row>
    <row r="388" ht="15.75" customHeight="1">
      <c r="A388" s="1" t="str">
        <f>IFERROR(__xludf.DUMMYFUNCTION("""COMPUTED_VALUE"""),"Archer’s Wrath")</f>
        <v>Archer’s Wrath</v>
      </c>
      <c r="B388" s="62">
        <f>IFERROR(__xludf.DUMMYFUNCTION("""COMPUTED_VALUE"""),5.0)</f>
        <v>5</v>
      </c>
      <c r="C388" s="1" t="str">
        <f>IFERROR(__xludf.DUMMYFUNCTION("""COMPUTED_VALUE"""),"X")</f>
        <v>X</v>
      </c>
      <c r="D388" s="1"/>
      <c r="E388" s="1" t="str">
        <f>IFERROR(__xludf.DUMMYFUNCTION("""COMPUTED_VALUE"""),"Roll a D20 for additional accuracy, times it by the amount of mana you pay.")</f>
        <v>Roll a D20 for additional accuracy, times it by the amount of mana you pay.</v>
      </c>
      <c r="F388" s="1" t="str">
        <f>IFERROR(__xludf.DUMMYFUNCTION("""COMPUTED_VALUE"""),"Will Succeed")</f>
        <v>Will Succeed</v>
      </c>
      <c r="G388" s="1"/>
      <c r="H388" s="1" t="str">
        <f>IFERROR(__xludf.DUMMYFUNCTION("""COMPUTED_VALUE"""),"Ranged")</f>
        <v>Ranged</v>
      </c>
      <c r="I388" s="1" t="str">
        <f>IFERROR(__xludf.DUMMYFUNCTION("""COMPUTED_VALUE"""),"Player")</f>
        <v>Player</v>
      </c>
      <c r="J388" s="1" t="b">
        <f>IFERROR(__xludf.DUMMYFUNCTION("""COMPUTED_VALUE"""),FALSE)</f>
        <v>0</v>
      </c>
      <c r="K388" s="1"/>
      <c r="L388" s="1" t="b">
        <f>IFERROR(__xludf.DUMMYFUNCTION("""COMPUTED_VALUE"""),FALSE)</f>
        <v>0</v>
      </c>
      <c r="M388" s="21" t="b">
        <f>IFERROR(__xludf.DUMMYFUNCTION("""COMPUTED_VALUE"""),TRUE)</f>
        <v>1</v>
      </c>
      <c r="N388" s="1"/>
      <c r="O388" s="1"/>
      <c r="P388" s="1"/>
      <c r="Q388" s="1"/>
      <c r="R388" s="1"/>
      <c r="S388" s="1"/>
      <c r="T388" s="1"/>
      <c r="U388" s="1"/>
      <c r="V388" s="1"/>
      <c r="W388" s="1"/>
      <c r="X388" s="1"/>
      <c r="Y388" s="1"/>
      <c r="Z388" s="1"/>
    </row>
    <row r="389" ht="15.75" customHeight="1">
      <c r="A389" s="1" t="str">
        <f>IFERROR(__xludf.DUMMYFUNCTION("""COMPUTED_VALUE"""),"Bullseye")</f>
        <v>Bullseye</v>
      </c>
      <c r="B389" s="62">
        <f>IFERROR(__xludf.DUMMYFUNCTION("""COMPUTED_VALUE"""),9.0)</f>
        <v>9</v>
      </c>
      <c r="C389" s="1">
        <f>IFERROR(__xludf.DUMMYFUNCTION("""COMPUTED_VALUE"""),300.0)</f>
        <v>300</v>
      </c>
      <c r="D389" s="1"/>
      <c r="E389" s="1"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1" t="str">
        <f>IFERROR(__xludf.DUMMYFUNCTION("""COMPUTED_VALUE"""),"Fail/succeed")</f>
        <v>Fail/succeed</v>
      </c>
      <c r="G389" s="1"/>
      <c r="H389" s="1" t="str">
        <f>IFERROR(__xludf.DUMMYFUNCTION("""COMPUTED_VALUE"""),"Ranged")</f>
        <v>Ranged</v>
      </c>
      <c r="I389" s="1" t="str">
        <f>IFERROR(__xludf.DUMMYFUNCTION("""COMPUTED_VALUE"""),"Player")</f>
        <v>Player</v>
      </c>
      <c r="J389" s="1" t="b">
        <f>IFERROR(__xludf.DUMMYFUNCTION("""COMPUTED_VALUE"""),FALSE)</f>
        <v>0</v>
      </c>
      <c r="K389" s="1"/>
      <c r="L389" s="1" t="b">
        <f>IFERROR(__xludf.DUMMYFUNCTION("""COMPUTED_VALUE"""),FALSE)</f>
        <v>0</v>
      </c>
      <c r="M389" s="21" t="b">
        <f>IFERROR(__xludf.DUMMYFUNCTION("""COMPUTED_VALUE"""),TRUE)</f>
        <v>1</v>
      </c>
      <c r="N389" s="1"/>
      <c r="O389" s="1"/>
      <c r="P389" s="1"/>
      <c r="Q389" s="1"/>
      <c r="R389" s="1"/>
      <c r="S389" s="1"/>
      <c r="T389" s="1"/>
      <c r="U389" s="1"/>
      <c r="V389" s="1"/>
      <c r="W389" s="1"/>
      <c r="X389" s="1"/>
      <c r="Y389" s="1"/>
      <c r="Z389" s="1"/>
    </row>
    <row r="390" ht="15.75" customHeight="1">
      <c r="A390" s="1" t="str">
        <f>IFERROR(__xludf.DUMMYFUNCTION("""COMPUTED_VALUE"""),"Good shot")</f>
        <v>Good shot</v>
      </c>
      <c r="B390" s="62">
        <f>IFERROR(__xludf.DUMMYFUNCTION("""COMPUTED_VALUE"""),1.0)</f>
        <v>1</v>
      </c>
      <c r="C390" s="1">
        <f>IFERROR(__xludf.DUMMYFUNCTION("""COMPUTED_VALUE"""),10.0)</f>
        <v>10</v>
      </c>
      <c r="D390" s="1"/>
      <c r="E390" s="1" t="str">
        <f>IFERROR(__xludf.DUMMYFUNCTION("""COMPUTED_VALUE"""),"Roll for a ranged attack twice take the higher")</f>
        <v>Roll for a ranged attack twice take the higher</v>
      </c>
      <c r="F390" s="1" t="str">
        <f>IFERROR(__xludf.DUMMYFUNCTION("""COMPUTED_VALUE"""),"Will Succeed")</f>
        <v>Will Succeed</v>
      </c>
      <c r="G390" s="1" t="str">
        <f>IFERROR(__xludf.DUMMYFUNCTION("""COMPUTED_VALUE"""),"Self")</f>
        <v>Self</v>
      </c>
      <c r="H390" s="1" t="str">
        <f>IFERROR(__xludf.DUMMYFUNCTION("""COMPUTED_VALUE"""),"Ranged")</f>
        <v>Ranged</v>
      </c>
      <c r="I390" s="1" t="str">
        <f>IFERROR(__xludf.DUMMYFUNCTION("""COMPUTED_VALUE"""),"Player")</f>
        <v>Player</v>
      </c>
      <c r="J390" s="1" t="b">
        <f>IFERROR(__xludf.DUMMYFUNCTION("""COMPUTED_VALUE"""),FALSE)</f>
        <v>0</v>
      </c>
      <c r="K390" s="1"/>
      <c r="L390" s="1" t="b">
        <f>IFERROR(__xludf.DUMMYFUNCTION("""COMPUTED_VALUE"""),FALSE)</f>
        <v>0</v>
      </c>
      <c r="M390" s="21" t="b">
        <f>IFERROR(__xludf.DUMMYFUNCTION("""COMPUTED_VALUE"""),TRUE)</f>
        <v>1</v>
      </c>
      <c r="N390" s="1"/>
      <c r="O390" s="1"/>
      <c r="P390" s="1"/>
      <c r="Q390" s="1"/>
      <c r="R390" s="1"/>
      <c r="S390" s="1"/>
      <c r="T390" s="1"/>
      <c r="U390" s="1"/>
      <c r="V390" s="1"/>
      <c r="W390" s="1"/>
      <c r="X390" s="1"/>
      <c r="Y390" s="1"/>
      <c r="Z390" s="1"/>
    </row>
    <row r="391" ht="15.75" customHeight="1">
      <c r="A391" s="1" t="str">
        <f>IFERROR(__xludf.DUMMYFUNCTION("""COMPUTED_VALUE"""),"Lock On")</f>
        <v>Lock On</v>
      </c>
      <c r="B391" s="62">
        <f>IFERROR(__xludf.DUMMYFUNCTION("""COMPUTED_VALUE"""),7.0)</f>
        <v>7</v>
      </c>
      <c r="C391" s="1">
        <f>IFERROR(__xludf.DUMMYFUNCTION("""COMPUTED_VALUE"""),100.0)</f>
        <v>100</v>
      </c>
      <c r="D391" s="1"/>
      <c r="E391" s="1" t="str">
        <f>IFERROR(__xludf.DUMMYFUNCTION("""COMPUTED_VALUE"""),"Target cannot evade for 3 rounds.")</f>
        <v>Target cannot evade for 3 rounds.</v>
      </c>
      <c r="F391" s="1" t="str">
        <f>IFERROR(__xludf.DUMMYFUNCTION("""COMPUTED_VALUE"""),"Fail/succeed")</f>
        <v>Fail/succeed</v>
      </c>
      <c r="G391" s="1"/>
      <c r="H391" s="1" t="str">
        <f>IFERROR(__xludf.DUMMYFUNCTION("""COMPUTED_VALUE"""),"Ranged")</f>
        <v>Ranged</v>
      </c>
      <c r="I391" s="1" t="str">
        <f>IFERROR(__xludf.DUMMYFUNCTION("""COMPUTED_VALUE"""),"Player")</f>
        <v>Player</v>
      </c>
      <c r="J391" s="1" t="b">
        <f>IFERROR(__xludf.DUMMYFUNCTION("""COMPUTED_VALUE"""),FALSE)</f>
        <v>0</v>
      </c>
      <c r="K391" s="1"/>
      <c r="L391" s="1" t="b">
        <f>IFERROR(__xludf.DUMMYFUNCTION("""COMPUTED_VALUE"""),FALSE)</f>
        <v>0</v>
      </c>
      <c r="M391" s="21" t="b">
        <f>IFERROR(__xludf.DUMMYFUNCTION("""COMPUTED_VALUE"""),TRUE)</f>
        <v>1</v>
      </c>
      <c r="N391" s="1"/>
      <c r="O391" s="1"/>
      <c r="P391" s="1"/>
      <c r="Q391" s="1"/>
      <c r="R391" s="1"/>
      <c r="S391" s="1"/>
      <c r="T391" s="1"/>
      <c r="U391" s="1"/>
      <c r="V391" s="1"/>
      <c r="W391" s="1"/>
      <c r="X391" s="1"/>
      <c r="Y391" s="1"/>
      <c r="Z391" s="1"/>
    </row>
    <row r="392" ht="15.75" customHeight="1">
      <c r="A392" s="1" t="str">
        <f>IFERROR(__xludf.DUMMYFUNCTION("""COMPUTED_VALUE"""),"Multishot")</f>
        <v>Multishot</v>
      </c>
      <c r="B392" s="62">
        <f>IFERROR(__xludf.DUMMYFUNCTION("""COMPUTED_VALUE"""),9.0)</f>
        <v>9</v>
      </c>
      <c r="C392" s="1" t="str">
        <f>IFERROR(__xludf.DUMMYFUNCTION("""COMPUTED_VALUE"""),"X*300")</f>
        <v>X*300</v>
      </c>
      <c r="D392" s="1"/>
      <c r="E392" s="1" t="str">
        <f>IFERROR(__xludf.DUMMYFUNCTION("""COMPUTED_VALUE"""),"Multiples the damage of the next attack by X. X= SP you pay for X Cost.")</f>
        <v>Multiples the damage of the next attack by X. X= SP you pay for X Cost.</v>
      </c>
      <c r="F392" s="1" t="str">
        <f>IFERROR(__xludf.DUMMYFUNCTION("""COMPUTED_VALUE"""),"Fail/succeed")</f>
        <v>Fail/succeed</v>
      </c>
      <c r="G392" s="1"/>
      <c r="H392" s="1" t="str">
        <f>IFERROR(__xludf.DUMMYFUNCTION("""COMPUTED_VALUE"""),"Ranged")</f>
        <v>Ranged</v>
      </c>
      <c r="I392" s="1" t="str">
        <f>IFERROR(__xludf.DUMMYFUNCTION("""COMPUTED_VALUE"""),"Player")</f>
        <v>Player</v>
      </c>
      <c r="J392" s="1" t="b">
        <f>IFERROR(__xludf.DUMMYFUNCTION("""COMPUTED_VALUE"""),FALSE)</f>
        <v>0</v>
      </c>
      <c r="K392" s="1"/>
      <c r="L392" s="1" t="b">
        <f>IFERROR(__xludf.DUMMYFUNCTION("""COMPUTED_VALUE"""),FALSE)</f>
        <v>0</v>
      </c>
      <c r="M392" s="21" t="b">
        <f>IFERROR(__xludf.DUMMYFUNCTION("""COMPUTED_VALUE"""),TRUE)</f>
        <v>1</v>
      </c>
      <c r="N392" s="1"/>
      <c r="O392" s="1"/>
      <c r="P392" s="1"/>
      <c r="Q392" s="1"/>
      <c r="R392" s="1"/>
      <c r="S392" s="1"/>
      <c r="T392" s="1"/>
      <c r="U392" s="1"/>
      <c r="V392" s="1"/>
      <c r="W392" s="1"/>
      <c r="X392" s="1"/>
      <c r="Y392" s="1"/>
      <c r="Z392" s="1"/>
    </row>
    <row r="393" ht="15.75" customHeight="1">
      <c r="A393" s="1" t="str">
        <f>IFERROR(__xludf.DUMMYFUNCTION("""COMPUTED_VALUE"""),"Pinning shot")</f>
        <v>Pinning shot</v>
      </c>
      <c r="B393" s="62">
        <f>IFERROR(__xludf.DUMMYFUNCTION("""COMPUTED_VALUE"""),3.0)</f>
        <v>3</v>
      </c>
      <c r="C393" s="1">
        <f>IFERROR(__xludf.DUMMYFUNCTION("""COMPUTED_VALUE"""),30.0)</f>
        <v>30</v>
      </c>
      <c r="D393" s="1"/>
      <c r="E393" s="1" t="str">
        <f>IFERROR(__xludf.DUMMYFUNCTION("""COMPUTED_VALUE"""),"The target is immobilized until the end of its next turn.")</f>
        <v>The target is immobilized until the end of its next turn.</v>
      </c>
      <c r="F393" s="1" t="str">
        <f>IFERROR(__xludf.DUMMYFUNCTION("""COMPUTED_VALUE"""),"Fail/succeed")</f>
        <v>Fail/succeed</v>
      </c>
      <c r="G393" s="1"/>
      <c r="H393" s="1" t="str">
        <f>IFERROR(__xludf.DUMMYFUNCTION("""COMPUTED_VALUE"""),"Ranged")</f>
        <v>Ranged</v>
      </c>
      <c r="I393" s="1" t="str">
        <f>IFERROR(__xludf.DUMMYFUNCTION("""COMPUTED_VALUE"""),"Player")</f>
        <v>Player</v>
      </c>
      <c r="J393" s="1" t="b">
        <f>IFERROR(__xludf.DUMMYFUNCTION("""COMPUTED_VALUE"""),FALSE)</f>
        <v>0</v>
      </c>
      <c r="K393" s="1"/>
      <c r="L393" s="1" t="b">
        <f>IFERROR(__xludf.DUMMYFUNCTION("""COMPUTED_VALUE"""),FALSE)</f>
        <v>0</v>
      </c>
      <c r="M393" s="21" t="b">
        <f>IFERROR(__xludf.DUMMYFUNCTION("""COMPUTED_VALUE"""),TRUE)</f>
        <v>1</v>
      </c>
      <c r="N393" s="1"/>
      <c r="O393" s="1"/>
      <c r="P393" s="1"/>
      <c r="Q393" s="1"/>
      <c r="R393" s="1"/>
      <c r="S393" s="1"/>
      <c r="T393" s="1"/>
      <c r="U393" s="1"/>
      <c r="V393" s="1"/>
      <c r="W393" s="1"/>
      <c r="X393" s="1"/>
      <c r="Y393" s="1"/>
      <c r="Z393" s="1"/>
    </row>
    <row r="394" ht="15.75" customHeight="1">
      <c r="A394" s="1" t="str">
        <f>IFERROR(__xludf.DUMMYFUNCTION("""COMPUTED_VALUE"""),"Rapid Swoop")</f>
        <v>Rapid Swoop</v>
      </c>
      <c r="B394" s="62">
        <f>IFERROR(__xludf.DUMMYFUNCTION("""COMPUTED_VALUE"""),1.0)</f>
        <v>1</v>
      </c>
      <c r="C394" s="1">
        <f>IFERROR(__xludf.DUMMYFUNCTION("""COMPUTED_VALUE"""),0.0)</f>
        <v>0</v>
      </c>
      <c r="D394" s="1"/>
      <c r="E394" s="1" t="str">
        <f>IFERROR(__xludf.DUMMYFUNCTION("""COMPUTED_VALUE"""),"D20x1000 damage.")</f>
        <v>D20x1000 damage.</v>
      </c>
      <c r="F394" s="1" t="str">
        <f>IFERROR(__xludf.DUMMYFUNCTION("""COMPUTED_VALUE"""),"Natural/Hit or Miss")</f>
        <v>Natural/Hit or Miss</v>
      </c>
      <c r="G394" s="1">
        <f>IFERROR(__xludf.DUMMYFUNCTION("""COMPUTED_VALUE"""),1.0)</f>
        <v>1</v>
      </c>
      <c r="H394" s="1" t="str">
        <f>IFERROR(__xludf.DUMMYFUNCTION("""COMPUTED_VALUE"""),"Ranged")</f>
        <v>Ranged</v>
      </c>
      <c r="I394" s="1" t="str">
        <f>IFERROR(__xludf.DUMMYFUNCTION("""COMPUTED_VALUE"""),"Mob")</f>
        <v>Mob</v>
      </c>
      <c r="J394" s="1" t="b">
        <f>IFERROR(__xludf.DUMMYFUNCTION("""COMPUTED_VALUE"""),TRUE)</f>
        <v>1</v>
      </c>
      <c r="K394" s="1"/>
      <c r="L394" s="1" t="b">
        <f>IFERROR(__xludf.DUMMYFUNCTION("""COMPUTED_VALUE"""),FALSE)</f>
        <v>0</v>
      </c>
      <c r="M394" s="21" t="b">
        <f>IFERROR(__xludf.DUMMYFUNCTION("""COMPUTED_VALUE"""),TRUE)</f>
        <v>1</v>
      </c>
      <c r="N394" s="1"/>
      <c r="O394" s="1"/>
      <c r="P394" s="1"/>
      <c r="Q394" s="1"/>
      <c r="R394" s="1"/>
      <c r="S394" s="1"/>
      <c r="T394" s="1"/>
      <c r="U394" s="1"/>
      <c r="V394" s="1"/>
      <c r="W394" s="1"/>
      <c r="X394" s="1"/>
      <c r="Y394" s="1"/>
      <c r="Z394" s="1"/>
    </row>
    <row r="395" ht="15.75" customHeight="1">
      <c r="A395" s="1" t="str">
        <f>IFERROR(__xludf.DUMMYFUNCTION("""COMPUTED_VALUE"""),"Skydive")</f>
        <v>Skydive</v>
      </c>
      <c r="B395" s="62">
        <f>IFERROR(__xludf.DUMMYFUNCTION("""COMPUTED_VALUE"""),1.0)</f>
        <v>1</v>
      </c>
      <c r="C395" s="1">
        <f>IFERROR(__xludf.DUMMYFUNCTION("""COMPUTED_VALUE"""),0.0)</f>
        <v>0</v>
      </c>
      <c r="D395" s="1"/>
      <c r="E395" s="1" t="str">
        <f>IFERROR(__xludf.DUMMYFUNCTION("""COMPUTED_VALUE"""),"5000 damage")</f>
        <v>5000 damage</v>
      </c>
      <c r="F395" s="1" t="str">
        <f>IFERROR(__xludf.DUMMYFUNCTION("""COMPUTED_VALUE"""),"Natural/Hit or Miss")</f>
        <v>Natural/Hit or Miss</v>
      </c>
      <c r="G395" s="1">
        <f>IFERROR(__xludf.DUMMYFUNCTION("""COMPUTED_VALUE"""),1.0)</f>
        <v>1</v>
      </c>
      <c r="H395" s="1" t="str">
        <f>IFERROR(__xludf.DUMMYFUNCTION("""COMPUTED_VALUE"""),"Ranged")</f>
        <v>Ranged</v>
      </c>
      <c r="I395" s="1" t="str">
        <f>IFERROR(__xludf.DUMMYFUNCTION("""COMPUTED_VALUE"""),"Mob")</f>
        <v>Mob</v>
      </c>
      <c r="J395" s="1" t="b">
        <f>IFERROR(__xludf.DUMMYFUNCTION("""COMPUTED_VALUE"""),TRUE)</f>
        <v>1</v>
      </c>
      <c r="K395" s="1"/>
      <c r="L395" s="1" t="b">
        <f>IFERROR(__xludf.DUMMYFUNCTION("""COMPUTED_VALUE"""),FALSE)</f>
        <v>0</v>
      </c>
      <c r="M395" s="21" t="b">
        <f>IFERROR(__xludf.DUMMYFUNCTION("""COMPUTED_VALUE"""),FALSE)</f>
        <v>0</v>
      </c>
      <c r="N395" s="1"/>
      <c r="O395" s="1"/>
      <c r="P395" s="1"/>
      <c r="Q395" s="1"/>
      <c r="R395" s="1"/>
      <c r="S395" s="1"/>
      <c r="T395" s="1"/>
      <c r="U395" s="1"/>
      <c r="V395" s="1"/>
      <c r="W395" s="1"/>
      <c r="X395" s="1"/>
      <c r="Y395" s="1"/>
      <c r="Z395" s="1"/>
    </row>
    <row r="396" ht="15.75" customHeight="1">
      <c r="A396" s="1" t="str">
        <f>IFERROR(__xludf.DUMMYFUNCTION("""COMPUTED_VALUE"""),"Thousand Arrows")</f>
        <v>Thousand Arrows</v>
      </c>
      <c r="B396" s="62">
        <f>IFERROR(__xludf.DUMMYFUNCTION("""COMPUTED_VALUE"""),9.0)</f>
        <v>9</v>
      </c>
      <c r="C396" s="1">
        <f>IFERROR(__xludf.DUMMYFUNCTION("""COMPUTED_VALUE"""),300.0)</f>
        <v>300</v>
      </c>
      <c r="D396" s="1"/>
      <c r="E396" s="1"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1" t="str">
        <f>IFERROR(__xludf.DUMMYFUNCTION("""COMPUTED_VALUE"""),"Cannot Avoid")</f>
        <v>Cannot Avoid</v>
      </c>
      <c r="G396" s="1" t="str">
        <f>IFERROR(__xludf.DUMMYFUNCTION("""COMPUTED_VALUE"""),"All")</f>
        <v>All</v>
      </c>
      <c r="H396" s="1" t="str">
        <f>IFERROR(__xludf.DUMMYFUNCTION("""COMPUTED_VALUE"""),"Ranged")</f>
        <v>Ranged</v>
      </c>
      <c r="I396" s="1" t="str">
        <f>IFERROR(__xludf.DUMMYFUNCTION("""COMPUTED_VALUE"""),"Player")</f>
        <v>Player</v>
      </c>
      <c r="J396" s="1" t="b">
        <f>IFERROR(__xludf.DUMMYFUNCTION("""COMPUTED_VALUE"""),TRUE)</f>
        <v>1</v>
      </c>
      <c r="K396" s="1" t="str">
        <f>IFERROR(__xludf.DUMMYFUNCTION("""COMPUTED_VALUE"""),"shop spell")</f>
        <v>shop spell</v>
      </c>
      <c r="L396" s="1" t="b">
        <f>IFERROR(__xludf.DUMMYFUNCTION("""COMPUTED_VALUE"""),FALSE)</f>
        <v>0</v>
      </c>
      <c r="M396" s="21" t="b">
        <f>IFERROR(__xludf.DUMMYFUNCTION("""COMPUTED_VALUE"""),FALSE)</f>
        <v>0</v>
      </c>
      <c r="N396" s="1"/>
      <c r="O396" s="1"/>
      <c r="P396" s="1"/>
      <c r="Q396" s="1"/>
      <c r="R396" s="1"/>
      <c r="S396" s="1"/>
      <c r="T396" s="1"/>
      <c r="U396" s="1"/>
      <c r="V396" s="1"/>
      <c r="W396" s="1"/>
      <c r="X396" s="1"/>
      <c r="Y396" s="1"/>
      <c r="Z396" s="1"/>
    </row>
    <row r="397" ht="15.75" customHeight="1">
      <c r="A397" s="1" t="str">
        <f>IFERROR(__xludf.DUMMYFUNCTION("""COMPUTED_VALUE"""),"Torpedo")</f>
        <v>Torpedo</v>
      </c>
      <c r="B397" s="62">
        <f>IFERROR(__xludf.DUMMYFUNCTION("""COMPUTED_VALUE"""),1.0)</f>
        <v>1</v>
      </c>
      <c r="C397" s="7">
        <f>IFERROR(__xludf.DUMMYFUNCTION("""COMPUTED_VALUE"""),0.0)</f>
        <v>0</v>
      </c>
      <c r="D397" s="1"/>
      <c r="E397" s="1" t="str">
        <f>IFERROR(__xludf.DUMMYFUNCTION("""COMPUTED_VALUE"""),"10,000 times d20 damage.")</f>
        <v>10,000 times d20 damage.</v>
      </c>
      <c r="F397" s="1" t="str">
        <f>IFERROR(__xludf.DUMMYFUNCTION("""COMPUTED_VALUE"""),"Natural/ Hit or Miss")</f>
        <v>Natural/ Hit or Miss</v>
      </c>
      <c r="G397" s="1">
        <f>IFERROR(__xludf.DUMMYFUNCTION("""COMPUTED_VALUE"""),1.0)</f>
        <v>1</v>
      </c>
      <c r="H397" s="1" t="str">
        <f>IFERROR(__xludf.DUMMYFUNCTION("""COMPUTED_VALUE"""),"Ranged")</f>
        <v>Ranged</v>
      </c>
      <c r="I397" s="1" t="str">
        <f>IFERROR(__xludf.DUMMYFUNCTION("""COMPUTED_VALUE"""),"Mob")</f>
        <v>Mob</v>
      </c>
      <c r="J397" s="1" t="b">
        <f>IFERROR(__xludf.DUMMYFUNCTION("""COMPUTED_VALUE"""),TRUE)</f>
        <v>1</v>
      </c>
      <c r="K397" s="1" t="str">
        <f>IFERROR(__xludf.DUMMYFUNCTION("""COMPUTED_VALUE"""),"Vehicle Power")</f>
        <v>Vehicle Power</v>
      </c>
      <c r="L397" s="1" t="b">
        <f>IFERROR(__xludf.DUMMYFUNCTION("""COMPUTED_VALUE"""),FALSE)</f>
        <v>0</v>
      </c>
      <c r="M397" s="21" t="b">
        <f>IFERROR(__xludf.DUMMYFUNCTION("""COMPUTED_VALUE"""),FALSE)</f>
        <v>0</v>
      </c>
      <c r="N397" s="1"/>
      <c r="O397" s="1"/>
      <c r="P397" s="1"/>
      <c r="Q397" s="1"/>
      <c r="R397" s="1"/>
      <c r="S397" s="1"/>
      <c r="T397" s="1"/>
      <c r="U397" s="1"/>
      <c r="V397" s="1"/>
      <c r="W397" s="1"/>
      <c r="X397" s="1"/>
      <c r="Y397" s="1"/>
      <c r="Z397" s="1"/>
    </row>
    <row r="398" ht="15.75" customHeight="1">
      <c r="A398" s="1" t="str">
        <f>IFERROR(__xludf.DUMMYFUNCTION("""COMPUTED_VALUE"""),"Tower Of Balance III")</f>
        <v>Tower Of Balance III</v>
      </c>
      <c r="B398" s="62">
        <f>IFERROR(__xludf.DUMMYFUNCTION("""COMPUTED_VALUE"""),8.0)</f>
        <v>8</v>
      </c>
      <c r="C398" s="1">
        <f>IFERROR(__xludf.DUMMYFUNCTION("""COMPUTED_VALUE"""),200.0)</f>
        <v>200</v>
      </c>
      <c r="D398" s="1"/>
      <c r="E398" s="1"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1" t="str">
        <f>IFERROR(__xludf.DUMMYFUNCTION("""COMPUTED_VALUE"""),"Will Succeed")</f>
        <v>Will Succeed</v>
      </c>
      <c r="G398" s="1"/>
      <c r="H398" s="1" t="str">
        <f>IFERROR(__xludf.DUMMYFUNCTION("""COMPUTED_VALUE"""),"Ranged")</f>
        <v>Ranged</v>
      </c>
      <c r="I398" s="1" t="str">
        <f>IFERROR(__xludf.DUMMYFUNCTION("""COMPUTED_VALUE"""),"Player")</f>
        <v>Player</v>
      </c>
      <c r="J398" s="1" t="b">
        <f>IFERROR(__xludf.DUMMYFUNCTION("""COMPUTED_VALUE"""),FALSE)</f>
        <v>0</v>
      </c>
      <c r="K398" s="1"/>
      <c r="L398" s="1" t="b">
        <f>IFERROR(__xludf.DUMMYFUNCTION("""COMPUTED_VALUE"""),FALSE)</f>
        <v>0</v>
      </c>
      <c r="M398" s="21" t="b">
        <f>IFERROR(__xludf.DUMMYFUNCTION("""COMPUTED_VALUE"""),TRUE)</f>
        <v>1</v>
      </c>
      <c r="N398" s="1"/>
      <c r="O398" s="1"/>
      <c r="P398" s="1"/>
      <c r="Q398" s="1"/>
      <c r="R398" s="1"/>
      <c r="S398" s="1"/>
      <c r="T398" s="1"/>
      <c r="U398" s="1"/>
      <c r="V398" s="1"/>
      <c r="W398" s="1"/>
      <c r="X398" s="1"/>
      <c r="Y398" s="1"/>
      <c r="Z398" s="1"/>
    </row>
    <row r="399" ht="15.75" customHeight="1">
      <c r="A399" s="1" t="str">
        <f>IFERROR(__xludf.DUMMYFUNCTION("""COMPUTED_VALUE"""),"Web Shot")</f>
        <v>Web Shot</v>
      </c>
      <c r="B399" s="62">
        <f>IFERROR(__xludf.DUMMYFUNCTION("""COMPUTED_VALUE"""),1.0)</f>
        <v>1</v>
      </c>
      <c r="C399" s="1">
        <f>IFERROR(__xludf.DUMMYFUNCTION("""COMPUTED_VALUE"""),0.0)</f>
        <v>0</v>
      </c>
      <c r="D399" s="1"/>
      <c r="E399" s="1" t="str">
        <f>IFERROR(__xludf.DUMMYFUNCTION("""COMPUTED_VALUE"""),"5000 damage, target cannot flee from battle for the rest of battle.")</f>
        <v>5000 damage, target cannot flee from battle for the rest of battle.</v>
      </c>
      <c r="F399" s="1" t="str">
        <f>IFERROR(__xludf.DUMMYFUNCTION("""COMPUTED_VALUE"""),"Natural/Hit or Miss")</f>
        <v>Natural/Hit or Miss</v>
      </c>
      <c r="G399" s="1">
        <f>IFERROR(__xludf.DUMMYFUNCTION("""COMPUTED_VALUE"""),1.0)</f>
        <v>1</v>
      </c>
      <c r="H399" s="1" t="str">
        <f>IFERROR(__xludf.DUMMYFUNCTION("""COMPUTED_VALUE"""),"Ranged")</f>
        <v>Ranged</v>
      </c>
      <c r="I399" s="1" t="str">
        <f>IFERROR(__xludf.DUMMYFUNCTION("""COMPUTED_VALUE"""),"Mob")</f>
        <v>Mob</v>
      </c>
      <c r="J399" s="1" t="b">
        <f>IFERROR(__xludf.DUMMYFUNCTION("""COMPUTED_VALUE"""),TRUE)</f>
        <v>1</v>
      </c>
      <c r="K399" s="1"/>
      <c r="L399" s="1" t="b">
        <f>IFERROR(__xludf.DUMMYFUNCTION("""COMPUTED_VALUE"""),FALSE)</f>
        <v>0</v>
      </c>
      <c r="M399" s="21" t="b">
        <f>IFERROR(__xludf.DUMMYFUNCTION("""COMPUTED_VALUE"""),FALSE)</f>
        <v>0</v>
      </c>
      <c r="N399" s="1"/>
      <c r="O399" s="1"/>
      <c r="P399" s="1"/>
      <c r="Q399" s="1"/>
      <c r="R399" s="1"/>
      <c r="S399" s="1"/>
      <c r="T399" s="1"/>
      <c r="U399" s="1"/>
      <c r="V399" s="1"/>
      <c r="W399" s="1"/>
      <c r="X399" s="1"/>
      <c r="Y399" s="1"/>
      <c r="Z399" s="1"/>
    </row>
    <row r="400" ht="15.75" customHeight="1">
      <c r="A400" s="1" t="str">
        <f>IFERROR(__xludf.DUMMYFUNCTION("""COMPUTED_VALUE"""),"Cannon Bombardment")</f>
        <v>Cannon Bombardment</v>
      </c>
      <c r="B400" s="62">
        <f>IFERROR(__xludf.DUMMYFUNCTION("""COMPUTED_VALUE"""),1.0)</f>
        <v>1</v>
      </c>
      <c r="C400" s="1">
        <f>IFERROR(__xludf.DUMMYFUNCTION("""COMPUTED_VALUE"""),0.0)</f>
        <v>0</v>
      </c>
      <c r="D400" s="1"/>
      <c r="E400" s="1"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1" t="str">
        <f>IFERROR(__xludf.DUMMYFUNCTION("""COMPUTED_VALUE"""),"Natural/Fail or Succeed")</f>
        <v>Natural/Fail or Succeed</v>
      </c>
      <c r="G400" s="1" t="str">
        <f>IFERROR(__xludf.DUMMYFUNCTION("""COMPUTED_VALUE"""),"All")</f>
        <v>All</v>
      </c>
      <c r="H400" s="1" t="str">
        <f>IFERROR(__xludf.DUMMYFUNCTION("""COMPUTED_VALUE"""),"Ranged")</f>
        <v>Ranged</v>
      </c>
      <c r="I400" s="1"/>
      <c r="J400" s="1" t="b">
        <f>IFERROR(__xludf.DUMMYFUNCTION("""COMPUTED_VALUE"""),FALSE)</f>
        <v>0</v>
      </c>
      <c r="K400" s="1"/>
      <c r="L400" s="1" t="b">
        <f>IFERROR(__xludf.DUMMYFUNCTION("""COMPUTED_VALUE"""),FALSE)</f>
        <v>0</v>
      </c>
      <c r="M400" s="21" t="b">
        <f>IFERROR(__xludf.DUMMYFUNCTION("""COMPUTED_VALUE"""),FALSE)</f>
        <v>0</v>
      </c>
      <c r="N400" s="1"/>
      <c r="O400" s="1"/>
      <c r="P400" s="1"/>
      <c r="Q400" s="1"/>
      <c r="R400" s="1"/>
      <c r="S400" s="1"/>
      <c r="T400" s="1"/>
      <c r="U400" s="1"/>
      <c r="V400" s="1"/>
      <c r="W400" s="1"/>
      <c r="X400" s="1"/>
      <c r="Y400" s="1"/>
      <c r="Z400" s="1"/>
    </row>
    <row r="401" ht="15.75" customHeight="1">
      <c r="A401" s="1" t="str">
        <f>IFERROR(__xludf.DUMMYFUNCTION("""COMPUTED_VALUE"""),"Acidic Spit")</f>
        <v>Acidic Spit</v>
      </c>
      <c r="B401" s="62">
        <f>IFERROR(__xludf.DUMMYFUNCTION("""COMPUTED_VALUE"""),1.0)</f>
        <v>1</v>
      </c>
      <c r="C401" s="1">
        <f>IFERROR(__xludf.DUMMYFUNCTION("""COMPUTED_VALUE"""),0.0)</f>
        <v>0</v>
      </c>
      <c r="D401" s="1"/>
      <c r="E401" s="1" t="str">
        <f>IFERROR(__xludf.DUMMYFUNCTION("""COMPUTED_VALUE"""),"Poison X per round to 2 targets, where X is equal to your accuracy.")</f>
        <v>Poison X per round to 2 targets, where X is equal to your accuracy.</v>
      </c>
      <c r="F401" s="1" t="str">
        <f>IFERROR(__xludf.DUMMYFUNCTION("""COMPUTED_VALUE"""),"Natural/Hit or Miss")</f>
        <v>Natural/Hit or Miss</v>
      </c>
      <c r="G401" s="1">
        <f>IFERROR(__xludf.DUMMYFUNCTION("""COMPUTED_VALUE"""),2.0)</f>
        <v>2</v>
      </c>
      <c r="H401" s="1" t="str">
        <f>IFERROR(__xludf.DUMMYFUNCTION("""COMPUTED_VALUE"""),"Ranged")</f>
        <v>Ranged</v>
      </c>
      <c r="I401" s="1" t="str">
        <f>IFERROR(__xludf.DUMMYFUNCTION("""COMPUTED_VALUE"""),"Mob")</f>
        <v>Mob</v>
      </c>
      <c r="J401" s="1" t="b">
        <f>IFERROR(__xludf.DUMMYFUNCTION("""COMPUTED_VALUE"""),TRUE)</f>
        <v>1</v>
      </c>
      <c r="K401" s="1"/>
      <c r="L401" s="1" t="b">
        <f>IFERROR(__xludf.DUMMYFUNCTION("""COMPUTED_VALUE"""),FALSE)</f>
        <v>0</v>
      </c>
      <c r="M401" s="21" t="b">
        <f>IFERROR(__xludf.DUMMYFUNCTION("""COMPUTED_VALUE"""),FALSE)</f>
        <v>0</v>
      </c>
      <c r="N401" s="1"/>
      <c r="O401" s="1"/>
      <c r="P401" s="1"/>
      <c r="Q401" s="1"/>
      <c r="R401" s="1"/>
      <c r="S401" s="1"/>
      <c r="T401" s="1"/>
      <c r="U401" s="1"/>
      <c r="V401" s="1"/>
      <c r="W401" s="1"/>
      <c r="X401" s="1"/>
      <c r="Y401" s="1"/>
      <c r="Z401" s="1"/>
    </row>
    <row r="402" ht="15.75" customHeight="1">
      <c r="A402" s="1" t="str">
        <f>IFERROR(__xludf.DUMMYFUNCTION("""COMPUTED_VALUE"""),"A Deal With The Spirit World")</f>
        <v>A Deal With The Spirit World</v>
      </c>
      <c r="B402" s="62">
        <f>IFERROR(__xludf.DUMMYFUNCTION("""COMPUTED_VALUE"""),7.0)</f>
        <v>7</v>
      </c>
      <c r="C402" s="1"/>
      <c r="D402" s="1" t="str">
        <f>IFERROR(__xludf.DUMMYFUNCTION("""COMPUTED_VALUE"""),"X")</f>
        <v>X</v>
      </c>
      <c r="E402" s="1" t="str">
        <f>IFERROR(__xludf.DUMMYFUNCTION("""COMPUTED_VALUE"""),"Deal X unblockable damage to self to drain X*100 SP from target.")</f>
        <v>Deal X unblockable damage to self to drain X*100 SP from target.</v>
      </c>
      <c r="F402" s="1" t="str">
        <f>IFERROR(__xludf.DUMMYFUNCTION("""COMPUTED_VALUE"""),"Fail/Succeed")</f>
        <v>Fail/Succeed</v>
      </c>
      <c r="G402" s="1"/>
      <c r="H402" s="1" t="str">
        <f>IFERROR(__xludf.DUMMYFUNCTION("""COMPUTED_VALUE"""),"Spirit")</f>
        <v>Spirit</v>
      </c>
      <c r="I402" s="1" t="str">
        <f>IFERROR(__xludf.DUMMYFUNCTION("""COMPUTED_VALUE"""),"Player")</f>
        <v>Player</v>
      </c>
      <c r="J402" s="1" t="b">
        <f>IFERROR(__xludf.DUMMYFUNCTION("""COMPUTED_VALUE"""),FALSE)</f>
        <v>0</v>
      </c>
      <c r="K402" s="1"/>
      <c r="L402" s="1" t="b">
        <f>IFERROR(__xludf.DUMMYFUNCTION("""COMPUTED_VALUE"""),TRUE)</f>
        <v>1</v>
      </c>
      <c r="M402" s="21" t="b">
        <f>IFERROR(__xludf.DUMMYFUNCTION("""COMPUTED_VALUE"""),FALSE)</f>
        <v>0</v>
      </c>
      <c r="N402" s="1"/>
      <c r="O402" s="1"/>
      <c r="P402" s="1"/>
      <c r="Q402" s="1"/>
      <c r="R402" s="1"/>
      <c r="S402" s="1"/>
      <c r="T402" s="1"/>
      <c r="U402" s="1"/>
      <c r="V402" s="1"/>
      <c r="W402" s="1"/>
      <c r="X402" s="1"/>
      <c r="Y402" s="1"/>
      <c r="Z402" s="1"/>
    </row>
    <row r="403" ht="15.75" customHeight="1">
      <c r="A403" s="1" t="str">
        <f>IFERROR(__xludf.DUMMYFUNCTION("""COMPUTED_VALUE"""),"Big Chomping Souls")</f>
        <v>Big Chomping Souls</v>
      </c>
      <c r="B403" s="62">
        <f>IFERROR(__xludf.DUMMYFUNCTION("""COMPUTED_VALUE"""),1.0)</f>
        <v>1</v>
      </c>
      <c r="C403" s="1">
        <f>IFERROR(__xludf.DUMMYFUNCTION("""COMPUTED_VALUE"""),0.0)</f>
        <v>0</v>
      </c>
      <c r="D403" s="1"/>
      <c r="E403" s="1"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1" t="str">
        <f>IFERROR(__xludf.DUMMYFUNCTION("""COMPUTED_VALUE"""),"Natural/Cannot Avoid")</f>
        <v>Natural/Cannot Avoid</v>
      </c>
      <c r="G403" s="1" t="str">
        <f>IFERROR(__xludf.DUMMYFUNCTION("""COMPUTED_VALUE"""),"All")</f>
        <v>All</v>
      </c>
      <c r="H403" s="1" t="str">
        <f>IFERROR(__xludf.DUMMYFUNCTION("""COMPUTED_VALUE"""),"Spirit")</f>
        <v>Spirit</v>
      </c>
      <c r="I403" s="1" t="str">
        <f>IFERROR(__xludf.DUMMYFUNCTION("""COMPUTED_VALUE"""),"Mob")</f>
        <v>Mob</v>
      </c>
      <c r="J403" s="1" t="b">
        <f>IFERROR(__xludf.DUMMYFUNCTION("""COMPUTED_VALUE"""),TRUE)</f>
        <v>1</v>
      </c>
      <c r="K403" s="1"/>
      <c r="L403" s="1" t="b">
        <f>IFERROR(__xludf.DUMMYFUNCTION("""COMPUTED_VALUE"""),TRUE)</f>
        <v>1</v>
      </c>
      <c r="M403" s="21" t="b">
        <f>IFERROR(__xludf.DUMMYFUNCTION("""COMPUTED_VALUE"""),FALSE)</f>
        <v>0</v>
      </c>
      <c r="N403" s="1" t="str">
        <f>IFERROR(__xludf.DUMMYFUNCTION("""COMPUTED_VALUE"""),"Abstara")</f>
        <v>Abstara</v>
      </c>
      <c r="O403" s="1"/>
      <c r="P403" s="1"/>
      <c r="Q403" s="1"/>
      <c r="R403" s="1"/>
      <c r="S403" s="1"/>
      <c r="T403" s="1"/>
      <c r="U403" s="1"/>
      <c r="V403" s="1"/>
      <c r="W403" s="1"/>
      <c r="X403" s="1"/>
      <c r="Y403" s="1"/>
      <c r="Z403" s="1"/>
    </row>
    <row r="404" ht="15.75" customHeight="1">
      <c r="A404" s="1" t="str">
        <f>IFERROR(__xludf.DUMMYFUNCTION("""COMPUTED_VALUE"""),"Confuse")</f>
        <v>Confuse</v>
      </c>
      <c r="B404" s="62">
        <f>IFERROR(__xludf.DUMMYFUNCTION("""COMPUTED_VALUE"""),6.0)</f>
        <v>6</v>
      </c>
      <c r="C404" s="1">
        <f>IFERROR(__xludf.DUMMYFUNCTION("""COMPUTED_VALUE"""),90.0)</f>
        <v>90</v>
      </c>
      <c r="D404" s="1"/>
      <c r="E404" s="1" t="str">
        <f>IFERROR(__xludf.DUMMYFUNCTION("""COMPUTED_VALUE"""),"Makes the target incapable of performing their next action.")</f>
        <v>Makes the target incapable of performing their next action.</v>
      </c>
      <c r="F404" s="1" t="str">
        <f>IFERROR(__xludf.DUMMYFUNCTION("""COMPUTED_VALUE"""),"Fail/Succeed")</f>
        <v>Fail/Succeed</v>
      </c>
      <c r="G404" s="1"/>
      <c r="H404" s="1" t="str">
        <f>IFERROR(__xludf.DUMMYFUNCTION("""COMPUTED_VALUE"""),"Spirit")</f>
        <v>Spirit</v>
      </c>
      <c r="I404" s="1" t="str">
        <f>IFERROR(__xludf.DUMMYFUNCTION("""COMPUTED_VALUE"""),"Player")</f>
        <v>Player</v>
      </c>
      <c r="J404" s="1" t="b">
        <f>IFERROR(__xludf.DUMMYFUNCTION("""COMPUTED_VALUE"""),FALSE)</f>
        <v>0</v>
      </c>
      <c r="K404" s="1"/>
      <c r="L404" s="1" t="b">
        <f>IFERROR(__xludf.DUMMYFUNCTION("""COMPUTED_VALUE"""),TRUE)</f>
        <v>1</v>
      </c>
      <c r="M404" s="21" t="b">
        <f>IFERROR(__xludf.DUMMYFUNCTION("""COMPUTED_VALUE"""),FALSE)</f>
        <v>0</v>
      </c>
      <c r="N404" s="1"/>
      <c r="O404" s="1"/>
      <c r="P404" s="1"/>
      <c r="Q404" s="1"/>
      <c r="R404" s="1"/>
      <c r="S404" s="1"/>
      <c r="T404" s="1"/>
      <c r="U404" s="1"/>
      <c r="V404" s="1"/>
      <c r="W404" s="1"/>
      <c r="X404" s="1"/>
      <c r="Y404" s="1"/>
      <c r="Z404" s="1"/>
    </row>
    <row r="405" ht="15.75" customHeight="1">
      <c r="A405" s="1" t="str">
        <f>IFERROR(__xludf.DUMMYFUNCTION("""COMPUTED_VALUE"""),"Degrade")</f>
        <v>Degrade</v>
      </c>
      <c r="B405" s="62">
        <f>IFERROR(__xludf.DUMMYFUNCTION("""COMPUTED_VALUE"""),1.0)</f>
        <v>1</v>
      </c>
      <c r="C405" s="1">
        <f>IFERROR(__xludf.DUMMYFUNCTION("""COMPUTED_VALUE"""),10.0)</f>
        <v>10</v>
      </c>
      <c r="D405" s="1"/>
      <c r="E405" s="1" t="str">
        <f>IFERROR(__xludf.DUMMYFUNCTION("""COMPUTED_VALUE"""),"1 Targets Max HP is reduced to 100.")</f>
        <v>1 Targets Max HP is reduced to 100.</v>
      </c>
      <c r="F405" s="1" t="str">
        <f>IFERROR(__xludf.DUMMYFUNCTION("""COMPUTED_VALUE"""),"Fail/Succeed")</f>
        <v>Fail/Succeed</v>
      </c>
      <c r="G405" s="1"/>
      <c r="H405" s="1" t="str">
        <f>IFERROR(__xludf.DUMMYFUNCTION("""COMPUTED_VALUE"""),"Spirit")</f>
        <v>Spirit</v>
      </c>
      <c r="I405" s="1" t="str">
        <f>IFERROR(__xludf.DUMMYFUNCTION("""COMPUTED_VALUE"""),"Player")</f>
        <v>Player</v>
      </c>
      <c r="J405" s="1" t="b">
        <f>IFERROR(__xludf.DUMMYFUNCTION("""COMPUTED_VALUE"""),FALSE)</f>
        <v>0</v>
      </c>
      <c r="K405" s="1"/>
      <c r="L405" s="1" t="b">
        <f>IFERROR(__xludf.DUMMYFUNCTION("""COMPUTED_VALUE"""),TRUE)</f>
        <v>1</v>
      </c>
      <c r="M405" s="21" t="b">
        <f>IFERROR(__xludf.DUMMYFUNCTION("""COMPUTED_VALUE"""),FALSE)</f>
        <v>0</v>
      </c>
      <c r="N405" s="1"/>
      <c r="O405" s="1"/>
      <c r="P405" s="1"/>
      <c r="Q405" s="1"/>
      <c r="R405" s="1"/>
      <c r="S405" s="1"/>
      <c r="T405" s="1"/>
      <c r="U405" s="1"/>
      <c r="V405" s="1"/>
      <c r="W405" s="1"/>
      <c r="X405" s="1"/>
      <c r="Y405" s="1"/>
      <c r="Z405" s="1"/>
    </row>
    <row r="406" ht="15.75" customHeight="1">
      <c r="A406" s="1" t="str">
        <f>IFERROR(__xludf.DUMMYFUNCTION("""COMPUTED_VALUE"""),"Distant Warrior")</f>
        <v>Distant Warrior</v>
      </c>
      <c r="B406" s="62">
        <f>IFERROR(__xludf.DUMMYFUNCTION("""COMPUTED_VALUE"""),9.0)</f>
        <v>9</v>
      </c>
      <c r="C406" s="1" t="str">
        <f>IFERROR(__xludf.DUMMYFUNCTION("""COMPUTED_VALUE"""),"X*1000")</f>
        <v>X*1000</v>
      </c>
      <c r="D406" s="1"/>
      <c r="E406" s="1"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1" t="str">
        <f>IFERROR(__xludf.DUMMYFUNCTION("""COMPUTED_VALUE"""),"Will Succeed")</f>
        <v>Will Succeed</v>
      </c>
      <c r="G406" s="1"/>
      <c r="H406" s="1" t="str">
        <f>IFERROR(__xludf.DUMMYFUNCTION("""COMPUTED_VALUE"""),"Spirit")</f>
        <v>Spirit</v>
      </c>
      <c r="I406" s="1" t="str">
        <f>IFERROR(__xludf.DUMMYFUNCTION("""COMPUTED_VALUE"""),"Player")</f>
        <v>Player</v>
      </c>
      <c r="J406" s="1" t="b">
        <f>IFERROR(__xludf.DUMMYFUNCTION("""COMPUTED_VALUE"""),FALSE)</f>
        <v>0</v>
      </c>
      <c r="K406" s="1"/>
      <c r="L406" s="1" t="b">
        <f>IFERROR(__xludf.DUMMYFUNCTION("""COMPUTED_VALUE"""),TRUE)</f>
        <v>1</v>
      </c>
      <c r="M406" s="21" t="b">
        <f>IFERROR(__xludf.DUMMYFUNCTION("""COMPUTED_VALUE"""),FALSE)</f>
        <v>0</v>
      </c>
      <c r="N406" s="1"/>
      <c r="O406" s="1"/>
      <c r="P406" s="1"/>
      <c r="Q406" s="1"/>
      <c r="R406" s="1"/>
      <c r="S406" s="1"/>
      <c r="T406" s="1"/>
      <c r="U406" s="1"/>
      <c r="V406" s="1"/>
      <c r="W406" s="1"/>
      <c r="X406" s="1"/>
      <c r="Y406" s="1"/>
      <c r="Z406" s="1"/>
    </row>
    <row r="407" ht="15.75" customHeight="1">
      <c r="A407" s="1" t="str">
        <f>IFERROR(__xludf.DUMMYFUNCTION("""COMPUTED_VALUE"""),"Enthrall")</f>
        <v>Enthrall</v>
      </c>
      <c r="B407" s="62">
        <f>IFERROR(__xludf.DUMMYFUNCTION("""COMPUTED_VALUE"""),9.0)</f>
        <v>9</v>
      </c>
      <c r="C407" s="1">
        <f>IFERROR(__xludf.DUMMYFUNCTION("""COMPUTED_VALUE"""),1000.0)</f>
        <v>1000</v>
      </c>
      <c r="D407" s="1"/>
      <c r="E407" s="1"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1" t="str">
        <f>IFERROR(__xludf.DUMMYFUNCTION("""COMPUTED_VALUE"""),"Fail/Succeed")</f>
        <v>Fail/Succeed</v>
      </c>
      <c r="G407" s="1"/>
      <c r="H407" s="1" t="str">
        <f>IFERROR(__xludf.DUMMYFUNCTION("""COMPUTED_VALUE"""),"Spirit")</f>
        <v>Spirit</v>
      </c>
      <c r="I407" s="1" t="str">
        <f>IFERROR(__xludf.DUMMYFUNCTION("""COMPUTED_VALUE"""),"Player")</f>
        <v>Player</v>
      </c>
      <c r="J407" s="1" t="b">
        <f>IFERROR(__xludf.DUMMYFUNCTION("""COMPUTED_VALUE"""),FALSE)</f>
        <v>0</v>
      </c>
      <c r="K407" s="1"/>
      <c r="L407" s="1" t="b">
        <f>IFERROR(__xludf.DUMMYFUNCTION("""COMPUTED_VALUE"""),TRUE)</f>
        <v>1</v>
      </c>
      <c r="M407" s="21" t="b">
        <f>IFERROR(__xludf.DUMMYFUNCTION("""COMPUTED_VALUE"""),FALSE)</f>
        <v>0</v>
      </c>
      <c r="N407" s="1"/>
      <c r="O407" s="1"/>
      <c r="P407" s="1"/>
      <c r="Q407" s="1"/>
      <c r="R407" s="1"/>
      <c r="S407" s="1"/>
      <c r="T407" s="1"/>
      <c r="U407" s="1"/>
      <c r="V407" s="1"/>
      <c r="W407" s="1"/>
      <c r="X407" s="1"/>
      <c r="Y407" s="1"/>
      <c r="Z407" s="1"/>
    </row>
    <row r="408" ht="15.75" customHeight="1">
      <c r="A408" s="1" t="str">
        <f>IFERROR(__xludf.DUMMYFUNCTION("""COMPUTED_VALUE"""),"Final Blast")</f>
        <v>Final Blast</v>
      </c>
      <c r="B408" s="62">
        <f>IFERROR(__xludf.DUMMYFUNCTION("""COMPUTED_VALUE"""),6.0)</f>
        <v>6</v>
      </c>
      <c r="C408" s="1" t="str">
        <f>IFERROR(__xludf.DUMMYFUNCTION("""COMPUTED_VALUE"""),"Current SP")</f>
        <v>Current SP</v>
      </c>
      <c r="D408" s="1"/>
      <c r="E408" s="1" t="str">
        <f>IFERROR(__xludf.DUMMYFUNCTION("""COMPUTED_VALUE"""),"Deal Current SP *10 damage to all enemies.")</f>
        <v>Deal Current SP *10 damage to all enemies.</v>
      </c>
      <c r="F408" s="1" t="str">
        <f>IFERROR(__xludf.DUMMYFUNCTION("""COMPUTED_VALUE"""),"Canot Avoid")</f>
        <v>Canot Avoid</v>
      </c>
      <c r="G408" s="1">
        <f>IFERROR(__xludf.DUMMYFUNCTION("""COMPUTED_VALUE"""),1.0)</f>
        <v>1</v>
      </c>
      <c r="H408" s="1" t="str">
        <f>IFERROR(__xludf.DUMMYFUNCTION("""COMPUTED_VALUE"""),"Spirit")</f>
        <v>Spirit</v>
      </c>
      <c r="I408" s="1" t="str">
        <f>IFERROR(__xludf.DUMMYFUNCTION("""COMPUTED_VALUE"""),"Player")</f>
        <v>Player</v>
      </c>
      <c r="J408" s="1" t="b">
        <f>IFERROR(__xludf.DUMMYFUNCTION("""COMPUTED_VALUE"""),FALSE)</f>
        <v>0</v>
      </c>
      <c r="K408" s="1"/>
      <c r="L408" s="1" t="b">
        <f>IFERROR(__xludf.DUMMYFUNCTION("""COMPUTED_VALUE"""),TRUE)</f>
        <v>1</v>
      </c>
      <c r="M408" s="21" t="b">
        <f>IFERROR(__xludf.DUMMYFUNCTION("""COMPUTED_VALUE"""),FALSE)</f>
        <v>0</v>
      </c>
      <c r="N408" s="1"/>
      <c r="O408" s="1"/>
      <c r="P408" s="1"/>
      <c r="Q408" s="1"/>
      <c r="R408" s="1"/>
      <c r="S408" s="1"/>
      <c r="T408" s="1"/>
      <c r="U408" s="1"/>
      <c r="V408" s="1"/>
      <c r="W408" s="1"/>
      <c r="X408" s="1"/>
      <c r="Y408" s="1"/>
      <c r="Z408" s="1"/>
    </row>
    <row r="409" ht="15.75" customHeight="1">
      <c r="A409" s="1" t="str">
        <f>IFERROR(__xludf.DUMMYFUNCTION("""COMPUTED_VALUE"""),"Final Rest")</f>
        <v>Final Rest</v>
      </c>
      <c r="B409" s="62">
        <f>IFERROR(__xludf.DUMMYFUNCTION("""COMPUTED_VALUE"""),6.0)</f>
        <v>6</v>
      </c>
      <c r="C409" s="1">
        <f>IFERROR(__xludf.DUMMYFUNCTION("""COMPUTED_VALUE"""),90.0)</f>
        <v>90</v>
      </c>
      <c r="D409" s="1"/>
      <c r="E409" s="1" t="str">
        <f>IFERROR(__xludf.DUMMYFUNCTION("""COMPUTED_VALUE"""),"25% chance of instantly banishing any target, 20% chance to banish self.")</f>
        <v>25% chance of instantly banishing any target, 20% chance to banish self.</v>
      </c>
      <c r="F409" s="1" t="str">
        <f>IFERROR(__xludf.DUMMYFUNCTION("""COMPUTED_VALUE"""),"Fail/Succeed")</f>
        <v>Fail/Succeed</v>
      </c>
      <c r="G409" s="1"/>
      <c r="H409" s="1" t="str">
        <f>IFERROR(__xludf.DUMMYFUNCTION("""COMPUTED_VALUE"""),"Spirit")</f>
        <v>Spirit</v>
      </c>
      <c r="I409" s="1" t="str">
        <f>IFERROR(__xludf.DUMMYFUNCTION("""COMPUTED_VALUE"""),"Player")</f>
        <v>Player</v>
      </c>
      <c r="J409" s="1" t="b">
        <f>IFERROR(__xludf.DUMMYFUNCTION("""COMPUTED_VALUE"""),FALSE)</f>
        <v>0</v>
      </c>
      <c r="K409" s="1"/>
      <c r="L409" s="1" t="b">
        <f>IFERROR(__xludf.DUMMYFUNCTION("""COMPUTED_VALUE"""),TRUE)</f>
        <v>1</v>
      </c>
      <c r="M409" s="21" t="b">
        <f>IFERROR(__xludf.DUMMYFUNCTION("""COMPUTED_VALUE"""),FALSE)</f>
        <v>0</v>
      </c>
      <c r="N409" s="1"/>
      <c r="O409" s="1"/>
      <c r="P409" s="1"/>
      <c r="Q409" s="1"/>
      <c r="R409" s="1"/>
      <c r="S409" s="1"/>
      <c r="T409" s="1"/>
      <c r="U409" s="1"/>
      <c r="V409" s="1"/>
      <c r="W409" s="1"/>
      <c r="X409" s="1"/>
      <c r="Y409" s="1"/>
      <c r="Z409" s="1"/>
    </row>
    <row r="410" ht="15.75" customHeight="1">
      <c r="A410" s="1" t="str">
        <f>IFERROR(__xludf.DUMMYFUNCTION("""COMPUTED_VALUE"""),"Gain Soul")</f>
        <v>Gain Soul</v>
      </c>
      <c r="B410" s="62">
        <f>IFERROR(__xludf.DUMMYFUNCTION("""COMPUTED_VALUE"""),6.0)</f>
        <v>6</v>
      </c>
      <c r="C410" s="1">
        <f>IFERROR(__xludf.DUMMYFUNCTION("""COMPUTED_VALUE"""),90.0)</f>
        <v>90</v>
      </c>
      <c r="D410" s="1"/>
      <c r="E410" s="1" t="str">
        <f>IFERROR(__xludf.DUMMYFUNCTION("""COMPUTED_VALUE"""),"Undoes Lost Soul. If Lost Soul hasn’t been casted, then doubles the effects of the next two spells.")</f>
        <v>Undoes Lost Soul. If Lost Soul hasn’t been casted, then doubles the effects of the next two spells.</v>
      </c>
      <c r="F410" s="1" t="str">
        <f>IFERROR(__xludf.DUMMYFUNCTION("""COMPUTED_VALUE"""),"Will Succeed")</f>
        <v>Will Succeed</v>
      </c>
      <c r="G410" s="1"/>
      <c r="H410" s="1" t="str">
        <f>IFERROR(__xludf.DUMMYFUNCTION("""COMPUTED_VALUE"""),"Spirit")</f>
        <v>Spirit</v>
      </c>
      <c r="I410" s="1" t="str">
        <f>IFERROR(__xludf.DUMMYFUNCTION("""COMPUTED_VALUE"""),"Player")</f>
        <v>Player</v>
      </c>
      <c r="J410" s="1" t="b">
        <f>IFERROR(__xludf.DUMMYFUNCTION("""COMPUTED_VALUE"""),FALSE)</f>
        <v>0</v>
      </c>
      <c r="K410" s="1"/>
      <c r="L410" s="1" t="b">
        <f>IFERROR(__xludf.DUMMYFUNCTION("""COMPUTED_VALUE"""),TRUE)</f>
        <v>1</v>
      </c>
      <c r="M410" s="21" t="b">
        <f>IFERROR(__xludf.DUMMYFUNCTION("""COMPUTED_VALUE"""),FALSE)</f>
        <v>0</v>
      </c>
      <c r="N410" s="1"/>
      <c r="O410" s="1"/>
      <c r="P410" s="1"/>
      <c r="Q410" s="1"/>
      <c r="R410" s="1"/>
      <c r="S410" s="1"/>
      <c r="T410" s="1"/>
      <c r="U410" s="1"/>
      <c r="V410" s="1"/>
      <c r="W410" s="1"/>
      <c r="X410" s="1"/>
      <c r="Y410" s="1"/>
      <c r="Z410" s="1"/>
    </row>
    <row r="411" ht="15.75" customHeight="1">
      <c r="A411" s="1" t="str">
        <f>IFERROR(__xludf.DUMMYFUNCTION("""COMPUTED_VALUE"""),"HP Recover")</f>
        <v>HP Recover</v>
      </c>
      <c r="B411" s="62">
        <f>IFERROR(__xludf.DUMMYFUNCTION("""COMPUTED_VALUE"""),1.0)</f>
        <v>1</v>
      </c>
      <c r="C411" s="1">
        <f>IFERROR(__xludf.DUMMYFUNCTION("""COMPUTED_VALUE"""),0.0)</f>
        <v>0</v>
      </c>
      <c r="D411" s="1"/>
      <c r="E411" s="1" t="str">
        <f>IFERROR(__xludf.DUMMYFUNCTION("""COMPUTED_VALUE"""),"Regain 5000 HP. Can only be used three times per character per session.")</f>
        <v>Regain 5000 HP. Can only be used three times per character per session.</v>
      </c>
      <c r="F411" s="1" t="str">
        <f>IFERROR(__xludf.DUMMYFUNCTION("""COMPUTED_VALUE"""),"Natural/Will Succeed")</f>
        <v>Natural/Will Succeed</v>
      </c>
      <c r="G411" s="1"/>
      <c r="H411" s="1" t="str">
        <f>IFERROR(__xludf.DUMMYFUNCTION("""COMPUTED_VALUE"""),"Spirit")</f>
        <v>Spirit</v>
      </c>
      <c r="I411" s="1" t="str">
        <f>IFERROR(__xludf.DUMMYFUNCTION("""COMPUTED_VALUE"""),"Player")</f>
        <v>Player</v>
      </c>
      <c r="J411" s="1" t="b">
        <f>IFERROR(__xludf.DUMMYFUNCTION("""COMPUTED_VALUE"""),FALSE)</f>
        <v>0</v>
      </c>
      <c r="K411" s="1"/>
      <c r="L411" s="1" t="b">
        <f>IFERROR(__xludf.DUMMYFUNCTION("""COMPUTED_VALUE"""),TRUE)</f>
        <v>1</v>
      </c>
      <c r="M411" s="21" t="b">
        <f>IFERROR(__xludf.DUMMYFUNCTION("""COMPUTED_VALUE"""),FALSE)</f>
        <v>0</v>
      </c>
      <c r="N411" s="1"/>
      <c r="O411" s="1"/>
      <c r="P411" s="1"/>
      <c r="Q411" s="1"/>
      <c r="R411" s="1"/>
      <c r="S411" s="1"/>
      <c r="T411" s="1"/>
      <c r="U411" s="1"/>
      <c r="V411" s="1"/>
      <c r="W411" s="1"/>
      <c r="X411" s="1"/>
      <c r="Y411" s="1"/>
      <c r="Z411" s="1"/>
    </row>
    <row r="412" ht="15.75" customHeight="1">
      <c r="A412" s="1" t="str">
        <f>IFERROR(__xludf.DUMMYFUNCTION("""COMPUTED_VALUE"""),"Lost Soul")</f>
        <v>Lost Soul</v>
      </c>
      <c r="B412" s="62">
        <f>IFERROR(__xludf.DUMMYFUNCTION("""COMPUTED_VALUE"""),6.0)</f>
        <v>6</v>
      </c>
      <c r="C412" s="1">
        <f>IFERROR(__xludf.DUMMYFUNCTION("""COMPUTED_VALUE"""),90.0)</f>
        <v>90</v>
      </c>
      <c r="D412" s="1"/>
      <c r="E412" s="1"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1" t="str">
        <f>IFERROR(__xludf.DUMMYFUNCTION("""COMPUTED_VALUE"""),"Will Succeed")</f>
        <v>Will Succeed</v>
      </c>
      <c r="G412" s="1"/>
      <c r="H412" s="1" t="str">
        <f>IFERROR(__xludf.DUMMYFUNCTION("""COMPUTED_VALUE"""),"Spirit")</f>
        <v>Spirit</v>
      </c>
      <c r="I412" s="1" t="str">
        <f>IFERROR(__xludf.DUMMYFUNCTION("""COMPUTED_VALUE"""),"Player")</f>
        <v>Player</v>
      </c>
      <c r="J412" s="1" t="b">
        <f>IFERROR(__xludf.DUMMYFUNCTION("""COMPUTED_VALUE"""),FALSE)</f>
        <v>0</v>
      </c>
      <c r="K412" s="1"/>
      <c r="L412" s="1" t="b">
        <f>IFERROR(__xludf.DUMMYFUNCTION("""COMPUTED_VALUE"""),TRUE)</f>
        <v>1</v>
      </c>
      <c r="M412" s="21" t="b">
        <f>IFERROR(__xludf.DUMMYFUNCTION("""COMPUTED_VALUE"""),FALSE)</f>
        <v>0</v>
      </c>
      <c r="N412" s="1"/>
      <c r="O412" s="1"/>
      <c r="P412" s="1"/>
      <c r="Q412" s="1"/>
      <c r="R412" s="1"/>
      <c r="S412" s="1"/>
      <c r="T412" s="1"/>
      <c r="U412" s="1"/>
      <c r="V412" s="1"/>
      <c r="W412" s="1"/>
      <c r="X412" s="1"/>
      <c r="Y412" s="1"/>
      <c r="Z412" s="1"/>
    </row>
    <row r="413" ht="15.75" customHeight="1">
      <c r="A413" s="1" t="str">
        <f>IFERROR(__xludf.DUMMYFUNCTION("""COMPUTED_VALUE"""),"Negative Energy")</f>
        <v>Negative Energy</v>
      </c>
      <c r="B413" s="62">
        <f>IFERROR(__xludf.DUMMYFUNCTION("""COMPUTED_VALUE"""),5.0)</f>
        <v>5</v>
      </c>
      <c r="C413" s="1">
        <f>IFERROR(__xludf.DUMMYFUNCTION("""COMPUTED_VALUE"""),50.0)</f>
        <v>50</v>
      </c>
      <c r="D413" s="1"/>
      <c r="E413" s="1" t="str">
        <f>IFERROR(__xludf.DUMMYFUNCTION("""COMPUTED_VALUE"""),"Target halfs the damage from their next attack.")</f>
        <v>Target halfs the damage from their next attack.</v>
      </c>
      <c r="F413" s="1" t="str">
        <f>IFERROR(__xludf.DUMMYFUNCTION("""COMPUTED_VALUE"""),"Fail/succeed")</f>
        <v>Fail/succeed</v>
      </c>
      <c r="G413" s="1"/>
      <c r="H413" s="1" t="str">
        <f>IFERROR(__xludf.DUMMYFUNCTION("""COMPUTED_VALUE"""),"Spirit")</f>
        <v>Spirit</v>
      </c>
      <c r="I413" s="1" t="str">
        <f>IFERROR(__xludf.DUMMYFUNCTION("""COMPUTED_VALUE"""),"Player")</f>
        <v>Player</v>
      </c>
      <c r="J413" s="1" t="b">
        <f>IFERROR(__xludf.DUMMYFUNCTION("""COMPUTED_VALUE"""),FALSE)</f>
        <v>0</v>
      </c>
      <c r="K413" s="1"/>
      <c r="L413" s="1" t="b">
        <f>IFERROR(__xludf.DUMMYFUNCTION("""COMPUTED_VALUE"""),TRUE)</f>
        <v>1</v>
      </c>
      <c r="M413" s="21" t="b">
        <f>IFERROR(__xludf.DUMMYFUNCTION("""COMPUTED_VALUE"""),FALSE)</f>
        <v>0</v>
      </c>
      <c r="N413" s="1"/>
      <c r="O413" s="1"/>
      <c r="P413" s="1"/>
      <c r="Q413" s="1"/>
      <c r="R413" s="1"/>
      <c r="S413" s="1"/>
      <c r="T413" s="1"/>
      <c r="U413" s="1"/>
      <c r="V413" s="1"/>
      <c r="W413" s="1"/>
      <c r="X413" s="1"/>
      <c r="Y413" s="1"/>
      <c r="Z413" s="1"/>
    </row>
    <row r="414" ht="15.75" customHeight="1">
      <c r="A414" s="1" t="str">
        <f>IFERROR(__xludf.DUMMYFUNCTION("""COMPUTED_VALUE"""),"Portal From Abstara")</f>
        <v>Portal From Abstara</v>
      </c>
      <c r="B414" s="62">
        <f>IFERROR(__xludf.DUMMYFUNCTION("""COMPUTED_VALUE"""),9.0)</f>
        <v>9</v>
      </c>
      <c r="C414" s="7">
        <f>IFERROR(__xludf.DUMMYFUNCTION("""COMPUTED_VALUE"""),1000.0)</f>
        <v>1000</v>
      </c>
      <c r="D414" s="1"/>
      <c r="E414" s="1" t="str">
        <f>IFERROR(__xludf.DUMMYFUNCTION("""COMPUTED_VALUE"""),"Creates a demonic summoning portal sending demons to instantly kill everyone in battle, even the caster.")</f>
        <v>Creates a demonic summoning portal sending demons to instantly kill everyone in battle, even the caster.</v>
      </c>
      <c r="F414" s="1" t="str">
        <f>IFERROR(__xludf.DUMMYFUNCTION("""COMPUTED_VALUE"""),"Fail/Succeed")</f>
        <v>Fail/Succeed</v>
      </c>
      <c r="G414" s="1" t="str">
        <f>IFERROR(__xludf.DUMMYFUNCTION("""COMPUTED_VALUE"""),"All")</f>
        <v>All</v>
      </c>
      <c r="H414" s="1" t="str">
        <f>IFERROR(__xludf.DUMMYFUNCTION("""COMPUTED_VALUE"""),"Spirit")</f>
        <v>Spirit</v>
      </c>
      <c r="I414" s="1" t="str">
        <f>IFERROR(__xludf.DUMMYFUNCTION("""COMPUTED_VALUE"""),"Player")</f>
        <v>Player</v>
      </c>
      <c r="J414" s="1" t="b">
        <f>IFERROR(__xludf.DUMMYFUNCTION("""COMPUTED_VALUE"""),TRUE)</f>
        <v>1</v>
      </c>
      <c r="K414" s="1" t="str">
        <f>IFERROR(__xludf.DUMMYFUNCTION("""COMPUTED_VALUE"""),"shop spell")</f>
        <v>shop spell</v>
      </c>
      <c r="L414" s="1" t="b">
        <f>IFERROR(__xludf.DUMMYFUNCTION("""COMPUTED_VALUE"""),TRUE)</f>
        <v>1</v>
      </c>
      <c r="M414" s="21" t="b">
        <f>IFERROR(__xludf.DUMMYFUNCTION("""COMPUTED_VALUE"""),FALSE)</f>
        <v>0</v>
      </c>
      <c r="N414" s="1"/>
      <c r="O414" s="1"/>
      <c r="P414" s="1"/>
      <c r="Q414" s="1"/>
      <c r="R414" s="1"/>
      <c r="S414" s="1"/>
      <c r="T414" s="1"/>
      <c r="U414" s="1"/>
      <c r="V414" s="1"/>
      <c r="W414" s="1"/>
      <c r="X414" s="1"/>
      <c r="Y414" s="1"/>
      <c r="Z414" s="1"/>
    </row>
    <row r="415" ht="15.75" customHeight="1">
      <c r="A415" s="1" t="str">
        <f>IFERROR(__xludf.DUMMYFUNCTION("""COMPUTED_VALUE"""),"Positive Energy")</f>
        <v>Positive Energy</v>
      </c>
      <c r="B415" s="62">
        <f>IFERROR(__xludf.DUMMYFUNCTION("""COMPUTED_VALUE"""),5.0)</f>
        <v>5</v>
      </c>
      <c r="C415" s="1">
        <f>IFERROR(__xludf.DUMMYFUNCTION("""COMPUTED_VALUE"""),50.0)</f>
        <v>50</v>
      </c>
      <c r="D415" s="1"/>
      <c r="E415" s="1" t="str">
        <f>IFERROR(__xludf.DUMMYFUNCTION("""COMPUTED_VALUE"""),"X2 additional spirit damage for caster only.")</f>
        <v>X2 additional spirit damage for caster only.</v>
      </c>
      <c r="F415" s="1" t="str">
        <f>IFERROR(__xludf.DUMMYFUNCTION("""COMPUTED_VALUE"""),"Fail/Succeed")</f>
        <v>Fail/Succeed</v>
      </c>
      <c r="G415" s="1"/>
      <c r="H415" s="1" t="str">
        <f>IFERROR(__xludf.DUMMYFUNCTION("""COMPUTED_VALUE"""),"Spirit")</f>
        <v>Spirit</v>
      </c>
      <c r="I415" s="1" t="str">
        <f>IFERROR(__xludf.DUMMYFUNCTION("""COMPUTED_VALUE"""),"Player")</f>
        <v>Player</v>
      </c>
      <c r="J415" s="1" t="b">
        <f>IFERROR(__xludf.DUMMYFUNCTION("""COMPUTED_VALUE"""),FALSE)</f>
        <v>0</v>
      </c>
      <c r="K415" s="1"/>
      <c r="L415" s="1" t="b">
        <f>IFERROR(__xludf.DUMMYFUNCTION("""COMPUTED_VALUE"""),TRUE)</f>
        <v>1</v>
      </c>
      <c r="M415" s="21" t="b">
        <f>IFERROR(__xludf.DUMMYFUNCTION("""COMPUTED_VALUE"""),FALSE)</f>
        <v>0</v>
      </c>
      <c r="N415" s="1"/>
      <c r="O415" s="1"/>
      <c r="P415" s="1"/>
      <c r="Q415" s="1"/>
      <c r="R415" s="1"/>
      <c r="S415" s="1"/>
      <c r="T415" s="1"/>
      <c r="U415" s="1"/>
      <c r="V415" s="1"/>
      <c r="W415" s="1"/>
      <c r="X415" s="1"/>
      <c r="Y415" s="1"/>
      <c r="Z415" s="1"/>
    </row>
    <row r="416" ht="15.75" customHeight="1">
      <c r="A416" s="1" t="str">
        <f>IFERROR(__xludf.DUMMYFUNCTION("""COMPUTED_VALUE"""),"Possession")</f>
        <v>Possession</v>
      </c>
      <c r="B416" s="62">
        <f>IFERROR(__xludf.DUMMYFUNCTION("""COMPUTED_VALUE"""),6.0)</f>
        <v>6</v>
      </c>
      <c r="C416" s="1">
        <f>IFERROR(__xludf.DUMMYFUNCTION("""COMPUTED_VALUE"""),90.0)</f>
        <v>90</v>
      </c>
      <c r="D416" s="1"/>
      <c r="E416" s="1" t="str">
        <f>IFERROR(__xludf.DUMMYFUNCTION("""COMPUTED_VALUE"""),"Possess one target, making them under your control until they are killed or banished. Cannot be canceled.")</f>
        <v>Possess one target, making them under your control until they are killed or banished. Cannot be canceled.</v>
      </c>
      <c r="F416" s="1" t="str">
        <f>IFERROR(__xludf.DUMMYFUNCTION("""COMPUTED_VALUE"""),"Fail/Succeed")</f>
        <v>Fail/Succeed</v>
      </c>
      <c r="G416" s="1"/>
      <c r="H416" s="1" t="str">
        <f>IFERROR(__xludf.DUMMYFUNCTION("""COMPUTED_VALUE"""),"Spirit")</f>
        <v>Spirit</v>
      </c>
      <c r="I416" s="1" t="str">
        <f>IFERROR(__xludf.DUMMYFUNCTION("""COMPUTED_VALUE"""),"Player")</f>
        <v>Player</v>
      </c>
      <c r="J416" s="1" t="b">
        <f>IFERROR(__xludf.DUMMYFUNCTION("""COMPUTED_VALUE"""),FALSE)</f>
        <v>0</v>
      </c>
      <c r="K416" s="1"/>
      <c r="L416" s="1" t="b">
        <f>IFERROR(__xludf.DUMMYFUNCTION("""COMPUTED_VALUE"""),TRUE)</f>
        <v>1</v>
      </c>
      <c r="M416" s="21" t="b">
        <f>IFERROR(__xludf.DUMMYFUNCTION("""COMPUTED_VALUE"""),FALSE)</f>
        <v>0</v>
      </c>
      <c r="N416" s="1"/>
      <c r="O416" s="1"/>
      <c r="P416" s="1"/>
      <c r="Q416" s="1"/>
      <c r="R416" s="1"/>
      <c r="S416" s="1"/>
      <c r="T416" s="1"/>
      <c r="U416" s="1"/>
      <c r="V416" s="1"/>
      <c r="W416" s="1"/>
      <c r="X416" s="1"/>
      <c r="Y416" s="1"/>
      <c r="Z416" s="1"/>
    </row>
    <row r="417" ht="15.75" customHeight="1">
      <c r="A417" s="1" t="str">
        <f>IFERROR(__xludf.DUMMYFUNCTION("""COMPUTED_VALUE"""),"Rain of Souls")</f>
        <v>Rain of Souls</v>
      </c>
      <c r="B417" s="62">
        <f>IFERROR(__xludf.DUMMYFUNCTION("""COMPUTED_VALUE"""),9.0)</f>
        <v>9</v>
      </c>
      <c r="C417" s="1">
        <f>IFERROR(__xludf.DUMMYFUNCTION("""COMPUTED_VALUE"""),300.0)</f>
        <v>300</v>
      </c>
      <c r="D417" s="1"/>
      <c r="E417" s="1" t="str">
        <f>IFERROR(__xludf.DUMMYFUNCTION("""COMPUTED_VALUE"""),"Release X amount of souls to regain X*100 SP for self and allies.")</f>
        <v>Release X amount of souls to regain X*100 SP for self and allies.</v>
      </c>
      <c r="F417" s="1" t="str">
        <f>IFERROR(__xludf.DUMMYFUNCTION("""COMPUTED_VALUE"""),"Will Succeed")</f>
        <v>Will Succeed</v>
      </c>
      <c r="G417" s="1"/>
      <c r="H417" s="1" t="str">
        <f>IFERROR(__xludf.DUMMYFUNCTION("""COMPUTED_VALUE"""),"Spirit")</f>
        <v>Spirit</v>
      </c>
      <c r="I417" s="1" t="str">
        <f>IFERROR(__xludf.DUMMYFUNCTION("""COMPUTED_VALUE"""),"Player")</f>
        <v>Player</v>
      </c>
      <c r="J417" s="1" t="b">
        <f>IFERROR(__xludf.DUMMYFUNCTION("""COMPUTED_VALUE"""),FALSE)</f>
        <v>0</v>
      </c>
      <c r="K417" s="1"/>
      <c r="L417" s="1" t="b">
        <f>IFERROR(__xludf.DUMMYFUNCTION("""COMPUTED_VALUE"""),TRUE)</f>
        <v>1</v>
      </c>
      <c r="M417" s="21" t="b">
        <f>IFERROR(__xludf.DUMMYFUNCTION("""COMPUTED_VALUE"""),FALSE)</f>
        <v>0</v>
      </c>
      <c r="N417" s="1"/>
      <c r="O417" s="1"/>
      <c r="P417" s="1"/>
      <c r="Q417" s="1"/>
      <c r="R417" s="1"/>
      <c r="S417" s="1"/>
      <c r="T417" s="1"/>
      <c r="U417" s="1"/>
      <c r="V417" s="1"/>
      <c r="W417" s="1"/>
      <c r="X417" s="1"/>
      <c r="Y417" s="1"/>
      <c r="Z417" s="1"/>
    </row>
    <row r="418" ht="15.75" customHeight="1">
      <c r="A418" s="1" t="str">
        <f>IFERROR(__xludf.DUMMYFUNCTION("""COMPUTED_VALUE"""),"Reapers Curse")</f>
        <v>Reapers Curse</v>
      </c>
      <c r="B418" s="62">
        <f>IFERROR(__xludf.DUMMYFUNCTION("""COMPUTED_VALUE"""),1.0)</f>
        <v>1</v>
      </c>
      <c r="C418" s="1">
        <f>IFERROR(__xludf.DUMMYFUNCTION("""COMPUTED_VALUE"""),0.0)</f>
        <v>0</v>
      </c>
      <c r="D418" s="1"/>
      <c r="E418" s="1" t="str">
        <f>IFERROR(__xludf.DUMMYFUNCTION("""COMPUTED_VALUE"""),"Permanantly kills the target. If it's player, their character is removed from the game.")</f>
        <v>Permanantly kills the target. If it's player, their character is removed from the game.</v>
      </c>
      <c r="F418" s="1" t="str">
        <f>IFERROR(__xludf.DUMMYFUNCTION("""COMPUTED_VALUE"""),"Fail or Succeed")</f>
        <v>Fail or Succeed</v>
      </c>
      <c r="G418" s="1"/>
      <c r="H418" s="1" t="str">
        <f>IFERROR(__xludf.DUMMYFUNCTION("""COMPUTED_VALUE"""),"Spirit")</f>
        <v>Spirit</v>
      </c>
      <c r="I418" s="1" t="str">
        <f>IFERROR(__xludf.DUMMYFUNCTION("""COMPUTED_VALUE"""),"Mob")</f>
        <v>Mob</v>
      </c>
      <c r="J418" s="1" t="b">
        <f>IFERROR(__xludf.DUMMYFUNCTION("""COMPUTED_VALUE"""),TRUE)</f>
        <v>1</v>
      </c>
      <c r="K418" s="1"/>
      <c r="L418" s="1" t="b">
        <f>IFERROR(__xludf.DUMMYFUNCTION("""COMPUTED_VALUE"""),TRUE)</f>
        <v>1</v>
      </c>
      <c r="M418" s="21" t="b">
        <f>IFERROR(__xludf.DUMMYFUNCTION("""COMPUTED_VALUE"""),TRUE)</f>
        <v>1</v>
      </c>
      <c r="N418" s="1"/>
      <c r="O418" s="1"/>
      <c r="P418" s="1"/>
      <c r="Q418" s="1"/>
      <c r="R418" s="1"/>
      <c r="S418" s="1"/>
      <c r="T418" s="1"/>
      <c r="U418" s="1"/>
      <c r="V418" s="1"/>
      <c r="W418" s="1"/>
      <c r="X418" s="1"/>
      <c r="Y418" s="1"/>
      <c r="Z418" s="1"/>
    </row>
    <row r="419" ht="15.75" customHeight="1">
      <c r="A419" s="1" t="str">
        <f>IFERROR(__xludf.DUMMYFUNCTION("""COMPUTED_VALUE"""),"Soul Absorption")</f>
        <v>Soul Absorption</v>
      </c>
      <c r="B419" s="62">
        <f>IFERROR(__xludf.DUMMYFUNCTION("""COMPUTED_VALUE"""),8.0)</f>
        <v>8</v>
      </c>
      <c r="C419" s="1">
        <f>IFERROR(__xludf.DUMMYFUNCTION("""COMPUTED_VALUE"""),200.0)</f>
        <v>200</v>
      </c>
      <c r="D419" s="1"/>
      <c r="E419" s="1"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1" t="str">
        <f>IFERROR(__xludf.DUMMYFUNCTION("""COMPUTED_VALUE"""),"Fail/succeed")</f>
        <v>Fail/succeed</v>
      </c>
      <c r="G419" s="1"/>
      <c r="H419" s="1" t="str">
        <f>IFERROR(__xludf.DUMMYFUNCTION("""COMPUTED_VALUE"""),"Spirit")</f>
        <v>Spirit</v>
      </c>
      <c r="I419" s="1" t="str">
        <f>IFERROR(__xludf.DUMMYFUNCTION("""COMPUTED_VALUE"""),"Player")</f>
        <v>Player</v>
      </c>
      <c r="J419" s="1" t="b">
        <f>IFERROR(__xludf.DUMMYFUNCTION("""COMPUTED_VALUE"""),FALSE)</f>
        <v>0</v>
      </c>
      <c r="K419" s="1"/>
      <c r="L419" s="1" t="b">
        <f>IFERROR(__xludf.DUMMYFUNCTION("""COMPUTED_VALUE"""),TRUE)</f>
        <v>1</v>
      </c>
      <c r="M419" s="21" t="b">
        <f>IFERROR(__xludf.DUMMYFUNCTION("""COMPUTED_VALUE"""),FALSE)</f>
        <v>0</v>
      </c>
      <c r="N419" s="1"/>
      <c r="O419" s="1"/>
      <c r="P419" s="1"/>
      <c r="Q419" s="1"/>
      <c r="R419" s="1"/>
      <c r="S419" s="1"/>
      <c r="T419" s="1"/>
      <c r="U419" s="1"/>
      <c r="V419" s="1"/>
      <c r="W419" s="1"/>
      <c r="X419" s="1"/>
      <c r="Y419" s="1"/>
      <c r="Z419" s="1"/>
    </row>
    <row r="420" ht="15.75" customHeight="1">
      <c r="A420" s="1" t="str">
        <f>IFERROR(__xludf.DUMMYFUNCTION("""COMPUTED_VALUE"""),"Soul Trap")</f>
        <v>Soul Trap</v>
      </c>
      <c r="B420" s="62">
        <f>IFERROR(__xludf.DUMMYFUNCTION("""COMPUTED_VALUE"""),6.0)</f>
        <v>6</v>
      </c>
      <c r="C420" s="1">
        <f>IFERROR(__xludf.DUMMYFUNCTION("""COMPUTED_VALUE"""),60.0)</f>
        <v>60</v>
      </c>
      <c r="D420" s="1"/>
      <c r="E420" s="1" t="str">
        <f>IFERROR(__xludf.DUMMYFUNCTION("""COMPUTED_VALUE"""),"Trap 1 target in a soul binding cage causing Stun 3.")</f>
        <v>Trap 1 target in a soul binding cage causing Stun 3.</v>
      </c>
      <c r="F420" s="1" t="str">
        <f>IFERROR(__xludf.DUMMYFUNCTION("""COMPUTED_VALUE"""),"Fail/Succeed")</f>
        <v>Fail/Succeed</v>
      </c>
      <c r="G420" s="1"/>
      <c r="H420" s="1" t="str">
        <f>IFERROR(__xludf.DUMMYFUNCTION("""COMPUTED_VALUE"""),"Spirit")</f>
        <v>Spirit</v>
      </c>
      <c r="I420" s="1" t="str">
        <f>IFERROR(__xludf.DUMMYFUNCTION("""COMPUTED_VALUE"""),"Player")</f>
        <v>Player</v>
      </c>
      <c r="J420" s="1" t="b">
        <f>IFERROR(__xludf.DUMMYFUNCTION("""COMPUTED_VALUE"""),FALSE)</f>
        <v>0</v>
      </c>
      <c r="K420" s="1"/>
      <c r="L420" s="1" t="b">
        <f>IFERROR(__xludf.DUMMYFUNCTION("""COMPUTED_VALUE"""),TRUE)</f>
        <v>1</v>
      </c>
      <c r="M420" s="21" t="b">
        <f>IFERROR(__xludf.DUMMYFUNCTION("""COMPUTED_VALUE"""),FALSE)</f>
        <v>0</v>
      </c>
      <c r="N420" s="1"/>
      <c r="O420" s="1"/>
      <c r="P420" s="1"/>
      <c r="Q420" s="1"/>
      <c r="R420" s="1"/>
      <c r="S420" s="1"/>
      <c r="T420" s="1"/>
      <c r="U420" s="1"/>
      <c r="V420" s="1"/>
      <c r="W420" s="1"/>
      <c r="X420" s="1"/>
      <c r="Y420" s="1"/>
      <c r="Z420" s="1"/>
    </row>
    <row r="421" ht="15.75" customHeight="1">
      <c r="A421" s="1" t="str">
        <f>IFERROR(__xludf.DUMMYFUNCTION("""COMPUTED_VALUE"""),"SP Recover")</f>
        <v>SP Recover</v>
      </c>
      <c r="B421" s="62">
        <f>IFERROR(__xludf.DUMMYFUNCTION("""COMPUTED_VALUE"""),1.0)</f>
        <v>1</v>
      </c>
      <c r="C421" s="1">
        <f>IFERROR(__xludf.DUMMYFUNCTION("""COMPUTED_VALUE"""),0.0)</f>
        <v>0</v>
      </c>
      <c r="D421" s="1"/>
      <c r="E421" s="1" t="str">
        <f>IFERROR(__xludf.DUMMYFUNCTION("""COMPUTED_VALUE"""),"Regain 5000 SP. Can only be used three times per character per session.")</f>
        <v>Regain 5000 SP. Can only be used three times per character per session.</v>
      </c>
      <c r="F421" s="1" t="str">
        <f>IFERROR(__xludf.DUMMYFUNCTION("""COMPUTED_VALUE"""),"Natural/Will Succeed")</f>
        <v>Natural/Will Succeed</v>
      </c>
      <c r="G421" s="1"/>
      <c r="H421" s="1" t="str">
        <f>IFERROR(__xludf.DUMMYFUNCTION("""COMPUTED_VALUE"""),"Spirit")</f>
        <v>Spirit</v>
      </c>
      <c r="I421" s="1" t="str">
        <f>IFERROR(__xludf.DUMMYFUNCTION("""COMPUTED_VALUE"""),"Player")</f>
        <v>Player</v>
      </c>
      <c r="J421" s="1" t="b">
        <f>IFERROR(__xludf.DUMMYFUNCTION("""COMPUTED_VALUE"""),FALSE)</f>
        <v>0</v>
      </c>
      <c r="K421" s="1"/>
      <c r="L421" s="1" t="b">
        <f>IFERROR(__xludf.DUMMYFUNCTION("""COMPUTED_VALUE"""),TRUE)</f>
        <v>1</v>
      </c>
      <c r="M421" s="21" t="b">
        <f>IFERROR(__xludf.DUMMYFUNCTION("""COMPUTED_VALUE"""),FALSE)</f>
        <v>0</v>
      </c>
      <c r="N421" s="1"/>
      <c r="O421" s="1"/>
      <c r="P421" s="1"/>
      <c r="Q421" s="1"/>
      <c r="R421" s="1"/>
      <c r="S421" s="1"/>
      <c r="T421" s="1"/>
      <c r="U421" s="1"/>
      <c r="V421" s="1"/>
      <c r="W421" s="1"/>
      <c r="X421" s="1"/>
      <c r="Y421" s="1"/>
      <c r="Z421" s="1"/>
    </row>
    <row r="422" ht="15.75" customHeight="1">
      <c r="A422" s="1" t="str">
        <f>IFERROR(__xludf.DUMMYFUNCTION("""COMPUTED_VALUE"""),"Spirit Drain")</f>
        <v>Spirit Drain</v>
      </c>
      <c r="B422" s="62">
        <f>IFERROR(__xludf.DUMMYFUNCTION("""COMPUTED_VALUE"""),6.0)</f>
        <v>6</v>
      </c>
      <c r="C422" s="1" t="str">
        <f>IFERROR(__xludf.DUMMYFUNCTION("""COMPUTED_VALUE"""),"½ Current SP")</f>
        <v>½ Current SP</v>
      </c>
      <c r="D422" s="1"/>
      <c r="E422" s="1" t="str">
        <f>IFERROR(__xludf.DUMMYFUNCTION("""COMPUTED_VALUE"""),"Costs half current SP, drains half of target’s current SP")</f>
        <v>Costs half current SP, drains half of target’s current SP</v>
      </c>
      <c r="F422" s="1" t="str">
        <f>IFERROR(__xludf.DUMMYFUNCTION("""COMPUTED_VALUE"""),"Fail/Succeed")</f>
        <v>Fail/Succeed</v>
      </c>
      <c r="G422" s="1"/>
      <c r="H422" s="1" t="str">
        <f>IFERROR(__xludf.DUMMYFUNCTION("""COMPUTED_VALUE"""),"Spirit")</f>
        <v>Spirit</v>
      </c>
      <c r="I422" s="1" t="str">
        <f>IFERROR(__xludf.DUMMYFUNCTION("""COMPUTED_VALUE"""),"Player")</f>
        <v>Player</v>
      </c>
      <c r="J422" s="1" t="b">
        <f>IFERROR(__xludf.DUMMYFUNCTION("""COMPUTED_VALUE"""),FALSE)</f>
        <v>0</v>
      </c>
      <c r="K422" s="1"/>
      <c r="L422" s="1" t="b">
        <f>IFERROR(__xludf.DUMMYFUNCTION("""COMPUTED_VALUE"""),TRUE)</f>
        <v>1</v>
      </c>
      <c r="M422" s="21" t="b">
        <f>IFERROR(__xludf.DUMMYFUNCTION("""COMPUTED_VALUE"""),FALSE)</f>
        <v>0</v>
      </c>
      <c r="N422" s="1"/>
      <c r="O422" s="1"/>
      <c r="P422" s="1"/>
      <c r="Q422" s="1"/>
      <c r="R422" s="1"/>
      <c r="S422" s="1"/>
      <c r="T422" s="1"/>
      <c r="U422" s="1"/>
      <c r="V422" s="1"/>
      <c r="W422" s="1"/>
      <c r="X422" s="1"/>
      <c r="Y422" s="1"/>
      <c r="Z422" s="1"/>
    </row>
    <row r="423" ht="15.75" customHeight="1">
      <c r="A423" s="1" t="str">
        <f>IFERROR(__xludf.DUMMYFUNCTION("""COMPUTED_VALUE"""),"Incorporeal Form")</f>
        <v>Incorporeal Form</v>
      </c>
      <c r="B423" s="62">
        <f>IFERROR(__xludf.DUMMYFUNCTION("""COMPUTED_VALUE"""),9.0)</f>
        <v>9</v>
      </c>
      <c r="C423" s="1">
        <f>IFERROR(__xludf.DUMMYFUNCTION("""COMPUTED_VALUE"""),500.0)</f>
        <v>500</v>
      </c>
      <c r="D423" s="1"/>
      <c r="E423" s="1" t="str">
        <f>IFERROR(__xludf.DUMMYFUNCTION("""COMPUTED_VALUE"""),"Grants Incorporeal 3 to self Can only be cast once every 6 rounds.")</f>
        <v>Grants Incorporeal 3 to self Can only be cast once every 6 rounds.</v>
      </c>
      <c r="F423" s="1" t="str">
        <f>IFERROR(__xludf.DUMMYFUNCTION("""COMPUTED_VALUE"""),"Fail/Succeed")</f>
        <v>Fail/Succeed</v>
      </c>
      <c r="G423" s="1" t="str">
        <f>IFERROR(__xludf.DUMMYFUNCTION("""COMPUTED_VALUE"""),"Self")</f>
        <v>Self</v>
      </c>
      <c r="H423" s="1" t="str">
        <f>IFERROR(__xludf.DUMMYFUNCTION("""COMPUTED_VALUE"""),"Spirit")</f>
        <v>Spirit</v>
      </c>
      <c r="I423" s="1" t="str">
        <f>IFERROR(__xludf.DUMMYFUNCTION("""COMPUTED_VALUE"""),"Player")</f>
        <v>Player</v>
      </c>
      <c r="J423" s="1" t="b">
        <f>IFERROR(__xludf.DUMMYFUNCTION("""COMPUTED_VALUE"""),FALSE)</f>
        <v>0</v>
      </c>
      <c r="K423" s="1"/>
      <c r="L423" s="1" t="b">
        <f>IFERROR(__xludf.DUMMYFUNCTION("""COMPUTED_VALUE"""),FALSE)</f>
        <v>0</v>
      </c>
      <c r="M423" s="21" t="b">
        <f>IFERROR(__xludf.DUMMYFUNCTION("""COMPUTED_VALUE"""),FALSE)</f>
        <v>0</v>
      </c>
      <c r="N423" s="1"/>
      <c r="O423" s="1"/>
      <c r="P423" s="1"/>
      <c r="Q423" s="1"/>
      <c r="R423" s="1"/>
      <c r="S423" s="1"/>
      <c r="T423" s="1"/>
      <c r="U423" s="1"/>
      <c r="V423" s="1"/>
      <c r="W423" s="1"/>
      <c r="X423" s="1"/>
      <c r="Y423" s="1"/>
      <c r="Z423" s="1"/>
    </row>
    <row r="424" ht="15.75" customHeight="1">
      <c r="A424" s="1" t="str">
        <f>IFERROR(__xludf.DUMMYFUNCTION("""COMPUTED_VALUE"""),"Shaken Soul")</f>
        <v>Shaken Soul</v>
      </c>
      <c r="B424" s="62">
        <f>IFERROR(__xludf.DUMMYFUNCTION("""COMPUTED_VALUE"""),5.0)</f>
        <v>5</v>
      </c>
      <c r="C424" s="1">
        <f>IFERROR(__xludf.DUMMYFUNCTION("""COMPUTED_VALUE"""),50.0)</f>
        <v>50</v>
      </c>
      <c r="D424" s="1"/>
      <c r="E424" s="1"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1" t="str">
        <f>IFERROR(__xludf.DUMMYFUNCTION("""COMPUTED_VALUE"""),"Fail/Succeed")</f>
        <v>Fail/Succeed</v>
      </c>
      <c r="G424" s="1">
        <f>IFERROR(__xludf.DUMMYFUNCTION("""COMPUTED_VALUE"""),1.0)</f>
        <v>1</v>
      </c>
      <c r="H424" s="1" t="str">
        <f>IFERROR(__xludf.DUMMYFUNCTION("""COMPUTED_VALUE"""),"Spirit")</f>
        <v>Spirit</v>
      </c>
      <c r="I424" s="1" t="str">
        <f>IFERROR(__xludf.DUMMYFUNCTION("""COMPUTED_VALUE"""),"Mob")</f>
        <v>Mob</v>
      </c>
      <c r="J424" s="1" t="b">
        <f>IFERROR(__xludf.DUMMYFUNCTION("""COMPUTED_VALUE"""),TRUE)</f>
        <v>1</v>
      </c>
      <c r="K424" s="1"/>
      <c r="L424" s="1" t="b">
        <f>IFERROR(__xludf.DUMMYFUNCTION("""COMPUTED_VALUE"""),FALSE)</f>
        <v>0</v>
      </c>
      <c r="M424" s="21" t="b">
        <f>IFERROR(__xludf.DUMMYFUNCTION("""COMPUTED_VALUE"""),TRUE)</f>
        <v>1</v>
      </c>
      <c r="N424" s="1"/>
      <c r="O424" s="1"/>
      <c r="P424" s="1"/>
      <c r="Q424" s="1"/>
      <c r="R424" s="1"/>
      <c r="S424" s="1"/>
      <c r="T424" s="1"/>
      <c r="U424" s="1"/>
      <c r="V424" s="1"/>
      <c r="W424" s="1"/>
      <c r="X424" s="1"/>
      <c r="Y424" s="1"/>
      <c r="Z424" s="1"/>
    </row>
    <row r="425" ht="15.75" customHeight="1">
      <c r="A425" s="1" t="str">
        <f>IFERROR(__xludf.DUMMYFUNCTION("""COMPUTED_VALUE"""),"Soul Rend")</f>
        <v>Soul Rend</v>
      </c>
      <c r="B425" s="62">
        <f>IFERROR(__xludf.DUMMYFUNCTION("""COMPUTED_VALUE"""),5.0)</f>
        <v>5</v>
      </c>
      <c r="C425" s="1">
        <f>IFERROR(__xludf.DUMMYFUNCTION("""COMPUTED_VALUE"""),200.0)</f>
        <v>200</v>
      </c>
      <c r="D425" s="1"/>
      <c r="E425" s="1" t="str">
        <f>IFERROR(__xludf.DUMMYFUNCTION("""COMPUTED_VALUE"""),"Deal 2000 unblockable spirit damage and inflict the enemy with 10 Soulburn")</f>
        <v>Deal 2000 unblockable spirit damage and inflict the enemy with 10 Soulburn</v>
      </c>
      <c r="F425" s="1" t="str">
        <f>IFERROR(__xludf.DUMMYFUNCTION("""COMPUTED_VALUE"""),"Hit or MIss")</f>
        <v>Hit or MIss</v>
      </c>
      <c r="G425" s="1">
        <f>IFERROR(__xludf.DUMMYFUNCTION("""COMPUTED_VALUE"""),1.0)</f>
        <v>1</v>
      </c>
      <c r="H425" s="1" t="str">
        <f>IFERROR(__xludf.DUMMYFUNCTION("""COMPUTED_VALUE"""),"Spirit")</f>
        <v>Spirit</v>
      </c>
      <c r="I425" s="1" t="str">
        <f>IFERROR(__xludf.DUMMYFUNCTION("""COMPUTED_VALUE"""),"Player")</f>
        <v>Player</v>
      </c>
      <c r="J425" s="1" t="b">
        <f>IFERROR(__xludf.DUMMYFUNCTION("""COMPUTED_VALUE"""),FALSE)</f>
        <v>0</v>
      </c>
      <c r="K425" s="1"/>
      <c r="L425" s="1" t="b">
        <f>IFERROR(__xludf.DUMMYFUNCTION("""COMPUTED_VALUE"""),FALSE)</f>
        <v>0</v>
      </c>
      <c r="M425" s="21" t="b">
        <f>IFERROR(__xludf.DUMMYFUNCTION("""COMPUTED_VALUE"""),FALSE)</f>
        <v>0</v>
      </c>
      <c r="N425" s="1"/>
      <c r="O425" s="1"/>
      <c r="P425" s="1"/>
      <c r="Q425" s="1"/>
      <c r="R425" s="1"/>
      <c r="S425" s="1"/>
      <c r="T425" s="1"/>
      <c r="U425" s="1"/>
      <c r="V425" s="1"/>
      <c r="W425" s="1"/>
      <c r="X425" s="1"/>
      <c r="Y425" s="1"/>
      <c r="Z425" s="1"/>
    </row>
    <row r="426" ht="15.75" customHeight="1">
      <c r="A426" s="1" t="str">
        <f>IFERROR(__xludf.DUMMYFUNCTION("""COMPUTED_VALUE"""),"Spirit's March")</f>
        <v>Spirit's March</v>
      </c>
      <c r="B426" s="62">
        <f>IFERROR(__xludf.DUMMYFUNCTION("""COMPUTED_VALUE"""),9.0)</f>
        <v>9</v>
      </c>
      <c r="C426" s="1" t="str">
        <f>IFERROR(__xludf.DUMMYFUNCTION("""COMPUTED_VALUE"""),"1d20*120")</f>
        <v>1d20*120</v>
      </c>
      <c r="D426" s="1"/>
      <c r="E426" s="1"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1" t="str">
        <f>IFERROR(__xludf.DUMMYFUNCTION("""COMPUTED_VALUE"""),"Cannot Avoid")</f>
        <v>Cannot Avoid</v>
      </c>
      <c r="G426" s="1" t="str">
        <f>IFERROR(__xludf.DUMMYFUNCTION("""COMPUTED_VALUE"""),"All")</f>
        <v>All</v>
      </c>
      <c r="H426" s="1" t="str">
        <f>IFERROR(__xludf.DUMMYFUNCTION("""COMPUTED_VALUE"""),"Spirit")</f>
        <v>Spirit</v>
      </c>
      <c r="I426" s="1" t="str">
        <f>IFERROR(__xludf.DUMMYFUNCTION("""COMPUTED_VALUE"""),"Player")</f>
        <v>Player</v>
      </c>
      <c r="J426" s="1" t="b">
        <f>IFERROR(__xludf.DUMMYFUNCTION("""COMPUTED_VALUE"""),FALSE)</f>
        <v>0</v>
      </c>
      <c r="K426" s="1"/>
      <c r="L426" s="1" t="b">
        <f>IFERROR(__xludf.DUMMYFUNCTION("""COMPUTED_VALUE"""),FALSE)</f>
        <v>0</v>
      </c>
      <c r="M426" s="21" t="b">
        <f>IFERROR(__xludf.DUMMYFUNCTION("""COMPUTED_VALUE"""),FALSE)</f>
        <v>0</v>
      </c>
      <c r="N426" s="1"/>
      <c r="O426" s="1"/>
      <c r="P426" s="1"/>
      <c r="Q426" s="1"/>
      <c r="R426" s="1"/>
      <c r="S426" s="1"/>
      <c r="T426" s="1"/>
      <c r="U426" s="1"/>
      <c r="V426" s="1"/>
      <c r="W426" s="1"/>
      <c r="X426" s="1"/>
      <c r="Y426" s="1"/>
      <c r="Z426" s="1"/>
    </row>
    <row r="427" ht="15.75" customHeight="1">
      <c r="A427" s="1" t="str">
        <f>IFERROR(__xludf.DUMMYFUNCTION("""COMPUTED_VALUE"""),"Spectral Lash")</f>
        <v>Spectral Lash</v>
      </c>
      <c r="B427" s="62">
        <f>IFERROR(__xludf.DUMMYFUNCTION("""COMPUTED_VALUE"""),7.0)</f>
        <v>7</v>
      </c>
      <c r="C427" s="1">
        <f>IFERROR(__xludf.DUMMYFUNCTION("""COMPUTED_VALUE"""),500.0)</f>
        <v>500</v>
      </c>
      <c r="D427" s="1"/>
      <c r="E427" s="1" t="str">
        <f>IFERROR(__xludf.DUMMYFUNCTION("""COMPUTED_VALUE"""),"Unleash a stream of spectral magic upon an enemy inflicting them with Slowness 3 and Disoriented 5")</f>
        <v>Unleash a stream of spectral magic upon an enemy inflicting them with Slowness 3 and Disoriented 5</v>
      </c>
      <c r="F427" s="1" t="str">
        <f>IFERROR(__xludf.DUMMYFUNCTION("""COMPUTED_VALUE"""),"Fail or Succeed")</f>
        <v>Fail or Succeed</v>
      </c>
      <c r="G427" s="1">
        <f>IFERROR(__xludf.DUMMYFUNCTION("""COMPUTED_VALUE"""),1.0)</f>
        <v>1</v>
      </c>
      <c r="H427" s="1" t="str">
        <f>IFERROR(__xludf.DUMMYFUNCTION("""COMPUTED_VALUE"""),"Spirit")</f>
        <v>Spirit</v>
      </c>
      <c r="I427" s="1" t="str">
        <f>IFERROR(__xludf.DUMMYFUNCTION("""COMPUTED_VALUE"""),"Player")</f>
        <v>Player</v>
      </c>
      <c r="J427" s="1" t="b">
        <f>IFERROR(__xludf.DUMMYFUNCTION("""COMPUTED_VALUE"""),FALSE)</f>
        <v>0</v>
      </c>
      <c r="K427" s="1"/>
      <c r="L427" s="1" t="b">
        <f>IFERROR(__xludf.DUMMYFUNCTION("""COMPUTED_VALUE"""),FALSE)</f>
        <v>0</v>
      </c>
      <c r="M427" s="21" t="b">
        <f>IFERROR(__xludf.DUMMYFUNCTION("""COMPUTED_VALUE"""),FALSE)</f>
        <v>0</v>
      </c>
      <c r="N427" s="1"/>
      <c r="O427" s="1"/>
      <c r="P427" s="1"/>
      <c r="Q427" s="1"/>
      <c r="R427" s="1"/>
      <c r="S427" s="1"/>
      <c r="T427" s="1"/>
      <c r="U427" s="1"/>
      <c r="V427" s="1"/>
      <c r="W427" s="1"/>
      <c r="X427" s="1"/>
      <c r="Y427" s="1"/>
      <c r="Z427" s="1"/>
    </row>
    <row r="428" ht="15.75" customHeight="1">
      <c r="A428" s="1" t="str">
        <f>IFERROR(__xludf.DUMMYFUNCTION("""COMPUTED_VALUE"""),"Taijuma's Spirit Art I: 5 Formation Seal")</f>
        <v>Taijuma's Spirit Art I: 5 Formation Seal</v>
      </c>
      <c r="B428" s="62">
        <f>IFERROR(__xludf.DUMMYFUNCTION("""COMPUTED_VALUE"""),1.0)</f>
        <v>1</v>
      </c>
      <c r="C428" s="1">
        <f>IFERROR(__xludf.DUMMYFUNCTION("""COMPUTED_VALUE"""),0.0)</f>
        <v>0</v>
      </c>
      <c r="D428" s="1"/>
      <c r="E428" s="1"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1" t="str">
        <f>IFERROR(__xludf.DUMMYFUNCTION("""COMPUTED_VALUE"""),"Natural/Fail or Succeed")</f>
        <v>Natural/Fail or Succeed</v>
      </c>
      <c r="G428" s="1">
        <f>IFERROR(__xludf.DUMMYFUNCTION("""COMPUTED_VALUE"""),1.0)</f>
        <v>1</v>
      </c>
      <c r="H428" s="1" t="str">
        <f>IFERROR(__xludf.DUMMYFUNCTION("""COMPUTED_VALUE"""),"Spirit")</f>
        <v>Spirit</v>
      </c>
      <c r="I428" s="1" t="str">
        <f>IFERROR(__xludf.DUMMYFUNCTION("""COMPUTED_VALUE"""),"Mob")</f>
        <v>Mob</v>
      </c>
      <c r="J428" s="1" t="b">
        <f>IFERROR(__xludf.DUMMYFUNCTION("""COMPUTED_VALUE"""),TRUE)</f>
        <v>1</v>
      </c>
      <c r="K428" s="1" t="str">
        <f>IFERROR(__xludf.DUMMYFUNCTION("""COMPUTED_VALUE"""),"Quest Spell")</f>
        <v>Quest Spell</v>
      </c>
      <c r="L428" s="1" t="b">
        <f>IFERROR(__xludf.DUMMYFUNCTION("""COMPUTED_VALUE"""),FALSE)</f>
        <v>0</v>
      </c>
      <c r="M428" s="21" t="b">
        <f>IFERROR(__xludf.DUMMYFUNCTION("""COMPUTED_VALUE"""),FALSE)</f>
        <v>0</v>
      </c>
      <c r="N428" s="1"/>
      <c r="O428" s="1"/>
      <c r="P428" s="1"/>
      <c r="Q428" s="1"/>
      <c r="R428" s="1"/>
      <c r="S428" s="1"/>
      <c r="T428" s="1"/>
      <c r="U428" s="1"/>
      <c r="V428" s="1"/>
      <c r="W428" s="1"/>
      <c r="X428" s="1"/>
      <c r="Y428" s="1"/>
      <c r="Z428" s="1"/>
    </row>
    <row r="429" ht="15.75" customHeight="1">
      <c r="A429" s="1" t="str">
        <f>IFERROR(__xludf.DUMMYFUNCTION("""COMPUTED_VALUE"""),"Taijuma's Spirit Art II: Shatter")</f>
        <v>Taijuma's Spirit Art II: Shatter</v>
      </c>
      <c r="B429" s="62">
        <f>IFERROR(__xludf.DUMMYFUNCTION("""COMPUTED_VALUE"""),7.0)</f>
        <v>7</v>
      </c>
      <c r="C429" s="1">
        <f>IFERROR(__xludf.DUMMYFUNCTION("""COMPUTED_VALUE"""),1000.0)</f>
        <v>1000</v>
      </c>
      <c r="D429" s="1"/>
      <c r="E429" s="1"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1" t="str">
        <f>IFERROR(__xludf.DUMMYFUNCTION("""COMPUTED_VALUE"""),"Will Succeed")</f>
        <v>Will Succeed</v>
      </c>
      <c r="G429" s="1" t="str">
        <f>IFERROR(__xludf.DUMMYFUNCTION("""COMPUTED_VALUE"""),"Self, 1, or All")</f>
        <v>Self, 1, or All</v>
      </c>
      <c r="H429" s="1" t="str">
        <f>IFERROR(__xludf.DUMMYFUNCTION("""COMPUTED_VALUE"""),"Spirit")</f>
        <v>Spirit</v>
      </c>
      <c r="I429" s="1" t="str">
        <f>IFERROR(__xludf.DUMMYFUNCTION("""COMPUTED_VALUE"""),"Mob")</f>
        <v>Mob</v>
      </c>
      <c r="J429" s="1" t="b">
        <f>IFERROR(__xludf.DUMMYFUNCTION("""COMPUTED_VALUE"""),TRUE)</f>
        <v>1</v>
      </c>
      <c r="K429" s="1" t="str">
        <f>IFERROR(__xludf.DUMMYFUNCTION("""COMPUTED_VALUE"""),"Quest Spell")</f>
        <v>Quest Spell</v>
      </c>
      <c r="L429" s="1" t="b">
        <f>IFERROR(__xludf.DUMMYFUNCTION("""COMPUTED_VALUE"""),FALSE)</f>
        <v>0</v>
      </c>
      <c r="M429" s="21" t="b">
        <f>IFERROR(__xludf.DUMMYFUNCTION("""COMPUTED_VALUE"""),FALSE)</f>
        <v>0</v>
      </c>
      <c r="N429" s="1"/>
      <c r="O429" s="1"/>
      <c r="P429" s="1"/>
      <c r="Q429" s="1"/>
      <c r="R429" s="1"/>
      <c r="S429" s="1"/>
      <c r="T429" s="1"/>
      <c r="U429" s="1"/>
      <c r="V429" s="1"/>
      <c r="W429" s="1"/>
      <c r="X429" s="1"/>
      <c r="Y429" s="1"/>
      <c r="Z429" s="1"/>
    </row>
    <row r="430" ht="15.75" customHeight="1">
      <c r="A430" s="1" t="str">
        <f>IFERROR(__xludf.DUMMYFUNCTION("""COMPUTED_VALUE"""),"Taijuma's Spirit Art III: Domination")</f>
        <v>Taijuma's Spirit Art III: Domination</v>
      </c>
      <c r="B430" s="62">
        <f>IFERROR(__xludf.DUMMYFUNCTION("""COMPUTED_VALUE"""),8.0)</f>
        <v>8</v>
      </c>
      <c r="C430" s="1">
        <f>IFERROR(__xludf.DUMMYFUNCTION("""COMPUTED_VALUE"""),50.0)</f>
        <v>50</v>
      </c>
      <c r="D430" s="1"/>
      <c r="E430" s="1"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1" t="str">
        <f>IFERROR(__xludf.DUMMYFUNCTION("""COMPUTED_VALUE"""),"Will Succeed")</f>
        <v>Will Succeed</v>
      </c>
      <c r="G430" s="1">
        <f>IFERROR(__xludf.DUMMYFUNCTION("""COMPUTED_VALUE"""),1.0)</f>
        <v>1</v>
      </c>
      <c r="H430" s="1" t="str">
        <f>IFERROR(__xludf.DUMMYFUNCTION("""COMPUTED_VALUE"""),"Spirit")</f>
        <v>Spirit</v>
      </c>
      <c r="I430" s="1" t="str">
        <f>IFERROR(__xludf.DUMMYFUNCTION("""COMPUTED_VALUE"""),"Mob")</f>
        <v>Mob</v>
      </c>
      <c r="J430" s="1" t="b">
        <f>IFERROR(__xludf.DUMMYFUNCTION("""COMPUTED_VALUE"""),TRUE)</f>
        <v>1</v>
      </c>
      <c r="K430" s="1" t="str">
        <f>IFERROR(__xludf.DUMMYFUNCTION("""COMPUTED_VALUE"""),"Quest Spell")</f>
        <v>Quest Spell</v>
      </c>
      <c r="L430" s="1" t="b">
        <f>IFERROR(__xludf.DUMMYFUNCTION("""COMPUTED_VALUE"""),FALSE)</f>
        <v>0</v>
      </c>
      <c r="M430" s="21" t="b">
        <f>IFERROR(__xludf.DUMMYFUNCTION("""COMPUTED_VALUE"""),FALSE)</f>
        <v>0</v>
      </c>
      <c r="N430" s="1"/>
      <c r="O430" s="1"/>
      <c r="P430" s="1"/>
      <c r="Q430" s="1"/>
      <c r="R430" s="1"/>
      <c r="S430" s="1"/>
      <c r="T430" s="1"/>
      <c r="U430" s="1"/>
      <c r="V430" s="1"/>
      <c r="W430" s="1"/>
      <c r="X430" s="1"/>
      <c r="Y430" s="1"/>
      <c r="Z430" s="1"/>
    </row>
    <row r="431" ht="15.75" customHeight="1">
      <c r="A431" s="1" t="str">
        <f>IFERROR(__xludf.DUMMYFUNCTION("""COMPUTED_VALUE"""),"Taijuma's Spirit Art IV: Destined Death")</f>
        <v>Taijuma's Spirit Art IV: Destined Death</v>
      </c>
      <c r="B431" s="62">
        <f>IFERROR(__xludf.DUMMYFUNCTION("""COMPUTED_VALUE"""),9.0)</f>
        <v>9</v>
      </c>
      <c r="C431" s="1">
        <f>IFERROR(__xludf.DUMMYFUNCTION("""COMPUTED_VALUE"""),500.0)</f>
        <v>500</v>
      </c>
      <c r="D431" s="1"/>
      <c r="E431" s="1"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1" t="str">
        <f>IFERROR(__xludf.DUMMYFUNCTION("""COMPUTED_VALUE"""),"Will Succeed")</f>
        <v>Will Succeed</v>
      </c>
      <c r="G431" s="1" t="str">
        <f>IFERROR(__xludf.DUMMYFUNCTION("""COMPUTED_VALUE"""),"All")</f>
        <v>All</v>
      </c>
      <c r="H431" s="1" t="str">
        <f>IFERROR(__xludf.DUMMYFUNCTION("""COMPUTED_VALUE"""),"Spirit")</f>
        <v>Spirit</v>
      </c>
      <c r="I431" s="1" t="str">
        <f>IFERROR(__xludf.DUMMYFUNCTION("""COMPUTED_VALUE"""),"Mob")</f>
        <v>Mob</v>
      </c>
      <c r="J431" s="1" t="b">
        <f>IFERROR(__xludf.DUMMYFUNCTION("""COMPUTED_VALUE"""),TRUE)</f>
        <v>1</v>
      </c>
      <c r="K431" s="1" t="str">
        <f>IFERROR(__xludf.DUMMYFUNCTION("""COMPUTED_VALUE"""),"Quest Spell")</f>
        <v>Quest Spell</v>
      </c>
      <c r="L431" s="1" t="b">
        <f>IFERROR(__xludf.DUMMYFUNCTION("""COMPUTED_VALUE"""),FALSE)</f>
        <v>0</v>
      </c>
      <c r="M431" s="21" t="b">
        <f>IFERROR(__xludf.DUMMYFUNCTION("""COMPUTED_VALUE"""),FALSE)</f>
        <v>0</v>
      </c>
      <c r="N431" s="1"/>
      <c r="O431" s="1"/>
      <c r="P431" s="1"/>
      <c r="Q431" s="1"/>
      <c r="R431" s="1"/>
      <c r="S431" s="1"/>
      <c r="T431" s="1"/>
      <c r="U431" s="1"/>
      <c r="V431" s="1"/>
      <c r="W431" s="1"/>
      <c r="X431" s="1"/>
      <c r="Y431" s="1"/>
      <c r="Z431" s="1"/>
    </row>
    <row r="432" ht="15.75" customHeight="1">
      <c r="A432" s="1" t="str">
        <f>IFERROR(__xludf.DUMMYFUNCTION("""COMPUTED_VALUE"""),"Spiritual Meld")</f>
        <v>Spiritual Meld</v>
      </c>
      <c r="B432" s="62">
        <f>IFERROR(__xludf.DUMMYFUNCTION("""COMPUTED_VALUE"""),9.0)</f>
        <v>9</v>
      </c>
      <c r="C432" s="1">
        <f>IFERROR(__xludf.DUMMYFUNCTION("""COMPUTED_VALUE"""),1000.0)</f>
        <v>1000</v>
      </c>
      <c r="D432" s="1"/>
      <c r="E432" s="1"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1" t="str">
        <f>IFERROR(__xludf.DUMMYFUNCTION("""COMPUTED_VALUE"""),"Fail/Succeed")</f>
        <v>Fail/Succeed</v>
      </c>
      <c r="G432" s="1" t="str">
        <f>IFERROR(__xludf.DUMMYFUNCTION("""COMPUTED_VALUE"""),"Self")</f>
        <v>Self</v>
      </c>
      <c r="H432" s="1" t="str">
        <f>IFERROR(__xludf.DUMMYFUNCTION("""COMPUTED_VALUE"""),"Spirit")</f>
        <v>Spirit</v>
      </c>
      <c r="I432" s="1" t="str">
        <f>IFERROR(__xludf.DUMMYFUNCTION("""COMPUTED_VALUE"""),"Player")</f>
        <v>Player</v>
      </c>
      <c r="J432" s="1" t="b">
        <f>IFERROR(__xludf.DUMMYFUNCTION("""COMPUTED_VALUE"""),TRUE)</f>
        <v>1</v>
      </c>
      <c r="K432" s="1" t="str">
        <f>IFERROR(__xludf.DUMMYFUNCTION("""COMPUTED_VALUE"""),"Item")</f>
        <v>Item</v>
      </c>
      <c r="L432" s="1" t="b">
        <f>IFERROR(__xludf.DUMMYFUNCTION("""COMPUTED_VALUE"""),FALSE)</f>
        <v>0</v>
      </c>
      <c r="M432" s="21" t="b">
        <f>IFERROR(__xludf.DUMMYFUNCTION("""COMPUTED_VALUE"""),FALSE)</f>
        <v>0</v>
      </c>
      <c r="N432" s="1"/>
      <c r="O432" s="1"/>
      <c r="P432" s="1"/>
      <c r="Q432" s="1"/>
      <c r="R432" s="1"/>
      <c r="S432" s="1"/>
      <c r="T432" s="1"/>
      <c r="U432" s="1"/>
      <c r="V432" s="1"/>
      <c r="W432" s="1"/>
      <c r="X432" s="1"/>
      <c r="Y432" s="1"/>
      <c r="Z432" s="1"/>
    </row>
    <row r="433" ht="15.75" customHeight="1">
      <c r="A433" s="1" t="str">
        <f>IFERROR(__xludf.DUMMYFUNCTION("""COMPUTED_VALUE"""),"Vengeful Strike")</f>
        <v>Vengeful Strike</v>
      </c>
      <c r="B433" s="62">
        <f>IFERROR(__xludf.DUMMYFUNCTION("""COMPUTED_VALUE"""),9.0)</f>
        <v>9</v>
      </c>
      <c r="C433" s="1">
        <f>IFERROR(__xludf.DUMMYFUNCTION("""COMPUTED_VALUE"""),500.0)</f>
        <v>500</v>
      </c>
      <c r="D433" s="1"/>
      <c r="E433" s="1"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1" t="str">
        <f>IFERROR(__xludf.DUMMYFUNCTION("""COMPUTED_VALUE"""),"Fail/Succeed")</f>
        <v>Fail/Succeed</v>
      </c>
      <c r="G433" s="1" t="str">
        <f>IFERROR(__xludf.DUMMYFUNCTION("""COMPUTED_VALUE"""),"Self")</f>
        <v>Self</v>
      </c>
      <c r="H433" s="1" t="str">
        <f>IFERROR(__xludf.DUMMYFUNCTION("""COMPUTED_VALUE"""),"Spirit")</f>
        <v>Spirit</v>
      </c>
      <c r="I433" s="1" t="str">
        <f>IFERROR(__xludf.DUMMYFUNCTION("""COMPUTED_VALUE"""),"Player")</f>
        <v>Player</v>
      </c>
      <c r="J433" s="1" t="b">
        <f>IFERROR(__xludf.DUMMYFUNCTION("""COMPUTED_VALUE"""),FALSE)</f>
        <v>0</v>
      </c>
      <c r="K433" s="1"/>
      <c r="L433" s="1" t="b">
        <f>IFERROR(__xludf.DUMMYFUNCTION("""COMPUTED_VALUE"""),FALSE)</f>
        <v>0</v>
      </c>
      <c r="M433" s="21" t="b">
        <f>IFERROR(__xludf.DUMMYFUNCTION("""COMPUTED_VALUE"""),FALSE)</f>
        <v>0</v>
      </c>
      <c r="N433" s="1"/>
      <c r="O433" s="1"/>
      <c r="P433" s="1"/>
      <c r="Q433" s="1"/>
      <c r="R433" s="1"/>
      <c r="S433" s="1"/>
      <c r="T433" s="1"/>
      <c r="U433" s="1"/>
      <c r="V433" s="1"/>
      <c r="W433" s="1"/>
      <c r="X433" s="1"/>
      <c r="Y433" s="1"/>
      <c r="Z433" s="1"/>
    </row>
    <row r="434" ht="15.75" customHeight="1">
      <c r="A434" s="1" t="str">
        <f>IFERROR(__xludf.DUMMYFUNCTION("""COMPUTED_VALUE"""),"Soul Shot")</f>
        <v>Soul Shot</v>
      </c>
      <c r="B434" s="62">
        <f>IFERROR(__xludf.DUMMYFUNCTION("""COMPUTED_VALUE"""),1.0)</f>
        <v>1</v>
      </c>
      <c r="C434" s="1" t="str">
        <f>IFERROR(__xludf.DUMMYFUNCTION("""COMPUTED_VALUE"""),"X")</f>
        <v>X</v>
      </c>
      <c r="D434" s="1"/>
      <c r="E434" s="1" t="str">
        <f>IFERROR(__xludf.DUMMYFUNCTION("""COMPUTED_VALUE"""),"Deals X*100 Undefendable Spirit damage to a single enemy where X is equal to SP spent.")</f>
        <v>Deals X*100 Undefendable Spirit damage to a single enemy where X is equal to SP spent.</v>
      </c>
      <c r="F434" s="1" t="str">
        <f>IFERROR(__xludf.DUMMYFUNCTION("""COMPUTED_VALUE"""),"Hit/Miss")</f>
        <v>Hit/Miss</v>
      </c>
      <c r="G434" s="1">
        <f>IFERROR(__xludf.DUMMYFUNCTION("""COMPUTED_VALUE"""),1.0)</f>
        <v>1</v>
      </c>
      <c r="H434" s="1" t="str">
        <f>IFERROR(__xludf.DUMMYFUNCTION("""COMPUTED_VALUE"""),"Spirit")</f>
        <v>Spirit</v>
      </c>
      <c r="I434" s="1" t="str">
        <f>IFERROR(__xludf.DUMMYFUNCTION("""COMPUTED_VALUE"""),"Player")</f>
        <v>Player</v>
      </c>
      <c r="J434" s="1" t="b">
        <f>IFERROR(__xludf.DUMMYFUNCTION("""COMPUTED_VALUE"""),FALSE)</f>
        <v>0</v>
      </c>
      <c r="K434" s="1"/>
      <c r="L434" s="1" t="b">
        <f>IFERROR(__xludf.DUMMYFUNCTION("""COMPUTED_VALUE"""),FALSE)</f>
        <v>0</v>
      </c>
      <c r="M434" s="21" t="b">
        <f>IFERROR(__xludf.DUMMYFUNCTION("""COMPUTED_VALUE"""),FALSE)</f>
        <v>0</v>
      </c>
      <c r="N434" s="1"/>
      <c r="O434" s="1"/>
      <c r="P434" s="1"/>
      <c r="Q434" s="1"/>
      <c r="R434" s="1"/>
      <c r="S434" s="1"/>
      <c r="T434" s="1"/>
      <c r="U434" s="1"/>
      <c r="V434" s="1"/>
      <c r="W434" s="1"/>
      <c r="X434" s="1"/>
      <c r="Y434" s="1"/>
      <c r="Z434" s="1"/>
    </row>
    <row r="435" ht="15.75" customHeight="1">
      <c r="A435" s="1" t="str">
        <f>IFERROR(__xludf.DUMMYFUNCTION("""COMPUTED_VALUE"""),"Dread")</f>
        <v>Dread</v>
      </c>
      <c r="B435" s="62">
        <f>IFERROR(__xludf.DUMMYFUNCTION("""COMPUTED_VALUE"""),5.0)</f>
        <v>5</v>
      </c>
      <c r="C435" s="1" t="str">
        <f>IFERROR(__xludf.DUMMYFUNCTION("""COMPUTED_VALUE"""),"X")</f>
        <v>X</v>
      </c>
      <c r="D435" s="1"/>
      <c r="E435" s="1" t="str">
        <f>IFERROR(__xludf.DUMMYFUNCTION("""COMPUTED_VALUE"""),"Deals X*50 Spirit damage per round for 3 rounds to a single target where X is equal to SP spent.")</f>
        <v>Deals X*50 Spirit damage per round for 3 rounds to a single target where X is equal to SP spent.</v>
      </c>
      <c r="F435" s="1" t="str">
        <f>IFERROR(__xludf.DUMMYFUNCTION("""COMPUTED_VALUE"""),"Hit/Miss")</f>
        <v>Hit/Miss</v>
      </c>
      <c r="G435" s="1">
        <f>IFERROR(__xludf.DUMMYFUNCTION("""COMPUTED_VALUE"""),1.0)</f>
        <v>1</v>
      </c>
      <c r="H435" s="1" t="str">
        <f>IFERROR(__xludf.DUMMYFUNCTION("""COMPUTED_VALUE"""),"Spirit")</f>
        <v>Spirit</v>
      </c>
      <c r="I435" s="1" t="str">
        <f>IFERROR(__xludf.DUMMYFUNCTION("""COMPUTED_VALUE"""),"Player")</f>
        <v>Player</v>
      </c>
      <c r="J435" s="1" t="b">
        <f>IFERROR(__xludf.DUMMYFUNCTION("""COMPUTED_VALUE"""),FALSE)</f>
        <v>0</v>
      </c>
      <c r="K435" s="1"/>
      <c r="L435" s="1" t="b">
        <f>IFERROR(__xludf.DUMMYFUNCTION("""COMPUTED_VALUE"""),FALSE)</f>
        <v>0</v>
      </c>
      <c r="M435" s="21" t="b">
        <f>IFERROR(__xludf.DUMMYFUNCTION("""COMPUTED_VALUE"""),FALSE)</f>
        <v>0</v>
      </c>
      <c r="N435" s="1"/>
      <c r="O435" s="1"/>
      <c r="P435" s="1"/>
      <c r="Q435" s="1"/>
      <c r="R435" s="1"/>
      <c r="S435" s="1"/>
      <c r="T435" s="1"/>
      <c r="U435" s="1"/>
      <c r="V435" s="1"/>
      <c r="W435" s="1"/>
      <c r="X435" s="1"/>
      <c r="Y435" s="1"/>
      <c r="Z435" s="1"/>
    </row>
    <row r="436" ht="15.75" customHeight="1">
      <c r="A436" s="1" t="str">
        <f>IFERROR(__xludf.DUMMYFUNCTION("""COMPUTED_VALUE"""),"Spirit Fog")</f>
        <v>Spirit Fog</v>
      </c>
      <c r="B436" s="62">
        <f>IFERROR(__xludf.DUMMYFUNCTION("""COMPUTED_VALUE"""),5.0)</f>
        <v>5</v>
      </c>
      <c r="C436" s="1" t="str">
        <f>IFERROR(__xludf.DUMMYFUNCTION("""COMPUTED_VALUE"""),"X")</f>
        <v>X</v>
      </c>
      <c r="D436" s="1"/>
      <c r="E436" s="1" t="str">
        <f>IFERROR(__xludf.DUMMYFUNCTION("""COMPUTED_VALUE"""),"Deals X*25 Undefendable Spirit damage to all enemies where X is equal to SP spent.")</f>
        <v>Deals X*25 Undefendable Spirit damage to all enemies where X is equal to SP spent.</v>
      </c>
      <c r="F436" s="1" t="str">
        <f>IFERROR(__xludf.DUMMYFUNCTION("""COMPUTED_VALUE"""),"Cannot Avoid")</f>
        <v>Cannot Avoid</v>
      </c>
      <c r="G436" s="1" t="str">
        <f>IFERROR(__xludf.DUMMYFUNCTION("""COMPUTED_VALUE"""),"All")</f>
        <v>All</v>
      </c>
      <c r="H436" s="1" t="str">
        <f>IFERROR(__xludf.DUMMYFUNCTION("""COMPUTED_VALUE"""),"Spirit")</f>
        <v>Spirit</v>
      </c>
      <c r="I436" s="1" t="str">
        <f>IFERROR(__xludf.DUMMYFUNCTION("""COMPUTED_VALUE"""),"Player")</f>
        <v>Player</v>
      </c>
      <c r="J436" s="1" t="b">
        <f>IFERROR(__xludf.DUMMYFUNCTION("""COMPUTED_VALUE"""),FALSE)</f>
        <v>0</v>
      </c>
      <c r="K436" s="1"/>
      <c r="L436" s="1" t="b">
        <f>IFERROR(__xludf.DUMMYFUNCTION("""COMPUTED_VALUE"""),FALSE)</f>
        <v>0</v>
      </c>
      <c r="M436" s="21" t="b">
        <f>IFERROR(__xludf.DUMMYFUNCTION("""COMPUTED_VALUE"""),FALSE)</f>
        <v>0</v>
      </c>
      <c r="N436" s="1"/>
      <c r="O436" s="1"/>
      <c r="P436" s="1"/>
      <c r="Q436" s="1"/>
      <c r="R436" s="1"/>
      <c r="S436" s="1"/>
      <c r="T436" s="1"/>
      <c r="U436" s="1"/>
      <c r="V436" s="1"/>
      <c r="W436" s="1"/>
      <c r="X436" s="1"/>
      <c r="Y436" s="1"/>
      <c r="Z436" s="1"/>
    </row>
    <row r="437" ht="15.75" customHeight="1">
      <c r="A437" s="1" t="str">
        <f>IFERROR(__xludf.DUMMYFUNCTION("""COMPUTED_VALUE"""),"Burning Dread")</f>
        <v>Burning Dread</v>
      </c>
      <c r="B437" s="62">
        <f>IFERROR(__xludf.DUMMYFUNCTION("""COMPUTED_VALUE"""),6.0)</f>
        <v>6</v>
      </c>
      <c r="C437" s="1" t="str">
        <f>IFERROR(__xludf.DUMMYFUNCTION("""COMPUTED_VALUE"""),"X")</f>
        <v>X</v>
      </c>
      <c r="D437" s="1"/>
      <c r="E437" s="1" t="str">
        <f>IFERROR(__xludf.DUMMYFUNCTION("""COMPUTED_VALUE"""),"Deals X*10 Spirit damage per round to all enemies for 3 rounds where X is equal to SP spent.")</f>
        <v>Deals X*10 Spirit damage per round to all enemies for 3 rounds where X is equal to SP spent.</v>
      </c>
      <c r="F437" s="1" t="str">
        <f>IFERROR(__xludf.DUMMYFUNCTION("""COMPUTED_VALUE"""),"Cannot Avoid")</f>
        <v>Cannot Avoid</v>
      </c>
      <c r="G437" s="1" t="str">
        <f>IFERROR(__xludf.DUMMYFUNCTION("""COMPUTED_VALUE"""),"All")</f>
        <v>All</v>
      </c>
      <c r="H437" s="1" t="str">
        <f>IFERROR(__xludf.DUMMYFUNCTION("""COMPUTED_VALUE"""),"Spirit")</f>
        <v>Spirit</v>
      </c>
      <c r="I437" s="1" t="str">
        <f>IFERROR(__xludf.DUMMYFUNCTION("""COMPUTED_VALUE"""),"Player")</f>
        <v>Player</v>
      </c>
      <c r="J437" s="1" t="b">
        <f>IFERROR(__xludf.DUMMYFUNCTION("""COMPUTED_VALUE"""),FALSE)</f>
        <v>0</v>
      </c>
      <c r="K437" s="1"/>
      <c r="L437" s="1" t="b">
        <f>IFERROR(__xludf.DUMMYFUNCTION("""COMPUTED_VALUE"""),FALSE)</f>
        <v>0</v>
      </c>
      <c r="M437" s="21" t="b">
        <f>IFERROR(__xludf.DUMMYFUNCTION("""COMPUTED_VALUE"""),FALSE)</f>
        <v>0</v>
      </c>
      <c r="N437" s="1"/>
      <c r="O437" s="1"/>
      <c r="P437" s="1"/>
      <c r="Q437" s="1"/>
      <c r="R437" s="1"/>
      <c r="S437" s="1"/>
      <c r="T437" s="1"/>
      <c r="U437" s="1"/>
      <c r="V437" s="1"/>
      <c r="W437" s="1"/>
      <c r="X437" s="1"/>
      <c r="Y437" s="1"/>
      <c r="Z437" s="1"/>
    </row>
    <row r="438" ht="15.75" customHeight="1">
      <c r="A438" s="1" t="str">
        <f>IFERROR(__xludf.DUMMYFUNCTION("""COMPUTED_VALUE"""),"Stasis Madness")</f>
        <v>Stasis Madness</v>
      </c>
      <c r="B438" s="62">
        <f>IFERROR(__xludf.DUMMYFUNCTION("""COMPUTED_VALUE"""),6.0)</f>
        <v>6</v>
      </c>
      <c r="C438" s="1" t="str">
        <f>IFERROR(__xludf.DUMMYFUNCTION("""COMPUTED_VALUE"""),"X*100")</f>
        <v>X*100</v>
      </c>
      <c r="D438" s="1"/>
      <c r="E438" s="1" t="str">
        <f>IFERROR(__xludf.DUMMYFUNCTION("""COMPUTED_VALUE"""),"Target becomes completely unresponsive for X rounds")</f>
        <v>Target becomes completely unresponsive for X rounds</v>
      </c>
      <c r="F438" s="1" t="str">
        <f>IFERROR(__xludf.DUMMYFUNCTION("""COMPUTED_VALUE"""),"Fail/Succeed")</f>
        <v>Fail/Succeed</v>
      </c>
      <c r="G438" s="1"/>
      <c r="H438" s="1" t="str">
        <f>IFERROR(__xludf.DUMMYFUNCTION("""COMPUTED_VALUE"""),"Stasis")</f>
        <v>Stasis</v>
      </c>
      <c r="I438" s="1" t="str">
        <f>IFERROR(__xludf.DUMMYFUNCTION("""COMPUTED_VALUE"""),"Player")</f>
        <v>Player</v>
      </c>
      <c r="J438" s="1" t="b">
        <f>IFERROR(__xludf.DUMMYFUNCTION("""COMPUTED_VALUE"""),FALSE)</f>
        <v>0</v>
      </c>
      <c r="K438" s="1"/>
      <c r="L438" s="1" t="b">
        <f>IFERROR(__xludf.DUMMYFUNCTION("""COMPUTED_VALUE"""),FALSE)</f>
        <v>0</v>
      </c>
      <c r="M438" s="21" t="b">
        <f>IFERROR(__xludf.DUMMYFUNCTION("""COMPUTED_VALUE"""),FALSE)</f>
        <v>0</v>
      </c>
      <c r="N438" s="1"/>
      <c r="O438" s="1"/>
      <c r="P438" s="1"/>
      <c r="Q438" s="1"/>
      <c r="R438" s="1"/>
      <c r="S438" s="1"/>
      <c r="T438" s="1"/>
      <c r="U438" s="1"/>
      <c r="V438" s="1"/>
      <c r="W438" s="1"/>
      <c r="X438" s="1"/>
      <c r="Y438" s="1"/>
      <c r="Z438" s="1"/>
    </row>
    <row r="439" ht="15.75" customHeight="1">
      <c r="A439" s="1" t="str">
        <f>IFERROR(__xludf.DUMMYFUNCTION("""COMPUTED_VALUE"""),"Stasis Meteor Shower")</f>
        <v>Stasis Meteor Shower</v>
      </c>
      <c r="B439" s="62">
        <f>IFERROR(__xludf.DUMMYFUNCTION("""COMPUTED_VALUE"""),9.0)</f>
        <v>9</v>
      </c>
      <c r="C439" s="1">
        <f>IFERROR(__xludf.DUMMYFUNCTION("""COMPUTED_VALUE"""),300.0)</f>
        <v>300</v>
      </c>
      <c r="D439" s="1"/>
      <c r="E439" s="1" t="str">
        <f>IFERROR(__xludf.DUMMYFUNCTION("""COMPUTED_VALUE"""),"10,000 order, 10,000 chaos damage to all enemies 15% chance of stun 3.")</f>
        <v>10,000 order, 10,000 chaos damage to all enemies 15% chance of stun 3.</v>
      </c>
      <c r="F439" s="1" t="str">
        <f>IFERROR(__xludf.DUMMYFUNCTION("""COMPUTED_VALUE"""),"Cannot be avoided")</f>
        <v>Cannot be avoided</v>
      </c>
      <c r="G439" s="1"/>
      <c r="H439" s="1" t="str">
        <f>IFERROR(__xludf.DUMMYFUNCTION("""COMPUTED_VALUE"""),"Stasis")</f>
        <v>Stasis</v>
      </c>
      <c r="I439" s="1" t="str">
        <f>IFERROR(__xludf.DUMMYFUNCTION("""COMPUTED_VALUE"""),"Player")</f>
        <v>Player</v>
      </c>
      <c r="J439" s="1" t="b">
        <f>IFERROR(__xludf.DUMMYFUNCTION("""COMPUTED_VALUE"""),FALSE)</f>
        <v>0</v>
      </c>
      <c r="K439" s="1"/>
      <c r="L439" s="1" t="b">
        <f>IFERROR(__xludf.DUMMYFUNCTION("""COMPUTED_VALUE"""),FALSE)</f>
        <v>0</v>
      </c>
      <c r="M439" s="21" t="b">
        <f>IFERROR(__xludf.DUMMYFUNCTION("""COMPUTED_VALUE"""),FALSE)</f>
        <v>0</v>
      </c>
      <c r="N439" s="1"/>
      <c r="O439" s="1"/>
      <c r="P439" s="1"/>
      <c r="Q439" s="1"/>
      <c r="R439" s="1"/>
      <c r="S439" s="1"/>
      <c r="T439" s="1"/>
      <c r="U439" s="1"/>
      <c r="V439" s="1"/>
      <c r="W439" s="1"/>
      <c r="X439" s="1"/>
      <c r="Y439" s="1"/>
      <c r="Z439" s="1"/>
    </row>
    <row r="440" ht="15.75" customHeight="1">
      <c r="A440" s="1" t="str">
        <f>IFERROR(__xludf.DUMMYFUNCTION("""COMPUTED_VALUE"""),"Stasis Shield")</f>
        <v>Stasis Shield</v>
      </c>
      <c r="B440" s="62">
        <f>IFERROR(__xludf.DUMMYFUNCTION("""COMPUTED_VALUE"""),4.0)</f>
        <v>4</v>
      </c>
      <c r="C440" s="1">
        <f>IFERROR(__xludf.DUMMYFUNCTION("""COMPUTED_VALUE"""),40.0)</f>
        <v>40</v>
      </c>
      <c r="D440" s="1"/>
      <c r="E440" s="1" t="str">
        <f>IFERROR(__xludf.DUMMYFUNCTION("""COMPUTED_VALUE"""),"X4 def to selected target, and Immunity to order and chaos.")</f>
        <v>X4 def to selected target, and Immunity to order and chaos.</v>
      </c>
      <c r="F440" s="1" t="str">
        <f>IFERROR(__xludf.DUMMYFUNCTION("""COMPUTED_VALUE"""),"Will Succeed")</f>
        <v>Will Succeed</v>
      </c>
      <c r="G440" s="1"/>
      <c r="H440" s="1" t="str">
        <f>IFERROR(__xludf.DUMMYFUNCTION("""COMPUTED_VALUE"""),"Stasis")</f>
        <v>Stasis</v>
      </c>
      <c r="I440" s="1" t="str">
        <f>IFERROR(__xludf.DUMMYFUNCTION("""COMPUTED_VALUE"""),"Player")</f>
        <v>Player</v>
      </c>
      <c r="J440" s="1" t="b">
        <f>IFERROR(__xludf.DUMMYFUNCTION("""COMPUTED_VALUE"""),FALSE)</f>
        <v>0</v>
      </c>
      <c r="K440" s="1"/>
      <c r="L440" s="1" t="b">
        <f>IFERROR(__xludf.DUMMYFUNCTION("""COMPUTED_VALUE"""),FALSE)</f>
        <v>0</v>
      </c>
      <c r="M440" s="21" t="b">
        <f>IFERROR(__xludf.DUMMYFUNCTION("""COMPUTED_VALUE"""),FALSE)</f>
        <v>0</v>
      </c>
      <c r="N440" s="1"/>
      <c r="O440" s="1"/>
      <c r="P440" s="1"/>
      <c r="Q440" s="1"/>
      <c r="R440" s="1"/>
      <c r="S440" s="1"/>
      <c r="T440" s="1"/>
      <c r="U440" s="1"/>
      <c r="V440" s="1"/>
      <c r="W440" s="1"/>
      <c r="X440" s="1"/>
      <c r="Y440" s="1"/>
      <c r="Z440" s="1"/>
    </row>
    <row r="441" ht="15.75" customHeight="1">
      <c r="A441" s="1" t="str">
        <f>IFERROR(__xludf.DUMMYFUNCTION("""COMPUTED_VALUE"""),"Stasis Storm")</f>
        <v>Stasis Storm</v>
      </c>
      <c r="B441" s="62">
        <f>IFERROR(__xludf.DUMMYFUNCTION("""COMPUTED_VALUE"""),2.0)</f>
        <v>2</v>
      </c>
      <c r="C441" s="1">
        <f>IFERROR(__xludf.DUMMYFUNCTION("""COMPUTED_VALUE"""),20.0)</f>
        <v>20</v>
      </c>
      <c r="D441" s="1"/>
      <c r="E441" s="1" t="str">
        <f>IFERROR(__xludf.DUMMYFUNCTION("""COMPUTED_VALUE"""),"1000 continuous order, 1000 continuous chaos damage.")</f>
        <v>1000 continuous order, 1000 continuous chaos damage.</v>
      </c>
      <c r="F441" s="1" t="str">
        <f>IFERROR(__xludf.DUMMYFUNCTION("""COMPUTED_VALUE"""),"Hit or Miss")</f>
        <v>Hit or Miss</v>
      </c>
      <c r="G441" s="1">
        <f>IFERROR(__xludf.DUMMYFUNCTION("""COMPUTED_VALUE"""),1.0)</f>
        <v>1</v>
      </c>
      <c r="H441" s="1" t="str">
        <f>IFERROR(__xludf.DUMMYFUNCTION("""COMPUTED_VALUE"""),"Stasis")</f>
        <v>Stasis</v>
      </c>
      <c r="I441" s="1" t="str">
        <f>IFERROR(__xludf.DUMMYFUNCTION("""COMPUTED_VALUE"""),"Player")</f>
        <v>Player</v>
      </c>
      <c r="J441" s="1" t="b">
        <f>IFERROR(__xludf.DUMMYFUNCTION("""COMPUTED_VALUE"""),FALSE)</f>
        <v>0</v>
      </c>
      <c r="K441" s="1"/>
      <c r="L441" s="1" t="b">
        <f>IFERROR(__xludf.DUMMYFUNCTION("""COMPUTED_VALUE"""),FALSE)</f>
        <v>0</v>
      </c>
      <c r="M441" s="21" t="b">
        <f>IFERROR(__xludf.DUMMYFUNCTION("""COMPUTED_VALUE"""),FALSE)</f>
        <v>0</v>
      </c>
      <c r="N441" s="1"/>
      <c r="O441" s="1"/>
      <c r="P441" s="1"/>
      <c r="Q441" s="1"/>
      <c r="R441" s="1"/>
      <c r="S441" s="1"/>
      <c r="T441" s="1"/>
      <c r="U441" s="1"/>
      <c r="V441" s="1"/>
      <c r="W441" s="1"/>
      <c r="X441" s="1"/>
      <c r="Y441" s="1"/>
      <c r="Z441" s="1"/>
    </row>
    <row r="442" ht="15.75" customHeight="1">
      <c r="A442" s="1" t="str">
        <f>IFERROR(__xludf.DUMMYFUNCTION("""COMPUTED_VALUE"""),"Stasis Strike")</f>
        <v>Stasis Strike</v>
      </c>
      <c r="B442" s="62">
        <f>IFERROR(__xludf.DUMMYFUNCTION("""COMPUTED_VALUE"""),1.0)</f>
        <v>1</v>
      </c>
      <c r="C442" s="1">
        <f>IFERROR(__xludf.DUMMYFUNCTION("""COMPUTED_VALUE"""),10.0)</f>
        <v>10</v>
      </c>
      <c r="D442" s="1"/>
      <c r="E442" s="1" t="str">
        <f>IFERROR(__xludf.DUMMYFUNCTION("""COMPUTED_VALUE"""),"500 order, 500 chaos damage")</f>
        <v>500 order, 500 chaos damage</v>
      </c>
      <c r="F442" s="1" t="str">
        <f>IFERROR(__xludf.DUMMYFUNCTION("""COMPUTED_VALUE"""),"Hit or Miss")</f>
        <v>Hit or Miss</v>
      </c>
      <c r="G442" s="1">
        <f>IFERROR(__xludf.DUMMYFUNCTION("""COMPUTED_VALUE"""),1.0)</f>
        <v>1</v>
      </c>
      <c r="H442" s="1" t="str">
        <f>IFERROR(__xludf.DUMMYFUNCTION("""COMPUTED_VALUE"""),"Stasis")</f>
        <v>Stasis</v>
      </c>
      <c r="I442" s="1" t="str">
        <f>IFERROR(__xludf.DUMMYFUNCTION("""COMPUTED_VALUE"""),"Player")</f>
        <v>Player</v>
      </c>
      <c r="J442" s="1" t="b">
        <f>IFERROR(__xludf.DUMMYFUNCTION("""COMPUTED_VALUE"""),FALSE)</f>
        <v>0</v>
      </c>
      <c r="K442" s="1"/>
      <c r="L442" s="1" t="b">
        <f>IFERROR(__xludf.DUMMYFUNCTION("""COMPUTED_VALUE"""),FALSE)</f>
        <v>0</v>
      </c>
      <c r="M442" s="21" t="b">
        <f>IFERROR(__xludf.DUMMYFUNCTION("""COMPUTED_VALUE"""),FALSE)</f>
        <v>0</v>
      </c>
      <c r="N442" s="1"/>
      <c r="O442" s="1"/>
      <c r="P442" s="1"/>
      <c r="Q442" s="1"/>
      <c r="R442" s="1"/>
      <c r="S442" s="1"/>
      <c r="T442" s="1"/>
      <c r="U442" s="1"/>
      <c r="V442" s="1"/>
      <c r="W442" s="1"/>
      <c r="X442" s="1"/>
      <c r="Y442" s="1"/>
      <c r="Z442" s="1"/>
    </row>
    <row r="443" ht="15.75" customHeight="1">
      <c r="A443" s="1" t="str">
        <f>IFERROR(__xludf.DUMMYFUNCTION("""COMPUTED_VALUE"""),"Stasis Transformation")</f>
        <v>Stasis Transformation</v>
      </c>
      <c r="B443" s="62">
        <f>IFERROR(__xludf.DUMMYFUNCTION("""COMPUTED_VALUE"""),8.0)</f>
        <v>8</v>
      </c>
      <c r="C443" s="1">
        <f>IFERROR(__xludf.DUMMYFUNCTION("""COMPUTED_VALUE"""),200.0)</f>
        <v>200</v>
      </c>
      <c r="D443" s="1"/>
      <c r="E443" s="1" t="str">
        <f>IFERROR(__xludf.DUMMYFUNCTION("""COMPUTED_VALUE"""),"X4 order and chaos damage for self and allies until end of battle.")</f>
        <v>X4 order and chaos damage for self and allies until end of battle.</v>
      </c>
      <c r="F443" s="1" t="str">
        <f>IFERROR(__xludf.DUMMYFUNCTION("""COMPUTED_VALUE"""),"Will succeed")</f>
        <v>Will succeed</v>
      </c>
      <c r="G443" s="1"/>
      <c r="H443" s="1" t="str">
        <f>IFERROR(__xludf.DUMMYFUNCTION("""COMPUTED_VALUE"""),"Stasis")</f>
        <v>Stasis</v>
      </c>
      <c r="I443" s="1" t="str">
        <f>IFERROR(__xludf.DUMMYFUNCTION("""COMPUTED_VALUE"""),"Player")</f>
        <v>Player</v>
      </c>
      <c r="J443" s="1" t="b">
        <f>IFERROR(__xludf.DUMMYFUNCTION("""COMPUTED_VALUE"""),FALSE)</f>
        <v>0</v>
      </c>
      <c r="K443" s="1"/>
      <c r="L443" s="1" t="b">
        <f>IFERROR(__xludf.DUMMYFUNCTION("""COMPUTED_VALUE"""),FALSE)</f>
        <v>0</v>
      </c>
      <c r="M443" s="21" t="b">
        <f>IFERROR(__xludf.DUMMYFUNCTION("""COMPUTED_VALUE"""),FALSE)</f>
        <v>0</v>
      </c>
      <c r="N443" s="1"/>
      <c r="O443" s="1"/>
      <c r="P443" s="1"/>
      <c r="Q443" s="1"/>
      <c r="R443" s="1"/>
      <c r="S443" s="1"/>
      <c r="T443" s="1"/>
      <c r="U443" s="1"/>
      <c r="V443" s="1"/>
      <c r="W443" s="1"/>
      <c r="X443" s="1"/>
      <c r="Y443" s="1"/>
      <c r="Z443" s="1"/>
    </row>
    <row r="444" ht="15.75" customHeight="1">
      <c r="A444" s="1" t="str">
        <f>IFERROR(__xludf.DUMMYFUNCTION("""COMPUTED_VALUE"""),"Stasis Tsunami")</f>
        <v>Stasis Tsunami</v>
      </c>
      <c r="B444" s="62">
        <f>IFERROR(__xludf.DUMMYFUNCTION("""COMPUTED_VALUE"""),9.0)</f>
        <v>9</v>
      </c>
      <c r="C444" s="1">
        <f>IFERROR(__xludf.DUMMYFUNCTION("""COMPUTED_VALUE"""),300.0)</f>
        <v>300</v>
      </c>
      <c r="D444" s="1"/>
      <c r="E444" s="1" t="str">
        <f>IFERROR(__xludf.DUMMYFUNCTION("""COMPUTED_VALUE"""),"10,000 order, 10,000 chaos damage to all enemies.")</f>
        <v>10,000 order, 10,000 chaos damage to all enemies.</v>
      </c>
      <c r="F444" s="1" t="str">
        <f>IFERROR(__xludf.DUMMYFUNCTION("""COMPUTED_VALUE"""),"Cannot be avoided")</f>
        <v>Cannot be avoided</v>
      </c>
      <c r="G444" s="1"/>
      <c r="H444" s="1" t="str">
        <f>IFERROR(__xludf.DUMMYFUNCTION("""COMPUTED_VALUE"""),"Stasis")</f>
        <v>Stasis</v>
      </c>
      <c r="I444" s="1" t="str">
        <f>IFERROR(__xludf.DUMMYFUNCTION("""COMPUTED_VALUE"""),"Player")</f>
        <v>Player</v>
      </c>
      <c r="J444" s="1" t="b">
        <f>IFERROR(__xludf.DUMMYFUNCTION("""COMPUTED_VALUE"""),FALSE)</f>
        <v>0</v>
      </c>
      <c r="K444" s="1"/>
      <c r="L444" s="1" t="b">
        <f>IFERROR(__xludf.DUMMYFUNCTION("""COMPUTED_VALUE"""),FALSE)</f>
        <v>0</v>
      </c>
      <c r="M444" s="21" t="b">
        <f>IFERROR(__xludf.DUMMYFUNCTION("""COMPUTED_VALUE"""),FALSE)</f>
        <v>0</v>
      </c>
      <c r="N444" s="1"/>
      <c r="O444" s="1"/>
      <c r="P444" s="1"/>
      <c r="Q444" s="1"/>
      <c r="R444" s="1"/>
      <c r="S444" s="1"/>
      <c r="T444" s="1"/>
      <c r="U444" s="1"/>
      <c r="V444" s="1"/>
      <c r="W444" s="1"/>
      <c r="X444" s="1"/>
      <c r="Y444" s="1"/>
      <c r="Z444" s="1"/>
    </row>
    <row r="445" ht="15.75" customHeight="1">
      <c r="A445" s="1" t="str">
        <f>IFERROR(__xludf.DUMMYFUNCTION("""COMPUTED_VALUE"""),"Tower Of Stasis")</f>
        <v>Tower Of Stasis</v>
      </c>
      <c r="B445" s="62">
        <f>IFERROR(__xludf.DUMMYFUNCTION("""COMPUTED_VALUE"""),8.0)</f>
        <v>8</v>
      </c>
      <c r="C445" s="1">
        <f>IFERROR(__xludf.DUMMYFUNCTION("""COMPUTED_VALUE"""),200.0)</f>
        <v>200</v>
      </c>
      <c r="D445" s="1"/>
      <c r="E445" s="1"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1" t="str">
        <f>IFERROR(__xludf.DUMMYFUNCTION("""COMPUTED_VALUE"""),"Fail or succeed")</f>
        <v>Fail or succeed</v>
      </c>
      <c r="G445" s="1">
        <f>IFERROR(__xludf.DUMMYFUNCTION("""COMPUTED_VALUE"""),1.0)</f>
        <v>1</v>
      </c>
      <c r="H445" s="1" t="str">
        <f>IFERROR(__xludf.DUMMYFUNCTION("""COMPUTED_VALUE"""),"Stasis")</f>
        <v>Stasis</v>
      </c>
      <c r="I445" s="1" t="str">
        <f>IFERROR(__xludf.DUMMYFUNCTION("""COMPUTED_VALUE"""),"Player")</f>
        <v>Player</v>
      </c>
      <c r="J445" s="1" t="b">
        <f>IFERROR(__xludf.DUMMYFUNCTION("""COMPUTED_VALUE"""),FALSE)</f>
        <v>0</v>
      </c>
      <c r="K445" s="1"/>
      <c r="L445" s="1" t="b">
        <f>IFERROR(__xludf.DUMMYFUNCTION("""COMPUTED_VALUE"""),FALSE)</f>
        <v>0</v>
      </c>
      <c r="M445" s="21" t="b">
        <f>IFERROR(__xludf.DUMMYFUNCTION("""COMPUTED_VALUE"""),FALSE)</f>
        <v>0</v>
      </c>
      <c r="N445" s="1"/>
      <c r="O445" s="1"/>
      <c r="P445" s="1"/>
      <c r="Q445" s="1"/>
      <c r="R445" s="1"/>
      <c r="S445" s="1"/>
      <c r="T445" s="1"/>
      <c r="U445" s="1"/>
      <c r="V445" s="1"/>
      <c r="W445" s="1"/>
      <c r="X445" s="1"/>
      <c r="Y445" s="1"/>
      <c r="Z445" s="1"/>
    </row>
    <row r="446" ht="15.75" customHeight="1">
      <c r="A446" s="1" t="str">
        <f>IFERROR(__xludf.DUMMYFUNCTION("""COMPUTED_VALUE"""),"Contradiction")</f>
        <v>Contradiction</v>
      </c>
      <c r="B446" s="62">
        <f>IFERROR(__xludf.DUMMYFUNCTION("""COMPUTED_VALUE"""),1.0)</f>
        <v>1</v>
      </c>
      <c r="C446" s="1" t="str">
        <f>IFERROR(__xludf.DUMMYFUNCTION("""COMPUTED_VALUE"""),"X")</f>
        <v>X</v>
      </c>
      <c r="D446" s="1"/>
      <c r="E446" s="1" t="str">
        <f>IFERROR(__xludf.DUMMYFUNCTION("""COMPUTED_VALUE"""),"Deals X*50 Order and X*50 Chaos damage to a single enemy where X is equal to SP spent.")</f>
        <v>Deals X*50 Order and X*50 Chaos damage to a single enemy where X is equal to SP spent.</v>
      </c>
      <c r="F446" s="1" t="str">
        <f>IFERROR(__xludf.DUMMYFUNCTION("""COMPUTED_VALUE"""),"Hit/Miss")</f>
        <v>Hit/Miss</v>
      </c>
      <c r="G446" s="1">
        <f>IFERROR(__xludf.DUMMYFUNCTION("""COMPUTED_VALUE"""),1.0)</f>
        <v>1</v>
      </c>
      <c r="H446" s="1" t="str">
        <f>IFERROR(__xludf.DUMMYFUNCTION("""COMPUTED_VALUE"""),"Stasis")</f>
        <v>Stasis</v>
      </c>
      <c r="I446" s="1" t="str">
        <f>IFERROR(__xludf.DUMMYFUNCTION("""COMPUTED_VALUE"""),"Player")</f>
        <v>Player</v>
      </c>
      <c r="J446" s="1" t="b">
        <f>IFERROR(__xludf.DUMMYFUNCTION("""COMPUTED_VALUE"""),FALSE)</f>
        <v>0</v>
      </c>
      <c r="K446" s="1"/>
      <c r="L446" s="1" t="b">
        <f>IFERROR(__xludf.DUMMYFUNCTION("""COMPUTED_VALUE"""),FALSE)</f>
        <v>0</v>
      </c>
      <c r="M446" s="21" t="b">
        <f>IFERROR(__xludf.DUMMYFUNCTION("""COMPUTED_VALUE"""),FALSE)</f>
        <v>0</v>
      </c>
      <c r="N446" s="1"/>
      <c r="O446" s="1"/>
      <c r="P446" s="1"/>
      <c r="Q446" s="1"/>
      <c r="R446" s="1"/>
      <c r="S446" s="1"/>
      <c r="T446" s="1"/>
      <c r="U446" s="1"/>
      <c r="V446" s="1"/>
      <c r="W446" s="1"/>
      <c r="X446" s="1"/>
      <c r="Y446" s="1"/>
      <c r="Z446" s="1"/>
    </row>
    <row r="447" ht="15.75" customHeight="1">
      <c r="A447" s="1" t="str">
        <f>IFERROR(__xludf.DUMMYFUNCTION("""COMPUTED_VALUE"""),"Static Breakdown")</f>
        <v>Static Breakdown</v>
      </c>
      <c r="B447" s="62">
        <f>IFERROR(__xludf.DUMMYFUNCTION("""COMPUTED_VALUE"""),5.0)</f>
        <v>5</v>
      </c>
      <c r="C447" s="1" t="str">
        <f>IFERROR(__xludf.DUMMYFUNCTION("""COMPUTED_VALUE"""),"X")</f>
        <v>X</v>
      </c>
      <c r="D447" s="1"/>
      <c r="E447" s="1" t="str">
        <f>IFERROR(__xludf.DUMMYFUNCTION("""COMPUTED_VALUE"""),"Deals X*25 Order and X*25 Chaos damage per round for 3 rounds to a single target where X is equal to SP spent.")</f>
        <v>Deals X*25 Order and X*25 Chaos damage per round for 3 rounds to a single target where X is equal to SP spent.</v>
      </c>
      <c r="F447" s="1" t="str">
        <f>IFERROR(__xludf.DUMMYFUNCTION("""COMPUTED_VALUE"""),"Hit/Miss")</f>
        <v>Hit/Miss</v>
      </c>
      <c r="G447" s="1">
        <f>IFERROR(__xludf.DUMMYFUNCTION("""COMPUTED_VALUE"""),1.0)</f>
        <v>1</v>
      </c>
      <c r="H447" s="1" t="str">
        <f>IFERROR(__xludf.DUMMYFUNCTION("""COMPUTED_VALUE"""),"Stasis")</f>
        <v>Stasis</v>
      </c>
      <c r="I447" s="1" t="str">
        <f>IFERROR(__xludf.DUMMYFUNCTION("""COMPUTED_VALUE"""),"Player")</f>
        <v>Player</v>
      </c>
      <c r="J447" s="1" t="b">
        <f>IFERROR(__xludf.DUMMYFUNCTION("""COMPUTED_VALUE"""),FALSE)</f>
        <v>0</v>
      </c>
      <c r="K447" s="1"/>
      <c r="L447" s="1" t="b">
        <f>IFERROR(__xludf.DUMMYFUNCTION("""COMPUTED_VALUE"""),FALSE)</f>
        <v>0</v>
      </c>
      <c r="M447" s="21" t="b">
        <f>IFERROR(__xludf.DUMMYFUNCTION("""COMPUTED_VALUE"""),FALSE)</f>
        <v>0</v>
      </c>
      <c r="N447" s="1"/>
      <c r="O447" s="1"/>
      <c r="P447" s="1"/>
      <c r="Q447" s="1"/>
      <c r="R447" s="1"/>
      <c r="S447" s="1"/>
      <c r="T447" s="1"/>
      <c r="U447" s="1"/>
      <c r="V447" s="1"/>
      <c r="W447" s="1"/>
      <c r="X447" s="1"/>
      <c r="Y447" s="1"/>
      <c r="Z447" s="1"/>
    </row>
    <row r="448" ht="15.75" customHeight="1">
      <c r="A448" s="1" t="str">
        <f>IFERROR(__xludf.DUMMYFUNCTION("""COMPUTED_VALUE"""),"Colliding Forces")</f>
        <v>Colliding Forces</v>
      </c>
      <c r="B448" s="62">
        <f>IFERROR(__xludf.DUMMYFUNCTION("""COMPUTED_VALUE"""),5.0)</f>
        <v>5</v>
      </c>
      <c r="C448" s="1" t="str">
        <f>IFERROR(__xludf.DUMMYFUNCTION("""COMPUTED_VALUE"""),"X")</f>
        <v>X</v>
      </c>
      <c r="D448" s="1"/>
      <c r="E448" s="1" t="str">
        <f>IFERROR(__xludf.DUMMYFUNCTION("""COMPUTED_VALUE"""),"Deals X*15 Order and X*15 Chaos damage to all enemies where X is equal to SP spent.")</f>
        <v>Deals X*15 Order and X*15 Chaos damage to all enemies where X is equal to SP spent.</v>
      </c>
      <c r="F448" s="1" t="str">
        <f>IFERROR(__xludf.DUMMYFUNCTION("""COMPUTED_VALUE"""),"Cannot Avoid")</f>
        <v>Cannot Avoid</v>
      </c>
      <c r="G448" s="1" t="str">
        <f>IFERROR(__xludf.DUMMYFUNCTION("""COMPUTED_VALUE"""),"All")</f>
        <v>All</v>
      </c>
      <c r="H448" s="1" t="str">
        <f>IFERROR(__xludf.DUMMYFUNCTION("""COMPUTED_VALUE"""),"Stasis")</f>
        <v>Stasis</v>
      </c>
      <c r="I448" s="1" t="str">
        <f>IFERROR(__xludf.DUMMYFUNCTION("""COMPUTED_VALUE"""),"Player")</f>
        <v>Player</v>
      </c>
      <c r="J448" s="1" t="b">
        <f>IFERROR(__xludf.DUMMYFUNCTION("""COMPUTED_VALUE"""),FALSE)</f>
        <v>0</v>
      </c>
      <c r="K448" s="1"/>
      <c r="L448" s="1" t="b">
        <f>IFERROR(__xludf.DUMMYFUNCTION("""COMPUTED_VALUE"""),FALSE)</f>
        <v>0</v>
      </c>
      <c r="M448" s="21" t="b">
        <f>IFERROR(__xludf.DUMMYFUNCTION("""COMPUTED_VALUE"""),FALSE)</f>
        <v>0</v>
      </c>
      <c r="N448" s="1"/>
      <c r="O448" s="1"/>
      <c r="P448" s="1"/>
      <c r="Q448" s="1"/>
      <c r="R448" s="1"/>
      <c r="S448" s="1"/>
      <c r="T448" s="1"/>
      <c r="U448" s="1"/>
      <c r="V448" s="1"/>
      <c r="W448" s="1"/>
      <c r="X448" s="1"/>
      <c r="Y448" s="1"/>
      <c r="Z448" s="1"/>
    </row>
    <row r="449" ht="15.75" customHeight="1">
      <c r="A449" s="1" t="str">
        <f>IFERROR(__xludf.DUMMYFUNCTION("""COMPUTED_VALUE"""),"Mass Static Breakdown")</f>
        <v>Mass Static Breakdown</v>
      </c>
      <c r="B449" s="62">
        <f>IFERROR(__xludf.DUMMYFUNCTION("""COMPUTED_VALUE"""),6.0)</f>
        <v>6</v>
      </c>
      <c r="C449" s="1" t="str">
        <f>IFERROR(__xludf.DUMMYFUNCTION("""COMPUTED_VALUE"""),"X")</f>
        <v>X</v>
      </c>
      <c r="D449" s="1"/>
      <c r="E449" s="1" t="str">
        <f>IFERROR(__xludf.DUMMYFUNCTION("""COMPUTED_VALUE"""),"Deals X*5 Order and X*5 Chaos damage per round to all enemies for 3 rounds where X is equal to SP spent.")</f>
        <v>Deals X*5 Order and X*5 Chaos damage per round to all enemies for 3 rounds where X is equal to SP spent.</v>
      </c>
      <c r="F449" s="1" t="str">
        <f>IFERROR(__xludf.DUMMYFUNCTION("""COMPUTED_VALUE"""),"Cannot Avoid")</f>
        <v>Cannot Avoid</v>
      </c>
      <c r="G449" s="1" t="str">
        <f>IFERROR(__xludf.DUMMYFUNCTION("""COMPUTED_VALUE"""),"All")</f>
        <v>All</v>
      </c>
      <c r="H449" s="1" t="str">
        <f>IFERROR(__xludf.DUMMYFUNCTION("""COMPUTED_VALUE"""),"Stasis")</f>
        <v>Stasis</v>
      </c>
      <c r="I449" s="1" t="str">
        <f>IFERROR(__xludf.DUMMYFUNCTION("""COMPUTED_VALUE"""),"Player")</f>
        <v>Player</v>
      </c>
      <c r="J449" s="1" t="b">
        <f>IFERROR(__xludf.DUMMYFUNCTION("""COMPUTED_VALUE"""),FALSE)</f>
        <v>0</v>
      </c>
      <c r="K449" s="1"/>
      <c r="L449" s="1" t="b">
        <f>IFERROR(__xludf.DUMMYFUNCTION("""COMPUTED_VALUE"""),FALSE)</f>
        <v>0</v>
      </c>
      <c r="M449" s="21" t="b">
        <f>IFERROR(__xludf.DUMMYFUNCTION("""COMPUTED_VALUE"""),FALSE)</f>
        <v>0</v>
      </c>
      <c r="N449" s="1"/>
      <c r="O449" s="1"/>
      <c r="P449" s="1"/>
      <c r="Q449" s="1"/>
      <c r="R449" s="1"/>
      <c r="S449" s="1"/>
      <c r="T449" s="1"/>
      <c r="U449" s="1"/>
      <c r="V449" s="1"/>
      <c r="W449" s="1"/>
      <c r="X449" s="1"/>
      <c r="Y449" s="1"/>
      <c r="Z449" s="1"/>
    </row>
    <row r="450" ht="15.75" customHeight="1">
      <c r="A450" s="1" t="str">
        <f>IFERROR(__xludf.DUMMYFUNCTION("""COMPUTED_VALUE"""),"Tower Of Storm")</f>
        <v>Tower Of Storm</v>
      </c>
      <c r="B450" s="62">
        <f>IFERROR(__xludf.DUMMYFUNCTION("""COMPUTED_VALUE"""),9.0)</f>
        <v>9</v>
      </c>
      <c r="C450" s="1">
        <f>IFERROR(__xludf.DUMMYFUNCTION("""COMPUTED_VALUE"""),300.0)</f>
        <v>300</v>
      </c>
      <c r="D450" s="1"/>
      <c r="E450" s="1" t="str">
        <f>IFERROR(__xludf.DUMMYFUNCTION("""COMPUTED_VALUE"""),"X4 additional storm damage for caster and allies. Plus Storm Immunity to caster only for 3 rounds.")</f>
        <v>X4 additional storm damage for caster and allies. Plus Storm Immunity to caster only for 3 rounds.</v>
      </c>
      <c r="F450" s="1" t="str">
        <f>IFERROR(__xludf.DUMMYFUNCTION("""COMPUTED_VALUE"""),"Fail/Succeed")</f>
        <v>Fail/Succeed</v>
      </c>
      <c r="G450" s="1"/>
      <c r="H450" s="1" t="str">
        <f>IFERROR(__xludf.DUMMYFUNCTION("""COMPUTED_VALUE"""),"Storm")</f>
        <v>Storm</v>
      </c>
      <c r="I450" s="1" t="str">
        <f>IFERROR(__xludf.DUMMYFUNCTION("""COMPUTED_VALUE"""),"Player")</f>
        <v>Player</v>
      </c>
      <c r="J450" s="1" t="b">
        <f>IFERROR(__xludf.DUMMYFUNCTION("""COMPUTED_VALUE"""),FALSE)</f>
        <v>0</v>
      </c>
      <c r="K450" s="1"/>
      <c r="L450" s="1" t="b">
        <f>IFERROR(__xludf.DUMMYFUNCTION("""COMPUTED_VALUE"""),FALSE)</f>
        <v>0</v>
      </c>
      <c r="M450" s="21" t="b">
        <f>IFERROR(__xludf.DUMMYFUNCTION("""COMPUTED_VALUE"""),FALSE)</f>
        <v>0</v>
      </c>
      <c r="N450" s="1"/>
      <c r="O450" s="1"/>
      <c r="P450" s="1"/>
      <c r="Q450" s="1"/>
      <c r="R450" s="1"/>
      <c r="S450" s="1"/>
      <c r="T450" s="1"/>
      <c r="U450" s="1"/>
      <c r="V450" s="1"/>
      <c r="W450" s="1"/>
      <c r="X450" s="1"/>
      <c r="Y450" s="1"/>
      <c r="Z450" s="1"/>
    </row>
    <row r="451" ht="15.75" customHeight="1">
      <c r="A451" s="1" t="str">
        <f>IFERROR(__xludf.DUMMYFUNCTION("""COMPUTED_VALUE"""),"Calm storm")</f>
        <v>Calm storm</v>
      </c>
      <c r="B451" s="62">
        <f>IFERROR(__xludf.DUMMYFUNCTION("""COMPUTED_VALUE"""),7.0)</f>
        <v>7</v>
      </c>
      <c r="C451" s="1" t="str">
        <f>IFERROR(__xludf.DUMMYFUNCTION("""COMPUTED_VALUE"""),"X")</f>
        <v>X</v>
      </c>
      <c r="D451" s="1"/>
      <c r="E451" s="1" t="str">
        <f>IFERROR(__xludf.DUMMYFUNCTION("""COMPUTED_VALUE"""),"Negate X*4 points of storm damage.")</f>
        <v>Negate X*4 points of storm damage.</v>
      </c>
      <c r="F451" s="1" t="str">
        <f>IFERROR(__xludf.DUMMYFUNCTION("""COMPUTED_VALUE"""),"Fail/Succeed")</f>
        <v>Fail/Succeed</v>
      </c>
      <c r="G451" s="1"/>
      <c r="H451" s="1" t="str">
        <f>IFERROR(__xludf.DUMMYFUNCTION("""COMPUTED_VALUE"""),"Storm")</f>
        <v>Storm</v>
      </c>
      <c r="I451" s="1" t="str">
        <f>IFERROR(__xludf.DUMMYFUNCTION("""COMPUTED_VALUE"""),"Player")</f>
        <v>Player</v>
      </c>
      <c r="J451" s="1" t="b">
        <f>IFERROR(__xludf.DUMMYFUNCTION("""COMPUTED_VALUE"""),FALSE)</f>
        <v>0</v>
      </c>
      <c r="K451" s="1"/>
      <c r="L451" s="1" t="b">
        <f>IFERROR(__xludf.DUMMYFUNCTION("""COMPUTED_VALUE"""),FALSE)</f>
        <v>0</v>
      </c>
      <c r="M451" s="21" t="b">
        <f>IFERROR(__xludf.DUMMYFUNCTION("""COMPUTED_VALUE"""),FALSE)</f>
        <v>0</v>
      </c>
      <c r="N451" s="1"/>
      <c r="O451" s="1"/>
      <c r="P451" s="1"/>
      <c r="Q451" s="1"/>
      <c r="R451" s="1"/>
      <c r="S451" s="1"/>
      <c r="T451" s="1"/>
      <c r="U451" s="1"/>
      <c r="V451" s="1"/>
      <c r="W451" s="1"/>
      <c r="X451" s="1"/>
      <c r="Y451" s="1"/>
      <c r="Z451" s="1"/>
    </row>
    <row r="452" ht="15.75" customHeight="1">
      <c r="A452" s="1" t="str">
        <f>IFERROR(__xludf.DUMMYFUNCTION("""COMPUTED_VALUE"""),"Cyclone")</f>
        <v>Cyclone</v>
      </c>
      <c r="B452" s="62">
        <f>IFERROR(__xludf.DUMMYFUNCTION("""COMPUTED_VALUE"""),3.0)</f>
        <v>3</v>
      </c>
      <c r="C452" s="1">
        <f>IFERROR(__xludf.DUMMYFUNCTION("""COMPUTED_VALUE"""),240.0)</f>
        <v>240</v>
      </c>
      <c r="D452" s="1"/>
      <c r="E452" s="1" t="str">
        <f>IFERROR(__xludf.DUMMYFUNCTION("""COMPUTED_VALUE"""),"3000 Storm Damage and 3000 Water damage to all enemies. ")</f>
        <v>3000 Storm Damage and 3000 Water damage to all enemies. </v>
      </c>
      <c r="F452" s="1" t="str">
        <f>IFERROR(__xludf.DUMMYFUNCTION("""COMPUTED_VALUE"""),"Cannot Avoid")</f>
        <v>Cannot Avoid</v>
      </c>
      <c r="G452" s="1"/>
      <c r="H452" s="1" t="str">
        <f>IFERROR(__xludf.DUMMYFUNCTION("""COMPUTED_VALUE"""),"Storm")</f>
        <v>Storm</v>
      </c>
      <c r="I452" s="1" t="str">
        <f>IFERROR(__xludf.DUMMYFUNCTION("""COMPUTED_VALUE"""),"Player")</f>
        <v>Player</v>
      </c>
      <c r="J452" s="1" t="b">
        <f>IFERROR(__xludf.DUMMYFUNCTION("""COMPUTED_VALUE"""),FALSE)</f>
        <v>0</v>
      </c>
      <c r="K452" s="1"/>
      <c r="L452" s="1" t="b">
        <f>IFERROR(__xludf.DUMMYFUNCTION("""COMPUTED_VALUE"""),FALSE)</f>
        <v>0</v>
      </c>
      <c r="M452" s="21" t="b">
        <f>IFERROR(__xludf.DUMMYFUNCTION("""COMPUTED_VALUE"""),FALSE)</f>
        <v>0</v>
      </c>
      <c r="N452" s="1"/>
      <c r="O452" s="1"/>
      <c r="P452" s="1"/>
      <c r="Q452" s="1"/>
      <c r="R452" s="1"/>
      <c r="S452" s="1"/>
      <c r="T452" s="1"/>
      <c r="U452" s="1"/>
      <c r="V452" s="1"/>
      <c r="W452" s="1"/>
      <c r="X452" s="1"/>
      <c r="Y452" s="1"/>
      <c r="Z452" s="1"/>
    </row>
    <row r="453" ht="15.75" customHeight="1">
      <c r="A453" s="1" t="str">
        <f>IFERROR(__xludf.DUMMYFUNCTION("""COMPUTED_VALUE"""),"Dreading Storm")</f>
        <v>Dreading Storm</v>
      </c>
      <c r="B453" s="62">
        <f>IFERROR(__xludf.DUMMYFUNCTION("""COMPUTED_VALUE"""),8.0)</f>
        <v>8</v>
      </c>
      <c r="C453" s="1">
        <f>IFERROR(__xludf.DUMMYFUNCTION("""COMPUTED_VALUE"""),200.0)</f>
        <v>200</v>
      </c>
      <c r="D453" s="1"/>
      <c r="E453" s="1" t="str">
        <f>IFERROR(__xludf.DUMMYFUNCTION("""COMPUTED_VALUE"""),"5000 storm damage to all enemies, 50% chance to negate the next incoming stun attempts.")</f>
        <v>5000 storm damage to all enemies, 50% chance to negate the next incoming stun attempts.</v>
      </c>
      <c r="F453" s="1" t="str">
        <f>IFERROR(__xludf.DUMMYFUNCTION("""COMPUTED_VALUE"""),"Cannot Avoid")</f>
        <v>Cannot Avoid</v>
      </c>
      <c r="G453" s="1"/>
      <c r="H453" s="1" t="str">
        <f>IFERROR(__xludf.DUMMYFUNCTION("""COMPUTED_VALUE"""),"Storm")</f>
        <v>Storm</v>
      </c>
      <c r="I453" s="1" t="str">
        <f>IFERROR(__xludf.DUMMYFUNCTION("""COMPUTED_VALUE"""),"Player")</f>
        <v>Player</v>
      </c>
      <c r="J453" s="1" t="b">
        <f>IFERROR(__xludf.DUMMYFUNCTION("""COMPUTED_VALUE"""),FALSE)</f>
        <v>0</v>
      </c>
      <c r="K453" s="1"/>
      <c r="L453" s="1" t="b">
        <f>IFERROR(__xludf.DUMMYFUNCTION("""COMPUTED_VALUE"""),FALSE)</f>
        <v>0</v>
      </c>
      <c r="M453" s="21" t="b">
        <f>IFERROR(__xludf.DUMMYFUNCTION("""COMPUTED_VALUE"""),FALSE)</f>
        <v>0</v>
      </c>
      <c r="N453" s="1"/>
      <c r="O453" s="1"/>
      <c r="P453" s="1"/>
      <c r="Q453" s="1"/>
      <c r="R453" s="1"/>
      <c r="S453" s="1"/>
      <c r="T453" s="1"/>
      <c r="U453" s="1"/>
      <c r="V453" s="1"/>
      <c r="W453" s="1"/>
      <c r="X453" s="1"/>
      <c r="Y453" s="1"/>
      <c r="Z453" s="1"/>
    </row>
    <row r="454" ht="15.75" customHeight="1">
      <c r="A454" s="1" t="str">
        <f>IFERROR(__xludf.DUMMYFUNCTION("""COMPUTED_VALUE"""),"Eel Nado")</f>
        <v>Eel Nado</v>
      </c>
      <c r="B454" s="62">
        <f>IFERROR(__xludf.DUMMYFUNCTION("""COMPUTED_VALUE"""),9.0)</f>
        <v>9</v>
      </c>
      <c r="C454" s="1">
        <f>IFERROR(__xludf.DUMMYFUNCTION("""COMPUTED_VALUE"""),800.0)</f>
        <v>800</v>
      </c>
      <c r="D454" s="1"/>
      <c r="E454" s="1" t="str">
        <f>IFERROR(__xludf.DUMMYFUNCTION("""COMPUTED_VALUE"""),"20,000 storm and water damage to all enemies, 75% chance to summon 2 Eel Sharks if the battle is in water. ")</f>
        <v>20,000 storm and water damage to all enemies, 75% chance to summon 2 Eel Sharks if the battle is in water. </v>
      </c>
      <c r="F454" s="1" t="str">
        <f>IFERROR(__xludf.DUMMYFUNCTION("""COMPUTED_VALUE"""),"Hit/Miss")</f>
        <v>Hit/Miss</v>
      </c>
      <c r="G454" s="1">
        <f>IFERROR(__xludf.DUMMYFUNCTION("""COMPUTED_VALUE"""),1.0)</f>
        <v>1</v>
      </c>
      <c r="H454" s="1" t="str">
        <f>IFERROR(__xludf.DUMMYFUNCTION("""COMPUTED_VALUE"""),"Storm")</f>
        <v>Storm</v>
      </c>
      <c r="I454" s="1" t="str">
        <f>IFERROR(__xludf.DUMMYFUNCTION("""COMPUTED_VALUE"""),"Player")</f>
        <v>Player</v>
      </c>
      <c r="J454" s="1" t="b">
        <f>IFERROR(__xludf.DUMMYFUNCTION("""COMPUTED_VALUE"""),FALSE)</f>
        <v>0</v>
      </c>
      <c r="K454" s="1"/>
      <c r="L454" s="1" t="b">
        <f>IFERROR(__xludf.DUMMYFUNCTION("""COMPUTED_VALUE"""),FALSE)</f>
        <v>0</v>
      </c>
      <c r="M454" s="21" t="b">
        <f>IFERROR(__xludf.DUMMYFUNCTION("""COMPUTED_VALUE"""),FALSE)</f>
        <v>0</v>
      </c>
      <c r="N454" s="1"/>
      <c r="O454" s="1"/>
      <c r="P454" s="1"/>
      <c r="Q454" s="1"/>
      <c r="R454" s="1"/>
      <c r="S454" s="1"/>
      <c r="T454" s="1"/>
      <c r="U454" s="1"/>
      <c r="V454" s="1"/>
      <c r="W454" s="1"/>
      <c r="X454" s="1"/>
      <c r="Y454" s="1"/>
      <c r="Z454" s="1"/>
    </row>
    <row r="455" ht="15.75" customHeight="1">
      <c r="A455" s="1" t="str">
        <f>IFERROR(__xludf.DUMMYFUNCTION("""COMPUTED_VALUE"""),"Elemental Storm")</f>
        <v>Elemental Storm</v>
      </c>
      <c r="B455" s="62">
        <f>IFERROR(__xludf.DUMMYFUNCTION("""COMPUTED_VALUE"""),9.0)</f>
        <v>9</v>
      </c>
      <c r="C455" s="7">
        <f>IFERROR(__xludf.DUMMYFUNCTION("""COMPUTED_VALUE"""),7200.0)</f>
        <v>7200</v>
      </c>
      <c r="D455" s="1"/>
      <c r="E455" s="1" t="str">
        <f>IFERROR(__xludf.DUMMYFUNCTION("""COMPUTED_VALUE"""),"20,000 fire, water, earth, light, dark, order, chaos, nature, and storm damage to all enemies.")</f>
        <v>20,000 fire, water, earth, light, dark, order, chaos, nature, and storm damage to all enemies.</v>
      </c>
      <c r="F455" s="1" t="str">
        <f>IFERROR(__xludf.DUMMYFUNCTION("""COMPUTED_VALUE"""),"Cannot Avoid")</f>
        <v>Cannot Avoid</v>
      </c>
      <c r="G455" s="1"/>
      <c r="H455" s="1" t="str">
        <f>IFERROR(__xludf.DUMMYFUNCTION("""COMPUTED_VALUE"""),"Storm")</f>
        <v>Storm</v>
      </c>
      <c r="I455" s="1" t="str">
        <f>IFERROR(__xludf.DUMMYFUNCTION("""COMPUTED_VALUE"""),"Player")</f>
        <v>Player</v>
      </c>
      <c r="J455" s="1" t="b">
        <f>IFERROR(__xludf.DUMMYFUNCTION("""COMPUTED_VALUE"""),FALSE)</f>
        <v>0</v>
      </c>
      <c r="K455" s="1"/>
      <c r="L455" s="1" t="b">
        <f>IFERROR(__xludf.DUMMYFUNCTION("""COMPUTED_VALUE"""),FALSE)</f>
        <v>0</v>
      </c>
      <c r="M455" s="21" t="b">
        <f>IFERROR(__xludf.DUMMYFUNCTION("""COMPUTED_VALUE"""),FALSE)</f>
        <v>0</v>
      </c>
      <c r="N455" s="1"/>
      <c r="O455" s="1"/>
      <c r="P455" s="1"/>
      <c r="Q455" s="1"/>
      <c r="R455" s="1"/>
      <c r="S455" s="1"/>
      <c r="T455" s="1"/>
      <c r="U455" s="1"/>
      <c r="V455" s="1"/>
      <c r="W455" s="1"/>
      <c r="X455" s="1"/>
      <c r="Y455" s="1"/>
      <c r="Z455" s="1"/>
    </row>
    <row r="456" ht="15.75" customHeight="1">
      <c r="A456" s="1" t="str">
        <f>IFERROR(__xludf.DUMMYFUNCTION("""COMPUTED_VALUE"""),"Freezing Fog")</f>
        <v>Freezing Fog</v>
      </c>
      <c r="B456" s="62">
        <f>IFERROR(__xludf.DUMMYFUNCTION("""COMPUTED_VALUE"""),9.0)</f>
        <v>9</v>
      </c>
      <c r="C456" s="1">
        <f>IFERROR(__xludf.DUMMYFUNCTION("""COMPUTED_VALUE"""),300.0)</f>
        <v>300</v>
      </c>
      <c r="D456" s="1"/>
      <c r="E456" s="1" t="str">
        <f>IFERROR(__xludf.DUMMYFUNCTION("""COMPUTED_VALUE"""),"50% chance of freezing 1d6 enemies.")</f>
        <v>50% chance of freezing 1d6 enemies.</v>
      </c>
      <c r="F456" s="1" t="str">
        <f>IFERROR(__xludf.DUMMYFUNCTION("""COMPUTED_VALUE"""),"Will Succeed")</f>
        <v>Will Succeed</v>
      </c>
      <c r="G456" s="1" t="str">
        <f>IFERROR(__xludf.DUMMYFUNCTION("""COMPUTED_VALUE"""),"1d6")</f>
        <v>1d6</v>
      </c>
      <c r="H456" s="1" t="str">
        <f>IFERROR(__xludf.DUMMYFUNCTION("""COMPUTED_VALUE"""),"Storm")</f>
        <v>Storm</v>
      </c>
      <c r="I456" s="1" t="str">
        <f>IFERROR(__xludf.DUMMYFUNCTION("""COMPUTED_VALUE"""),"Player")</f>
        <v>Player</v>
      </c>
      <c r="J456" s="1" t="b">
        <f>IFERROR(__xludf.DUMMYFUNCTION("""COMPUTED_VALUE"""),FALSE)</f>
        <v>0</v>
      </c>
      <c r="K456" s="1"/>
      <c r="L456" s="1" t="b">
        <f>IFERROR(__xludf.DUMMYFUNCTION("""COMPUTED_VALUE"""),FALSE)</f>
        <v>0</v>
      </c>
      <c r="M456" s="21" t="b">
        <f>IFERROR(__xludf.DUMMYFUNCTION("""COMPUTED_VALUE"""),FALSE)</f>
        <v>0</v>
      </c>
      <c r="N456" s="1"/>
      <c r="O456" s="1"/>
      <c r="P456" s="1"/>
      <c r="Q456" s="1"/>
      <c r="R456" s="1"/>
      <c r="S456" s="1"/>
      <c r="T456" s="1"/>
      <c r="U456" s="1"/>
      <c r="V456" s="1"/>
      <c r="W456" s="1"/>
      <c r="X456" s="1"/>
      <c r="Y456" s="1"/>
      <c r="Z456" s="1"/>
    </row>
    <row r="457" ht="15.75" customHeight="1">
      <c r="A457" s="1" t="str">
        <f>IFERROR(__xludf.DUMMYFUNCTION("""COMPUTED_VALUE"""),"Gust of Wind")</f>
        <v>Gust of Wind</v>
      </c>
      <c r="B457" s="62">
        <f>IFERROR(__xludf.DUMMYFUNCTION("""COMPUTED_VALUE"""),2.0)</f>
        <v>2</v>
      </c>
      <c r="C457" s="1">
        <f>IFERROR(__xludf.DUMMYFUNCTION("""COMPUTED_VALUE"""),80.0)</f>
        <v>80</v>
      </c>
      <c r="D457" s="1"/>
      <c r="E457" s="1" t="str">
        <f>IFERROR(__xludf.DUMMYFUNCTION("""COMPUTED_VALUE"""),"2000 storm damage to all enemies. 50% chance to remove those targets from battle.")</f>
        <v>2000 storm damage to all enemies. 50% chance to remove those targets from battle.</v>
      </c>
      <c r="F457" s="1" t="str">
        <f>IFERROR(__xludf.DUMMYFUNCTION("""COMPUTED_VALUE"""),"Cannot Avoid")</f>
        <v>Cannot Avoid</v>
      </c>
      <c r="G457" s="1" t="str">
        <f>IFERROR(__xludf.DUMMYFUNCTION("""COMPUTED_VALUE"""),"All")</f>
        <v>All</v>
      </c>
      <c r="H457" s="1" t="str">
        <f>IFERROR(__xludf.DUMMYFUNCTION("""COMPUTED_VALUE"""),"Storm")</f>
        <v>Storm</v>
      </c>
      <c r="I457" s="1" t="str">
        <f>IFERROR(__xludf.DUMMYFUNCTION("""COMPUTED_VALUE"""),"Player")</f>
        <v>Player</v>
      </c>
      <c r="J457" s="1" t="b">
        <f>IFERROR(__xludf.DUMMYFUNCTION("""COMPUTED_VALUE"""),FALSE)</f>
        <v>0</v>
      </c>
      <c r="K457" s="1"/>
      <c r="L457" s="1" t="b">
        <f>IFERROR(__xludf.DUMMYFUNCTION("""COMPUTED_VALUE"""),FALSE)</f>
        <v>0</v>
      </c>
      <c r="M457" s="21" t="b">
        <f>IFERROR(__xludf.DUMMYFUNCTION("""COMPUTED_VALUE"""),FALSE)</f>
        <v>0</v>
      </c>
      <c r="N457" s="1"/>
      <c r="O457" s="1"/>
      <c r="P457" s="1"/>
      <c r="Q457" s="1"/>
      <c r="R457" s="1"/>
      <c r="S457" s="1"/>
      <c r="T457" s="1"/>
      <c r="U457" s="1"/>
      <c r="V457" s="1"/>
      <c r="W457" s="1"/>
      <c r="X457" s="1"/>
      <c r="Y457" s="1"/>
      <c r="Z457" s="1"/>
    </row>
    <row r="458" ht="15.75" customHeight="1">
      <c r="A458" s="1" t="str">
        <f>IFERROR(__xludf.DUMMYFUNCTION("""COMPUTED_VALUE"""),"HailStorm")</f>
        <v>HailStorm</v>
      </c>
      <c r="B458" s="62">
        <f>IFERROR(__xludf.DUMMYFUNCTION("""COMPUTED_VALUE"""),5.0)</f>
        <v>5</v>
      </c>
      <c r="C458" s="1">
        <f>IFERROR(__xludf.DUMMYFUNCTION("""COMPUTED_VALUE"""),80.0)</f>
        <v>80</v>
      </c>
      <c r="D458" s="1"/>
      <c r="E458" s="1" t="str">
        <f>IFERROR(__xludf.DUMMYFUNCTION("""COMPUTED_VALUE"""),"Makes all percentage freezing effects 100% for self and allies.")</f>
        <v>Makes all percentage freezing effects 100% for self and allies.</v>
      </c>
      <c r="F458" s="1" t="str">
        <f>IFERROR(__xludf.DUMMYFUNCTION("""COMPUTED_VALUE"""),"Fail/Succeed")</f>
        <v>Fail/Succeed</v>
      </c>
      <c r="G458" s="1" t="str">
        <f>IFERROR(__xludf.DUMMYFUNCTION("""COMPUTED_VALUE"""),"Self")</f>
        <v>Self</v>
      </c>
      <c r="H458" s="1" t="str">
        <f>IFERROR(__xludf.DUMMYFUNCTION("""COMPUTED_VALUE"""),"Storm")</f>
        <v>Storm</v>
      </c>
      <c r="I458" s="1" t="str">
        <f>IFERROR(__xludf.DUMMYFUNCTION("""COMPUTED_VALUE"""),"Player")</f>
        <v>Player</v>
      </c>
      <c r="J458" s="1" t="b">
        <f>IFERROR(__xludf.DUMMYFUNCTION("""COMPUTED_VALUE"""),TRUE)</f>
        <v>1</v>
      </c>
      <c r="K458" s="1" t="str">
        <f>IFERROR(__xludf.DUMMYFUNCTION("""COMPUTED_VALUE"""),"shop spell")</f>
        <v>shop spell</v>
      </c>
      <c r="L458" s="1" t="b">
        <f>IFERROR(__xludf.DUMMYFUNCTION("""COMPUTED_VALUE"""),FALSE)</f>
        <v>0</v>
      </c>
      <c r="M458" s="21" t="b">
        <f>IFERROR(__xludf.DUMMYFUNCTION("""COMPUTED_VALUE"""),FALSE)</f>
        <v>0</v>
      </c>
      <c r="N458" s="1"/>
      <c r="O458" s="1"/>
      <c r="P458" s="1"/>
      <c r="Q458" s="1"/>
      <c r="R458" s="1"/>
      <c r="S458" s="1"/>
      <c r="T458" s="1"/>
      <c r="U458" s="1"/>
      <c r="V458" s="1"/>
      <c r="W458" s="1"/>
      <c r="X458" s="1"/>
      <c r="Y458" s="1"/>
      <c r="Z458" s="1"/>
    </row>
    <row r="459" ht="15.75" customHeight="1">
      <c r="A459" s="1" t="str">
        <f>IFERROR(__xludf.DUMMYFUNCTION("""COMPUTED_VALUE"""),"Hurricane")</f>
        <v>Hurricane</v>
      </c>
      <c r="B459" s="62">
        <f>IFERROR(__xludf.DUMMYFUNCTION("""COMPUTED_VALUE"""),3.0)</f>
        <v>3</v>
      </c>
      <c r="C459" s="1" t="str">
        <f>IFERROR(__xludf.DUMMYFUNCTION("""COMPUTED_VALUE"""),"d12*20")</f>
        <v>d12*20</v>
      </c>
      <c r="D459" s="1"/>
      <c r="E459" s="1"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1" t="str">
        <f>IFERROR(__xludf.DUMMYFUNCTION("""COMPUTED_VALUE"""),"Cannot Avoid")</f>
        <v>Cannot Avoid</v>
      </c>
      <c r="G459" s="1" t="str">
        <f>IFERROR(__xludf.DUMMYFUNCTION("""COMPUTED_VALUE"""),"All")</f>
        <v>All</v>
      </c>
      <c r="H459" s="1" t="str">
        <f>IFERROR(__xludf.DUMMYFUNCTION("""COMPUTED_VALUE"""),"Storm")</f>
        <v>Storm</v>
      </c>
      <c r="I459" s="1" t="str">
        <f>IFERROR(__xludf.DUMMYFUNCTION("""COMPUTED_VALUE"""),"Player")</f>
        <v>Player</v>
      </c>
      <c r="J459" s="1" t="b">
        <f>IFERROR(__xludf.DUMMYFUNCTION("""COMPUTED_VALUE"""),FALSE)</f>
        <v>0</v>
      </c>
      <c r="K459" s="1"/>
      <c r="L459" s="1" t="b">
        <f>IFERROR(__xludf.DUMMYFUNCTION("""COMPUTED_VALUE"""),FALSE)</f>
        <v>0</v>
      </c>
      <c r="M459" s="21" t="b">
        <f>IFERROR(__xludf.DUMMYFUNCTION("""COMPUTED_VALUE"""),FALSE)</f>
        <v>0</v>
      </c>
      <c r="N459" s="1"/>
      <c r="O459" s="1"/>
      <c r="P459" s="1"/>
      <c r="Q459" s="1"/>
      <c r="R459" s="1"/>
      <c r="S459" s="1"/>
      <c r="T459" s="1"/>
      <c r="U459" s="1"/>
      <c r="V459" s="1"/>
      <c r="W459" s="1"/>
      <c r="X459" s="1"/>
      <c r="Y459" s="1"/>
      <c r="Z459" s="1"/>
    </row>
    <row r="460" ht="15.75" customHeight="1">
      <c r="A460" s="1" t="str">
        <f>IFERROR(__xludf.DUMMYFUNCTION("""COMPUTED_VALUE"""),"Roaring Frost Winds")</f>
        <v>Roaring Frost Winds</v>
      </c>
      <c r="B460" s="62">
        <f>IFERROR(__xludf.DUMMYFUNCTION("""COMPUTED_VALUE"""),8.0)</f>
        <v>8</v>
      </c>
      <c r="C460" s="1">
        <f>IFERROR(__xludf.DUMMYFUNCTION("""COMPUTED_VALUE"""),560.0)</f>
        <v>560</v>
      </c>
      <c r="D460" s="1"/>
      <c r="E460" s="1" t="str">
        <f>IFERROR(__xludf.DUMMYFUNCTION("""COMPUTED_VALUE"""),"14,000 storm damage to all enemies, 50% chance to freeze all targets.")</f>
        <v>14,000 storm damage to all enemies, 50% chance to freeze all targets.</v>
      </c>
      <c r="F460" s="1" t="str">
        <f>IFERROR(__xludf.DUMMYFUNCTION("""COMPUTED_VALUE"""),"Cannot Avoid")</f>
        <v>Cannot Avoid</v>
      </c>
      <c r="G460" s="1"/>
      <c r="H460" s="1" t="str">
        <f>IFERROR(__xludf.DUMMYFUNCTION("""COMPUTED_VALUE"""),"Storm")</f>
        <v>Storm</v>
      </c>
      <c r="I460" s="1" t="str">
        <f>IFERROR(__xludf.DUMMYFUNCTION("""COMPUTED_VALUE"""),"Player")</f>
        <v>Player</v>
      </c>
      <c r="J460" s="1" t="b">
        <f>IFERROR(__xludf.DUMMYFUNCTION("""COMPUTED_VALUE"""),FALSE)</f>
        <v>0</v>
      </c>
      <c r="K460" s="1"/>
      <c r="L460" s="1" t="b">
        <f>IFERROR(__xludf.DUMMYFUNCTION("""COMPUTED_VALUE"""),FALSE)</f>
        <v>0</v>
      </c>
      <c r="M460" s="21" t="b">
        <f>IFERROR(__xludf.DUMMYFUNCTION("""COMPUTED_VALUE"""),FALSE)</f>
        <v>0</v>
      </c>
      <c r="N460" s="1"/>
      <c r="O460" s="1"/>
      <c r="P460" s="1"/>
      <c r="Q460" s="1"/>
      <c r="R460" s="1"/>
      <c r="S460" s="1"/>
      <c r="T460" s="1"/>
      <c r="U460" s="1"/>
      <c r="V460" s="1"/>
      <c r="W460" s="1"/>
      <c r="X460" s="1"/>
      <c r="Y460" s="1"/>
      <c r="Z460" s="1"/>
    </row>
    <row r="461" ht="15.75" customHeight="1">
      <c r="A461" s="1" t="str">
        <f>IFERROR(__xludf.DUMMYFUNCTION("""COMPUTED_VALUE"""),"Shocking Strike")</f>
        <v>Shocking Strike</v>
      </c>
      <c r="B461" s="62">
        <f>IFERROR(__xludf.DUMMYFUNCTION("""COMPUTED_VALUE"""),6.0)</f>
        <v>6</v>
      </c>
      <c r="C461" s="1">
        <f>IFERROR(__xludf.DUMMYFUNCTION("""COMPUTED_VALUE"""),240.0)</f>
        <v>240</v>
      </c>
      <c r="D461" s="1"/>
      <c r="E461" s="1" t="str">
        <f>IFERROR(__xludf.DUMMYFUNCTION("""COMPUTED_VALUE"""),"6000 storm damage, Stun 3")</f>
        <v>6000 storm damage, Stun 3</v>
      </c>
      <c r="F461" s="1" t="str">
        <f>IFERROR(__xludf.DUMMYFUNCTION("""COMPUTED_VALUE"""),"Hit/Miss")</f>
        <v>Hit/Miss</v>
      </c>
      <c r="G461" s="1">
        <f>IFERROR(__xludf.DUMMYFUNCTION("""COMPUTED_VALUE"""),1.0)</f>
        <v>1</v>
      </c>
      <c r="H461" s="1" t="str">
        <f>IFERROR(__xludf.DUMMYFUNCTION("""COMPUTED_VALUE"""),"Storm")</f>
        <v>Storm</v>
      </c>
      <c r="I461" s="1" t="str">
        <f>IFERROR(__xludf.DUMMYFUNCTION("""COMPUTED_VALUE"""),"Player")</f>
        <v>Player</v>
      </c>
      <c r="J461" s="1" t="b">
        <f>IFERROR(__xludf.DUMMYFUNCTION("""COMPUTED_VALUE"""),FALSE)</f>
        <v>0</v>
      </c>
      <c r="K461" s="1"/>
      <c r="L461" s="1" t="b">
        <f>IFERROR(__xludf.DUMMYFUNCTION("""COMPUTED_VALUE"""),FALSE)</f>
        <v>0</v>
      </c>
      <c r="M461" s="21" t="b">
        <f>IFERROR(__xludf.DUMMYFUNCTION("""COMPUTED_VALUE"""),FALSE)</f>
        <v>0</v>
      </c>
      <c r="N461" s="1"/>
      <c r="O461" s="1"/>
      <c r="P461" s="1"/>
      <c r="Q461" s="1"/>
      <c r="R461" s="1"/>
      <c r="S461" s="1"/>
      <c r="T461" s="1"/>
      <c r="U461" s="1"/>
      <c r="V461" s="1"/>
      <c r="W461" s="1"/>
      <c r="X461" s="1"/>
      <c r="Y461" s="1"/>
      <c r="Z461" s="1"/>
    </row>
    <row r="462" ht="15.75" customHeight="1">
      <c r="A462" s="1" t="str">
        <f>IFERROR(__xludf.DUMMYFUNCTION("""COMPUTED_VALUE"""),"Static Charge")</f>
        <v>Static Charge</v>
      </c>
      <c r="B462" s="62">
        <f>IFERROR(__xludf.DUMMYFUNCTION("""COMPUTED_VALUE"""),4.0)</f>
        <v>4</v>
      </c>
      <c r="C462" s="1" t="str">
        <f>IFERROR(__xludf.DUMMYFUNCTION("""COMPUTED_VALUE"""),"X")</f>
        <v>X</v>
      </c>
      <c r="D462" s="1"/>
      <c r="E462" s="1" t="str">
        <f>IFERROR(__xludf.DUMMYFUNCTION("""COMPUTED_VALUE"""),"Target gains X*4 Storm damage and X*4 Storm resistance, can’t be used on self.")</f>
        <v>Target gains X*4 Storm damage and X*4 Storm resistance, can’t be used on self.</v>
      </c>
      <c r="F462" s="1" t="str">
        <f>IFERROR(__xludf.DUMMYFUNCTION("""COMPUTED_VALUE"""),"Will Succeed")</f>
        <v>Will Succeed</v>
      </c>
      <c r="G462" s="1"/>
      <c r="H462" s="1" t="str">
        <f>IFERROR(__xludf.DUMMYFUNCTION("""COMPUTED_VALUE"""),"Storm")</f>
        <v>Storm</v>
      </c>
      <c r="I462" s="1" t="str">
        <f>IFERROR(__xludf.DUMMYFUNCTION("""COMPUTED_VALUE"""),"Player")</f>
        <v>Player</v>
      </c>
      <c r="J462" s="1" t="b">
        <f>IFERROR(__xludf.DUMMYFUNCTION("""COMPUTED_VALUE"""),FALSE)</f>
        <v>0</v>
      </c>
      <c r="K462" s="1"/>
      <c r="L462" s="1" t="b">
        <f>IFERROR(__xludf.DUMMYFUNCTION("""COMPUTED_VALUE"""),FALSE)</f>
        <v>0</v>
      </c>
      <c r="M462" s="21" t="b">
        <f>IFERROR(__xludf.DUMMYFUNCTION("""COMPUTED_VALUE"""),FALSE)</f>
        <v>0</v>
      </c>
      <c r="N462" s="1"/>
      <c r="O462" s="1"/>
      <c r="P462" s="1"/>
      <c r="Q462" s="1"/>
      <c r="R462" s="1"/>
      <c r="S462" s="1"/>
      <c r="T462" s="1"/>
      <c r="U462" s="1"/>
      <c r="V462" s="1"/>
      <c r="W462" s="1"/>
      <c r="X462" s="1"/>
      <c r="Y462" s="1"/>
      <c r="Z462" s="1"/>
    </row>
    <row r="463" ht="15.75" customHeight="1">
      <c r="A463" s="1" t="str">
        <f>IFERROR(__xludf.DUMMYFUNCTION("""COMPUTED_VALUE"""),"Stun Negation")</f>
        <v>Stun Negation</v>
      </c>
      <c r="B463" s="62">
        <f>IFERROR(__xludf.DUMMYFUNCTION("""COMPUTED_VALUE"""),6.0)</f>
        <v>6</v>
      </c>
      <c r="C463" s="1">
        <f>IFERROR(__xludf.DUMMYFUNCTION("""COMPUTED_VALUE"""),60.0)</f>
        <v>60</v>
      </c>
      <c r="D463" s="1"/>
      <c r="E463" s="1" t="str">
        <f>IFERROR(__xludf.DUMMYFUNCTION("""COMPUTED_VALUE"""),"Negate the next 3 incoming stun attempts.")</f>
        <v>Negate the next 3 incoming stun attempts.</v>
      </c>
      <c r="F463" s="1" t="str">
        <f>IFERROR(__xludf.DUMMYFUNCTION("""COMPUTED_VALUE"""),"Fail/Succeed")</f>
        <v>Fail/Succeed</v>
      </c>
      <c r="G463" s="1"/>
      <c r="H463" s="1" t="str">
        <f>IFERROR(__xludf.DUMMYFUNCTION("""COMPUTED_VALUE"""),"Storm")</f>
        <v>Storm</v>
      </c>
      <c r="I463" s="1" t="str">
        <f>IFERROR(__xludf.DUMMYFUNCTION("""COMPUTED_VALUE"""),"Player")</f>
        <v>Player</v>
      </c>
      <c r="J463" s="1" t="b">
        <f>IFERROR(__xludf.DUMMYFUNCTION("""COMPUTED_VALUE"""),FALSE)</f>
        <v>0</v>
      </c>
      <c r="K463" s="1"/>
      <c r="L463" s="1" t="b">
        <f>IFERROR(__xludf.DUMMYFUNCTION("""COMPUTED_VALUE"""),FALSE)</f>
        <v>0</v>
      </c>
      <c r="M463" s="21" t="b">
        <f>IFERROR(__xludf.DUMMYFUNCTION("""COMPUTED_VALUE"""),FALSE)</f>
        <v>0</v>
      </c>
      <c r="N463" s="1"/>
      <c r="O463" s="1"/>
      <c r="P463" s="1"/>
      <c r="Q463" s="1"/>
      <c r="R463" s="1"/>
      <c r="S463" s="1"/>
      <c r="T463" s="1"/>
      <c r="U463" s="1"/>
      <c r="V463" s="1"/>
      <c r="W463" s="1"/>
      <c r="X463" s="1"/>
      <c r="Y463" s="1"/>
      <c r="Z463" s="1"/>
    </row>
    <row r="464" ht="15.75" customHeight="1">
      <c r="A464" s="1" t="str">
        <f>IFERROR(__xludf.DUMMYFUNCTION("""COMPUTED_VALUE"""),"Stun Wave")</f>
        <v>Stun Wave</v>
      </c>
      <c r="B464" s="62">
        <f>IFERROR(__xludf.DUMMYFUNCTION("""COMPUTED_VALUE"""),1.0)</f>
        <v>1</v>
      </c>
      <c r="C464" s="1">
        <f>IFERROR(__xludf.DUMMYFUNCTION("""COMPUTED_VALUE"""),10.0)</f>
        <v>10</v>
      </c>
      <c r="D464" s="1"/>
      <c r="E464" s="1" t="str">
        <f>IFERROR(__xludf.DUMMYFUNCTION("""COMPUTED_VALUE"""),"Stun 3")</f>
        <v>Stun 3</v>
      </c>
      <c r="F464" s="1" t="str">
        <f>IFERROR(__xludf.DUMMYFUNCTION("""COMPUTED_VALUE"""),"Fail/Succeed")</f>
        <v>Fail/Succeed</v>
      </c>
      <c r="G464" s="1"/>
      <c r="H464" s="1" t="str">
        <f>IFERROR(__xludf.DUMMYFUNCTION("""COMPUTED_VALUE"""),"Storm")</f>
        <v>Storm</v>
      </c>
      <c r="I464" s="1" t="str">
        <f>IFERROR(__xludf.DUMMYFUNCTION("""COMPUTED_VALUE"""),"Player")</f>
        <v>Player</v>
      </c>
      <c r="J464" s="1" t="b">
        <f>IFERROR(__xludf.DUMMYFUNCTION("""COMPUTED_VALUE"""),FALSE)</f>
        <v>0</v>
      </c>
      <c r="K464" s="1"/>
      <c r="L464" s="1" t="b">
        <f>IFERROR(__xludf.DUMMYFUNCTION("""COMPUTED_VALUE"""),FALSE)</f>
        <v>0</v>
      </c>
      <c r="M464" s="21" t="b">
        <f>IFERROR(__xludf.DUMMYFUNCTION("""COMPUTED_VALUE"""),FALSE)</f>
        <v>0</v>
      </c>
      <c r="N464" s="1"/>
      <c r="O464" s="1"/>
      <c r="P464" s="1"/>
      <c r="Q464" s="1"/>
      <c r="R464" s="1"/>
      <c r="S464" s="1"/>
      <c r="T464" s="1"/>
      <c r="U464" s="1"/>
      <c r="V464" s="1"/>
      <c r="W464" s="1"/>
      <c r="X464" s="1"/>
      <c r="Y464" s="1"/>
      <c r="Z464" s="1"/>
    </row>
    <row r="465" ht="15.75" customHeight="1">
      <c r="A465" s="1" t="str">
        <f>IFERROR(__xludf.DUMMYFUNCTION("""COMPUTED_VALUE"""),"Thunderstorm")</f>
        <v>Thunderstorm</v>
      </c>
      <c r="B465" s="62">
        <f>IFERROR(__xludf.DUMMYFUNCTION("""COMPUTED_VALUE"""),6.0)</f>
        <v>6</v>
      </c>
      <c r="C465" s="1">
        <f>IFERROR(__xludf.DUMMYFUNCTION("""COMPUTED_VALUE"""),60.0)</f>
        <v>60</v>
      </c>
      <c r="D465" s="1"/>
      <c r="E465" s="1"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1" t="str">
        <f>IFERROR(__xludf.DUMMYFUNCTION("""COMPUTED_VALUE"""),"Will Succeed")</f>
        <v>Will Succeed</v>
      </c>
      <c r="G465" s="1"/>
      <c r="H465" s="1" t="str">
        <f>IFERROR(__xludf.DUMMYFUNCTION("""COMPUTED_VALUE"""),"Storm")</f>
        <v>Storm</v>
      </c>
      <c r="I465" s="1" t="str">
        <f>IFERROR(__xludf.DUMMYFUNCTION("""COMPUTED_VALUE"""),"Player")</f>
        <v>Player</v>
      </c>
      <c r="J465" s="1" t="b">
        <f>IFERROR(__xludf.DUMMYFUNCTION("""COMPUTED_VALUE"""),FALSE)</f>
        <v>0</v>
      </c>
      <c r="K465" s="1"/>
      <c r="L465" s="1" t="b">
        <f>IFERROR(__xludf.DUMMYFUNCTION("""COMPUTED_VALUE"""),FALSE)</f>
        <v>0</v>
      </c>
      <c r="M465" s="21" t="b">
        <f>IFERROR(__xludf.DUMMYFUNCTION("""COMPUTED_VALUE"""),FALSE)</f>
        <v>0</v>
      </c>
      <c r="N465" s="1"/>
      <c r="O465" s="1"/>
      <c r="P465" s="1"/>
      <c r="Q465" s="1"/>
      <c r="R465" s="1"/>
      <c r="S465" s="1"/>
      <c r="T465" s="1"/>
      <c r="U465" s="1"/>
      <c r="V465" s="1"/>
      <c r="W465" s="1"/>
      <c r="X465" s="1"/>
      <c r="Y465" s="1"/>
      <c r="Z465" s="1"/>
    </row>
    <row r="466" ht="15.75" customHeight="1">
      <c r="A466" s="1" t="str">
        <f>IFERROR(__xludf.DUMMYFUNCTION("""COMPUTED_VALUE"""),"Brewing Storm")</f>
        <v>Brewing Storm</v>
      </c>
      <c r="B466" s="62">
        <f>IFERROR(__xludf.DUMMYFUNCTION("""COMPUTED_VALUE"""),9.0)</f>
        <v>9</v>
      </c>
      <c r="C466" s="1">
        <f>IFERROR(__xludf.DUMMYFUNCTION("""COMPUTED_VALUE"""),500.0)</f>
        <v>500</v>
      </c>
      <c r="D466" s="1"/>
      <c r="E466" s="1"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1" t="str">
        <f>IFERROR(__xludf.DUMMYFUNCTION("""COMPUTED_VALUE"""),"Will Succeed")</f>
        <v>Will Succeed</v>
      </c>
      <c r="G466" s="1" t="str">
        <f>IFERROR(__xludf.DUMMYFUNCTION("""COMPUTED_VALUE"""),"All")</f>
        <v>All</v>
      </c>
      <c r="H466" s="1" t="str">
        <f>IFERROR(__xludf.DUMMYFUNCTION("""COMPUTED_VALUE"""),"Storm")</f>
        <v>Storm</v>
      </c>
      <c r="I466" s="1" t="str">
        <f>IFERROR(__xludf.DUMMYFUNCTION("""COMPUTED_VALUE"""),"Player")</f>
        <v>Player</v>
      </c>
      <c r="J466" s="1" t="b">
        <f>IFERROR(__xludf.DUMMYFUNCTION("""COMPUTED_VALUE"""),FALSE)</f>
        <v>0</v>
      </c>
      <c r="K466" s="1"/>
      <c r="L466" s="1" t="b">
        <f>IFERROR(__xludf.DUMMYFUNCTION("""COMPUTED_VALUE"""),FALSE)</f>
        <v>0</v>
      </c>
      <c r="M466" s="21" t="b">
        <f>IFERROR(__xludf.DUMMYFUNCTION("""COMPUTED_VALUE"""),FALSE)</f>
        <v>0</v>
      </c>
      <c r="N466" s="1"/>
      <c r="O466" s="1"/>
      <c r="P466" s="1"/>
      <c r="Q466" s="1"/>
      <c r="R466" s="1"/>
      <c r="S466" s="1"/>
      <c r="T466" s="1"/>
      <c r="U466" s="1"/>
      <c r="V466" s="1"/>
      <c r="W466" s="1"/>
      <c r="X466" s="1"/>
      <c r="Y466" s="1"/>
      <c r="Z466" s="1"/>
    </row>
    <row r="467" ht="15.75" customHeight="1">
      <c r="A467" s="1" t="str">
        <f>IFERROR(__xludf.DUMMYFUNCTION("""COMPUTED_VALUE"""),"Lightning Strike")</f>
        <v>Lightning Strike</v>
      </c>
      <c r="B467" s="62">
        <f>IFERROR(__xludf.DUMMYFUNCTION("""COMPUTED_VALUE"""),1.0)</f>
        <v>1</v>
      </c>
      <c r="C467" s="1" t="str">
        <f>IFERROR(__xludf.DUMMYFUNCTION("""COMPUTED_VALUE"""),"X")</f>
        <v>X</v>
      </c>
      <c r="D467" s="1"/>
      <c r="E467" s="1" t="str">
        <f>IFERROR(__xludf.DUMMYFUNCTION("""COMPUTED_VALUE"""),"Deals X*100 Storm damage to a single enemy where X is equal to SP spent.")</f>
        <v>Deals X*100 Storm damage to a single enemy where X is equal to SP spent.</v>
      </c>
      <c r="F467" s="1" t="str">
        <f>IFERROR(__xludf.DUMMYFUNCTION("""COMPUTED_VALUE"""),"Hit/Miss")</f>
        <v>Hit/Miss</v>
      </c>
      <c r="G467" s="1">
        <f>IFERROR(__xludf.DUMMYFUNCTION("""COMPUTED_VALUE"""),1.0)</f>
        <v>1</v>
      </c>
      <c r="H467" s="1" t="str">
        <f>IFERROR(__xludf.DUMMYFUNCTION("""COMPUTED_VALUE"""),"Storm")</f>
        <v>Storm</v>
      </c>
      <c r="I467" s="1" t="str">
        <f>IFERROR(__xludf.DUMMYFUNCTION("""COMPUTED_VALUE"""),"Player")</f>
        <v>Player</v>
      </c>
      <c r="J467" s="1" t="b">
        <f>IFERROR(__xludf.DUMMYFUNCTION("""COMPUTED_VALUE"""),FALSE)</f>
        <v>0</v>
      </c>
      <c r="K467" s="1"/>
      <c r="L467" s="1" t="b">
        <f>IFERROR(__xludf.DUMMYFUNCTION("""COMPUTED_VALUE"""),FALSE)</f>
        <v>0</v>
      </c>
      <c r="M467" s="21" t="b">
        <f>IFERROR(__xludf.DUMMYFUNCTION("""COMPUTED_VALUE"""),FALSE)</f>
        <v>0</v>
      </c>
      <c r="N467" s="1"/>
      <c r="O467" s="1"/>
      <c r="P467" s="1"/>
      <c r="Q467" s="1"/>
      <c r="R467" s="1"/>
      <c r="S467" s="1"/>
      <c r="T467" s="1"/>
      <c r="U467" s="1"/>
      <c r="V467" s="1"/>
      <c r="W467" s="1"/>
      <c r="X467" s="1"/>
      <c r="Y467" s="1"/>
      <c r="Z467" s="1"/>
    </row>
    <row r="468" ht="15.75" customHeight="1">
      <c r="A468" s="1" t="str">
        <f>IFERROR(__xludf.DUMMYFUNCTION("""COMPUTED_VALUE"""),"Shocking Touch")</f>
        <v>Shocking Touch</v>
      </c>
      <c r="B468" s="62">
        <f>IFERROR(__xludf.DUMMYFUNCTION("""COMPUTED_VALUE"""),5.0)</f>
        <v>5</v>
      </c>
      <c r="C468" s="1" t="str">
        <f>IFERROR(__xludf.DUMMYFUNCTION("""COMPUTED_VALUE"""),"X")</f>
        <v>X</v>
      </c>
      <c r="D468" s="1"/>
      <c r="E468" s="1" t="str">
        <f>IFERROR(__xludf.DUMMYFUNCTION("""COMPUTED_VALUE"""),"Deals X*50 Storm damage per round for 3 rounds to a single target where X is equal to SP spent.")</f>
        <v>Deals X*50 Storm damage per round for 3 rounds to a single target where X is equal to SP spent.</v>
      </c>
      <c r="F468" s="1" t="str">
        <f>IFERROR(__xludf.DUMMYFUNCTION("""COMPUTED_VALUE"""),"Hit/Miss")</f>
        <v>Hit/Miss</v>
      </c>
      <c r="G468" s="1">
        <f>IFERROR(__xludf.DUMMYFUNCTION("""COMPUTED_VALUE"""),1.0)</f>
        <v>1</v>
      </c>
      <c r="H468" s="1" t="str">
        <f>IFERROR(__xludf.DUMMYFUNCTION("""COMPUTED_VALUE"""),"Storm")</f>
        <v>Storm</v>
      </c>
      <c r="I468" s="1" t="str">
        <f>IFERROR(__xludf.DUMMYFUNCTION("""COMPUTED_VALUE"""),"Player")</f>
        <v>Player</v>
      </c>
      <c r="J468" s="1" t="b">
        <f>IFERROR(__xludf.DUMMYFUNCTION("""COMPUTED_VALUE"""),FALSE)</f>
        <v>0</v>
      </c>
      <c r="K468" s="1"/>
      <c r="L468" s="1" t="b">
        <f>IFERROR(__xludf.DUMMYFUNCTION("""COMPUTED_VALUE"""),FALSE)</f>
        <v>0</v>
      </c>
      <c r="M468" s="21" t="b">
        <f>IFERROR(__xludf.DUMMYFUNCTION("""COMPUTED_VALUE"""),FALSE)</f>
        <v>0</v>
      </c>
      <c r="N468" s="1"/>
      <c r="O468" s="1"/>
      <c r="P468" s="1"/>
      <c r="Q468" s="1"/>
      <c r="R468" s="1"/>
      <c r="S468" s="1"/>
      <c r="T468" s="1"/>
      <c r="U468" s="1"/>
      <c r="V468" s="1"/>
      <c r="W468" s="1"/>
      <c r="X468" s="1"/>
      <c r="Y468" s="1"/>
      <c r="Z468" s="1"/>
    </row>
    <row r="469" ht="15.75" customHeight="1">
      <c r="A469" s="1" t="str">
        <f>IFERROR(__xludf.DUMMYFUNCTION("""COMPUTED_VALUE"""),"Chain Lightning")</f>
        <v>Chain Lightning</v>
      </c>
      <c r="B469" s="62">
        <f>IFERROR(__xludf.DUMMYFUNCTION("""COMPUTED_VALUE"""),5.0)</f>
        <v>5</v>
      </c>
      <c r="C469" s="1" t="str">
        <f>IFERROR(__xludf.DUMMYFUNCTION("""COMPUTED_VALUE"""),"X")</f>
        <v>X</v>
      </c>
      <c r="D469" s="1"/>
      <c r="E469" s="1" t="str">
        <f>IFERROR(__xludf.DUMMYFUNCTION("""COMPUTED_VALUE"""),"Deals X*25 Storm damage to all enemies where X is equal to SP spent.")</f>
        <v>Deals X*25 Storm damage to all enemies where X is equal to SP spent.</v>
      </c>
      <c r="F469" s="1" t="str">
        <f>IFERROR(__xludf.DUMMYFUNCTION("""COMPUTED_VALUE"""),"Cannot Avoid")</f>
        <v>Cannot Avoid</v>
      </c>
      <c r="G469" s="1" t="str">
        <f>IFERROR(__xludf.DUMMYFUNCTION("""COMPUTED_VALUE"""),"All")</f>
        <v>All</v>
      </c>
      <c r="H469" s="1" t="str">
        <f>IFERROR(__xludf.DUMMYFUNCTION("""COMPUTED_VALUE"""),"Storm")</f>
        <v>Storm</v>
      </c>
      <c r="I469" s="1" t="str">
        <f>IFERROR(__xludf.DUMMYFUNCTION("""COMPUTED_VALUE"""),"Player")</f>
        <v>Player</v>
      </c>
      <c r="J469" s="1" t="b">
        <f>IFERROR(__xludf.DUMMYFUNCTION("""COMPUTED_VALUE"""),FALSE)</f>
        <v>0</v>
      </c>
      <c r="K469" s="1"/>
      <c r="L469" s="1" t="b">
        <f>IFERROR(__xludf.DUMMYFUNCTION("""COMPUTED_VALUE"""),FALSE)</f>
        <v>0</v>
      </c>
      <c r="M469" s="21" t="b">
        <f>IFERROR(__xludf.DUMMYFUNCTION("""COMPUTED_VALUE"""),FALSE)</f>
        <v>0</v>
      </c>
      <c r="N469" s="1"/>
      <c r="O469" s="1"/>
      <c r="P469" s="1"/>
      <c r="Q469" s="1"/>
      <c r="R469" s="1"/>
      <c r="S469" s="1"/>
      <c r="T469" s="1"/>
      <c r="U469" s="1"/>
      <c r="V469" s="1"/>
      <c r="W469" s="1"/>
      <c r="X469" s="1"/>
      <c r="Y469" s="1"/>
      <c r="Z469" s="1"/>
    </row>
    <row r="470" ht="15.75" customHeight="1">
      <c r="A470" s="1" t="str">
        <f>IFERROR(__xludf.DUMMYFUNCTION("""COMPUTED_VALUE"""),"Mass Charge")</f>
        <v>Mass Charge</v>
      </c>
      <c r="B470" s="62">
        <f>IFERROR(__xludf.DUMMYFUNCTION("""COMPUTED_VALUE"""),6.0)</f>
        <v>6</v>
      </c>
      <c r="C470" s="1" t="str">
        <f>IFERROR(__xludf.DUMMYFUNCTION("""COMPUTED_VALUE"""),"X")</f>
        <v>X</v>
      </c>
      <c r="D470" s="1"/>
      <c r="E470" s="1" t="str">
        <f>IFERROR(__xludf.DUMMYFUNCTION("""COMPUTED_VALUE"""),"Deals X*10 Storm damage per round to all enemies for 3 rounds where X is equal to SP spent.")</f>
        <v>Deals X*10 Storm damage per round to all enemies for 3 rounds where X is equal to SP spent.</v>
      </c>
      <c r="F470" s="1" t="str">
        <f>IFERROR(__xludf.DUMMYFUNCTION("""COMPUTED_VALUE"""),"Cannot Avoid")</f>
        <v>Cannot Avoid</v>
      </c>
      <c r="G470" s="1" t="str">
        <f>IFERROR(__xludf.DUMMYFUNCTION("""COMPUTED_VALUE"""),"All")</f>
        <v>All</v>
      </c>
      <c r="H470" s="1" t="str">
        <f>IFERROR(__xludf.DUMMYFUNCTION("""COMPUTED_VALUE"""),"Storm")</f>
        <v>Storm</v>
      </c>
      <c r="I470" s="1" t="str">
        <f>IFERROR(__xludf.DUMMYFUNCTION("""COMPUTED_VALUE"""),"Player")</f>
        <v>Player</v>
      </c>
      <c r="J470" s="1" t="b">
        <f>IFERROR(__xludf.DUMMYFUNCTION("""COMPUTED_VALUE"""),FALSE)</f>
        <v>0</v>
      </c>
      <c r="K470" s="1"/>
      <c r="L470" s="1" t="b">
        <f>IFERROR(__xludf.DUMMYFUNCTION("""COMPUTED_VALUE"""),FALSE)</f>
        <v>0</v>
      </c>
      <c r="M470" s="21" t="b">
        <f>IFERROR(__xludf.DUMMYFUNCTION("""COMPUTED_VALUE"""),FALSE)</f>
        <v>0</v>
      </c>
      <c r="N470" s="1"/>
      <c r="O470" s="1"/>
      <c r="P470" s="1"/>
      <c r="Q470" s="1"/>
      <c r="R470" s="1"/>
      <c r="S470" s="1"/>
      <c r="T470" s="1"/>
      <c r="U470" s="1"/>
      <c r="V470" s="1"/>
      <c r="W470" s="1"/>
      <c r="X470" s="1"/>
      <c r="Y470" s="1"/>
      <c r="Z470" s="1"/>
    </row>
    <row r="471" ht="15.75" customHeight="1">
      <c r="A471" s="1" t="str">
        <f>IFERROR(__xludf.DUMMYFUNCTION("""COMPUTED_VALUE"""),"Tornado")</f>
        <v>Tornado</v>
      </c>
      <c r="B471" s="62">
        <f>IFERROR(__xludf.DUMMYFUNCTION("""COMPUTED_VALUE"""),3.0)</f>
        <v>3</v>
      </c>
      <c r="C471" s="1" t="str">
        <f>IFERROR(__xludf.DUMMYFUNCTION("""COMPUTED_VALUE"""),"d20*40")</f>
        <v>d20*40</v>
      </c>
      <c r="D471" s="1"/>
      <c r="E471" s="1"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1" t="str">
        <f>IFERROR(__xludf.DUMMYFUNCTION("""COMPUTED_VALUE"""),"Cannot Avoid")</f>
        <v>Cannot Avoid</v>
      </c>
      <c r="G471" s="1" t="str">
        <f>IFERROR(__xludf.DUMMYFUNCTION("""COMPUTED_VALUE"""),"All")</f>
        <v>All</v>
      </c>
      <c r="H471" s="1" t="str">
        <f>IFERROR(__xludf.DUMMYFUNCTION("""COMPUTED_VALUE"""),"Storm")</f>
        <v>Storm</v>
      </c>
      <c r="I471" s="1" t="str">
        <f>IFERROR(__xludf.DUMMYFUNCTION("""COMPUTED_VALUE"""),"Player")</f>
        <v>Player</v>
      </c>
      <c r="J471" s="1" t="b">
        <f>IFERROR(__xludf.DUMMYFUNCTION("""COMPUTED_VALUE"""),FALSE)</f>
        <v>0</v>
      </c>
      <c r="K471" s="1"/>
      <c r="L471" s="1" t="b">
        <f>IFERROR(__xludf.DUMMYFUNCTION("""COMPUTED_VALUE"""),TRUE)</f>
        <v>1</v>
      </c>
      <c r="M471" s="21" t="b">
        <f>IFERROR(__xludf.DUMMYFUNCTION("""COMPUTED_VALUE"""),FALSE)</f>
        <v>0</v>
      </c>
      <c r="N471" s="1"/>
      <c r="O471" s="1"/>
      <c r="P471" s="1"/>
      <c r="Q471" s="1"/>
      <c r="R471" s="1"/>
      <c r="S471" s="1"/>
      <c r="T471" s="1"/>
      <c r="U471" s="1"/>
      <c r="V471" s="1"/>
      <c r="W471" s="1"/>
      <c r="X471" s="1"/>
      <c r="Y471" s="1"/>
      <c r="Z471" s="1"/>
    </row>
    <row r="472" ht="15.75" customHeight="1">
      <c r="A472" s="1" t="str">
        <f>IFERROR(__xludf.DUMMYFUNCTION("""COMPUTED_VALUE"""),"Dimensional Punch")</f>
        <v>Dimensional Punch</v>
      </c>
      <c r="B472" s="62">
        <f>IFERROR(__xludf.DUMMYFUNCTION("""COMPUTED_VALUE"""),6.0)</f>
        <v>6</v>
      </c>
      <c r="C472" s="1">
        <f>IFERROR(__xludf.DUMMYFUNCTION("""COMPUTED_VALUE"""),600.0)</f>
        <v>600</v>
      </c>
      <c r="D472" s="1"/>
      <c r="E472" s="1" t="str">
        <f>IFERROR(__xludf.DUMMYFUNCTION("""COMPUTED_VALUE"""),"send a punch to the target that hits from behind, 5000 dmg.")</f>
        <v>send a punch to the target that hits from behind, 5000 dmg.</v>
      </c>
      <c r="F472" s="1" t="str">
        <f>IFERROR(__xludf.DUMMYFUNCTION("""COMPUTED_VALUE"""),"Hit or Miss")</f>
        <v>Hit or Miss</v>
      </c>
      <c r="G472" s="1">
        <f>IFERROR(__xludf.DUMMYFUNCTION("""COMPUTED_VALUE"""),1.0)</f>
        <v>1</v>
      </c>
      <c r="H472" s="1" t="str">
        <f>IFERROR(__xludf.DUMMYFUNCTION("""COMPUTED_VALUE"""),"Time")</f>
        <v>Time</v>
      </c>
      <c r="I472" s="1" t="str">
        <f>IFERROR(__xludf.DUMMYFUNCTION("""COMPUTED_VALUE"""),"Player")</f>
        <v>Player</v>
      </c>
      <c r="J472" s="1" t="b">
        <f>IFERROR(__xludf.DUMMYFUNCTION("""COMPUTED_VALUE"""),TRUE)</f>
        <v>1</v>
      </c>
      <c r="K472" s="1" t="str">
        <f>IFERROR(__xludf.DUMMYFUNCTION("""COMPUTED_VALUE"""),"(Can only be obtained in the Solreach expansion)")</f>
        <v>(Can only be obtained in the Solreach expansion)</v>
      </c>
      <c r="L472" s="1" t="b">
        <f>IFERROR(__xludf.DUMMYFUNCTION("""COMPUTED_VALUE"""),FALSE)</f>
        <v>0</v>
      </c>
      <c r="M472" s="21" t="b">
        <f>IFERROR(__xludf.DUMMYFUNCTION("""COMPUTED_VALUE"""),FALSE)</f>
        <v>0</v>
      </c>
      <c r="N472" s="1"/>
      <c r="O472" s="1"/>
      <c r="P472" s="1"/>
      <c r="Q472" s="1"/>
      <c r="R472" s="1"/>
      <c r="S472" s="1"/>
      <c r="T472" s="1"/>
      <c r="U472" s="1"/>
      <c r="V472" s="1"/>
      <c r="W472" s="1"/>
      <c r="X472" s="1"/>
      <c r="Y472" s="1"/>
      <c r="Z472" s="1"/>
    </row>
    <row r="473" ht="15.75" customHeight="1">
      <c r="A473" s="1" t="str">
        <f>IFERROR(__xludf.DUMMYFUNCTION("""COMPUTED_VALUE"""),"Pocket Exile Dimension")</f>
        <v>Pocket Exile Dimension</v>
      </c>
      <c r="B473" s="62">
        <f>IFERROR(__xludf.DUMMYFUNCTION("""COMPUTED_VALUE"""),7.0)</f>
        <v>7</v>
      </c>
      <c r="C473" s="1">
        <f>IFERROR(__xludf.DUMMYFUNCTION("""COMPUTED_VALUE"""),700.0)</f>
        <v>700</v>
      </c>
      <c r="D473" s="1"/>
      <c r="E473" s="1" t="str">
        <f>IFERROR(__xludf.DUMMYFUNCTION("""COMPUTED_VALUE"""),"send up to 2 targets into an inescapable pocket dimension with the caster until caster is defeated")</f>
        <v>send up to 2 targets into an inescapable pocket dimension with the caster until caster is defeated</v>
      </c>
      <c r="F473" s="1" t="str">
        <f>IFERROR(__xludf.DUMMYFUNCTION("""COMPUTED_VALUE"""),"Fail/succeed")</f>
        <v>Fail/succeed</v>
      </c>
      <c r="G473" s="1"/>
      <c r="H473" s="1" t="str">
        <f>IFERROR(__xludf.DUMMYFUNCTION("""COMPUTED_VALUE"""),"Time")</f>
        <v>Time</v>
      </c>
      <c r="I473" s="1" t="str">
        <f>IFERROR(__xludf.DUMMYFUNCTION("""COMPUTED_VALUE"""),"Player")</f>
        <v>Player</v>
      </c>
      <c r="J473" s="1" t="b">
        <f>IFERROR(__xludf.DUMMYFUNCTION("""COMPUTED_VALUE"""),TRUE)</f>
        <v>1</v>
      </c>
      <c r="K473" s="1" t="str">
        <f>IFERROR(__xludf.DUMMYFUNCTION("""COMPUTED_VALUE"""),"(Can only be obtained in the Solreach expansion)")</f>
        <v>(Can only be obtained in the Solreach expansion)</v>
      </c>
      <c r="L473" s="1" t="b">
        <f>IFERROR(__xludf.DUMMYFUNCTION("""COMPUTED_VALUE"""),FALSE)</f>
        <v>0</v>
      </c>
      <c r="M473" s="21" t="b">
        <f>IFERROR(__xludf.DUMMYFUNCTION("""COMPUTED_VALUE"""),FALSE)</f>
        <v>0</v>
      </c>
      <c r="N473" s="1"/>
      <c r="O473" s="1"/>
      <c r="P473" s="1"/>
      <c r="Q473" s="1"/>
      <c r="R473" s="1"/>
      <c r="S473" s="1"/>
      <c r="T473" s="1"/>
      <c r="U473" s="1"/>
      <c r="V473" s="1"/>
      <c r="W473" s="1"/>
      <c r="X473" s="1"/>
      <c r="Y473" s="1"/>
      <c r="Z473" s="1"/>
    </row>
    <row r="474" ht="15.75" customHeight="1">
      <c r="A474" s="1" t="str">
        <f>IFERROR(__xludf.DUMMYFUNCTION("""COMPUTED_VALUE"""),"Punch of time")</f>
        <v>Punch of time</v>
      </c>
      <c r="B474" s="62">
        <f>IFERROR(__xludf.DUMMYFUNCTION("""COMPUTED_VALUE"""),2.0)</f>
        <v>2</v>
      </c>
      <c r="C474" s="1">
        <f>IFERROR(__xludf.DUMMYFUNCTION("""COMPUTED_VALUE"""),200.0)</f>
        <v>200</v>
      </c>
      <c r="D474" s="1"/>
      <c r="E474" s="1"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1" t="str">
        <f>IFERROR(__xludf.DUMMYFUNCTION("""COMPUTED_VALUE"""),"Fail/succeed")</f>
        <v>Fail/succeed</v>
      </c>
      <c r="G474" s="1"/>
      <c r="H474" s="1" t="str">
        <f>IFERROR(__xludf.DUMMYFUNCTION("""COMPUTED_VALUE"""),"Time")</f>
        <v>Time</v>
      </c>
      <c r="I474" s="1" t="str">
        <f>IFERROR(__xludf.DUMMYFUNCTION("""COMPUTED_VALUE"""),"Player")</f>
        <v>Player</v>
      </c>
      <c r="J474" s="1" t="b">
        <f>IFERROR(__xludf.DUMMYFUNCTION("""COMPUTED_VALUE"""),TRUE)</f>
        <v>1</v>
      </c>
      <c r="K474" s="1" t="str">
        <f>IFERROR(__xludf.DUMMYFUNCTION("""COMPUTED_VALUE"""),"(Can only be obtained in the Solreach expansion)")</f>
        <v>(Can only be obtained in the Solreach expansion)</v>
      </c>
      <c r="L474" s="1" t="b">
        <f>IFERROR(__xludf.DUMMYFUNCTION("""COMPUTED_VALUE"""),FALSE)</f>
        <v>0</v>
      </c>
      <c r="M474" s="21" t="b">
        <f>IFERROR(__xludf.DUMMYFUNCTION("""COMPUTED_VALUE"""),FALSE)</f>
        <v>0</v>
      </c>
      <c r="N474" s="1"/>
      <c r="O474" s="1"/>
      <c r="P474" s="1"/>
      <c r="Q474" s="1"/>
      <c r="R474" s="1"/>
      <c r="S474" s="1"/>
      <c r="T474" s="1"/>
      <c r="U474" s="1"/>
      <c r="V474" s="1"/>
      <c r="W474" s="1"/>
      <c r="X474" s="1"/>
      <c r="Y474" s="1"/>
      <c r="Z474" s="1"/>
    </row>
    <row r="475" ht="15.75" customHeight="1">
      <c r="A475" s="1" t="str">
        <f>IFERROR(__xludf.DUMMYFUNCTION("""COMPUTED_VALUE"""),"Reverse Attack")</f>
        <v>Reverse Attack</v>
      </c>
      <c r="B475" s="62">
        <f>IFERROR(__xludf.DUMMYFUNCTION("""COMPUTED_VALUE"""),2.0)</f>
        <v>2</v>
      </c>
      <c r="C475" s="1">
        <f>IFERROR(__xludf.DUMMYFUNCTION("""COMPUTED_VALUE"""),200.0)</f>
        <v>200</v>
      </c>
      <c r="D475" s="1"/>
      <c r="E475" s="1" t="str">
        <f>IFERROR(__xludf.DUMMYFUNCTION("""COMPUTED_VALUE"""),"Target is hit with the last damage spell that took place in battle.")</f>
        <v>Target is hit with the last damage spell that took place in battle.</v>
      </c>
      <c r="F475" s="1" t="str">
        <f>IFERROR(__xludf.DUMMYFUNCTION("""COMPUTED_VALUE"""),"Fail/succeed")</f>
        <v>Fail/succeed</v>
      </c>
      <c r="G475" s="1"/>
      <c r="H475" s="1" t="str">
        <f>IFERROR(__xludf.DUMMYFUNCTION("""COMPUTED_VALUE"""),"Time")</f>
        <v>Time</v>
      </c>
      <c r="I475" s="1" t="str">
        <f>IFERROR(__xludf.DUMMYFUNCTION("""COMPUTED_VALUE"""),"Player")</f>
        <v>Player</v>
      </c>
      <c r="J475" s="1" t="b">
        <f>IFERROR(__xludf.DUMMYFUNCTION("""COMPUTED_VALUE"""),TRUE)</f>
        <v>1</v>
      </c>
      <c r="K475" s="1" t="str">
        <f>IFERROR(__xludf.DUMMYFUNCTION("""COMPUTED_VALUE"""),"(Can only be obtained in the Solreach expansion)")</f>
        <v>(Can only be obtained in the Solreach expansion)</v>
      </c>
      <c r="L475" s="1" t="b">
        <f>IFERROR(__xludf.DUMMYFUNCTION("""COMPUTED_VALUE"""),FALSE)</f>
        <v>0</v>
      </c>
      <c r="M475" s="21" t="b">
        <f>IFERROR(__xludf.DUMMYFUNCTION("""COMPUTED_VALUE"""),FALSE)</f>
        <v>0</v>
      </c>
      <c r="N475" s="1"/>
      <c r="O475" s="1"/>
      <c r="P475" s="1"/>
      <c r="Q475" s="1"/>
      <c r="R475" s="1"/>
      <c r="S475" s="1"/>
      <c r="T475" s="1"/>
      <c r="U475" s="1"/>
      <c r="V475" s="1"/>
      <c r="W475" s="1"/>
      <c r="X475" s="1"/>
      <c r="Y475" s="1"/>
      <c r="Z475" s="1"/>
    </row>
    <row r="476" ht="15.75" customHeight="1">
      <c r="A476" s="1" t="str">
        <f>IFERROR(__xludf.DUMMYFUNCTION("""COMPUTED_VALUE"""),"Reversed round")</f>
        <v>Reversed round</v>
      </c>
      <c r="B476" s="62">
        <f>IFERROR(__xludf.DUMMYFUNCTION("""COMPUTED_VALUE"""),9.0)</f>
        <v>9</v>
      </c>
      <c r="C476" s="1">
        <f>IFERROR(__xludf.DUMMYFUNCTION("""COMPUTED_VALUE"""),1000.0)</f>
        <v>1000</v>
      </c>
      <c r="D476" s="1"/>
      <c r="E476" s="1" t="str">
        <f>IFERROR(__xludf.DUMMYFUNCTION("""COMPUTED_VALUE"""),"Undo 1 action from a single target.")</f>
        <v>Undo 1 action from a single target.</v>
      </c>
      <c r="F476" s="1" t="str">
        <f>IFERROR(__xludf.DUMMYFUNCTION("""COMPUTED_VALUE"""),"Fail/succeed")</f>
        <v>Fail/succeed</v>
      </c>
      <c r="G476" s="1"/>
      <c r="H476" s="1" t="str">
        <f>IFERROR(__xludf.DUMMYFUNCTION("""COMPUTED_VALUE"""),"Time")</f>
        <v>Time</v>
      </c>
      <c r="I476" s="1" t="str">
        <f>IFERROR(__xludf.DUMMYFUNCTION("""COMPUTED_VALUE"""),"Player")</f>
        <v>Player</v>
      </c>
      <c r="J476" s="1" t="b">
        <f>IFERROR(__xludf.DUMMYFUNCTION("""COMPUTED_VALUE"""),TRUE)</f>
        <v>1</v>
      </c>
      <c r="K476" s="1" t="str">
        <f>IFERROR(__xludf.DUMMYFUNCTION("""COMPUTED_VALUE"""),"(Can only be obtained in the Solreach expansion)")</f>
        <v>(Can only be obtained in the Solreach expansion)</v>
      </c>
      <c r="L476" s="1" t="b">
        <f>IFERROR(__xludf.DUMMYFUNCTION("""COMPUTED_VALUE"""),FALSE)</f>
        <v>0</v>
      </c>
      <c r="M476" s="21" t="b">
        <f>IFERROR(__xludf.DUMMYFUNCTION("""COMPUTED_VALUE"""),FALSE)</f>
        <v>0</v>
      </c>
      <c r="N476" s="1"/>
      <c r="O476" s="1"/>
      <c r="P476" s="1"/>
      <c r="Q476" s="1"/>
      <c r="R476" s="1"/>
      <c r="S476" s="1"/>
      <c r="T476" s="1"/>
      <c r="U476" s="1"/>
      <c r="V476" s="1"/>
      <c r="W476" s="1"/>
      <c r="X476" s="1"/>
      <c r="Y476" s="1"/>
      <c r="Z476" s="1"/>
    </row>
    <row r="477" ht="15.75" customHeight="1">
      <c r="A477" s="1" t="str">
        <f>IFERROR(__xludf.DUMMYFUNCTION("""COMPUTED_VALUE"""),"Speed of light")</f>
        <v>Speed of light</v>
      </c>
      <c r="B477" s="62">
        <f>IFERROR(__xludf.DUMMYFUNCTION("""COMPUTED_VALUE"""),1.0)</f>
        <v>1</v>
      </c>
      <c r="C477" s="1">
        <f>IFERROR(__xludf.DUMMYFUNCTION("""COMPUTED_VALUE"""),100.0)</f>
        <v>100</v>
      </c>
      <c r="D477" s="1"/>
      <c r="E477" s="1" t="str">
        <f>IFERROR(__xludf.DUMMYFUNCTION("""COMPUTED_VALUE"""),"If the caster has a lower dodge roll than the enemy, the caster will dodge the enemies attack for 3 rounds.")</f>
        <v>If the caster has a lower dodge roll than the enemy, the caster will dodge the enemies attack for 3 rounds.</v>
      </c>
      <c r="F477" s="1" t="str">
        <f>IFERROR(__xludf.DUMMYFUNCTION("""COMPUTED_VALUE"""),"Fail/succeed")</f>
        <v>Fail/succeed</v>
      </c>
      <c r="G477" s="1"/>
      <c r="H477" s="1" t="str">
        <f>IFERROR(__xludf.DUMMYFUNCTION("""COMPUTED_VALUE"""),"Time")</f>
        <v>Time</v>
      </c>
      <c r="I477" s="1" t="str">
        <f>IFERROR(__xludf.DUMMYFUNCTION("""COMPUTED_VALUE"""),"Player")</f>
        <v>Player</v>
      </c>
      <c r="J477" s="1" t="b">
        <f>IFERROR(__xludf.DUMMYFUNCTION("""COMPUTED_VALUE"""),TRUE)</f>
        <v>1</v>
      </c>
      <c r="K477" s="1" t="str">
        <f>IFERROR(__xludf.DUMMYFUNCTION("""COMPUTED_VALUE"""),"(Can only be obtained in the Solreach expansion)")</f>
        <v>(Can only be obtained in the Solreach expansion)</v>
      </c>
      <c r="L477" s="1" t="b">
        <f>IFERROR(__xludf.DUMMYFUNCTION("""COMPUTED_VALUE"""),FALSE)</f>
        <v>0</v>
      </c>
      <c r="M477" s="21" t="b">
        <f>IFERROR(__xludf.DUMMYFUNCTION("""COMPUTED_VALUE"""),FALSE)</f>
        <v>0</v>
      </c>
      <c r="N477" s="1"/>
      <c r="O477" s="1"/>
      <c r="P477" s="1"/>
      <c r="Q477" s="1"/>
      <c r="R477" s="1"/>
      <c r="S477" s="1"/>
      <c r="T477" s="1"/>
      <c r="U477" s="1"/>
      <c r="V477" s="1"/>
      <c r="W477" s="1"/>
      <c r="X477" s="1"/>
      <c r="Y477" s="1"/>
      <c r="Z477" s="1"/>
    </row>
    <row r="478" ht="15.75" customHeight="1">
      <c r="A478" s="1" t="str">
        <f>IFERROR(__xludf.DUMMYFUNCTION("""COMPUTED_VALUE"""),"Time Distortion")</f>
        <v>Time Distortion</v>
      </c>
      <c r="B478" s="62">
        <f>IFERROR(__xludf.DUMMYFUNCTION("""COMPUTED_VALUE"""),4.0)</f>
        <v>4</v>
      </c>
      <c r="C478" s="1">
        <f>IFERROR(__xludf.DUMMYFUNCTION("""COMPUTED_VALUE"""),400.0)</f>
        <v>400</v>
      </c>
      <c r="D478" s="1"/>
      <c r="E478" s="1"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1" t="str">
        <f>IFERROR(__xludf.DUMMYFUNCTION("""COMPUTED_VALUE"""),"Fail/Succeed")</f>
        <v>Fail/Succeed</v>
      </c>
      <c r="G478" s="1"/>
      <c r="H478" s="1" t="str">
        <f>IFERROR(__xludf.DUMMYFUNCTION("""COMPUTED_VALUE"""),"Time")</f>
        <v>Time</v>
      </c>
      <c r="I478" s="1" t="str">
        <f>IFERROR(__xludf.DUMMYFUNCTION("""COMPUTED_VALUE"""),"Player")</f>
        <v>Player</v>
      </c>
      <c r="J478" s="1" t="b">
        <f>IFERROR(__xludf.DUMMYFUNCTION("""COMPUTED_VALUE"""),TRUE)</f>
        <v>1</v>
      </c>
      <c r="K478" s="1" t="str">
        <f>IFERROR(__xludf.DUMMYFUNCTION("""COMPUTED_VALUE"""),"(Can only be obtained in the Solreach expansion)")</f>
        <v>(Can only be obtained in the Solreach expansion)</v>
      </c>
      <c r="L478" s="1" t="b">
        <f>IFERROR(__xludf.DUMMYFUNCTION("""COMPUTED_VALUE"""),FALSE)</f>
        <v>0</v>
      </c>
      <c r="M478" s="21" t="b">
        <f>IFERROR(__xludf.DUMMYFUNCTION("""COMPUTED_VALUE"""),FALSE)</f>
        <v>0</v>
      </c>
      <c r="N478" s="1"/>
      <c r="O478" s="1"/>
      <c r="P478" s="1"/>
      <c r="Q478" s="1"/>
      <c r="R478" s="1"/>
      <c r="S478" s="1"/>
      <c r="T478" s="1"/>
      <c r="U478" s="1"/>
      <c r="V478" s="1"/>
      <c r="W478" s="1"/>
      <c r="X478" s="1"/>
      <c r="Y478" s="1"/>
      <c r="Z478" s="1"/>
    </row>
    <row r="479" ht="15.75" customHeight="1">
      <c r="A479" s="1" t="str">
        <f>IFERROR(__xludf.DUMMYFUNCTION("""COMPUTED_VALUE"""),"Time Lapse")</f>
        <v>Time Lapse</v>
      </c>
      <c r="B479" s="62">
        <f>IFERROR(__xludf.DUMMYFUNCTION("""COMPUTED_VALUE"""),5.0)</f>
        <v>5</v>
      </c>
      <c r="C479" s="1">
        <f>IFERROR(__xludf.DUMMYFUNCTION("""COMPUTED_VALUE"""),500.0)</f>
        <v>500</v>
      </c>
      <c r="D479" s="1"/>
      <c r="E479" s="1"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1" t="str">
        <f>IFERROR(__xludf.DUMMYFUNCTION("""COMPUTED_VALUE"""),"Fail/succeed")</f>
        <v>Fail/succeed</v>
      </c>
      <c r="G479" s="1"/>
      <c r="H479" s="1" t="str">
        <f>IFERROR(__xludf.DUMMYFUNCTION("""COMPUTED_VALUE"""),"Time")</f>
        <v>Time</v>
      </c>
      <c r="I479" s="1" t="str">
        <f>IFERROR(__xludf.DUMMYFUNCTION("""COMPUTED_VALUE"""),"Player")</f>
        <v>Player</v>
      </c>
      <c r="J479" s="1" t="b">
        <f>IFERROR(__xludf.DUMMYFUNCTION("""COMPUTED_VALUE"""),TRUE)</f>
        <v>1</v>
      </c>
      <c r="K479" s="1" t="str">
        <f>IFERROR(__xludf.DUMMYFUNCTION("""COMPUTED_VALUE"""),"(Can only be obtained in the Solreach expansion)")</f>
        <v>(Can only be obtained in the Solreach expansion)</v>
      </c>
      <c r="L479" s="1" t="b">
        <f>IFERROR(__xludf.DUMMYFUNCTION("""COMPUTED_VALUE"""),FALSE)</f>
        <v>0</v>
      </c>
      <c r="M479" s="21" t="b">
        <f>IFERROR(__xludf.DUMMYFUNCTION("""COMPUTED_VALUE"""),FALSE)</f>
        <v>0</v>
      </c>
      <c r="N479" s="1"/>
      <c r="O479" s="1"/>
      <c r="P479" s="1"/>
      <c r="Q479" s="1"/>
      <c r="R479" s="1"/>
      <c r="S479" s="1"/>
      <c r="T479" s="1"/>
      <c r="U479" s="1"/>
      <c r="V479" s="1"/>
      <c r="W479" s="1"/>
      <c r="X479" s="1"/>
      <c r="Y479" s="1"/>
      <c r="Z479" s="1"/>
    </row>
    <row r="480" ht="15.75" customHeight="1">
      <c r="A480" s="1" t="str">
        <f>IFERROR(__xludf.DUMMYFUNCTION("""COMPUTED_VALUE"""),"Time Rift")</f>
        <v>Time Rift</v>
      </c>
      <c r="B480" s="62">
        <f>IFERROR(__xludf.DUMMYFUNCTION("""COMPUTED_VALUE"""),3.0)</f>
        <v>3</v>
      </c>
      <c r="C480" s="1">
        <f>IFERROR(__xludf.DUMMYFUNCTION("""COMPUTED_VALUE"""),300.0)</f>
        <v>300</v>
      </c>
      <c r="D480" s="1"/>
      <c r="E480" s="1" t="str">
        <f>IFERROR(__xludf.DUMMYFUNCTION("""COMPUTED_VALUE"""),"sends target to different timeline of dungeon (1-6 floors back- roll a d6 for amount of floors)")</f>
        <v>sends target to different timeline of dungeon (1-6 floors back- roll a d6 for amount of floors)</v>
      </c>
      <c r="F480" s="1" t="str">
        <f>IFERROR(__xludf.DUMMYFUNCTION("""COMPUTED_VALUE"""),"Fail/succeed")</f>
        <v>Fail/succeed</v>
      </c>
      <c r="G480" s="1"/>
      <c r="H480" s="1" t="str">
        <f>IFERROR(__xludf.DUMMYFUNCTION("""COMPUTED_VALUE"""),"Time")</f>
        <v>Time</v>
      </c>
      <c r="I480" s="1" t="str">
        <f>IFERROR(__xludf.DUMMYFUNCTION("""COMPUTED_VALUE"""),"Player")</f>
        <v>Player</v>
      </c>
      <c r="J480" s="1" t="b">
        <f>IFERROR(__xludf.DUMMYFUNCTION("""COMPUTED_VALUE"""),TRUE)</f>
        <v>1</v>
      </c>
      <c r="K480" s="1" t="str">
        <f>IFERROR(__xludf.DUMMYFUNCTION("""COMPUTED_VALUE"""),"(Can only be obtained in the Solreach expansion)")</f>
        <v>(Can only be obtained in the Solreach expansion)</v>
      </c>
      <c r="L480" s="1" t="b">
        <f>IFERROR(__xludf.DUMMYFUNCTION("""COMPUTED_VALUE"""),FALSE)</f>
        <v>0</v>
      </c>
      <c r="M480" s="21" t="b">
        <f>IFERROR(__xludf.DUMMYFUNCTION("""COMPUTED_VALUE"""),FALSE)</f>
        <v>0</v>
      </c>
      <c r="N480" s="1"/>
      <c r="O480" s="1"/>
      <c r="P480" s="1"/>
      <c r="Q480" s="1"/>
      <c r="R480" s="1"/>
      <c r="S480" s="1"/>
      <c r="T480" s="1"/>
      <c r="U480" s="1"/>
      <c r="V480" s="1"/>
      <c r="W480" s="1"/>
      <c r="X480" s="1"/>
      <c r="Y480" s="1"/>
      <c r="Z480" s="1"/>
    </row>
    <row r="481" ht="15.75" customHeight="1">
      <c r="A481" s="1" t="str">
        <f>IFERROR(__xludf.DUMMYFUNCTION("""COMPUTED_VALUE"""),"Time Roar")</f>
        <v>Time Roar</v>
      </c>
      <c r="B481" s="62">
        <f>IFERROR(__xludf.DUMMYFUNCTION("""COMPUTED_VALUE"""),8.0)</f>
        <v>8</v>
      </c>
      <c r="C481" s="1" t="str">
        <f>IFERROR(__xludf.DUMMYFUNCTION("""COMPUTED_VALUE"""),"X*1000")</f>
        <v>X*1000</v>
      </c>
      <c r="D481" s="1"/>
      <c r="E481" s="1" t="str">
        <f>IFERROR(__xludf.DUMMYFUNCTION("""COMPUTED_VALUE"""),"time stops for everyone except the caster and 1 enemy for x rounds.")</f>
        <v>time stops for everyone except the caster and 1 enemy for x rounds.</v>
      </c>
      <c r="F481" s="1" t="str">
        <f>IFERROR(__xludf.DUMMYFUNCTION("""COMPUTED_VALUE"""),"Fail/succeed")</f>
        <v>Fail/succeed</v>
      </c>
      <c r="G481" s="1"/>
      <c r="H481" s="1" t="str">
        <f>IFERROR(__xludf.DUMMYFUNCTION("""COMPUTED_VALUE"""),"Time")</f>
        <v>Time</v>
      </c>
      <c r="I481" s="1" t="str">
        <f>IFERROR(__xludf.DUMMYFUNCTION("""COMPUTED_VALUE"""),"Player")</f>
        <v>Player</v>
      </c>
      <c r="J481" s="1" t="b">
        <f>IFERROR(__xludf.DUMMYFUNCTION("""COMPUTED_VALUE"""),TRUE)</f>
        <v>1</v>
      </c>
      <c r="K481" s="1" t="str">
        <f>IFERROR(__xludf.DUMMYFUNCTION("""COMPUTED_VALUE"""),"(Can only be obtained in the Solreach expansion)")</f>
        <v>(Can only be obtained in the Solreach expansion)</v>
      </c>
      <c r="L481" s="1" t="b">
        <f>IFERROR(__xludf.DUMMYFUNCTION("""COMPUTED_VALUE"""),FALSE)</f>
        <v>0</v>
      </c>
      <c r="M481" s="21" t="b">
        <f>IFERROR(__xludf.DUMMYFUNCTION("""COMPUTED_VALUE"""),FALSE)</f>
        <v>0</v>
      </c>
      <c r="N481" s="1"/>
      <c r="O481" s="1"/>
      <c r="P481" s="1"/>
      <c r="Q481" s="1"/>
      <c r="R481" s="1"/>
      <c r="S481" s="1"/>
      <c r="T481" s="1"/>
      <c r="U481" s="1"/>
      <c r="V481" s="1"/>
      <c r="W481" s="1"/>
      <c r="X481" s="1"/>
      <c r="Y481" s="1"/>
      <c r="Z481" s="1"/>
    </row>
    <row r="482" ht="15.75" customHeight="1">
      <c r="A482" s="1" t="str">
        <f>IFERROR(__xludf.DUMMYFUNCTION("""COMPUTED_VALUE"""),"Tower Of Time")</f>
        <v>Tower Of Time</v>
      </c>
      <c r="B482" s="62">
        <f>IFERROR(__xludf.DUMMYFUNCTION("""COMPUTED_VALUE"""),8.0)</f>
        <v>8</v>
      </c>
      <c r="C482" s="1">
        <f>IFERROR(__xludf.DUMMYFUNCTION("""COMPUTED_VALUE"""),800.0)</f>
        <v>800</v>
      </c>
      <c r="D482" s="1"/>
      <c r="E482" s="1"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1" t="str">
        <f>IFERROR(__xludf.DUMMYFUNCTION("""COMPUTED_VALUE"""),"Fail/succeed")</f>
        <v>Fail/succeed</v>
      </c>
      <c r="G482" s="1"/>
      <c r="H482" s="1" t="str">
        <f>IFERROR(__xludf.DUMMYFUNCTION("""COMPUTED_VALUE"""),"Time")</f>
        <v>Time</v>
      </c>
      <c r="I482" s="1" t="str">
        <f>IFERROR(__xludf.DUMMYFUNCTION("""COMPUTED_VALUE"""),"Player")</f>
        <v>Player</v>
      </c>
      <c r="J482" s="1" t="b">
        <f>IFERROR(__xludf.DUMMYFUNCTION("""COMPUTED_VALUE"""),TRUE)</f>
        <v>1</v>
      </c>
      <c r="K482" s="1" t="str">
        <f>IFERROR(__xludf.DUMMYFUNCTION("""COMPUTED_VALUE"""),"(Can only be obtained in the Solreach expansion)")</f>
        <v>(Can only be obtained in the Solreach expansion)</v>
      </c>
      <c r="L482" s="1" t="b">
        <f>IFERROR(__xludf.DUMMYFUNCTION("""COMPUTED_VALUE"""),FALSE)</f>
        <v>0</v>
      </c>
      <c r="M482" s="21" t="b">
        <f>IFERROR(__xludf.DUMMYFUNCTION("""COMPUTED_VALUE"""),FALSE)</f>
        <v>0</v>
      </c>
      <c r="N482" s="1"/>
      <c r="O482" s="1"/>
      <c r="P482" s="1"/>
      <c r="Q482" s="1"/>
      <c r="R482" s="1"/>
      <c r="S482" s="1"/>
      <c r="T482" s="1"/>
      <c r="U482" s="1"/>
      <c r="V482" s="1"/>
      <c r="W482" s="1"/>
      <c r="X482" s="1"/>
      <c r="Y482" s="1"/>
      <c r="Z482" s="1"/>
    </row>
    <row r="483" ht="15.75" customHeight="1">
      <c r="A483" s="1" t="str">
        <f>IFERROR(__xludf.DUMMYFUNCTION("""COMPUTED_VALUE"""),"Twilight Masquerade")</f>
        <v>Twilight Masquerade</v>
      </c>
      <c r="B483" s="62">
        <f>IFERROR(__xludf.DUMMYFUNCTION("""COMPUTED_VALUE"""),9.0)</f>
        <v>9</v>
      </c>
      <c r="C483" s="1">
        <f>IFERROR(__xludf.DUMMYFUNCTION("""COMPUTED_VALUE"""),1000.0)</f>
        <v>1000</v>
      </c>
      <c r="D483" s="1"/>
      <c r="E483" s="1" t="str">
        <f>IFERROR(__xludf.DUMMYFUNCTION("""COMPUTED_VALUE"""),"Become Immune to attacks for 3 rounds.")</f>
        <v>Become Immune to attacks for 3 rounds.</v>
      </c>
      <c r="F483" s="1" t="str">
        <f>IFERROR(__xludf.DUMMYFUNCTION("""COMPUTED_VALUE"""),"Fail/Succeed")</f>
        <v>Fail/Succeed</v>
      </c>
      <c r="G483" s="1"/>
      <c r="H483" s="1" t="str">
        <f>IFERROR(__xludf.DUMMYFUNCTION("""COMPUTED_VALUE"""),"Twilight")</f>
        <v>Twilight</v>
      </c>
      <c r="I483" s="1" t="str">
        <f>IFERROR(__xludf.DUMMYFUNCTION("""COMPUTED_VALUE"""),"Player")</f>
        <v>Player</v>
      </c>
      <c r="J483" s="1" t="b">
        <f>IFERROR(__xludf.DUMMYFUNCTION("""COMPUTED_VALUE"""),FALSE)</f>
        <v>0</v>
      </c>
      <c r="K483" s="1"/>
      <c r="L483" s="1" t="b">
        <f>IFERROR(__xludf.DUMMYFUNCTION("""COMPUTED_VALUE"""),FALSE)</f>
        <v>0</v>
      </c>
      <c r="M483" s="21" t="b">
        <f>IFERROR(__xludf.DUMMYFUNCTION("""COMPUTED_VALUE"""),FALSE)</f>
        <v>0</v>
      </c>
      <c r="N483" s="1"/>
      <c r="O483" s="1"/>
      <c r="P483" s="1"/>
      <c r="Q483" s="1"/>
      <c r="R483" s="1"/>
      <c r="S483" s="1"/>
      <c r="T483" s="1"/>
      <c r="U483" s="1"/>
      <c r="V483" s="1"/>
      <c r="W483" s="1"/>
      <c r="X483" s="1"/>
      <c r="Y483" s="1"/>
      <c r="Z483" s="1"/>
    </row>
    <row r="484" ht="15.75" customHeight="1">
      <c r="A484" s="1" t="str">
        <f>IFERROR(__xludf.DUMMYFUNCTION("""COMPUTED_VALUE"""),"Twilight Shield")</f>
        <v>Twilight Shield</v>
      </c>
      <c r="B484" s="62">
        <f>IFERROR(__xludf.DUMMYFUNCTION("""COMPUTED_VALUE"""),5.0)</f>
        <v>5</v>
      </c>
      <c r="C484" s="1">
        <f>IFERROR(__xludf.DUMMYFUNCTION("""COMPUTED_VALUE"""),50.0)</f>
        <v>50</v>
      </c>
      <c r="D484" s="1"/>
      <c r="E484" s="1" t="str">
        <f>IFERROR(__xludf.DUMMYFUNCTION("""COMPUTED_VALUE""")," X2 def, gives immunity to dark and light for self")</f>
        <v> X2 def, gives immunity to dark and light for self</v>
      </c>
      <c r="F484" s="1" t="str">
        <f>IFERROR(__xludf.DUMMYFUNCTION("""COMPUTED_VALUE"""),"Will Succeed")</f>
        <v>Will Succeed</v>
      </c>
      <c r="G484" s="1"/>
      <c r="H484" s="1" t="str">
        <f>IFERROR(__xludf.DUMMYFUNCTION("""COMPUTED_VALUE"""),"Twilight")</f>
        <v>Twilight</v>
      </c>
      <c r="I484" s="1" t="str">
        <f>IFERROR(__xludf.DUMMYFUNCTION("""COMPUTED_VALUE"""),"Player")</f>
        <v>Player</v>
      </c>
      <c r="J484" s="1" t="b">
        <f>IFERROR(__xludf.DUMMYFUNCTION("""COMPUTED_VALUE"""),FALSE)</f>
        <v>0</v>
      </c>
      <c r="K484" s="1"/>
      <c r="L484" s="1" t="b">
        <f>IFERROR(__xludf.DUMMYFUNCTION("""COMPUTED_VALUE"""),FALSE)</f>
        <v>0</v>
      </c>
      <c r="M484" s="21" t="b">
        <f>IFERROR(__xludf.DUMMYFUNCTION("""COMPUTED_VALUE"""),FALSE)</f>
        <v>0</v>
      </c>
      <c r="N484" s="1"/>
      <c r="O484" s="1"/>
      <c r="P484" s="1"/>
      <c r="Q484" s="1"/>
      <c r="R484" s="1"/>
      <c r="S484" s="1"/>
      <c r="T484" s="1"/>
      <c r="U484" s="1"/>
      <c r="V484" s="1"/>
      <c r="W484" s="1"/>
      <c r="X484" s="1"/>
      <c r="Y484" s="1"/>
      <c r="Z484" s="1"/>
    </row>
    <row r="485" ht="15.75" customHeight="1">
      <c r="A485" s="1" t="str">
        <f>IFERROR(__xludf.DUMMYFUNCTION("""COMPUTED_VALUE"""),"Twilight Transformation")</f>
        <v>Twilight Transformation</v>
      </c>
      <c r="B485" s="62">
        <f>IFERROR(__xludf.DUMMYFUNCTION("""COMPUTED_VALUE"""),8.0)</f>
        <v>8</v>
      </c>
      <c r="C485" s="1">
        <f>IFERROR(__xludf.DUMMYFUNCTION("""COMPUTED_VALUE"""),200.0)</f>
        <v>200</v>
      </c>
      <c r="D485" s="1"/>
      <c r="E485" s="1" t="str">
        <f>IFERROR(__xludf.DUMMYFUNCTION("""COMPUTED_VALUE"""),"Grants X4 light and dark damage to twilight spells and weapons for the caster until end of battle.")</f>
        <v>Grants X4 light and dark damage to twilight spells and weapons for the caster until end of battle.</v>
      </c>
      <c r="F485" s="1" t="str">
        <f>IFERROR(__xludf.DUMMYFUNCTION("""COMPUTED_VALUE"""),"Will Succeed")</f>
        <v>Will Succeed</v>
      </c>
      <c r="G485" s="1"/>
      <c r="H485" s="1" t="str">
        <f>IFERROR(__xludf.DUMMYFUNCTION("""COMPUTED_VALUE"""),"Twilight")</f>
        <v>Twilight</v>
      </c>
      <c r="I485" s="1" t="str">
        <f>IFERROR(__xludf.DUMMYFUNCTION("""COMPUTED_VALUE"""),"Player")</f>
        <v>Player</v>
      </c>
      <c r="J485" s="1" t="b">
        <f>IFERROR(__xludf.DUMMYFUNCTION("""COMPUTED_VALUE"""),FALSE)</f>
        <v>0</v>
      </c>
      <c r="K485" s="1"/>
      <c r="L485" s="1" t="b">
        <f>IFERROR(__xludf.DUMMYFUNCTION("""COMPUTED_VALUE"""),FALSE)</f>
        <v>0</v>
      </c>
      <c r="M485" s="21" t="b">
        <f>IFERROR(__xludf.DUMMYFUNCTION("""COMPUTED_VALUE"""),FALSE)</f>
        <v>0</v>
      </c>
      <c r="N485" s="1"/>
      <c r="O485" s="1"/>
      <c r="P485" s="1"/>
      <c r="Q485" s="1"/>
      <c r="R485" s="1"/>
      <c r="S485" s="1"/>
      <c r="T485" s="1"/>
      <c r="U485" s="1"/>
      <c r="V485" s="1"/>
      <c r="W485" s="1"/>
      <c r="X485" s="1"/>
      <c r="Y485" s="1"/>
      <c r="Z485" s="1"/>
    </row>
    <row r="486" ht="15.75" customHeight="1">
      <c r="A486" s="1" t="str">
        <f>IFERROR(__xludf.DUMMYFUNCTION("""COMPUTED_VALUE"""),"Lash of Twilight")</f>
        <v>Lash of Twilight</v>
      </c>
      <c r="B486" s="62">
        <f>IFERROR(__xludf.DUMMYFUNCTION("""COMPUTED_VALUE"""),1.0)</f>
        <v>1</v>
      </c>
      <c r="C486" s="1" t="str">
        <f>IFERROR(__xludf.DUMMYFUNCTION("""COMPUTED_VALUE"""),"X")</f>
        <v>X</v>
      </c>
      <c r="D486" s="1"/>
      <c r="E486" s="1" t="str">
        <f>IFERROR(__xludf.DUMMYFUNCTION("""COMPUTED_VALUE"""),"Deals X*50 Light and X*50 Dark damage to a single enemy where X is equal to SP spent.")</f>
        <v>Deals X*50 Light and X*50 Dark damage to a single enemy where X is equal to SP spent.</v>
      </c>
      <c r="F486" s="1" t="str">
        <f>IFERROR(__xludf.DUMMYFUNCTION("""COMPUTED_VALUE"""),"Hit/Miss")</f>
        <v>Hit/Miss</v>
      </c>
      <c r="G486" s="1">
        <f>IFERROR(__xludf.DUMMYFUNCTION("""COMPUTED_VALUE"""),1.0)</f>
        <v>1</v>
      </c>
      <c r="H486" s="1" t="str">
        <f>IFERROR(__xludf.DUMMYFUNCTION("""COMPUTED_VALUE"""),"Twilight")</f>
        <v>Twilight</v>
      </c>
      <c r="I486" s="1" t="str">
        <f>IFERROR(__xludf.DUMMYFUNCTION("""COMPUTED_VALUE"""),"Player")</f>
        <v>Player</v>
      </c>
      <c r="J486" s="1" t="b">
        <f>IFERROR(__xludf.DUMMYFUNCTION("""COMPUTED_VALUE"""),FALSE)</f>
        <v>0</v>
      </c>
      <c r="K486" s="1"/>
      <c r="L486" s="1" t="b">
        <f>IFERROR(__xludf.DUMMYFUNCTION("""COMPUTED_VALUE"""),FALSE)</f>
        <v>0</v>
      </c>
      <c r="M486" s="21" t="b">
        <f>IFERROR(__xludf.DUMMYFUNCTION("""COMPUTED_VALUE"""),FALSE)</f>
        <v>0</v>
      </c>
      <c r="N486" s="1"/>
      <c r="O486" s="1"/>
      <c r="P486" s="1"/>
      <c r="Q486" s="1"/>
      <c r="R486" s="1"/>
      <c r="S486" s="1"/>
      <c r="T486" s="1"/>
      <c r="U486" s="1"/>
      <c r="V486" s="1"/>
      <c r="W486" s="1"/>
      <c r="X486" s="1"/>
      <c r="Y486" s="1"/>
      <c r="Z486" s="1"/>
    </row>
    <row r="487" ht="15.75" customHeight="1">
      <c r="A487" s="1" t="str">
        <f>IFERROR(__xludf.DUMMYFUNCTION("""COMPUTED_VALUE"""),"Searing Twilight")</f>
        <v>Searing Twilight</v>
      </c>
      <c r="B487" s="62">
        <f>IFERROR(__xludf.DUMMYFUNCTION("""COMPUTED_VALUE"""),5.0)</f>
        <v>5</v>
      </c>
      <c r="C487" s="1" t="str">
        <f>IFERROR(__xludf.DUMMYFUNCTION("""COMPUTED_VALUE"""),"X")</f>
        <v>X</v>
      </c>
      <c r="D487" s="1"/>
      <c r="E487" s="1" t="str">
        <f>IFERROR(__xludf.DUMMYFUNCTION("""COMPUTED_VALUE"""),"Deals X*25 Light and X*25 Dark damage per round for 3 rounds to a single target where X is equal to SP spent.")</f>
        <v>Deals X*25 Light and X*25 Dark damage per round for 3 rounds to a single target where X is equal to SP spent.</v>
      </c>
      <c r="F487" s="1" t="str">
        <f>IFERROR(__xludf.DUMMYFUNCTION("""COMPUTED_VALUE"""),"Hit/Miss")</f>
        <v>Hit/Miss</v>
      </c>
      <c r="G487" s="1">
        <f>IFERROR(__xludf.DUMMYFUNCTION("""COMPUTED_VALUE"""),1.0)</f>
        <v>1</v>
      </c>
      <c r="H487" s="1" t="str">
        <f>IFERROR(__xludf.DUMMYFUNCTION("""COMPUTED_VALUE"""),"Twilight")</f>
        <v>Twilight</v>
      </c>
      <c r="I487" s="1" t="str">
        <f>IFERROR(__xludf.DUMMYFUNCTION("""COMPUTED_VALUE"""),"Player")</f>
        <v>Player</v>
      </c>
      <c r="J487" s="1" t="b">
        <f>IFERROR(__xludf.DUMMYFUNCTION("""COMPUTED_VALUE"""),FALSE)</f>
        <v>0</v>
      </c>
      <c r="K487" s="1"/>
      <c r="L487" s="1" t="b">
        <f>IFERROR(__xludf.DUMMYFUNCTION("""COMPUTED_VALUE"""),FALSE)</f>
        <v>0</v>
      </c>
      <c r="M487" s="21" t="b">
        <f>IFERROR(__xludf.DUMMYFUNCTION("""COMPUTED_VALUE"""),FALSE)</f>
        <v>0</v>
      </c>
      <c r="N487" s="1"/>
      <c r="O487" s="1"/>
      <c r="P487" s="1"/>
      <c r="Q487" s="1"/>
      <c r="R487" s="1"/>
      <c r="S487" s="1"/>
      <c r="T487" s="1"/>
      <c r="U487" s="1"/>
      <c r="V487" s="1"/>
      <c r="W487" s="1"/>
      <c r="X487" s="1"/>
      <c r="Y487" s="1"/>
      <c r="Z487" s="1"/>
    </row>
    <row r="488" ht="15.75" customHeight="1">
      <c r="A488" s="1" t="str">
        <f>IFERROR(__xludf.DUMMYFUNCTION("""COMPUTED_VALUE"""),"The Setting Sun")</f>
        <v>The Setting Sun</v>
      </c>
      <c r="B488" s="62">
        <f>IFERROR(__xludf.DUMMYFUNCTION("""COMPUTED_VALUE"""),5.0)</f>
        <v>5</v>
      </c>
      <c r="C488" s="1" t="str">
        <f>IFERROR(__xludf.DUMMYFUNCTION("""COMPUTED_VALUE"""),"X")</f>
        <v>X</v>
      </c>
      <c r="D488" s="1"/>
      <c r="E488" s="1" t="str">
        <f>IFERROR(__xludf.DUMMYFUNCTION("""COMPUTED_VALUE"""),"Deals X*15 Light and X*15 Dark damage to all enemies where X is equal to SP spent.")</f>
        <v>Deals X*15 Light and X*15 Dark damage to all enemies where X is equal to SP spent.</v>
      </c>
      <c r="F488" s="1" t="str">
        <f>IFERROR(__xludf.DUMMYFUNCTION("""COMPUTED_VALUE"""),"Cannot Avoid")</f>
        <v>Cannot Avoid</v>
      </c>
      <c r="G488" s="1" t="str">
        <f>IFERROR(__xludf.DUMMYFUNCTION("""COMPUTED_VALUE"""),"All")</f>
        <v>All</v>
      </c>
      <c r="H488" s="1" t="str">
        <f>IFERROR(__xludf.DUMMYFUNCTION("""COMPUTED_VALUE"""),"Twilight")</f>
        <v>Twilight</v>
      </c>
      <c r="I488" s="1" t="str">
        <f>IFERROR(__xludf.DUMMYFUNCTION("""COMPUTED_VALUE"""),"Player")</f>
        <v>Player</v>
      </c>
      <c r="J488" s="1" t="b">
        <f>IFERROR(__xludf.DUMMYFUNCTION("""COMPUTED_VALUE"""),FALSE)</f>
        <v>0</v>
      </c>
      <c r="K488" s="1"/>
      <c r="L488" s="1" t="b">
        <f>IFERROR(__xludf.DUMMYFUNCTION("""COMPUTED_VALUE"""),FALSE)</f>
        <v>0</v>
      </c>
      <c r="M488" s="21" t="b">
        <f>IFERROR(__xludf.DUMMYFUNCTION("""COMPUTED_VALUE"""),FALSE)</f>
        <v>0</v>
      </c>
      <c r="N488" s="1"/>
      <c r="O488" s="1"/>
      <c r="P488" s="1"/>
      <c r="Q488" s="1"/>
      <c r="R488" s="1"/>
      <c r="S488" s="1"/>
      <c r="T488" s="1"/>
      <c r="U488" s="1"/>
      <c r="V488" s="1"/>
      <c r="W488" s="1"/>
      <c r="X488" s="1"/>
      <c r="Y488" s="1"/>
      <c r="Z488" s="1"/>
    </row>
    <row r="489" ht="15.75" customHeight="1">
      <c r="A489" s="1" t="str">
        <f>IFERROR(__xludf.DUMMYFUNCTION("""COMPUTED_VALUE"""),"Danse Macabre")</f>
        <v>Danse Macabre</v>
      </c>
      <c r="B489" s="62">
        <f>IFERROR(__xludf.DUMMYFUNCTION("""COMPUTED_VALUE"""),6.0)</f>
        <v>6</v>
      </c>
      <c r="C489" s="1" t="str">
        <f>IFERROR(__xludf.DUMMYFUNCTION("""COMPUTED_VALUE"""),"X")</f>
        <v>X</v>
      </c>
      <c r="D489" s="1"/>
      <c r="E489" s="1" t="str">
        <f>IFERROR(__xludf.DUMMYFUNCTION("""COMPUTED_VALUE"""),"Deals X*5 Light and X*5 Dark damage per round to all enemies for 3 rounds where X is equal to SP spent.")</f>
        <v>Deals X*5 Light and X*5 Dark damage per round to all enemies for 3 rounds where X is equal to SP spent.</v>
      </c>
      <c r="F489" s="1" t="str">
        <f>IFERROR(__xludf.DUMMYFUNCTION("""COMPUTED_VALUE"""),"Cannot Avoid")</f>
        <v>Cannot Avoid</v>
      </c>
      <c r="G489" s="1" t="str">
        <f>IFERROR(__xludf.DUMMYFUNCTION("""COMPUTED_VALUE"""),"All")</f>
        <v>All</v>
      </c>
      <c r="H489" s="1" t="str">
        <f>IFERROR(__xludf.DUMMYFUNCTION("""COMPUTED_VALUE"""),"Twilight")</f>
        <v>Twilight</v>
      </c>
      <c r="I489" s="1" t="str">
        <f>IFERROR(__xludf.DUMMYFUNCTION("""COMPUTED_VALUE"""),"Player")</f>
        <v>Player</v>
      </c>
      <c r="J489" s="1" t="b">
        <f>IFERROR(__xludf.DUMMYFUNCTION("""COMPUTED_VALUE"""),FALSE)</f>
        <v>0</v>
      </c>
      <c r="K489" s="1"/>
      <c r="L489" s="1" t="b">
        <f>IFERROR(__xludf.DUMMYFUNCTION("""COMPUTED_VALUE"""),FALSE)</f>
        <v>0</v>
      </c>
      <c r="M489" s="21" t="b">
        <f>IFERROR(__xludf.DUMMYFUNCTION("""COMPUTED_VALUE"""),FALSE)</f>
        <v>0</v>
      </c>
      <c r="N489" s="1"/>
      <c r="O489" s="1"/>
      <c r="P489" s="1"/>
      <c r="Q489" s="1"/>
      <c r="R489" s="1"/>
      <c r="S489" s="1"/>
      <c r="T489" s="1"/>
      <c r="U489" s="1"/>
      <c r="V489" s="1"/>
      <c r="W489" s="1"/>
      <c r="X489" s="1"/>
      <c r="Y489" s="1"/>
      <c r="Z489" s="1"/>
    </row>
    <row r="490" ht="15.75" customHeight="1">
      <c r="A490" s="1" t="str">
        <f>IFERROR(__xludf.DUMMYFUNCTION("""COMPUTED_VALUE"""),"Banish")</f>
        <v>Banish</v>
      </c>
      <c r="B490" s="62">
        <f>IFERROR(__xludf.DUMMYFUNCTION("""COMPUTED_VALUE"""),9.0)</f>
        <v>9</v>
      </c>
      <c r="C490" s="1">
        <f>IFERROR(__xludf.DUMMYFUNCTION("""COMPUTED_VALUE"""),2000.0)</f>
        <v>2000</v>
      </c>
      <c r="D490" s="1"/>
      <c r="E490" s="1" t="str">
        <f>IFERROR(__xludf.DUMMYFUNCTION("""COMPUTED_VALUE"""),"Banish 1 target.")</f>
        <v>Banish 1 target.</v>
      </c>
      <c r="F490" s="1" t="str">
        <f>IFERROR(__xludf.DUMMYFUNCTION("""COMPUTED_VALUE"""),"Fail/succeed")</f>
        <v>Fail/succeed</v>
      </c>
      <c r="G490" s="1"/>
      <c r="H490" s="1" t="str">
        <f>IFERROR(__xludf.DUMMYFUNCTION("""COMPUTED_VALUE"""),"Voodoo")</f>
        <v>Voodoo</v>
      </c>
      <c r="I490" s="1" t="str">
        <f>IFERROR(__xludf.DUMMYFUNCTION("""COMPUTED_VALUE"""),"Player")</f>
        <v>Player</v>
      </c>
      <c r="J490" s="1" t="b">
        <f>IFERROR(__xludf.DUMMYFUNCTION("""COMPUTED_VALUE"""),FALSE)</f>
        <v>0</v>
      </c>
      <c r="K490" s="1"/>
      <c r="L490" s="1" t="b">
        <f>IFERROR(__xludf.DUMMYFUNCTION("""COMPUTED_VALUE"""),FALSE)</f>
        <v>0</v>
      </c>
      <c r="M490" s="21" t="b">
        <f>IFERROR(__xludf.DUMMYFUNCTION("""COMPUTED_VALUE"""),FALSE)</f>
        <v>0</v>
      </c>
      <c r="N490" s="1"/>
      <c r="O490" s="1"/>
      <c r="P490" s="1"/>
      <c r="Q490" s="1"/>
      <c r="R490" s="1"/>
      <c r="S490" s="1"/>
      <c r="T490" s="1"/>
      <c r="U490" s="1"/>
      <c r="V490" s="1"/>
      <c r="W490" s="1"/>
      <c r="X490" s="1"/>
      <c r="Y490" s="1"/>
      <c r="Z490" s="1"/>
    </row>
    <row r="491" ht="15.75" customHeight="1">
      <c r="A491" s="1" t="str">
        <f>IFERROR(__xludf.DUMMYFUNCTION("""COMPUTED_VALUE"""),"Blast of Despair")</f>
        <v>Blast of Despair</v>
      </c>
      <c r="B491" s="62">
        <f>IFERROR(__xludf.DUMMYFUNCTION("""COMPUTED_VALUE"""),6.0)</f>
        <v>6</v>
      </c>
      <c r="C491" s="1" t="str">
        <f>IFERROR(__xludf.DUMMYFUNCTION("""COMPUTED_VALUE"""),"X")</f>
        <v>X</v>
      </c>
      <c r="D491" s="1"/>
      <c r="E491" s="1"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1" t="str">
        <f>IFERROR(__xludf.DUMMYFUNCTION("""COMPUTED_VALUE"""),"Hit/Miss")</f>
        <v>Hit/Miss</v>
      </c>
      <c r="G491" s="1">
        <f>IFERROR(__xludf.DUMMYFUNCTION("""COMPUTED_VALUE"""),1.0)</f>
        <v>1</v>
      </c>
      <c r="H491" s="1" t="str">
        <f>IFERROR(__xludf.DUMMYFUNCTION("""COMPUTED_VALUE"""),"Voodoo")</f>
        <v>Voodoo</v>
      </c>
      <c r="I491" s="1" t="str">
        <f>IFERROR(__xludf.DUMMYFUNCTION("""COMPUTED_VALUE"""),"Player")</f>
        <v>Player</v>
      </c>
      <c r="J491" s="1" t="b">
        <f>IFERROR(__xludf.DUMMYFUNCTION("""COMPUTED_VALUE"""),FALSE)</f>
        <v>0</v>
      </c>
      <c r="K491" s="1"/>
      <c r="L491" s="1" t="b">
        <f>IFERROR(__xludf.DUMMYFUNCTION("""COMPUTED_VALUE"""),FALSE)</f>
        <v>0</v>
      </c>
      <c r="M491" s="21" t="b">
        <f>IFERROR(__xludf.DUMMYFUNCTION("""COMPUTED_VALUE"""),FALSE)</f>
        <v>0</v>
      </c>
      <c r="N491" s="1"/>
      <c r="O491" s="1"/>
      <c r="P491" s="1"/>
      <c r="Q491" s="1"/>
      <c r="R491" s="1"/>
      <c r="S491" s="1"/>
      <c r="T491" s="1"/>
      <c r="U491" s="1"/>
      <c r="V491" s="1"/>
      <c r="W491" s="1"/>
      <c r="X491" s="1"/>
      <c r="Y491" s="1"/>
      <c r="Z491" s="1"/>
    </row>
    <row r="492" ht="15.75" customHeight="1">
      <c r="A492" s="1" t="str">
        <f>IFERROR(__xludf.DUMMYFUNCTION("""COMPUTED_VALUE"""),"End The Voodoo Contract")</f>
        <v>End The Voodoo Contract</v>
      </c>
      <c r="B492" s="62">
        <f>IFERROR(__xludf.DUMMYFUNCTION("""COMPUTED_VALUE"""),9.0)</f>
        <v>9</v>
      </c>
      <c r="C492" s="1">
        <f>IFERROR(__xludf.DUMMYFUNCTION("""COMPUTED_VALUE"""),500.0)</f>
        <v>500</v>
      </c>
      <c r="D492" s="1"/>
      <c r="E492" s="1" t="str">
        <f>IFERROR(__xludf.DUMMYFUNCTION("""COMPUTED_VALUE"""),"Caster dies and the target dies too.")</f>
        <v>Caster dies and the target dies too.</v>
      </c>
      <c r="F492" s="1" t="str">
        <f>IFERROR(__xludf.DUMMYFUNCTION("""COMPUTED_VALUE"""),"Fail/Succeed")</f>
        <v>Fail/Succeed</v>
      </c>
      <c r="G492" s="1"/>
      <c r="H492" s="1" t="str">
        <f>IFERROR(__xludf.DUMMYFUNCTION("""COMPUTED_VALUE"""),"Voodoo")</f>
        <v>Voodoo</v>
      </c>
      <c r="I492" s="1" t="str">
        <f>IFERROR(__xludf.DUMMYFUNCTION("""COMPUTED_VALUE"""),"Player")</f>
        <v>Player</v>
      </c>
      <c r="J492" s="1" t="b">
        <f>IFERROR(__xludf.DUMMYFUNCTION("""COMPUTED_VALUE"""),FALSE)</f>
        <v>0</v>
      </c>
      <c r="K492" s="1"/>
      <c r="L492" s="1" t="b">
        <f>IFERROR(__xludf.DUMMYFUNCTION("""COMPUTED_VALUE"""),FALSE)</f>
        <v>0</v>
      </c>
      <c r="M492" s="21" t="b">
        <f>IFERROR(__xludf.DUMMYFUNCTION("""COMPUTED_VALUE"""),FALSE)</f>
        <v>0</v>
      </c>
      <c r="N492" s="1"/>
      <c r="O492" s="1"/>
      <c r="P492" s="1"/>
      <c r="Q492" s="1"/>
      <c r="R492" s="1"/>
      <c r="S492" s="1"/>
      <c r="T492" s="1"/>
      <c r="U492" s="1"/>
      <c r="V492" s="1"/>
      <c r="W492" s="1"/>
      <c r="X492" s="1"/>
      <c r="Y492" s="1"/>
      <c r="Z492" s="1"/>
    </row>
    <row r="493" ht="15.75" customHeight="1">
      <c r="A493" s="1" t="str">
        <f>IFERROR(__xludf.DUMMYFUNCTION("""COMPUTED_VALUE"""),"Enrapture")</f>
        <v>Enrapture</v>
      </c>
      <c r="B493" s="62">
        <f>IFERROR(__xludf.DUMMYFUNCTION("""COMPUTED_VALUE"""),7.0)</f>
        <v>7</v>
      </c>
      <c r="C493" s="1">
        <f>IFERROR(__xludf.DUMMYFUNCTION("""COMPUTED_VALUE"""),300.0)</f>
        <v>300</v>
      </c>
      <c r="D493" s="1"/>
      <c r="E493" s="1"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1" t="str">
        <f>IFERROR(__xludf.DUMMYFUNCTION("""COMPUTED_VALUE"""),"Fail/Succeed")</f>
        <v>Fail/Succeed</v>
      </c>
      <c r="G493" s="1"/>
      <c r="H493" s="1" t="str">
        <f>IFERROR(__xludf.DUMMYFUNCTION("""COMPUTED_VALUE"""),"Voodoo")</f>
        <v>Voodoo</v>
      </c>
      <c r="I493" s="1" t="str">
        <f>IFERROR(__xludf.DUMMYFUNCTION("""COMPUTED_VALUE"""),"Player")</f>
        <v>Player</v>
      </c>
      <c r="J493" s="1" t="b">
        <f>IFERROR(__xludf.DUMMYFUNCTION("""COMPUTED_VALUE"""),FALSE)</f>
        <v>0</v>
      </c>
      <c r="K493" s="1"/>
      <c r="L493" s="1" t="b">
        <f>IFERROR(__xludf.DUMMYFUNCTION("""COMPUTED_VALUE"""),FALSE)</f>
        <v>0</v>
      </c>
      <c r="M493" s="21" t="b">
        <f>IFERROR(__xludf.DUMMYFUNCTION("""COMPUTED_VALUE"""),FALSE)</f>
        <v>0</v>
      </c>
      <c r="N493" s="1"/>
      <c r="O493" s="1"/>
      <c r="P493" s="1"/>
      <c r="Q493" s="1"/>
      <c r="R493" s="1"/>
      <c r="S493" s="1"/>
      <c r="T493" s="1"/>
      <c r="U493" s="1"/>
      <c r="V493" s="1"/>
      <c r="W493" s="1"/>
      <c r="X493" s="1"/>
      <c r="Y493" s="1"/>
      <c r="Z493" s="1"/>
    </row>
    <row r="494" ht="15.75" customHeight="1">
      <c r="A494" s="1" t="str">
        <f>IFERROR(__xludf.DUMMYFUNCTION("""COMPUTED_VALUE"""),"Good Fortune")</f>
        <v>Good Fortune</v>
      </c>
      <c r="B494" s="62">
        <f>IFERROR(__xludf.DUMMYFUNCTION("""COMPUTED_VALUE"""),5.0)</f>
        <v>5</v>
      </c>
      <c r="C494" s="1">
        <f>IFERROR(__xludf.DUMMYFUNCTION("""COMPUTED_VALUE"""),50.0)</f>
        <v>50</v>
      </c>
      <c r="D494" s="1"/>
      <c r="E494" s="1" t="str">
        <f>IFERROR(__xludf.DUMMYFUNCTION("""COMPUTED_VALUE"""),"25% chance to gain an extra loot roll. You must activate this effect before the end of battle.")</f>
        <v>25% chance to gain an extra loot roll. You must activate this effect before the end of battle.</v>
      </c>
      <c r="F494" s="1" t="str">
        <f>IFERROR(__xludf.DUMMYFUNCTION("""COMPUTED_VALUE"""),"Will Succeed")</f>
        <v>Will Succeed</v>
      </c>
      <c r="G494" s="1"/>
      <c r="H494" s="1" t="str">
        <f>IFERROR(__xludf.DUMMYFUNCTION("""COMPUTED_VALUE"""),"Voodoo")</f>
        <v>Voodoo</v>
      </c>
      <c r="I494" s="1" t="str">
        <f>IFERROR(__xludf.DUMMYFUNCTION("""COMPUTED_VALUE"""),"Player")</f>
        <v>Player</v>
      </c>
      <c r="J494" s="1" t="b">
        <f>IFERROR(__xludf.DUMMYFUNCTION("""COMPUTED_VALUE"""),FALSE)</f>
        <v>0</v>
      </c>
      <c r="K494" s="1"/>
      <c r="L494" s="1" t="b">
        <f>IFERROR(__xludf.DUMMYFUNCTION("""COMPUTED_VALUE"""),FALSE)</f>
        <v>0</v>
      </c>
      <c r="M494" s="21" t="b">
        <f>IFERROR(__xludf.DUMMYFUNCTION("""COMPUTED_VALUE"""),FALSE)</f>
        <v>0</v>
      </c>
      <c r="N494" s="1"/>
      <c r="O494" s="1"/>
      <c r="P494" s="1"/>
      <c r="Q494" s="1"/>
      <c r="R494" s="1"/>
      <c r="S494" s="1"/>
      <c r="T494" s="1"/>
      <c r="U494" s="1"/>
      <c r="V494" s="1"/>
      <c r="W494" s="1"/>
      <c r="X494" s="1"/>
      <c r="Y494" s="1"/>
      <c r="Z494" s="1"/>
    </row>
    <row r="495" ht="15.75" customHeight="1">
      <c r="A495" s="1" t="str">
        <f>IFERROR(__xludf.DUMMYFUNCTION("""COMPUTED_VALUE"""),"Hex With Bad Luck")</f>
        <v>Hex With Bad Luck</v>
      </c>
      <c r="B495" s="62">
        <f>IFERROR(__xludf.DUMMYFUNCTION("""COMPUTED_VALUE"""),1.0)</f>
        <v>1</v>
      </c>
      <c r="C495" s="1">
        <f>IFERROR(__xludf.DUMMYFUNCTION("""COMPUTED_VALUE"""),10.0)</f>
        <v>10</v>
      </c>
      <c r="D495" s="1"/>
      <c r="E495" s="1" t="str">
        <f>IFERROR(__xludf.DUMMYFUNCTION("""COMPUTED_VALUE"""),"Target Halfs their d20 rolls for 3 rounds")</f>
        <v>Target Halfs their d20 rolls for 3 rounds</v>
      </c>
      <c r="F495" s="1" t="str">
        <f>IFERROR(__xludf.DUMMYFUNCTION("""COMPUTED_VALUE"""),"Fail/Succeed")</f>
        <v>Fail/Succeed</v>
      </c>
      <c r="G495" s="1"/>
      <c r="H495" s="1" t="str">
        <f>IFERROR(__xludf.DUMMYFUNCTION("""COMPUTED_VALUE"""),"Voodoo")</f>
        <v>Voodoo</v>
      </c>
      <c r="I495" s="1" t="str">
        <f>IFERROR(__xludf.DUMMYFUNCTION("""COMPUTED_VALUE"""),"Player")</f>
        <v>Player</v>
      </c>
      <c r="J495" s="1" t="b">
        <f>IFERROR(__xludf.DUMMYFUNCTION("""COMPUTED_VALUE"""),FALSE)</f>
        <v>0</v>
      </c>
      <c r="K495" s="1"/>
      <c r="L495" s="1" t="b">
        <f>IFERROR(__xludf.DUMMYFUNCTION("""COMPUTED_VALUE"""),FALSE)</f>
        <v>0</v>
      </c>
      <c r="M495" s="21" t="b">
        <f>IFERROR(__xludf.DUMMYFUNCTION("""COMPUTED_VALUE"""),FALSE)</f>
        <v>0</v>
      </c>
      <c r="N495" s="1"/>
      <c r="O495" s="1"/>
      <c r="P495" s="1"/>
      <c r="Q495" s="1"/>
      <c r="R495" s="1"/>
      <c r="S495" s="1"/>
      <c r="T495" s="1"/>
      <c r="U495" s="1"/>
      <c r="V495" s="1"/>
      <c r="W495" s="1"/>
      <c r="X495" s="1"/>
      <c r="Y495" s="1"/>
      <c r="Z495" s="1"/>
    </row>
    <row r="496" ht="15.75" customHeight="1">
      <c r="A496" s="1" t="str">
        <f>IFERROR(__xludf.DUMMYFUNCTION("""COMPUTED_VALUE"""),"Last Gamble")</f>
        <v>Last Gamble</v>
      </c>
      <c r="B496" s="62">
        <f>IFERROR(__xludf.DUMMYFUNCTION("""COMPUTED_VALUE"""),9.0)</f>
        <v>9</v>
      </c>
      <c r="C496" s="1">
        <f>IFERROR(__xludf.DUMMYFUNCTION("""COMPUTED_VALUE"""),1000.0)</f>
        <v>1000</v>
      </c>
      <c r="D496" s="1"/>
      <c r="E496" s="1" t="str">
        <f>IFERROR(__xludf.DUMMYFUNCTION("""COMPUTED_VALUE"""),"All enemies Cannot use any spells for the rest of the battle.")</f>
        <v>All enemies Cannot use any spells for the rest of the battle.</v>
      </c>
      <c r="F496" s="1" t="str">
        <f>IFERROR(__xludf.DUMMYFUNCTION("""COMPUTED_VALUE"""),"Fail/Succeed")</f>
        <v>Fail/Succeed</v>
      </c>
      <c r="G496" s="1"/>
      <c r="H496" s="1" t="str">
        <f>IFERROR(__xludf.DUMMYFUNCTION("""COMPUTED_VALUE"""),"Voodoo")</f>
        <v>Voodoo</v>
      </c>
      <c r="I496" s="1" t="str">
        <f>IFERROR(__xludf.DUMMYFUNCTION("""COMPUTED_VALUE"""),"Player")</f>
        <v>Player</v>
      </c>
      <c r="J496" s="1" t="b">
        <f>IFERROR(__xludf.DUMMYFUNCTION("""COMPUTED_VALUE"""),FALSE)</f>
        <v>0</v>
      </c>
      <c r="K496" s="1"/>
      <c r="L496" s="1" t="b">
        <f>IFERROR(__xludf.DUMMYFUNCTION("""COMPUTED_VALUE"""),FALSE)</f>
        <v>0</v>
      </c>
      <c r="M496" s="21" t="b">
        <f>IFERROR(__xludf.DUMMYFUNCTION("""COMPUTED_VALUE"""),FALSE)</f>
        <v>0</v>
      </c>
      <c r="N496" s="1"/>
      <c r="O496" s="1"/>
      <c r="P496" s="1"/>
      <c r="Q496" s="1"/>
      <c r="R496" s="1"/>
      <c r="S496" s="1"/>
      <c r="T496" s="1"/>
      <c r="U496" s="1"/>
      <c r="V496" s="1"/>
      <c r="W496" s="1"/>
      <c r="X496" s="1"/>
      <c r="Y496" s="1"/>
      <c r="Z496" s="1"/>
    </row>
    <row r="497" ht="15.75" customHeight="1">
      <c r="A497" s="1" t="str">
        <f>IFERROR(__xludf.DUMMYFUNCTION("""COMPUTED_VALUE"""),"Multi Banishment")</f>
        <v>Multi Banishment</v>
      </c>
      <c r="B497" s="62">
        <f>IFERROR(__xludf.DUMMYFUNCTION("""COMPUTED_VALUE"""),9.0)</f>
        <v>9</v>
      </c>
      <c r="C497" s="1" t="str">
        <f>IFERROR(__xludf.DUMMYFUNCTION("""COMPUTED_VALUE"""),"X*2000")</f>
        <v>X*2000</v>
      </c>
      <c r="D497" s="1"/>
      <c r="E497" s="1" t="str">
        <f>IFERROR(__xludf.DUMMYFUNCTION("""COMPUTED_VALUE"""),"Banish up to 5 targets.")</f>
        <v>Banish up to 5 targets.</v>
      </c>
      <c r="F497" s="1" t="str">
        <f>IFERROR(__xludf.DUMMYFUNCTION("""COMPUTED_VALUE"""),"Fail/succeed")</f>
        <v>Fail/succeed</v>
      </c>
      <c r="G497" s="1"/>
      <c r="H497" s="1" t="str">
        <f>IFERROR(__xludf.DUMMYFUNCTION("""COMPUTED_VALUE"""),"Voodoo")</f>
        <v>Voodoo</v>
      </c>
      <c r="I497" s="1" t="str">
        <f>IFERROR(__xludf.DUMMYFUNCTION("""COMPUTED_VALUE"""),"Player")</f>
        <v>Player</v>
      </c>
      <c r="J497" s="1" t="b">
        <f>IFERROR(__xludf.DUMMYFUNCTION("""COMPUTED_VALUE"""),FALSE)</f>
        <v>0</v>
      </c>
      <c r="K497" s="1"/>
      <c r="L497" s="1" t="b">
        <f>IFERROR(__xludf.DUMMYFUNCTION("""COMPUTED_VALUE"""),FALSE)</f>
        <v>0</v>
      </c>
      <c r="M497" s="21" t="b">
        <f>IFERROR(__xludf.DUMMYFUNCTION("""COMPUTED_VALUE"""),FALSE)</f>
        <v>0</v>
      </c>
      <c r="N497" s="1"/>
      <c r="O497" s="1"/>
      <c r="P497" s="1"/>
      <c r="Q497" s="1"/>
      <c r="R497" s="1"/>
      <c r="S497" s="1"/>
      <c r="T497" s="1"/>
      <c r="U497" s="1"/>
      <c r="V497" s="1"/>
      <c r="W497" s="1"/>
      <c r="X497" s="1"/>
      <c r="Y497" s="1"/>
      <c r="Z497" s="1"/>
    </row>
    <row r="498" ht="15.75" customHeight="1">
      <c r="A498" s="1" t="str">
        <f>IFERROR(__xludf.DUMMYFUNCTION("""COMPUTED_VALUE"""),"Multi-Magic")</f>
        <v>Multi-Magic</v>
      </c>
      <c r="B498" s="62">
        <f>IFERROR(__xludf.DUMMYFUNCTION("""COMPUTED_VALUE"""),9.0)</f>
        <v>9</v>
      </c>
      <c r="C498" s="1">
        <f>IFERROR(__xludf.DUMMYFUNCTION("""COMPUTED_VALUE"""),1000.0)</f>
        <v>1000</v>
      </c>
      <c r="D498" s="1"/>
      <c r="E498" s="1"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1" t="str">
        <f>IFERROR(__xludf.DUMMYFUNCTION("""COMPUTED_VALUE"""),"Will Succeed")</f>
        <v>Will Succeed</v>
      </c>
      <c r="G498" s="1" t="str">
        <f>IFERROR(__xludf.DUMMYFUNCTION("""COMPUTED_VALUE"""),"Self")</f>
        <v>Self</v>
      </c>
      <c r="H498" s="1" t="str">
        <f>IFERROR(__xludf.DUMMYFUNCTION("""COMPUTED_VALUE"""),"Voodoo")</f>
        <v>Voodoo</v>
      </c>
      <c r="I498" s="1" t="str">
        <f>IFERROR(__xludf.DUMMYFUNCTION("""COMPUTED_VALUE"""),"Player")</f>
        <v>Player</v>
      </c>
      <c r="J498" s="1" t="b">
        <f>IFERROR(__xludf.DUMMYFUNCTION("""COMPUTED_VALUE"""),TRUE)</f>
        <v>1</v>
      </c>
      <c r="K498" s="1" t="str">
        <f>IFERROR(__xludf.DUMMYFUNCTION("""COMPUTED_VALUE"""),"shop spell")</f>
        <v>shop spell</v>
      </c>
      <c r="L498" s="1" t="b">
        <f>IFERROR(__xludf.DUMMYFUNCTION("""COMPUTED_VALUE"""),FALSE)</f>
        <v>0</v>
      </c>
      <c r="M498" s="21" t="b">
        <f>IFERROR(__xludf.DUMMYFUNCTION("""COMPUTED_VALUE"""),FALSE)</f>
        <v>0</v>
      </c>
      <c r="N498" s="1"/>
      <c r="O498" s="1"/>
      <c r="P498" s="1"/>
      <c r="Q498" s="1"/>
      <c r="R498" s="1"/>
      <c r="S498" s="1"/>
      <c r="T498" s="1"/>
      <c r="U498" s="1"/>
      <c r="V498" s="1"/>
      <c r="W498" s="1"/>
      <c r="X498" s="1"/>
      <c r="Y498" s="1"/>
      <c r="Z498" s="1"/>
    </row>
    <row r="499" ht="15.75" customHeight="1">
      <c r="A499" s="1" t="str">
        <f>IFERROR(__xludf.DUMMYFUNCTION("""COMPUTED_VALUE"""),"O' Sweet Child of Mine")</f>
        <v>O' Sweet Child of Mine</v>
      </c>
      <c r="B499" s="62">
        <f>IFERROR(__xludf.DUMMYFUNCTION("""COMPUTED_VALUE"""),9.0)</f>
        <v>9</v>
      </c>
      <c r="C499" s="1">
        <f>IFERROR(__xludf.DUMMYFUNCTION("""COMPUTED_VALUE"""),1000.0)</f>
        <v>1000</v>
      </c>
      <c r="D499" s="1"/>
      <c r="E499" s="1"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1" t="str">
        <f>IFERROR(__xludf.DUMMYFUNCTION("""COMPUTED_VALUE"""),"Fail/Succeed")</f>
        <v>Fail/Succeed</v>
      </c>
      <c r="G499" s="1">
        <f>IFERROR(__xludf.DUMMYFUNCTION("""COMPUTED_VALUE"""),1.0)</f>
        <v>1</v>
      </c>
      <c r="H499" s="1" t="str">
        <f>IFERROR(__xludf.DUMMYFUNCTION("""COMPUTED_VALUE"""),"Voodoo")</f>
        <v>Voodoo</v>
      </c>
      <c r="I499" s="1" t="str">
        <f>IFERROR(__xludf.DUMMYFUNCTION("""COMPUTED_VALUE"""),"Mob")</f>
        <v>Mob</v>
      </c>
      <c r="J499" s="1" t="b">
        <f>IFERROR(__xludf.DUMMYFUNCTION("""COMPUTED_VALUE"""),TRUE)</f>
        <v>1</v>
      </c>
      <c r="K499" s="1"/>
      <c r="L499" s="1" t="b">
        <f>IFERROR(__xludf.DUMMYFUNCTION("""COMPUTED_VALUE"""),FALSE)</f>
        <v>0</v>
      </c>
      <c r="M499" s="21" t="b">
        <f>IFERROR(__xludf.DUMMYFUNCTION("""COMPUTED_VALUE"""),FALSE)</f>
        <v>0</v>
      </c>
      <c r="N499" s="1"/>
      <c r="O499" s="1"/>
      <c r="P499" s="1"/>
      <c r="Q499" s="1"/>
      <c r="R499" s="1"/>
      <c r="S499" s="1"/>
      <c r="T499" s="1"/>
      <c r="U499" s="1"/>
      <c r="V499" s="1"/>
      <c r="W499" s="1"/>
      <c r="X499" s="1"/>
      <c r="Y499" s="1"/>
      <c r="Z499" s="1"/>
    </row>
    <row r="500" ht="15.75" customHeight="1">
      <c r="A500" s="1" t="str">
        <f>IFERROR(__xludf.DUMMYFUNCTION("""COMPUTED_VALUE"""),"Rejuvenate")</f>
        <v>Rejuvenate</v>
      </c>
      <c r="B500" s="62">
        <f>IFERROR(__xludf.DUMMYFUNCTION("""COMPUTED_VALUE"""),2.0)</f>
        <v>2</v>
      </c>
      <c r="C500" s="1">
        <f>IFERROR(__xludf.DUMMYFUNCTION("""COMPUTED_VALUE"""),20.0)</f>
        <v>20</v>
      </c>
      <c r="D500" s="1"/>
      <c r="E500" s="1" t="str">
        <f>IFERROR(__xludf.DUMMYFUNCTION("""COMPUTED_VALUE"""),"Heal 2000 HP, 50% chance of contracting an Undead enemy. Max 1 Enemy.")</f>
        <v>Heal 2000 HP, 50% chance of contracting an Undead enemy. Max 1 Enemy.</v>
      </c>
      <c r="F500" s="1" t="str">
        <f>IFERROR(__xludf.DUMMYFUNCTION("""COMPUTED_VALUE"""),"Fail/Succeed")</f>
        <v>Fail/Succeed</v>
      </c>
      <c r="G500" s="1"/>
      <c r="H500" s="1" t="str">
        <f>IFERROR(__xludf.DUMMYFUNCTION("""COMPUTED_VALUE"""),"Voodoo")</f>
        <v>Voodoo</v>
      </c>
      <c r="I500" s="1" t="str">
        <f>IFERROR(__xludf.DUMMYFUNCTION("""COMPUTED_VALUE"""),"Player")</f>
        <v>Player</v>
      </c>
      <c r="J500" s="1" t="b">
        <f>IFERROR(__xludf.DUMMYFUNCTION("""COMPUTED_VALUE"""),FALSE)</f>
        <v>0</v>
      </c>
      <c r="K500" s="1"/>
      <c r="L500" s="1" t="b">
        <f>IFERROR(__xludf.DUMMYFUNCTION("""COMPUTED_VALUE"""),FALSE)</f>
        <v>0</v>
      </c>
      <c r="M500" s="21" t="b">
        <f>IFERROR(__xludf.DUMMYFUNCTION("""COMPUTED_VALUE"""),FALSE)</f>
        <v>0</v>
      </c>
      <c r="N500" s="1"/>
      <c r="O500" s="1"/>
      <c r="P500" s="1"/>
      <c r="Q500" s="1"/>
      <c r="R500" s="1"/>
      <c r="S500" s="1"/>
      <c r="T500" s="1"/>
      <c r="U500" s="1"/>
      <c r="V500" s="1"/>
      <c r="W500" s="1"/>
      <c r="X500" s="1"/>
      <c r="Y500" s="1"/>
      <c r="Z500" s="1"/>
    </row>
    <row r="501" ht="15.75" customHeight="1">
      <c r="A501" s="1" t="str">
        <f>IFERROR(__xludf.DUMMYFUNCTION("""COMPUTED_VALUE"""),"Second Chance")</f>
        <v>Second Chance</v>
      </c>
      <c r="B501" s="62">
        <f>IFERROR(__xludf.DUMMYFUNCTION("""COMPUTED_VALUE"""),9.0)</f>
        <v>9</v>
      </c>
      <c r="C501" s="1">
        <f>IFERROR(__xludf.DUMMYFUNCTION("""COMPUTED_VALUE"""),1000.0)</f>
        <v>1000</v>
      </c>
      <c r="D501" s="1"/>
      <c r="E501" s="1"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1" t="str">
        <f>IFERROR(__xludf.DUMMYFUNCTION("""COMPUTED_VALUE"""),"Will Succeed")</f>
        <v>Will Succeed</v>
      </c>
      <c r="G501" s="1"/>
      <c r="H501" s="1" t="str">
        <f>IFERROR(__xludf.DUMMYFUNCTION("""COMPUTED_VALUE"""),"Voodoo")</f>
        <v>Voodoo</v>
      </c>
      <c r="I501" s="1" t="str">
        <f>IFERROR(__xludf.DUMMYFUNCTION("""COMPUTED_VALUE"""),"Player")</f>
        <v>Player</v>
      </c>
      <c r="J501" s="1" t="b">
        <f>IFERROR(__xludf.DUMMYFUNCTION("""COMPUTED_VALUE"""),FALSE)</f>
        <v>0</v>
      </c>
      <c r="K501" s="1"/>
      <c r="L501" s="1" t="b">
        <f>IFERROR(__xludf.DUMMYFUNCTION("""COMPUTED_VALUE"""),FALSE)</f>
        <v>0</v>
      </c>
      <c r="M501" s="21" t="b">
        <f>IFERROR(__xludf.DUMMYFUNCTION("""COMPUTED_VALUE"""),FALSE)</f>
        <v>0</v>
      </c>
      <c r="N501" s="1"/>
      <c r="O501" s="1"/>
      <c r="P501" s="1"/>
      <c r="Q501" s="1"/>
      <c r="R501" s="1"/>
      <c r="S501" s="1"/>
      <c r="T501" s="1"/>
      <c r="U501" s="1"/>
      <c r="V501" s="1"/>
      <c r="W501" s="1"/>
      <c r="X501" s="1"/>
      <c r="Y501" s="1"/>
      <c r="Z501" s="1"/>
    </row>
    <row r="502" ht="15.75" customHeight="1">
      <c r="A502" s="1" t="str">
        <f>IFERROR(__xludf.DUMMYFUNCTION("""COMPUTED_VALUE"""),"Stand in")</f>
        <v>Stand in</v>
      </c>
      <c r="B502" s="62">
        <f>IFERROR(__xludf.DUMMYFUNCTION("""COMPUTED_VALUE"""),9.0)</f>
        <v>9</v>
      </c>
      <c r="C502" s="1">
        <f>IFERROR(__xludf.DUMMYFUNCTION("""COMPUTED_VALUE"""),1000.0)</f>
        <v>1000</v>
      </c>
      <c r="D502" s="1"/>
      <c r="E502" s="1"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1" t="str">
        <f>IFERROR(__xludf.DUMMYFUNCTION("""COMPUTED_VALUE"""),"Fail/Succeed")</f>
        <v>Fail/Succeed</v>
      </c>
      <c r="G502" s="1"/>
      <c r="H502" s="1" t="str">
        <f>IFERROR(__xludf.DUMMYFUNCTION("""COMPUTED_VALUE"""),"Voodoo")</f>
        <v>Voodoo</v>
      </c>
      <c r="I502" s="1" t="str">
        <f>IFERROR(__xludf.DUMMYFUNCTION("""COMPUTED_VALUE"""),"Player")</f>
        <v>Player</v>
      </c>
      <c r="J502" s="1" t="b">
        <f>IFERROR(__xludf.DUMMYFUNCTION("""COMPUTED_VALUE"""),FALSE)</f>
        <v>0</v>
      </c>
      <c r="K502" s="1"/>
      <c r="L502" s="1" t="b">
        <f>IFERROR(__xludf.DUMMYFUNCTION("""COMPUTED_VALUE"""),FALSE)</f>
        <v>0</v>
      </c>
      <c r="M502" s="21" t="b">
        <f>IFERROR(__xludf.DUMMYFUNCTION("""COMPUTED_VALUE"""),FALSE)</f>
        <v>0</v>
      </c>
      <c r="N502" s="1"/>
      <c r="O502" s="1"/>
      <c r="P502" s="1"/>
      <c r="Q502" s="1"/>
      <c r="R502" s="1"/>
      <c r="S502" s="1"/>
      <c r="T502" s="1"/>
      <c r="U502" s="1"/>
      <c r="V502" s="1"/>
      <c r="W502" s="1"/>
      <c r="X502" s="1"/>
      <c r="Y502" s="1"/>
      <c r="Z502" s="1"/>
    </row>
    <row r="503" ht="15.75" customHeight="1">
      <c r="A503" s="1" t="str">
        <f>IFERROR(__xludf.DUMMYFUNCTION("""COMPUTED_VALUE"""),"Tower Of Karma")</f>
        <v>Tower Of Karma</v>
      </c>
      <c r="B503" s="62">
        <f>IFERROR(__xludf.DUMMYFUNCTION("""COMPUTED_VALUE"""),8.0)</f>
        <v>8</v>
      </c>
      <c r="C503" s="1">
        <f>IFERROR(__xludf.DUMMYFUNCTION("""COMPUTED_VALUE"""),400.0)</f>
        <v>400</v>
      </c>
      <c r="D503" s="1"/>
      <c r="E503" s="1"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1" t="str">
        <f>IFERROR(__xludf.DUMMYFUNCTION("""COMPUTED_VALUE"""),"Hit or Miss")</f>
        <v>Hit or Miss</v>
      </c>
      <c r="G503" s="1">
        <f>IFERROR(__xludf.DUMMYFUNCTION("""COMPUTED_VALUE"""),1.0)</f>
        <v>1</v>
      </c>
      <c r="H503" s="1" t="str">
        <f>IFERROR(__xludf.DUMMYFUNCTION("""COMPUTED_VALUE"""),"Voodoo")</f>
        <v>Voodoo</v>
      </c>
      <c r="I503" s="1" t="str">
        <f>IFERROR(__xludf.DUMMYFUNCTION("""COMPUTED_VALUE"""),"Player")</f>
        <v>Player</v>
      </c>
      <c r="J503" s="1" t="b">
        <f>IFERROR(__xludf.DUMMYFUNCTION("""COMPUTED_VALUE"""),FALSE)</f>
        <v>0</v>
      </c>
      <c r="K503" s="1"/>
      <c r="L503" s="1" t="b">
        <f>IFERROR(__xludf.DUMMYFUNCTION("""COMPUTED_VALUE"""),FALSE)</f>
        <v>0</v>
      </c>
      <c r="M503" s="21" t="b">
        <f>IFERROR(__xludf.DUMMYFUNCTION("""COMPUTED_VALUE"""),FALSE)</f>
        <v>0</v>
      </c>
      <c r="N503" s="1"/>
      <c r="O503" s="1"/>
      <c r="P503" s="1"/>
      <c r="Q503" s="1"/>
      <c r="R503" s="1"/>
      <c r="S503" s="1"/>
      <c r="T503" s="1"/>
      <c r="U503" s="1"/>
      <c r="V503" s="1"/>
      <c r="W503" s="1"/>
      <c r="X503" s="1"/>
      <c r="Y503" s="1"/>
      <c r="Z503" s="1"/>
    </row>
    <row r="504" ht="15.75" customHeight="1">
      <c r="A504" s="1" t="str">
        <f>IFERROR(__xludf.DUMMYFUNCTION("""COMPUTED_VALUE"""),"Transfer")</f>
        <v>Transfer</v>
      </c>
      <c r="B504" s="62">
        <f>IFERROR(__xludf.DUMMYFUNCTION("""COMPUTED_VALUE"""),9.0)</f>
        <v>9</v>
      </c>
      <c r="C504" s="1">
        <f>IFERROR(__xludf.DUMMYFUNCTION("""COMPUTED_VALUE"""),500.0)</f>
        <v>500</v>
      </c>
      <c r="D504" s="1"/>
      <c r="E504" s="1" t="str">
        <f>IFERROR(__xludf.DUMMYFUNCTION("""COMPUTED_VALUE"""),"Allows the caster to transfer a curse from one target on to another target. Cannot be used on self.")</f>
        <v>Allows the caster to transfer a curse from one target on to another target. Cannot be used on self.</v>
      </c>
      <c r="F504" s="1" t="str">
        <f>IFERROR(__xludf.DUMMYFUNCTION("""COMPUTED_VALUE"""),"Fail/Succeed")</f>
        <v>Fail/Succeed</v>
      </c>
      <c r="G504" s="1"/>
      <c r="H504" s="1" t="str">
        <f>IFERROR(__xludf.DUMMYFUNCTION("""COMPUTED_VALUE"""),"Voodoo")</f>
        <v>Voodoo</v>
      </c>
      <c r="I504" s="1" t="str">
        <f>IFERROR(__xludf.DUMMYFUNCTION("""COMPUTED_VALUE"""),"Player")</f>
        <v>Player</v>
      </c>
      <c r="J504" s="1" t="b">
        <f>IFERROR(__xludf.DUMMYFUNCTION("""COMPUTED_VALUE"""),FALSE)</f>
        <v>0</v>
      </c>
      <c r="K504" s="1"/>
      <c r="L504" s="1" t="b">
        <f>IFERROR(__xludf.DUMMYFUNCTION("""COMPUTED_VALUE"""),FALSE)</f>
        <v>0</v>
      </c>
      <c r="M504" s="21" t="b">
        <f>IFERROR(__xludf.DUMMYFUNCTION("""COMPUTED_VALUE"""),FALSE)</f>
        <v>0</v>
      </c>
      <c r="N504" s="1"/>
      <c r="O504" s="1"/>
      <c r="P504" s="1"/>
      <c r="Q504" s="1"/>
      <c r="R504" s="1"/>
      <c r="S504" s="1"/>
      <c r="T504" s="1"/>
      <c r="U504" s="1"/>
      <c r="V504" s="1"/>
      <c r="W504" s="1"/>
      <c r="X504" s="1"/>
      <c r="Y504" s="1"/>
      <c r="Z504" s="1"/>
    </row>
    <row r="505" ht="15.75" customHeight="1">
      <c r="A505" s="1" t="str">
        <f>IFERROR(__xludf.DUMMYFUNCTION("""COMPUTED_VALUE"""),"Transform Enemy Curse")</f>
        <v>Transform Enemy Curse</v>
      </c>
      <c r="B505" s="62">
        <f>IFERROR(__xludf.DUMMYFUNCTION("""COMPUTED_VALUE"""),3.0)</f>
        <v>3</v>
      </c>
      <c r="C505" s="1">
        <f>IFERROR(__xludf.DUMMYFUNCTION("""COMPUTED_VALUE"""),30.0)</f>
        <v>30</v>
      </c>
      <c r="D505" s="1"/>
      <c r="E505" s="1"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1" t="str">
        <f>IFERROR(__xludf.DUMMYFUNCTION("""COMPUTED_VALUE"""),"Fail or Succeed")</f>
        <v>Fail or Succeed</v>
      </c>
      <c r="G505" s="1"/>
      <c r="H505" s="1" t="str">
        <f>IFERROR(__xludf.DUMMYFUNCTION("""COMPUTED_VALUE"""),"Voodoo")</f>
        <v>Voodoo</v>
      </c>
      <c r="I505" s="1" t="str">
        <f>IFERROR(__xludf.DUMMYFUNCTION("""COMPUTED_VALUE"""),"Player")</f>
        <v>Player</v>
      </c>
      <c r="J505" s="1" t="b">
        <f>IFERROR(__xludf.DUMMYFUNCTION("""COMPUTED_VALUE"""),FALSE)</f>
        <v>0</v>
      </c>
      <c r="K505" s="1"/>
      <c r="L505" s="1" t="b">
        <f>IFERROR(__xludf.DUMMYFUNCTION("""COMPUTED_VALUE"""),FALSE)</f>
        <v>0</v>
      </c>
      <c r="M505" s="21" t="b">
        <f>IFERROR(__xludf.DUMMYFUNCTION("""COMPUTED_VALUE"""),FALSE)</f>
        <v>0</v>
      </c>
      <c r="N505" s="1"/>
      <c r="O505" s="1"/>
      <c r="P505" s="1"/>
      <c r="Q505" s="1"/>
      <c r="R505" s="1"/>
      <c r="S505" s="1"/>
      <c r="T505" s="1"/>
      <c r="U505" s="1"/>
      <c r="V505" s="1"/>
      <c r="W505" s="1"/>
      <c r="X505" s="1"/>
      <c r="Y505" s="1"/>
      <c r="Z505" s="1"/>
    </row>
    <row r="506" ht="15.75" customHeight="1">
      <c r="A506" s="1" t="str">
        <f>IFERROR(__xludf.DUMMYFUNCTION("""COMPUTED_VALUE"""),"Voodoo Ritual of Raise The Dead")</f>
        <v>Voodoo Ritual of Raise The Dead</v>
      </c>
      <c r="B506" s="62">
        <f>IFERROR(__xludf.DUMMYFUNCTION("""COMPUTED_VALUE"""),6.0)</f>
        <v>6</v>
      </c>
      <c r="C506" s="1">
        <f>IFERROR(__xludf.DUMMYFUNCTION("""COMPUTED_VALUE"""),60.0)</f>
        <v>60</v>
      </c>
      <c r="D506" s="1"/>
      <c r="E506" s="1" t="str">
        <f>IFERROR(__xludf.DUMMYFUNCTION("""COMPUTED_VALUE"""),"Raise a dead enemy to fight by your side.")</f>
        <v>Raise a dead enemy to fight by your side.</v>
      </c>
      <c r="F506" s="1" t="str">
        <f>IFERROR(__xludf.DUMMYFUNCTION("""COMPUTED_VALUE"""),"Fail/succeed")</f>
        <v>Fail/succeed</v>
      </c>
      <c r="G506" s="1"/>
      <c r="H506" s="1" t="str">
        <f>IFERROR(__xludf.DUMMYFUNCTION("""COMPUTED_VALUE"""),"Voodoo")</f>
        <v>Voodoo</v>
      </c>
      <c r="I506" s="1" t="str">
        <f>IFERROR(__xludf.DUMMYFUNCTION("""COMPUTED_VALUE"""),"Player")</f>
        <v>Player</v>
      </c>
      <c r="J506" s="1" t="b">
        <f>IFERROR(__xludf.DUMMYFUNCTION("""COMPUTED_VALUE"""),FALSE)</f>
        <v>0</v>
      </c>
      <c r="K506" s="1"/>
      <c r="L506" s="1" t="b">
        <f>IFERROR(__xludf.DUMMYFUNCTION("""COMPUTED_VALUE"""),FALSE)</f>
        <v>0</v>
      </c>
      <c r="M506" s="21" t="b">
        <f>IFERROR(__xludf.DUMMYFUNCTION("""COMPUTED_VALUE"""),FALSE)</f>
        <v>0</v>
      </c>
      <c r="N506" s="1"/>
      <c r="O506" s="1"/>
      <c r="P506" s="1"/>
      <c r="Q506" s="1"/>
      <c r="R506" s="1"/>
      <c r="S506" s="1"/>
      <c r="T506" s="1"/>
      <c r="U506" s="1"/>
      <c r="V506" s="1"/>
      <c r="W506" s="1"/>
      <c r="X506" s="1"/>
      <c r="Y506" s="1"/>
      <c r="Z506" s="1"/>
    </row>
    <row r="507" ht="15.75" customHeight="1">
      <c r="A507" s="1" t="str">
        <f>IFERROR(__xludf.DUMMYFUNCTION("""COMPUTED_VALUE"""),"Weight Shift")</f>
        <v>Weight Shift</v>
      </c>
      <c r="B507" s="62">
        <f>IFERROR(__xludf.DUMMYFUNCTION("""COMPUTED_VALUE"""),4.0)</f>
        <v>4</v>
      </c>
      <c r="C507" s="1">
        <f>IFERROR(__xludf.DUMMYFUNCTION("""COMPUTED_VALUE"""),40.0)</f>
        <v>40</v>
      </c>
      <c r="D507" s="1"/>
      <c r="E507" s="1" t="str">
        <f>IFERROR(__xludf.DUMMYFUNCTION("""COMPUTED_VALUE"""),"Shift the weight of your enemy for 3 rounds, lowers their evasion by 5.")</f>
        <v>Shift the weight of your enemy for 3 rounds, lowers their evasion by 5.</v>
      </c>
      <c r="F507" s="1" t="str">
        <f>IFERROR(__xludf.DUMMYFUNCTION("""COMPUTED_VALUE"""),"Fail/succeed")</f>
        <v>Fail/succeed</v>
      </c>
      <c r="G507" s="1"/>
      <c r="H507" s="1" t="str">
        <f>IFERROR(__xludf.DUMMYFUNCTION("""COMPUTED_VALUE"""),"Voodoo")</f>
        <v>Voodoo</v>
      </c>
      <c r="I507" s="1" t="str">
        <f>IFERROR(__xludf.DUMMYFUNCTION("""COMPUTED_VALUE"""),"Player")</f>
        <v>Player</v>
      </c>
      <c r="J507" s="1" t="b">
        <f>IFERROR(__xludf.DUMMYFUNCTION("""COMPUTED_VALUE"""),FALSE)</f>
        <v>0</v>
      </c>
      <c r="K507" s="1"/>
      <c r="L507" s="1" t="b">
        <f>IFERROR(__xludf.DUMMYFUNCTION("""COMPUTED_VALUE"""),FALSE)</f>
        <v>0</v>
      </c>
      <c r="M507" s="21" t="b">
        <f>IFERROR(__xludf.DUMMYFUNCTION("""COMPUTED_VALUE"""),FALSE)</f>
        <v>0</v>
      </c>
      <c r="N507" s="1"/>
      <c r="O507" s="1"/>
      <c r="P507" s="1"/>
      <c r="Q507" s="1"/>
      <c r="R507" s="1"/>
      <c r="S507" s="1"/>
      <c r="T507" s="1"/>
      <c r="U507" s="1"/>
      <c r="V507" s="1"/>
      <c r="W507" s="1"/>
      <c r="X507" s="1"/>
      <c r="Y507" s="1"/>
      <c r="Z507" s="1"/>
    </row>
    <row r="508" ht="15.75" customHeight="1">
      <c r="A508" s="1" t="str">
        <f>IFERROR(__xludf.DUMMYFUNCTION("""COMPUTED_VALUE"""),"Poison Flask")</f>
        <v>Poison Flask</v>
      </c>
      <c r="B508" s="62">
        <f>IFERROR(__xludf.DUMMYFUNCTION("""COMPUTED_VALUE"""),3.0)</f>
        <v>3</v>
      </c>
      <c r="C508" s="1">
        <f>IFERROR(__xludf.DUMMYFUNCTION("""COMPUTED_VALUE"""),50.0)</f>
        <v>50</v>
      </c>
      <c r="D508" s="1"/>
      <c r="E508" s="1" t="str">
        <f>IFERROR(__xludf.DUMMYFUNCTION("""COMPUTED_VALUE"""),"Throw a flask of viscous poison, Shattering it on your enemies and inflicting Poison 3000 for 3 rounds")</f>
        <v>Throw a flask of viscous poison, Shattering it on your enemies and inflicting Poison 3000 for 3 rounds</v>
      </c>
      <c r="F508" s="1" t="str">
        <f>IFERROR(__xludf.DUMMYFUNCTION("""COMPUTED_VALUE"""),"Hit/Miss")</f>
        <v>Hit/Miss</v>
      </c>
      <c r="G508" s="1">
        <f>IFERROR(__xludf.DUMMYFUNCTION("""COMPUTED_VALUE"""),1.0)</f>
        <v>1</v>
      </c>
      <c r="H508" s="1" t="str">
        <f>IFERROR(__xludf.DUMMYFUNCTION("""COMPUTED_VALUE"""),"Voodoo")</f>
        <v>Voodoo</v>
      </c>
      <c r="I508" s="1" t="str">
        <f>IFERROR(__xludf.DUMMYFUNCTION("""COMPUTED_VALUE"""),"Player")</f>
        <v>Player</v>
      </c>
      <c r="J508" s="1" t="b">
        <f>IFERROR(__xludf.DUMMYFUNCTION("""COMPUTED_VALUE"""),FALSE)</f>
        <v>0</v>
      </c>
      <c r="K508" s="1"/>
      <c r="L508" s="1" t="b">
        <f>IFERROR(__xludf.DUMMYFUNCTION("""COMPUTED_VALUE"""),FALSE)</f>
        <v>0</v>
      </c>
      <c r="M508" s="21" t="b">
        <f>IFERROR(__xludf.DUMMYFUNCTION("""COMPUTED_VALUE"""),FALSE)</f>
        <v>0</v>
      </c>
      <c r="N508" s="1"/>
      <c r="O508" s="1"/>
      <c r="P508" s="1"/>
      <c r="Q508" s="1"/>
      <c r="R508" s="1"/>
      <c r="S508" s="1"/>
      <c r="T508" s="1"/>
      <c r="U508" s="1"/>
      <c r="V508" s="1"/>
      <c r="W508" s="1"/>
      <c r="X508" s="1"/>
      <c r="Y508" s="1"/>
      <c r="Z508" s="1"/>
    </row>
    <row r="509" ht="15.75" customHeight="1">
      <c r="A509" s="1" t="str">
        <f>IFERROR(__xludf.DUMMYFUNCTION("""COMPUTED_VALUE"""),"1000 Poisons Body")</f>
        <v>1000 Poisons Body</v>
      </c>
      <c r="B509" s="62">
        <f>IFERROR(__xludf.DUMMYFUNCTION("""COMPUTED_VALUE"""),8.0)</f>
        <v>8</v>
      </c>
      <c r="C509" s="1">
        <f>IFERROR(__xludf.DUMMYFUNCTION("""COMPUTED_VALUE"""),500.0)</f>
        <v>500</v>
      </c>
      <c r="D509" s="1"/>
      <c r="E509" s="1"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1" t="str">
        <f>IFERROR(__xludf.DUMMYFUNCTION("""COMPUTED_VALUE"""),"Will Succeed")</f>
        <v>Will Succeed</v>
      </c>
      <c r="G509" s="1" t="str">
        <f>IFERROR(__xludf.DUMMYFUNCTION("""COMPUTED_VALUE"""),"Self")</f>
        <v>Self</v>
      </c>
      <c r="H509" s="1" t="str">
        <f>IFERROR(__xludf.DUMMYFUNCTION("""COMPUTED_VALUE"""),"Voodoo")</f>
        <v>Voodoo</v>
      </c>
      <c r="I509" s="1" t="str">
        <f>IFERROR(__xludf.DUMMYFUNCTION("""COMPUTED_VALUE"""),"Player")</f>
        <v>Player</v>
      </c>
      <c r="J509" s="1" t="b">
        <f>IFERROR(__xludf.DUMMYFUNCTION("""COMPUTED_VALUE"""),FALSE)</f>
        <v>0</v>
      </c>
      <c r="K509" s="1"/>
      <c r="L509" s="1" t="b">
        <f>IFERROR(__xludf.DUMMYFUNCTION("""COMPUTED_VALUE"""),FALSE)</f>
        <v>0</v>
      </c>
      <c r="M509" s="21" t="b">
        <f>IFERROR(__xludf.DUMMYFUNCTION("""COMPUTED_VALUE"""),FALSE)</f>
        <v>0</v>
      </c>
      <c r="N509" s="1"/>
      <c r="O509" s="1"/>
      <c r="P509" s="1"/>
      <c r="Q509" s="1"/>
      <c r="R509" s="1"/>
      <c r="S509" s="1"/>
      <c r="T509" s="1"/>
      <c r="U509" s="1"/>
      <c r="V509" s="1"/>
      <c r="W509" s="1"/>
      <c r="X509" s="1"/>
      <c r="Y509" s="1"/>
      <c r="Z509" s="1"/>
    </row>
    <row r="510" ht="15.75" customHeight="1">
      <c r="A510" s="1" t="str">
        <f>IFERROR(__xludf.DUMMYFUNCTION("""COMPUTED_VALUE"""),"Contagion")</f>
        <v>Contagion</v>
      </c>
      <c r="B510" s="62">
        <f>IFERROR(__xludf.DUMMYFUNCTION("""COMPUTED_VALUE"""),5.0)</f>
        <v>5</v>
      </c>
      <c r="C510" s="1">
        <f>IFERROR(__xludf.DUMMYFUNCTION("""COMPUTED_VALUE"""),100.0)</f>
        <v>100</v>
      </c>
      <c r="D510" s="1"/>
      <c r="E510" s="1" t="str">
        <f>IFERROR(__xludf.DUMMYFUNCTION("""COMPUTED_VALUE"""),"Unleashes a Plague onto the Battlefield Infecting all enemies causing them to take Poison 5000 for 3 rounds")</f>
        <v>Unleashes a Plague onto the Battlefield Infecting all enemies causing them to take Poison 5000 for 3 rounds</v>
      </c>
      <c r="F510" s="1" t="str">
        <f>IFERROR(__xludf.DUMMYFUNCTION("""COMPUTED_VALUE"""),"Fail/Succeed")</f>
        <v>Fail/Succeed</v>
      </c>
      <c r="G510" s="1" t="str">
        <f>IFERROR(__xludf.DUMMYFUNCTION("""COMPUTED_VALUE"""),"All")</f>
        <v>All</v>
      </c>
      <c r="H510" s="1" t="str">
        <f>IFERROR(__xludf.DUMMYFUNCTION("""COMPUTED_VALUE"""),"Voodoo")</f>
        <v>Voodoo</v>
      </c>
      <c r="I510" s="1" t="str">
        <f>IFERROR(__xludf.DUMMYFUNCTION("""COMPUTED_VALUE"""),"Player")</f>
        <v>Player</v>
      </c>
      <c r="J510" s="1" t="b">
        <f>IFERROR(__xludf.DUMMYFUNCTION("""COMPUTED_VALUE"""),FALSE)</f>
        <v>0</v>
      </c>
      <c r="K510" s="1"/>
      <c r="L510" s="1" t="b">
        <f>IFERROR(__xludf.DUMMYFUNCTION("""COMPUTED_VALUE"""),FALSE)</f>
        <v>0</v>
      </c>
      <c r="M510" s="21" t="b">
        <f>IFERROR(__xludf.DUMMYFUNCTION("""COMPUTED_VALUE"""),FALSE)</f>
        <v>0</v>
      </c>
      <c r="N510" s="1"/>
      <c r="O510" s="1"/>
      <c r="P510" s="1"/>
      <c r="Q510" s="1"/>
      <c r="R510" s="1"/>
      <c r="S510" s="1"/>
      <c r="T510" s="1"/>
      <c r="U510" s="1"/>
      <c r="V510" s="1"/>
      <c r="W510" s="1"/>
      <c r="X510" s="1"/>
      <c r="Y510" s="1"/>
      <c r="Z510" s="1"/>
    </row>
    <row r="511" ht="15.75" customHeight="1">
      <c r="A511" s="1" t="str">
        <f>IFERROR(__xludf.DUMMYFUNCTION("""COMPUTED_VALUE"""),"Mutagen")</f>
        <v>Mutagen</v>
      </c>
      <c r="B511" s="62">
        <f>IFERROR(__xludf.DUMMYFUNCTION("""COMPUTED_VALUE"""),6.0)</f>
        <v>6</v>
      </c>
      <c r="C511" s="1">
        <f>IFERROR(__xludf.DUMMYFUNCTION("""COMPUTED_VALUE"""),100.0)</f>
        <v>100</v>
      </c>
      <c r="D511" s="1"/>
      <c r="E511" s="1"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1" t="str">
        <f>IFERROR(__xludf.DUMMYFUNCTION("""COMPUTED_VALUE"""),"Will Succeed")</f>
        <v>Will Succeed</v>
      </c>
      <c r="G511" s="1" t="str">
        <f>IFERROR(__xludf.DUMMYFUNCTION("""COMPUTED_VALUE"""),"self")</f>
        <v>self</v>
      </c>
      <c r="H511" s="1" t="str">
        <f>IFERROR(__xludf.DUMMYFUNCTION("""COMPUTED_VALUE"""),"Voodoo")</f>
        <v>Voodoo</v>
      </c>
      <c r="I511" s="1" t="str">
        <f>IFERROR(__xludf.DUMMYFUNCTION("""COMPUTED_VALUE"""),"Player")</f>
        <v>Player</v>
      </c>
      <c r="J511" s="1" t="b">
        <f>IFERROR(__xludf.DUMMYFUNCTION("""COMPUTED_VALUE"""),FALSE)</f>
        <v>0</v>
      </c>
      <c r="K511" s="1"/>
      <c r="L511" s="1" t="b">
        <f>IFERROR(__xludf.DUMMYFUNCTION("""COMPUTED_VALUE"""),FALSE)</f>
        <v>0</v>
      </c>
      <c r="M511" s="21" t="b">
        <f>IFERROR(__xludf.DUMMYFUNCTION("""COMPUTED_VALUE"""),FALSE)</f>
        <v>0</v>
      </c>
      <c r="N511" s="1"/>
      <c r="O511" s="1"/>
      <c r="P511" s="1"/>
      <c r="Q511" s="1"/>
      <c r="R511" s="1"/>
      <c r="S511" s="1"/>
      <c r="T511" s="1"/>
      <c r="U511" s="1"/>
      <c r="V511" s="1"/>
      <c r="W511" s="1"/>
      <c r="X511" s="1"/>
      <c r="Y511" s="1"/>
      <c r="Z511" s="1"/>
    </row>
    <row r="512" ht="15.75" customHeight="1">
      <c r="A512" s="1" t="str">
        <f>IFERROR(__xludf.DUMMYFUNCTION("""COMPUTED_VALUE"""),"Warcrimes")</f>
        <v>Warcrimes</v>
      </c>
      <c r="B512" s="62">
        <f>IFERROR(__xludf.DUMMYFUNCTION("""COMPUTED_VALUE"""),9.0)</f>
        <v>9</v>
      </c>
      <c r="C512" s="1">
        <f>IFERROR(__xludf.DUMMYFUNCTION("""COMPUTED_VALUE"""),200.0)</f>
        <v>200</v>
      </c>
      <c r="D512" s="1"/>
      <c r="E512" s="1"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1" t="str">
        <f>IFERROR(__xludf.DUMMYFUNCTION("""COMPUTED_VALUE"""),"Will Succeed")</f>
        <v>Will Succeed</v>
      </c>
      <c r="G512" s="1" t="str">
        <f>IFERROR(__xludf.DUMMYFUNCTION("""COMPUTED_VALUE"""),"All")</f>
        <v>All</v>
      </c>
      <c r="H512" s="1" t="str">
        <f>IFERROR(__xludf.DUMMYFUNCTION("""COMPUTED_VALUE"""),"Voodoo")</f>
        <v>Voodoo</v>
      </c>
      <c r="I512" s="1" t="str">
        <f>IFERROR(__xludf.DUMMYFUNCTION("""COMPUTED_VALUE"""),"Player")</f>
        <v>Player</v>
      </c>
      <c r="J512" s="1" t="b">
        <f>IFERROR(__xludf.DUMMYFUNCTION("""COMPUTED_VALUE"""),FALSE)</f>
        <v>0</v>
      </c>
      <c r="K512" s="1"/>
      <c r="L512" s="1" t="b">
        <f>IFERROR(__xludf.DUMMYFUNCTION("""COMPUTED_VALUE"""),FALSE)</f>
        <v>0</v>
      </c>
      <c r="M512" s="21" t="b">
        <f>IFERROR(__xludf.DUMMYFUNCTION("""COMPUTED_VALUE"""),FALSE)</f>
        <v>0</v>
      </c>
      <c r="N512" s="1"/>
      <c r="O512" s="1"/>
      <c r="P512" s="1"/>
      <c r="Q512" s="1"/>
      <c r="R512" s="1"/>
      <c r="S512" s="1"/>
      <c r="T512" s="1"/>
      <c r="U512" s="1"/>
      <c r="V512" s="1"/>
      <c r="W512" s="1"/>
      <c r="X512" s="1"/>
      <c r="Y512" s="1"/>
      <c r="Z512" s="1"/>
    </row>
    <row r="513" ht="15.75" customHeight="1">
      <c r="A513" s="1" t="str">
        <f>IFERROR(__xludf.DUMMYFUNCTION("""COMPUTED_VALUE"""),"Last Chance")</f>
        <v>Last Chance</v>
      </c>
      <c r="B513" s="62">
        <f>IFERROR(__xludf.DUMMYFUNCTION("""COMPUTED_VALUE"""),5.0)</f>
        <v>5</v>
      </c>
      <c r="C513" s="1">
        <f>IFERROR(__xludf.DUMMYFUNCTION("""COMPUTED_VALUE"""),200.0)</f>
        <v>200</v>
      </c>
      <c r="D513" s="1"/>
      <c r="E513" s="1" t="str">
        <f>IFERROR(__xludf.DUMMYFUNCTION("""COMPUTED_VALUE"""),"1d2 enemies cannot use spells for 3 rounds.")</f>
        <v>1d2 enemies cannot use spells for 3 rounds.</v>
      </c>
      <c r="F513" s="1" t="str">
        <f>IFERROR(__xludf.DUMMYFUNCTION("""COMPUTED_VALUE"""),"Fail or Succeed")</f>
        <v>Fail or Succeed</v>
      </c>
      <c r="G513" s="1" t="str">
        <f>IFERROR(__xludf.DUMMYFUNCTION("""COMPUTED_VALUE"""),"1 or 2")</f>
        <v>1 or 2</v>
      </c>
      <c r="H513" s="1" t="str">
        <f>IFERROR(__xludf.DUMMYFUNCTION("""COMPUTED_VALUE"""),"Voodoo")</f>
        <v>Voodoo</v>
      </c>
      <c r="I513" s="1" t="str">
        <f>IFERROR(__xludf.DUMMYFUNCTION("""COMPUTED_VALUE"""),"Player")</f>
        <v>Player</v>
      </c>
      <c r="J513" s="1" t="b">
        <f>IFERROR(__xludf.DUMMYFUNCTION("""COMPUTED_VALUE"""),FALSE)</f>
        <v>0</v>
      </c>
      <c r="K513" s="1"/>
      <c r="L513" s="1" t="b">
        <f>IFERROR(__xludf.DUMMYFUNCTION("""COMPUTED_VALUE"""),FALSE)</f>
        <v>0</v>
      </c>
      <c r="M513" s="21" t="b">
        <f>IFERROR(__xludf.DUMMYFUNCTION("""COMPUTED_VALUE"""),FALSE)</f>
        <v>0</v>
      </c>
      <c r="N513" s="1"/>
      <c r="O513" s="1"/>
      <c r="P513" s="1"/>
      <c r="Q513" s="1"/>
      <c r="R513" s="1"/>
      <c r="S513" s="1"/>
      <c r="T513" s="1"/>
      <c r="U513" s="1"/>
      <c r="V513" s="1"/>
      <c r="W513" s="1"/>
      <c r="X513" s="1"/>
      <c r="Y513" s="1"/>
      <c r="Z513" s="1"/>
    </row>
    <row r="514" ht="15.75" customHeight="1">
      <c r="A514" s="1" t="str">
        <f>IFERROR(__xludf.DUMMYFUNCTION("""COMPUTED_VALUE"""),"Voodoo Needle")</f>
        <v>Voodoo Needle</v>
      </c>
      <c r="B514" s="62">
        <f>IFERROR(__xludf.DUMMYFUNCTION("""COMPUTED_VALUE"""),1.0)</f>
        <v>1</v>
      </c>
      <c r="C514" s="1" t="str">
        <f>IFERROR(__xludf.DUMMYFUNCTION("""COMPUTED_VALUE"""),"X")</f>
        <v>X</v>
      </c>
      <c r="D514" s="1"/>
      <c r="E514" s="1" t="str">
        <f>IFERROR(__xludf.DUMMYFUNCTION("""COMPUTED_VALUE"""),"Deals X*100 Voodoo damage to a single enemy where X is equal to SP spent.")</f>
        <v>Deals X*100 Voodoo damage to a single enemy where X is equal to SP spent.</v>
      </c>
      <c r="F514" s="1" t="str">
        <f>IFERROR(__xludf.DUMMYFUNCTION("""COMPUTED_VALUE"""),"Hit/Miss")</f>
        <v>Hit/Miss</v>
      </c>
      <c r="G514" s="1">
        <f>IFERROR(__xludf.DUMMYFUNCTION("""COMPUTED_VALUE"""),1.0)</f>
        <v>1</v>
      </c>
      <c r="H514" s="1" t="str">
        <f>IFERROR(__xludf.DUMMYFUNCTION("""COMPUTED_VALUE"""),"Voodoo")</f>
        <v>Voodoo</v>
      </c>
      <c r="I514" s="1" t="str">
        <f>IFERROR(__xludf.DUMMYFUNCTION("""COMPUTED_VALUE"""),"Player")</f>
        <v>Player</v>
      </c>
      <c r="J514" s="1" t="b">
        <f>IFERROR(__xludf.DUMMYFUNCTION("""COMPUTED_VALUE"""),FALSE)</f>
        <v>0</v>
      </c>
      <c r="K514" s="1"/>
      <c r="L514" s="1" t="b">
        <f>IFERROR(__xludf.DUMMYFUNCTION("""COMPUTED_VALUE"""),FALSE)</f>
        <v>0</v>
      </c>
      <c r="M514" s="21" t="b">
        <f>IFERROR(__xludf.DUMMYFUNCTION("""COMPUTED_VALUE"""),FALSE)</f>
        <v>0</v>
      </c>
      <c r="N514" s="1"/>
      <c r="O514" s="1"/>
      <c r="P514" s="1"/>
      <c r="Q514" s="1"/>
      <c r="R514" s="1"/>
      <c r="S514" s="1"/>
      <c r="T514" s="1"/>
      <c r="U514" s="1"/>
      <c r="V514" s="1"/>
      <c r="W514" s="1"/>
      <c r="X514" s="1"/>
      <c r="Y514" s="1"/>
      <c r="Z514" s="1"/>
    </row>
    <row r="515" ht="15.75" customHeight="1">
      <c r="A515" s="1" t="str">
        <f>IFERROR(__xludf.DUMMYFUNCTION("""COMPUTED_VALUE"""),"Hex")</f>
        <v>Hex</v>
      </c>
      <c r="B515" s="62">
        <f>IFERROR(__xludf.DUMMYFUNCTION("""COMPUTED_VALUE"""),5.0)</f>
        <v>5</v>
      </c>
      <c r="C515" s="1" t="str">
        <f>IFERROR(__xludf.DUMMYFUNCTION("""COMPUTED_VALUE"""),"X")</f>
        <v>X</v>
      </c>
      <c r="D515" s="1"/>
      <c r="E515" s="1" t="str">
        <f>IFERROR(__xludf.DUMMYFUNCTION("""COMPUTED_VALUE"""),"Deals X*50 Voodoo damage per round for 3 rounds to a single target where X is equal to SP spent.")</f>
        <v>Deals X*50 Voodoo damage per round for 3 rounds to a single target where X is equal to SP spent.</v>
      </c>
      <c r="F515" s="1" t="str">
        <f>IFERROR(__xludf.DUMMYFUNCTION("""COMPUTED_VALUE"""),"Hit/Miss")</f>
        <v>Hit/Miss</v>
      </c>
      <c r="G515" s="1">
        <f>IFERROR(__xludf.DUMMYFUNCTION("""COMPUTED_VALUE"""),1.0)</f>
        <v>1</v>
      </c>
      <c r="H515" s="1" t="str">
        <f>IFERROR(__xludf.DUMMYFUNCTION("""COMPUTED_VALUE"""),"Voodoo")</f>
        <v>Voodoo</v>
      </c>
      <c r="I515" s="1" t="str">
        <f>IFERROR(__xludf.DUMMYFUNCTION("""COMPUTED_VALUE"""),"Player")</f>
        <v>Player</v>
      </c>
      <c r="J515" s="1" t="b">
        <f>IFERROR(__xludf.DUMMYFUNCTION("""COMPUTED_VALUE"""),FALSE)</f>
        <v>0</v>
      </c>
      <c r="K515" s="1"/>
      <c r="L515" s="1" t="b">
        <f>IFERROR(__xludf.DUMMYFUNCTION("""COMPUTED_VALUE"""),FALSE)</f>
        <v>0</v>
      </c>
      <c r="M515" s="21" t="b">
        <f>IFERROR(__xludf.DUMMYFUNCTION("""COMPUTED_VALUE"""),FALSE)</f>
        <v>0</v>
      </c>
      <c r="N515" s="1"/>
      <c r="O515" s="1"/>
      <c r="P515" s="1"/>
      <c r="Q515" s="1"/>
      <c r="R515" s="1"/>
      <c r="S515" s="1"/>
      <c r="T515" s="1"/>
      <c r="U515" s="1"/>
      <c r="V515" s="1"/>
      <c r="W515" s="1"/>
      <c r="X515" s="1"/>
      <c r="Y515" s="1"/>
      <c r="Z515" s="1"/>
    </row>
    <row r="516" ht="15.75" customHeight="1">
      <c r="A516" s="1" t="str">
        <f>IFERROR(__xludf.DUMMYFUNCTION("""COMPUTED_VALUE"""),"Voodoo Meteor Shower")</f>
        <v>Voodoo Meteor Shower</v>
      </c>
      <c r="B516" s="62">
        <f>IFERROR(__xludf.DUMMYFUNCTION("""COMPUTED_VALUE"""),5.0)</f>
        <v>5</v>
      </c>
      <c r="C516" s="1" t="str">
        <f>IFERROR(__xludf.DUMMYFUNCTION("""COMPUTED_VALUE"""),"X")</f>
        <v>X</v>
      </c>
      <c r="D516" s="1"/>
      <c r="E516" s="1" t="str">
        <f>IFERROR(__xludf.DUMMYFUNCTION("""COMPUTED_VALUE"""),"Deals X*25 Voodoo damage to all enemies where X is equal to SP spent.")</f>
        <v>Deals X*25 Voodoo damage to all enemies where X is equal to SP spent.</v>
      </c>
      <c r="F516" s="1" t="str">
        <f>IFERROR(__xludf.DUMMYFUNCTION("""COMPUTED_VALUE"""),"Cannot Avoid")</f>
        <v>Cannot Avoid</v>
      </c>
      <c r="G516" s="1" t="str">
        <f>IFERROR(__xludf.DUMMYFUNCTION("""COMPUTED_VALUE"""),"All")</f>
        <v>All</v>
      </c>
      <c r="H516" s="1" t="str">
        <f>IFERROR(__xludf.DUMMYFUNCTION("""COMPUTED_VALUE"""),"Voodoo")</f>
        <v>Voodoo</v>
      </c>
      <c r="I516" s="1" t="str">
        <f>IFERROR(__xludf.DUMMYFUNCTION("""COMPUTED_VALUE"""),"Player")</f>
        <v>Player</v>
      </c>
      <c r="J516" s="1" t="b">
        <f>IFERROR(__xludf.DUMMYFUNCTION("""COMPUTED_VALUE"""),FALSE)</f>
        <v>0</v>
      </c>
      <c r="K516" s="1"/>
      <c r="L516" s="1" t="b">
        <f>IFERROR(__xludf.DUMMYFUNCTION("""COMPUTED_VALUE"""),FALSE)</f>
        <v>0</v>
      </c>
      <c r="M516" s="21" t="b">
        <f>IFERROR(__xludf.DUMMYFUNCTION("""COMPUTED_VALUE"""),FALSE)</f>
        <v>0</v>
      </c>
      <c r="N516" s="1"/>
      <c r="O516" s="1"/>
      <c r="P516" s="1"/>
      <c r="Q516" s="1"/>
      <c r="R516" s="1"/>
      <c r="S516" s="1"/>
      <c r="T516" s="1"/>
      <c r="U516" s="1"/>
      <c r="V516" s="1"/>
      <c r="W516" s="1"/>
      <c r="X516" s="1"/>
      <c r="Y516" s="1"/>
      <c r="Z516" s="1"/>
    </row>
    <row r="517" ht="15.75" customHeight="1">
      <c r="A517" s="1" t="str">
        <f>IFERROR(__xludf.DUMMYFUNCTION("""COMPUTED_VALUE"""),"Mass Hex")</f>
        <v>Mass Hex</v>
      </c>
      <c r="B517" s="62">
        <f>IFERROR(__xludf.DUMMYFUNCTION("""COMPUTED_VALUE"""),6.0)</f>
        <v>6</v>
      </c>
      <c r="C517" s="1" t="str">
        <f>IFERROR(__xludf.DUMMYFUNCTION("""COMPUTED_VALUE"""),"X")</f>
        <v>X</v>
      </c>
      <c r="D517" s="1"/>
      <c r="E517" s="1" t="str">
        <f>IFERROR(__xludf.DUMMYFUNCTION("""COMPUTED_VALUE"""),"Deals X*10 Voodoo damage per round to all enemies for 3 rounds where X is equal to SP spent.")</f>
        <v>Deals X*10 Voodoo damage per round to all enemies for 3 rounds where X is equal to SP spent.</v>
      </c>
      <c r="F517" s="1" t="str">
        <f>IFERROR(__xludf.DUMMYFUNCTION("""COMPUTED_VALUE"""),"Cannot Avoid")</f>
        <v>Cannot Avoid</v>
      </c>
      <c r="G517" s="1" t="str">
        <f>IFERROR(__xludf.DUMMYFUNCTION("""COMPUTED_VALUE"""),"All")</f>
        <v>All</v>
      </c>
      <c r="H517" s="1" t="str">
        <f>IFERROR(__xludf.DUMMYFUNCTION("""COMPUTED_VALUE"""),"Voodoo")</f>
        <v>Voodoo</v>
      </c>
      <c r="I517" s="1" t="str">
        <f>IFERROR(__xludf.DUMMYFUNCTION("""COMPUTED_VALUE"""),"Player")</f>
        <v>Player</v>
      </c>
      <c r="J517" s="1" t="b">
        <f>IFERROR(__xludf.DUMMYFUNCTION("""COMPUTED_VALUE"""),FALSE)</f>
        <v>0</v>
      </c>
      <c r="K517" s="1"/>
      <c r="L517" s="1" t="b">
        <f>IFERROR(__xludf.DUMMYFUNCTION("""COMPUTED_VALUE"""),FALSE)</f>
        <v>0</v>
      </c>
      <c r="M517" s="21" t="b">
        <f>IFERROR(__xludf.DUMMYFUNCTION("""COMPUTED_VALUE"""),FALSE)</f>
        <v>0</v>
      </c>
      <c r="N517" s="1"/>
      <c r="O517" s="1"/>
      <c r="P517" s="1"/>
      <c r="Q517" s="1"/>
      <c r="R517" s="1"/>
      <c r="S517" s="1"/>
      <c r="T517" s="1"/>
      <c r="U517" s="1"/>
      <c r="V517" s="1"/>
      <c r="W517" s="1"/>
      <c r="X517" s="1"/>
      <c r="Y517" s="1"/>
      <c r="Z517" s="1"/>
    </row>
    <row r="518" ht="15.75" customHeight="1">
      <c r="A518" s="1" t="str">
        <f>IFERROR(__xludf.DUMMYFUNCTION("""COMPUTED_VALUE"""),"Ancient Frost Grand Mages Curse")</f>
        <v>Ancient Frost Grand Mages Curse</v>
      </c>
      <c r="B518" s="62">
        <f>IFERROR(__xludf.DUMMYFUNCTION("""COMPUTED_VALUE"""),1.0)</f>
        <v>1</v>
      </c>
      <c r="C518" s="7">
        <f>IFERROR(__xludf.DUMMYFUNCTION("""COMPUTED_VALUE"""),10000.0)</f>
        <v>10000</v>
      </c>
      <c r="D518" s="1"/>
      <c r="E518" s="1"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1" t="str">
        <f>IFERROR(__xludf.DUMMYFUNCTION("""COMPUTED_VALUE"""),"Fail or Succeed")</f>
        <v>Fail or Succeed</v>
      </c>
      <c r="G518" s="1">
        <f>IFERROR(__xludf.DUMMYFUNCTION("""COMPUTED_VALUE"""),1.0)</f>
        <v>1</v>
      </c>
      <c r="H518" s="1" t="str">
        <f>IFERROR(__xludf.DUMMYFUNCTION("""COMPUTED_VALUE"""),"Water")</f>
        <v>Water</v>
      </c>
      <c r="I518" s="1" t="str">
        <f>IFERROR(__xludf.DUMMYFUNCTION("""COMPUTED_VALUE"""),"Mob")</f>
        <v>Mob</v>
      </c>
      <c r="J518" s="1" t="b">
        <f>IFERROR(__xludf.DUMMYFUNCTION("""COMPUTED_VALUE"""),TRUE)</f>
        <v>1</v>
      </c>
      <c r="K518" s="1"/>
      <c r="L518" s="1" t="b">
        <f>IFERROR(__xludf.DUMMYFUNCTION("""COMPUTED_VALUE"""),TRUE)</f>
        <v>1</v>
      </c>
      <c r="M518" s="21" t="b">
        <f>IFERROR(__xludf.DUMMYFUNCTION("""COMPUTED_VALUE"""),FALSE)</f>
        <v>0</v>
      </c>
      <c r="N518" s="1"/>
      <c r="O518" s="1"/>
      <c r="P518" s="1"/>
      <c r="Q518" s="1"/>
      <c r="R518" s="1"/>
      <c r="S518" s="1"/>
      <c r="T518" s="1"/>
      <c r="U518" s="1"/>
      <c r="V518" s="1"/>
      <c r="W518" s="1"/>
      <c r="X518" s="1"/>
      <c r="Y518" s="1"/>
      <c r="Z518" s="1"/>
    </row>
    <row r="519" ht="15.75" customHeight="1">
      <c r="A519" s="1" t="str">
        <f>IFERROR(__xludf.DUMMYFUNCTION("""COMPUTED_VALUE"""),"Ancient Frost Troll Call")</f>
        <v>Ancient Frost Troll Call</v>
      </c>
      <c r="B519" s="62">
        <f>IFERROR(__xludf.DUMMYFUNCTION("""COMPUTED_VALUE"""),1.0)</f>
        <v>1</v>
      </c>
      <c r="C519" s="1">
        <f>IFERROR(__xludf.DUMMYFUNCTION("""COMPUTED_VALUE"""),0.0)</f>
        <v>0</v>
      </c>
      <c r="D519" s="1"/>
      <c r="E519" s="1" t="str">
        <f>IFERROR(__xludf.DUMMYFUNCTION("""COMPUTED_VALUE"""),"Calls in 2 other giant frost trolls into battle, has a 50% chance to call in 3 of them.")</f>
        <v>Calls in 2 other giant frost trolls into battle, has a 50% chance to call in 3 of them.</v>
      </c>
      <c r="F519" s="1" t="str">
        <f>IFERROR(__xludf.DUMMYFUNCTION("""COMPUTED_VALUE"""),"Natural/Fail Or Succeed")</f>
        <v>Natural/Fail Or Succeed</v>
      </c>
      <c r="G519" s="1" t="str">
        <f>IFERROR(__xludf.DUMMYFUNCTION("""COMPUTED_VALUE"""),"Self")</f>
        <v>Self</v>
      </c>
      <c r="H519" s="1" t="str">
        <f>IFERROR(__xludf.DUMMYFUNCTION("""COMPUTED_VALUE"""),"Water")</f>
        <v>Water</v>
      </c>
      <c r="I519" s="1" t="str">
        <f>IFERROR(__xludf.DUMMYFUNCTION("""COMPUTED_VALUE"""),"Mob")</f>
        <v>Mob</v>
      </c>
      <c r="J519" s="1" t="b">
        <f>IFERROR(__xludf.DUMMYFUNCTION("""COMPUTED_VALUE"""),TRUE)</f>
        <v>1</v>
      </c>
      <c r="K519" s="1"/>
      <c r="L519" s="1" t="b">
        <f>IFERROR(__xludf.DUMMYFUNCTION("""COMPUTED_VALUE"""),TRUE)</f>
        <v>1</v>
      </c>
      <c r="M519" s="21" t="b">
        <f>IFERROR(__xludf.DUMMYFUNCTION("""COMPUTED_VALUE"""),FALSE)</f>
        <v>0</v>
      </c>
      <c r="N519" s="1"/>
      <c r="O519" s="1"/>
      <c r="P519" s="1"/>
      <c r="Q519" s="1"/>
      <c r="R519" s="1"/>
      <c r="S519" s="1"/>
      <c r="T519" s="1"/>
      <c r="U519" s="1"/>
      <c r="V519" s="1"/>
      <c r="W519" s="1"/>
      <c r="X519" s="1"/>
      <c r="Y519" s="1"/>
      <c r="Z519" s="1"/>
    </row>
    <row r="520" ht="15.75" customHeight="1">
      <c r="A520" s="1" t="str">
        <f>IFERROR(__xludf.DUMMYFUNCTION("""COMPUTED_VALUE"""),"Ancient Monolith Of Water")</f>
        <v>Ancient Monolith Of Water</v>
      </c>
      <c r="B520" s="62">
        <f>IFERROR(__xludf.DUMMYFUNCTION("""COMPUTED_VALUE"""),9.0)</f>
        <v>9</v>
      </c>
      <c r="C520" s="1">
        <f>IFERROR(__xludf.DUMMYFUNCTION("""COMPUTED_VALUE"""),300.0)</f>
        <v>300</v>
      </c>
      <c r="D520" s="1"/>
      <c r="E520" s="1" t="str">
        <f>IFERROR(__xludf.DUMMYFUNCTION("""COMPUTED_VALUE"""),"X4 additional water damage for caster and allies, + fire immunity to caster only for 3 rounds.")</f>
        <v>X4 additional water damage for caster and allies, + fire immunity to caster only for 3 rounds.</v>
      </c>
      <c r="F520" s="1" t="str">
        <f>IFERROR(__xludf.DUMMYFUNCTION("""COMPUTED_VALUE"""),"Fail/Succeed")</f>
        <v>Fail/Succeed</v>
      </c>
      <c r="G520" s="1"/>
      <c r="H520" s="1" t="str">
        <f>IFERROR(__xludf.DUMMYFUNCTION("""COMPUTED_VALUE"""),"Water")</f>
        <v>Water</v>
      </c>
      <c r="I520" s="1" t="str">
        <f>IFERROR(__xludf.DUMMYFUNCTION("""COMPUTED_VALUE"""),"Player")</f>
        <v>Player</v>
      </c>
      <c r="J520" s="1" t="b">
        <f>IFERROR(__xludf.DUMMYFUNCTION("""COMPUTED_VALUE"""),FALSE)</f>
        <v>0</v>
      </c>
      <c r="K520" s="1"/>
      <c r="L520" s="1" t="b">
        <f>IFERROR(__xludf.DUMMYFUNCTION("""COMPUTED_VALUE"""),TRUE)</f>
        <v>1</v>
      </c>
      <c r="M520" s="21" t="b">
        <f>IFERROR(__xludf.DUMMYFUNCTION("""COMPUTED_VALUE"""),FALSE)</f>
        <v>0</v>
      </c>
      <c r="N520" s="1"/>
      <c r="O520" s="1"/>
      <c r="P520" s="1"/>
      <c r="Q520" s="1"/>
      <c r="R520" s="1"/>
      <c r="S520" s="1"/>
      <c r="T520" s="1"/>
      <c r="U520" s="1"/>
      <c r="V520" s="1"/>
      <c r="W520" s="1"/>
      <c r="X520" s="1"/>
      <c r="Y520" s="1"/>
      <c r="Z520" s="1"/>
    </row>
    <row r="521" ht="15.75" customHeight="1">
      <c r="A521" s="1" t="str">
        <f>IFERROR(__xludf.DUMMYFUNCTION("""COMPUTED_VALUE"""),"Aquafie")</f>
        <v>Aquafie</v>
      </c>
      <c r="B521" s="62">
        <f>IFERROR(__xludf.DUMMYFUNCTION("""COMPUTED_VALUE"""),4.0)</f>
        <v>4</v>
      </c>
      <c r="C521" s="1" t="str">
        <f>IFERROR(__xludf.DUMMYFUNCTION("""COMPUTED_VALUE"""),"X*3")</f>
        <v>X*3</v>
      </c>
      <c r="D521" s="1"/>
      <c r="E521" s="1" t="str">
        <f>IFERROR(__xludf.DUMMYFUNCTION("""COMPUTED_VALUE"""),"Target gains X*4 Water damage and X*4 Water resistance, can’t be used on self.")</f>
        <v>Target gains X*4 Water damage and X*4 Water resistance, can’t be used on self.</v>
      </c>
      <c r="F521" s="1" t="str">
        <f>IFERROR(__xludf.DUMMYFUNCTION("""COMPUTED_VALUE"""),"Will Succeed")</f>
        <v>Will Succeed</v>
      </c>
      <c r="G521" s="1"/>
      <c r="H521" s="1" t="str">
        <f>IFERROR(__xludf.DUMMYFUNCTION("""COMPUTED_VALUE"""),"Water")</f>
        <v>Water</v>
      </c>
      <c r="I521" s="1" t="str">
        <f>IFERROR(__xludf.DUMMYFUNCTION("""COMPUTED_VALUE"""),"Player")</f>
        <v>Player</v>
      </c>
      <c r="J521" s="1" t="b">
        <f>IFERROR(__xludf.DUMMYFUNCTION("""COMPUTED_VALUE"""),FALSE)</f>
        <v>0</v>
      </c>
      <c r="K521" s="1"/>
      <c r="L521" s="1" t="b">
        <f>IFERROR(__xludf.DUMMYFUNCTION("""COMPUTED_VALUE"""),TRUE)</f>
        <v>1</v>
      </c>
      <c r="M521" s="21" t="b">
        <f>IFERROR(__xludf.DUMMYFUNCTION("""COMPUTED_VALUE"""),FALSE)</f>
        <v>0</v>
      </c>
      <c r="N521" s="1"/>
      <c r="O521" s="1"/>
      <c r="P521" s="1"/>
      <c r="Q521" s="1"/>
      <c r="R521" s="1"/>
      <c r="S521" s="1"/>
      <c r="T521" s="1"/>
      <c r="U521" s="1"/>
      <c r="V521" s="1"/>
      <c r="W521" s="1"/>
      <c r="X521" s="1"/>
      <c r="Y521" s="1"/>
      <c r="Z521" s="1"/>
    </row>
    <row r="522" ht="15.75" customHeight="1">
      <c r="A522" s="1" t="str">
        <f>IFERROR(__xludf.DUMMYFUNCTION("""COMPUTED_VALUE"""),"Avalanche")</f>
        <v>Avalanche</v>
      </c>
      <c r="B522" s="62">
        <f>IFERROR(__xludf.DUMMYFUNCTION("""COMPUTED_VALUE"""),8.0)</f>
        <v>8</v>
      </c>
      <c r="C522" s="1" t="str">
        <f>IFERROR(__xludf.DUMMYFUNCTION("""COMPUTED_VALUE"""),"X")</f>
        <v>X</v>
      </c>
      <c r="D522" s="1"/>
      <c r="E522" s="1" t="str">
        <f>IFERROR(__xludf.DUMMYFUNCTION("""COMPUTED_VALUE"""),"X*20 water damage to all enemies, Where X is equal to SP spent, 50% instant death")</f>
        <v>X*20 water damage to all enemies, Where X is equal to SP spent, 50% instant death</v>
      </c>
      <c r="F522" s="1" t="str">
        <f>IFERROR(__xludf.DUMMYFUNCTION("""COMPUTED_VALUE"""),"Not Avoidable")</f>
        <v>Not Avoidable</v>
      </c>
      <c r="G522" s="1"/>
      <c r="H522" s="1" t="str">
        <f>IFERROR(__xludf.DUMMYFUNCTION("""COMPUTED_VALUE"""),"Water")</f>
        <v>Water</v>
      </c>
      <c r="I522" s="1" t="str">
        <f>IFERROR(__xludf.DUMMYFUNCTION("""COMPUTED_VALUE"""),"Player")</f>
        <v>Player</v>
      </c>
      <c r="J522" s="1" t="b">
        <f>IFERROR(__xludf.DUMMYFUNCTION("""COMPUTED_VALUE"""),FALSE)</f>
        <v>0</v>
      </c>
      <c r="K522" s="1"/>
      <c r="L522" s="1" t="b">
        <f>IFERROR(__xludf.DUMMYFUNCTION("""COMPUTED_VALUE"""),TRUE)</f>
        <v>1</v>
      </c>
      <c r="M522" s="21" t="b">
        <f>IFERROR(__xludf.DUMMYFUNCTION("""COMPUTED_VALUE"""),FALSE)</f>
        <v>0</v>
      </c>
      <c r="N522" s="1"/>
      <c r="O522" s="1"/>
      <c r="P522" s="1"/>
      <c r="Q522" s="1"/>
      <c r="R522" s="1"/>
      <c r="S522" s="1"/>
      <c r="T522" s="1"/>
      <c r="U522" s="1"/>
      <c r="V522" s="1"/>
      <c r="W522" s="1"/>
      <c r="X522" s="1"/>
      <c r="Y522" s="1"/>
      <c r="Z522" s="1"/>
    </row>
    <row r="523" ht="15.75" customHeight="1">
      <c r="A523" s="1" t="str">
        <f>IFERROR(__xludf.DUMMYFUNCTION("""COMPUTED_VALUE"""),"Blizzard")</f>
        <v>Blizzard</v>
      </c>
      <c r="B523" s="62">
        <f>IFERROR(__xludf.DUMMYFUNCTION("""COMPUTED_VALUE"""),6.0)</f>
        <v>6</v>
      </c>
      <c r="C523" s="1">
        <f>IFERROR(__xludf.DUMMYFUNCTION("""COMPUTED_VALUE"""),240.0)</f>
        <v>240</v>
      </c>
      <c r="D523" s="1"/>
      <c r="E523" s="1" t="str">
        <f>IFERROR(__xludf.DUMMYFUNCTION("""COMPUTED_VALUE"""),"6000 water damage to all enemies; 50% chance to freeze 1d6 enemies.")</f>
        <v>6000 water damage to all enemies; 50% chance to freeze 1d6 enemies.</v>
      </c>
      <c r="F523" s="1" t="str">
        <f>IFERROR(__xludf.DUMMYFUNCTION("""COMPUTED_VALUE"""),"Cannot Avoid")</f>
        <v>Cannot Avoid</v>
      </c>
      <c r="G523" s="1" t="str">
        <f>IFERROR(__xludf.DUMMYFUNCTION("""COMPUTED_VALUE"""),"1d6")</f>
        <v>1d6</v>
      </c>
      <c r="H523" s="1" t="str">
        <f>IFERROR(__xludf.DUMMYFUNCTION("""COMPUTED_VALUE"""),"Water")</f>
        <v>Water</v>
      </c>
      <c r="I523" s="1" t="str">
        <f>IFERROR(__xludf.DUMMYFUNCTION("""COMPUTED_VALUE"""),"Player")</f>
        <v>Player</v>
      </c>
      <c r="J523" s="1" t="b">
        <f>IFERROR(__xludf.DUMMYFUNCTION("""COMPUTED_VALUE"""),FALSE)</f>
        <v>0</v>
      </c>
      <c r="K523" s="1"/>
      <c r="L523" s="1" t="b">
        <f>IFERROR(__xludf.DUMMYFUNCTION("""COMPUTED_VALUE"""),TRUE)</f>
        <v>1</v>
      </c>
      <c r="M523" s="21" t="b">
        <f>IFERROR(__xludf.DUMMYFUNCTION("""COMPUTED_VALUE"""),FALSE)</f>
        <v>0</v>
      </c>
      <c r="N523" s="1"/>
      <c r="O523" s="1"/>
      <c r="P523" s="1"/>
      <c r="Q523" s="1"/>
      <c r="R523" s="1"/>
      <c r="S523" s="1"/>
      <c r="T523" s="1"/>
      <c r="U523" s="1"/>
      <c r="V523" s="1"/>
      <c r="W523" s="1"/>
      <c r="X523" s="1"/>
      <c r="Y523" s="1"/>
      <c r="Z523" s="1"/>
    </row>
    <row r="524" ht="15.75" customHeight="1">
      <c r="A524" s="1" t="str">
        <f>IFERROR(__xludf.DUMMYFUNCTION("""COMPUTED_VALUE"""),"Call Of The Abyss")</f>
        <v>Call Of The Abyss</v>
      </c>
      <c r="B524" s="62">
        <f>IFERROR(__xludf.DUMMYFUNCTION("""COMPUTED_VALUE"""),9.0)</f>
        <v>9</v>
      </c>
      <c r="C524" s="7">
        <f>IFERROR(__xludf.DUMMYFUNCTION("""COMPUTED_VALUE"""),1000.0)</f>
        <v>1000</v>
      </c>
      <c r="D524" s="1"/>
      <c r="E524" s="1" t="str">
        <f>IFERROR(__xludf.DUMMYFUNCTION("""COMPUTED_VALUE"""),"Summon a random enemy from the abyss to fight by your side, roll a d11 to determine the summoned creature.")</f>
        <v>Summon a random enemy from the abyss to fight by your side, roll a d11 to determine the summoned creature.</v>
      </c>
      <c r="F524" s="1" t="str">
        <f>IFERROR(__xludf.DUMMYFUNCTION("""COMPUTED_VALUE"""),"Fail/Succeed")</f>
        <v>Fail/Succeed</v>
      </c>
      <c r="G524" s="1" t="str">
        <f>IFERROR(__xludf.DUMMYFUNCTION("""COMPUTED_VALUE"""),"Self")</f>
        <v>Self</v>
      </c>
      <c r="H524" s="1" t="str">
        <f>IFERROR(__xludf.DUMMYFUNCTION("""COMPUTED_VALUE"""),"Water")</f>
        <v>Water</v>
      </c>
      <c r="I524" s="1" t="str">
        <f>IFERROR(__xludf.DUMMYFUNCTION("""COMPUTED_VALUE"""),"Mob")</f>
        <v>Mob</v>
      </c>
      <c r="J524" s="1" t="b">
        <f>IFERROR(__xludf.DUMMYFUNCTION("""COMPUTED_VALUE"""),TRUE)</f>
        <v>1</v>
      </c>
      <c r="K524" s="1"/>
      <c r="L524" s="1" t="b">
        <f>IFERROR(__xludf.DUMMYFUNCTION("""COMPUTED_VALUE"""),TRUE)</f>
        <v>1</v>
      </c>
      <c r="M524" s="21" t="b">
        <f>IFERROR(__xludf.DUMMYFUNCTION("""COMPUTED_VALUE"""),FALSE)</f>
        <v>0</v>
      </c>
      <c r="N524" s="1"/>
      <c r="O524" s="1"/>
      <c r="P524" s="1"/>
      <c r="Q524" s="1"/>
      <c r="R524" s="1"/>
      <c r="S524" s="1"/>
      <c r="T524" s="1"/>
      <c r="U524" s="1"/>
      <c r="V524" s="1"/>
      <c r="W524" s="1"/>
      <c r="X524" s="1"/>
      <c r="Y524" s="1"/>
      <c r="Z524" s="1"/>
    </row>
    <row r="525" ht="15.75" customHeight="1">
      <c r="A525" s="1" t="str">
        <f>IFERROR(__xludf.DUMMYFUNCTION("""COMPUTED_VALUE"""),"Crashing Waves")</f>
        <v>Crashing Waves</v>
      </c>
      <c r="B525" s="62">
        <f>IFERROR(__xludf.DUMMYFUNCTION("""COMPUTED_VALUE"""),9.0)</f>
        <v>9</v>
      </c>
      <c r="C525" s="1">
        <f>IFERROR(__xludf.DUMMYFUNCTION("""COMPUTED_VALUE"""),800.0)</f>
        <v>800</v>
      </c>
      <c r="D525" s="1"/>
      <c r="E525" s="1" t="str">
        <f>IFERROR(__xludf.DUMMYFUNCTION("""COMPUTED_VALUE"""),"20,000 water damage to all enemies +75% chance of instant death.")</f>
        <v>20,000 water damage to all enemies +75% chance of instant death.</v>
      </c>
      <c r="F525" s="1" t="str">
        <f>IFERROR(__xludf.DUMMYFUNCTION("""COMPUTED_VALUE"""),"Not Avoidable")</f>
        <v>Not Avoidable</v>
      </c>
      <c r="G525" s="1"/>
      <c r="H525" s="1" t="str">
        <f>IFERROR(__xludf.DUMMYFUNCTION("""COMPUTED_VALUE"""),"Water")</f>
        <v>Water</v>
      </c>
      <c r="I525" s="1" t="str">
        <f>IFERROR(__xludf.DUMMYFUNCTION("""COMPUTED_VALUE"""),"Player")</f>
        <v>Player</v>
      </c>
      <c r="J525" s="1" t="b">
        <f>IFERROR(__xludf.DUMMYFUNCTION("""COMPUTED_VALUE"""),FALSE)</f>
        <v>0</v>
      </c>
      <c r="K525" s="1"/>
      <c r="L525" s="1" t="b">
        <f>IFERROR(__xludf.DUMMYFUNCTION("""COMPUTED_VALUE"""),TRUE)</f>
        <v>1</v>
      </c>
      <c r="M525" s="21" t="b">
        <f>IFERROR(__xludf.DUMMYFUNCTION("""COMPUTED_VALUE"""),FALSE)</f>
        <v>0</v>
      </c>
      <c r="N525" s="1"/>
      <c r="O525" s="1"/>
      <c r="P525" s="1"/>
      <c r="Q525" s="1"/>
      <c r="R525" s="1"/>
      <c r="S525" s="1"/>
      <c r="T525" s="1"/>
      <c r="U525" s="1"/>
      <c r="V525" s="1"/>
      <c r="W525" s="1"/>
      <c r="X525" s="1"/>
      <c r="Y525" s="1"/>
      <c r="Z525" s="1"/>
    </row>
    <row r="526" ht="15.75" customHeight="1">
      <c r="A526" s="1" t="str">
        <f>IFERROR(__xludf.DUMMYFUNCTION("""COMPUTED_VALUE"""),"Crashing Waves (Enhanced)")</f>
        <v>Crashing Waves (Enhanced)</v>
      </c>
      <c r="B526" s="62">
        <f>IFERROR(__xludf.DUMMYFUNCTION("""COMPUTED_VALUE"""),9.0)</f>
        <v>9</v>
      </c>
      <c r="C526" s="7">
        <f>IFERROR(__xludf.DUMMYFUNCTION("""COMPUTED_VALUE"""),5000.0)</f>
        <v>5000</v>
      </c>
      <c r="D526" s="1"/>
      <c r="E526" s="1" t="str">
        <f>IFERROR(__xludf.DUMMYFUNCTION("""COMPUTED_VALUE"""),"20,000 water damage to all enemies +80% chance of instant death.")</f>
        <v>20,000 water damage to all enemies +80% chance of instant death.</v>
      </c>
      <c r="F526" s="1" t="str">
        <f>IFERROR(__xludf.DUMMYFUNCTION("""COMPUTED_VALUE"""),"Cannot Avoid")</f>
        <v>Cannot Avoid</v>
      </c>
      <c r="G526" s="1" t="str">
        <f>IFERROR(__xludf.DUMMYFUNCTION("""COMPUTED_VALUE"""),"All")</f>
        <v>All</v>
      </c>
      <c r="H526" s="1" t="str">
        <f>IFERROR(__xludf.DUMMYFUNCTION("""COMPUTED_VALUE"""),"Water")</f>
        <v>Water</v>
      </c>
      <c r="I526" s="1" t="str">
        <f>IFERROR(__xludf.DUMMYFUNCTION("""COMPUTED_VALUE"""),"Mob")</f>
        <v>Mob</v>
      </c>
      <c r="J526" s="1" t="b">
        <f>IFERROR(__xludf.DUMMYFUNCTION("""COMPUTED_VALUE"""),TRUE)</f>
        <v>1</v>
      </c>
      <c r="K526" s="1"/>
      <c r="L526" s="1" t="b">
        <f>IFERROR(__xludf.DUMMYFUNCTION("""COMPUTED_VALUE"""),TRUE)</f>
        <v>1</v>
      </c>
      <c r="M526" s="21" t="b">
        <f>IFERROR(__xludf.DUMMYFUNCTION("""COMPUTED_VALUE"""),FALSE)</f>
        <v>0</v>
      </c>
      <c r="N526" s="1"/>
      <c r="O526" s="1"/>
      <c r="P526" s="1"/>
      <c r="Q526" s="1"/>
      <c r="R526" s="1"/>
      <c r="S526" s="1"/>
      <c r="T526" s="1"/>
      <c r="U526" s="1"/>
      <c r="V526" s="1"/>
      <c r="W526" s="1"/>
      <c r="X526" s="1"/>
      <c r="Y526" s="1"/>
      <c r="Z526" s="1"/>
    </row>
    <row r="527" ht="15.75" customHeight="1">
      <c r="A527" s="1" t="str">
        <f>IFERROR(__xludf.DUMMYFUNCTION("""COMPUTED_VALUE"""),"Frost Barrier")</f>
        <v>Frost Barrier</v>
      </c>
      <c r="B527" s="62">
        <f>IFERROR(__xludf.DUMMYFUNCTION("""COMPUTED_VALUE"""),9.0)</f>
        <v>9</v>
      </c>
      <c r="C527" s="1">
        <f>IFERROR(__xludf.DUMMYFUNCTION("""COMPUTED_VALUE"""),2000.0)</f>
        <v>2000</v>
      </c>
      <c r="D527" s="1"/>
      <c r="E527" s="1" t="str">
        <f>IFERROR(__xludf.DUMMYFUNCTION("""COMPUTED_VALUE"""),"Self and allies are immune to storm, water and nature for 3/r")</f>
        <v>Self and allies are immune to storm, water and nature for 3/r</v>
      </c>
      <c r="F527" s="1" t="str">
        <f>IFERROR(__xludf.DUMMYFUNCTION("""COMPUTED_VALUE"""),"Fail/Succeed")</f>
        <v>Fail/Succeed</v>
      </c>
      <c r="G527" s="1" t="str">
        <f>IFERROR(__xludf.DUMMYFUNCTION("""COMPUTED_VALUE"""),"Self")</f>
        <v>Self</v>
      </c>
      <c r="H527" s="1" t="str">
        <f>IFERROR(__xludf.DUMMYFUNCTION("""COMPUTED_VALUE"""),"Water")</f>
        <v>Water</v>
      </c>
      <c r="I527" s="1" t="str">
        <f>IFERROR(__xludf.DUMMYFUNCTION("""COMPUTED_VALUE"""),"Mob")</f>
        <v>Mob</v>
      </c>
      <c r="J527" s="1" t="b">
        <f>IFERROR(__xludf.DUMMYFUNCTION("""COMPUTED_VALUE"""),TRUE)</f>
        <v>1</v>
      </c>
      <c r="K527" s="1"/>
      <c r="L527" s="1" t="b">
        <f>IFERROR(__xludf.DUMMYFUNCTION("""COMPUTED_VALUE"""),TRUE)</f>
        <v>1</v>
      </c>
      <c r="M527" s="21" t="b">
        <f>IFERROR(__xludf.DUMMYFUNCTION("""COMPUTED_VALUE"""),FALSE)</f>
        <v>0</v>
      </c>
      <c r="N527" s="1"/>
      <c r="O527" s="1"/>
      <c r="P527" s="1"/>
      <c r="Q527" s="1"/>
      <c r="R527" s="1"/>
      <c r="S527" s="1"/>
      <c r="T527" s="1"/>
      <c r="U527" s="1"/>
      <c r="V527" s="1"/>
      <c r="W527" s="1"/>
      <c r="X527" s="1"/>
      <c r="Y527" s="1"/>
      <c r="Z527" s="1"/>
    </row>
    <row r="528" ht="15.75" customHeight="1">
      <c r="A528" s="1" t="str">
        <f>IFERROR(__xludf.DUMMYFUNCTION("""COMPUTED_VALUE"""),"Frost Boost")</f>
        <v>Frost Boost</v>
      </c>
      <c r="B528" s="62">
        <f>IFERROR(__xludf.DUMMYFUNCTION("""COMPUTED_VALUE"""),9.0)</f>
        <v>9</v>
      </c>
      <c r="C528" s="1">
        <f>IFERROR(__xludf.DUMMYFUNCTION("""COMPUTED_VALUE"""),5000.0)</f>
        <v>5000</v>
      </c>
      <c r="D528" s="1"/>
      <c r="E528" s="1" t="str">
        <f>IFERROR(__xludf.DUMMYFUNCTION("""COMPUTED_VALUE"""),"X2 damage to water spells, 100% chance to all freezing effects for caster only.")</f>
        <v>X2 damage to water spells, 100% chance to all freezing effects for caster only.</v>
      </c>
      <c r="F528" s="1" t="str">
        <f>IFERROR(__xludf.DUMMYFUNCTION("""COMPUTED_VALUE"""),"Fail/Succeed")</f>
        <v>Fail/Succeed</v>
      </c>
      <c r="G528" s="1" t="str">
        <f>IFERROR(__xludf.DUMMYFUNCTION("""COMPUTED_VALUE"""),"Self")</f>
        <v>Self</v>
      </c>
      <c r="H528" s="1" t="str">
        <f>IFERROR(__xludf.DUMMYFUNCTION("""COMPUTED_VALUE"""),"Water")</f>
        <v>Water</v>
      </c>
      <c r="I528" s="1" t="str">
        <f>IFERROR(__xludf.DUMMYFUNCTION("""COMPUTED_VALUE"""),"Mob")</f>
        <v>Mob</v>
      </c>
      <c r="J528" s="1" t="b">
        <f>IFERROR(__xludf.DUMMYFUNCTION("""COMPUTED_VALUE"""),TRUE)</f>
        <v>1</v>
      </c>
      <c r="K528" s="1"/>
      <c r="L528" s="1" t="b">
        <f>IFERROR(__xludf.DUMMYFUNCTION("""COMPUTED_VALUE"""),TRUE)</f>
        <v>1</v>
      </c>
      <c r="M528" s="21" t="b">
        <f>IFERROR(__xludf.DUMMYFUNCTION("""COMPUTED_VALUE"""),FALSE)</f>
        <v>0</v>
      </c>
      <c r="N528" s="1"/>
      <c r="O528" s="1"/>
      <c r="P528" s="1"/>
      <c r="Q528" s="1"/>
      <c r="R528" s="1"/>
      <c r="S528" s="1"/>
      <c r="T528" s="1"/>
      <c r="U528" s="1"/>
      <c r="V528" s="1"/>
      <c r="W528" s="1"/>
      <c r="X528" s="1"/>
      <c r="Y528" s="1"/>
      <c r="Z528" s="1"/>
    </row>
    <row r="529" ht="15.75" customHeight="1">
      <c r="A529" s="1" t="str">
        <f>IFERROR(__xludf.DUMMYFUNCTION("""COMPUTED_VALUE"""),"Frost Cloak")</f>
        <v>Frost Cloak</v>
      </c>
      <c r="B529" s="62">
        <f>IFERROR(__xludf.DUMMYFUNCTION("""COMPUTED_VALUE"""),9.0)</f>
        <v>9</v>
      </c>
      <c r="C529" s="1">
        <f>IFERROR(__xludf.DUMMYFUNCTION("""COMPUTED_VALUE"""),1000.0)</f>
        <v>1000</v>
      </c>
      <c r="D529" s="1"/>
      <c r="E529" s="1" t="str">
        <f>IFERROR(__xludf.DUMMYFUNCTION("""COMPUTED_VALUE"""),"When caster is hit, Enemy is frozen for 3 rounds. Casters cloak lasts for 3 rounds")</f>
        <v>When caster is hit, Enemy is frozen for 3 rounds. Casters cloak lasts for 3 rounds</v>
      </c>
      <c r="F529" s="1" t="str">
        <f>IFERROR(__xludf.DUMMYFUNCTION("""COMPUTED_VALUE"""),"Fail/Succeed")</f>
        <v>Fail/Succeed</v>
      </c>
      <c r="G529" s="1" t="str">
        <f>IFERROR(__xludf.DUMMYFUNCTION("""COMPUTED_VALUE"""),"Self")</f>
        <v>Self</v>
      </c>
      <c r="H529" s="1" t="str">
        <f>IFERROR(__xludf.DUMMYFUNCTION("""COMPUTED_VALUE"""),"Water")</f>
        <v>Water</v>
      </c>
      <c r="I529" s="1" t="str">
        <f>IFERROR(__xludf.DUMMYFUNCTION("""COMPUTED_VALUE"""),"Mob")</f>
        <v>Mob</v>
      </c>
      <c r="J529" s="1" t="b">
        <f>IFERROR(__xludf.DUMMYFUNCTION("""COMPUTED_VALUE"""),TRUE)</f>
        <v>1</v>
      </c>
      <c r="K529" s="1"/>
      <c r="L529" s="1" t="b">
        <f>IFERROR(__xludf.DUMMYFUNCTION("""COMPUTED_VALUE"""),TRUE)</f>
        <v>1</v>
      </c>
      <c r="M529" s="21" t="b">
        <f>IFERROR(__xludf.DUMMYFUNCTION("""COMPUTED_VALUE"""),FALSE)</f>
        <v>0</v>
      </c>
      <c r="N529" s="1"/>
      <c r="O529" s="1"/>
      <c r="P529" s="1"/>
      <c r="Q529" s="1"/>
      <c r="R529" s="1"/>
      <c r="S529" s="1"/>
      <c r="T529" s="1"/>
      <c r="U529" s="1"/>
      <c r="V529" s="1"/>
      <c r="W529" s="1"/>
      <c r="X529" s="1"/>
      <c r="Y529" s="1"/>
      <c r="Z529" s="1"/>
    </row>
    <row r="530" ht="15.75" customHeight="1">
      <c r="A530" s="1" t="str">
        <f>IFERROR(__xludf.DUMMYFUNCTION("""COMPUTED_VALUE"""),"Frost Golem’s Call")</f>
        <v>Frost Golem’s Call</v>
      </c>
      <c r="B530" s="62">
        <f>IFERROR(__xludf.DUMMYFUNCTION("""COMPUTED_VALUE"""),1.0)</f>
        <v>1</v>
      </c>
      <c r="C530" s="1">
        <f>IFERROR(__xludf.DUMMYFUNCTION("""COMPUTED_VALUE"""),0.0)</f>
        <v>0</v>
      </c>
      <c r="D530" s="1"/>
      <c r="E530" s="1" t="str">
        <f>IFERROR(__xludf.DUMMYFUNCTION("""COMPUTED_VALUE"""),"Calls in 1 Frost Golem to battle, 60% chance to call in 3 of them")</f>
        <v>Calls in 1 Frost Golem to battle, 60% chance to call in 3 of them</v>
      </c>
      <c r="F530" s="1" t="str">
        <f>IFERROR(__xludf.DUMMYFUNCTION("""COMPUTED_VALUE"""),"Natural/Fail Or Succeed")</f>
        <v>Natural/Fail Or Succeed</v>
      </c>
      <c r="G530" s="1" t="str">
        <f>IFERROR(__xludf.DUMMYFUNCTION("""COMPUTED_VALUE"""),"Self")</f>
        <v>Self</v>
      </c>
      <c r="H530" s="1" t="str">
        <f>IFERROR(__xludf.DUMMYFUNCTION("""COMPUTED_VALUE"""),"Water")</f>
        <v>Water</v>
      </c>
      <c r="I530" s="1" t="str">
        <f>IFERROR(__xludf.DUMMYFUNCTION("""COMPUTED_VALUE"""),"Mob")</f>
        <v>Mob</v>
      </c>
      <c r="J530" s="1" t="b">
        <f>IFERROR(__xludf.DUMMYFUNCTION("""COMPUTED_VALUE"""),TRUE)</f>
        <v>1</v>
      </c>
      <c r="K530" s="1"/>
      <c r="L530" s="1" t="b">
        <f>IFERROR(__xludf.DUMMYFUNCTION("""COMPUTED_VALUE"""),TRUE)</f>
        <v>1</v>
      </c>
      <c r="M530" s="21" t="b">
        <f>IFERROR(__xludf.DUMMYFUNCTION("""COMPUTED_VALUE"""),FALSE)</f>
        <v>0</v>
      </c>
      <c r="N530" s="1"/>
      <c r="O530" s="1"/>
      <c r="P530" s="1"/>
      <c r="Q530" s="1"/>
      <c r="R530" s="1"/>
      <c r="S530" s="1"/>
      <c r="T530" s="1"/>
      <c r="U530" s="1"/>
      <c r="V530" s="1"/>
      <c r="W530" s="1"/>
      <c r="X530" s="1"/>
      <c r="Y530" s="1"/>
      <c r="Z530" s="1"/>
    </row>
    <row r="531" ht="15.75" customHeight="1">
      <c r="A531" s="1" t="str">
        <f>IFERROR(__xludf.DUMMYFUNCTION("""COMPUTED_VALUE"""),"Geyser")</f>
        <v>Geyser</v>
      </c>
      <c r="B531" s="62">
        <f>IFERROR(__xludf.DUMMYFUNCTION("""COMPUTED_VALUE"""),3.0)</f>
        <v>3</v>
      </c>
      <c r="C531" s="1">
        <f>IFERROR(__xludf.DUMMYFUNCTION("""COMPUTED_VALUE"""),30.0)</f>
        <v>30</v>
      </c>
      <c r="D531" s="1"/>
      <c r="E531" s="1" t="str">
        <f>IFERROR(__xludf.DUMMYFUNCTION("""COMPUTED_VALUE"""),"3000 Damage to a single target, 50% chance they lose their next turn.")</f>
        <v>3000 Damage to a single target, 50% chance they lose their next turn.</v>
      </c>
      <c r="F531" s="1" t="str">
        <f>IFERROR(__xludf.DUMMYFUNCTION("""COMPUTED_VALUE"""),"Fail/Succeed")</f>
        <v>Fail/Succeed</v>
      </c>
      <c r="G531" s="1"/>
      <c r="H531" s="1" t="str">
        <f>IFERROR(__xludf.DUMMYFUNCTION("""COMPUTED_VALUE"""),"Water")</f>
        <v>Water</v>
      </c>
      <c r="I531" s="1" t="str">
        <f>IFERROR(__xludf.DUMMYFUNCTION("""COMPUTED_VALUE"""),"Player")</f>
        <v>Player</v>
      </c>
      <c r="J531" s="1" t="b">
        <f>IFERROR(__xludf.DUMMYFUNCTION("""COMPUTED_VALUE"""),FALSE)</f>
        <v>0</v>
      </c>
      <c r="K531" s="1"/>
      <c r="L531" s="1" t="b">
        <f>IFERROR(__xludf.DUMMYFUNCTION("""COMPUTED_VALUE"""),TRUE)</f>
        <v>1</v>
      </c>
      <c r="M531" s="21" t="b">
        <f>IFERROR(__xludf.DUMMYFUNCTION("""COMPUTED_VALUE"""),FALSE)</f>
        <v>0</v>
      </c>
      <c r="N531" s="1"/>
      <c r="O531" s="1"/>
      <c r="P531" s="1"/>
      <c r="Q531" s="1"/>
      <c r="R531" s="1"/>
      <c r="S531" s="1"/>
      <c r="T531" s="1"/>
      <c r="U531" s="1"/>
      <c r="V531" s="1"/>
      <c r="W531" s="1"/>
      <c r="X531" s="1"/>
      <c r="Y531" s="1"/>
      <c r="Z531" s="1"/>
    </row>
    <row r="532" ht="15.75" customHeight="1">
      <c r="A532" s="1" t="str">
        <f>IFERROR(__xludf.DUMMYFUNCTION("""COMPUTED_VALUE"""),"Geyser (Enhanced)")</f>
        <v>Geyser (Enhanced)</v>
      </c>
      <c r="B532" s="62">
        <f>IFERROR(__xludf.DUMMYFUNCTION("""COMPUTED_VALUE"""),9.0)</f>
        <v>9</v>
      </c>
      <c r="C532" s="7">
        <f>IFERROR(__xludf.DUMMYFUNCTION("""COMPUTED_VALUE"""),1000.0)</f>
        <v>1000</v>
      </c>
      <c r="D532" s="1"/>
      <c r="E532" s="1" t="str">
        <f>IFERROR(__xludf.DUMMYFUNCTION("""COMPUTED_VALUE"""),"20,000 water Damage to all targets, 75% chance they lose their next turn")</f>
        <v>20,000 water Damage to all targets, 75% chance they lose their next turn</v>
      </c>
      <c r="F532" s="1" t="str">
        <f>IFERROR(__xludf.DUMMYFUNCTION("""COMPUTED_VALUE"""),"Fail/Succeed")</f>
        <v>Fail/Succeed</v>
      </c>
      <c r="G532" s="1" t="str">
        <f>IFERROR(__xludf.DUMMYFUNCTION("""COMPUTED_VALUE"""),"All")</f>
        <v>All</v>
      </c>
      <c r="H532" s="1" t="str">
        <f>IFERROR(__xludf.DUMMYFUNCTION("""COMPUTED_VALUE"""),"Water")</f>
        <v>Water</v>
      </c>
      <c r="I532" s="1" t="str">
        <f>IFERROR(__xludf.DUMMYFUNCTION("""COMPUTED_VALUE"""),"Mob")</f>
        <v>Mob</v>
      </c>
      <c r="J532" s="1" t="b">
        <f>IFERROR(__xludf.DUMMYFUNCTION("""COMPUTED_VALUE"""),TRUE)</f>
        <v>1</v>
      </c>
      <c r="K532" s="1"/>
      <c r="L532" s="1" t="b">
        <f>IFERROR(__xludf.DUMMYFUNCTION("""COMPUTED_VALUE"""),TRUE)</f>
        <v>1</v>
      </c>
      <c r="M532" s="21" t="b">
        <f>IFERROR(__xludf.DUMMYFUNCTION("""COMPUTED_VALUE"""),FALSE)</f>
        <v>0</v>
      </c>
      <c r="N532" s="1"/>
      <c r="O532" s="1"/>
      <c r="P532" s="1"/>
      <c r="Q532" s="1"/>
      <c r="R532" s="1"/>
      <c r="S532" s="1"/>
      <c r="T532" s="1"/>
      <c r="U532" s="1"/>
      <c r="V532" s="1"/>
      <c r="W532" s="1"/>
      <c r="X532" s="1"/>
      <c r="Y532" s="1"/>
      <c r="Z532" s="1"/>
    </row>
    <row r="533" ht="15.75" customHeight="1">
      <c r="A533" s="1" t="str">
        <f>IFERROR(__xludf.DUMMYFUNCTION("""COMPUTED_VALUE"""),"Hyper Whirlpool")</f>
        <v>Hyper Whirlpool</v>
      </c>
      <c r="B533" s="62">
        <f>IFERROR(__xludf.DUMMYFUNCTION("""COMPUTED_VALUE"""),9.0)</f>
        <v>9</v>
      </c>
      <c r="C533" s="7">
        <f>IFERROR(__xludf.DUMMYFUNCTION("""COMPUTED_VALUE"""),1000.0)</f>
        <v>1000</v>
      </c>
      <c r="D533" s="1"/>
      <c r="E533" s="1"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1" t="str">
        <f>IFERROR(__xludf.DUMMYFUNCTION("""COMPUTED_VALUE"""),"Cannot Avoid")</f>
        <v>Cannot Avoid</v>
      </c>
      <c r="G533" s="1" t="str">
        <f>IFERROR(__xludf.DUMMYFUNCTION("""COMPUTED_VALUE"""),"All")</f>
        <v>All</v>
      </c>
      <c r="H533" s="1" t="str">
        <f>IFERROR(__xludf.DUMMYFUNCTION("""COMPUTED_VALUE"""),"Water")</f>
        <v>Water</v>
      </c>
      <c r="I533" s="1" t="str">
        <f>IFERROR(__xludf.DUMMYFUNCTION("""COMPUTED_VALUE"""),"Mob")</f>
        <v>Mob</v>
      </c>
      <c r="J533" s="1" t="b">
        <f>IFERROR(__xludf.DUMMYFUNCTION("""COMPUTED_VALUE"""),TRUE)</f>
        <v>1</v>
      </c>
      <c r="K533" s="1"/>
      <c r="L533" s="1" t="b">
        <f>IFERROR(__xludf.DUMMYFUNCTION("""COMPUTED_VALUE"""),TRUE)</f>
        <v>1</v>
      </c>
      <c r="M533" s="21" t="b">
        <f>IFERROR(__xludf.DUMMYFUNCTION("""COMPUTED_VALUE"""),FALSE)</f>
        <v>0</v>
      </c>
      <c r="N533" s="1"/>
      <c r="O533" s="1"/>
      <c r="P533" s="1"/>
      <c r="Q533" s="1"/>
      <c r="R533" s="1"/>
      <c r="S533" s="1"/>
      <c r="T533" s="1"/>
      <c r="U533" s="1"/>
      <c r="V533" s="1"/>
      <c r="W533" s="1"/>
      <c r="X533" s="1"/>
      <c r="Y533" s="1"/>
      <c r="Z533" s="1"/>
    </row>
    <row r="534" ht="15.75" customHeight="1">
      <c r="A534" s="1" t="str">
        <f>IFERROR(__xludf.DUMMYFUNCTION("""COMPUTED_VALUE"""),"Ice Ball")</f>
        <v>Ice Ball</v>
      </c>
      <c r="B534" s="62">
        <f>IFERROR(__xludf.DUMMYFUNCTION("""COMPUTED_VALUE"""),1.0)</f>
        <v>1</v>
      </c>
      <c r="C534" s="1">
        <f>IFERROR(__xludf.DUMMYFUNCTION("""COMPUTED_VALUE"""),10.0)</f>
        <v>10</v>
      </c>
      <c r="D534" s="1"/>
      <c r="E534" s="1" t="str">
        <f>IFERROR(__xludf.DUMMYFUNCTION("""COMPUTED_VALUE"""),"1000 water damage, 20% chance to freeze target.")</f>
        <v>1000 water damage, 20% chance to freeze target.</v>
      </c>
      <c r="F534" s="1" t="str">
        <f>IFERROR(__xludf.DUMMYFUNCTION("""COMPUTED_VALUE"""),"Hit/Miss")</f>
        <v>Hit/Miss</v>
      </c>
      <c r="G534" s="1">
        <f>IFERROR(__xludf.DUMMYFUNCTION("""COMPUTED_VALUE"""),1.0)</f>
        <v>1</v>
      </c>
      <c r="H534" s="1" t="str">
        <f>IFERROR(__xludf.DUMMYFUNCTION("""COMPUTED_VALUE"""),"Water")</f>
        <v>Water</v>
      </c>
      <c r="I534" s="1" t="str">
        <f>IFERROR(__xludf.DUMMYFUNCTION("""COMPUTED_VALUE"""),"Player")</f>
        <v>Player</v>
      </c>
      <c r="J534" s="1" t="b">
        <f>IFERROR(__xludf.DUMMYFUNCTION("""COMPUTED_VALUE"""),FALSE)</f>
        <v>0</v>
      </c>
      <c r="K534" s="1"/>
      <c r="L534" s="1" t="b">
        <f>IFERROR(__xludf.DUMMYFUNCTION("""COMPUTED_VALUE"""),TRUE)</f>
        <v>1</v>
      </c>
      <c r="M534" s="21" t="b">
        <f>IFERROR(__xludf.DUMMYFUNCTION("""COMPUTED_VALUE"""),FALSE)</f>
        <v>0</v>
      </c>
      <c r="N534" s="1"/>
      <c r="O534" s="1"/>
      <c r="P534" s="1"/>
      <c r="Q534" s="1"/>
      <c r="R534" s="1"/>
      <c r="S534" s="1"/>
      <c r="T534" s="1"/>
      <c r="U534" s="1"/>
      <c r="V534" s="1"/>
      <c r="W534" s="1"/>
      <c r="X534" s="1"/>
      <c r="Y534" s="1"/>
      <c r="Z534" s="1"/>
    </row>
    <row r="535" ht="15.75" customHeight="1">
      <c r="A535" s="1" t="str">
        <f>IFERROR(__xludf.DUMMYFUNCTION("""COMPUTED_VALUE"""),"Ice Horns")</f>
        <v>Ice Horns</v>
      </c>
      <c r="B535" s="62">
        <f>IFERROR(__xludf.DUMMYFUNCTION("""COMPUTED_VALUE"""),1.0)</f>
        <v>1</v>
      </c>
      <c r="C535" s="7">
        <f>IFERROR(__xludf.DUMMYFUNCTION("""COMPUTED_VALUE"""),0.0)</f>
        <v>0</v>
      </c>
      <c r="D535" s="1"/>
      <c r="E535" s="1" t="str">
        <f>IFERROR(__xludf.DUMMYFUNCTION("""COMPUTED_VALUE"""),"5000 damage, +5000 water damage to 2 targets. 50% chance to freeze both targets.")</f>
        <v>5000 damage, +5000 water damage to 2 targets. 50% chance to freeze both targets.</v>
      </c>
      <c r="F535" s="1" t="str">
        <f>IFERROR(__xludf.DUMMYFUNCTION("""COMPUTED_VALUE"""),"Natural/Hit or Miss")</f>
        <v>Natural/Hit or Miss</v>
      </c>
      <c r="G535" s="1">
        <f>IFERROR(__xludf.DUMMYFUNCTION("""COMPUTED_VALUE"""),2.0)</f>
        <v>2</v>
      </c>
      <c r="H535" s="1" t="str">
        <f>IFERROR(__xludf.DUMMYFUNCTION("""COMPUTED_VALUE"""),"Water")</f>
        <v>Water</v>
      </c>
      <c r="I535" s="1" t="str">
        <f>IFERROR(__xludf.DUMMYFUNCTION("""COMPUTED_VALUE"""),"Mob")</f>
        <v>Mob</v>
      </c>
      <c r="J535" s="1" t="b">
        <f>IFERROR(__xludf.DUMMYFUNCTION("""COMPUTED_VALUE"""),TRUE)</f>
        <v>1</v>
      </c>
      <c r="K535" s="1"/>
      <c r="L535" s="1" t="b">
        <f>IFERROR(__xludf.DUMMYFUNCTION("""COMPUTED_VALUE"""),TRUE)</f>
        <v>1</v>
      </c>
      <c r="M535" s="21" t="b">
        <f>IFERROR(__xludf.DUMMYFUNCTION("""COMPUTED_VALUE"""),FALSE)</f>
        <v>0</v>
      </c>
      <c r="N535" s="1"/>
      <c r="O535" s="1"/>
      <c r="P535" s="1"/>
      <c r="Q535" s="1"/>
      <c r="R535" s="1"/>
      <c r="S535" s="1"/>
      <c r="T535" s="1"/>
      <c r="U535" s="1"/>
      <c r="V535" s="1"/>
      <c r="W535" s="1"/>
      <c r="X535" s="1"/>
      <c r="Y535" s="1"/>
      <c r="Z535" s="1"/>
    </row>
    <row r="536" ht="15.75" customHeight="1">
      <c r="A536" s="1" t="str">
        <f>IFERROR(__xludf.DUMMYFUNCTION("""COMPUTED_VALUE"""),"Icicle Spear")</f>
        <v>Icicle Spear</v>
      </c>
      <c r="B536" s="62">
        <f>IFERROR(__xludf.DUMMYFUNCTION("""COMPUTED_VALUE"""),4.0)</f>
        <v>4</v>
      </c>
      <c r="C536" s="1">
        <f>IFERROR(__xludf.DUMMYFUNCTION("""COMPUTED_VALUE"""),40.0)</f>
        <v>40</v>
      </c>
      <c r="D536" s="1"/>
      <c r="E536" s="1" t="str">
        <f>IFERROR(__xludf.DUMMYFUNCTION("""COMPUTED_VALUE"""),"4000 water damage, 50% chance to freeze target.")</f>
        <v>4000 water damage, 50% chance to freeze target.</v>
      </c>
      <c r="F536" s="1" t="str">
        <f>IFERROR(__xludf.DUMMYFUNCTION("""COMPUTED_VALUE"""),"Hit/Miss")</f>
        <v>Hit/Miss</v>
      </c>
      <c r="G536" s="1">
        <f>IFERROR(__xludf.DUMMYFUNCTION("""COMPUTED_VALUE"""),1.0)</f>
        <v>1</v>
      </c>
      <c r="H536" s="1" t="str">
        <f>IFERROR(__xludf.DUMMYFUNCTION("""COMPUTED_VALUE"""),"Water")</f>
        <v>Water</v>
      </c>
      <c r="I536" s="1" t="str">
        <f>IFERROR(__xludf.DUMMYFUNCTION("""COMPUTED_VALUE"""),"Player")</f>
        <v>Player</v>
      </c>
      <c r="J536" s="1" t="b">
        <f>IFERROR(__xludf.DUMMYFUNCTION("""COMPUTED_VALUE"""),FALSE)</f>
        <v>0</v>
      </c>
      <c r="K536" s="1"/>
      <c r="L536" s="1" t="b">
        <f>IFERROR(__xludf.DUMMYFUNCTION("""COMPUTED_VALUE"""),TRUE)</f>
        <v>1</v>
      </c>
      <c r="M536" s="21" t="b">
        <f>IFERROR(__xludf.DUMMYFUNCTION("""COMPUTED_VALUE"""),FALSE)</f>
        <v>0</v>
      </c>
      <c r="N536" s="1"/>
      <c r="O536" s="1"/>
      <c r="P536" s="1"/>
      <c r="Q536" s="1"/>
      <c r="R536" s="1"/>
      <c r="S536" s="1"/>
      <c r="T536" s="1"/>
      <c r="U536" s="1"/>
      <c r="V536" s="1"/>
      <c r="W536" s="1"/>
      <c r="X536" s="1"/>
      <c r="Y536" s="1"/>
      <c r="Z536" s="1"/>
    </row>
    <row r="537" ht="15.75" customHeight="1">
      <c r="A537" s="1" t="str">
        <f>IFERROR(__xludf.DUMMYFUNCTION("""COMPUTED_VALUE"""),"Quench")</f>
        <v>Quench</v>
      </c>
      <c r="B537" s="62">
        <f>IFERROR(__xludf.DUMMYFUNCTION("""COMPUTED_VALUE"""),2.0)</f>
        <v>2</v>
      </c>
      <c r="C537" s="1">
        <f>IFERROR(__xludf.DUMMYFUNCTION("""COMPUTED_VALUE"""),20.0)</f>
        <v>20</v>
      </c>
      <c r="D537" s="1"/>
      <c r="E537" s="1" t="str">
        <f>IFERROR(__xludf.DUMMYFUNCTION("""COMPUTED_VALUE"""),"Negate the next incoming fire spell.")</f>
        <v>Negate the next incoming fire spell.</v>
      </c>
      <c r="F537" s="1" t="str">
        <f>IFERROR(__xludf.DUMMYFUNCTION("""COMPUTED_VALUE"""),"Fail/Succeed")</f>
        <v>Fail/Succeed</v>
      </c>
      <c r="G537" s="1"/>
      <c r="H537" s="1" t="str">
        <f>IFERROR(__xludf.DUMMYFUNCTION("""COMPUTED_VALUE"""),"Water")</f>
        <v>Water</v>
      </c>
      <c r="I537" s="1" t="str">
        <f>IFERROR(__xludf.DUMMYFUNCTION("""COMPUTED_VALUE"""),"Player")</f>
        <v>Player</v>
      </c>
      <c r="J537" s="1" t="b">
        <f>IFERROR(__xludf.DUMMYFUNCTION("""COMPUTED_VALUE"""),FALSE)</f>
        <v>0</v>
      </c>
      <c r="K537" s="1"/>
      <c r="L537" s="1" t="b">
        <f>IFERROR(__xludf.DUMMYFUNCTION("""COMPUTED_VALUE"""),TRUE)</f>
        <v>1</v>
      </c>
      <c r="M537" s="21" t="b">
        <f>IFERROR(__xludf.DUMMYFUNCTION("""COMPUTED_VALUE"""),FALSE)</f>
        <v>0</v>
      </c>
      <c r="N537" s="1"/>
      <c r="O537" s="1"/>
      <c r="P537" s="1"/>
      <c r="Q537" s="1"/>
      <c r="R537" s="1"/>
      <c r="S537" s="1"/>
      <c r="T537" s="1"/>
      <c r="U537" s="1"/>
      <c r="V537" s="1"/>
      <c r="W537" s="1"/>
      <c r="X537" s="1"/>
      <c r="Y537" s="1"/>
      <c r="Z537" s="1"/>
    </row>
    <row r="538" ht="15.75" customHeight="1">
      <c r="A538" s="1" t="str">
        <f>IFERROR(__xludf.DUMMYFUNCTION("""COMPUTED_VALUE"""),"Rain Storm")</f>
        <v>Rain Storm</v>
      </c>
      <c r="B538" s="62">
        <f>IFERROR(__xludf.DUMMYFUNCTION("""COMPUTED_VALUE"""),9.0)</f>
        <v>9</v>
      </c>
      <c r="C538" s="7">
        <f>IFERROR(__xludf.DUMMYFUNCTION("""COMPUTED_VALUE"""),300.0)</f>
        <v>300</v>
      </c>
      <c r="D538" s="1"/>
      <c r="E538" s="1" t="str">
        <f>IFERROR(__xludf.DUMMYFUNCTION("""COMPUTED_VALUE"""),"Changes the weather to rain, X4 damage to water spells for self and allies.")</f>
        <v>Changes the weather to rain, X4 damage to water spells for self and allies.</v>
      </c>
      <c r="F538" s="1" t="str">
        <f>IFERROR(__xludf.DUMMYFUNCTION("""COMPUTED_VALUE"""),"Fail/Succeed")</f>
        <v>Fail/Succeed</v>
      </c>
      <c r="G538" s="1" t="str">
        <f>IFERROR(__xludf.DUMMYFUNCTION("""COMPUTED_VALUE"""),"Self")</f>
        <v>Self</v>
      </c>
      <c r="H538" s="1" t="str">
        <f>IFERROR(__xludf.DUMMYFUNCTION("""COMPUTED_VALUE"""),"Water")</f>
        <v>Water</v>
      </c>
      <c r="I538" s="1" t="str">
        <f>IFERROR(__xludf.DUMMYFUNCTION("""COMPUTED_VALUE"""),"Player")</f>
        <v>Player</v>
      </c>
      <c r="J538" s="1" t="b">
        <f>IFERROR(__xludf.DUMMYFUNCTION("""COMPUTED_VALUE"""),TRUE)</f>
        <v>1</v>
      </c>
      <c r="K538" s="1" t="str">
        <f>IFERROR(__xludf.DUMMYFUNCTION("""COMPUTED_VALUE"""),"shop spell")</f>
        <v>shop spell</v>
      </c>
      <c r="L538" s="1" t="b">
        <f>IFERROR(__xludf.DUMMYFUNCTION("""COMPUTED_VALUE"""),TRUE)</f>
        <v>1</v>
      </c>
      <c r="M538" s="21" t="b">
        <f>IFERROR(__xludf.DUMMYFUNCTION("""COMPUTED_VALUE"""),FALSE)</f>
        <v>0</v>
      </c>
      <c r="N538" s="1"/>
      <c r="O538" s="1"/>
      <c r="P538" s="1"/>
      <c r="Q538" s="1"/>
      <c r="R538" s="1"/>
      <c r="S538" s="1"/>
      <c r="T538" s="1"/>
      <c r="U538" s="1"/>
      <c r="V538" s="1"/>
      <c r="W538" s="1"/>
      <c r="X538" s="1"/>
      <c r="Y538" s="1"/>
      <c r="Z538" s="1"/>
    </row>
    <row r="539" ht="15.75" customHeight="1">
      <c r="A539" s="1" t="str">
        <f>IFERROR(__xludf.DUMMYFUNCTION("""COMPUTED_VALUE"""),"Rapid Frost Peck")</f>
        <v>Rapid Frost Peck</v>
      </c>
      <c r="B539" s="62">
        <f>IFERROR(__xludf.DUMMYFUNCTION("""COMPUTED_VALUE"""),1.0)</f>
        <v>1</v>
      </c>
      <c r="C539" s="1">
        <f>IFERROR(__xludf.DUMMYFUNCTION("""COMPUTED_VALUE"""),0.0)</f>
        <v>0</v>
      </c>
      <c r="D539" s="1"/>
      <c r="E539" s="1" t="str">
        <f>IFERROR(__xludf.DUMMYFUNCTION("""COMPUTED_VALUE"""),"d20x1000 water damage. 50% chance to freeze the target.")</f>
        <v>d20x1000 water damage. 50% chance to freeze the target.</v>
      </c>
      <c r="F539" s="1" t="str">
        <f>IFERROR(__xludf.DUMMYFUNCTION("""COMPUTED_VALUE"""),"Natural/Hit Or Miss")</f>
        <v>Natural/Hit Or Miss</v>
      </c>
      <c r="G539" s="1">
        <f>IFERROR(__xludf.DUMMYFUNCTION("""COMPUTED_VALUE"""),1.0)</f>
        <v>1</v>
      </c>
      <c r="H539" s="1" t="str">
        <f>IFERROR(__xludf.DUMMYFUNCTION("""COMPUTED_VALUE"""),"Water")</f>
        <v>Water</v>
      </c>
      <c r="I539" s="1" t="str">
        <f>IFERROR(__xludf.DUMMYFUNCTION("""COMPUTED_VALUE"""),"Mob")</f>
        <v>Mob</v>
      </c>
      <c r="J539" s="1" t="b">
        <f>IFERROR(__xludf.DUMMYFUNCTION("""COMPUTED_VALUE"""),TRUE)</f>
        <v>1</v>
      </c>
      <c r="K539" s="1"/>
      <c r="L539" s="1" t="b">
        <f>IFERROR(__xludf.DUMMYFUNCTION("""COMPUTED_VALUE"""),TRUE)</f>
        <v>1</v>
      </c>
      <c r="M539" s="21" t="b">
        <f>IFERROR(__xludf.DUMMYFUNCTION("""COMPUTED_VALUE"""),FALSE)</f>
        <v>0</v>
      </c>
      <c r="N539" s="1"/>
      <c r="O539" s="1"/>
      <c r="P539" s="1"/>
      <c r="Q539" s="1"/>
      <c r="R539" s="1"/>
      <c r="S539" s="1"/>
      <c r="T539" s="1"/>
      <c r="U539" s="1"/>
      <c r="V539" s="1"/>
      <c r="W539" s="1"/>
      <c r="X539" s="1"/>
      <c r="Y539" s="1"/>
      <c r="Z539" s="1"/>
    </row>
    <row r="540" ht="15.75" customHeight="1">
      <c r="A540" s="1" t="str">
        <f>IFERROR(__xludf.DUMMYFUNCTION("""COMPUTED_VALUE"""),"Snowmans Wrath")</f>
        <v>Snowmans Wrath</v>
      </c>
      <c r="B540" s="62">
        <f>IFERROR(__xludf.DUMMYFUNCTION("""COMPUTED_VALUE"""),9.0)</f>
        <v>9</v>
      </c>
      <c r="C540" s="1">
        <f>IFERROR(__xludf.DUMMYFUNCTION("""COMPUTED_VALUE"""),1000.0)</f>
        <v>1000</v>
      </c>
      <c r="D540" s="1"/>
      <c r="E540" s="1" t="str">
        <f>IFERROR(__xludf.DUMMYFUNCTION("""COMPUTED_VALUE"""),"20,000 damage, 50% chance to freeze the target for 3 rounds. ")</f>
        <v>20,000 damage, 50% chance to freeze the target for 3 rounds. </v>
      </c>
      <c r="F540" s="1" t="str">
        <f>IFERROR(__xludf.DUMMYFUNCTION("""COMPUTED_VALUE"""),"Hit/Miss")</f>
        <v>Hit/Miss</v>
      </c>
      <c r="G540" s="1">
        <f>IFERROR(__xludf.DUMMYFUNCTION("""COMPUTED_VALUE"""),1.0)</f>
        <v>1</v>
      </c>
      <c r="H540" s="1" t="str">
        <f>IFERROR(__xludf.DUMMYFUNCTION("""COMPUTED_VALUE"""),"Water")</f>
        <v>Water</v>
      </c>
      <c r="I540" s="1" t="str">
        <f>IFERROR(__xludf.DUMMYFUNCTION("""COMPUTED_VALUE"""),"Mob")</f>
        <v>Mob</v>
      </c>
      <c r="J540" s="1" t="b">
        <f>IFERROR(__xludf.DUMMYFUNCTION("""COMPUTED_VALUE"""),TRUE)</f>
        <v>1</v>
      </c>
      <c r="K540" s="1"/>
      <c r="L540" s="1" t="b">
        <f>IFERROR(__xludf.DUMMYFUNCTION("""COMPUTED_VALUE"""),TRUE)</f>
        <v>1</v>
      </c>
      <c r="M540" s="21" t="b">
        <f>IFERROR(__xludf.DUMMYFUNCTION("""COMPUTED_VALUE"""),FALSE)</f>
        <v>0</v>
      </c>
      <c r="N540" s="1"/>
      <c r="O540" s="1"/>
      <c r="P540" s="1"/>
      <c r="Q540" s="1"/>
      <c r="R540" s="1"/>
      <c r="S540" s="1"/>
      <c r="T540" s="1"/>
      <c r="U540" s="1"/>
      <c r="V540" s="1"/>
      <c r="W540" s="1"/>
      <c r="X540" s="1"/>
      <c r="Y540" s="1"/>
      <c r="Z540" s="1"/>
    </row>
    <row r="541" ht="15.75" customHeight="1">
      <c r="A541" s="1" t="str">
        <f>IFERROR(__xludf.DUMMYFUNCTION("""COMPUTED_VALUE"""),"Storm Of Snowballs")</f>
        <v>Storm Of Snowballs</v>
      </c>
      <c r="B541" s="62">
        <f>IFERROR(__xludf.DUMMYFUNCTION("""COMPUTED_VALUE"""),9.0)</f>
        <v>9</v>
      </c>
      <c r="C541" s="1">
        <f>IFERROR(__xludf.DUMMYFUNCTION("""COMPUTED_VALUE"""),1000.0)</f>
        <v>1000</v>
      </c>
      <c r="D541" s="1"/>
      <c r="E541" s="1" t="str">
        <f>IFERROR(__xludf.DUMMYFUNCTION("""COMPUTED_VALUE"""),"20,000 water damage to all enemies, 25% chance to freeze those enemies.")</f>
        <v>20,000 water damage to all enemies, 25% chance to freeze those enemies.</v>
      </c>
      <c r="F541" s="1" t="str">
        <f>IFERROR(__xludf.DUMMYFUNCTION("""COMPUTED_VALUE"""),"Cannot Avoid")</f>
        <v>Cannot Avoid</v>
      </c>
      <c r="G541" s="1" t="str">
        <f>IFERROR(__xludf.DUMMYFUNCTION("""COMPUTED_VALUE"""),"All")</f>
        <v>All</v>
      </c>
      <c r="H541" s="1" t="str">
        <f>IFERROR(__xludf.DUMMYFUNCTION("""COMPUTED_VALUE"""),"Water")</f>
        <v>Water</v>
      </c>
      <c r="I541" s="1" t="str">
        <f>IFERROR(__xludf.DUMMYFUNCTION("""COMPUTED_VALUE"""),"Mob")</f>
        <v>Mob</v>
      </c>
      <c r="J541" s="1" t="b">
        <f>IFERROR(__xludf.DUMMYFUNCTION("""COMPUTED_VALUE"""),TRUE)</f>
        <v>1</v>
      </c>
      <c r="K541" s="1" t="str">
        <f>IFERROR(__xludf.DUMMYFUNCTION("""COMPUTED_VALUE"""),"Event Spell")</f>
        <v>Event Spell</v>
      </c>
      <c r="L541" s="1" t="b">
        <f>IFERROR(__xludf.DUMMYFUNCTION("""COMPUTED_VALUE"""),TRUE)</f>
        <v>1</v>
      </c>
      <c r="M541" s="21" t="b">
        <f>IFERROR(__xludf.DUMMYFUNCTION("""COMPUTED_VALUE"""),FALSE)</f>
        <v>0</v>
      </c>
      <c r="N541" s="1"/>
      <c r="O541" s="1"/>
      <c r="P541" s="1"/>
      <c r="Q541" s="1"/>
      <c r="R541" s="1"/>
      <c r="S541" s="1"/>
      <c r="T541" s="1"/>
      <c r="U541" s="1"/>
      <c r="V541" s="1"/>
      <c r="W541" s="1"/>
      <c r="X541" s="1"/>
      <c r="Y541" s="1"/>
      <c r="Z541" s="1"/>
    </row>
    <row r="542" ht="15.75" customHeight="1">
      <c r="A542" s="1" t="str">
        <f>IFERROR(__xludf.DUMMYFUNCTION("""COMPUTED_VALUE"""),"Tower Of Atlantis")</f>
        <v>Tower Of Atlantis</v>
      </c>
      <c r="B542" s="62">
        <f>IFERROR(__xludf.DUMMYFUNCTION("""COMPUTED_VALUE"""),9.0)</f>
        <v>9</v>
      </c>
      <c r="C542" s="1">
        <f>IFERROR(__xludf.DUMMYFUNCTION("""COMPUTED_VALUE"""),500.0)</f>
        <v>500</v>
      </c>
      <c r="D542" s="1"/>
      <c r="E542" s="1"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1" t="str">
        <f>IFERROR(__xludf.DUMMYFUNCTION("""COMPUTED_VALUE"""),"Hit/Miss")</f>
        <v>Hit/Miss</v>
      </c>
      <c r="G542" s="1">
        <f>IFERROR(__xludf.DUMMYFUNCTION("""COMPUTED_VALUE"""),1.0)</f>
        <v>1</v>
      </c>
      <c r="H542" s="1" t="str">
        <f>IFERROR(__xludf.DUMMYFUNCTION("""COMPUTED_VALUE"""),"Water")</f>
        <v>Water</v>
      </c>
      <c r="I542" s="1" t="str">
        <f>IFERROR(__xludf.DUMMYFUNCTION("""COMPUTED_VALUE"""),"Player")</f>
        <v>Player</v>
      </c>
      <c r="J542" s="1" t="b">
        <f>IFERROR(__xludf.DUMMYFUNCTION("""COMPUTED_VALUE"""),FALSE)</f>
        <v>0</v>
      </c>
      <c r="K542" s="1"/>
      <c r="L542" s="1" t="b">
        <f>IFERROR(__xludf.DUMMYFUNCTION("""COMPUTED_VALUE"""),TRUE)</f>
        <v>1</v>
      </c>
      <c r="M542" s="21" t="b">
        <f>IFERROR(__xludf.DUMMYFUNCTION("""COMPUTED_VALUE"""),FALSE)</f>
        <v>0</v>
      </c>
      <c r="N542" s="1"/>
      <c r="O542" s="1"/>
      <c r="P542" s="1"/>
      <c r="Q542" s="1"/>
      <c r="R542" s="1"/>
      <c r="S542" s="1"/>
      <c r="T542" s="1"/>
      <c r="U542" s="1"/>
      <c r="V542" s="1"/>
      <c r="W542" s="1"/>
      <c r="X542" s="1"/>
      <c r="Y542" s="1"/>
      <c r="Z542" s="1"/>
    </row>
    <row r="543" ht="15.75" customHeight="1">
      <c r="A543" s="1" t="str">
        <f>IFERROR(__xludf.DUMMYFUNCTION("""COMPUTED_VALUE"""),"Water Ward")</f>
        <v>Water Ward</v>
      </c>
      <c r="B543" s="62">
        <f>IFERROR(__xludf.DUMMYFUNCTION("""COMPUTED_VALUE"""),9.0)</f>
        <v>9</v>
      </c>
      <c r="C543" s="7">
        <f>IFERROR(__xludf.DUMMYFUNCTION("""COMPUTED_VALUE"""),300.0)</f>
        <v>300</v>
      </c>
      <c r="D543" s="1"/>
      <c r="E543" s="1"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1" t="str">
        <f>IFERROR(__xludf.DUMMYFUNCTION("""COMPUTED_VALUE"""),"Fail/Succeed")</f>
        <v>Fail/Succeed</v>
      </c>
      <c r="G543" s="1" t="str">
        <f>IFERROR(__xludf.DUMMYFUNCTION("""COMPUTED_VALUE"""),"Self")</f>
        <v>Self</v>
      </c>
      <c r="H543" s="1" t="str">
        <f>IFERROR(__xludf.DUMMYFUNCTION("""COMPUTED_VALUE"""),"Water")</f>
        <v>Water</v>
      </c>
      <c r="I543" s="1" t="str">
        <f>IFERROR(__xludf.DUMMYFUNCTION("""COMPUTED_VALUE"""),"Mob")</f>
        <v>Mob</v>
      </c>
      <c r="J543" s="1" t="b">
        <f>IFERROR(__xludf.DUMMYFUNCTION("""COMPUTED_VALUE"""),TRUE)</f>
        <v>1</v>
      </c>
      <c r="K543" s="1"/>
      <c r="L543" s="1" t="b">
        <f>IFERROR(__xludf.DUMMYFUNCTION("""COMPUTED_VALUE"""),TRUE)</f>
        <v>1</v>
      </c>
      <c r="M543" s="21" t="b">
        <f>IFERROR(__xludf.DUMMYFUNCTION("""COMPUTED_VALUE"""),FALSE)</f>
        <v>0</v>
      </c>
      <c r="N543" s="1"/>
      <c r="O543" s="1"/>
      <c r="P543" s="1"/>
      <c r="Q543" s="1"/>
      <c r="R543" s="1"/>
      <c r="S543" s="1"/>
      <c r="T543" s="1"/>
      <c r="U543" s="1"/>
      <c r="V543" s="1"/>
      <c r="W543" s="1"/>
      <c r="X543" s="1"/>
      <c r="Y543" s="1"/>
      <c r="Z543" s="1"/>
    </row>
    <row r="544" ht="15.75" customHeight="1">
      <c r="A544" s="1" t="str">
        <f>IFERROR(__xludf.DUMMYFUNCTION("""COMPUTED_VALUE"""),"Waters of Tranquility")</f>
        <v>Waters of Tranquility</v>
      </c>
      <c r="B544" s="62">
        <f>IFERROR(__xludf.DUMMYFUNCTION("""COMPUTED_VALUE"""),7.0)</f>
        <v>7</v>
      </c>
      <c r="C544" s="1" t="str">
        <f>IFERROR(__xludf.DUMMYFUNCTION("""COMPUTED_VALUE"""),"X")</f>
        <v>X</v>
      </c>
      <c r="D544" s="1"/>
      <c r="E544" s="1" t="str">
        <f>IFERROR(__xludf.DUMMYFUNCTION("""COMPUTED_VALUE"""),"Negate X*4 water damage.")</f>
        <v>Negate X*4 water damage.</v>
      </c>
      <c r="F544" s="1" t="str">
        <f>IFERROR(__xludf.DUMMYFUNCTION("""COMPUTED_VALUE"""),"Fail/Succeed")</f>
        <v>Fail/Succeed</v>
      </c>
      <c r="G544" s="1"/>
      <c r="H544" s="1" t="str">
        <f>IFERROR(__xludf.DUMMYFUNCTION("""COMPUTED_VALUE"""),"Water")</f>
        <v>Water</v>
      </c>
      <c r="I544" s="1" t="str">
        <f>IFERROR(__xludf.DUMMYFUNCTION("""COMPUTED_VALUE"""),"Player")</f>
        <v>Player</v>
      </c>
      <c r="J544" s="1" t="b">
        <f>IFERROR(__xludf.DUMMYFUNCTION("""COMPUTED_VALUE"""),FALSE)</f>
        <v>0</v>
      </c>
      <c r="K544" s="1"/>
      <c r="L544" s="1" t="b">
        <f>IFERROR(__xludf.DUMMYFUNCTION("""COMPUTED_VALUE"""),TRUE)</f>
        <v>1</v>
      </c>
      <c r="M544" s="21" t="b">
        <f>IFERROR(__xludf.DUMMYFUNCTION("""COMPUTED_VALUE"""),FALSE)</f>
        <v>0</v>
      </c>
      <c r="N544" s="1"/>
      <c r="O544" s="1"/>
      <c r="P544" s="1"/>
      <c r="Q544" s="1"/>
      <c r="R544" s="1"/>
      <c r="S544" s="1"/>
      <c r="T544" s="1"/>
      <c r="U544" s="1"/>
      <c r="V544" s="1"/>
      <c r="W544" s="1"/>
      <c r="X544" s="1"/>
      <c r="Y544" s="1"/>
      <c r="Z544" s="1"/>
    </row>
    <row r="545" ht="15.75" customHeight="1">
      <c r="A545" s="1" t="str">
        <f>IFERROR(__xludf.DUMMYFUNCTION("""COMPUTED_VALUE"""),"Waveless Echo")</f>
        <v>Waveless Echo</v>
      </c>
      <c r="B545" s="62">
        <f>IFERROR(__xludf.DUMMYFUNCTION("""COMPUTED_VALUE"""),1.0)</f>
        <v>1</v>
      </c>
      <c r="C545" s="7">
        <f>IFERROR(__xludf.DUMMYFUNCTION("""COMPUTED_VALUE"""),0.0)</f>
        <v>0</v>
      </c>
      <c r="D545" s="1"/>
      <c r="E545" s="1" t="str">
        <f>IFERROR(__xludf.DUMMYFUNCTION("""COMPUTED_VALUE"""),"Call in 2 sea worms to battle..")</f>
        <v>Call in 2 sea worms to battle..</v>
      </c>
      <c r="F545" s="1" t="str">
        <f>IFERROR(__xludf.DUMMYFUNCTION("""COMPUTED_VALUE"""),"Natural/Fail or Succeed")</f>
        <v>Natural/Fail or Succeed</v>
      </c>
      <c r="G545" s="1" t="str">
        <f>IFERROR(__xludf.DUMMYFUNCTION("""COMPUTED_VALUE"""),"Self")</f>
        <v>Self</v>
      </c>
      <c r="H545" s="1" t="str">
        <f>IFERROR(__xludf.DUMMYFUNCTION("""COMPUTED_VALUE"""),"Water")</f>
        <v>Water</v>
      </c>
      <c r="I545" s="1" t="str">
        <f>IFERROR(__xludf.DUMMYFUNCTION("""COMPUTED_VALUE"""),"Mob")</f>
        <v>Mob</v>
      </c>
      <c r="J545" s="1" t="b">
        <f>IFERROR(__xludf.DUMMYFUNCTION("""COMPUTED_VALUE"""),TRUE)</f>
        <v>1</v>
      </c>
      <c r="K545" s="1"/>
      <c r="L545" s="1" t="b">
        <f>IFERROR(__xludf.DUMMYFUNCTION("""COMPUTED_VALUE"""),TRUE)</f>
        <v>1</v>
      </c>
      <c r="M545" s="21" t="b">
        <f>IFERROR(__xludf.DUMMYFUNCTION("""COMPUTED_VALUE"""),FALSE)</f>
        <v>0</v>
      </c>
      <c r="N545" s="1"/>
      <c r="O545" s="1"/>
      <c r="P545" s="1"/>
      <c r="Q545" s="1"/>
      <c r="R545" s="1"/>
      <c r="S545" s="1"/>
      <c r="T545" s="1"/>
      <c r="U545" s="1"/>
      <c r="V545" s="1"/>
      <c r="W545" s="1"/>
      <c r="X545" s="1"/>
      <c r="Y545" s="1"/>
      <c r="Z545" s="1"/>
    </row>
    <row r="546" ht="15.75" customHeight="1">
      <c r="A546" s="1" t="str">
        <f>IFERROR(__xludf.DUMMYFUNCTION("""COMPUTED_VALUE"""),"Water Beam")</f>
        <v>Water Beam</v>
      </c>
      <c r="B546" s="62">
        <f>IFERROR(__xludf.DUMMYFUNCTION("""COMPUTED_VALUE"""),1.0)</f>
        <v>1</v>
      </c>
      <c r="C546" s="1" t="str">
        <f>IFERROR(__xludf.DUMMYFUNCTION("""COMPUTED_VALUE"""),"X")</f>
        <v>X</v>
      </c>
      <c r="D546" s="1"/>
      <c r="E546" s="1" t="str">
        <f>IFERROR(__xludf.DUMMYFUNCTION("""COMPUTED_VALUE"""),"Deals X*100 Water undefendable damage to a single enemy where X is equal to SP spent.")</f>
        <v>Deals X*100 Water undefendable damage to a single enemy where X is equal to SP spent.</v>
      </c>
      <c r="F546" s="1" t="str">
        <f>IFERROR(__xludf.DUMMYFUNCTION("""COMPUTED_VALUE"""),"Hit/Miss")</f>
        <v>Hit/Miss</v>
      </c>
      <c r="G546" s="1">
        <f>IFERROR(__xludf.DUMMYFUNCTION("""COMPUTED_VALUE"""),1.0)</f>
        <v>1</v>
      </c>
      <c r="H546" s="1" t="str">
        <f>IFERROR(__xludf.DUMMYFUNCTION("""COMPUTED_VALUE"""),"Water")</f>
        <v>Water</v>
      </c>
      <c r="I546" s="1" t="str">
        <f>IFERROR(__xludf.DUMMYFUNCTION("""COMPUTED_VALUE"""),"Player")</f>
        <v>Player</v>
      </c>
      <c r="J546" s="1" t="b">
        <f>IFERROR(__xludf.DUMMYFUNCTION("""COMPUTED_VALUE"""),FALSE)</f>
        <v>0</v>
      </c>
      <c r="K546" s="1"/>
      <c r="L546" s="1" t="b">
        <f>IFERROR(__xludf.DUMMYFUNCTION("""COMPUTED_VALUE"""),FALSE)</f>
        <v>0</v>
      </c>
      <c r="M546" s="21" t="b">
        <f>IFERROR(__xludf.DUMMYFUNCTION("""COMPUTED_VALUE"""),FALSE)</f>
        <v>0</v>
      </c>
      <c r="N546" s="1"/>
      <c r="O546" s="1"/>
      <c r="P546" s="1"/>
      <c r="Q546" s="1"/>
      <c r="R546" s="1"/>
      <c r="S546" s="1"/>
      <c r="T546" s="1"/>
      <c r="U546" s="1"/>
      <c r="V546" s="1"/>
      <c r="W546" s="1"/>
      <c r="X546" s="1"/>
      <c r="Y546" s="1"/>
      <c r="Z546" s="1"/>
    </row>
    <row r="547" ht="15.75" customHeight="1">
      <c r="A547" s="1" t="str">
        <f>IFERROR(__xludf.DUMMYFUNCTION("""COMPUTED_VALUE"""),"Frostbite")</f>
        <v>Frostbite</v>
      </c>
      <c r="B547" s="62">
        <f>IFERROR(__xludf.DUMMYFUNCTION("""COMPUTED_VALUE"""),5.0)</f>
        <v>5</v>
      </c>
      <c r="C547" s="1" t="str">
        <f>IFERROR(__xludf.DUMMYFUNCTION("""COMPUTED_VALUE"""),"X")</f>
        <v>X</v>
      </c>
      <c r="D547" s="1"/>
      <c r="E547" s="1" t="str">
        <f>IFERROR(__xludf.DUMMYFUNCTION("""COMPUTED_VALUE"""),"Deals X*50 Water damage per round for 3 rounds to a single target where X is equal to SP spent.")</f>
        <v>Deals X*50 Water damage per round for 3 rounds to a single target where X is equal to SP spent.</v>
      </c>
      <c r="F547" s="1" t="str">
        <f>IFERROR(__xludf.DUMMYFUNCTION("""COMPUTED_VALUE"""),"Hit/Miss")</f>
        <v>Hit/Miss</v>
      </c>
      <c r="G547" s="1">
        <f>IFERROR(__xludf.DUMMYFUNCTION("""COMPUTED_VALUE"""),1.0)</f>
        <v>1</v>
      </c>
      <c r="H547" s="1" t="str">
        <f>IFERROR(__xludf.DUMMYFUNCTION("""COMPUTED_VALUE"""),"Water")</f>
        <v>Water</v>
      </c>
      <c r="I547" s="1" t="str">
        <f>IFERROR(__xludf.DUMMYFUNCTION("""COMPUTED_VALUE"""),"Player")</f>
        <v>Player</v>
      </c>
      <c r="J547" s="1" t="b">
        <f>IFERROR(__xludf.DUMMYFUNCTION("""COMPUTED_VALUE"""),FALSE)</f>
        <v>0</v>
      </c>
      <c r="K547" s="1"/>
      <c r="L547" s="1" t="b">
        <f>IFERROR(__xludf.DUMMYFUNCTION("""COMPUTED_VALUE"""),FALSE)</f>
        <v>0</v>
      </c>
      <c r="M547" s="21" t="b">
        <f>IFERROR(__xludf.DUMMYFUNCTION("""COMPUTED_VALUE"""),FALSE)</f>
        <v>0</v>
      </c>
      <c r="N547" s="1"/>
      <c r="O547" s="1"/>
      <c r="P547" s="1"/>
      <c r="Q547" s="1"/>
      <c r="R547" s="1"/>
      <c r="S547" s="1"/>
      <c r="T547" s="1"/>
      <c r="U547" s="1"/>
      <c r="V547" s="1"/>
      <c r="W547" s="1"/>
      <c r="X547" s="1"/>
      <c r="Y547" s="1"/>
      <c r="Z547" s="1"/>
    </row>
    <row r="548" ht="15.75" customHeight="1">
      <c r="A548" s="1" t="str">
        <f>IFERROR(__xludf.DUMMYFUNCTION("""COMPUTED_VALUE"""),"Torrential Downpour")</f>
        <v>Torrential Downpour</v>
      </c>
      <c r="B548" s="62">
        <f>IFERROR(__xludf.DUMMYFUNCTION("""COMPUTED_VALUE"""),5.0)</f>
        <v>5</v>
      </c>
      <c r="C548" s="1" t="str">
        <f>IFERROR(__xludf.DUMMYFUNCTION("""COMPUTED_VALUE"""),"X")</f>
        <v>X</v>
      </c>
      <c r="D548" s="1"/>
      <c r="E548" s="1" t="str">
        <f>IFERROR(__xludf.DUMMYFUNCTION("""COMPUTED_VALUE"""),"Deals X*25 Water undefendable damage to all enemies where X is equal to SP spent.")</f>
        <v>Deals X*25 Water undefendable damage to all enemies where X is equal to SP spent.</v>
      </c>
      <c r="F548" s="1" t="str">
        <f>IFERROR(__xludf.DUMMYFUNCTION("""COMPUTED_VALUE"""),"Cannot Avoid")</f>
        <v>Cannot Avoid</v>
      </c>
      <c r="G548" s="1" t="str">
        <f>IFERROR(__xludf.DUMMYFUNCTION("""COMPUTED_VALUE"""),"All")</f>
        <v>All</v>
      </c>
      <c r="H548" s="1" t="str">
        <f>IFERROR(__xludf.DUMMYFUNCTION("""COMPUTED_VALUE"""),"Water")</f>
        <v>Water</v>
      </c>
      <c r="I548" s="1" t="str">
        <f>IFERROR(__xludf.DUMMYFUNCTION("""COMPUTED_VALUE"""),"Player")</f>
        <v>Player</v>
      </c>
      <c r="J548" s="1" t="b">
        <f>IFERROR(__xludf.DUMMYFUNCTION("""COMPUTED_VALUE"""),FALSE)</f>
        <v>0</v>
      </c>
      <c r="K548" s="1"/>
      <c r="L548" s="1" t="b">
        <f>IFERROR(__xludf.DUMMYFUNCTION("""COMPUTED_VALUE"""),FALSE)</f>
        <v>0</v>
      </c>
      <c r="M548" s="21" t="b">
        <f>IFERROR(__xludf.DUMMYFUNCTION("""COMPUTED_VALUE"""),FALSE)</f>
        <v>0</v>
      </c>
      <c r="N548" s="1"/>
      <c r="O548" s="1"/>
      <c r="P548" s="1"/>
      <c r="Q548" s="1"/>
      <c r="R548" s="1"/>
      <c r="S548" s="1"/>
      <c r="T548" s="1"/>
      <c r="U548" s="1"/>
      <c r="V548" s="1"/>
      <c r="W548" s="1"/>
      <c r="X548" s="1"/>
      <c r="Y548" s="1"/>
      <c r="Z548" s="1"/>
    </row>
    <row r="549" ht="15.75" customHeight="1">
      <c r="A549" s="1" t="str">
        <f>IFERROR(__xludf.DUMMYFUNCTION("""COMPUTED_VALUE"""),"Deep Freeze")</f>
        <v>Deep Freeze</v>
      </c>
      <c r="B549" s="62">
        <f>IFERROR(__xludf.DUMMYFUNCTION("""COMPUTED_VALUE"""),6.0)</f>
        <v>6</v>
      </c>
      <c r="C549" s="1" t="str">
        <f>IFERROR(__xludf.DUMMYFUNCTION("""COMPUTED_VALUE"""),"X")</f>
        <v>X</v>
      </c>
      <c r="D549" s="1"/>
      <c r="E549" s="1" t="str">
        <f>IFERROR(__xludf.DUMMYFUNCTION("""COMPUTED_VALUE"""),"Deals X*10 Water damage per round to all enemies for 3 rounds where X is equal to SP spent.")</f>
        <v>Deals X*10 Water damage per round to all enemies for 3 rounds where X is equal to SP spent.</v>
      </c>
      <c r="F549" s="1" t="str">
        <f>IFERROR(__xludf.DUMMYFUNCTION("""COMPUTED_VALUE"""),"Cannot Avoid")</f>
        <v>Cannot Avoid</v>
      </c>
      <c r="G549" s="1" t="str">
        <f>IFERROR(__xludf.DUMMYFUNCTION("""COMPUTED_VALUE"""),"All")</f>
        <v>All</v>
      </c>
      <c r="H549" s="1" t="str">
        <f>IFERROR(__xludf.DUMMYFUNCTION("""COMPUTED_VALUE"""),"Water")</f>
        <v>Water</v>
      </c>
      <c r="I549" s="1" t="str">
        <f>IFERROR(__xludf.DUMMYFUNCTION("""COMPUTED_VALUE"""),"Player")</f>
        <v>Player</v>
      </c>
      <c r="J549" s="1" t="b">
        <f>IFERROR(__xludf.DUMMYFUNCTION("""COMPUTED_VALUE"""),FALSE)</f>
        <v>0</v>
      </c>
      <c r="K549" s="1"/>
      <c r="L549" s="1" t="b">
        <f>IFERROR(__xludf.DUMMYFUNCTION("""COMPUTED_VALUE"""),FALSE)</f>
        <v>0</v>
      </c>
      <c r="M549" s="21" t="b">
        <f>IFERROR(__xludf.DUMMYFUNCTION("""COMPUTED_VALUE"""),FALSE)</f>
        <v>0</v>
      </c>
      <c r="N549" s="1"/>
      <c r="O549" s="1"/>
      <c r="P549" s="1"/>
      <c r="Q549" s="1"/>
      <c r="R549" s="1"/>
      <c r="S549" s="1"/>
      <c r="T549" s="1"/>
      <c r="U549" s="1"/>
      <c r="V549" s="1"/>
      <c r="W549" s="1"/>
      <c r="X549" s="1"/>
      <c r="Y549" s="1"/>
      <c r="Z549" s="1"/>
    </row>
    <row r="550" ht="15.75" customHeight="1">
      <c r="A550" s="1" t="str">
        <f>IFERROR(__xludf.DUMMYFUNCTION("""COMPUTED_VALUE"""),"Tsunami")</f>
        <v>Tsunami</v>
      </c>
      <c r="B550" s="62">
        <f>IFERROR(__xludf.DUMMYFUNCTION("""COMPUTED_VALUE"""),9.0)</f>
        <v>9</v>
      </c>
      <c r="C550" s="1" t="str">
        <f>IFERROR(__xludf.DUMMYFUNCTION("""COMPUTED_VALUE"""),"d20*40")</f>
        <v>d20*40</v>
      </c>
      <c r="D550" s="1"/>
      <c r="E550" s="1"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1" t="str">
        <f>IFERROR(__xludf.DUMMYFUNCTION("""COMPUTED_VALUE"""),"Cannot Avoid")</f>
        <v>Cannot Avoid</v>
      </c>
      <c r="G550" s="1" t="str">
        <f>IFERROR(__xludf.DUMMYFUNCTION("""COMPUTED_VALUE"""),"All")</f>
        <v>All</v>
      </c>
      <c r="H550" s="1" t="str">
        <f>IFERROR(__xludf.DUMMYFUNCTION("""COMPUTED_VALUE"""),"Water")</f>
        <v>Water</v>
      </c>
      <c r="I550" s="1" t="str">
        <f>IFERROR(__xludf.DUMMYFUNCTION("""COMPUTED_VALUE"""),"Player")</f>
        <v>Player</v>
      </c>
      <c r="J550" s="1" t="b">
        <f>IFERROR(__xludf.DUMMYFUNCTION("""COMPUTED_VALUE"""),FALSE)</f>
        <v>0</v>
      </c>
      <c r="K550" s="1"/>
      <c r="L550" s="1" t="b">
        <f>IFERROR(__xludf.DUMMYFUNCTION("""COMPUTED_VALUE"""),TRUE)</f>
        <v>1</v>
      </c>
      <c r="M550" s="21" t="b">
        <f>IFERROR(__xludf.DUMMYFUNCTION("""COMPUTED_VALUE"""),FALSE)</f>
        <v>0</v>
      </c>
      <c r="N550" s="1"/>
      <c r="O550" s="1"/>
      <c r="P550" s="1"/>
      <c r="Q550" s="1"/>
      <c r="R550" s="1"/>
      <c r="S550" s="1"/>
      <c r="T550" s="1"/>
      <c r="U550" s="1"/>
      <c r="V550" s="1"/>
      <c r="W550" s="1"/>
      <c r="X550" s="1"/>
      <c r="Y550" s="1"/>
      <c r="Z550" s="1"/>
    </row>
    <row r="551" ht="15.75" customHeight="1">
      <c r="A551" s="1" t="str">
        <f>IFERROR(__xludf.DUMMYFUNCTION("""COMPUTED_VALUE"""),"Cease-Fire")</f>
        <v>Cease-Fire</v>
      </c>
      <c r="B551" s="62">
        <f>IFERROR(__xludf.DUMMYFUNCTION("""COMPUTED_VALUE"""),9.0)</f>
        <v>9</v>
      </c>
      <c r="C551" s="1" t="str">
        <f>IFERROR(__xludf.DUMMYFUNCTION("""COMPUTED_VALUE"""),"X*1000")</f>
        <v>X*1000</v>
      </c>
      <c r="D551" s="1"/>
      <c r="E551" s="1"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1" t="str">
        <f>IFERROR(__xludf.DUMMYFUNCTION("""COMPUTED_VALUE"""),"Fail/Succeed")</f>
        <v>Fail/Succeed</v>
      </c>
      <c r="G551" s="1"/>
      <c r="H551" s="1" t="str">
        <f>IFERROR(__xludf.DUMMYFUNCTION("""COMPUTED_VALUE"""),"Zen")</f>
        <v>Zen</v>
      </c>
      <c r="I551" s="1" t="str">
        <f>IFERROR(__xludf.DUMMYFUNCTION("""COMPUTED_VALUE"""),"Player")</f>
        <v>Player</v>
      </c>
      <c r="J551" s="1" t="b">
        <f>IFERROR(__xludf.DUMMYFUNCTION("""COMPUTED_VALUE"""),FALSE)</f>
        <v>0</v>
      </c>
      <c r="K551" s="1"/>
      <c r="L551" s="1" t="b">
        <f>IFERROR(__xludf.DUMMYFUNCTION("""COMPUTED_VALUE"""),FALSE)</f>
        <v>0</v>
      </c>
      <c r="M551" s="21" t="b">
        <f>IFERROR(__xludf.DUMMYFUNCTION("""COMPUTED_VALUE"""),FALSE)</f>
        <v>0</v>
      </c>
      <c r="N551" s="1"/>
      <c r="O551" s="1"/>
      <c r="P551" s="1"/>
      <c r="Q551" s="1"/>
      <c r="R551" s="1"/>
      <c r="S551" s="1"/>
      <c r="T551" s="1"/>
      <c r="U551" s="1"/>
      <c r="V551" s="1"/>
      <c r="W551" s="1"/>
      <c r="X551" s="1"/>
      <c r="Y551" s="1"/>
      <c r="Z551" s="1"/>
    </row>
    <row r="552" ht="15.75" customHeight="1">
      <c r="A552" s="1" t="str">
        <f>IFERROR(__xludf.DUMMYFUNCTION("""COMPUTED_VALUE"""),"Elemental Fists")</f>
        <v>Elemental Fists</v>
      </c>
      <c r="B552" s="62">
        <f>IFERROR(__xludf.DUMMYFUNCTION("""COMPUTED_VALUE"""),1.0)</f>
        <v>1</v>
      </c>
      <c r="C552" s="1">
        <f>IFERROR(__xludf.DUMMYFUNCTION("""COMPUTED_VALUE"""),0.0)</f>
        <v>0</v>
      </c>
      <c r="D552" s="1"/>
      <c r="E552" s="1"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1" t="str">
        <f>IFERROR(__xludf.DUMMYFUNCTION("""COMPUTED_VALUE"""),"Natural/Hit or Miss")</f>
        <v>Natural/Hit or Miss</v>
      </c>
      <c r="G552" s="1">
        <f>IFERROR(__xludf.DUMMYFUNCTION("""COMPUTED_VALUE"""),1.0)</f>
        <v>1</v>
      </c>
      <c r="H552" s="1" t="str">
        <f>IFERROR(__xludf.DUMMYFUNCTION("""COMPUTED_VALUE"""),"Zen")</f>
        <v>Zen</v>
      </c>
      <c r="I552" s="1" t="str">
        <f>IFERROR(__xludf.DUMMYFUNCTION("""COMPUTED_VALUE"""),"Player")</f>
        <v>Player</v>
      </c>
      <c r="J552" s="1" t="b">
        <f>IFERROR(__xludf.DUMMYFUNCTION("""COMPUTED_VALUE"""),FALSE)</f>
        <v>0</v>
      </c>
      <c r="K552" s="1"/>
      <c r="L552" s="1" t="b">
        <f>IFERROR(__xludf.DUMMYFUNCTION("""COMPUTED_VALUE"""),FALSE)</f>
        <v>0</v>
      </c>
      <c r="M552" s="21" t="b">
        <f>IFERROR(__xludf.DUMMYFUNCTION("""COMPUTED_VALUE"""),FALSE)</f>
        <v>0</v>
      </c>
      <c r="N552" s="1"/>
      <c r="O552" s="1"/>
      <c r="P552" s="1"/>
      <c r="Q552" s="1"/>
      <c r="R552" s="1"/>
      <c r="S552" s="1"/>
      <c r="T552" s="1"/>
      <c r="U552" s="1"/>
      <c r="V552" s="1"/>
      <c r="W552" s="1"/>
      <c r="X552" s="1"/>
      <c r="Y552" s="1"/>
      <c r="Z552" s="1"/>
    </row>
    <row r="553" ht="15.75" customHeight="1">
      <c r="A553" s="1" t="str">
        <f>IFERROR(__xludf.DUMMYFUNCTION("""COMPUTED_VALUE"""),"Evade")</f>
        <v>Evade</v>
      </c>
      <c r="B553" s="62">
        <f>IFERROR(__xludf.DUMMYFUNCTION("""COMPUTED_VALUE"""),1.0)</f>
        <v>1</v>
      </c>
      <c r="C553" s="1">
        <f>IFERROR(__xludf.DUMMYFUNCTION("""COMPUTED_VALUE"""),10.0)</f>
        <v>10</v>
      </c>
      <c r="D553" s="1"/>
      <c r="E553" s="1" t="str">
        <f>IFERROR(__xludf.DUMMYFUNCTION("""COMPUTED_VALUE"""),"+5 to evasion until the end of battle. Can only be used once.")</f>
        <v>+5 to evasion until the end of battle. Can only be used once.</v>
      </c>
      <c r="F553" s="1" t="str">
        <f>IFERROR(__xludf.DUMMYFUNCTION("""COMPUTED_VALUE"""),"Fail/Succeed")</f>
        <v>Fail/Succeed</v>
      </c>
      <c r="G553" s="1"/>
      <c r="H553" s="1" t="str">
        <f>IFERROR(__xludf.DUMMYFUNCTION("""COMPUTED_VALUE"""),"Zen")</f>
        <v>Zen</v>
      </c>
      <c r="I553" s="1" t="str">
        <f>IFERROR(__xludf.DUMMYFUNCTION("""COMPUTED_VALUE"""),"Player")</f>
        <v>Player</v>
      </c>
      <c r="J553" s="1" t="b">
        <f>IFERROR(__xludf.DUMMYFUNCTION("""COMPUTED_VALUE"""),FALSE)</f>
        <v>0</v>
      </c>
      <c r="K553" s="1"/>
      <c r="L553" s="1" t="b">
        <f>IFERROR(__xludf.DUMMYFUNCTION("""COMPUTED_VALUE"""),FALSE)</f>
        <v>0</v>
      </c>
      <c r="M553" s="21" t="b">
        <f>IFERROR(__xludf.DUMMYFUNCTION("""COMPUTED_VALUE"""),FALSE)</f>
        <v>0</v>
      </c>
      <c r="N553" s="1"/>
      <c r="O553" s="1"/>
      <c r="P553" s="1"/>
      <c r="Q553" s="1"/>
      <c r="R553" s="1"/>
      <c r="S553" s="1"/>
      <c r="T553" s="1"/>
      <c r="U553" s="1"/>
      <c r="V553" s="1"/>
      <c r="W553" s="1"/>
      <c r="X553" s="1"/>
      <c r="Y553" s="1"/>
      <c r="Z553" s="1"/>
    </row>
    <row r="554" ht="15.75" customHeight="1">
      <c r="A554" s="1" t="str">
        <f>IFERROR(__xludf.DUMMYFUNCTION("""COMPUTED_VALUE"""),"FlashStep")</f>
        <v>FlashStep</v>
      </c>
      <c r="B554" s="62">
        <f>IFERROR(__xludf.DUMMYFUNCTION("""COMPUTED_VALUE"""),9.0)</f>
        <v>9</v>
      </c>
      <c r="C554" s="1">
        <f>IFERROR(__xludf.DUMMYFUNCTION("""COMPUTED_VALUE"""),600.0)</f>
        <v>600</v>
      </c>
      <c r="D554" s="1"/>
      <c r="E554" s="1"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1" t="str">
        <f>IFERROR(__xludf.DUMMYFUNCTION("""COMPUTED_VALUE"""),"Hit/Miss")</f>
        <v>Hit/Miss</v>
      </c>
      <c r="G554" s="1">
        <f>IFERROR(__xludf.DUMMYFUNCTION("""COMPUTED_VALUE"""),1.0)</f>
        <v>1</v>
      </c>
      <c r="H554" s="1" t="str">
        <f>IFERROR(__xludf.DUMMYFUNCTION("""COMPUTED_VALUE"""),"Zen")</f>
        <v>Zen</v>
      </c>
      <c r="I554" s="1" t="str">
        <f>IFERROR(__xludf.DUMMYFUNCTION("""COMPUTED_VALUE"""),"Player")</f>
        <v>Player</v>
      </c>
      <c r="J554" s="1" t="b">
        <f>IFERROR(__xludf.DUMMYFUNCTION("""COMPUTED_VALUE"""),FALSE)</f>
        <v>0</v>
      </c>
      <c r="K554" s="1"/>
      <c r="L554" s="1" t="b">
        <f>IFERROR(__xludf.DUMMYFUNCTION("""COMPUTED_VALUE"""),FALSE)</f>
        <v>0</v>
      </c>
      <c r="M554" s="21" t="b">
        <f>IFERROR(__xludf.DUMMYFUNCTION("""COMPUTED_VALUE"""),FALSE)</f>
        <v>0</v>
      </c>
      <c r="N554" s="1"/>
      <c r="O554" s="1"/>
      <c r="P554" s="1"/>
      <c r="Q554" s="1"/>
      <c r="R554" s="1"/>
      <c r="S554" s="1"/>
      <c r="T554" s="1"/>
      <c r="U554" s="1"/>
      <c r="V554" s="1"/>
      <c r="W554" s="1"/>
      <c r="X554" s="1"/>
      <c r="Y554" s="1"/>
      <c r="Z554" s="1"/>
    </row>
    <row r="555" ht="15.75" customHeight="1">
      <c r="A555" s="1" t="str">
        <f>IFERROR(__xludf.DUMMYFUNCTION("""COMPUTED_VALUE"""),"Focus")</f>
        <v>Focus</v>
      </c>
      <c r="B555" s="62">
        <f>IFERROR(__xludf.DUMMYFUNCTION("""COMPUTED_VALUE"""),1.0)</f>
        <v>1</v>
      </c>
      <c r="C555" s="1">
        <f>IFERROR(__xludf.DUMMYFUNCTION("""COMPUTED_VALUE"""),10.0)</f>
        <v>10</v>
      </c>
      <c r="D555" s="1"/>
      <c r="E555" s="1" t="str">
        <f>IFERROR(__xludf.DUMMYFUNCTION("""COMPUTED_VALUE"""),"Gain X2 attack, accuracy, and defense till the end of battle.")</f>
        <v>Gain X2 attack, accuracy, and defense till the end of battle.</v>
      </c>
      <c r="F555" s="1" t="str">
        <f>IFERROR(__xludf.DUMMYFUNCTION("""COMPUTED_VALUE"""),"Fail/succeed")</f>
        <v>Fail/succeed</v>
      </c>
      <c r="G555" s="1"/>
      <c r="H555" s="1" t="str">
        <f>IFERROR(__xludf.DUMMYFUNCTION("""COMPUTED_VALUE"""),"Zen")</f>
        <v>Zen</v>
      </c>
      <c r="I555" s="1" t="str">
        <f>IFERROR(__xludf.DUMMYFUNCTION("""COMPUTED_VALUE"""),"Player")</f>
        <v>Player</v>
      </c>
      <c r="J555" s="1" t="b">
        <f>IFERROR(__xludf.DUMMYFUNCTION("""COMPUTED_VALUE"""),FALSE)</f>
        <v>0</v>
      </c>
      <c r="K555" s="1"/>
      <c r="L555" s="1" t="b">
        <f>IFERROR(__xludf.DUMMYFUNCTION("""COMPUTED_VALUE"""),FALSE)</f>
        <v>0</v>
      </c>
      <c r="M555" s="21" t="b">
        <f>IFERROR(__xludf.DUMMYFUNCTION("""COMPUTED_VALUE"""),FALSE)</f>
        <v>0</v>
      </c>
      <c r="N555" s="1"/>
      <c r="O555" s="1"/>
      <c r="P555" s="1"/>
      <c r="Q555" s="1"/>
      <c r="R555" s="1"/>
      <c r="S555" s="1"/>
      <c r="T555" s="1"/>
      <c r="U555" s="1"/>
      <c r="V555" s="1"/>
      <c r="W555" s="1"/>
      <c r="X555" s="1"/>
      <c r="Y555" s="1"/>
      <c r="Z555" s="1"/>
    </row>
    <row r="556" ht="15.75" customHeight="1">
      <c r="A556" s="1" t="str">
        <f>IFERROR(__xludf.DUMMYFUNCTION("""COMPUTED_VALUE"""),"Foresight")</f>
        <v>Foresight</v>
      </c>
      <c r="B556" s="62">
        <f>IFERROR(__xludf.DUMMYFUNCTION("""COMPUTED_VALUE"""),8.0)</f>
        <v>8</v>
      </c>
      <c r="C556" s="1">
        <f>IFERROR(__xludf.DUMMYFUNCTION("""COMPUTED_VALUE"""),1000.0)</f>
        <v>1000</v>
      </c>
      <c r="D556" s="1"/>
      <c r="E556" s="1" t="str">
        <f>IFERROR(__xludf.DUMMYFUNCTION("""COMPUTED_VALUE"""),"Immune to instant death and evade all attacks the rest of the round. (Cannot avoid attacks are still avoided)")</f>
        <v>Immune to instant death and evade all attacks the rest of the round. (Cannot avoid attacks are still avoided)</v>
      </c>
      <c r="F556" s="1" t="str">
        <f>IFERROR(__xludf.DUMMYFUNCTION("""COMPUTED_VALUE"""),"Fail/Succeed")</f>
        <v>Fail/Succeed</v>
      </c>
      <c r="G556" s="1"/>
      <c r="H556" s="1" t="str">
        <f>IFERROR(__xludf.DUMMYFUNCTION("""COMPUTED_VALUE"""),"Zen")</f>
        <v>Zen</v>
      </c>
      <c r="I556" s="1" t="str">
        <f>IFERROR(__xludf.DUMMYFUNCTION("""COMPUTED_VALUE"""),"Player")</f>
        <v>Player</v>
      </c>
      <c r="J556" s="1" t="b">
        <f>IFERROR(__xludf.DUMMYFUNCTION("""COMPUTED_VALUE"""),FALSE)</f>
        <v>0</v>
      </c>
      <c r="K556" s="1"/>
      <c r="L556" s="1" t="b">
        <f>IFERROR(__xludf.DUMMYFUNCTION("""COMPUTED_VALUE"""),FALSE)</f>
        <v>0</v>
      </c>
      <c r="M556" s="21" t="b">
        <f>IFERROR(__xludf.DUMMYFUNCTION("""COMPUTED_VALUE"""),FALSE)</f>
        <v>0</v>
      </c>
      <c r="N556" s="1"/>
      <c r="O556" s="1"/>
      <c r="P556" s="1"/>
      <c r="Q556" s="1"/>
      <c r="R556" s="1"/>
      <c r="S556" s="1"/>
      <c r="T556" s="1"/>
      <c r="U556" s="1"/>
      <c r="V556" s="1"/>
      <c r="W556" s="1"/>
      <c r="X556" s="1"/>
      <c r="Y556" s="1"/>
      <c r="Z556" s="1"/>
    </row>
    <row r="557" ht="15.75" customHeight="1">
      <c r="A557" s="1" t="str">
        <f>IFERROR(__xludf.DUMMYFUNCTION("""COMPUTED_VALUE"""),"Ki Blast")</f>
        <v>Ki Blast</v>
      </c>
      <c r="B557" s="62">
        <f>IFERROR(__xludf.DUMMYFUNCTION("""COMPUTED_VALUE"""),9.0)</f>
        <v>9</v>
      </c>
      <c r="C557" s="7">
        <f>IFERROR(__xludf.DUMMYFUNCTION("""COMPUTED_VALUE"""),7200.0)</f>
        <v>7200</v>
      </c>
      <c r="D557" s="1"/>
      <c r="E557" s="1" t="str">
        <f>IFERROR(__xludf.DUMMYFUNCTION("""COMPUTED_VALUE"""),"36,000 storm, earth, water, fire, and nature damage.")</f>
        <v>36,000 storm, earth, water, fire, and nature damage.</v>
      </c>
      <c r="F557" s="1" t="str">
        <f>IFERROR(__xludf.DUMMYFUNCTION("""COMPUTED_VALUE"""),"Cannot Avoid")</f>
        <v>Cannot Avoid</v>
      </c>
      <c r="G557" s="1"/>
      <c r="H557" s="1" t="str">
        <f>IFERROR(__xludf.DUMMYFUNCTION("""COMPUTED_VALUE"""),"Zen")</f>
        <v>Zen</v>
      </c>
      <c r="I557" s="1" t="str">
        <f>IFERROR(__xludf.DUMMYFUNCTION("""COMPUTED_VALUE"""),"Player")</f>
        <v>Player</v>
      </c>
      <c r="J557" s="1" t="b">
        <f>IFERROR(__xludf.DUMMYFUNCTION("""COMPUTED_VALUE"""),FALSE)</f>
        <v>0</v>
      </c>
      <c r="K557" s="1"/>
      <c r="L557" s="1" t="b">
        <f>IFERROR(__xludf.DUMMYFUNCTION("""COMPUTED_VALUE"""),FALSE)</f>
        <v>0</v>
      </c>
      <c r="M557" s="21" t="b">
        <f>IFERROR(__xludf.DUMMYFUNCTION("""COMPUTED_VALUE"""),FALSE)</f>
        <v>0</v>
      </c>
      <c r="N557" s="1"/>
      <c r="O557" s="1"/>
      <c r="P557" s="1"/>
      <c r="Q557" s="1"/>
      <c r="R557" s="1"/>
      <c r="S557" s="1"/>
      <c r="T557" s="1"/>
      <c r="U557" s="1"/>
      <c r="V557" s="1"/>
      <c r="W557" s="1"/>
      <c r="X557" s="1"/>
      <c r="Y557" s="1"/>
      <c r="Z557" s="1"/>
    </row>
    <row r="558" ht="15.75" customHeight="1">
      <c r="A558" s="1" t="str">
        <f>IFERROR(__xludf.DUMMYFUNCTION("""COMPUTED_VALUE"""),"Ki Charge")</f>
        <v>Ki Charge</v>
      </c>
      <c r="B558" s="62">
        <f>IFERROR(__xludf.DUMMYFUNCTION("""COMPUTED_VALUE"""),7.0)</f>
        <v>7</v>
      </c>
      <c r="C558" s="1">
        <f>IFERROR(__xludf.DUMMYFUNCTION("""COMPUTED_VALUE"""),400.0)</f>
        <v>400</v>
      </c>
      <c r="D558" s="1"/>
      <c r="E558" s="1" t="str">
        <f>IFERROR(__xludf.DUMMYFUNCTION("""COMPUTED_VALUE"""),"X2 additional storm, earth, water, fire, and nature damage.")</f>
        <v>X2 additional storm, earth, water, fire, and nature damage.</v>
      </c>
      <c r="F558" s="1" t="str">
        <f>IFERROR(__xludf.DUMMYFUNCTION("""COMPUTED_VALUE"""),"Will Suceed.")</f>
        <v>Will Suceed.</v>
      </c>
      <c r="G558" s="1" t="str">
        <f>IFERROR(__xludf.DUMMYFUNCTION("""COMPUTED_VALUE"""),"Self")</f>
        <v>Self</v>
      </c>
      <c r="H558" s="1" t="str">
        <f>IFERROR(__xludf.DUMMYFUNCTION("""COMPUTED_VALUE"""),"Zen")</f>
        <v>Zen</v>
      </c>
      <c r="I558" s="1" t="str">
        <f>IFERROR(__xludf.DUMMYFUNCTION("""COMPUTED_VALUE"""),"Player")</f>
        <v>Player</v>
      </c>
      <c r="J558" s="1" t="b">
        <f>IFERROR(__xludf.DUMMYFUNCTION("""COMPUTED_VALUE"""),FALSE)</f>
        <v>0</v>
      </c>
      <c r="K558" s="1"/>
      <c r="L558" s="1" t="b">
        <f>IFERROR(__xludf.DUMMYFUNCTION("""COMPUTED_VALUE"""),FALSE)</f>
        <v>0</v>
      </c>
      <c r="M558" s="21" t="b">
        <f>IFERROR(__xludf.DUMMYFUNCTION("""COMPUTED_VALUE"""),FALSE)</f>
        <v>0</v>
      </c>
      <c r="N558" s="1"/>
      <c r="O558" s="1"/>
      <c r="P558" s="1"/>
      <c r="Q558" s="1"/>
      <c r="R558" s="1"/>
      <c r="S558" s="1"/>
      <c r="T558" s="1"/>
      <c r="U558" s="1"/>
      <c r="V558" s="1"/>
      <c r="W558" s="1"/>
      <c r="X558" s="1"/>
      <c r="Y558" s="1"/>
      <c r="Z558" s="1"/>
    </row>
    <row r="559" ht="15.75" customHeight="1">
      <c r="A559" s="1" t="str">
        <f>IFERROR(__xludf.DUMMYFUNCTION("""COMPUTED_VALUE"""),"Max Evade")</f>
        <v>Max Evade</v>
      </c>
      <c r="B559" s="62">
        <f>IFERROR(__xludf.DUMMYFUNCTION("""COMPUTED_VALUE"""),6.0)</f>
        <v>6</v>
      </c>
      <c r="C559" s="1">
        <f>IFERROR(__xludf.DUMMYFUNCTION("""COMPUTED_VALUE"""),60.0)</f>
        <v>60</v>
      </c>
      <c r="D559" s="1"/>
      <c r="E559" s="1" t="str">
        <f>IFERROR(__xludf.DUMMYFUNCTION("""COMPUTED_VALUE"""),"+5 evasion and mobility for 3 rounds.")</f>
        <v>+5 evasion and mobility for 3 rounds.</v>
      </c>
      <c r="F559" s="1" t="str">
        <f>IFERROR(__xludf.DUMMYFUNCTION("""COMPUTED_VALUE"""),"Will Succeed")</f>
        <v>Will Succeed</v>
      </c>
      <c r="G559" s="1"/>
      <c r="H559" s="1" t="str">
        <f>IFERROR(__xludf.DUMMYFUNCTION("""COMPUTED_VALUE"""),"Zen")</f>
        <v>Zen</v>
      </c>
      <c r="I559" s="1" t="str">
        <f>IFERROR(__xludf.DUMMYFUNCTION("""COMPUTED_VALUE"""),"Player")</f>
        <v>Player</v>
      </c>
      <c r="J559" s="1" t="b">
        <f>IFERROR(__xludf.DUMMYFUNCTION("""COMPUTED_VALUE"""),FALSE)</f>
        <v>0</v>
      </c>
      <c r="K559" s="1"/>
      <c r="L559" s="1" t="b">
        <f>IFERROR(__xludf.DUMMYFUNCTION("""COMPUTED_VALUE"""),FALSE)</f>
        <v>0</v>
      </c>
      <c r="M559" s="21" t="b">
        <f>IFERROR(__xludf.DUMMYFUNCTION("""COMPUTED_VALUE"""),FALSE)</f>
        <v>0</v>
      </c>
      <c r="N559" s="1"/>
      <c r="O559" s="1"/>
      <c r="P559" s="1"/>
      <c r="Q559" s="1"/>
      <c r="R559" s="1"/>
      <c r="S559" s="1"/>
      <c r="T559" s="1"/>
      <c r="U559" s="1"/>
      <c r="V559" s="1"/>
      <c r="W559" s="1"/>
      <c r="X559" s="1"/>
      <c r="Y559" s="1"/>
      <c r="Z559" s="1"/>
    </row>
    <row r="560" ht="15.75" customHeight="1">
      <c r="A560" s="1" t="str">
        <f>IFERROR(__xludf.DUMMYFUNCTION("""COMPUTED_VALUE"""),"Max Focus")</f>
        <v>Max Focus</v>
      </c>
      <c r="B560" s="62">
        <f>IFERROR(__xludf.DUMMYFUNCTION("""COMPUTED_VALUE"""),9.0)</f>
        <v>9</v>
      </c>
      <c r="C560" s="1" t="str">
        <f>IFERROR(__xludf.DUMMYFUNCTION("""COMPUTED_VALUE"""),"X*2000")</f>
        <v>X*2000</v>
      </c>
      <c r="D560" s="1"/>
      <c r="E560" s="1" t="str">
        <f>IFERROR(__xludf.DUMMYFUNCTION("""COMPUTED_VALUE"""),"You gain X Evasion, Mobility, and Intimidation where X is equal to the SP you pay (Max 5) for 3 rounds.")</f>
        <v>You gain X Evasion, Mobility, and Intimidation where X is equal to the SP you pay (Max 5) for 3 rounds.</v>
      </c>
      <c r="F560" s="1" t="str">
        <f>IFERROR(__xludf.DUMMYFUNCTION("""COMPUTED_VALUE"""),"Fail/Succeed")</f>
        <v>Fail/Succeed</v>
      </c>
      <c r="G560" s="1" t="str">
        <f>IFERROR(__xludf.DUMMYFUNCTION("""COMPUTED_VALUE"""),"Self")</f>
        <v>Self</v>
      </c>
      <c r="H560" s="1" t="str">
        <f>IFERROR(__xludf.DUMMYFUNCTION("""COMPUTED_VALUE"""),"Zen")</f>
        <v>Zen</v>
      </c>
      <c r="I560" s="1" t="str">
        <f>IFERROR(__xludf.DUMMYFUNCTION("""COMPUTED_VALUE"""),"Player")</f>
        <v>Player</v>
      </c>
      <c r="J560" s="1" t="b">
        <f>IFERROR(__xludf.DUMMYFUNCTION("""COMPUTED_VALUE"""),FALSE)</f>
        <v>0</v>
      </c>
      <c r="K560" s="1"/>
      <c r="L560" s="1" t="b">
        <f>IFERROR(__xludf.DUMMYFUNCTION("""COMPUTED_VALUE"""),FALSE)</f>
        <v>0</v>
      </c>
      <c r="M560" s="21" t="b">
        <f>IFERROR(__xludf.DUMMYFUNCTION("""COMPUTED_VALUE"""),FALSE)</f>
        <v>0</v>
      </c>
      <c r="N560" s="1"/>
      <c r="O560" s="1"/>
      <c r="P560" s="1"/>
      <c r="Q560" s="1"/>
      <c r="R560" s="1"/>
      <c r="S560" s="1"/>
      <c r="T560" s="1"/>
      <c r="U560" s="1"/>
      <c r="V560" s="1"/>
      <c r="W560" s="1"/>
      <c r="X560" s="1"/>
      <c r="Y560" s="1"/>
      <c r="Z560" s="1"/>
    </row>
    <row r="561" ht="15.75" customHeight="1">
      <c r="A561" s="1" t="str">
        <f>IFERROR(__xludf.DUMMYFUNCTION("""COMPUTED_VALUE"""),"Mind Press")</f>
        <v>Mind Press</v>
      </c>
      <c r="B561" s="62">
        <f>IFERROR(__xludf.DUMMYFUNCTION("""COMPUTED_VALUE"""),9.0)</f>
        <v>9</v>
      </c>
      <c r="C561" s="7">
        <f>IFERROR(__xludf.DUMMYFUNCTION("""COMPUTED_VALUE"""),12000.0)</f>
        <v>12000</v>
      </c>
      <c r="D561" s="1"/>
      <c r="E561" s="1" t="str">
        <f>IFERROR(__xludf.DUMMYFUNCTION("""COMPUTED_VALUE"""),"30,000 damage to all enemies. Cannot resist or be immune to.")</f>
        <v>30,000 damage to all enemies. Cannot resist or be immune to.</v>
      </c>
      <c r="F561" s="1" t="str">
        <f>IFERROR(__xludf.DUMMYFUNCTION("""COMPUTED_VALUE"""),"Will Succeed")</f>
        <v>Will Succeed</v>
      </c>
      <c r="G561" s="1"/>
      <c r="H561" s="1" t="str">
        <f>IFERROR(__xludf.DUMMYFUNCTION("""COMPUTED_VALUE"""),"Zen")</f>
        <v>Zen</v>
      </c>
      <c r="I561" s="1" t="str">
        <f>IFERROR(__xludf.DUMMYFUNCTION("""COMPUTED_VALUE"""),"Player")</f>
        <v>Player</v>
      </c>
      <c r="J561" s="1" t="b">
        <f>IFERROR(__xludf.DUMMYFUNCTION("""COMPUTED_VALUE"""),FALSE)</f>
        <v>0</v>
      </c>
      <c r="K561" s="1"/>
      <c r="L561" s="1" t="b">
        <f>IFERROR(__xludf.DUMMYFUNCTION("""COMPUTED_VALUE"""),FALSE)</f>
        <v>0</v>
      </c>
      <c r="M561" s="21" t="b">
        <f>IFERROR(__xludf.DUMMYFUNCTION("""COMPUTED_VALUE"""),FALSE)</f>
        <v>0</v>
      </c>
      <c r="N561" s="1"/>
      <c r="O561" s="1"/>
      <c r="P561" s="1"/>
      <c r="Q561" s="1"/>
      <c r="R561" s="1"/>
      <c r="S561" s="1"/>
      <c r="T561" s="1"/>
      <c r="U561" s="1"/>
      <c r="V561" s="1"/>
      <c r="W561" s="1"/>
      <c r="X561" s="1"/>
      <c r="Y561" s="1"/>
      <c r="Z561" s="1"/>
    </row>
    <row r="562" ht="15.75" customHeight="1">
      <c r="A562" s="1" t="str">
        <f>IFERROR(__xludf.DUMMYFUNCTION("""COMPUTED_VALUE"""),"Monks Blessing")</f>
        <v>Monks Blessing</v>
      </c>
      <c r="B562" s="62">
        <f>IFERROR(__xludf.DUMMYFUNCTION("""COMPUTED_VALUE"""),6.0)</f>
        <v>6</v>
      </c>
      <c r="C562" s="1">
        <f>IFERROR(__xludf.DUMMYFUNCTION("""COMPUTED_VALUE"""),60.0)</f>
        <v>60</v>
      </c>
      <c r="D562" s="1"/>
      <c r="E562" s="1"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1" t="str">
        <f>IFERROR(__xludf.DUMMYFUNCTION("""COMPUTED_VALUE"""),"Fail/Succeed")</f>
        <v>Fail/Succeed</v>
      </c>
      <c r="G562" s="1"/>
      <c r="H562" s="1" t="str">
        <f>IFERROR(__xludf.DUMMYFUNCTION("""COMPUTED_VALUE"""),"Zen")</f>
        <v>Zen</v>
      </c>
      <c r="I562" s="1" t="str">
        <f>IFERROR(__xludf.DUMMYFUNCTION("""COMPUTED_VALUE"""),"Player")</f>
        <v>Player</v>
      </c>
      <c r="J562" s="1" t="b">
        <f>IFERROR(__xludf.DUMMYFUNCTION("""COMPUTED_VALUE"""),FALSE)</f>
        <v>0</v>
      </c>
      <c r="K562" s="1"/>
      <c r="L562" s="1" t="b">
        <f>IFERROR(__xludf.DUMMYFUNCTION("""COMPUTED_VALUE"""),FALSE)</f>
        <v>0</v>
      </c>
      <c r="M562" s="21" t="b">
        <f>IFERROR(__xludf.DUMMYFUNCTION("""COMPUTED_VALUE"""),FALSE)</f>
        <v>0</v>
      </c>
      <c r="N562" s="1"/>
      <c r="O562" s="1"/>
      <c r="P562" s="1"/>
      <c r="Q562" s="1"/>
      <c r="R562" s="1"/>
      <c r="S562" s="1"/>
      <c r="T562" s="1"/>
      <c r="U562" s="1"/>
      <c r="V562" s="1"/>
      <c r="W562" s="1"/>
      <c r="X562" s="1"/>
      <c r="Y562" s="1"/>
      <c r="Z562" s="1"/>
    </row>
    <row r="563" ht="15.75" customHeight="1">
      <c r="A563" s="1" t="str">
        <f>IFERROR(__xludf.DUMMYFUNCTION("""COMPUTED_VALUE"""),"The All Knowing Eye")</f>
        <v>The All Knowing Eye</v>
      </c>
      <c r="B563" s="62">
        <f>IFERROR(__xludf.DUMMYFUNCTION("""COMPUTED_VALUE"""),8.0)</f>
        <v>8</v>
      </c>
      <c r="C563" s="1">
        <f>IFERROR(__xludf.DUMMYFUNCTION("""COMPUTED_VALUE"""),500.0)</f>
        <v>500</v>
      </c>
      <c r="D563" s="1"/>
      <c r="E563" s="1" t="str">
        <f>IFERROR(__xludf.DUMMYFUNCTION("""COMPUTED_VALUE"""),"Increase your roll number by 5 for 3 rounds and take no damage from the next incoming attack. (Battle Only)")</f>
        <v>Increase your roll number by 5 for 3 rounds and take no damage from the next incoming attack. (Battle Only)</v>
      </c>
      <c r="F563" s="1" t="str">
        <f>IFERROR(__xludf.DUMMYFUNCTION("""COMPUTED_VALUE"""),"Fail/Succeed")</f>
        <v>Fail/Succeed</v>
      </c>
      <c r="G563" s="1"/>
      <c r="H563" s="1" t="str">
        <f>IFERROR(__xludf.DUMMYFUNCTION("""COMPUTED_VALUE"""),"Zen")</f>
        <v>Zen</v>
      </c>
      <c r="I563" s="1" t="str">
        <f>IFERROR(__xludf.DUMMYFUNCTION("""COMPUTED_VALUE"""),"Player")</f>
        <v>Player</v>
      </c>
      <c r="J563" s="1" t="b">
        <f>IFERROR(__xludf.DUMMYFUNCTION("""COMPUTED_VALUE"""),FALSE)</f>
        <v>0</v>
      </c>
      <c r="K563" s="1"/>
      <c r="L563" s="1" t="b">
        <f>IFERROR(__xludf.DUMMYFUNCTION("""COMPUTED_VALUE"""),FALSE)</f>
        <v>0</v>
      </c>
      <c r="M563" s="1" t="b">
        <f>IFERROR(__xludf.DUMMYFUNCTION("""COMPUTED_VALUE"""),FALSE)</f>
        <v>0</v>
      </c>
      <c r="N563" s="1"/>
      <c r="O563" s="1"/>
      <c r="P563" s="1"/>
      <c r="Q563" s="1"/>
      <c r="R563" s="1"/>
      <c r="S563" s="1"/>
      <c r="T563" s="1"/>
      <c r="U563" s="1"/>
      <c r="V563" s="1"/>
      <c r="W563" s="1"/>
      <c r="X563" s="1"/>
      <c r="Y563" s="1"/>
      <c r="Z563" s="1"/>
    </row>
    <row r="564" ht="15.75" customHeight="1">
      <c r="A564" s="1" t="str">
        <f>IFERROR(__xludf.DUMMYFUNCTION("""COMPUTED_VALUE"""),"Insanity Pulse")</f>
        <v>Insanity Pulse</v>
      </c>
      <c r="B564" s="62">
        <f>IFERROR(__xludf.DUMMYFUNCTION("""COMPUTED_VALUE"""),9.0)</f>
        <v>9</v>
      </c>
      <c r="C564" s="1">
        <f>IFERROR(__xludf.DUMMYFUNCTION("""COMPUTED_VALUE"""),10000.0)</f>
        <v>10000</v>
      </c>
      <c r="D564" s="1"/>
      <c r="E564" s="1"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1" t="str">
        <f>IFERROR(__xludf.DUMMYFUNCTION("""COMPUTED_VALUE"""),"Fail/Succeed")</f>
        <v>Fail/Succeed</v>
      </c>
      <c r="G564" s="1" t="str">
        <f>IFERROR(__xludf.DUMMYFUNCTION("""COMPUTED_VALUE"""),"Self")</f>
        <v>Self</v>
      </c>
      <c r="H564" s="1" t="str">
        <f>IFERROR(__xludf.DUMMYFUNCTION("""COMPUTED_VALUE"""),"Chaos")</f>
        <v>Chaos</v>
      </c>
      <c r="I564" s="1" t="str">
        <f>IFERROR(__xludf.DUMMYFUNCTION("""COMPUTED_VALUE"""),"Mob")</f>
        <v>Mob</v>
      </c>
      <c r="J564" s="1" t="b">
        <f>IFERROR(__xludf.DUMMYFUNCTION("""COMPUTED_VALUE"""),TRUE)</f>
        <v>1</v>
      </c>
      <c r="K564" s="1" t="str">
        <f>IFERROR(__xludf.DUMMYFUNCTION("""COMPUTED_VALUE"""),"Lathom Only")</f>
        <v>Lathom Only</v>
      </c>
      <c r="L564" s="1" t="b">
        <f>IFERROR(__xludf.DUMMYFUNCTION("""COMPUTED_VALUE"""),FALSE)</f>
        <v>0</v>
      </c>
      <c r="M564" s="1" t="b">
        <f>IFERROR(__xludf.DUMMYFUNCTION("""COMPUTED_VALUE"""),FALSE)</f>
        <v>0</v>
      </c>
      <c r="N564" s="1"/>
      <c r="O564" s="1"/>
      <c r="P564" s="1"/>
      <c r="Q564" s="1"/>
      <c r="R564" s="1"/>
      <c r="S564" s="1"/>
      <c r="T564" s="1"/>
      <c r="U564" s="1"/>
      <c r="V564" s="1"/>
      <c r="W564" s="1"/>
      <c r="X564" s="1"/>
      <c r="Y564" s="1"/>
      <c r="Z564" s="1"/>
    </row>
    <row r="565" ht="15.75" customHeight="1">
      <c r="A565" s="1" t="str">
        <f>IFERROR(__xludf.DUMMYFUNCTION("""COMPUTED_VALUE"""),"Defender's Tenacity")</f>
        <v>Defender's Tenacity</v>
      </c>
      <c r="B565" s="62">
        <f>IFERROR(__xludf.DUMMYFUNCTION("""COMPUTED_VALUE"""),5.0)</f>
        <v>5</v>
      </c>
      <c r="C565" s="1" t="str">
        <f>IFERROR(__xludf.DUMMYFUNCTION("""COMPUTED_VALUE"""),"X")</f>
        <v>X</v>
      </c>
      <c r="D565" s="1"/>
      <c r="E565" s="1" t="str">
        <f>IFERROR(__xludf.DUMMYFUNCTION("""COMPUTED_VALUE"""),"Roll a D20 for additional defense, times it by the amount of mana you pay.")</f>
        <v>Roll a D20 for additional defense, times it by the amount of mana you pay.</v>
      </c>
      <c r="F565" s="1" t="str">
        <f>IFERROR(__xludf.DUMMYFUNCTION("""COMPUTED_VALUE"""),"Will Succeed")</f>
        <v>Will Succeed</v>
      </c>
      <c r="G565" s="1" t="str">
        <f>IFERROR(__xludf.DUMMYFUNCTION("""COMPUTED_VALUE"""),"Self")</f>
        <v>Self</v>
      </c>
      <c r="H565" s="1" t="str">
        <f>IFERROR(__xludf.DUMMYFUNCTION("""COMPUTED_VALUE"""),"Physical")</f>
        <v>Physical</v>
      </c>
      <c r="I565" s="1" t="str">
        <f>IFERROR(__xludf.DUMMYFUNCTION("""COMPUTED_VALUE"""),"Player")</f>
        <v>Player</v>
      </c>
      <c r="J565" s="1" t="b">
        <f>IFERROR(__xludf.DUMMYFUNCTION("""COMPUTED_VALUE"""),FALSE)</f>
        <v>0</v>
      </c>
      <c r="K565" s="1"/>
      <c r="L565" s="1" t="b">
        <f>IFERROR(__xludf.DUMMYFUNCTION("""COMPUTED_VALUE"""),FALSE)</f>
        <v>0</v>
      </c>
      <c r="M565" s="1" t="b">
        <f>IFERROR(__xludf.DUMMYFUNCTION("""COMPUTED_VALUE"""),FALSE)</f>
        <v>0</v>
      </c>
      <c r="N565" s="1"/>
      <c r="O565" s="1"/>
      <c r="P565" s="1"/>
      <c r="Q565" s="1"/>
      <c r="R565" s="1"/>
      <c r="S565" s="1"/>
      <c r="T565" s="1"/>
      <c r="U565" s="1"/>
      <c r="V565" s="1"/>
      <c r="W565" s="1"/>
      <c r="X565" s="1"/>
      <c r="Y565" s="1"/>
      <c r="Z565" s="1"/>
    </row>
    <row r="566" ht="15.75" customHeight="1">
      <c r="A566" s="1" t="str">
        <f>IFERROR(__xludf.DUMMYFUNCTION("""COMPUTED_VALUE"""),"Marauder's Rage")</f>
        <v>Marauder's Rage</v>
      </c>
      <c r="B566" s="62">
        <f>IFERROR(__xludf.DUMMYFUNCTION("""COMPUTED_VALUE"""),5.0)</f>
        <v>5</v>
      </c>
      <c r="C566" s="1" t="str">
        <f>IFERROR(__xludf.DUMMYFUNCTION("""COMPUTED_VALUE"""),"X")</f>
        <v>X</v>
      </c>
      <c r="D566" s="1"/>
      <c r="E566" s="1" t="str">
        <f>IFERROR(__xludf.DUMMYFUNCTION("""COMPUTED_VALUE"""),"Roll a D20 for additional attack, times it by the amount of mana you pay.")</f>
        <v>Roll a D20 for additional attack, times it by the amount of mana you pay.</v>
      </c>
      <c r="F566" s="1" t="str">
        <f>IFERROR(__xludf.DUMMYFUNCTION("""COMPUTED_VALUE"""),"Will Succeed")</f>
        <v>Will Succeed</v>
      </c>
      <c r="G566" s="1" t="str">
        <f>IFERROR(__xludf.DUMMYFUNCTION("""COMPUTED_VALUE"""),"Self")</f>
        <v>Self</v>
      </c>
      <c r="H566" s="1" t="str">
        <f>IFERROR(__xludf.DUMMYFUNCTION("""COMPUTED_VALUE"""),"Melee")</f>
        <v>Melee</v>
      </c>
      <c r="I566" s="1"/>
      <c r="J566" s="1" t="b">
        <f>IFERROR(__xludf.DUMMYFUNCTION("""COMPUTED_VALUE"""),FALSE)</f>
        <v>0</v>
      </c>
      <c r="K566" s="1"/>
      <c r="L566" s="1" t="b">
        <f>IFERROR(__xludf.DUMMYFUNCTION("""COMPUTED_VALUE"""),FALSE)</f>
        <v>0</v>
      </c>
      <c r="M566" s="1" t="b">
        <f>IFERROR(__xludf.DUMMYFUNCTION("""COMPUTED_VALUE"""),FALSE)</f>
        <v>0</v>
      </c>
      <c r="N566" s="1"/>
      <c r="O566" s="1"/>
      <c r="P566" s="1"/>
      <c r="Q566" s="1"/>
      <c r="R566" s="1"/>
      <c r="S566" s="1"/>
      <c r="T566" s="1"/>
      <c r="U566" s="1"/>
      <c r="V566" s="1"/>
      <c r="W566" s="1"/>
      <c r="X566" s="1"/>
      <c r="Y566" s="1"/>
      <c r="Z566" s="1"/>
    </row>
    <row r="567" ht="15.75" customHeight="1">
      <c r="A567" s="1" t="str">
        <f>IFERROR(__xludf.DUMMYFUNCTION("""COMPUTED_VALUE"""),"Warden Call")</f>
        <v>Warden Call</v>
      </c>
      <c r="B567" s="62">
        <f>IFERROR(__xludf.DUMMYFUNCTION("""COMPUTED_VALUE"""),1.0)</f>
        <v>1</v>
      </c>
      <c r="C567" s="1">
        <f>IFERROR(__xludf.DUMMYFUNCTION("""COMPUTED_VALUE"""),0.0)</f>
        <v>0</v>
      </c>
      <c r="D567" s="1"/>
      <c r="E567" s="1" t="str">
        <f>IFERROR(__xludf.DUMMYFUNCTION("""COMPUTED_VALUE"""),"Call a d4 of Dragonian Wardens to battle.")</f>
        <v>Call a d4 of Dragonian Wardens to battle.</v>
      </c>
      <c r="F567" s="1" t="str">
        <f>IFERROR(__xludf.DUMMYFUNCTION("""COMPUTED_VALUE"""),"Natural/Fail or Succeed")</f>
        <v>Natural/Fail or Succeed</v>
      </c>
      <c r="G567" s="1" t="str">
        <f>IFERROR(__xludf.DUMMYFUNCTION("""COMPUTED_VALUE"""),"Self")</f>
        <v>Self</v>
      </c>
      <c r="H567" s="1" t="str">
        <f>IFERROR(__xludf.DUMMYFUNCTION("""COMPUTED_VALUE"""),"Order")</f>
        <v>Order</v>
      </c>
      <c r="I567" s="1" t="str">
        <f>IFERROR(__xludf.DUMMYFUNCTION("""COMPUTED_VALUE"""),"Mob")</f>
        <v>Mob</v>
      </c>
      <c r="J567" s="1" t="b">
        <f>IFERROR(__xludf.DUMMYFUNCTION("""COMPUTED_VALUE"""),TRUE)</f>
        <v>1</v>
      </c>
      <c r="K567" s="1"/>
      <c r="L567" s="1" t="b">
        <f>IFERROR(__xludf.DUMMYFUNCTION("""COMPUTED_VALUE"""),FALSE)</f>
        <v>0</v>
      </c>
      <c r="M567" s="1" t="b">
        <f>IFERROR(__xludf.DUMMYFUNCTION("""COMPUTED_VALUE"""),FALSE)</f>
        <v>0</v>
      </c>
      <c r="N567" s="1"/>
      <c r="O567" s="1"/>
      <c r="P567" s="1"/>
      <c r="Q567" s="1"/>
      <c r="R567" s="1"/>
      <c r="S567" s="1"/>
      <c r="T567" s="1"/>
      <c r="U567" s="1"/>
      <c r="V567" s="1"/>
      <c r="W567" s="1"/>
      <c r="X567" s="1"/>
      <c r="Y567" s="1"/>
      <c r="Z567" s="1"/>
    </row>
    <row r="568" ht="15.75" customHeight="1">
      <c r="A568" s="1" t="str">
        <f>IFERROR(__xludf.DUMMYFUNCTION("""COMPUTED_VALUE"""),"Confine")</f>
        <v>Confine</v>
      </c>
      <c r="B568" s="62">
        <f>IFERROR(__xludf.DUMMYFUNCTION("""COMPUTED_VALUE"""),1.0)</f>
        <v>1</v>
      </c>
      <c r="C568" s="1">
        <f>IFERROR(__xludf.DUMMYFUNCTION("""COMPUTED_VALUE"""),0.0)</f>
        <v>0</v>
      </c>
      <c r="D568" s="1"/>
      <c r="E568" s="1"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1" t="str">
        <f>IFERROR(__xludf.DUMMYFUNCTION("""COMPUTED_VALUE"""),"Natural/Hit or Miss")</f>
        <v>Natural/Hit or Miss</v>
      </c>
      <c r="G568" s="1">
        <f>IFERROR(__xludf.DUMMYFUNCTION("""COMPUTED_VALUE"""),1.0)</f>
        <v>1</v>
      </c>
      <c r="H568" s="1" t="str">
        <f>IFERROR(__xludf.DUMMYFUNCTION("""COMPUTED_VALUE"""),"Melee")</f>
        <v>Melee</v>
      </c>
      <c r="I568" s="1" t="str">
        <f>IFERROR(__xludf.DUMMYFUNCTION("""COMPUTED_VALUE"""),"Mob")</f>
        <v>Mob</v>
      </c>
      <c r="J568" s="1" t="b">
        <f>IFERROR(__xludf.DUMMYFUNCTION("""COMPUTED_VALUE"""),TRUE)</f>
        <v>1</v>
      </c>
      <c r="K568" s="1"/>
      <c r="L568" s="1" t="b">
        <f>IFERROR(__xludf.DUMMYFUNCTION("""COMPUTED_VALUE"""),FALSE)</f>
        <v>0</v>
      </c>
      <c r="M568" s="1" t="b">
        <f>IFERROR(__xludf.DUMMYFUNCTION("""COMPUTED_VALUE"""),FALSE)</f>
        <v>0</v>
      </c>
      <c r="N568" s="1"/>
      <c r="O568" s="1"/>
      <c r="P568" s="1"/>
      <c r="Q568" s="1"/>
      <c r="R568" s="1"/>
      <c r="S568" s="1"/>
      <c r="T568" s="1"/>
      <c r="U568" s="1"/>
      <c r="V568" s="1"/>
      <c r="W568" s="1"/>
      <c r="X568" s="1"/>
      <c r="Y568" s="1"/>
      <c r="Z568" s="1"/>
    </row>
    <row r="569" ht="15.75" customHeight="1">
      <c r="A569" s="1" t="str">
        <f>IFERROR(__xludf.DUMMYFUNCTION("""COMPUTED_VALUE"""),"Flames of the Undead")</f>
        <v>Flames of the Undead</v>
      </c>
      <c r="B569" s="62">
        <f>IFERROR(__xludf.DUMMYFUNCTION("""COMPUTED_VALUE"""),3.0)</f>
        <v>3</v>
      </c>
      <c r="C569" s="1" t="str">
        <f>IFERROR(__xludf.DUMMYFUNCTION("""COMPUTED_VALUE"""),"X")</f>
        <v>X</v>
      </c>
      <c r="D569" s="1"/>
      <c r="E569" s="1" t="str">
        <f>IFERROR(__xludf.DUMMYFUNCTION("""COMPUTED_VALUE"""),"Can only be used by Undead, deals X*10 damage to all non-undead enemies, and X*100 to all Undead enemies.")</f>
        <v>Can only be used by Undead, deals X*10 damage to all non-undead enemies, and X*100 to all Undead enemies.</v>
      </c>
      <c r="F569" s="1" t="str">
        <f>IFERROR(__xludf.DUMMYFUNCTION("""COMPUTED_VALUE"""),"Cannot Avoid")</f>
        <v>Cannot Avoid</v>
      </c>
      <c r="G569" s="1" t="str">
        <f>IFERROR(__xludf.DUMMYFUNCTION("""COMPUTED_VALUE"""),"All")</f>
        <v>All</v>
      </c>
      <c r="H569" s="1" t="str">
        <f>IFERROR(__xludf.DUMMYFUNCTION("""COMPUTED_VALUE"""),"Fire")</f>
        <v>Fire</v>
      </c>
      <c r="I569" s="1" t="str">
        <f>IFERROR(__xludf.DUMMYFUNCTION("""COMPUTED_VALUE"""),"Player")</f>
        <v>Player</v>
      </c>
      <c r="J569" s="1" t="b">
        <f>IFERROR(__xludf.DUMMYFUNCTION("""COMPUTED_VALUE"""),FALSE)</f>
        <v>0</v>
      </c>
      <c r="K569" s="1"/>
      <c r="L569" s="1" t="b">
        <f>IFERROR(__xludf.DUMMYFUNCTION("""COMPUTED_VALUE"""),FALSE)</f>
        <v>0</v>
      </c>
      <c r="M569" s="1" t="b">
        <f>IFERROR(__xludf.DUMMYFUNCTION("""COMPUTED_VALUE"""),FALSE)</f>
        <v>0</v>
      </c>
      <c r="N569" s="1"/>
      <c r="O569" s="1"/>
      <c r="P569" s="1"/>
      <c r="Q569" s="1"/>
      <c r="R569" s="1"/>
      <c r="S569" s="1"/>
      <c r="T569" s="1"/>
      <c r="U569" s="1"/>
      <c r="V569" s="1"/>
      <c r="W569" s="1"/>
      <c r="X569" s="1"/>
      <c r="Y569" s="1"/>
      <c r="Z569" s="1"/>
    </row>
    <row r="570" ht="15.75" customHeight="1">
      <c r="A570" s="1" t="str">
        <f>IFERROR(__xludf.DUMMYFUNCTION("""COMPUTED_VALUE"""),"Chameldrian Camoflauge")</f>
        <v>Chameldrian Camoflauge</v>
      </c>
      <c r="B570" s="62">
        <f>IFERROR(__xludf.DUMMYFUNCTION("""COMPUTED_VALUE"""),1.0)</f>
        <v>1</v>
      </c>
      <c r="C570" s="7">
        <f>IFERROR(__xludf.DUMMYFUNCTION("""COMPUTED_VALUE"""),0.0)</f>
        <v>0</v>
      </c>
      <c r="D570" s="1"/>
      <c r="E570" s="1"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1" t="str">
        <f>IFERROR(__xludf.DUMMYFUNCTION("""COMPUTED_VALUE"""),"Natural/Fail or Succeed")</f>
        <v>Natural/Fail or Succeed</v>
      </c>
      <c r="G570" s="1" t="str">
        <f>IFERROR(__xludf.DUMMYFUNCTION("""COMPUTED_VALUE"""),"Self")</f>
        <v>Self</v>
      </c>
      <c r="H570" s="1" t="str">
        <f>IFERROR(__xludf.DUMMYFUNCTION("""COMPUTED_VALUE"""),"Nature")</f>
        <v>Nature</v>
      </c>
      <c r="I570" s="1" t="str">
        <f>IFERROR(__xludf.DUMMYFUNCTION("""COMPUTED_VALUE"""),"Mob")</f>
        <v>Mob</v>
      </c>
      <c r="J570" s="1" t="b">
        <f>IFERROR(__xludf.DUMMYFUNCTION("""COMPUTED_VALUE"""),TRUE)</f>
        <v>1</v>
      </c>
      <c r="K570" s="1"/>
      <c r="L570" s="1" t="b">
        <f>IFERROR(__xludf.DUMMYFUNCTION("""COMPUTED_VALUE"""),FALSE)</f>
        <v>0</v>
      </c>
      <c r="M570" s="1" t="b">
        <f>IFERROR(__xludf.DUMMYFUNCTION("""COMPUTED_VALUE"""),FALSE)</f>
        <v>0</v>
      </c>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t="b">
        <f>IFERROR(__xludf.DUMMYFUNCTION("""COMPUTED_VALUE"""),FALSE)</f>
        <v>0</v>
      </c>
      <c r="K571" s="1"/>
      <c r="L571" s="1" t="b">
        <f>IFERROR(__xludf.DUMMYFUNCTION("""COMPUTED_VALUE"""),FALSE)</f>
        <v>0</v>
      </c>
      <c r="M571" s="1" t="b">
        <f>IFERROR(__xludf.DUMMYFUNCTION("""COMPUTED_VALUE"""),FALSE)</f>
        <v>0</v>
      </c>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t="b">
        <f>IFERROR(__xludf.DUMMYFUNCTION("""COMPUTED_VALUE"""),FALSE)</f>
        <v>0</v>
      </c>
      <c r="K572" s="1"/>
      <c r="L572" s="1" t="b">
        <f>IFERROR(__xludf.DUMMYFUNCTION("""COMPUTED_VALUE"""),FALSE)</f>
        <v>0</v>
      </c>
      <c r="M572" s="1" t="b">
        <f>IFERROR(__xludf.DUMMYFUNCTION("""COMPUTED_VALUE"""),FALSE)</f>
        <v>0</v>
      </c>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t="b">
        <f>IFERROR(__xludf.DUMMYFUNCTION("""COMPUTED_VALUE"""),FALSE)</f>
        <v>0</v>
      </c>
      <c r="K573" s="1"/>
      <c r="L573" s="1" t="b">
        <f>IFERROR(__xludf.DUMMYFUNCTION("""COMPUTED_VALUE"""),FALSE)</f>
        <v>0</v>
      </c>
      <c r="M573" s="1" t="b">
        <f>IFERROR(__xludf.DUMMYFUNCTION("""COMPUTED_VALUE"""),FALSE)</f>
        <v>0</v>
      </c>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t="b">
        <f>IFERROR(__xludf.DUMMYFUNCTION("""COMPUTED_VALUE"""),FALSE)</f>
        <v>0</v>
      </c>
      <c r="K574" s="1"/>
      <c r="L574" s="1" t="b">
        <f>IFERROR(__xludf.DUMMYFUNCTION("""COMPUTED_VALUE"""),FALSE)</f>
        <v>0</v>
      </c>
      <c r="M574" s="1" t="b">
        <f>IFERROR(__xludf.DUMMYFUNCTION("""COMPUTED_VALUE"""),FALSE)</f>
        <v>0</v>
      </c>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t="b">
        <f>IFERROR(__xludf.DUMMYFUNCTION("""COMPUTED_VALUE"""),FALSE)</f>
        <v>0</v>
      </c>
      <c r="K575" s="1"/>
      <c r="L575" s="1" t="b">
        <f>IFERROR(__xludf.DUMMYFUNCTION("""COMPUTED_VALUE"""),FALSE)</f>
        <v>0</v>
      </c>
      <c r="M575" s="1" t="b">
        <f>IFERROR(__xludf.DUMMYFUNCTION("""COMPUTED_VALUE"""),FALSE)</f>
        <v>0</v>
      </c>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t="b">
        <f>IFERROR(__xludf.DUMMYFUNCTION("""COMPUTED_VALUE"""),FALSE)</f>
        <v>0</v>
      </c>
      <c r="K576" s="1"/>
      <c r="L576" s="1" t="b">
        <f>IFERROR(__xludf.DUMMYFUNCTION("""COMPUTED_VALUE"""),FALSE)</f>
        <v>0</v>
      </c>
      <c r="M576" s="1" t="b">
        <f>IFERROR(__xludf.DUMMYFUNCTION("""COMPUTED_VALUE"""),FALSE)</f>
        <v>0</v>
      </c>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t="b">
        <f>IFERROR(__xludf.DUMMYFUNCTION("""COMPUTED_VALUE"""),FALSE)</f>
        <v>0</v>
      </c>
      <c r="K577" s="1"/>
      <c r="L577" s="1" t="b">
        <f>IFERROR(__xludf.DUMMYFUNCTION("""COMPUTED_VALUE"""),FALSE)</f>
        <v>0</v>
      </c>
      <c r="M577" s="1" t="b">
        <f>IFERROR(__xludf.DUMMYFUNCTION("""COMPUTED_VALUE"""),FALSE)</f>
        <v>0</v>
      </c>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t="b">
        <f>IFERROR(__xludf.DUMMYFUNCTION("""COMPUTED_VALUE"""),FALSE)</f>
        <v>0</v>
      </c>
      <c r="K578" s="1"/>
      <c r="L578" s="1" t="b">
        <f>IFERROR(__xludf.DUMMYFUNCTION("""COMPUTED_VALUE"""),FALSE)</f>
        <v>0</v>
      </c>
      <c r="M578" s="1" t="b">
        <f>IFERROR(__xludf.DUMMYFUNCTION("""COMPUTED_VALUE"""),FALSE)</f>
        <v>0</v>
      </c>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t="b">
        <f>IFERROR(__xludf.DUMMYFUNCTION("""COMPUTED_VALUE"""),FALSE)</f>
        <v>0</v>
      </c>
      <c r="K579" s="1"/>
      <c r="L579" s="1" t="b">
        <f>IFERROR(__xludf.DUMMYFUNCTION("""COMPUTED_VALUE"""),FALSE)</f>
        <v>0</v>
      </c>
      <c r="M579" s="1" t="b">
        <f>IFERROR(__xludf.DUMMYFUNCTION("""COMPUTED_VALUE"""),FALSE)</f>
        <v>0</v>
      </c>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t="b">
        <f>IFERROR(__xludf.DUMMYFUNCTION("""COMPUTED_VALUE"""),FALSE)</f>
        <v>0</v>
      </c>
      <c r="K580" s="1"/>
      <c r="L580" s="1" t="b">
        <f>IFERROR(__xludf.DUMMYFUNCTION("""COMPUTED_VALUE"""),FALSE)</f>
        <v>0</v>
      </c>
      <c r="M580" s="1" t="b">
        <f>IFERROR(__xludf.DUMMYFUNCTION("""COMPUTED_VALUE"""),FALSE)</f>
        <v>0</v>
      </c>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t="b">
        <f>IFERROR(__xludf.DUMMYFUNCTION("""COMPUTED_VALUE"""),FALSE)</f>
        <v>0</v>
      </c>
      <c r="K581" s="1"/>
      <c r="L581" s="1" t="b">
        <f>IFERROR(__xludf.DUMMYFUNCTION("""COMPUTED_VALUE"""),FALSE)</f>
        <v>0</v>
      </c>
      <c r="M581" s="1" t="b">
        <f>IFERROR(__xludf.DUMMYFUNCTION("""COMPUTED_VALUE"""),FALSE)</f>
        <v>0</v>
      </c>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t="b">
        <f>IFERROR(__xludf.DUMMYFUNCTION("""COMPUTED_VALUE"""),FALSE)</f>
        <v>0</v>
      </c>
      <c r="K582" s="1"/>
      <c r="L582" s="1" t="b">
        <f>IFERROR(__xludf.DUMMYFUNCTION("""COMPUTED_VALUE"""),FALSE)</f>
        <v>0</v>
      </c>
      <c r="M582" s="1" t="b">
        <f>IFERROR(__xludf.DUMMYFUNCTION("""COMPUTED_VALUE"""),FALSE)</f>
        <v>0</v>
      </c>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t="b">
        <f>IFERROR(__xludf.DUMMYFUNCTION("""COMPUTED_VALUE"""),FALSE)</f>
        <v>0</v>
      </c>
      <c r="K583" s="1"/>
      <c r="L583" s="1" t="b">
        <f>IFERROR(__xludf.DUMMYFUNCTION("""COMPUTED_VALUE"""),FALSE)</f>
        <v>0</v>
      </c>
      <c r="M583" s="1" t="b">
        <f>IFERROR(__xludf.DUMMYFUNCTION("""COMPUTED_VALUE"""),FALSE)</f>
        <v>0</v>
      </c>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t="b">
        <f>IFERROR(__xludf.DUMMYFUNCTION("""COMPUTED_VALUE"""),FALSE)</f>
        <v>0</v>
      </c>
      <c r="K584" s="1"/>
      <c r="L584" s="1" t="b">
        <f>IFERROR(__xludf.DUMMYFUNCTION("""COMPUTED_VALUE"""),FALSE)</f>
        <v>0</v>
      </c>
      <c r="M584" s="1" t="b">
        <f>IFERROR(__xludf.DUMMYFUNCTION("""COMPUTED_VALUE"""),FALSE)</f>
        <v>0</v>
      </c>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t="b">
        <f>IFERROR(__xludf.DUMMYFUNCTION("""COMPUTED_VALUE"""),FALSE)</f>
        <v>0</v>
      </c>
      <c r="K585" s="1"/>
      <c r="L585" s="1" t="b">
        <f>IFERROR(__xludf.DUMMYFUNCTION("""COMPUTED_VALUE"""),FALSE)</f>
        <v>0</v>
      </c>
      <c r="M585" s="1" t="b">
        <f>IFERROR(__xludf.DUMMYFUNCTION("""COMPUTED_VALUE"""),FALSE)</f>
        <v>0</v>
      </c>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t="b">
        <f>IFERROR(__xludf.DUMMYFUNCTION("""COMPUTED_VALUE"""),FALSE)</f>
        <v>0</v>
      </c>
      <c r="K586" s="1"/>
      <c r="L586" s="1" t="b">
        <f>IFERROR(__xludf.DUMMYFUNCTION("""COMPUTED_VALUE"""),FALSE)</f>
        <v>0</v>
      </c>
      <c r="M586" s="1" t="b">
        <f>IFERROR(__xludf.DUMMYFUNCTION("""COMPUTED_VALUE"""),FALSE)</f>
        <v>0</v>
      </c>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t="b">
        <f>IFERROR(__xludf.DUMMYFUNCTION("""COMPUTED_VALUE"""),TRUE)</f>
        <v>1</v>
      </c>
      <c r="K587" s="1"/>
      <c r="L587" s="1" t="b">
        <f>IFERROR(__xludf.DUMMYFUNCTION("""COMPUTED_VALUE"""),FALSE)</f>
        <v>0</v>
      </c>
      <c r="M587" s="1" t="b">
        <f>IFERROR(__xludf.DUMMYFUNCTION("""COMPUTED_VALUE"""),FALSE)</f>
        <v>0</v>
      </c>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t="b">
        <f>IFERROR(__xludf.DUMMYFUNCTION("""COMPUTED_VALUE"""),TRUE)</f>
        <v>1</v>
      </c>
      <c r="K588" s="1"/>
      <c r="L588" s="1" t="b">
        <f>IFERROR(__xludf.DUMMYFUNCTION("""COMPUTED_VALUE"""),FALSE)</f>
        <v>0</v>
      </c>
      <c r="M588" s="1" t="b">
        <f>IFERROR(__xludf.DUMMYFUNCTION("""COMPUTED_VALUE"""),FALSE)</f>
        <v>0</v>
      </c>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t="b">
        <f>IFERROR(__xludf.DUMMYFUNCTION("""COMPUTED_VALUE"""),FALSE)</f>
        <v>0</v>
      </c>
      <c r="K589" s="1"/>
      <c r="L589" s="1" t="b">
        <f>IFERROR(__xludf.DUMMYFUNCTION("""COMPUTED_VALUE"""),FALSE)</f>
        <v>0</v>
      </c>
      <c r="M589" s="1" t="b">
        <f>IFERROR(__xludf.DUMMYFUNCTION("""COMPUTED_VALUE"""),FALSE)</f>
        <v>0</v>
      </c>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t="b">
        <f>IFERROR(__xludf.DUMMYFUNCTION("""COMPUTED_VALUE"""),FALSE)</f>
        <v>0</v>
      </c>
      <c r="K590" s="1"/>
      <c r="L590" s="1" t="b">
        <f>IFERROR(__xludf.DUMMYFUNCTION("""COMPUTED_VALUE"""),FALSE)</f>
        <v>0</v>
      </c>
      <c r="M590" s="1" t="b">
        <f>IFERROR(__xludf.DUMMYFUNCTION("""COMPUTED_VALUE"""),FALSE)</f>
        <v>0</v>
      </c>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t="b">
        <f>IFERROR(__xludf.DUMMYFUNCTION("""COMPUTED_VALUE"""),FALSE)</f>
        <v>0</v>
      </c>
      <c r="K591" s="1"/>
      <c r="L591" s="1" t="b">
        <f>IFERROR(__xludf.DUMMYFUNCTION("""COMPUTED_VALUE"""),FALSE)</f>
        <v>0</v>
      </c>
      <c r="M591" s="1" t="b">
        <f>IFERROR(__xludf.DUMMYFUNCTION("""COMPUTED_VALUE"""),FALSE)</f>
        <v>0</v>
      </c>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t="b">
        <f>IFERROR(__xludf.DUMMYFUNCTION("""COMPUTED_VALUE"""),FALSE)</f>
        <v>0</v>
      </c>
      <c r="K592" s="1"/>
      <c r="L592" s="1" t="b">
        <f>IFERROR(__xludf.DUMMYFUNCTION("""COMPUTED_VALUE"""),FALSE)</f>
        <v>0</v>
      </c>
      <c r="M592" s="1" t="b">
        <f>IFERROR(__xludf.DUMMYFUNCTION("""COMPUTED_VALUE"""),FALSE)</f>
        <v>0</v>
      </c>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t="b">
        <f>IFERROR(__xludf.DUMMYFUNCTION("""COMPUTED_VALUE"""),FALSE)</f>
        <v>0</v>
      </c>
      <c r="K593" s="1"/>
      <c r="L593" s="1" t="b">
        <f>IFERROR(__xludf.DUMMYFUNCTION("""COMPUTED_VALUE"""),FALSE)</f>
        <v>0</v>
      </c>
      <c r="M593" s="1" t="b">
        <f>IFERROR(__xludf.DUMMYFUNCTION("""COMPUTED_VALUE"""),FALSE)</f>
        <v>0</v>
      </c>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t="b">
        <f>IFERROR(__xludf.DUMMYFUNCTION("""COMPUTED_VALUE"""),TRUE)</f>
        <v>1</v>
      </c>
      <c r="K594" s="1"/>
      <c r="L594" s="1" t="b">
        <f>IFERROR(__xludf.DUMMYFUNCTION("""COMPUTED_VALUE"""),FALSE)</f>
        <v>0</v>
      </c>
      <c r="M594" s="1" t="b">
        <f>IFERROR(__xludf.DUMMYFUNCTION("""COMPUTED_VALUE"""),FALSE)</f>
        <v>0</v>
      </c>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t="b">
        <f>IFERROR(__xludf.DUMMYFUNCTION("""COMPUTED_VALUE"""),FALSE)</f>
        <v>0</v>
      </c>
      <c r="K595" s="1"/>
      <c r="L595" s="1" t="b">
        <f>IFERROR(__xludf.DUMMYFUNCTION("""COMPUTED_VALUE"""),FALSE)</f>
        <v>0</v>
      </c>
      <c r="M595" s="1" t="b">
        <f>IFERROR(__xludf.DUMMYFUNCTION("""COMPUTED_VALUE"""),FALSE)</f>
        <v>0</v>
      </c>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t="b">
        <f>IFERROR(__xludf.DUMMYFUNCTION("""COMPUTED_VALUE"""),TRUE)</f>
        <v>1</v>
      </c>
      <c r="K596" s="1"/>
      <c r="L596" s="1" t="b">
        <f>IFERROR(__xludf.DUMMYFUNCTION("""COMPUTED_VALUE"""),FALSE)</f>
        <v>0</v>
      </c>
      <c r="M596" s="1" t="b">
        <f>IFERROR(__xludf.DUMMYFUNCTION("""COMPUTED_VALUE"""),FALSE)</f>
        <v>0</v>
      </c>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t="b">
        <f>IFERROR(__xludf.DUMMYFUNCTION("""COMPUTED_VALUE"""),FALSE)</f>
        <v>0</v>
      </c>
      <c r="K597" s="1"/>
      <c r="L597" s="1" t="b">
        <f>IFERROR(__xludf.DUMMYFUNCTION("""COMPUTED_VALUE"""),FALSE)</f>
        <v>0</v>
      </c>
      <c r="M597" s="1" t="b">
        <f>IFERROR(__xludf.DUMMYFUNCTION("""COMPUTED_VALUE"""),FALSE)</f>
        <v>0</v>
      </c>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t="b">
        <f>IFERROR(__xludf.DUMMYFUNCTION("""COMPUTED_VALUE"""),FALSE)</f>
        <v>0</v>
      </c>
      <c r="K598" s="1"/>
      <c r="L598" s="1" t="b">
        <f>IFERROR(__xludf.DUMMYFUNCTION("""COMPUTED_VALUE"""),FALSE)</f>
        <v>0</v>
      </c>
      <c r="M598" s="1" t="b">
        <f>IFERROR(__xludf.DUMMYFUNCTION("""COMPUTED_VALUE"""),FALSE)</f>
        <v>0</v>
      </c>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t="b">
        <f>IFERROR(__xludf.DUMMYFUNCTION("""COMPUTED_VALUE"""),FALSE)</f>
        <v>0</v>
      </c>
      <c r="K599" s="1"/>
      <c r="L599" s="1" t="b">
        <f>IFERROR(__xludf.DUMMYFUNCTION("""COMPUTED_VALUE"""),FALSE)</f>
        <v>0</v>
      </c>
      <c r="M599" s="1" t="b">
        <f>IFERROR(__xludf.DUMMYFUNCTION("""COMPUTED_VALUE"""),FALSE)</f>
        <v>0</v>
      </c>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t="b">
        <f>IFERROR(__xludf.DUMMYFUNCTION("""COMPUTED_VALUE"""),FALSE)</f>
        <v>0</v>
      </c>
      <c r="K600" s="1"/>
      <c r="L600" s="1" t="b">
        <f>IFERROR(__xludf.DUMMYFUNCTION("""COMPUTED_VALUE"""),FALSE)</f>
        <v>0</v>
      </c>
      <c r="M600" s="1" t="b">
        <f>IFERROR(__xludf.DUMMYFUNCTION("""COMPUTED_VALUE"""),FALSE)</f>
        <v>0</v>
      </c>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t="b">
        <f>IFERROR(__xludf.DUMMYFUNCTION("""COMPUTED_VALUE"""),FALSE)</f>
        <v>0</v>
      </c>
      <c r="K601" s="1"/>
      <c r="L601" s="1" t="b">
        <f>IFERROR(__xludf.DUMMYFUNCTION("""COMPUTED_VALUE"""),FALSE)</f>
        <v>0</v>
      </c>
      <c r="M601" s="1" t="b">
        <f>IFERROR(__xludf.DUMMYFUNCTION("""COMPUTED_VALUE"""),FALSE)</f>
        <v>0</v>
      </c>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t="b">
        <f>IFERROR(__xludf.DUMMYFUNCTION("""COMPUTED_VALUE"""),FALSE)</f>
        <v>0</v>
      </c>
      <c r="K602" s="1"/>
      <c r="L602" s="1" t="b">
        <f>IFERROR(__xludf.DUMMYFUNCTION("""COMPUTED_VALUE"""),FALSE)</f>
        <v>0</v>
      </c>
      <c r="M602" s="1" t="b">
        <f>IFERROR(__xludf.DUMMYFUNCTION("""COMPUTED_VALUE"""),FALSE)</f>
        <v>0</v>
      </c>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t="b">
        <f>IFERROR(__xludf.DUMMYFUNCTION("""COMPUTED_VALUE"""),FALSE)</f>
        <v>0</v>
      </c>
      <c r="K603" s="1"/>
      <c r="L603" s="1" t="b">
        <f>IFERROR(__xludf.DUMMYFUNCTION("""COMPUTED_VALUE"""),FALSE)</f>
        <v>0</v>
      </c>
      <c r="M603" s="1" t="b">
        <f>IFERROR(__xludf.DUMMYFUNCTION("""COMPUTED_VALUE"""),FALSE)</f>
        <v>0</v>
      </c>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t="b">
        <f>IFERROR(__xludf.DUMMYFUNCTION("""COMPUTED_VALUE"""),FALSE)</f>
        <v>0</v>
      </c>
      <c r="K604" s="1"/>
      <c r="L604" s="1" t="b">
        <f>IFERROR(__xludf.DUMMYFUNCTION("""COMPUTED_VALUE"""),FALSE)</f>
        <v>0</v>
      </c>
      <c r="M604" s="1" t="b">
        <f>IFERROR(__xludf.DUMMYFUNCTION("""COMPUTED_VALUE"""),FALSE)</f>
        <v>0</v>
      </c>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t="b">
        <f>IFERROR(__xludf.DUMMYFUNCTION("""COMPUTED_VALUE"""),FALSE)</f>
        <v>0</v>
      </c>
      <c r="K605" s="1"/>
      <c r="L605" s="1" t="b">
        <f>IFERROR(__xludf.DUMMYFUNCTION("""COMPUTED_VALUE"""),FALSE)</f>
        <v>0</v>
      </c>
      <c r="M605" s="1" t="b">
        <f>IFERROR(__xludf.DUMMYFUNCTION("""COMPUTED_VALUE"""),FALSE)</f>
        <v>0</v>
      </c>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t="b">
        <f>IFERROR(__xludf.DUMMYFUNCTION("""COMPUTED_VALUE"""),FALSE)</f>
        <v>0</v>
      </c>
      <c r="K606" s="1"/>
      <c r="L606" s="1" t="b">
        <f>IFERROR(__xludf.DUMMYFUNCTION("""COMPUTED_VALUE"""),FALSE)</f>
        <v>0</v>
      </c>
      <c r="M606" s="1" t="b">
        <f>IFERROR(__xludf.DUMMYFUNCTION("""COMPUTED_VALUE"""),FALSE)</f>
        <v>0</v>
      </c>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t="b">
        <f>IFERROR(__xludf.DUMMYFUNCTION("""COMPUTED_VALUE"""),FALSE)</f>
        <v>0</v>
      </c>
      <c r="K607" s="1"/>
      <c r="L607" s="1" t="b">
        <f>IFERROR(__xludf.DUMMYFUNCTION("""COMPUTED_VALUE"""),FALSE)</f>
        <v>0</v>
      </c>
      <c r="M607" s="1" t="b">
        <f>IFERROR(__xludf.DUMMYFUNCTION("""COMPUTED_VALUE"""),FALSE)</f>
        <v>0</v>
      </c>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t="b">
        <f>IFERROR(__xludf.DUMMYFUNCTION("""COMPUTED_VALUE"""),TRUE)</f>
        <v>1</v>
      </c>
      <c r="K608" s="1"/>
      <c r="L608" s="1" t="b">
        <f>IFERROR(__xludf.DUMMYFUNCTION("""COMPUTED_VALUE"""),FALSE)</f>
        <v>0</v>
      </c>
      <c r="M608" s="1" t="b">
        <f>IFERROR(__xludf.DUMMYFUNCTION("""COMPUTED_VALUE"""),FALSE)</f>
        <v>0</v>
      </c>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t="b">
        <f>IFERROR(__xludf.DUMMYFUNCTION("""COMPUTED_VALUE"""),TRUE)</f>
        <v>1</v>
      </c>
      <c r="K609" s="1" t="str">
        <f>IFERROR(__xludf.DUMMYFUNCTION("""COMPUTED_VALUE"""),"mob power")</f>
        <v>mob power</v>
      </c>
      <c r="L609" s="1" t="b">
        <f>IFERROR(__xludf.DUMMYFUNCTION("""COMPUTED_VALUE"""),FALSE)</f>
        <v>0</v>
      </c>
      <c r="M609" s="1" t="b">
        <f>IFERROR(__xludf.DUMMYFUNCTION("""COMPUTED_VALUE"""),FALSE)</f>
        <v>0</v>
      </c>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t="b">
        <f>IFERROR(__xludf.DUMMYFUNCTION("""COMPUTED_VALUE"""),FALSE)</f>
        <v>0</v>
      </c>
      <c r="K610" s="1"/>
      <c r="L610" s="1" t="b">
        <f>IFERROR(__xludf.DUMMYFUNCTION("""COMPUTED_VALUE"""),TRUE)</f>
        <v>1</v>
      </c>
      <c r="M610" s="1" t="b">
        <f>IFERROR(__xludf.DUMMYFUNCTION("""COMPUTED_VALUE"""),FALSE)</f>
        <v>0</v>
      </c>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t="b">
        <f>IFERROR(__xludf.DUMMYFUNCTION("""COMPUTED_VALUE"""),FALSE)</f>
        <v>0</v>
      </c>
      <c r="K611" s="1"/>
      <c r="L611" s="1" t="b">
        <f>IFERROR(__xludf.DUMMYFUNCTION("""COMPUTED_VALUE"""),TRUE)</f>
        <v>1</v>
      </c>
      <c r="M611" s="1" t="b">
        <f>IFERROR(__xludf.DUMMYFUNCTION("""COMPUTED_VALUE"""),FALSE)</f>
        <v>0</v>
      </c>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t="b">
        <f>IFERROR(__xludf.DUMMYFUNCTION("""COMPUTED_VALUE"""),FALSE)</f>
        <v>0</v>
      </c>
      <c r="K612" s="1"/>
      <c r="L612" s="1" t="b">
        <f>IFERROR(__xludf.DUMMYFUNCTION("""COMPUTED_VALUE"""),TRUE)</f>
        <v>1</v>
      </c>
      <c r="M612" s="1" t="b">
        <f>IFERROR(__xludf.DUMMYFUNCTION("""COMPUTED_VALUE"""),FALSE)</f>
        <v>0</v>
      </c>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t="b">
        <f>IFERROR(__xludf.DUMMYFUNCTION("""COMPUTED_VALUE"""),FALSE)</f>
        <v>0</v>
      </c>
      <c r="K613" s="1"/>
      <c r="L613" s="1" t="b">
        <f>IFERROR(__xludf.DUMMYFUNCTION("""COMPUTED_VALUE"""),TRUE)</f>
        <v>1</v>
      </c>
      <c r="M613" s="1" t="b">
        <f>IFERROR(__xludf.DUMMYFUNCTION("""COMPUTED_VALUE"""),FALSE)</f>
        <v>0</v>
      </c>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t="b">
        <f>IFERROR(__xludf.DUMMYFUNCTION("""COMPUTED_VALUE"""),FALSE)</f>
        <v>0</v>
      </c>
      <c r="K614" s="1"/>
      <c r="L614" s="1" t="b">
        <f>IFERROR(__xludf.DUMMYFUNCTION("""COMPUTED_VALUE"""),TRUE)</f>
        <v>1</v>
      </c>
      <c r="M614" s="1" t="b">
        <f>IFERROR(__xludf.DUMMYFUNCTION("""COMPUTED_VALUE"""),FALSE)</f>
        <v>0</v>
      </c>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t="b">
        <f>IFERROR(__xludf.DUMMYFUNCTION("""COMPUTED_VALUE"""),FALSE)</f>
        <v>0</v>
      </c>
      <c r="K615" s="1"/>
      <c r="L615" s="1" t="b">
        <f>IFERROR(__xludf.DUMMYFUNCTION("""COMPUTED_VALUE"""),FALSE)</f>
        <v>0</v>
      </c>
      <c r="M615" s="1" t="b">
        <f>IFERROR(__xludf.DUMMYFUNCTION("""COMPUTED_VALUE"""),FALSE)</f>
        <v>0</v>
      </c>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t="b">
        <f>IFERROR(__xludf.DUMMYFUNCTION("""COMPUTED_VALUE"""),FALSE)</f>
        <v>0</v>
      </c>
      <c r="K616" s="1"/>
      <c r="L616" s="1" t="b">
        <f>IFERROR(__xludf.DUMMYFUNCTION("""COMPUTED_VALUE"""),FALSE)</f>
        <v>0</v>
      </c>
      <c r="M616" s="1" t="b">
        <f>IFERROR(__xludf.DUMMYFUNCTION("""COMPUTED_VALUE"""),FALSE)</f>
        <v>0</v>
      </c>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t="b">
        <f>IFERROR(__xludf.DUMMYFUNCTION("""COMPUTED_VALUE"""),FALSE)</f>
        <v>0</v>
      </c>
      <c r="K617" s="1"/>
      <c r="L617" s="1" t="b">
        <f>IFERROR(__xludf.DUMMYFUNCTION("""COMPUTED_VALUE"""),FALSE)</f>
        <v>0</v>
      </c>
      <c r="M617" s="1" t="b">
        <f>IFERROR(__xludf.DUMMYFUNCTION("""COMPUTED_VALUE"""),FALSE)</f>
        <v>0</v>
      </c>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t="b">
        <f>IFERROR(__xludf.DUMMYFUNCTION("""COMPUTED_VALUE"""),FALSE)</f>
        <v>0</v>
      </c>
      <c r="K618" s="1"/>
      <c r="L618" s="1" t="b">
        <f>IFERROR(__xludf.DUMMYFUNCTION("""COMPUTED_VALUE"""),FALSE)</f>
        <v>0</v>
      </c>
      <c r="M618" s="1" t="b">
        <f>IFERROR(__xludf.DUMMYFUNCTION("""COMPUTED_VALUE"""),FALSE)</f>
        <v>0</v>
      </c>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t="b">
        <f>IFERROR(__xludf.DUMMYFUNCTION("""COMPUTED_VALUE"""),FALSE)</f>
        <v>0</v>
      </c>
      <c r="K619" s="1"/>
      <c r="L619" s="1" t="b">
        <f>IFERROR(__xludf.DUMMYFUNCTION("""COMPUTED_VALUE"""),FALSE)</f>
        <v>0</v>
      </c>
      <c r="M619" s="1" t="b">
        <f>IFERROR(__xludf.DUMMYFUNCTION("""COMPUTED_VALUE"""),FALSE)</f>
        <v>0</v>
      </c>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t="b">
        <f>IFERROR(__xludf.DUMMYFUNCTION("""COMPUTED_VALUE"""),FALSE)</f>
        <v>0</v>
      </c>
      <c r="K620" s="1"/>
      <c r="L620" s="1" t="b">
        <f>IFERROR(__xludf.DUMMYFUNCTION("""COMPUTED_VALUE"""),FALSE)</f>
        <v>0</v>
      </c>
      <c r="M620" s="1" t="b">
        <f>IFERROR(__xludf.DUMMYFUNCTION("""COMPUTED_VALUE"""),FALSE)</f>
        <v>0</v>
      </c>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t="b">
        <f>IFERROR(__xludf.DUMMYFUNCTION("""COMPUTED_VALUE"""),FALSE)</f>
        <v>0</v>
      </c>
      <c r="K621" s="1"/>
      <c r="L621" s="1" t="b">
        <f>IFERROR(__xludf.DUMMYFUNCTION("""COMPUTED_VALUE"""),FALSE)</f>
        <v>0</v>
      </c>
      <c r="M621" s="1" t="b">
        <f>IFERROR(__xludf.DUMMYFUNCTION("""COMPUTED_VALUE"""),FALSE)</f>
        <v>0</v>
      </c>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t="b">
        <f>IFERROR(__xludf.DUMMYFUNCTION("""COMPUTED_VALUE"""),FALSE)</f>
        <v>0</v>
      </c>
      <c r="K622" s="1"/>
      <c r="L622" s="1" t="b">
        <f>IFERROR(__xludf.DUMMYFUNCTION("""COMPUTED_VALUE"""),FALSE)</f>
        <v>0</v>
      </c>
      <c r="M622" s="1" t="b">
        <f>IFERROR(__xludf.DUMMYFUNCTION("""COMPUTED_VALUE"""),FALSE)</f>
        <v>0</v>
      </c>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t="b">
        <f>IFERROR(__xludf.DUMMYFUNCTION("""COMPUTED_VALUE"""),FALSE)</f>
        <v>0</v>
      </c>
      <c r="K623" s="1"/>
      <c r="L623" s="1" t="b">
        <f>IFERROR(__xludf.DUMMYFUNCTION("""COMPUTED_VALUE"""),FALSE)</f>
        <v>0</v>
      </c>
      <c r="M623" s="1" t="b">
        <f>IFERROR(__xludf.DUMMYFUNCTION("""COMPUTED_VALUE"""),FALSE)</f>
        <v>0</v>
      </c>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t="b">
        <f>IFERROR(__xludf.DUMMYFUNCTION("""COMPUTED_VALUE"""),FALSE)</f>
        <v>0</v>
      </c>
      <c r="K624" s="1"/>
      <c r="L624" s="1" t="b">
        <f>IFERROR(__xludf.DUMMYFUNCTION("""COMPUTED_VALUE"""),FALSE)</f>
        <v>0</v>
      </c>
      <c r="M624" s="1" t="b">
        <f>IFERROR(__xludf.DUMMYFUNCTION("""COMPUTED_VALUE"""),FALSE)</f>
        <v>0</v>
      </c>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t="b">
        <f>IFERROR(__xludf.DUMMYFUNCTION("""COMPUTED_VALUE"""),FALSE)</f>
        <v>0</v>
      </c>
      <c r="K625" s="1"/>
      <c r="L625" s="1" t="b">
        <f>IFERROR(__xludf.DUMMYFUNCTION("""COMPUTED_VALUE"""),FALSE)</f>
        <v>0</v>
      </c>
      <c r="M625" s="1" t="b">
        <f>IFERROR(__xludf.DUMMYFUNCTION("""COMPUTED_VALUE"""),FALSE)</f>
        <v>0</v>
      </c>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t="b">
        <f>IFERROR(__xludf.DUMMYFUNCTION("""COMPUTED_VALUE"""),FALSE)</f>
        <v>0</v>
      </c>
      <c r="K626" s="1"/>
      <c r="L626" s="1" t="b">
        <f>IFERROR(__xludf.DUMMYFUNCTION("""COMPUTED_VALUE"""),FALSE)</f>
        <v>0</v>
      </c>
      <c r="M626" s="1" t="b">
        <f>IFERROR(__xludf.DUMMYFUNCTION("""COMPUTED_VALUE"""),FALSE)</f>
        <v>0</v>
      </c>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t="b">
        <f>IFERROR(__xludf.DUMMYFUNCTION("""COMPUTED_VALUE"""),FALSE)</f>
        <v>0</v>
      </c>
      <c r="K627" s="1"/>
      <c r="L627" s="1" t="b">
        <f>IFERROR(__xludf.DUMMYFUNCTION("""COMPUTED_VALUE"""),FALSE)</f>
        <v>0</v>
      </c>
      <c r="M627" s="1" t="b">
        <f>IFERROR(__xludf.DUMMYFUNCTION("""COMPUTED_VALUE"""),FALSE)</f>
        <v>0</v>
      </c>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t="b">
        <f>IFERROR(__xludf.DUMMYFUNCTION("""COMPUTED_VALUE"""),FALSE)</f>
        <v>0</v>
      </c>
      <c r="K628" s="1"/>
      <c r="L628" s="1" t="b">
        <f>IFERROR(__xludf.DUMMYFUNCTION("""COMPUTED_VALUE"""),FALSE)</f>
        <v>0</v>
      </c>
      <c r="M628" s="1" t="b">
        <f>IFERROR(__xludf.DUMMYFUNCTION("""COMPUTED_VALUE"""),FALSE)</f>
        <v>0</v>
      </c>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t="b">
        <f>IFERROR(__xludf.DUMMYFUNCTION("""COMPUTED_VALUE"""),FALSE)</f>
        <v>0</v>
      </c>
      <c r="K629" s="1"/>
      <c r="L629" s="1" t="b">
        <f>IFERROR(__xludf.DUMMYFUNCTION("""COMPUTED_VALUE"""),FALSE)</f>
        <v>0</v>
      </c>
      <c r="M629" s="1" t="b">
        <f>IFERROR(__xludf.DUMMYFUNCTION("""COMPUTED_VALUE"""),FALSE)</f>
        <v>0</v>
      </c>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t="b">
        <f>IFERROR(__xludf.DUMMYFUNCTION("""COMPUTED_VALUE"""),FALSE)</f>
        <v>0</v>
      </c>
      <c r="K630" s="1"/>
      <c r="L630" s="1" t="b">
        <f>IFERROR(__xludf.DUMMYFUNCTION("""COMPUTED_VALUE"""),FALSE)</f>
        <v>0</v>
      </c>
      <c r="M630" s="1" t="b">
        <f>IFERROR(__xludf.DUMMYFUNCTION("""COMPUTED_VALUE"""),FALSE)</f>
        <v>0</v>
      </c>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t="b">
        <f>IFERROR(__xludf.DUMMYFUNCTION("""COMPUTED_VALUE"""),FALSE)</f>
        <v>0</v>
      </c>
      <c r="K631" s="1"/>
      <c r="L631" s="1" t="b">
        <f>IFERROR(__xludf.DUMMYFUNCTION("""COMPUTED_VALUE"""),FALSE)</f>
        <v>0</v>
      </c>
      <c r="M631" s="1" t="b">
        <f>IFERROR(__xludf.DUMMYFUNCTION("""COMPUTED_VALUE"""),FALSE)</f>
        <v>0</v>
      </c>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t="b">
        <f>IFERROR(__xludf.DUMMYFUNCTION("""COMPUTED_VALUE"""),FALSE)</f>
        <v>0</v>
      </c>
      <c r="K632" s="1"/>
      <c r="L632" s="1" t="b">
        <f>IFERROR(__xludf.DUMMYFUNCTION("""COMPUTED_VALUE"""),FALSE)</f>
        <v>0</v>
      </c>
      <c r="M632" s="1" t="b">
        <f>IFERROR(__xludf.DUMMYFUNCTION("""COMPUTED_VALUE"""),FALSE)</f>
        <v>0</v>
      </c>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t="b">
        <f>IFERROR(__xludf.DUMMYFUNCTION("""COMPUTED_VALUE"""),FALSE)</f>
        <v>0</v>
      </c>
      <c r="K633" s="1"/>
      <c r="L633" s="1" t="b">
        <f>IFERROR(__xludf.DUMMYFUNCTION("""COMPUTED_VALUE"""),FALSE)</f>
        <v>0</v>
      </c>
      <c r="M633" s="1" t="b">
        <f>IFERROR(__xludf.DUMMYFUNCTION("""COMPUTED_VALUE"""),FALSE)</f>
        <v>0</v>
      </c>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t="b">
        <f>IFERROR(__xludf.DUMMYFUNCTION("""COMPUTED_VALUE"""),FALSE)</f>
        <v>0</v>
      </c>
      <c r="K634" s="1"/>
      <c r="L634" s="1" t="b">
        <f>IFERROR(__xludf.DUMMYFUNCTION("""COMPUTED_VALUE"""),TRUE)</f>
        <v>1</v>
      </c>
      <c r="M634" s="1" t="b">
        <f>IFERROR(__xludf.DUMMYFUNCTION("""COMPUTED_VALUE"""),FALSE)</f>
        <v>0</v>
      </c>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t="b">
        <f>IFERROR(__xludf.DUMMYFUNCTION("""COMPUTED_VALUE"""),FALSE)</f>
        <v>0</v>
      </c>
      <c r="K635" s="1"/>
      <c r="L635" s="1" t="b">
        <f>IFERROR(__xludf.DUMMYFUNCTION("""COMPUTED_VALUE"""),FALSE)</f>
        <v>0</v>
      </c>
      <c r="M635" s="1" t="b">
        <f>IFERROR(__xludf.DUMMYFUNCTION("""COMPUTED_VALUE"""),FALSE)</f>
        <v>0</v>
      </c>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t="b">
        <f>IFERROR(__xludf.DUMMYFUNCTION("""COMPUTED_VALUE"""),FALSE)</f>
        <v>0</v>
      </c>
      <c r="K636" s="1"/>
      <c r="L636" s="1" t="b">
        <f>IFERROR(__xludf.DUMMYFUNCTION("""COMPUTED_VALUE"""),TRUE)</f>
        <v>1</v>
      </c>
      <c r="M636" s="1" t="b">
        <f>IFERROR(__xludf.DUMMYFUNCTION("""COMPUTED_VALUE"""),FALSE)</f>
        <v>0</v>
      </c>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t="b">
        <f>IFERROR(__xludf.DUMMYFUNCTION("""COMPUTED_VALUE"""),FALSE)</f>
        <v>0</v>
      </c>
      <c r="K637" s="1"/>
      <c r="L637" s="1" t="b">
        <f>IFERROR(__xludf.DUMMYFUNCTION("""COMPUTED_VALUE"""),TRUE)</f>
        <v>1</v>
      </c>
      <c r="M637" s="1" t="b">
        <f>IFERROR(__xludf.DUMMYFUNCTION("""COMPUTED_VALUE"""),FALSE)</f>
        <v>0</v>
      </c>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t="b">
        <f>IFERROR(__xludf.DUMMYFUNCTION("""COMPUTED_VALUE"""),FALSE)</f>
        <v>0</v>
      </c>
      <c r="K638" s="1"/>
      <c r="L638" s="1" t="b">
        <f>IFERROR(__xludf.DUMMYFUNCTION("""COMPUTED_VALUE"""),TRUE)</f>
        <v>1</v>
      </c>
      <c r="M638" s="1" t="b">
        <f>IFERROR(__xludf.DUMMYFUNCTION("""COMPUTED_VALUE"""),FALSE)</f>
        <v>0</v>
      </c>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t="b">
        <f>IFERROR(__xludf.DUMMYFUNCTION("""COMPUTED_VALUE"""),TRUE)</f>
        <v>1</v>
      </c>
      <c r="K639" s="1" t="str">
        <f>IFERROR(__xludf.DUMMYFUNCTION("""COMPUTED_VALUE"""),"Mob spell")</f>
        <v>Mob spell</v>
      </c>
      <c r="L639" s="1" t="b">
        <f>IFERROR(__xludf.DUMMYFUNCTION("""COMPUTED_VALUE"""),TRUE)</f>
        <v>1</v>
      </c>
      <c r="M639" s="1" t="b">
        <f>IFERROR(__xludf.DUMMYFUNCTION("""COMPUTED_VALUE"""),FALSE)</f>
        <v>0</v>
      </c>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t="b">
        <f>IFERROR(__xludf.DUMMYFUNCTION("""COMPUTED_VALUE"""),FALSE)</f>
        <v>0</v>
      </c>
      <c r="K640" s="1"/>
      <c r="L640" s="1" t="b">
        <f>IFERROR(__xludf.DUMMYFUNCTION("""COMPUTED_VALUE"""),TRUE)</f>
        <v>1</v>
      </c>
      <c r="M640" s="1" t="b">
        <f>IFERROR(__xludf.DUMMYFUNCTION("""COMPUTED_VALUE"""),FALSE)</f>
        <v>0</v>
      </c>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t="b">
        <f>IFERROR(__xludf.DUMMYFUNCTION("""COMPUTED_VALUE"""),FALSE)</f>
        <v>0</v>
      </c>
      <c r="K641" s="1"/>
      <c r="L641" s="1" t="b">
        <f>IFERROR(__xludf.DUMMYFUNCTION("""COMPUTED_VALUE"""),TRUE)</f>
        <v>1</v>
      </c>
      <c r="M641" s="1" t="b">
        <f>IFERROR(__xludf.DUMMYFUNCTION("""COMPUTED_VALUE"""),FALSE)</f>
        <v>0</v>
      </c>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t="b">
        <f>IFERROR(__xludf.DUMMYFUNCTION("""COMPUTED_VALUE"""),FALSE)</f>
        <v>0</v>
      </c>
      <c r="K642" s="1"/>
      <c r="L642" s="1" t="b">
        <f>IFERROR(__xludf.DUMMYFUNCTION("""COMPUTED_VALUE"""),TRUE)</f>
        <v>1</v>
      </c>
      <c r="M642" s="1" t="b">
        <f>IFERROR(__xludf.DUMMYFUNCTION("""COMPUTED_VALUE"""),FALSE)</f>
        <v>0</v>
      </c>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t="b">
        <f>IFERROR(__xludf.DUMMYFUNCTION("""COMPUTED_VALUE"""),FALSE)</f>
        <v>0</v>
      </c>
      <c r="K643" s="1"/>
      <c r="L643" s="1" t="b">
        <f>IFERROR(__xludf.DUMMYFUNCTION("""COMPUTED_VALUE"""),FALSE)</f>
        <v>0</v>
      </c>
      <c r="M643" s="1" t="b">
        <f>IFERROR(__xludf.DUMMYFUNCTION("""COMPUTED_VALUE"""),FALSE)</f>
        <v>0</v>
      </c>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t="b">
        <f>IFERROR(__xludf.DUMMYFUNCTION("""COMPUTED_VALUE"""),FALSE)</f>
        <v>0</v>
      </c>
      <c r="K644" s="1"/>
      <c r="L644" s="1" t="b">
        <f>IFERROR(__xludf.DUMMYFUNCTION("""COMPUTED_VALUE"""),FALSE)</f>
        <v>0</v>
      </c>
      <c r="M644" s="1" t="b">
        <f>IFERROR(__xludf.DUMMYFUNCTION("""COMPUTED_VALUE"""),FALSE)</f>
        <v>0</v>
      </c>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t="b">
        <f>IFERROR(__xludf.DUMMYFUNCTION("""COMPUTED_VALUE"""),FALSE)</f>
        <v>0</v>
      </c>
      <c r="K645" s="1"/>
      <c r="L645" s="1" t="b">
        <f>IFERROR(__xludf.DUMMYFUNCTION("""COMPUTED_VALUE"""),FALSE)</f>
        <v>0</v>
      </c>
      <c r="M645" s="1" t="b">
        <f>IFERROR(__xludf.DUMMYFUNCTION("""COMPUTED_VALUE"""),FALSE)</f>
        <v>0</v>
      </c>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t="b">
        <f>IFERROR(__xludf.DUMMYFUNCTION("""COMPUTED_VALUE"""),FALSE)</f>
        <v>0</v>
      </c>
      <c r="K646" s="1"/>
      <c r="L646" s="1" t="b">
        <f>IFERROR(__xludf.DUMMYFUNCTION("""COMPUTED_VALUE"""),FALSE)</f>
        <v>0</v>
      </c>
      <c r="M646" s="1" t="b">
        <f>IFERROR(__xludf.DUMMYFUNCTION("""COMPUTED_VALUE"""),FALSE)</f>
        <v>0</v>
      </c>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t="b">
        <f>IFERROR(__xludf.DUMMYFUNCTION("""COMPUTED_VALUE"""),FALSE)</f>
        <v>0</v>
      </c>
      <c r="K647" s="1"/>
      <c r="L647" s="1" t="b">
        <f>IFERROR(__xludf.DUMMYFUNCTION("""COMPUTED_VALUE"""),FALSE)</f>
        <v>0</v>
      </c>
      <c r="M647" s="1" t="b">
        <f>IFERROR(__xludf.DUMMYFUNCTION("""COMPUTED_VALUE"""),FALSE)</f>
        <v>0</v>
      </c>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t="b">
        <f>IFERROR(__xludf.DUMMYFUNCTION("""COMPUTED_VALUE"""),FALSE)</f>
        <v>0</v>
      </c>
      <c r="K648" s="1"/>
      <c r="L648" s="1" t="b">
        <f>IFERROR(__xludf.DUMMYFUNCTION("""COMPUTED_VALUE"""),FALSE)</f>
        <v>0</v>
      </c>
      <c r="M648" s="1" t="b">
        <f>IFERROR(__xludf.DUMMYFUNCTION("""COMPUTED_VALUE"""),FALSE)</f>
        <v>0</v>
      </c>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t="b">
        <f>IFERROR(__xludf.DUMMYFUNCTION("""COMPUTED_VALUE"""),FALSE)</f>
        <v>0</v>
      </c>
      <c r="K649" s="1"/>
      <c r="L649" s="1" t="b">
        <f>IFERROR(__xludf.DUMMYFUNCTION("""COMPUTED_VALUE"""),FALSE)</f>
        <v>0</v>
      </c>
      <c r="M649" s="1" t="b">
        <f>IFERROR(__xludf.DUMMYFUNCTION("""COMPUTED_VALUE"""),FALSE)</f>
        <v>0</v>
      </c>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t="b">
        <f>IFERROR(__xludf.DUMMYFUNCTION("""COMPUTED_VALUE"""),FALSE)</f>
        <v>0</v>
      </c>
      <c r="K650" s="1"/>
      <c r="L650" s="1" t="b">
        <f>IFERROR(__xludf.DUMMYFUNCTION("""COMPUTED_VALUE"""),FALSE)</f>
        <v>0</v>
      </c>
      <c r="M650" s="1" t="b">
        <f>IFERROR(__xludf.DUMMYFUNCTION("""COMPUTED_VALUE"""),FALSE)</f>
        <v>0</v>
      </c>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t="b">
        <f>IFERROR(__xludf.DUMMYFUNCTION("""COMPUTED_VALUE"""),FALSE)</f>
        <v>0</v>
      </c>
      <c r="K651" s="1"/>
      <c r="L651" s="1" t="b">
        <f>IFERROR(__xludf.DUMMYFUNCTION("""COMPUTED_VALUE"""),FALSE)</f>
        <v>0</v>
      </c>
      <c r="M651" s="1" t="b">
        <f>IFERROR(__xludf.DUMMYFUNCTION("""COMPUTED_VALUE"""),FALSE)</f>
        <v>0</v>
      </c>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t="b">
        <f>IFERROR(__xludf.DUMMYFUNCTION("""COMPUTED_VALUE"""),FALSE)</f>
        <v>0</v>
      </c>
      <c r="K652" s="1"/>
      <c r="L652" s="1" t="b">
        <f>IFERROR(__xludf.DUMMYFUNCTION("""COMPUTED_VALUE"""),FALSE)</f>
        <v>0</v>
      </c>
      <c r="M652" s="1" t="b">
        <f>IFERROR(__xludf.DUMMYFUNCTION("""COMPUTED_VALUE"""),FALSE)</f>
        <v>0</v>
      </c>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t="b">
        <f>IFERROR(__xludf.DUMMYFUNCTION("""COMPUTED_VALUE"""),FALSE)</f>
        <v>0</v>
      </c>
      <c r="K653" s="1"/>
      <c r="L653" s="1" t="b">
        <f>IFERROR(__xludf.DUMMYFUNCTION("""COMPUTED_VALUE"""),FALSE)</f>
        <v>0</v>
      </c>
      <c r="M653" s="1" t="b">
        <f>IFERROR(__xludf.DUMMYFUNCTION("""COMPUTED_VALUE"""),FALSE)</f>
        <v>0</v>
      </c>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t="b">
        <f>IFERROR(__xludf.DUMMYFUNCTION("""COMPUTED_VALUE"""),FALSE)</f>
        <v>0</v>
      </c>
      <c r="K654" s="1"/>
      <c r="L654" s="1" t="b">
        <f>IFERROR(__xludf.DUMMYFUNCTION("""COMPUTED_VALUE"""),FALSE)</f>
        <v>0</v>
      </c>
      <c r="M654" s="1" t="b">
        <f>IFERROR(__xludf.DUMMYFUNCTION("""COMPUTED_VALUE"""),FALSE)</f>
        <v>0</v>
      </c>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t="b">
        <f>IFERROR(__xludf.DUMMYFUNCTION("""COMPUTED_VALUE"""),FALSE)</f>
        <v>0</v>
      </c>
      <c r="K655" s="1"/>
      <c r="L655" s="1" t="b">
        <f>IFERROR(__xludf.DUMMYFUNCTION("""COMPUTED_VALUE"""),FALSE)</f>
        <v>0</v>
      </c>
      <c r="M655" s="1" t="b">
        <f>IFERROR(__xludf.DUMMYFUNCTION("""COMPUTED_VALUE"""),FALSE)</f>
        <v>0</v>
      </c>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t="b">
        <f>IFERROR(__xludf.DUMMYFUNCTION("""COMPUTED_VALUE"""),FALSE)</f>
        <v>0</v>
      </c>
      <c r="K656" s="1"/>
      <c r="L656" s="1" t="b">
        <f>IFERROR(__xludf.DUMMYFUNCTION("""COMPUTED_VALUE"""),FALSE)</f>
        <v>0</v>
      </c>
      <c r="M656" s="1" t="b">
        <f>IFERROR(__xludf.DUMMYFUNCTION("""COMPUTED_VALUE"""),FALSE)</f>
        <v>0</v>
      </c>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t="b">
        <f>IFERROR(__xludf.DUMMYFUNCTION("""COMPUTED_VALUE"""),FALSE)</f>
        <v>0</v>
      </c>
      <c r="K657" s="1"/>
      <c r="L657" s="1" t="b">
        <f>IFERROR(__xludf.DUMMYFUNCTION("""COMPUTED_VALUE"""),FALSE)</f>
        <v>0</v>
      </c>
      <c r="M657" s="1" t="b">
        <f>IFERROR(__xludf.DUMMYFUNCTION("""COMPUTED_VALUE"""),FALSE)</f>
        <v>0</v>
      </c>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t="b">
        <f>IFERROR(__xludf.DUMMYFUNCTION("""COMPUTED_VALUE"""),FALSE)</f>
        <v>0</v>
      </c>
      <c r="K658" s="1"/>
      <c r="L658" s="1" t="b">
        <f>IFERROR(__xludf.DUMMYFUNCTION("""COMPUTED_VALUE"""),FALSE)</f>
        <v>0</v>
      </c>
      <c r="M658" s="1" t="b">
        <f>IFERROR(__xludf.DUMMYFUNCTION("""COMPUTED_VALUE"""),FALSE)</f>
        <v>0</v>
      </c>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t="b">
        <f>IFERROR(__xludf.DUMMYFUNCTION("""COMPUTED_VALUE"""),FALSE)</f>
        <v>0</v>
      </c>
      <c r="K659" s="1"/>
      <c r="L659" s="1" t="b">
        <f>IFERROR(__xludf.DUMMYFUNCTION("""COMPUTED_VALUE"""),FALSE)</f>
        <v>0</v>
      </c>
      <c r="M659" s="1" t="b">
        <f>IFERROR(__xludf.DUMMYFUNCTION("""COMPUTED_VALUE"""),FALSE)</f>
        <v>0</v>
      </c>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t="b">
        <f>IFERROR(__xludf.DUMMYFUNCTION("""COMPUTED_VALUE"""),FALSE)</f>
        <v>0</v>
      </c>
      <c r="K660" s="1"/>
      <c r="L660" s="1" t="b">
        <f>IFERROR(__xludf.DUMMYFUNCTION("""COMPUTED_VALUE"""),FALSE)</f>
        <v>0</v>
      </c>
      <c r="M660" s="1" t="b">
        <f>IFERROR(__xludf.DUMMYFUNCTION("""COMPUTED_VALUE"""),FALSE)</f>
        <v>0</v>
      </c>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t="b">
        <f>IFERROR(__xludf.DUMMYFUNCTION("""COMPUTED_VALUE"""),FALSE)</f>
        <v>0</v>
      </c>
      <c r="K661" s="1"/>
      <c r="L661" s="1" t="b">
        <f>IFERROR(__xludf.DUMMYFUNCTION("""COMPUTED_VALUE"""),FALSE)</f>
        <v>0</v>
      </c>
      <c r="M661" s="1" t="b">
        <f>IFERROR(__xludf.DUMMYFUNCTION("""COMPUTED_VALUE"""),FALSE)</f>
        <v>0</v>
      </c>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t="b">
        <f>IFERROR(__xludf.DUMMYFUNCTION("""COMPUTED_VALUE"""),FALSE)</f>
        <v>0</v>
      </c>
      <c r="K662" s="1"/>
      <c r="L662" s="1" t="b">
        <f>IFERROR(__xludf.DUMMYFUNCTION("""COMPUTED_VALUE"""),FALSE)</f>
        <v>0</v>
      </c>
      <c r="M662" s="1" t="b">
        <f>IFERROR(__xludf.DUMMYFUNCTION("""COMPUTED_VALUE"""),FALSE)</f>
        <v>0</v>
      </c>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t="b">
        <f>IFERROR(__xludf.DUMMYFUNCTION("""COMPUTED_VALUE"""),FALSE)</f>
        <v>0</v>
      </c>
      <c r="K663" s="1"/>
      <c r="L663" s="1" t="b">
        <f>IFERROR(__xludf.DUMMYFUNCTION("""COMPUTED_VALUE"""),FALSE)</f>
        <v>0</v>
      </c>
      <c r="M663" s="1" t="b">
        <f>IFERROR(__xludf.DUMMYFUNCTION("""COMPUTED_VALUE"""),FALSE)</f>
        <v>0</v>
      </c>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t="b">
        <f>IFERROR(__xludf.DUMMYFUNCTION("""COMPUTED_VALUE"""),FALSE)</f>
        <v>0</v>
      </c>
      <c r="K664" s="1"/>
      <c r="L664" s="1" t="b">
        <f>IFERROR(__xludf.DUMMYFUNCTION("""COMPUTED_VALUE"""),FALSE)</f>
        <v>0</v>
      </c>
      <c r="M664" s="1" t="b">
        <f>IFERROR(__xludf.DUMMYFUNCTION("""COMPUTED_VALUE"""),FALSE)</f>
        <v>0</v>
      </c>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t="b">
        <f>IFERROR(__xludf.DUMMYFUNCTION("""COMPUTED_VALUE"""),FALSE)</f>
        <v>0</v>
      </c>
      <c r="K665" s="1"/>
      <c r="L665" s="1" t="b">
        <f>IFERROR(__xludf.DUMMYFUNCTION("""COMPUTED_VALUE"""),FALSE)</f>
        <v>0</v>
      </c>
      <c r="M665" s="1" t="b">
        <f>IFERROR(__xludf.DUMMYFUNCTION("""COMPUTED_VALUE"""),FALSE)</f>
        <v>0</v>
      </c>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t="b">
        <f>IFERROR(__xludf.DUMMYFUNCTION("""COMPUTED_VALUE"""),FALSE)</f>
        <v>0</v>
      </c>
      <c r="K666" s="1"/>
      <c r="L666" s="1" t="b">
        <f>IFERROR(__xludf.DUMMYFUNCTION("""COMPUTED_VALUE"""),FALSE)</f>
        <v>0</v>
      </c>
      <c r="M666" s="1" t="b">
        <f>IFERROR(__xludf.DUMMYFUNCTION("""COMPUTED_VALUE"""),FALSE)</f>
        <v>0</v>
      </c>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t="b">
        <f>IFERROR(__xludf.DUMMYFUNCTION("""COMPUTED_VALUE"""),FALSE)</f>
        <v>0</v>
      </c>
      <c r="K667" s="1"/>
      <c r="L667" s="1" t="b">
        <f>IFERROR(__xludf.DUMMYFUNCTION("""COMPUTED_VALUE"""),FALSE)</f>
        <v>0</v>
      </c>
      <c r="M667" s="1" t="b">
        <f>IFERROR(__xludf.DUMMYFUNCTION("""COMPUTED_VALUE"""),FALSE)</f>
        <v>0</v>
      </c>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t="b">
        <f>IFERROR(__xludf.DUMMYFUNCTION("""COMPUTED_VALUE"""),FALSE)</f>
        <v>0</v>
      </c>
      <c r="K668" s="1"/>
      <c r="L668" s="1" t="b">
        <f>IFERROR(__xludf.DUMMYFUNCTION("""COMPUTED_VALUE"""),FALSE)</f>
        <v>0</v>
      </c>
      <c r="M668" s="1" t="b">
        <f>IFERROR(__xludf.DUMMYFUNCTION("""COMPUTED_VALUE"""),FALSE)</f>
        <v>0</v>
      </c>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t="b">
        <f>IFERROR(__xludf.DUMMYFUNCTION("""COMPUTED_VALUE"""),FALSE)</f>
        <v>0</v>
      </c>
      <c r="K669" s="1"/>
      <c r="L669" s="1" t="b">
        <f>IFERROR(__xludf.DUMMYFUNCTION("""COMPUTED_VALUE"""),FALSE)</f>
        <v>0</v>
      </c>
      <c r="M669" s="1" t="b">
        <f>IFERROR(__xludf.DUMMYFUNCTION("""COMPUTED_VALUE"""),FALSE)</f>
        <v>0</v>
      </c>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t="b">
        <f>IFERROR(__xludf.DUMMYFUNCTION("""COMPUTED_VALUE"""),FALSE)</f>
        <v>0</v>
      </c>
      <c r="K670" s="1"/>
      <c r="L670" s="1" t="b">
        <f>IFERROR(__xludf.DUMMYFUNCTION("""COMPUTED_VALUE"""),FALSE)</f>
        <v>0</v>
      </c>
      <c r="M670" s="1" t="b">
        <f>IFERROR(__xludf.DUMMYFUNCTION("""COMPUTED_VALUE"""),FALSE)</f>
        <v>0</v>
      </c>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t="b">
        <f>IFERROR(__xludf.DUMMYFUNCTION("""COMPUTED_VALUE"""),FALSE)</f>
        <v>0</v>
      </c>
      <c r="K671" s="1"/>
      <c r="L671" s="1" t="b">
        <f>IFERROR(__xludf.DUMMYFUNCTION("""COMPUTED_VALUE"""),FALSE)</f>
        <v>0</v>
      </c>
      <c r="M671" s="1" t="b">
        <f>IFERROR(__xludf.DUMMYFUNCTION("""COMPUTED_VALUE"""),FALSE)</f>
        <v>0</v>
      </c>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t="b">
        <f>IFERROR(__xludf.DUMMYFUNCTION("""COMPUTED_VALUE"""),FALSE)</f>
        <v>0</v>
      </c>
      <c r="K672" s="1"/>
      <c r="L672" s="1" t="b">
        <f>IFERROR(__xludf.DUMMYFUNCTION("""COMPUTED_VALUE"""),FALSE)</f>
        <v>0</v>
      </c>
      <c r="M672" s="1" t="b">
        <f>IFERROR(__xludf.DUMMYFUNCTION("""COMPUTED_VALUE"""),FALSE)</f>
        <v>0</v>
      </c>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t="b">
        <f>IFERROR(__xludf.DUMMYFUNCTION("""COMPUTED_VALUE"""),FALSE)</f>
        <v>0</v>
      </c>
      <c r="K673" s="1"/>
      <c r="L673" s="1" t="b">
        <f>IFERROR(__xludf.DUMMYFUNCTION("""COMPUTED_VALUE"""),FALSE)</f>
        <v>0</v>
      </c>
      <c r="M673" s="1" t="b">
        <f>IFERROR(__xludf.DUMMYFUNCTION("""COMPUTED_VALUE"""),FALSE)</f>
        <v>0</v>
      </c>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t="b">
        <f>IFERROR(__xludf.DUMMYFUNCTION("""COMPUTED_VALUE"""),FALSE)</f>
        <v>0</v>
      </c>
      <c r="K674" s="1"/>
      <c r="L674" s="1" t="b">
        <f>IFERROR(__xludf.DUMMYFUNCTION("""COMPUTED_VALUE"""),FALSE)</f>
        <v>0</v>
      </c>
      <c r="M674" s="1" t="b">
        <f>IFERROR(__xludf.DUMMYFUNCTION("""COMPUTED_VALUE"""),FALSE)</f>
        <v>0</v>
      </c>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t="b">
        <f>IFERROR(__xludf.DUMMYFUNCTION("""COMPUTED_VALUE"""),FALSE)</f>
        <v>0</v>
      </c>
      <c r="K675" s="1"/>
      <c r="L675" s="1" t="b">
        <f>IFERROR(__xludf.DUMMYFUNCTION("""COMPUTED_VALUE"""),FALSE)</f>
        <v>0</v>
      </c>
      <c r="M675" s="1" t="b">
        <f>IFERROR(__xludf.DUMMYFUNCTION("""COMPUTED_VALUE"""),FALSE)</f>
        <v>0</v>
      </c>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t="b">
        <f>IFERROR(__xludf.DUMMYFUNCTION("""COMPUTED_VALUE"""),FALSE)</f>
        <v>0</v>
      </c>
      <c r="K676" s="1"/>
      <c r="L676" s="1" t="b">
        <f>IFERROR(__xludf.DUMMYFUNCTION("""COMPUTED_VALUE"""),FALSE)</f>
        <v>0</v>
      </c>
      <c r="M676" s="1" t="b">
        <f>IFERROR(__xludf.DUMMYFUNCTION("""COMPUTED_VALUE"""),FALSE)</f>
        <v>0</v>
      </c>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t="b">
        <f>IFERROR(__xludf.DUMMYFUNCTION("""COMPUTED_VALUE"""),FALSE)</f>
        <v>0</v>
      </c>
      <c r="K677" s="1"/>
      <c r="L677" s="1" t="b">
        <f>IFERROR(__xludf.DUMMYFUNCTION("""COMPUTED_VALUE"""),FALSE)</f>
        <v>0</v>
      </c>
      <c r="M677" s="1" t="b">
        <f>IFERROR(__xludf.DUMMYFUNCTION("""COMPUTED_VALUE"""),FALSE)</f>
        <v>0</v>
      </c>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t="b">
        <f>IFERROR(__xludf.DUMMYFUNCTION("""COMPUTED_VALUE"""),FALSE)</f>
        <v>0</v>
      </c>
      <c r="K678" s="1"/>
      <c r="L678" s="1" t="b">
        <f>IFERROR(__xludf.DUMMYFUNCTION("""COMPUTED_VALUE"""),FALSE)</f>
        <v>0</v>
      </c>
      <c r="M678" s="1" t="b">
        <f>IFERROR(__xludf.DUMMYFUNCTION("""COMPUTED_VALUE"""),FALSE)</f>
        <v>0</v>
      </c>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t="b">
        <f>IFERROR(__xludf.DUMMYFUNCTION("""COMPUTED_VALUE"""),FALSE)</f>
        <v>0</v>
      </c>
      <c r="K679" s="1"/>
      <c r="L679" s="1" t="b">
        <f>IFERROR(__xludf.DUMMYFUNCTION("""COMPUTED_VALUE"""),FALSE)</f>
        <v>0</v>
      </c>
      <c r="M679" s="1" t="b">
        <f>IFERROR(__xludf.DUMMYFUNCTION("""COMPUTED_VALUE"""),FALSE)</f>
        <v>0</v>
      </c>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t="b">
        <f>IFERROR(__xludf.DUMMYFUNCTION("""COMPUTED_VALUE"""),FALSE)</f>
        <v>0</v>
      </c>
      <c r="K680" s="1"/>
      <c r="L680" s="1" t="b">
        <f>IFERROR(__xludf.DUMMYFUNCTION("""COMPUTED_VALUE"""),FALSE)</f>
        <v>0</v>
      </c>
      <c r="M680" s="1" t="b">
        <f>IFERROR(__xludf.DUMMYFUNCTION("""COMPUTED_VALUE"""),FALSE)</f>
        <v>0</v>
      </c>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t="b">
        <f>IFERROR(__xludf.DUMMYFUNCTION("""COMPUTED_VALUE"""),FALSE)</f>
        <v>0</v>
      </c>
      <c r="K681" s="1"/>
      <c r="L681" s="1" t="b">
        <f>IFERROR(__xludf.DUMMYFUNCTION("""COMPUTED_VALUE"""),FALSE)</f>
        <v>0</v>
      </c>
      <c r="M681" s="1" t="b">
        <f>IFERROR(__xludf.DUMMYFUNCTION("""COMPUTED_VALUE"""),FALSE)</f>
        <v>0</v>
      </c>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t="b">
        <f>IFERROR(__xludf.DUMMYFUNCTION("""COMPUTED_VALUE"""),FALSE)</f>
        <v>0</v>
      </c>
      <c r="K682" s="1"/>
      <c r="L682" s="1" t="b">
        <f>IFERROR(__xludf.DUMMYFUNCTION("""COMPUTED_VALUE"""),FALSE)</f>
        <v>0</v>
      </c>
      <c r="M682" s="1" t="b">
        <f>IFERROR(__xludf.DUMMYFUNCTION("""COMPUTED_VALUE"""),FALSE)</f>
        <v>0</v>
      </c>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t="b">
        <f>IFERROR(__xludf.DUMMYFUNCTION("""COMPUTED_VALUE"""),FALSE)</f>
        <v>0</v>
      </c>
      <c r="K683" s="1"/>
      <c r="L683" s="1" t="b">
        <f>IFERROR(__xludf.DUMMYFUNCTION("""COMPUTED_VALUE"""),FALSE)</f>
        <v>0</v>
      </c>
      <c r="M683" s="1" t="b">
        <f>IFERROR(__xludf.DUMMYFUNCTION("""COMPUTED_VALUE"""),FALSE)</f>
        <v>0</v>
      </c>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t="b">
        <f>IFERROR(__xludf.DUMMYFUNCTION("""COMPUTED_VALUE"""),FALSE)</f>
        <v>0</v>
      </c>
      <c r="K684" s="1"/>
      <c r="L684" s="1" t="b">
        <f>IFERROR(__xludf.DUMMYFUNCTION("""COMPUTED_VALUE"""),FALSE)</f>
        <v>0</v>
      </c>
      <c r="M684" s="1" t="b">
        <f>IFERROR(__xludf.DUMMYFUNCTION("""COMPUTED_VALUE"""),FALSE)</f>
        <v>0</v>
      </c>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t="b">
        <f>IFERROR(__xludf.DUMMYFUNCTION("""COMPUTED_VALUE"""),FALSE)</f>
        <v>0</v>
      </c>
      <c r="K685" s="1"/>
      <c r="L685" s="1" t="b">
        <f>IFERROR(__xludf.DUMMYFUNCTION("""COMPUTED_VALUE"""),FALSE)</f>
        <v>0</v>
      </c>
      <c r="M685" s="1" t="b">
        <f>IFERROR(__xludf.DUMMYFUNCTION("""COMPUTED_VALUE"""),FALSE)</f>
        <v>0</v>
      </c>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t="b">
        <f>IFERROR(__xludf.DUMMYFUNCTION("""COMPUTED_VALUE"""),FALSE)</f>
        <v>0</v>
      </c>
      <c r="K686" s="1"/>
      <c r="L686" s="1" t="b">
        <f>IFERROR(__xludf.DUMMYFUNCTION("""COMPUTED_VALUE"""),FALSE)</f>
        <v>0</v>
      </c>
      <c r="M686" s="1" t="b">
        <f>IFERROR(__xludf.DUMMYFUNCTION("""COMPUTED_VALUE"""),FALSE)</f>
        <v>0</v>
      </c>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t="b">
        <f>IFERROR(__xludf.DUMMYFUNCTION("""COMPUTED_VALUE"""),FALSE)</f>
        <v>0</v>
      </c>
      <c r="K687" s="1"/>
      <c r="L687" s="1" t="b">
        <f>IFERROR(__xludf.DUMMYFUNCTION("""COMPUTED_VALUE"""),FALSE)</f>
        <v>0</v>
      </c>
      <c r="M687" s="1" t="b">
        <f>IFERROR(__xludf.DUMMYFUNCTION("""COMPUTED_VALUE"""),FALSE)</f>
        <v>0</v>
      </c>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t="b">
        <f>IFERROR(__xludf.DUMMYFUNCTION("""COMPUTED_VALUE"""),FALSE)</f>
        <v>0</v>
      </c>
      <c r="K688" s="1"/>
      <c r="L688" s="1" t="b">
        <f>IFERROR(__xludf.DUMMYFUNCTION("""COMPUTED_VALUE"""),FALSE)</f>
        <v>0</v>
      </c>
      <c r="M688" s="1" t="b">
        <f>IFERROR(__xludf.DUMMYFUNCTION("""COMPUTED_VALUE"""),FALSE)</f>
        <v>0</v>
      </c>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t="b">
        <f>IFERROR(__xludf.DUMMYFUNCTION("""COMPUTED_VALUE"""),FALSE)</f>
        <v>0</v>
      </c>
      <c r="K689" s="1"/>
      <c r="L689" s="1" t="b">
        <f>IFERROR(__xludf.DUMMYFUNCTION("""COMPUTED_VALUE"""),FALSE)</f>
        <v>0</v>
      </c>
      <c r="M689" s="1" t="b">
        <f>IFERROR(__xludf.DUMMYFUNCTION("""COMPUTED_VALUE"""),FALSE)</f>
        <v>0</v>
      </c>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t="b">
        <f>IFERROR(__xludf.DUMMYFUNCTION("""COMPUTED_VALUE"""),FALSE)</f>
        <v>0</v>
      </c>
      <c r="K690" s="1"/>
      <c r="L690" s="1" t="b">
        <f>IFERROR(__xludf.DUMMYFUNCTION("""COMPUTED_VALUE"""),FALSE)</f>
        <v>0</v>
      </c>
      <c r="M690" s="1" t="b">
        <f>IFERROR(__xludf.DUMMYFUNCTION("""COMPUTED_VALUE"""),FALSE)</f>
        <v>0</v>
      </c>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t="b">
        <f>IFERROR(__xludf.DUMMYFUNCTION("""COMPUTED_VALUE"""),FALSE)</f>
        <v>0</v>
      </c>
      <c r="K691" s="1"/>
      <c r="L691" s="1" t="b">
        <f>IFERROR(__xludf.DUMMYFUNCTION("""COMPUTED_VALUE"""),FALSE)</f>
        <v>0</v>
      </c>
      <c r="M691" s="1" t="b">
        <f>IFERROR(__xludf.DUMMYFUNCTION("""COMPUTED_VALUE"""),FALSE)</f>
        <v>0</v>
      </c>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t="b">
        <f>IFERROR(__xludf.DUMMYFUNCTION("""COMPUTED_VALUE"""),FALSE)</f>
        <v>0</v>
      </c>
      <c r="K692" s="1"/>
      <c r="L692" s="1" t="b">
        <f>IFERROR(__xludf.DUMMYFUNCTION("""COMPUTED_VALUE"""),FALSE)</f>
        <v>0</v>
      </c>
      <c r="M692" s="1" t="b">
        <f>IFERROR(__xludf.DUMMYFUNCTION("""COMPUTED_VALUE"""),FALSE)</f>
        <v>0</v>
      </c>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t="b">
        <f>IFERROR(__xludf.DUMMYFUNCTION("""COMPUTED_VALUE"""),FALSE)</f>
        <v>0</v>
      </c>
      <c r="K693" s="1"/>
      <c r="L693" s="1" t="b">
        <f>IFERROR(__xludf.DUMMYFUNCTION("""COMPUTED_VALUE"""),FALSE)</f>
        <v>0</v>
      </c>
      <c r="M693" s="1" t="b">
        <f>IFERROR(__xludf.DUMMYFUNCTION("""COMPUTED_VALUE"""),FALSE)</f>
        <v>0</v>
      </c>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t="b">
        <f>IFERROR(__xludf.DUMMYFUNCTION("""COMPUTED_VALUE"""),FALSE)</f>
        <v>0</v>
      </c>
      <c r="K694" s="1"/>
      <c r="L694" s="1" t="b">
        <f>IFERROR(__xludf.DUMMYFUNCTION("""COMPUTED_VALUE"""),FALSE)</f>
        <v>0</v>
      </c>
      <c r="M694" s="1" t="b">
        <f>IFERROR(__xludf.DUMMYFUNCTION("""COMPUTED_VALUE"""),FALSE)</f>
        <v>0</v>
      </c>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t="b">
        <f>IFERROR(__xludf.DUMMYFUNCTION("""COMPUTED_VALUE"""),FALSE)</f>
        <v>0</v>
      </c>
      <c r="K695" s="1"/>
      <c r="L695" s="1" t="b">
        <f>IFERROR(__xludf.DUMMYFUNCTION("""COMPUTED_VALUE"""),FALSE)</f>
        <v>0</v>
      </c>
      <c r="M695" s="1" t="b">
        <f>IFERROR(__xludf.DUMMYFUNCTION("""COMPUTED_VALUE"""),FALSE)</f>
        <v>0</v>
      </c>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t="b">
        <f>IFERROR(__xludf.DUMMYFUNCTION("""COMPUTED_VALUE"""),FALSE)</f>
        <v>0</v>
      </c>
      <c r="K696" s="1"/>
      <c r="L696" s="1" t="b">
        <f>IFERROR(__xludf.DUMMYFUNCTION("""COMPUTED_VALUE"""),FALSE)</f>
        <v>0</v>
      </c>
      <c r="M696" s="1" t="b">
        <f>IFERROR(__xludf.DUMMYFUNCTION("""COMPUTED_VALUE"""),FALSE)</f>
        <v>0</v>
      </c>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t="b">
        <f>IFERROR(__xludf.DUMMYFUNCTION("""COMPUTED_VALUE"""),FALSE)</f>
        <v>0</v>
      </c>
      <c r="K697" s="1"/>
      <c r="L697" s="1" t="b">
        <f>IFERROR(__xludf.DUMMYFUNCTION("""COMPUTED_VALUE"""),FALSE)</f>
        <v>0</v>
      </c>
      <c r="M697" s="1" t="b">
        <f>IFERROR(__xludf.DUMMYFUNCTION("""COMPUTED_VALUE"""),FALSE)</f>
        <v>0</v>
      </c>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t="b">
        <f>IFERROR(__xludf.DUMMYFUNCTION("""COMPUTED_VALUE"""),FALSE)</f>
        <v>0</v>
      </c>
      <c r="K698" s="1"/>
      <c r="L698" s="1" t="b">
        <f>IFERROR(__xludf.DUMMYFUNCTION("""COMPUTED_VALUE"""),FALSE)</f>
        <v>0</v>
      </c>
      <c r="M698" s="1" t="b">
        <f>IFERROR(__xludf.DUMMYFUNCTION("""COMPUTED_VALUE"""),FALSE)</f>
        <v>0</v>
      </c>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t="b">
        <f>IFERROR(__xludf.DUMMYFUNCTION("""COMPUTED_VALUE"""),FALSE)</f>
        <v>0</v>
      </c>
      <c r="K699" s="1"/>
      <c r="L699" s="1" t="b">
        <f>IFERROR(__xludf.DUMMYFUNCTION("""COMPUTED_VALUE"""),FALSE)</f>
        <v>0</v>
      </c>
      <c r="M699" s="1" t="b">
        <f>IFERROR(__xludf.DUMMYFUNCTION("""COMPUTED_VALUE"""),FALSE)</f>
        <v>0</v>
      </c>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t="b">
        <f>IFERROR(__xludf.DUMMYFUNCTION("""COMPUTED_VALUE"""),FALSE)</f>
        <v>0</v>
      </c>
      <c r="K700" s="1"/>
      <c r="L700" s="1" t="b">
        <f>IFERROR(__xludf.DUMMYFUNCTION("""COMPUTED_VALUE"""),FALSE)</f>
        <v>0</v>
      </c>
      <c r="M700" s="1" t="b">
        <f>IFERROR(__xludf.DUMMYFUNCTION("""COMPUTED_VALUE"""),FALSE)</f>
        <v>0</v>
      </c>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t="b">
        <f>IFERROR(__xludf.DUMMYFUNCTION("""COMPUTED_VALUE"""),FALSE)</f>
        <v>0</v>
      </c>
      <c r="K701" s="1"/>
      <c r="L701" s="1" t="b">
        <f>IFERROR(__xludf.DUMMYFUNCTION("""COMPUTED_VALUE"""),FALSE)</f>
        <v>0</v>
      </c>
      <c r="M701" s="1" t="b">
        <f>IFERROR(__xludf.DUMMYFUNCTION("""COMPUTED_VALUE"""),FALSE)</f>
        <v>0</v>
      </c>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t="b">
        <f>IFERROR(__xludf.DUMMYFUNCTION("""COMPUTED_VALUE"""),FALSE)</f>
        <v>0</v>
      </c>
      <c r="K702" s="1"/>
      <c r="L702" s="1" t="b">
        <f>IFERROR(__xludf.DUMMYFUNCTION("""COMPUTED_VALUE"""),FALSE)</f>
        <v>0</v>
      </c>
      <c r="M702" s="1" t="b">
        <f>IFERROR(__xludf.DUMMYFUNCTION("""COMPUTED_VALUE"""),FALSE)</f>
        <v>0</v>
      </c>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t="b">
        <f>IFERROR(__xludf.DUMMYFUNCTION("""COMPUTED_VALUE"""),FALSE)</f>
        <v>0</v>
      </c>
      <c r="K703" s="1"/>
      <c r="L703" s="1" t="b">
        <f>IFERROR(__xludf.DUMMYFUNCTION("""COMPUTED_VALUE"""),FALSE)</f>
        <v>0</v>
      </c>
      <c r="M703" s="1" t="b">
        <f>IFERROR(__xludf.DUMMYFUNCTION("""COMPUTED_VALUE"""),FALSE)</f>
        <v>0</v>
      </c>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t="b">
        <f>IFERROR(__xludf.DUMMYFUNCTION("""COMPUTED_VALUE"""),FALSE)</f>
        <v>0</v>
      </c>
      <c r="K704" s="1"/>
      <c r="L704" s="1" t="b">
        <f>IFERROR(__xludf.DUMMYFUNCTION("""COMPUTED_VALUE"""),FALSE)</f>
        <v>0</v>
      </c>
      <c r="M704" s="1" t="b">
        <f>IFERROR(__xludf.DUMMYFUNCTION("""COMPUTED_VALUE"""),FALSE)</f>
        <v>0</v>
      </c>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t="b">
        <f>IFERROR(__xludf.DUMMYFUNCTION("""COMPUTED_VALUE"""),FALSE)</f>
        <v>0</v>
      </c>
      <c r="K705" s="1"/>
      <c r="L705" s="1" t="b">
        <f>IFERROR(__xludf.DUMMYFUNCTION("""COMPUTED_VALUE"""),FALSE)</f>
        <v>0</v>
      </c>
      <c r="M705" s="1" t="b">
        <f>IFERROR(__xludf.DUMMYFUNCTION("""COMPUTED_VALUE"""),FALSE)</f>
        <v>0</v>
      </c>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t="b">
        <f>IFERROR(__xludf.DUMMYFUNCTION("""COMPUTED_VALUE"""),FALSE)</f>
        <v>0</v>
      </c>
      <c r="K706" s="1"/>
      <c r="L706" s="1" t="b">
        <f>IFERROR(__xludf.DUMMYFUNCTION("""COMPUTED_VALUE"""),FALSE)</f>
        <v>0</v>
      </c>
      <c r="M706" s="1" t="b">
        <f>IFERROR(__xludf.DUMMYFUNCTION("""COMPUTED_VALUE"""),FALSE)</f>
        <v>0</v>
      </c>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t="b">
        <f>IFERROR(__xludf.DUMMYFUNCTION("""COMPUTED_VALUE"""),FALSE)</f>
        <v>0</v>
      </c>
      <c r="K707" s="1"/>
      <c r="L707" s="1" t="b">
        <f>IFERROR(__xludf.DUMMYFUNCTION("""COMPUTED_VALUE"""),FALSE)</f>
        <v>0</v>
      </c>
      <c r="M707" s="1" t="b">
        <f>IFERROR(__xludf.DUMMYFUNCTION("""COMPUTED_VALUE"""),FALSE)</f>
        <v>0</v>
      </c>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t="b">
        <f>IFERROR(__xludf.DUMMYFUNCTION("""COMPUTED_VALUE"""),FALSE)</f>
        <v>0</v>
      </c>
      <c r="K708" s="1"/>
      <c r="L708" s="1" t="b">
        <f>IFERROR(__xludf.DUMMYFUNCTION("""COMPUTED_VALUE"""),FALSE)</f>
        <v>0</v>
      </c>
      <c r="M708" s="1" t="b">
        <f>IFERROR(__xludf.DUMMYFUNCTION("""COMPUTED_VALUE"""),FALSE)</f>
        <v>0</v>
      </c>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t="b">
        <f>IFERROR(__xludf.DUMMYFUNCTION("""COMPUTED_VALUE"""),FALSE)</f>
        <v>0</v>
      </c>
      <c r="K709" s="1"/>
      <c r="L709" s="1" t="b">
        <f>IFERROR(__xludf.DUMMYFUNCTION("""COMPUTED_VALUE"""),FALSE)</f>
        <v>0</v>
      </c>
      <c r="M709" s="1" t="b">
        <f>IFERROR(__xludf.DUMMYFUNCTION("""COMPUTED_VALUE"""),FALSE)</f>
        <v>0</v>
      </c>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t="b">
        <f>IFERROR(__xludf.DUMMYFUNCTION("""COMPUTED_VALUE"""),FALSE)</f>
        <v>0</v>
      </c>
      <c r="K710" s="1"/>
      <c r="L710" s="1" t="b">
        <f>IFERROR(__xludf.DUMMYFUNCTION("""COMPUTED_VALUE"""),FALSE)</f>
        <v>0</v>
      </c>
      <c r="M710" s="1" t="b">
        <f>IFERROR(__xludf.DUMMYFUNCTION("""COMPUTED_VALUE"""),FALSE)</f>
        <v>0</v>
      </c>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t="b">
        <f>IFERROR(__xludf.DUMMYFUNCTION("""COMPUTED_VALUE"""),FALSE)</f>
        <v>0</v>
      </c>
      <c r="K711" s="1"/>
      <c r="L711" s="1" t="b">
        <f>IFERROR(__xludf.DUMMYFUNCTION("""COMPUTED_VALUE"""),FALSE)</f>
        <v>0</v>
      </c>
      <c r="M711" s="1" t="b">
        <f>IFERROR(__xludf.DUMMYFUNCTION("""COMPUTED_VALUE"""),FALSE)</f>
        <v>0</v>
      </c>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t="b">
        <f>IFERROR(__xludf.DUMMYFUNCTION("""COMPUTED_VALUE"""),FALSE)</f>
        <v>0</v>
      </c>
      <c r="K712" s="1"/>
      <c r="L712" s="1" t="b">
        <f>IFERROR(__xludf.DUMMYFUNCTION("""COMPUTED_VALUE"""),FALSE)</f>
        <v>0</v>
      </c>
      <c r="M712" s="1" t="b">
        <f>IFERROR(__xludf.DUMMYFUNCTION("""COMPUTED_VALUE"""),FALSE)</f>
        <v>0</v>
      </c>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t="b">
        <f>IFERROR(__xludf.DUMMYFUNCTION("""COMPUTED_VALUE"""),FALSE)</f>
        <v>0</v>
      </c>
      <c r="K713" s="1"/>
      <c r="L713" s="1" t="b">
        <f>IFERROR(__xludf.DUMMYFUNCTION("""COMPUTED_VALUE"""),FALSE)</f>
        <v>0</v>
      </c>
      <c r="M713" s="1" t="b">
        <f>IFERROR(__xludf.DUMMYFUNCTION("""COMPUTED_VALUE"""),FALSE)</f>
        <v>0</v>
      </c>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t="b">
        <f>IFERROR(__xludf.DUMMYFUNCTION("""COMPUTED_VALUE"""),FALSE)</f>
        <v>0</v>
      </c>
      <c r="K714" s="1"/>
      <c r="L714" s="1" t="b">
        <f>IFERROR(__xludf.DUMMYFUNCTION("""COMPUTED_VALUE"""),FALSE)</f>
        <v>0</v>
      </c>
      <c r="M714" s="1" t="b">
        <f>IFERROR(__xludf.DUMMYFUNCTION("""COMPUTED_VALUE"""),FALSE)</f>
        <v>0</v>
      </c>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t="b">
        <f>IFERROR(__xludf.DUMMYFUNCTION("""COMPUTED_VALUE"""),FALSE)</f>
        <v>0</v>
      </c>
      <c r="K715" s="1"/>
      <c r="L715" s="1" t="b">
        <f>IFERROR(__xludf.DUMMYFUNCTION("""COMPUTED_VALUE"""),FALSE)</f>
        <v>0</v>
      </c>
      <c r="M715" s="1" t="b">
        <f>IFERROR(__xludf.DUMMYFUNCTION("""COMPUTED_VALUE"""),FALSE)</f>
        <v>0</v>
      </c>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t="b">
        <f>IFERROR(__xludf.DUMMYFUNCTION("""COMPUTED_VALUE"""),FALSE)</f>
        <v>0</v>
      </c>
      <c r="K716" s="1"/>
      <c r="L716" s="1" t="b">
        <f>IFERROR(__xludf.DUMMYFUNCTION("""COMPUTED_VALUE"""),FALSE)</f>
        <v>0</v>
      </c>
      <c r="M716" s="1" t="b">
        <f>IFERROR(__xludf.DUMMYFUNCTION("""COMPUTED_VALUE"""),FALSE)</f>
        <v>0</v>
      </c>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t="b">
        <f>IFERROR(__xludf.DUMMYFUNCTION("""COMPUTED_VALUE"""),FALSE)</f>
        <v>0</v>
      </c>
      <c r="K717" s="1"/>
      <c r="L717" s="1" t="b">
        <f>IFERROR(__xludf.DUMMYFUNCTION("""COMPUTED_VALUE"""),FALSE)</f>
        <v>0</v>
      </c>
      <c r="M717" s="1" t="b">
        <f>IFERROR(__xludf.DUMMYFUNCTION("""COMPUTED_VALUE"""),FALSE)</f>
        <v>0</v>
      </c>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t="b">
        <f>IFERROR(__xludf.DUMMYFUNCTION("""COMPUTED_VALUE"""),FALSE)</f>
        <v>0</v>
      </c>
      <c r="K718" s="1"/>
      <c r="L718" s="1" t="b">
        <f>IFERROR(__xludf.DUMMYFUNCTION("""COMPUTED_VALUE"""),FALSE)</f>
        <v>0</v>
      </c>
      <c r="M718" s="1" t="b">
        <f>IFERROR(__xludf.DUMMYFUNCTION("""COMPUTED_VALUE"""),FALSE)</f>
        <v>0</v>
      </c>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t="b">
        <f>IFERROR(__xludf.DUMMYFUNCTION("""COMPUTED_VALUE"""),FALSE)</f>
        <v>0</v>
      </c>
      <c r="K719" s="1"/>
      <c r="L719" s="1" t="b">
        <f>IFERROR(__xludf.DUMMYFUNCTION("""COMPUTED_VALUE"""),FALSE)</f>
        <v>0</v>
      </c>
      <c r="M719" s="1" t="b">
        <f>IFERROR(__xludf.DUMMYFUNCTION("""COMPUTED_VALUE"""),FALSE)</f>
        <v>0</v>
      </c>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t="b">
        <f>IFERROR(__xludf.DUMMYFUNCTION("""COMPUTED_VALUE"""),FALSE)</f>
        <v>0</v>
      </c>
      <c r="K720" s="1"/>
      <c r="L720" s="1" t="b">
        <f>IFERROR(__xludf.DUMMYFUNCTION("""COMPUTED_VALUE"""),FALSE)</f>
        <v>0</v>
      </c>
      <c r="M720" s="1" t="b">
        <f>IFERROR(__xludf.DUMMYFUNCTION("""COMPUTED_VALUE"""),FALSE)</f>
        <v>0</v>
      </c>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t="b">
        <f>IFERROR(__xludf.DUMMYFUNCTION("""COMPUTED_VALUE"""),FALSE)</f>
        <v>0</v>
      </c>
      <c r="K721" s="1"/>
      <c r="L721" s="1" t="b">
        <f>IFERROR(__xludf.DUMMYFUNCTION("""COMPUTED_VALUE"""),FALSE)</f>
        <v>0</v>
      </c>
      <c r="M721" s="1" t="b">
        <f>IFERROR(__xludf.DUMMYFUNCTION("""COMPUTED_VALUE"""),FALSE)</f>
        <v>0</v>
      </c>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t="b">
        <f>IFERROR(__xludf.DUMMYFUNCTION("""COMPUTED_VALUE"""),FALSE)</f>
        <v>0</v>
      </c>
      <c r="K722" s="1"/>
      <c r="L722" s="1" t="b">
        <f>IFERROR(__xludf.DUMMYFUNCTION("""COMPUTED_VALUE"""),FALSE)</f>
        <v>0</v>
      </c>
      <c r="M722" s="1" t="b">
        <f>IFERROR(__xludf.DUMMYFUNCTION("""COMPUTED_VALUE"""),FALSE)</f>
        <v>0</v>
      </c>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t="b">
        <f>IFERROR(__xludf.DUMMYFUNCTION("""COMPUTED_VALUE"""),FALSE)</f>
        <v>0</v>
      </c>
      <c r="K723" s="1"/>
      <c r="L723" s="1" t="b">
        <f>IFERROR(__xludf.DUMMYFUNCTION("""COMPUTED_VALUE"""),FALSE)</f>
        <v>0</v>
      </c>
      <c r="M723" s="1" t="b">
        <f>IFERROR(__xludf.DUMMYFUNCTION("""COMPUTED_VALUE"""),FALSE)</f>
        <v>0</v>
      </c>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t="b">
        <f>IFERROR(__xludf.DUMMYFUNCTION("""COMPUTED_VALUE"""),FALSE)</f>
        <v>0</v>
      </c>
      <c r="K724" s="1"/>
      <c r="L724" s="1" t="b">
        <f>IFERROR(__xludf.DUMMYFUNCTION("""COMPUTED_VALUE"""),FALSE)</f>
        <v>0</v>
      </c>
      <c r="M724" s="1" t="b">
        <f>IFERROR(__xludf.DUMMYFUNCTION("""COMPUTED_VALUE"""),FALSE)</f>
        <v>0</v>
      </c>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t="b">
        <f>IFERROR(__xludf.DUMMYFUNCTION("""COMPUTED_VALUE"""),FALSE)</f>
        <v>0</v>
      </c>
      <c r="K725" s="1"/>
      <c r="L725" s="1" t="b">
        <f>IFERROR(__xludf.DUMMYFUNCTION("""COMPUTED_VALUE"""),FALSE)</f>
        <v>0</v>
      </c>
      <c r="M725" s="1" t="b">
        <f>IFERROR(__xludf.DUMMYFUNCTION("""COMPUTED_VALUE"""),FALSE)</f>
        <v>0</v>
      </c>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t="b">
        <f>IFERROR(__xludf.DUMMYFUNCTION("""COMPUTED_VALUE"""),FALSE)</f>
        <v>0</v>
      </c>
      <c r="K726" s="1"/>
      <c r="L726" s="1" t="b">
        <f>IFERROR(__xludf.DUMMYFUNCTION("""COMPUTED_VALUE"""),FALSE)</f>
        <v>0</v>
      </c>
      <c r="M726" s="1" t="b">
        <f>IFERROR(__xludf.DUMMYFUNCTION("""COMPUTED_VALUE"""),FALSE)</f>
        <v>0</v>
      </c>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t="b">
        <f>IFERROR(__xludf.DUMMYFUNCTION("""COMPUTED_VALUE"""),FALSE)</f>
        <v>0</v>
      </c>
      <c r="K727" s="1"/>
      <c r="L727" s="1" t="b">
        <f>IFERROR(__xludf.DUMMYFUNCTION("""COMPUTED_VALUE"""),FALSE)</f>
        <v>0</v>
      </c>
      <c r="M727" s="1" t="b">
        <f>IFERROR(__xludf.DUMMYFUNCTION("""COMPUTED_VALUE"""),FALSE)</f>
        <v>0</v>
      </c>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t="b">
        <f>IFERROR(__xludf.DUMMYFUNCTION("""COMPUTED_VALUE"""),FALSE)</f>
        <v>0</v>
      </c>
      <c r="K728" s="1"/>
      <c r="L728" s="1" t="b">
        <f>IFERROR(__xludf.DUMMYFUNCTION("""COMPUTED_VALUE"""),FALSE)</f>
        <v>0</v>
      </c>
      <c r="M728" s="1" t="b">
        <f>IFERROR(__xludf.DUMMYFUNCTION("""COMPUTED_VALUE"""),FALSE)</f>
        <v>0</v>
      </c>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t="b">
        <f>IFERROR(__xludf.DUMMYFUNCTION("""COMPUTED_VALUE"""),FALSE)</f>
        <v>0</v>
      </c>
      <c r="K729" s="1"/>
      <c r="L729" s="1" t="b">
        <f>IFERROR(__xludf.DUMMYFUNCTION("""COMPUTED_VALUE"""),FALSE)</f>
        <v>0</v>
      </c>
      <c r="M729" s="1" t="b">
        <f>IFERROR(__xludf.DUMMYFUNCTION("""COMPUTED_VALUE"""),FALSE)</f>
        <v>0</v>
      </c>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t="b">
        <f>IFERROR(__xludf.DUMMYFUNCTION("""COMPUTED_VALUE"""),FALSE)</f>
        <v>0</v>
      </c>
      <c r="K730" s="1"/>
      <c r="L730" s="1" t="b">
        <f>IFERROR(__xludf.DUMMYFUNCTION("""COMPUTED_VALUE"""),FALSE)</f>
        <v>0</v>
      </c>
      <c r="M730" s="1" t="b">
        <f>IFERROR(__xludf.DUMMYFUNCTION("""COMPUTED_VALUE"""),FALSE)</f>
        <v>0</v>
      </c>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t="b">
        <f>IFERROR(__xludf.DUMMYFUNCTION("""COMPUTED_VALUE"""),FALSE)</f>
        <v>0</v>
      </c>
      <c r="K731" s="1"/>
      <c r="L731" s="1" t="b">
        <f>IFERROR(__xludf.DUMMYFUNCTION("""COMPUTED_VALUE"""),FALSE)</f>
        <v>0</v>
      </c>
      <c r="M731" s="1" t="b">
        <f>IFERROR(__xludf.DUMMYFUNCTION("""COMPUTED_VALUE"""),FALSE)</f>
        <v>0</v>
      </c>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t="b">
        <f>IFERROR(__xludf.DUMMYFUNCTION("""COMPUTED_VALUE"""),FALSE)</f>
        <v>0</v>
      </c>
      <c r="K732" s="1"/>
      <c r="L732" s="1" t="b">
        <f>IFERROR(__xludf.DUMMYFUNCTION("""COMPUTED_VALUE"""),FALSE)</f>
        <v>0</v>
      </c>
      <c r="M732" s="1" t="b">
        <f>IFERROR(__xludf.DUMMYFUNCTION("""COMPUTED_VALUE"""),FALSE)</f>
        <v>0</v>
      </c>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t="b">
        <f>IFERROR(__xludf.DUMMYFUNCTION("""COMPUTED_VALUE"""),FALSE)</f>
        <v>0</v>
      </c>
      <c r="K733" s="1"/>
      <c r="L733" s="1" t="b">
        <f>IFERROR(__xludf.DUMMYFUNCTION("""COMPUTED_VALUE"""),FALSE)</f>
        <v>0</v>
      </c>
      <c r="M733" s="1" t="b">
        <f>IFERROR(__xludf.DUMMYFUNCTION("""COMPUTED_VALUE"""),FALSE)</f>
        <v>0</v>
      </c>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t="b">
        <f>IFERROR(__xludf.DUMMYFUNCTION("""COMPUTED_VALUE"""),FALSE)</f>
        <v>0</v>
      </c>
      <c r="K734" s="1"/>
      <c r="L734" s="1" t="b">
        <f>IFERROR(__xludf.DUMMYFUNCTION("""COMPUTED_VALUE"""),FALSE)</f>
        <v>0</v>
      </c>
      <c r="M734" s="1" t="b">
        <f>IFERROR(__xludf.DUMMYFUNCTION("""COMPUTED_VALUE"""),FALSE)</f>
        <v>0</v>
      </c>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t="b">
        <f>IFERROR(__xludf.DUMMYFUNCTION("""COMPUTED_VALUE"""),FALSE)</f>
        <v>0</v>
      </c>
      <c r="K735" s="1"/>
      <c r="L735" s="1" t="b">
        <f>IFERROR(__xludf.DUMMYFUNCTION("""COMPUTED_VALUE"""),FALSE)</f>
        <v>0</v>
      </c>
      <c r="M735" s="1" t="b">
        <f>IFERROR(__xludf.DUMMYFUNCTION("""COMPUTED_VALUE"""),FALSE)</f>
        <v>0</v>
      </c>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t="b">
        <f>IFERROR(__xludf.DUMMYFUNCTION("""COMPUTED_VALUE"""),FALSE)</f>
        <v>0</v>
      </c>
      <c r="K736" s="1"/>
      <c r="L736" s="1" t="b">
        <f>IFERROR(__xludf.DUMMYFUNCTION("""COMPUTED_VALUE"""),FALSE)</f>
        <v>0</v>
      </c>
      <c r="M736" s="1" t="b">
        <f>IFERROR(__xludf.DUMMYFUNCTION("""COMPUTED_VALUE"""),FALSE)</f>
        <v>0</v>
      </c>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t="b">
        <f>IFERROR(__xludf.DUMMYFUNCTION("""COMPUTED_VALUE"""),FALSE)</f>
        <v>0</v>
      </c>
      <c r="K737" s="1"/>
      <c r="L737" s="1" t="b">
        <f>IFERROR(__xludf.DUMMYFUNCTION("""COMPUTED_VALUE"""),FALSE)</f>
        <v>0</v>
      </c>
      <c r="M737" s="1" t="b">
        <f>IFERROR(__xludf.DUMMYFUNCTION("""COMPUTED_VALUE"""),FALSE)</f>
        <v>0</v>
      </c>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t="b">
        <f>IFERROR(__xludf.DUMMYFUNCTION("""COMPUTED_VALUE"""),FALSE)</f>
        <v>0</v>
      </c>
      <c r="K738" s="1"/>
      <c r="L738" s="1" t="b">
        <f>IFERROR(__xludf.DUMMYFUNCTION("""COMPUTED_VALUE"""),FALSE)</f>
        <v>0</v>
      </c>
      <c r="M738" s="1" t="b">
        <f>IFERROR(__xludf.DUMMYFUNCTION("""COMPUTED_VALUE"""),FALSE)</f>
        <v>0</v>
      </c>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t="b">
        <f>IFERROR(__xludf.DUMMYFUNCTION("""COMPUTED_VALUE"""),FALSE)</f>
        <v>0</v>
      </c>
      <c r="K739" s="1"/>
      <c r="L739" s="1" t="b">
        <f>IFERROR(__xludf.DUMMYFUNCTION("""COMPUTED_VALUE"""),FALSE)</f>
        <v>0</v>
      </c>
      <c r="M739" s="1" t="b">
        <f>IFERROR(__xludf.DUMMYFUNCTION("""COMPUTED_VALUE"""),FALSE)</f>
        <v>0</v>
      </c>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t="b">
        <f>IFERROR(__xludf.DUMMYFUNCTION("""COMPUTED_VALUE"""),FALSE)</f>
        <v>0</v>
      </c>
      <c r="K740" s="1"/>
      <c r="L740" s="1" t="b">
        <f>IFERROR(__xludf.DUMMYFUNCTION("""COMPUTED_VALUE"""),FALSE)</f>
        <v>0</v>
      </c>
      <c r="M740" s="1" t="b">
        <f>IFERROR(__xludf.DUMMYFUNCTION("""COMPUTED_VALUE"""),FALSE)</f>
        <v>0</v>
      </c>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t="b">
        <f>IFERROR(__xludf.DUMMYFUNCTION("""COMPUTED_VALUE"""),FALSE)</f>
        <v>0</v>
      </c>
      <c r="K741" s="1"/>
      <c r="L741" s="1" t="b">
        <f>IFERROR(__xludf.DUMMYFUNCTION("""COMPUTED_VALUE"""),FALSE)</f>
        <v>0</v>
      </c>
      <c r="M741" s="1" t="b">
        <f>IFERROR(__xludf.DUMMYFUNCTION("""COMPUTED_VALUE"""),FALSE)</f>
        <v>0</v>
      </c>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t="b">
        <f>IFERROR(__xludf.DUMMYFUNCTION("""COMPUTED_VALUE"""),FALSE)</f>
        <v>0</v>
      </c>
      <c r="K742" s="1"/>
      <c r="L742" s="1" t="b">
        <f>IFERROR(__xludf.DUMMYFUNCTION("""COMPUTED_VALUE"""),FALSE)</f>
        <v>0</v>
      </c>
      <c r="M742" s="1" t="b">
        <f>IFERROR(__xludf.DUMMYFUNCTION("""COMPUTED_VALUE"""),FALSE)</f>
        <v>0</v>
      </c>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t="b">
        <f>IFERROR(__xludf.DUMMYFUNCTION("""COMPUTED_VALUE"""),FALSE)</f>
        <v>0</v>
      </c>
      <c r="K743" s="1"/>
      <c r="L743" s="1" t="b">
        <f>IFERROR(__xludf.DUMMYFUNCTION("""COMPUTED_VALUE"""),FALSE)</f>
        <v>0</v>
      </c>
      <c r="M743" s="1" t="b">
        <f>IFERROR(__xludf.DUMMYFUNCTION("""COMPUTED_VALUE"""),FALSE)</f>
        <v>0</v>
      </c>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t="b">
        <f>IFERROR(__xludf.DUMMYFUNCTION("""COMPUTED_VALUE"""),FALSE)</f>
        <v>0</v>
      </c>
      <c r="K744" s="1"/>
      <c r="L744" s="1" t="b">
        <f>IFERROR(__xludf.DUMMYFUNCTION("""COMPUTED_VALUE"""),FALSE)</f>
        <v>0</v>
      </c>
      <c r="M744" s="1" t="b">
        <f>IFERROR(__xludf.DUMMYFUNCTION("""COMPUTED_VALUE"""),FALSE)</f>
        <v>0</v>
      </c>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t="b">
        <f>IFERROR(__xludf.DUMMYFUNCTION("""COMPUTED_VALUE"""),FALSE)</f>
        <v>0</v>
      </c>
      <c r="K745" s="1"/>
      <c r="L745" s="1" t="b">
        <f>IFERROR(__xludf.DUMMYFUNCTION("""COMPUTED_VALUE"""),FALSE)</f>
        <v>0</v>
      </c>
      <c r="M745" s="1" t="b">
        <f>IFERROR(__xludf.DUMMYFUNCTION("""COMPUTED_VALUE"""),FALSE)</f>
        <v>0</v>
      </c>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t="b">
        <f>IFERROR(__xludf.DUMMYFUNCTION("""COMPUTED_VALUE"""),FALSE)</f>
        <v>0</v>
      </c>
      <c r="K746" s="1"/>
      <c r="L746" s="1" t="b">
        <f>IFERROR(__xludf.DUMMYFUNCTION("""COMPUTED_VALUE"""),FALSE)</f>
        <v>0</v>
      </c>
      <c r="M746" s="1" t="b">
        <f>IFERROR(__xludf.DUMMYFUNCTION("""COMPUTED_VALUE"""),FALSE)</f>
        <v>0</v>
      </c>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t="b">
        <f>IFERROR(__xludf.DUMMYFUNCTION("""COMPUTED_VALUE"""),FALSE)</f>
        <v>0</v>
      </c>
      <c r="K747" s="1"/>
      <c r="L747" s="1" t="b">
        <f>IFERROR(__xludf.DUMMYFUNCTION("""COMPUTED_VALUE"""),FALSE)</f>
        <v>0</v>
      </c>
      <c r="M747" s="1" t="b">
        <f>IFERROR(__xludf.DUMMYFUNCTION("""COMPUTED_VALUE"""),FALSE)</f>
        <v>0</v>
      </c>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t="b">
        <f>IFERROR(__xludf.DUMMYFUNCTION("""COMPUTED_VALUE"""),FALSE)</f>
        <v>0</v>
      </c>
      <c r="K748" s="1"/>
      <c r="L748" s="1" t="b">
        <f>IFERROR(__xludf.DUMMYFUNCTION("""COMPUTED_VALUE"""),FALSE)</f>
        <v>0</v>
      </c>
      <c r="M748" s="1" t="b">
        <f>IFERROR(__xludf.DUMMYFUNCTION("""COMPUTED_VALUE"""),FALSE)</f>
        <v>0</v>
      </c>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t="b">
        <f>IFERROR(__xludf.DUMMYFUNCTION("""COMPUTED_VALUE"""),FALSE)</f>
        <v>0</v>
      </c>
      <c r="K749" s="1"/>
      <c r="L749" s="1" t="b">
        <f>IFERROR(__xludf.DUMMYFUNCTION("""COMPUTED_VALUE"""),FALSE)</f>
        <v>0</v>
      </c>
      <c r="M749" s="1" t="b">
        <f>IFERROR(__xludf.DUMMYFUNCTION("""COMPUTED_VALUE"""),FALSE)</f>
        <v>0</v>
      </c>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t="b">
        <f>IFERROR(__xludf.DUMMYFUNCTION("""COMPUTED_VALUE"""),FALSE)</f>
        <v>0</v>
      </c>
      <c r="K750" s="1"/>
      <c r="L750" s="1" t="b">
        <f>IFERROR(__xludf.DUMMYFUNCTION("""COMPUTED_VALUE"""),FALSE)</f>
        <v>0</v>
      </c>
      <c r="M750" s="1" t="b">
        <f>IFERROR(__xludf.DUMMYFUNCTION("""COMPUTED_VALUE"""),FALSE)</f>
        <v>0</v>
      </c>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t="b">
        <f>IFERROR(__xludf.DUMMYFUNCTION("""COMPUTED_VALUE"""),FALSE)</f>
        <v>0</v>
      </c>
      <c r="K751" s="1"/>
      <c r="L751" s="1" t="b">
        <f>IFERROR(__xludf.DUMMYFUNCTION("""COMPUTED_VALUE"""),FALSE)</f>
        <v>0</v>
      </c>
      <c r="M751" s="1" t="b">
        <f>IFERROR(__xludf.DUMMYFUNCTION("""COMPUTED_VALUE"""),FALSE)</f>
        <v>0</v>
      </c>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t="b">
        <f>IFERROR(__xludf.DUMMYFUNCTION("""COMPUTED_VALUE"""),FALSE)</f>
        <v>0</v>
      </c>
      <c r="K752" s="1"/>
      <c r="L752" s="1" t="b">
        <f>IFERROR(__xludf.DUMMYFUNCTION("""COMPUTED_VALUE"""),FALSE)</f>
        <v>0</v>
      </c>
      <c r="M752" s="1" t="b">
        <f>IFERROR(__xludf.DUMMYFUNCTION("""COMPUTED_VALUE"""),FALSE)</f>
        <v>0</v>
      </c>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t="b">
        <f>IFERROR(__xludf.DUMMYFUNCTION("""COMPUTED_VALUE"""),FALSE)</f>
        <v>0</v>
      </c>
      <c r="K753" s="1"/>
      <c r="L753" s="1" t="b">
        <f>IFERROR(__xludf.DUMMYFUNCTION("""COMPUTED_VALUE"""),FALSE)</f>
        <v>0</v>
      </c>
      <c r="M753" s="1" t="b">
        <f>IFERROR(__xludf.DUMMYFUNCTION("""COMPUTED_VALUE"""),FALSE)</f>
        <v>0</v>
      </c>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t="b">
        <f>IFERROR(__xludf.DUMMYFUNCTION("""COMPUTED_VALUE"""),FALSE)</f>
        <v>0</v>
      </c>
      <c r="K754" s="1"/>
      <c r="L754" s="1" t="b">
        <f>IFERROR(__xludf.DUMMYFUNCTION("""COMPUTED_VALUE"""),FALSE)</f>
        <v>0</v>
      </c>
      <c r="M754" s="1" t="b">
        <f>IFERROR(__xludf.DUMMYFUNCTION("""COMPUTED_VALUE"""),FALSE)</f>
        <v>0</v>
      </c>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t="b">
        <f>IFERROR(__xludf.DUMMYFUNCTION("""COMPUTED_VALUE"""),FALSE)</f>
        <v>0</v>
      </c>
      <c r="K755" s="1"/>
      <c r="L755" s="1" t="b">
        <f>IFERROR(__xludf.DUMMYFUNCTION("""COMPUTED_VALUE"""),FALSE)</f>
        <v>0</v>
      </c>
      <c r="M755" s="1" t="b">
        <f>IFERROR(__xludf.DUMMYFUNCTION("""COMPUTED_VALUE"""),FALSE)</f>
        <v>0</v>
      </c>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t="b">
        <f>IFERROR(__xludf.DUMMYFUNCTION("""COMPUTED_VALUE"""),FALSE)</f>
        <v>0</v>
      </c>
      <c r="K756" s="1"/>
      <c r="L756" s="1" t="b">
        <f>IFERROR(__xludf.DUMMYFUNCTION("""COMPUTED_VALUE"""),FALSE)</f>
        <v>0</v>
      </c>
      <c r="M756" s="1" t="b">
        <f>IFERROR(__xludf.DUMMYFUNCTION("""COMPUTED_VALUE"""),FALSE)</f>
        <v>0</v>
      </c>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t="b">
        <f>IFERROR(__xludf.DUMMYFUNCTION("""COMPUTED_VALUE"""),FALSE)</f>
        <v>0</v>
      </c>
      <c r="K757" s="1"/>
      <c r="L757" s="1" t="b">
        <f>IFERROR(__xludf.DUMMYFUNCTION("""COMPUTED_VALUE"""),FALSE)</f>
        <v>0</v>
      </c>
      <c r="M757" s="1" t="b">
        <f>IFERROR(__xludf.DUMMYFUNCTION("""COMPUTED_VALUE"""),FALSE)</f>
        <v>0</v>
      </c>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t="b">
        <f>IFERROR(__xludf.DUMMYFUNCTION("""COMPUTED_VALUE"""),FALSE)</f>
        <v>0</v>
      </c>
      <c r="K758" s="1"/>
      <c r="L758" s="1" t="b">
        <f>IFERROR(__xludf.DUMMYFUNCTION("""COMPUTED_VALUE"""),FALSE)</f>
        <v>0</v>
      </c>
      <c r="M758" s="1" t="b">
        <f>IFERROR(__xludf.DUMMYFUNCTION("""COMPUTED_VALUE"""),FALSE)</f>
        <v>0</v>
      </c>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t="b">
        <f>IFERROR(__xludf.DUMMYFUNCTION("""COMPUTED_VALUE"""),FALSE)</f>
        <v>0</v>
      </c>
      <c r="K759" s="1"/>
      <c r="L759" s="1" t="b">
        <f>IFERROR(__xludf.DUMMYFUNCTION("""COMPUTED_VALUE"""),FALSE)</f>
        <v>0</v>
      </c>
      <c r="M759" s="1" t="b">
        <f>IFERROR(__xludf.DUMMYFUNCTION("""COMPUTED_VALUE"""),FALSE)</f>
        <v>0</v>
      </c>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t="b">
        <f>IFERROR(__xludf.DUMMYFUNCTION("""COMPUTED_VALUE"""),FALSE)</f>
        <v>0</v>
      </c>
      <c r="K760" s="1"/>
      <c r="L760" s="1" t="b">
        <f>IFERROR(__xludf.DUMMYFUNCTION("""COMPUTED_VALUE"""),FALSE)</f>
        <v>0</v>
      </c>
      <c r="M760" s="1" t="b">
        <f>IFERROR(__xludf.DUMMYFUNCTION("""COMPUTED_VALUE"""),FALSE)</f>
        <v>0</v>
      </c>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t="b">
        <f>IFERROR(__xludf.DUMMYFUNCTION("""COMPUTED_VALUE"""),FALSE)</f>
        <v>0</v>
      </c>
      <c r="K761" s="1"/>
      <c r="L761" s="1" t="b">
        <f>IFERROR(__xludf.DUMMYFUNCTION("""COMPUTED_VALUE"""),FALSE)</f>
        <v>0</v>
      </c>
      <c r="M761" s="1" t="b">
        <f>IFERROR(__xludf.DUMMYFUNCTION("""COMPUTED_VALUE"""),FALSE)</f>
        <v>0</v>
      </c>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t="b">
        <f>IFERROR(__xludf.DUMMYFUNCTION("""COMPUTED_VALUE"""),FALSE)</f>
        <v>0</v>
      </c>
      <c r="K762" s="1"/>
      <c r="L762" s="1" t="b">
        <f>IFERROR(__xludf.DUMMYFUNCTION("""COMPUTED_VALUE"""),FALSE)</f>
        <v>0</v>
      </c>
      <c r="M762" s="1" t="b">
        <f>IFERROR(__xludf.DUMMYFUNCTION("""COMPUTED_VALUE"""),FALSE)</f>
        <v>0</v>
      </c>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t="b">
        <f>IFERROR(__xludf.DUMMYFUNCTION("""COMPUTED_VALUE"""),FALSE)</f>
        <v>0</v>
      </c>
      <c r="K763" s="1"/>
      <c r="L763" s="1" t="b">
        <f>IFERROR(__xludf.DUMMYFUNCTION("""COMPUTED_VALUE"""),FALSE)</f>
        <v>0</v>
      </c>
      <c r="M763" s="1" t="b">
        <f>IFERROR(__xludf.DUMMYFUNCTION("""COMPUTED_VALUE"""),FALSE)</f>
        <v>0</v>
      </c>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t="b">
        <f>IFERROR(__xludf.DUMMYFUNCTION("""COMPUTED_VALUE"""),FALSE)</f>
        <v>0</v>
      </c>
      <c r="K764" s="1"/>
      <c r="L764" s="1" t="b">
        <f>IFERROR(__xludf.DUMMYFUNCTION("""COMPUTED_VALUE"""),FALSE)</f>
        <v>0</v>
      </c>
      <c r="M764" s="1" t="b">
        <f>IFERROR(__xludf.DUMMYFUNCTION("""COMPUTED_VALUE"""),FALSE)</f>
        <v>0</v>
      </c>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t="b">
        <f>IFERROR(__xludf.DUMMYFUNCTION("""COMPUTED_VALUE"""),FALSE)</f>
        <v>0</v>
      </c>
      <c r="K765" s="1"/>
      <c r="L765" s="1" t="b">
        <f>IFERROR(__xludf.DUMMYFUNCTION("""COMPUTED_VALUE"""),FALSE)</f>
        <v>0</v>
      </c>
      <c r="M765" s="1" t="b">
        <f>IFERROR(__xludf.DUMMYFUNCTION("""COMPUTED_VALUE"""),FALSE)</f>
        <v>0</v>
      </c>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t="b">
        <f>IFERROR(__xludf.DUMMYFUNCTION("""COMPUTED_VALUE"""),FALSE)</f>
        <v>0</v>
      </c>
      <c r="K766" s="1"/>
      <c r="L766" s="1" t="b">
        <f>IFERROR(__xludf.DUMMYFUNCTION("""COMPUTED_VALUE"""),FALSE)</f>
        <v>0</v>
      </c>
      <c r="M766" s="1" t="b">
        <f>IFERROR(__xludf.DUMMYFUNCTION("""COMPUTED_VALUE"""),FALSE)</f>
        <v>0</v>
      </c>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t="b">
        <f>IFERROR(__xludf.DUMMYFUNCTION("""COMPUTED_VALUE"""),FALSE)</f>
        <v>0</v>
      </c>
      <c r="K767" s="1"/>
      <c r="L767" s="1" t="b">
        <f>IFERROR(__xludf.DUMMYFUNCTION("""COMPUTED_VALUE"""),FALSE)</f>
        <v>0</v>
      </c>
      <c r="M767" s="1" t="b">
        <f>IFERROR(__xludf.DUMMYFUNCTION("""COMPUTED_VALUE"""),FALSE)</f>
        <v>0</v>
      </c>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t="b">
        <f>IFERROR(__xludf.DUMMYFUNCTION("""COMPUTED_VALUE"""),FALSE)</f>
        <v>0</v>
      </c>
      <c r="K768" s="1"/>
      <c r="L768" s="1" t="b">
        <f>IFERROR(__xludf.DUMMYFUNCTION("""COMPUTED_VALUE"""),FALSE)</f>
        <v>0</v>
      </c>
      <c r="M768" s="1" t="b">
        <f>IFERROR(__xludf.DUMMYFUNCTION("""COMPUTED_VALUE"""),FALSE)</f>
        <v>0</v>
      </c>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t="b">
        <f>IFERROR(__xludf.DUMMYFUNCTION("""COMPUTED_VALUE"""),FALSE)</f>
        <v>0</v>
      </c>
      <c r="K769" s="1"/>
      <c r="L769" s="1" t="b">
        <f>IFERROR(__xludf.DUMMYFUNCTION("""COMPUTED_VALUE"""),FALSE)</f>
        <v>0</v>
      </c>
      <c r="M769" s="1" t="b">
        <f>IFERROR(__xludf.DUMMYFUNCTION("""COMPUTED_VALUE"""),FALSE)</f>
        <v>0</v>
      </c>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t="b">
        <f>IFERROR(__xludf.DUMMYFUNCTION("""COMPUTED_VALUE"""),FALSE)</f>
        <v>0</v>
      </c>
      <c r="K770" s="1"/>
      <c r="L770" s="1" t="b">
        <f>IFERROR(__xludf.DUMMYFUNCTION("""COMPUTED_VALUE"""),FALSE)</f>
        <v>0</v>
      </c>
      <c r="M770" s="1" t="b">
        <f>IFERROR(__xludf.DUMMYFUNCTION("""COMPUTED_VALUE"""),FALSE)</f>
        <v>0</v>
      </c>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t="b">
        <f>IFERROR(__xludf.DUMMYFUNCTION("""COMPUTED_VALUE"""),FALSE)</f>
        <v>0</v>
      </c>
      <c r="K771" s="1"/>
      <c r="L771" s="1" t="b">
        <f>IFERROR(__xludf.DUMMYFUNCTION("""COMPUTED_VALUE"""),FALSE)</f>
        <v>0</v>
      </c>
      <c r="M771" s="1" t="b">
        <f>IFERROR(__xludf.DUMMYFUNCTION("""COMPUTED_VALUE"""),FALSE)</f>
        <v>0</v>
      </c>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t="b">
        <f>IFERROR(__xludf.DUMMYFUNCTION("""COMPUTED_VALUE"""),FALSE)</f>
        <v>0</v>
      </c>
      <c r="K772" s="1"/>
      <c r="L772" s="1" t="b">
        <f>IFERROR(__xludf.DUMMYFUNCTION("""COMPUTED_VALUE"""),FALSE)</f>
        <v>0</v>
      </c>
      <c r="M772" s="1" t="b">
        <f>IFERROR(__xludf.DUMMYFUNCTION("""COMPUTED_VALUE"""),FALSE)</f>
        <v>0</v>
      </c>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t="b">
        <f>IFERROR(__xludf.DUMMYFUNCTION("""COMPUTED_VALUE"""),FALSE)</f>
        <v>0</v>
      </c>
      <c r="K773" s="1"/>
      <c r="L773" s="1" t="b">
        <f>IFERROR(__xludf.DUMMYFUNCTION("""COMPUTED_VALUE"""),FALSE)</f>
        <v>0</v>
      </c>
      <c r="M773" s="1" t="b">
        <f>IFERROR(__xludf.DUMMYFUNCTION("""COMPUTED_VALUE"""),FALSE)</f>
        <v>0</v>
      </c>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t="b">
        <f>IFERROR(__xludf.DUMMYFUNCTION("""COMPUTED_VALUE"""),FALSE)</f>
        <v>0</v>
      </c>
      <c r="K774" s="1"/>
      <c r="L774" s="1" t="b">
        <f>IFERROR(__xludf.DUMMYFUNCTION("""COMPUTED_VALUE"""),FALSE)</f>
        <v>0</v>
      </c>
      <c r="M774" s="1" t="b">
        <f>IFERROR(__xludf.DUMMYFUNCTION("""COMPUTED_VALUE"""),FALSE)</f>
        <v>0</v>
      </c>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t="b">
        <f>IFERROR(__xludf.DUMMYFUNCTION("""COMPUTED_VALUE"""),FALSE)</f>
        <v>0</v>
      </c>
      <c r="K775" s="1"/>
      <c r="L775" s="1" t="b">
        <f>IFERROR(__xludf.DUMMYFUNCTION("""COMPUTED_VALUE"""),FALSE)</f>
        <v>0</v>
      </c>
      <c r="M775" s="1" t="b">
        <f>IFERROR(__xludf.DUMMYFUNCTION("""COMPUTED_VALUE"""),FALSE)</f>
        <v>0</v>
      </c>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t="b">
        <f>IFERROR(__xludf.DUMMYFUNCTION("""COMPUTED_VALUE"""),FALSE)</f>
        <v>0</v>
      </c>
      <c r="K776" s="1"/>
      <c r="L776" s="1" t="b">
        <f>IFERROR(__xludf.DUMMYFUNCTION("""COMPUTED_VALUE"""),FALSE)</f>
        <v>0</v>
      </c>
      <c r="M776" s="1" t="b">
        <f>IFERROR(__xludf.DUMMYFUNCTION("""COMPUTED_VALUE"""),FALSE)</f>
        <v>0</v>
      </c>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t="b">
        <f>IFERROR(__xludf.DUMMYFUNCTION("""COMPUTED_VALUE"""),FALSE)</f>
        <v>0</v>
      </c>
      <c r="K777" s="1"/>
      <c r="L777" s="1" t="b">
        <f>IFERROR(__xludf.DUMMYFUNCTION("""COMPUTED_VALUE"""),FALSE)</f>
        <v>0</v>
      </c>
      <c r="M777" s="1" t="b">
        <f>IFERROR(__xludf.DUMMYFUNCTION("""COMPUTED_VALUE"""),FALSE)</f>
        <v>0</v>
      </c>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t="b">
        <f>IFERROR(__xludf.DUMMYFUNCTION("""COMPUTED_VALUE"""),FALSE)</f>
        <v>0</v>
      </c>
      <c r="K778" s="1"/>
      <c r="L778" s="1" t="b">
        <f>IFERROR(__xludf.DUMMYFUNCTION("""COMPUTED_VALUE"""),FALSE)</f>
        <v>0</v>
      </c>
      <c r="M778" s="1" t="b">
        <f>IFERROR(__xludf.DUMMYFUNCTION("""COMPUTED_VALUE"""),FALSE)</f>
        <v>0</v>
      </c>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t="b">
        <f>IFERROR(__xludf.DUMMYFUNCTION("""COMPUTED_VALUE"""),FALSE)</f>
        <v>0</v>
      </c>
      <c r="K779" s="1"/>
      <c r="L779" s="1" t="b">
        <f>IFERROR(__xludf.DUMMYFUNCTION("""COMPUTED_VALUE"""),FALSE)</f>
        <v>0</v>
      </c>
      <c r="M779" s="1" t="b">
        <f>IFERROR(__xludf.DUMMYFUNCTION("""COMPUTED_VALUE"""),FALSE)</f>
        <v>0</v>
      </c>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t="b">
        <f>IFERROR(__xludf.DUMMYFUNCTION("""COMPUTED_VALUE"""),FALSE)</f>
        <v>0</v>
      </c>
      <c r="K780" s="1"/>
      <c r="L780" s="1" t="b">
        <f>IFERROR(__xludf.DUMMYFUNCTION("""COMPUTED_VALUE"""),FALSE)</f>
        <v>0</v>
      </c>
      <c r="M780" s="1" t="b">
        <f>IFERROR(__xludf.DUMMYFUNCTION("""COMPUTED_VALUE"""),FALSE)</f>
        <v>0</v>
      </c>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t="b">
        <f>IFERROR(__xludf.DUMMYFUNCTION("""COMPUTED_VALUE"""),FALSE)</f>
        <v>0</v>
      </c>
      <c r="K781" s="1"/>
      <c r="L781" s="1" t="b">
        <f>IFERROR(__xludf.DUMMYFUNCTION("""COMPUTED_VALUE"""),FALSE)</f>
        <v>0</v>
      </c>
      <c r="M781" s="1" t="b">
        <f>IFERROR(__xludf.DUMMYFUNCTION("""COMPUTED_VALUE"""),FALSE)</f>
        <v>0</v>
      </c>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t="b">
        <f>IFERROR(__xludf.DUMMYFUNCTION("""COMPUTED_VALUE"""),FALSE)</f>
        <v>0</v>
      </c>
      <c r="K782" s="1"/>
      <c r="L782" s="1" t="b">
        <f>IFERROR(__xludf.DUMMYFUNCTION("""COMPUTED_VALUE"""),FALSE)</f>
        <v>0</v>
      </c>
      <c r="M782" s="1" t="b">
        <f>IFERROR(__xludf.DUMMYFUNCTION("""COMPUTED_VALUE"""),FALSE)</f>
        <v>0</v>
      </c>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t="b">
        <f>IFERROR(__xludf.DUMMYFUNCTION("""COMPUTED_VALUE"""),FALSE)</f>
        <v>0</v>
      </c>
      <c r="K783" s="1"/>
      <c r="L783" s="1" t="b">
        <f>IFERROR(__xludf.DUMMYFUNCTION("""COMPUTED_VALUE"""),FALSE)</f>
        <v>0</v>
      </c>
      <c r="M783" s="1" t="b">
        <f>IFERROR(__xludf.DUMMYFUNCTION("""COMPUTED_VALUE"""),FALSE)</f>
        <v>0</v>
      </c>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t="b">
        <f>IFERROR(__xludf.DUMMYFUNCTION("""COMPUTED_VALUE"""),FALSE)</f>
        <v>0</v>
      </c>
      <c r="K784" s="1"/>
      <c r="L784" s="1" t="b">
        <f>IFERROR(__xludf.DUMMYFUNCTION("""COMPUTED_VALUE"""),FALSE)</f>
        <v>0</v>
      </c>
      <c r="M784" s="1" t="b">
        <f>IFERROR(__xludf.DUMMYFUNCTION("""COMPUTED_VALUE"""),FALSE)</f>
        <v>0</v>
      </c>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t="b">
        <f>IFERROR(__xludf.DUMMYFUNCTION("""COMPUTED_VALUE"""),FALSE)</f>
        <v>0</v>
      </c>
      <c r="K785" s="1"/>
      <c r="L785" s="1" t="b">
        <f>IFERROR(__xludf.DUMMYFUNCTION("""COMPUTED_VALUE"""),FALSE)</f>
        <v>0</v>
      </c>
      <c r="M785" s="1" t="b">
        <f>IFERROR(__xludf.DUMMYFUNCTION("""COMPUTED_VALUE"""),FALSE)</f>
        <v>0</v>
      </c>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t="b">
        <f>IFERROR(__xludf.DUMMYFUNCTION("""COMPUTED_VALUE"""),FALSE)</f>
        <v>0</v>
      </c>
      <c r="K786" s="1"/>
      <c r="L786" s="1" t="b">
        <f>IFERROR(__xludf.DUMMYFUNCTION("""COMPUTED_VALUE"""),FALSE)</f>
        <v>0</v>
      </c>
      <c r="M786" s="1" t="b">
        <f>IFERROR(__xludf.DUMMYFUNCTION("""COMPUTED_VALUE"""),FALSE)</f>
        <v>0</v>
      </c>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t="b">
        <f>IFERROR(__xludf.DUMMYFUNCTION("""COMPUTED_VALUE"""),FALSE)</f>
        <v>0</v>
      </c>
      <c r="K787" s="1"/>
      <c r="L787" s="1" t="b">
        <f>IFERROR(__xludf.DUMMYFUNCTION("""COMPUTED_VALUE"""),FALSE)</f>
        <v>0</v>
      </c>
      <c r="M787" s="1" t="b">
        <f>IFERROR(__xludf.DUMMYFUNCTION("""COMPUTED_VALUE"""),FALSE)</f>
        <v>0</v>
      </c>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t="b">
        <f>IFERROR(__xludf.DUMMYFUNCTION("""COMPUTED_VALUE"""),FALSE)</f>
        <v>0</v>
      </c>
      <c r="K788" s="1"/>
      <c r="L788" s="1" t="b">
        <f>IFERROR(__xludf.DUMMYFUNCTION("""COMPUTED_VALUE"""),FALSE)</f>
        <v>0</v>
      </c>
      <c r="M788" s="1" t="b">
        <f>IFERROR(__xludf.DUMMYFUNCTION("""COMPUTED_VALUE"""),FALSE)</f>
        <v>0</v>
      </c>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t="b">
        <f>IFERROR(__xludf.DUMMYFUNCTION("""COMPUTED_VALUE"""),FALSE)</f>
        <v>0</v>
      </c>
      <c r="K789" s="1"/>
      <c r="L789" s="1" t="b">
        <f>IFERROR(__xludf.DUMMYFUNCTION("""COMPUTED_VALUE"""),FALSE)</f>
        <v>0</v>
      </c>
      <c r="M789" s="1" t="b">
        <f>IFERROR(__xludf.DUMMYFUNCTION("""COMPUTED_VALUE"""),FALSE)</f>
        <v>0</v>
      </c>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t="b">
        <f>IFERROR(__xludf.DUMMYFUNCTION("""COMPUTED_VALUE"""),FALSE)</f>
        <v>0</v>
      </c>
      <c r="K790" s="1"/>
      <c r="L790" s="1" t="b">
        <f>IFERROR(__xludf.DUMMYFUNCTION("""COMPUTED_VALUE"""),FALSE)</f>
        <v>0</v>
      </c>
      <c r="M790" s="1" t="b">
        <f>IFERROR(__xludf.DUMMYFUNCTION("""COMPUTED_VALUE"""),FALSE)</f>
        <v>0</v>
      </c>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t="b">
        <f>IFERROR(__xludf.DUMMYFUNCTION("""COMPUTED_VALUE"""),FALSE)</f>
        <v>0</v>
      </c>
      <c r="K791" s="1"/>
      <c r="L791" s="1" t="b">
        <f>IFERROR(__xludf.DUMMYFUNCTION("""COMPUTED_VALUE"""),FALSE)</f>
        <v>0</v>
      </c>
      <c r="M791" s="1" t="b">
        <f>IFERROR(__xludf.DUMMYFUNCTION("""COMPUTED_VALUE"""),FALSE)</f>
        <v>0</v>
      </c>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t="b">
        <f>IFERROR(__xludf.DUMMYFUNCTION("""COMPUTED_VALUE"""),FALSE)</f>
        <v>0</v>
      </c>
      <c r="K792" s="1"/>
      <c r="L792" s="1" t="b">
        <f>IFERROR(__xludf.DUMMYFUNCTION("""COMPUTED_VALUE"""),FALSE)</f>
        <v>0</v>
      </c>
      <c r="M792" s="1" t="b">
        <f>IFERROR(__xludf.DUMMYFUNCTION("""COMPUTED_VALUE"""),FALSE)</f>
        <v>0</v>
      </c>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t="b">
        <f>IFERROR(__xludf.DUMMYFUNCTION("""COMPUTED_VALUE"""),FALSE)</f>
        <v>0</v>
      </c>
      <c r="K793" s="1"/>
      <c r="L793" s="1" t="b">
        <f>IFERROR(__xludf.DUMMYFUNCTION("""COMPUTED_VALUE"""),FALSE)</f>
        <v>0</v>
      </c>
      <c r="M793" s="1" t="b">
        <f>IFERROR(__xludf.DUMMYFUNCTION("""COMPUTED_VALUE"""),FALSE)</f>
        <v>0</v>
      </c>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t="b">
        <f>IFERROR(__xludf.DUMMYFUNCTION("""COMPUTED_VALUE"""),FALSE)</f>
        <v>0</v>
      </c>
      <c r="K794" s="1"/>
      <c r="L794" s="1" t="b">
        <f>IFERROR(__xludf.DUMMYFUNCTION("""COMPUTED_VALUE"""),FALSE)</f>
        <v>0</v>
      </c>
      <c r="M794" s="1" t="b">
        <f>IFERROR(__xludf.DUMMYFUNCTION("""COMPUTED_VALUE"""),FALSE)</f>
        <v>0</v>
      </c>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t="b">
        <f>IFERROR(__xludf.DUMMYFUNCTION("""COMPUTED_VALUE"""),FALSE)</f>
        <v>0</v>
      </c>
      <c r="K795" s="1"/>
      <c r="L795" s="1" t="b">
        <f>IFERROR(__xludf.DUMMYFUNCTION("""COMPUTED_VALUE"""),FALSE)</f>
        <v>0</v>
      </c>
      <c r="M795" s="1" t="b">
        <f>IFERROR(__xludf.DUMMYFUNCTION("""COMPUTED_VALUE"""),FALSE)</f>
        <v>0</v>
      </c>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t="b">
        <f>IFERROR(__xludf.DUMMYFUNCTION("""COMPUTED_VALUE"""),FALSE)</f>
        <v>0</v>
      </c>
      <c r="K796" s="1"/>
      <c r="L796" s="1" t="b">
        <f>IFERROR(__xludf.DUMMYFUNCTION("""COMPUTED_VALUE"""),FALSE)</f>
        <v>0</v>
      </c>
      <c r="M796" s="1" t="b">
        <f>IFERROR(__xludf.DUMMYFUNCTION("""COMPUTED_VALUE"""),FALSE)</f>
        <v>0</v>
      </c>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t="b">
        <f>IFERROR(__xludf.DUMMYFUNCTION("""COMPUTED_VALUE"""),FALSE)</f>
        <v>0</v>
      </c>
      <c r="K797" s="1"/>
      <c r="L797" s="1" t="b">
        <f>IFERROR(__xludf.DUMMYFUNCTION("""COMPUTED_VALUE"""),FALSE)</f>
        <v>0</v>
      </c>
      <c r="M797" s="1" t="b">
        <f>IFERROR(__xludf.DUMMYFUNCTION("""COMPUTED_VALUE"""),FALSE)</f>
        <v>0</v>
      </c>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t="b">
        <f>IFERROR(__xludf.DUMMYFUNCTION("""COMPUTED_VALUE"""),FALSE)</f>
        <v>0</v>
      </c>
      <c r="K798" s="1"/>
      <c r="L798" s="1" t="b">
        <f>IFERROR(__xludf.DUMMYFUNCTION("""COMPUTED_VALUE"""),FALSE)</f>
        <v>0</v>
      </c>
      <c r="M798" s="1" t="b">
        <f>IFERROR(__xludf.DUMMYFUNCTION("""COMPUTED_VALUE"""),FALSE)</f>
        <v>0</v>
      </c>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t="b">
        <f>IFERROR(__xludf.DUMMYFUNCTION("""COMPUTED_VALUE"""),FALSE)</f>
        <v>0</v>
      </c>
      <c r="K799" s="1"/>
      <c r="L799" s="1" t="b">
        <f>IFERROR(__xludf.DUMMYFUNCTION("""COMPUTED_VALUE"""),FALSE)</f>
        <v>0</v>
      </c>
      <c r="M799" s="1" t="b">
        <f>IFERROR(__xludf.DUMMYFUNCTION("""COMPUTED_VALUE"""),FALSE)</f>
        <v>0</v>
      </c>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t="b">
        <f>IFERROR(__xludf.DUMMYFUNCTION("""COMPUTED_VALUE"""),FALSE)</f>
        <v>0</v>
      </c>
      <c r="K800" s="1"/>
      <c r="L800" s="1" t="b">
        <f>IFERROR(__xludf.DUMMYFUNCTION("""COMPUTED_VALUE"""),FALSE)</f>
        <v>0</v>
      </c>
      <c r="M800" s="1" t="b">
        <f>IFERROR(__xludf.DUMMYFUNCTION("""COMPUTED_VALUE"""),FALSE)</f>
        <v>0</v>
      </c>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t="b">
        <f>IFERROR(__xludf.DUMMYFUNCTION("""COMPUTED_VALUE"""),FALSE)</f>
        <v>0</v>
      </c>
      <c r="K801" s="1"/>
      <c r="L801" s="1" t="b">
        <f>IFERROR(__xludf.DUMMYFUNCTION("""COMPUTED_VALUE"""),FALSE)</f>
        <v>0</v>
      </c>
      <c r="M801" s="1" t="b">
        <f>IFERROR(__xludf.DUMMYFUNCTION("""COMPUTED_VALUE"""),FALSE)</f>
        <v>0</v>
      </c>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t="b">
        <f>IFERROR(__xludf.DUMMYFUNCTION("""COMPUTED_VALUE"""),FALSE)</f>
        <v>0</v>
      </c>
      <c r="K802" s="1"/>
      <c r="L802" s="1" t="b">
        <f>IFERROR(__xludf.DUMMYFUNCTION("""COMPUTED_VALUE"""),FALSE)</f>
        <v>0</v>
      </c>
      <c r="M802" s="1" t="b">
        <f>IFERROR(__xludf.DUMMYFUNCTION("""COMPUTED_VALUE"""),FALSE)</f>
        <v>0</v>
      </c>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t="b">
        <f>IFERROR(__xludf.DUMMYFUNCTION("""COMPUTED_VALUE"""),FALSE)</f>
        <v>0</v>
      </c>
      <c r="K803" s="1"/>
      <c r="L803" s="1" t="b">
        <f>IFERROR(__xludf.DUMMYFUNCTION("""COMPUTED_VALUE"""),FALSE)</f>
        <v>0</v>
      </c>
      <c r="M803" s="1" t="b">
        <f>IFERROR(__xludf.DUMMYFUNCTION("""COMPUTED_VALUE"""),FALSE)</f>
        <v>0</v>
      </c>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t="b">
        <f>IFERROR(__xludf.DUMMYFUNCTION("""COMPUTED_VALUE"""),FALSE)</f>
        <v>0</v>
      </c>
      <c r="K804" s="1"/>
      <c r="L804" s="1" t="b">
        <f>IFERROR(__xludf.DUMMYFUNCTION("""COMPUTED_VALUE"""),FALSE)</f>
        <v>0</v>
      </c>
      <c r="M804" s="1" t="b">
        <f>IFERROR(__xludf.DUMMYFUNCTION("""COMPUTED_VALUE"""),FALSE)</f>
        <v>0</v>
      </c>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t="b">
        <f>IFERROR(__xludf.DUMMYFUNCTION("""COMPUTED_VALUE"""),FALSE)</f>
        <v>0</v>
      </c>
      <c r="K805" s="1"/>
      <c r="L805" s="1" t="b">
        <f>IFERROR(__xludf.DUMMYFUNCTION("""COMPUTED_VALUE"""),FALSE)</f>
        <v>0</v>
      </c>
      <c r="M805" s="1" t="b">
        <f>IFERROR(__xludf.DUMMYFUNCTION("""COMPUTED_VALUE"""),FALSE)</f>
        <v>0</v>
      </c>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t="b">
        <f>IFERROR(__xludf.DUMMYFUNCTION("""COMPUTED_VALUE"""),FALSE)</f>
        <v>0</v>
      </c>
      <c r="K806" s="1"/>
      <c r="L806" s="1" t="b">
        <f>IFERROR(__xludf.DUMMYFUNCTION("""COMPUTED_VALUE"""),FALSE)</f>
        <v>0</v>
      </c>
      <c r="M806" s="1" t="b">
        <f>IFERROR(__xludf.DUMMYFUNCTION("""COMPUTED_VALUE"""),FALSE)</f>
        <v>0</v>
      </c>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t="b">
        <f>IFERROR(__xludf.DUMMYFUNCTION("""COMPUTED_VALUE"""),FALSE)</f>
        <v>0</v>
      </c>
      <c r="K807" s="1"/>
      <c r="L807" s="1" t="b">
        <f>IFERROR(__xludf.DUMMYFUNCTION("""COMPUTED_VALUE"""),FALSE)</f>
        <v>0</v>
      </c>
      <c r="M807" s="1" t="b">
        <f>IFERROR(__xludf.DUMMYFUNCTION("""COMPUTED_VALUE"""),FALSE)</f>
        <v>0</v>
      </c>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t="b">
        <f>IFERROR(__xludf.DUMMYFUNCTION("""COMPUTED_VALUE"""),FALSE)</f>
        <v>0</v>
      </c>
      <c r="K808" s="1"/>
      <c r="L808" s="1" t="b">
        <f>IFERROR(__xludf.DUMMYFUNCTION("""COMPUTED_VALUE"""),FALSE)</f>
        <v>0</v>
      </c>
      <c r="M808" s="1" t="b">
        <f>IFERROR(__xludf.DUMMYFUNCTION("""COMPUTED_VALUE"""),FALSE)</f>
        <v>0</v>
      </c>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t="b">
        <f>IFERROR(__xludf.DUMMYFUNCTION("""COMPUTED_VALUE"""),FALSE)</f>
        <v>0</v>
      </c>
      <c r="K809" s="1"/>
      <c r="L809" s="1" t="b">
        <f>IFERROR(__xludf.DUMMYFUNCTION("""COMPUTED_VALUE"""),FALSE)</f>
        <v>0</v>
      </c>
      <c r="M809" s="1" t="b">
        <f>IFERROR(__xludf.DUMMYFUNCTION("""COMPUTED_VALUE"""),FALSE)</f>
        <v>0</v>
      </c>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t="b">
        <f>IFERROR(__xludf.DUMMYFUNCTION("""COMPUTED_VALUE"""),FALSE)</f>
        <v>0</v>
      </c>
      <c r="K810" s="1"/>
      <c r="L810" s="1" t="b">
        <f>IFERROR(__xludf.DUMMYFUNCTION("""COMPUTED_VALUE"""),FALSE)</f>
        <v>0</v>
      </c>
      <c r="M810" s="1" t="b">
        <f>IFERROR(__xludf.DUMMYFUNCTION("""COMPUTED_VALUE"""),FALSE)</f>
        <v>0</v>
      </c>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t="b">
        <f>IFERROR(__xludf.DUMMYFUNCTION("""COMPUTED_VALUE"""),FALSE)</f>
        <v>0</v>
      </c>
      <c r="K811" s="1"/>
      <c r="L811" s="1" t="b">
        <f>IFERROR(__xludf.DUMMYFUNCTION("""COMPUTED_VALUE"""),FALSE)</f>
        <v>0</v>
      </c>
      <c r="M811" s="1" t="b">
        <f>IFERROR(__xludf.DUMMYFUNCTION("""COMPUTED_VALUE"""),FALSE)</f>
        <v>0</v>
      </c>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t="b">
        <f>IFERROR(__xludf.DUMMYFUNCTION("""COMPUTED_VALUE"""),FALSE)</f>
        <v>0</v>
      </c>
      <c r="K812" s="1"/>
      <c r="L812" s="1" t="b">
        <f>IFERROR(__xludf.DUMMYFUNCTION("""COMPUTED_VALUE"""),FALSE)</f>
        <v>0</v>
      </c>
      <c r="M812" s="1" t="b">
        <f>IFERROR(__xludf.DUMMYFUNCTION("""COMPUTED_VALUE"""),FALSE)</f>
        <v>0</v>
      </c>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t="b">
        <f>IFERROR(__xludf.DUMMYFUNCTION("""COMPUTED_VALUE"""),FALSE)</f>
        <v>0</v>
      </c>
      <c r="K813" s="1"/>
      <c r="L813" s="1" t="b">
        <f>IFERROR(__xludf.DUMMYFUNCTION("""COMPUTED_VALUE"""),FALSE)</f>
        <v>0</v>
      </c>
      <c r="M813" s="1" t="b">
        <f>IFERROR(__xludf.DUMMYFUNCTION("""COMPUTED_VALUE"""),FALSE)</f>
        <v>0</v>
      </c>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t="b">
        <f>IFERROR(__xludf.DUMMYFUNCTION("""COMPUTED_VALUE"""),FALSE)</f>
        <v>0</v>
      </c>
      <c r="K814" s="1"/>
      <c r="L814" s="1" t="b">
        <f>IFERROR(__xludf.DUMMYFUNCTION("""COMPUTED_VALUE"""),FALSE)</f>
        <v>0</v>
      </c>
      <c r="M814" s="1" t="b">
        <f>IFERROR(__xludf.DUMMYFUNCTION("""COMPUTED_VALUE"""),FALSE)</f>
        <v>0</v>
      </c>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t="b">
        <f>IFERROR(__xludf.DUMMYFUNCTION("""COMPUTED_VALUE"""),FALSE)</f>
        <v>0</v>
      </c>
      <c r="K815" s="1"/>
      <c r="L815" s="1" t="b">
        <f>IFERROR(__xludf.DUMMYFUNCTION("""COMPUTED_VALUE"""),FALSE)</f>
        <v>0</v>
      </c>
      <c r="M815" s="1" t="b">
        <f>IFERROR(__xludf.DUMMYFUNCTION("""COMPUTED_VALUE"""),FALSE)</f>
        <v>0</v>
      </c>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t="b">
        <f>IFERROR(__xludf.DUMMYFUNCTION("""COMPUTED_VALUE"""),FALSE)</f>
        <v>0</v>
      </c>
      <c r="K816" s="1"/>
      <c r="L816" s="1" t="b">
        <f>IFERROR(__xludf.DUMMYFUNCTION("""COMPUTED_VALUE"""),FALSE)</f>
        <v>0</v>
      </c>
      <c r="M816" s="1" t="b">
        <f>IFERROR(__xludf.DUMMYFUNCTION("""COMPUTED_VALUE"""),FALSE)</f>
        <v>0</v>
      </c>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t="b">
        <f>IFERROR(__xludf.DUMMYFUNCTION("""COMPUTED_VALUE"""),FALSE)</f>
        <v>0</v>
      </c>
      <c r="K817" s="1"/>
      <c r="L817" s="1" t="b">
        <f>IFERROR(__xludf.DUMMYFUNCTION("""COMPUTED_VALUE"""),FALSE)</f>
        <v>0</v>
      </c>
      <c r="M817" s="1" t="b">
        <f>IFERROR(__xludf.DUMMYFUNCTION("""COMPUTED_VALUE"""),FALSE)</f>
        <v>0</v>
      </c>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t="b">
        <f>IFERROR(__xludf.DUMMYFUNCTION("""COMPUTED_VALUE"""),FALSE)</f>
        <v>0</v>
      </c>
      <c r="K818" s="1"/>
      <c r="L818" s="1" t="b">
        <f>IFERROR(__xludf.DUMMYFUNCTION("""COMPUTED_VALUE"""),FALSE)</f>
        <v>0</v>
      </c>
      <c r="M818" s="1" t="b">
        <f>IFERROR(__xludf.DUMMYFUNCTION("""COMPUTED_VALUE"""),FALSE)</f>
        <v>0</v>
      </c>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t="b">
        <f>IFERROR(__xludf.DUMMYFUNCTION("""COMPUTED_VALUE"""),FALSE)</f>
        <v>0</v>
      </c>
      <c r="K819" s="1"/>
      <c r="L819" s="1" t="b">
        <f>IFERROR(__xludf.DUMMYFUNCTION("""COMPUTED_VALUE"""),FALSE)</f>
        <v>0</v>
      </c>
      <c r="M819" s="1" t="b">
        <f>IFERROR(__xludf.DUMMYFUNCTION("""COMPUTED_VALUE"""),FALSE)</f>
        <v>0</v>
      </c>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t="b">
        <f>IFERROR(__xludf.DUMMYFUNCTION("""COMPUTED_VALUE"""),FALSE)</f>
        <v>0</v>
      </c>
      <c r="K820" s="1"/>
      <c r="L820" s="1" t="b">
        <f>IFERROR(__xludf.DUMMYFUNCTION("""COMPUTED_VALUE"""),FALSE)</f>
        <v>0</v>
      </c>
      <c r="M820" s="1" t="b">
        <f>IFERROR(__xludf.DUMMYFUNCTION("""COMPUTED_VALUE"""),FALSE)</f>
        <v>0</v>
      </c>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t="b">
        <f>IFERROR(__xludf.DUMMYFUNCTION("""COMPUTED_VALUE"""),FALSE)</f>
        <v>0</v>
      </c>
      <c r="K821" s="1"/>
      <c r="L821" s="1" t="b">
        <f>IFERROR(__xludf.DUMMYFUNCTION("""COMPUTED_VALUE"""),FALSE)</f>
        <v>0</v>
      </c>
      <c r="M821" s="1" t="b">
        <f>IFERROR(__xludf.DUMMYFUNCTION("""COMPUTED_VALUE"""),FALSE)</f>
        <v>0</v>
      </c>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t="b">
        <f>IFERROR(__xludf.DUMMYFUNCTION("""COMPUTED_VALUE"""),FALSE)</f>
        <v>0</v>
      </c>
      <c r="K822" s="1"/>
      <c r="L822" s="1" t="b">
        <f>IFERROR(__xludf.DUMMYFUNCTION("""COMPUTED_VALUE"""),FALSE)</f>
        <v>0</v>
      </c>
      <c r="M822" s="1" t="b">
        <f>IFERROR(__xludf.DUMMYFUNCTION("""COMPUTED_VALUE"""),FALSE)</f>
        <v>0</v>
      </c>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t="b">
        <f>IFERROR(__xludf.DUMMYFUNCTION("""COMPUTED_VALUE"""),FALSE)</f>
        <v>0</v>
      </c>
      <c r="K823" s="1"/>
      <c r="L823" s="1" t="b">
        <f>IFERROR(__xludf.DUMMYFUNCTION("""COMPUTED_VALUE"""),FALSE)</f>
        <v>0</v>
      </c>
      <c r="M823" s="1" t="b">
        <f>IFERROR(__xludf.DUMMYFUNCTION("""COMPUTED_VALUE"""),FALSE)</f>
        <v>0</v>
      </c>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t="b">
        <f>IFERROR(__xludf.DUMMYFUNCTION("""COMPUTED_VALUE"""),FALSE)</f>
        <v>0</v>
      </c>
      <c r="K824" s="1"/>
      <c r="L824" s="1" t="b">
        <f>IFERROR(__xludf.DUMMYFUNCTION("""COMPUTED_VALUE"""),FALSE)</f>
        <v>0</v>
      </c>
      <c r="M824" s="1" t="b">
        <f>IFERROR(__xludf.DUMMYFUNCTION("""COMPUTED_VALUE"""),FALSE)</f>
        <v>0</v>
      </c>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t="b">
        <f>IFERROR(__xludf.DUMMYFUNCTION("""COMPUTED_VALUE"""),FALSE)</f>
        <v>0</v>
      </c>
      <c r="K825" s="1"/>
      <c r="L825" s="1" t="b">
        <f>IFERROR(__xludf.DUMMYFUNCTION("""COMPUTED_VALUE"""),FALSE)</f>
        <v>0</v>
      </c>
      <c r="M825" s="1" t="b">
        <f>IFERROR(__xludf.DUMMYFUNCTION("""COMPUTED_VALUE"""),FALSE)</f>
        <v>0</v>
      </c>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t="b">
        <f>IFERROR(__xludf.DUMMYFUNCTION("""COMPUTED_VALUE"""),FALSE)</f>
        <v>0</v>
      </c>
      <c r="K826" s="1"/>
      <c r="L826" s="1" t="b">
        <f>IFERROR(__xludf.DUMMYFUNCTION("""COMPUTED_VALUE"""),FALSE)</f>
        <v>0</v>
      </c>
      <c r="M826" s="1" t="b">
        <f>IFERROR(__xludf.DUMMYFUNCTION("""COMPUTED_VALUE"""),FALSE)</f>
        <v>0</v>
      </c>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t="b">
        <f>IFERROR(__xludf.DUMMYFUNCTION("""COMPUTED_VALUE"""),FALSE)</f>
        <v>0</v>
      </c>
      <c r="K827" s="1"/>
      <c r="L827" s="1" t="b">
        <f>IFERROR(__xludf.DUMMYFUNCTION("""COMPUTED_VALUE"""),FALSE)</f>
        <v>0</v>
      </c>
      <c r="M827" s="1" t="b">
        <f>IFERROR(__xludf.DUMMYFUNCTION("""COMPUTED_VALUE"""),FALSE)</f>
        <v>0</v>
      </c>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t="b">
        <f>IFERROR(__xludf.DUMMYFUNCTION("""COMPUTED_VALUE"""),FALSE)</f>
        <v>0</v>
      </c>
      <c r="K828" s="1"/>
      <c r="L828" s="1" t="b">
        <f>IFERROR(__xludf.DUMMYFUNCTION("""COMPUTED_VALUE"""),FALSE)</f>
        <v>0</v>
      </c>
      <c r="M828" s="1" t="b">
        <f>IFERROR(__xludf.DUMMYFUNCTION("""COMPUTED_VALUE"""),FALSE)</f>
        <v>0</v>
      </c>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t="b">
        <f>IFERROR(__xludf.DUMMYFUNCTION("""COMPUTED_VALUE"""),FALSE)</f>
        <v>0</v>
      </c>
      <c r="K829" s="1"/>
      <c r="L829" s="1" t="b">
        <f>IFERROR(__xludf.DUMMYFUNCTION("""COMPUTED_VALUE"""),FALSE)</f>
        <v>0</v>
      </c>
      <c r="M829" s="1" t="b">
        <f>IFERROR(__xludf.DUMMYFUNCTION("""COMPUTED_VALUE"""),FALSE)</f>
        <v>0</v>
      </c>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t="b">
        <f>IFERROR(__xludf.DUMMYFUNCTION("""COMPUTED_VALUE"""),FALSE)</f>
        <v>0</v>
      </c>
      <c r="K830" s="1"/>
      <c r="L830" s="1" t="b">
        <f>IFERROR(__xludf.DUMMYFUNCTION("""COMPUTED_VALUE"""),FALSE)</f>
        <v>0</v>
      </c>
      <c r="M830" s="1" t="b">
        <f>IFERROR(__xludf.DUMMYFUNCTION("""COMPUTED_VALUE"""),FALSE)</f>
        <v>0</v>
      </c>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t="b">
        <f>IFERROR(__xludf.DUMMYFUNCTION("""COMPUTED_VALUE"""),FALSE)</f>
        <v>0</v>
      </c>
      <c r="K831" s="1"/>
      <c r="L831" s="1" t="b">
        <f>IFERROR(__xludf.DUMMYFUNCTION("""COMPUTED_VALUE"""),FALSE)</f>
        <v>0</v>
      </c>
      <c r="M831" s="1" t="b">
        <f>IFERROR(__xludf.DUMMYFUNCTION("""COMPUTED_VALUE"""),FALSE)</f>
        <v>0</v>
      </c>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t="b">
        <f>IFERROR(__xludf.DUMMYFUNCTION("""COMPUTED_VALUE"""),FALSE)</f>
        <v>0</v>
      </c>
      <c r="K832" s="1"/>
      <c r="L832" s="1" t="b">
        <f>IFERROR(__xludf.DUMMYFUNCTION("""COMPUTED_VALUE"""),FALSE)</f>
        <v>0</v>
      </c>
      <c r="M832" s="1" t="b">
        <f>IFERROR(__xludf.DUMMYFUNCTION("""COMPUTED_VALUE"""),FALSE)</f>
        <v>0</v>
      </c>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t="b">
        <f>IFERROR(__xludf.DUMMYFUNCTION("""COMPUTED_VALUE"""),FALSE)</f>
        <v>0</v>
      </c>
      <c r="K833" s="1"/>
      <c r="L833" s="1" t="b">
        <f>IFERROR(__xludf.DUMMYFUNCTION("""COMPUTED_VALUE"""),FALSE)</f>
        <v>0</v>
      </c>
      <c r="M833" s="1" t="b">
        <f>IFERROR(__xludf.DUMMYFUNCTION("""COMPUTED_VALUE"""),FALSE)</f>
        <v>0</v>
      </c>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t="b">
        <f>IFERROR(__xludf.DUMMYFUNCTION("""COMPUTED_VALUE"""),FALSE)</f>
        <v>0</v>
      </c>
      <c r="K834" s="1"/>
      <c r="L834" s="1" t="b">
        <f>IFERROR(__xludf.DUMMYFUNCTION("""COMPUTED_VALUE"""),FALSE)</f>
        <v>0</v>
      </c>
      <c r="M834" s="1" t="b">
        <f>IFERROR(__xludf.DUMMYFUNCTION("""COMPUTED_VALUE"""),FALSE)</f>
        <v>0</v>
      </c>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t="b">
        <f>IFERROR(__xludf.DUMMYFUNCTION("""COMPUTED_VALUE"""),FALSE)</f>
        <v>0</v>
      </c>
      <c r="K835" s="1"/>
      <c r="L835" s="1" t="b">
        <f>IFERROR(__xludf.DUMMYFUNCTION("""COMPUTED_VALUE"""),FALSE)</f>
        <v>0</v>
      </c>
      <c r="M835" s="1" t="b">
        <f>IFERROR(__xludf.DUMMYFUNCTION("""COMPUTED_VALUE"""),FALSE)</f>
        <v>0</v>
      </c>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t="b">
        <f>IFERROR(__xludf.DUMMYFUNCTION("""COMPUTED_VALUE"""),FALSE)</f>
        <v>0</v>
      </c>
      <c r="K836" s="1"/>
      <c r="L836" s="1" t="b">
        <f>IFERROR(__xludf.DUMMYFUNCTION("""COMPUTED_VALUE"""),FALSE)</f>
        <v>0</v>
      </c>
      <c r="M836" s="1" t="b">
        <f>IFERROR(__xludf.DUMMYFUNCTION("""COMPUTED_VALUE"""),FALSE)</f>
        <v>0</v>
      </c>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t="b">
        <f>IFERROR(__xludf.DUMMYFUNCTION("""COMPUTED_VALUE"""),FALSE)</f>
        <v>0</v>
      </c>
      <c r="K837" s="1"/>
      <c r="L837" s="1" t="b">
        <f>IFERROR(__xludf.DUMMYFUNCTION("""COMPUTED_VALUE"""),FALSE)</f>
        <v>0</v>
      </c>
      <c r="M837" s="1" t="b">
        <f>IFERROR(__xludf.DUMMYFUNCTION("""COMPUTED_VALUE"""),FALSE)</f>
        <v>0</v>
      </c>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t="b">
        <f>IFERROR(__xludf.DUMMYFUNCTION("""COMPUTED_VALUE"""),FALSE)</f>
        <v>0</v>
      </c>
      <c r="K838" s="1"/>
      <c r="L838" s="1" t="b">
        <f>IFERROR(__xludf.DUMMYFUNCTION("""COMPUTED_VALUE"""),FALSE)</f>
        <v>0</v>
      </c>
      <c r="M838" s="1" t="b">
        <f>IFERROR(__xludf.DUMMYFUNCTION("""COMPUTED_VALUE"""),FALSE)</f>
        <v>0</v>
      </c>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t="b">
        <f>IFERROR(__xludf.DUMMYFUNCTION("""COMPUTED_VALUE"""),FALSE)</f>
        <v>0</v>
      </c>
      <c r="K839" s="1"/>
      <c r="L839" s="1" t="b">
        <f>IFERROR(__xludf.DUMMYFUNCTION("""COMPUTED_VALUE"""),FALSE)</f>
        <v>0</v>
      </c>
      <c r="M839" s="1" t="b">
        <f>IFERROR(__xludf.DUMMYFUNCTION("""COMPUTED_VALUE"""),FALSE)</f>
        <v>0</v>
      </c>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t="b">
        <f>IFERROR(__xludf.DUMMYFUNCTION("""COMPUTED_VALUE"""),FALSE)</f>
        <v>0</v>
      </c>
      <c r="K840" s="1"/>
      <c r="L840" s="1" t="b">
        <f>IFERROR(__xludf.DUMMYFUNCTION("""COMPUTED_VALUE"""),FALSE)</f>
        <v>0</v>
      </c>
      <c r="M840" s="1" t="b">
        <f>IFERROR(__xludf.DUMMYFUNCTION("""COMPUTED_VALUE"""),FALSE)</f>
        <v>0</v>
      </c>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t="b">
        <f>IFERROR(__xludf.DUMMYFUNCTION("""COMPUTED_VALUE"""),FALSE)</f>
        <v>0</v>
      </c>
      <c r="K841" s="1"/>
      <c r="L841" s="1" t="b">
        <f>IFERROR(__xludf.DUMMYFUNCTION("""COMPUTED_VALUE"""),FALSE)</f>
        <v>0</v>
      </c>
      <c r="M841" s="1" t="b">
        <f>IFERROR(__xludf.DUMMYFUNCTION("""COMPUTED_VALUE"""),FALSE)</f>
        <v>0</v>
      </c>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t="b">
        <f>IFERROR(__xludf.DUMMYFUNCTION("""COMPUTED_VALUE"""),FALSE)</f>
        <v>0</v>
      </c>
      <c r="K842" s="1"/>
      <c r="L842" s="1" t="b">
        <f>IFERROR(__xludf.DUMMYFUNCTION("""COMPUTED_VALUE"""),FALSE)</f>
        <v>0</v>
      </c>
      <c r="M842" s="1" t="b">
        <f>IFERROR(__xludf.DUMMYFUNCTION("""COMPUTED_VALUE"""),FALSE)</f>
        <v>0</v>
      </c>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t="b">
        <f>IFERROR(__xludf.DUMMYFUNCTION("""COMPUTED_VALUE"""),FALSE)</f>
        <v>0</v>
      </c>
      <c r="K843" s="1"/>
      <c r="L843" s="1" t="b">
        <f>IFERROR(__xludf.DUMMYFUNCTION("""COMPUTED_VALUE"""),FALSE)</f>
        <v>0</v>
      </c>
      <c r="M843" s="1" t="b">
        <f>IFERROR(__xludf.DUMMYFUNCTION("""COMPUTED_VALUE"""),FALSE)</f>
        <v>0</v>
      </c>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t="b">
        <f>IFERROR(__xludf.DUMMYFUNCTION("""COMPUTED_VALUE"""),FALSE)</f>
        <v>0</v>
      </c>
      <c r="K844" s="1"/>
      <c r="L844" s="1" t="b">
        <f>IFERROR(__xludf.DUMMYFUNCTION("""COMPUTED_VALUE"""),FALSE)</f>
        <v>0</v>
      </c>
      <c r="M844" s="1" t="b">
        <f>IFERROR(__xludf.DUMMYFUNCTION("""COMPUTED_VALUE"""),FALSE)</f>
        <v>0</v>
      </c>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t="b">
        <f>IFERROR(__xludf.DUMMYFUNCTION("""COMPUTED_VALUE"""),FALSE)</f>
        <v>0</v>
      </c>
      <c r="K845" s="1"/>
      <c r="L845" s="1" t="b">
        <f>IFERROR(__xludf.DUMMYFUNCTION("""COMPUTED_VALUE"""),FALSE)</f>
        <v>0</v>
      </c>
      <c r="M845" s="1" t="b">
        <f>IFERROR(__xludf.DUMMYFUNCTION("""COMPUTED_VALUE"""),FALSE)</f>
        <v>0</v>
      </c>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t="b">
        <f>IFERROR(__xludf.DUMMYFUNCTION("""COMPUTED_VALUE"""),FALSE)</f>
        <v>0</v>
      </c>
      <c r="K846" s="1"/>
      <c r="L846" s="1" t="b">
        <f>IFERROR(__xludf.DUMMYFUNCTION("""COMPUTED_VALUE"""),FALSE)</f>
        <v>0</v>
      </c>
      <c r="M846" s="1" t="b">
        <f>IFERROR(__xludf.DUMMYFUNCTION("""COMPUTED_VALUE"""),FALSE)</f>
        <v>0</v>
      </c>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t="b">
        <f>IFERROR(__xludf.DUMMYFUNCTION("""COMPUTED_VALUE"""),FALSE)</f>
        <v>0</v>
      </c>
      <c r="K847" s="1"/>
      <c r="L847" s="1" t="b">
        <f>IFERROR(__xludf.DUMMYFUNCTION("""COMPUTED_VALUE"""),FALSE)</f>
        <v>0</v>
      </c>
      <c r="M847" s="1" t="b">
        <f>IFERROR(__xludf.DUMMYFUNCTION("""COMPUTED_VALUE"""),FALSE)</f>
        <v>0</v>
      </c>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t="b">
        <f>IFERROR(__xludf.DUMMYFUNCTION("""COMPUTED_VALUE"""),FALSE)</f>
        <v>0</v>
      </c>
      <c r="K848" s="1"/>
      <c r="L848" s="1" t="b">
        <f>IFERROR(__xludf.DUMMYFUNCTION("""COMPUTED_VALUE"""),FALSE)</f>
        <v>0</v>
      </c>
      <c r="M848" s="1" t="b">
        <f>IFERROR(__xludf.DUMMYFUNCTION("""COMPUTED_VALUE"""),FALSE)</f>
        <v>0</v>
      </c>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t="b">
        <f>IFERROR(__xludf.DUMMYFUNCTION("""COMPUTED_VALUE"""),FALSE)</f>
        <v>0</v>
      </c>
      <c r="K849" s="1"/>
      <c r="L849" s="1" t="b">
        <f>IFERROR(__xludf.DUMMYFUNCTION("""COMPUTED_VALUE"""),FALSE)</f>
        <v>0</v>
      </c>
      <c r="M849" s="1" t="b">
        <f>IFERROR(__xludf.DUMMYFUNCTION("""COMPUTED_VALUE"""),FALSE)</f>
        <v>0</v>
      </c>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t="b">
        <f>IFERROR(__xludf.DUMMYFUNCTION("""COMPUTED_VALUE"""),FALSE)</f>
        <v>0</v>
      </c>
      <c r="K850" s="1"/>
      <c r="L850" s="1" t="b">
        <f>IFERROR(__xludf.DUMMYFUNCTION("""COMPUTED_VALUE"""),FALSE)</f>
        <v>0</v>
      </c>
      <c r="M850" s="1" t="b">
        <f>IFERROR(__xludf.DUMMYFUNCTION("""COMPUTED_VALUE"""),FALSE)</f>
        <v>0</v>
      </c>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t="b">
        <f>IFERROR(__xludf.DUMMYFUNCTION("""COMPUTED_VALUE"""),FALSE)</f>
        <v>0</v>
      </c>
      <c r="K851" s="1"/>
      <c r="L851" s="1" t="b">
        <f>IFERROR(__xludf.DUMMYFUNCTION("""COMPUTED_VALUE"""),FALSE)</f>
        <v>0</v>
      </c>
      <c r="M851" s="1" t="b">
        <f>IFERROR(__xludf.DUMMYFUNCTION("""COMPUTED_VALUE"""),FALSE)</f>
        <v>0</v>
      </c>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t="b">
        <f>IFERROR(__xludf.DUMMYFUNCTION("""COMPUTED_VALUE"""),FALSE)</f>
        <v>0</v>
      </c>
      <c r="K852" s="1"/>
      <c r="L852" s="1" t="b">
        <f>IFERROR(__xludf.DUMMYFUNCTION("""COMPUTED_VALUE"""),FALSE)</f>
        <v>0</v>
      </c>
      <c r="M852" s="1" t="b">
        <f>IFERROR(__xludf.DUMMYFUNCTION("""COMPUTED_VALUE"""),FALSE)</f>
        <v>0</v>
      </c>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t="b">
        <f>IFERROR(__xludf.DUMMYFUNCTION("""COMPUTED_VALUE"""),FALSE)</f>
        <v>0</v>
      </c>
      <c r="K853" s="1"/>
      <c r="L853" s="1" t="b">
        <f>IFERROR(__xludf.DUMMYFUNCTION("""COMPUTED_VALUE"""),FALSE)</f>
        <v>0</v>
      </c>
      <c r="M853" s="1" t="b">
        <f>IFERROR(__xludf.DUMMYFUNCTION("""COMPUTED_VALUE"""),FALSE)</f>
        <v>0</v>
      </c>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t="b">
        <f>IFERROR(__xludf.DUMMYFUNCTION("""COMPUTED_VALUE"""),FALSE)</f>
        <v>0</v>
      </c>
      <c r="K854" s="1"/>
      <c r="L854" s="1" t="b">
        <f>IFERROR(__xludf.DUMMYFUNCTION("""COMPUTED_VALUE"""),FALSE)</f>
        <v>0</v>
      </c>
      <c r="M854" s="1" t="b">
        <f>IFERROR(__xludf.DUMMYFUNCTION("""COMPUTED_VALUE"""),FALSE)</f>
        <v>0</v>
      </c>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t="b">
        <f>IFERROR(__xludf.DUMMYFUNCTION("""COMPUTED_VALUE"""),FALSE)</f>
        <v>0</v>
      </c>
      <c r="K855" s="1"/>
      <c r="L855" s="1" t="b">
        <f>IFERROR(__xludf.DUMMYFUNCTION("""COMPUTED_VALUE"""),FALSE)</f>
        <v>0</v>
      </c>
      <c r="M855" s="1" t="b">
        <f>IFERROR(__xludf.DUMMYFUNCTION("""COMPUTED_VALUE"""),FALSE)</f>
        <v>0</v>
      </c>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t="b">
        <f>IFERROR(__xludf.DUMMYFUNCTION("""COMPUTED_VALUE"""),FALSE)</f>
        <v>0</v>
      </c>
      <c r="K856" s="1"/>
      <c r="L856" s="1" t="b">
        <f>IFERROR(__xludf.DUMMYFUNCTION("""COMPUTED_VALUE"""),FALSE)</f>
        <v>0</v>
      </c>
      <c r="M856" s="1" t="b">
        <f>IFERROR(__xludf.DUMMYFUNCTION("""COMPUTED_VALUE"""),FALSE)</f>
        <v>0</v>
      </c>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t="b">
        <f>IFERROR(__xludf.DUMMYFUNCTION("""COMPUTED_VALUE"""),FALSE)</f>
        <v>0</v>
      </c>
      <c r="K857" s="1"/>
      <c r="L857" s="1" t="b">
        <f>IFERROR(__xludf.DUMMYFUNCTION("""COMPUTED_VALUE"""),FALSE)</f>
        <v>0</v>
      </c>
      <c r="M857" s="1" t="b">
        <f>IFERROR(__xludf.DUMMYFUNCTION("""COMPUTED_VALUE"""),FALSE)</f>
        <v>0</v>
      </c>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t="b">
        <f>IFERROR(__xludf.DUMMYFUNCTION("""COMPUTED_VALUE"""),FALSE)</f>
        <v>0</v>
      </c>
      <c r="K858" s="1"/>
      <c r="L858" s="1" t="b">
        <f>IFERROR(__xludf.DUMMYFUNCTION("""COMPUTED_VALUE"""),FALSE)</f>
        <v>0</v>
      </c>
      <c r="M858" s="1" t="b">
        <f>IFERROR(__xludf.DUMMYFUNCTION("""COMPUTED_VALUE"""),FALSE)</f>
        <v>0</v>
      </c>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t="b">
        <f>IFERROR(__xludf.DUMMYFUNCTION("""COMPUTED_VALUE"""),FALSE)</f>
        <v>0</v>
      </c>
      <c r="K859" s="1"/>
      <c r="L859" s="1" t="b">
        <f>IFERROR(__xludf.DUMMYFUNCTION("""COMPUTED_VALUE"""),FALSE)</f>
        <v>0</v>
      </c>
      <c r="M859" s="1" t="b">
        <f>IFERROR(__xludf.DUMMYFUNCTION("""COMPUTED_VALUE"""),FALSE)</f>
        <v>0</v>
      </c>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t="b">
        <f>IFERROR(__xludf.DUMMYFUNCTION("""COMPUTED_VALUE"""),FALSE)</f>
        <v>0</v>
      </c>
      <c r="K860" s="1"/>
      <c r="L860" s="1" t="b">
        <f>IFERROR(__xludf.DUMMYFUNCTION("""COMPUTED_VALUE"""),FALSE)</f>
        <v>0</v>
      </c>
      <c r="M860" s="1" t="b">
        <f>IFERROR(__xludf.DUMMYFUNCTION("""COMPUTED_VALUE"""),FALSE)</f>
        <v>0</v>
      </c>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t="b">
        <f>IFERROR(__xludf.DUMMYFUNCTION("""COMPUTED_VALUE"""),FALSE)</f>
        <v>0</v>
      </c>
      <c r="K861" s="1"/>
      <c r="L861" s="1" t="b">
        <f>IFERROR(__xludf.DUMMYFUNCTION("""COMPUTED_VALUE"""),FALSE)</f>
        <v>0</v>
      </c>
      <c r="M861" s="1" t="b">
        <f>IFERROR(__xludf.DUMMYFUNCTION("""COMPUTED_VALUE"""),FALSE)</f>
        <v>0</v>
      </c>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t="b">
        <f>IFERROR(__xludf.DUMMYFUNCTION("""COMPUTED_VALUE"""),FALSE)</f>
        <v>0</v>
      </c>
      <c r="K862" s="1"/>
      <c r="L862" s="1" t="b">
        <f>IFERROR(__xludf.DUMMYFUNCTION("""COMPUTED_VALUE"""),FALSE)</f>
        <v>0</v>
      </c>
      <c r="M862" s="1" t="b">
        <f>IFERROR(__xludf.DUMMYFUNCTION("""COMPUTED_VALUE"""),FALSE)</f>
        <v>0</v>
      </c>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t="b">
        <f>IFERROR(__xludf.DUMMYFUNCTION("""COMPUTED_VALUE"""),FALSE)</f>
        <v>0</v>
      </c>
      <c r="K863" s="1"/>
      <c r="L863" s="1" t="b">
        <f>IFERROR(__xludf.DUMMYFUNCTION("""COMPUTED_VALUE"""),FALSE)</f>
        <v>0</v>
      </c>
      <c r="M863" s="1" t="b">
        <f>IFERROR(__xludf.DUMMYFUNCTION("""COMPUTED_VALUE"""),FALSE)</f>
        <v>0</v>
      </c>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t="b">
        <f>IFERROR(__xludf.DUMMYFUNCTION("""COMPUTED_VALUE"""),FALSE)</f>
        <v>0</v>
      </c>
      <c r="K864" s="1"/>
      <c r="L864" s="1" t="b">
        <f>IFERROR(__xludf.DUMMYFUNCTION("""COMPUTED_VALUE"""),FALSE)</f>
        <v>0</v>
      </c>
      <c r="M864" s="1" t="b">
        <f>IFERROR(__xludf.DUMMYFUNCTION("""COMPUTED_VALUE"""),FALSE)</f>
        <v>0</v>
      </c>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t="b">
        <f>IFERROR(__xludf.DUMMYFUNCTION("""COMPUTED_VALUE"""),FALSE)</f>
        <v>0</v>
      </c>
      <c r="K865" s="1"/>
      <c r="L865" s="1" t="b">
        <f>IFERROR(__xludf.DUMMYFUNCTION("""COMPUTED_VALUE"""),FALSE)</f>
        <v>0</v>
      </c>
      <c r="M865" s="1" t="b">
        <f>IFERROR(__xludf.DUMMYFUNCTION("""COMPUTED_VALUE"""),FALSE)</f>
        <v>0</v>
      </c>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t="b">
        <f>IFERROR(__xludf.DUMMYFUNCTION("""COMPUTED_VALUE"""),FALSE)</f>
        <v>0</v>
      </c>
      <c r="K866" s="1"/>
      <c r="L866" s="1" t="b">
        <f>IFERROR(__xludf.DUMMYFUNCTION("""COMPUTED_VALUE"""),FALSE)</f>
        <v>0</v>
      </c>
      <c r="M866" s="1" t="b">
        <f>IFERROR(__xludf.DUMMYFUNCTION("""COMPUTED_VALUE"""),FALSE)</f>
        <v>0</v>
      </c>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t="b">
        <f>IFERROR(__xludf.DUMMYFUNCTION("""COMPUTED_VALUE"""),FALSE)</f>
        <v>0</v>
      </c>
      <c r="K867" s="1"/>
      <c r="L867" s="1" t="b">
        <f>IFERROR(__xludf.DUMMYFUNCTION("""COMPUTED_VALUE"""),FALSE)</f>
        <v>0</v>
      </c>
      <c r="M867" s="1" t="b">
        <f>IFERROR(__xludf.DUMMYFUNCTION("""COMPUTED_VALUE"""),FALSE)</f>
        <v>0</v>
      </c>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t="b">
        <f>IFERROR(__xludf.DUMMYFUNCTION("""COMPUTED_VALUE"""),FALSE)</f>
        <v>0</v>
      </c>
      <c r="K868" s="1"/>
      <c r="L868" s="1" t="b">
        <f>IFERROR(__xludf.DUMMYFUNCTION("""COMPUTED_VALUE"""),FALSE)</f>
        <v>0</v>
      </c>
      <c r="M868" s="1" t="b">
        <f>IFERROR(__xludf.DUMMYFUNCTION("""COMPUTED_VALUE"""),FALSE)</f>
        <v>0</v>
      </c>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t="b">
        <f>IFERROR(__xludf.DUMMYFUNCTION("""COMPUTED_VALUE"""),FALSE)</f>
        <v>0</v>
      </c>
      <c r="K869" s="1"/>
      <c r="L869" s="1" t="b">
        <f>IFERROR(__xludf.DUMMYFUNCTION("""COMPUTED_VALUE"""),FALSE)</f>
        <v>0</v>
      </c>
      <c r="M869" s="1" t="b">
        <f>IFERROR(__xludf.DUMMYFUNCTION("""COMPUTED_VALUE"""),FALSE)</f>
        <v>0</v>
      </c>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t="b">
        <f>IFERROR(__xludf.DUMMYFUNCTION("""COMPUTED_VALUE"""),FALSE)</f>
        <v>0</v>
      </c>
      <c r="K870" s="1"/>
      <c r="L870" s="1" t="b">
        <f>IFERROR(__xludf.DUMMYFUNCTION("""COMPUTED_VALUE"""),FALSE)</f>
        <v>0</v>
      </c>
      <c r="M870" s="1" t="b">
        <f>IFERROR(__xludf.DUMMYFUNCTION("""COMPUTED_VALUE"""),FALSE)</f>
        <v>0</v>
      </c>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t="b">
        <f>IFERROR(__xludf.DUMMYFUNCTION("""COMPUTED_VALUE"""),FALSE)</f>
        <v>0</v>
      </c>
      <c r="K871" s="1"/>
      <c r="L871" s="1" t="b">
        <f>IFERROR(__xludf.DUMMYFUNCTION("""COMPUTED_VALUE"""),FALSE)</f>
        <v>0</v>
      </c>
      <c r="M871" s="1" t="b">
        <f>IFERROR(__xludf.DUMMYFUNCTION("""COMPUTED_VALUE"""),FALSE)</f>
        <v>0</v>
      </c>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t="b">
        <f>IFERROR(__xludf.DUMMYFUNCTION("""COMPUTED_VALUE"""),FALSE)</f>
        <v>0</v>
      </c>
      <c r="K872" s="1"/>
      <c r="L872" s="1" t="b">
        <f>IFERROR(__xludf.DUMMYFUNCTION("""COMPUTED_VALUE"""),FALSE)</f>
        <v>0</v>
      </c>
      <c r="M872" s="1" t="b">
        <f>IFERROR(__xludf.DUMMYFUNCTION("""COMPUTED_VALUE"""),FALSE)</f>
        <v>0</v>
      </c>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t="b">
        <f>IFERROR(__xludf.DUMMYFUNCTION("""COMPUTED_VALUE"""),FALSE)</f>
        <v>0</v>
      </c>
      <c r="K873" s="1"/>
      <c r="L873" s="1" t="b">
        <f>IFERROR(__xludf.DUMMYFUNCTION("""COMPUTED_VALUE"""),FALSE)</f>
        <v>0</v>
      </c>
      <c r="M873" s="1" t="b">
        <f>IFERROR(__xludf.DUMMYFUNCTION("""COMPUTED_VALUE"""),FALSE)</f>
        <v>0</v>
      </c>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t="b">
        <f>IFERROR(__xludf.DUMMYFUNCTION("""COMPUTED_VALUE"""),FALSE)</f>
        <v>0</v>
      </c>
      <c r="K874" s="1"/>
      <c r="L874" s="1" t="b">
        <f>IFERROR(__xludf.DUMMYFUNCTION("""COMPUTED_VALUE"""),FALSE)</f>
        <v>0</v>
      </c>
      <c r="M874" s="1" t="b">
        <f>IFERROR(__xludf.DUMMYFUNCTION("""COMPUTED_VALUE"""),FALSE)</f>
        <v>0</v>
      </c>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t="b">
        <f>IFERROR(__xludf.DUMMYFUNCTION("""COMPUTED_VALUE"""),FALSE)</f>
        <v>0</v>
      </c>
      <c r="K875" s="1"/>
      <c r="L875" s="1" t="b">
        <f>IFERROR(__xludf.DUMMYFUNCTION("""COMPUTED_VALUE"""),FALSE)</f>
        <v>0</v>
      </c>
      <c r="M875" s="1" t="b">
        <f>IFERROR(__xludf.DUMMYFUNCTION("""COMPUTED_VALUE"""),FALSE)</f>
        <v>0</v>
      </c>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t="b">
        <f>IFERROR(__xludf.DUMMYFUNCTION("""COMPUTED_VALUE"""),FALSE)</f>
        <v>0</v>
      </c>
      <c r="K876" s="1"/>
      <c r="L876" s="1" t="b">
        <f>IFERROR(__xludf.DUMMYFUNCTION("""COMPUTED_VALUE"""),FALSE)</f>
        <v>0</v>
      </c>
      <c r="M876" s="1" t="b">
        <f>IFERROR(__xludf.DUMMYFUNCTION("""COMPUTED_VALUE"""),FALSE)</f>
        <v>0</v>
      </c>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t="b">
        <f>IFERROR(__xludf.DUMMYFUNCTION("""COMPUTED_VALUE"""),FALSE)</f>
        <v>0</v>
      </c>
      <c r="K877" s="1"/>
      <c r="L877" s="1" t="b">
        <f>IFERROR(__xludf.DUMMYFUNCTION("""COMPUTED_VALUE"""),FALSE)</f>
        <v>0</v>
      </c>
      <c r="M877" s="1" t="b">
        <f>IFERROR(__xludf.DUMMYFUNCTION("""COMPUTED_VALUE"""),FALSE)</f>
        <v>0</v>
      </c>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t="b">
        <f>IFERROR(__xludf.DUMMYFUNCTION("""COMPUTED_VALUE"""),FALSE)</f>
        <v>0</v>
      </c>
      <c r="K878" s="1"/>
      <c r="L878" s="1" t="b">
        <f>IFERROR(__xludf.DUMMYFUNCTION("""COMPUTED_VALUE"""),FALSE)</f>
        <v>0</v>
      </c>
      <c r="M878" s="1" t="b">
        <f>IFERROR(__xludf.DUMMYFUNCTION("""COMPUTED_VALUE"""),FALSE)</f>
        <v>0</v>
      </c>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t="b">
        <f>IFERROR(__xludf.DUMMYFUNCTION("""COMPUTED_VALUE"""),FALSE)</f>
        <v>0</v>
      </c>
      <c r="K879" s="1"/>
      <c r="L879" s="1" t="b">
        <f>IFERROR(__xludf.DUMMYFUNCTION("""COMPUTED_VALUE"""),FALSE)</f>
        <v>0</v>
      </c>
      <c r="M879" s="1" t="b">
        <f>IFERROR(__xludf.DUMMYFUNCTION("""COMPUTED_VALUE"""),FALSE)</f>
        <v>0</v>
      </c>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t="b">
        <f>IFERROR(__xludf.DUMMYFUNCTION("""COMPUTED_VALUE"""),FALSE)</f>
        <v>0</v>
      </c>
      <c r="K880" s="1"/>
      <c r="L880" s="1" t="b">
        <f>IFERROR(__xludf.DUMMYFUNCTION("""COMPUTED_VALUE"""),FALSE)</f>
        <v>0</v>
      </c>
      <c r="M880" s="1" t="b">
        <f>IFERROR(__xludf.DUMMYFUNCTION("""COMPUTED_VALUE"""),FALSE)</f>
        <v>0</v>
      </c>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t="b">
        <f>IFERROR(__xludf.DUMMYFUNCTION("""COMPUTED_VALUE"""),FALSE)</f>
        <v>0</v>
      </c>
      <c r="K881" s="1"/>
      <c r="L881" s="1" t="b">
        <f>IFERROR(__xludf.DUMMYFUNCTION("""COMPUTED_VALUE"""),FALSE)</f>
        <v>0</v>
      </c>
      <c r="M881" s="1" t="b">
        <f>IFERROR(__xludf.DUMMYFUNCTION("""COMPUTED_VALUE"""),FALSE)</f>
        <v>0</v>
      </c>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t="b">
        <f>IFERROR(__xludf.DUMMYFUNCTION("""COMPUTED_VALUE"""),FALSE)</f>
        <v>0</v>
      </c>
      <c r="K882" s="1"/>
      <c r="L882" s="1" t="b">
        <f>IFERROR(__xludf.DUMMYFUNCTION("""COMPUTED_VALUE"""),FALSE)</f>
        <v>0</v>
      </c>
      <c r="M882" s="1" t="b">
        <f>IFERROR(__xludf.DUMMYFUNCTION("""COMPUTED_VALUE"""),FALSE)</f>
        <v>0</v>
      </c>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t="b">
        <f>IFERROR(__xludf.DUMMYFUNCTION("""COMPUTED_VALUE"""),FALSE)</f>
        <v>0</v>
      </c>
      <c r="K883" s="1"/>
      <c r="L883" s="1" t="b">
        <f>IFERROR(__xludf.DUMMYFUNCTION("""COMPUTED_VALUE"""),FALSE)</f>
        <v>0</v>
      </c>
      <c r="M883" s="1" t="b">
        <f>IFERROR(__xludf.DUMMYFUNCTION("""COMPUTED_VALUE"""),FALSE)</f>
        <v>0</v>
      </c>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t="b">
        <f>IFERROR(__xludf.DUMMYFUNCTION("""COMPUTED_VALUE"""),FALSE)</f>
        <v>0</v>
      </c>
      <c r="K884" s="1"/>
      <c r="L884" s="1" t="b">
        <f>IFERROR(__xludf.DUMMYFUNCTION("""COMPUTED_VALUE"""),FALSE)</f>
        <v>0</v>
      </c>
      <c r="M884" s="1" t="b">
        <f>IFERROR(__xludf.DUMMYFUNCTION("""COMPUTED_VALUE"""),FALSE)</f>
        <v>0</v>
      </c>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t="b">
        <f>IFERROR(__xludf.DUMMYFUNCTION("""COMPUTED_VALUE"""),FALSE)</f>
        <v>0</v>
      </c>
      <c r="K885" s="1"/>
      <c r="L885" s="1" t="b">
        <f>IFERROR(__xludf.DUMMYFUNCTION("""COMPUTED_VALUE"""),FALSE)</f>
        <v>0</v>
      </c>
      <c r="M885" s="1" t="b">
        <f>IFERROR(__xludf.DUMMYFUNCTION("""COMPUTED_VALUE"""),FALSE)</f>
        <v>0</v>
      </c>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t="b">
        <f>IFERROR(__xludf.DUMMYFUNCTION("""COMPUTED_VALUE"""),FALSE)</f>
        <v>0</v>
      </c>
      <c r="K886" s="1"/>
      <c r="L886" s="1" t="b">
        <f>IFERROR(__xludf.DUMMYFUNCTION("""COMPUTED_VALUE"""),FALSE)</f>
        <v>0</v>
      </c>
      <c r="M886" s="1" t="b">
        <f>IFERROR(__xludf.DUMMYFUNCTION("""COMPUTED_VALUE"""),FALSE)</f>
        <v>0</v>
      </c>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t="b">
        <f>IFERROR(__xludf.DUMMYFUNCTION("""COMPUTED_VALUE"""),FALSE)</f>
        <v>0</v>
      </c>
      <c r="K887" s="1"/>
      <c r="L887" s="1" t="b">
        <f>IFERROR(__xludf.DUMMYFUNCTION("""COMPUTED_VALUE"""),FALSE)</f>
        <v>0</v>
      </c>
      <c r="M887" s="1" t="b">
        <f>IFERROR(__xludf.DUMMYFUNCTION("""COMPUTED_VALUE"""),FALSE)</f>
        <v>0</v>
      </c>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t="b">
        <f>IFERROR(__xludf.DUMMYFUNCTION("""COMPUTED_VALUE"""),FALSE)</f>
        <v>0</v>
      </c>
      <c r="K888" s="1"/>
      <c r="L888" s="1" t="b">
        <f>IFERROR(__xludf.DUMMYFUNCTION("""COMPUTED_VALUE"""),FALSE)</f>
        <v>0</v>
      </c>
      <c r="M888" s="1" t="b">
        <f>IFERROR(__xludf.DUMMYFUNCTION("""COMPUTED_VALUE"""),FALSE)</f>
        <v>0</v>
      </c>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t="b">
        <f>IFERROR(__xludf.DUMMYFUNCTION("""COMPUTED_VALUE"""),FALSE)</f>
        <v>0</v>
      </c>
      <c r="K889" s="1"/>
      <c r="L889" s="1" t="b">
        <f>IFERROR(__xludf.DUMMYFUNCTION("""COMPUTED_VALUE"""),FALSE)</f>
        <v>0</v>
      </c>
      <c r="M889" s="1" t="b">
        <f>IFERROR(__xludf.DUMMYFUNCTION("""COMPUTED_VALUE"""),FALSE)</f>
        <v>0</v>
      </c>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t="b">
        <f>IFERROR(__xludf.DUMMYFUNCTION("""COMPUTED_VALUE"""),FALSE)</f>
        <v>0</v>
      </c>
      <c r="K890" s="1"/>
      <c r="L890" s="1" t="b">
        <f>IFERROR(__xludf.DUMMYFUNCTION("""COMPUTED_VALUE"""),FALSE)</f>
        <v>0</v>
      </c>
      <c r="M890" s="1" t="b">
        <f>IFERROR(__xludf.DUMMYFUNCTION("""COMPUTED_VALUE"""),FALSE)</f>
        <v>0</v>
      </c>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t="b">
        <f>IFERROR(__xludf.DUMMYFUNCTION("""COMPUTED_VALUE"""),FALSE)</f>
        <v>0</v>
      </c>
      <c r="K891" s="1"/>
      <c r="L891" s="1" t="b">
        <f>IFERROR(__xludf.DUMMYFUNCTION("""COMPUTED_VALUE"""),FALSE)</f>
        <v>0</v>
      </c>
      <c r="M891" s="1" t="b">
        <f>IFERROR(__xludf.DUMMYFUNCTION("""COMPUTED_VALUE"""),FALSE)</f>
        <v>0</v>
      </c>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t="b">
        <f>IFERROR(__xludf.DUMMYFUNCTION("""COMPUTED_VALUE"""),FALSE)</f>
        <v>0</v>
      </c>
      <c r="K892" s="1"/>
      <c r="L892" s="1" t="b">
        <f>IFERROR(__xludf.DUMMYFUNCTION("""COMPUTED_VALUE"""),FALSE)</f>
        <v>0</v>
      </c>
      <c r="M892" s="1" t="b">
        <f>IFERROR(__xludf.DUMMYFUNCTION("""COMPUTED_VALUE"""),FALSE)</f>
        <v>0</v>
      </c>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t="b">
        <f>IFERROR(__xludf.DUMMYFUNCTION("""COMPUTED_VALUE"""),FALSE)</f>
        <v>0</v>
      </c>
      <c r="K893" s="1"/>
      <c r="L893" s="1" t="b">
        <f>IFERROR(__xludf.DUMMYFUNCTION("""COMPUTED_VALUE"""),FALSE)</f>
        <v>0</v>
      </c>
      <c r="M893" s="1" t="b">
        <f>IFERROR(__xludf.DUMMYFUNCTION("""COMPUTED_VALUE"""),FALSE)</f>
        <v>0</v>
      </c>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t="b">
        <f>IFERROR(__xludf.DUMMYFUNCTION("""COMPUTED_VALUE"""),FALSE)</f>
        <v>0</v>
      </c>
      <c r="K894" s="1"/>
      <c r="L894" s="1" t="b">
        <f>IFERROR(__xludf.DUMMYFUNCTION("""COMPUTED_VALUE"""),FALSE)</f>
        <v>0</v>
      </c>
      <c r="M894" s="1" t="b">
        <f>IFERROR(__xludf.DUMMYFUNCTION("""COMPUTED_VALUE"""),FALSE)</f>
        <v>0</v>
      </c>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t="b">
        <f>IFERROR(__xludf.DUMMYFUNCTION("""COMPUTED_VALUE"""),FALSE)</f>
        <v>0</v>
      </c>
      <c r="K895" s="1"/>
      <c r="L895" s="1" t="b">
        <f>IFERROR(__xludf.DUMMYFUNCTION("""COMPUTED_VALUE"""),FALSE)</f>
        <v>0</v>
      </c>
      <c r="M895" s="1" t="b">
        <f>IFERROR(__xludf.DUMMYFUNCTION("""COMPUTED_VALUE"""),FALSE)</f>
        <v>0</v>
      </c>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t="b">
        <f>IFERROR(__xludf.DUMMYFUNCTION("""COMPUTED_VALUE"""),FALSE)</f>
        <v>0</v>
      </c>
      <c r="K896" s="1"/>
      <c r="L896" s="1" t="b">
        <f>IFERROR(__xludf.DUMMYFUNCTION("""COMPUTED_VALUE"""),FALSE)</f>
        <v>0</v>
      </c>
      <c r="M896" s="1" t="b">
        <f>IFERROR(__xludf.DUMMYFUNCTION("""COMPUTED_VALUE"""),FALSE)</f>
        <v>0</v>
      </c>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t="b">
        <f>IFERROR(__xludf.DUMMYFUNCTION("""COMPUTED_VALUE"""),FALSE)</f>
        <v>0</v>
      </c>
      <c r="K897" s="1"/>
      <c r="L897" s="1" t="b">
        <f>IFERROR(__xludf.DUMMYFUNCTION("""COMPUTED_VALUE"""),FALSE)</f>
        <v>0</v>
      </c>
      <c r="M897" s="1" t="b">
        <f>IFERROR(__xludf.DUMMYFUNCTION("""COMPUTED_VALUE"""),FALSE)</f>
        <v>0</v>
      </c>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t="b">
        <f>IFERROR(__xludf.DUMMYFUNCTION("""COMPUTED_VALUE"""),FALSE)</f>
        <v>0</v>
      </c>
      <c r="K898" s="1"/>
      <c r="L898" s="1" t="b">
        <f>IFERROR(__xludf.DUMMYFUNCTION("""COMPUTED_VALUE"""),FALSE)</f>
        <v>0</v>
      </c>
      <c r="M898" s="1" t="b">
        <f>IFERROR(__xludf.DUMMYFUNCTION("""COMPUTED_VALUE"""),FALSE)</f>
        <v>0</v>
      </c>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t="b">
        <f>IFERROR(__xludf.DUMMYFUNCTION("""COMPUTED_VALUE"""),FALSE)</f>
        <v>0</v>
      </c>
      <c r="K899" s="1"/>
      <c r="L899" s="1" t="b">
        <f>IFERROR(__xludf.DUMMYFUNCTION("""COMPUTED_VALUE"""),FALSE)</f>
        <v>0</v>
      </c>
      <c r="M899" s="1" t="b">
        <f>IFERROR(__xludf.DUMMYFUNCTION("""COMPUTED_VALUE"""),FALSE)</f>
        <v>0</v>
      </c>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t="b">
        <f>IFERROR(__xludf.DUMMYFUNCTION("""COMPUTED_VALUE"""),FALSE)</f>
        <v>0</v>
      </c>
      <c r="K900" s="1"/>
      <c r="L900" s="1" t="b">
        <f>IFERROR(__xludf.DUMMYFUNCTION("""COMPUTED_VALUE"""),FALSE)</f>
        <v>0</v>
      </c>
      <c r="M900" s="1" t="b">
        <f>IFERROR(__xludf.DUMMYFUNCTION("""COMPUTED_VALUE"""),FALSE)</f>
        <v>0</v>
      </c>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t="b">
        <f>IFERROR(__xludf.DUMMYFUNCTION("""COMPUTED_VALUE"""),FALSE)</f>
        <v>0</v>
      </c>
      <c r="K901" s="1"/>
      <c r="L901" s="1" t="b">
        <f>IFERROR(__xludf.DUMMYFUNCTION("""COMPUTED_VALUE"""),FALSE)</f>
        <v>0</v>
      </c>
      <c r="M901" s="1" t="b">
        <f>IFERROR(__xludf.DUMMYFUNCTION("""COMPUTED_VALUE"""),FALSE)</f>
        <v>0</v>
      </c>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t="b">
        <f>IFERROR(__xludf.DUMMYFUNCTION("""COMPUTED_VALUE"""),FALSE)</f>
        <v>0</v>
      </c>
      <c r="K902" s="1"/>
      <c r="L902" s="1" t="b">
        <f>IFERROR(__xludf.DUMMYFUNCTION("""COMPUTED_VALUE"""),FALSE)</f>
        <v>0</v>
      </c>
      <c r="M902" s="1" t="b">
        <f>IFERROR(__xludf.DUMMYFUNCTION("""COMPUTED_VALUE"""),FALSE)</f>
        <v>0</v>
      </c>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t="b">
        <f>IFERROR(__xludf.DUMMYFUNCTION("""COMPUTED_VALUE"""),FALSE)</f>
        <v>0</v>
      </c>
      <c r="K903" s="1"/>
      <c r="L903" s="1" t="b">
        <f>IFERROR(__xludf.DUMMYFUNCTION("""COMPUTED_VALUE"""),FALSE)</f>
        <v>0</v>
      </c>
      <c r="M903" s="1" t="b">
        <f>IFERROR(__xludf.DUMMYFUNCTION("""COMPUTED_VALUE"""),FALSE)</f>
        <v>0</v>
      </c>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t="b">
        <f>IFERROR(__xludf.DUMMYFUNCTION("""COMPUTED_VALUE"""),FALSE)</f>
        <v>0</v>
      </c>
      <c r="K904" s="1"/>
      <c r="L904" s="1" t="b">
        <f>IFERROR(__xludf.DUMMYFUNCTION("""COMPUTED_VALUE"""),FALSE)</f>
        <v>0</v>
      </c>
      <c r="M904" s="1" t="b">
        <f>IFERROR(__xludf.DUMMYFUNCTION("""COMPUTED_VALUE"""),FALSE)</f>
        <v>0</v>
      </c>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t="b">
        <f>IFERROR(__xludf.DUMMYFUNCTION("""COMPUTED_VALUE"""),FALSE)</f>
        <v>0</v>
      </c>
      <c r="K905" s="1"/>
      <c r="L905" s="1" t="b">
        <f>IFERROR(__xludf.DUMMYFUNCTION("""COMPUTED_VALUE"""),FALSE)</f>
        <v>0</v>
      </c>
      <c r="M905" s="1" t="b">
        <f>IFERROR(__xludf.DUMMYFUNCTION("""COMPUTED_VALUE"""),FALSE)</f>
        <v>0</v>
      </c>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t="b">
        <f>IFERROR(__xludf.DUMMYFUNCTION("""COMPUTED_VALUE"""),FALSE)</f>
        <v>0</v>
      </c>
      <c r="K906" s="1"/>
      <c r="L906" s="1" t="b">
        <f>IFERROR(__xludf.DUMMYFUNCTION("""COMPUTED_VALUE"""),FALSE)</f>
        <v>0</v>
      </c>
      <c r="M906" s="1" t="b">
        <f>IFERROR(__xludf.DUMMYFUNCTION("""COMPUTED_VALUE"""),FALSE)</f>
        <v>0</v>
      </c>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t="b">
        <f>IFERROR(__xludf.DUMMYFUNCTION("""COMPUTED_VALUE"""),FALSE)</f>
        <v>0</v>
      </c>
      <c r="K907" s="1"/>
      <c r="L907" s="1" t="b">
        <f>IFERROR(__xludf.DUMMYFUNCTION("""COMPUTED_VALUE"""),FALSE)</f>
        <v>0</v>
      </c>
      <c r="M907" s="1" t="b">
        <f>IFERROR(__xludf.DUMMYFUNCTION("""COMPUTED_VALUE"""),FALSE)</f>
        <v>0</v>
      </c>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t="b">
        <f>IFERROR(__xludf.DUMMYFUNCTION("""COMPUTED_VALUE"""),FALSE)</f>
        <v>0</v>
      </c>
      <c r="K908" s="1"/>
      <c r="L908" s="1" t="b">
        <f>IFERROR(__xludf.DUMMYFUNCTION("""COMPUTED_VALUE"""),FALSE)</f>
        <v>0</v>
      </c>
      <c r="M908" s="1" t="b">
        <f>IFERROR(__xludf.DUMMYFUNCTION("""COMPUTED_VALUE"""),FALSE)</f>
        <v>0</v>
      </c>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t="b">
        <f>IFERROR(__xludf.DUMMYFUNCTION("""COMPUTED_VALUE"""),FALSE)</f>
        <v>0</v>
      </c>
      <c r="K909" s="1"/>
      <c r="L909" s="1" t="b">
        <f>IFERROR(__xludf.DUMMYFUNCTION("""COMPUTED_VALUE"""),FALSE)</f>
        <v>0</v>
      </c>
      <c r="M909" s="1" t="b">
        <f>IFERROR(__xludf.DUMMYFUNCTION("""COMPUTED_VALUE"""),FALSE)</f>
        <v>0</v>
      </c>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t="b">
        <f>IFERROR(__xludf.DUMMYFUNCTION("""COMPUTED_VALUE"""),FALSE)</f>
        <v>0</v>
      </c>
      <c r="K910" s="1"/>
      <c r="L910" s="1" t="b">
        <f>IFERROR(__xludf.DUMMYFUNCTION("""COMPUTED_VALUE"""),FALSE)</f>
        <v>0</v>
      </c>
      <c r="M910" s="1" t="b">
        <f>IFERROR(__xludf.DUMMYFUNCTION("""COMPUTED_VALUE"""),FALSE)</f>
        <v>0</v>
      </c>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t="b">
        <f>IFERROR(__xludf.DUMMYFUNCTION("""COMPUTED_VALUE"""),FALSE)</f>
        <v>0</v>
      </c>
      <c r="K911" s="1"/>
      <c r="L911" s="1" t="b">
        <f>IFERROR(__xludf.DUMMYFUNCTION("""COMPUTED_VALUE"""),FALSE)</f>
        <v>0</v>
      </c>
      <c r="M911" s="1" t="b">
        <f>IFERROR(__xludf.DUMMYFUNCTION("""COMPUTED_VALUE"""),FALSE)</f>
        <v>0</v>
      </c>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t="b">
        <f>IFERROR(__xludf.DUMMYFUNCTION("""COMPUTED_VALUE"""),FALSE)</f>
        <v>0</v>
      </c>
      <c r="K912" s="1"/>
      <c r="L912" s="1" t="b">
        <f>IFERROR(__xludf.DUMMYFUNCTION("""COMPUTED_VALUE"""),FALSE)</f>
        <v>0</v>
      </c>
      <c r="M912" s="1" t="b">
        <f>IFERROR(__xludf.DUMMYFUNCTION("""COMPUTED_VALUE"""),FALSE)</f>
        <v>0</v>
      </c>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t="b">
        <f>IFERROR(__xludf.DUMMYFUNCTION("""COMPUTED_VALUE"""),FALSE)</f>
        <v>0</v>
      </c>
      <c r="K913" s="1"/>
      <c r="L913" s="1" t="b">
        <f>IFERROR(__xludf.DUMMYFUNCTION("""COMPUTED_VALUE"""),FALSE)</f>
        <v>0</v>
      </c>
      <c r="M913" s="1" t="b">
        <f>IFERROR(__xludf.DUMMYFUNCTION("""COMPUTED_VALUE"""),FALSE)</f>
        <v>0</v>
      </c>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t="b">
        <f>IFERROR(__xludf.DUMMYFUNCTION("""COMPUTED_VALUE"""),FALSE)</f>
        <v>0</v>
      </c>
      <c r="K914" s="1"/>
      <c r="L914" s="1" t="b">
        <f>IFERROR(__xludf.DUMMYFUNCTION("""COMPUTED_VALUE"""),FALSE)</f>
        <v>0</v>
      </c>
      <c r="M914" s="1" t="b">
        <f>IFERROR(__xludf.DUMMYFUNCTION("""COMPUTED_VALUE"""),FALSE)</f>
        <v>0</v>
      </c>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t="b">
        <f>IFERROR(__xludf.DUMMYFUNCTION("""COMPUTED_VALUE"""),FALSE)</f>
        <v>0</v>
      </c>
      <c r="K915" s="1"/>
      <c r="L915" s="1" t="b">
        <f>IFERROR(__xludf.DUMMYFUNCTION("""COMPUTED_VALUE"""),FALSE)</f>
        <v>0</v>
      </c>
      <c r="M915" s="1" t="b">
        <f>IFERROR(__xludf.DUMMYFUNCTION("""COMPUTED_VALUE"""),FALSE)</f>
        <v>0</v>
      </c>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t="b">
        <f>IFERROR(__xludf.DUMMYFUNCTION("""COMPUTED_VALUE"""),FALSE)</f>
        <v>0</v>
      </c>
      <c r="K916" s="1"/>
      <c r="L916" s="1" t="b">
        <f>IFERROR(__xludf.DUMMYFUNCTION("""COMPUTED_VALUE"""),FALSE)</f>
        <v>0</v>
      </c>
      <c r="M916" s="1" t="b">
        <f>IFERROR(__xludf.DUMMYFUNCTION("""COMPUTED_VALUE"""),FALSE)</f>
        <v>0</v>
      </c>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t="b">
        <f>IFERROR(__xludf.DUMMYFUNCTION("""COMPUTED_VALUE"""),FALSE)</f>
        <v>0</v>
      </c>
      <c r="K917" s="1"/>
      <c r="L917" s="1" t="b">
        <f>IFERROR(__xludf.DUMMYFUNCTION("""COMPUTED_VALUE"""),FALSE)</f>
        <v>0</v>
      </c>
      <c r="M917" s="1" t="b">
        <f>IFERROR(__xludf.DUMMYFUNCTION("""COMPUTED_VALUE"""),FALSE)</f>
        <v>0</v>
      </c>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t="b">
        <f>IFERROR(__xludf.DUMMYFUNCTION("""COMPUTED_VALUE"""),FALSE)</f>
        <v>0</v>
      </c>
      <c r="K918" s="1"/>
      <c r="L918" s="1" t="b">
        <f>IFERROR(__xludf.DUMMYFUNCTION("""COMPUTED_VALUE"""),FALSE)</f>
        <v>0</v>
      </c>
      <c r="M918" s="1" t="b">
        <f>IFERROR(__xludf.DUMMYFUNCTION("""COMPUTED_VALUE"""),FALSE)</f>
        <v>0</v>
      </c>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t="b">
        <f>IFERROR(__xludf.DUMMYFUNCTION("""COMPUTED_VALUE"""),FALSE)</f>
        <v>0</v>
      </c>
      <c r="K919" s="1"/>
      <c r="L919" s="1" t="b">
        <f>IFERROR(__xludf.DUMMYFUNCTION("""COMPUTED_VALUE"""),FALSE)</f>
        <v>0</v>
      </c>
      <c r="M919" s="1" t="b">
        <f>IFERROR(__xludf.DUMMYFUNCTION("""COMPUTED_VALUE"""),FALSE)</f>
        <v>0</v>
      </c>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t="b">
        <f>IFERROR(__xludf.DUMMYFUNCTION("""COMPUTED_VALUE"""),FALSE)</f>
        <v>0</v>
      </c>
      <c r="K920" s="1"/>
      <c r="L920" s="1" t="b">
        <f>IFERROR(__xludf.DUMMYFUNCTION("""COMPUTED_VALUE"""),FALSE)</f>
        <v>0</v>
      </c>
      <c r="M920" s="1" t="b">
        <f>IFERROR(__xludf.DUMMYFUNCTION("""COMPUTED_VALUE"""),FALSE)</f>
        <v>0</v>
      </c>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t="b">
        <f>IFERROR(__xludf.DUMMYFUNCTION("""COMPUTED_VALUE"""),FALSE)</f>
        <v>0</v>
      </c>
      <c r="K921" s="1"/>
      <c r="L921" s="1" t="b">
        <f>IFERROR(__xludf.DUMMYFUNCTION("""COMPUTED_VALUE"""),FALSE)</f>
        <v>0</v>
      </c>
      <c r="M921" s="1" t="b">
        <f>IFERROR(__xludf.DUMMYFUNCTION("""COMPUTED_VALUE"""),FALSE)</f>
        <v>0</v>
      </c>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t="b">
        <f>IFERROR(__xludf.DUMMYFUNCTION("""COMPUTED_VALUE"""),FALSE)</f>
        <v>0</v>
      </c>
      <c r="K922" s="1"/>
      <c r="L922" s="1" t="b">
        <f>IFERROR(__xludf.DUMMYFUNCTION("""COMPUTED_VALUE"""),FALSE)</f>
        <v>0</v>
      </c>
      <c r="M922" s="1" t="b">
        <f>IFERROR(__xludf.DUMMYFUNCTION("""COMPUTED_VALUE"""),FALSE)</f>
        <v>0</v>
      </c>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t="b">
        <f>IFERROR(__xludf.DUMMYFUNCTION("""COMPUTED_VALUE"""),FALSE)</f>
        <v>0</v>
      </c>
      <c r="K923" s="1"/>
      <c r="L923" s="1" t="b">
        <f>IFERROR(__xludf.DUMMYFUNCTION("""COMPUTED_VALUE"""),FALSE)</f>
        <v>0</v>
      </c>
      <c r="M923" s="1" t="b">
        <f>IFERROR(__xludf.DUMMYFUNCTION("""COMPUTED_VALUE"""),FALSE)</f>
        <v>0</v>
      </c>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t="b">
        <f>IFERROR(__xludf.DUMMYFUNCTION("""COMPUTED_VALUE"""),FALSE)</f>
        <v>0</v>
      </c>
      <c r="K924" s="1"/>
      <c r="L924" s="1" t="b">
        <f>IFERROR(__xludf.DUMMYFUNCTION("""COMPUTED_VALUE"""),FALSE)</f>
        <v>0</v>
      </c>
      <c r="M924" s="1" t="b">
        <f>IFERROR(__xludf.DUMMYFUNCTION("""COMPUTED_VALUE"""),FALSE)</f>
        <v>0</v>
      </c>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t="b">
        <f>IFERROR(__xludf.DUMMYFUNCTION("""COMPUTED_VALUE"""),FALSE)</f>
        <v>0</v>
      </c>
      <c r="K925" s="1"/>
      <c r="L925" s="1" t="b">
        <f>IFERROR(__xludf.DUMMYFUNCTION("""COMPUTED_VALUE"""),FALSE)</f>
        <v>0</v>
      </c>
      <c r="M925" s="1" t="b">
        <f>IFERROR(__xludf.DUMMYFUNCTION("""COMPUTED_VALUE"""),FALSE)</f>
        <v>0</v>
      </c>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t="b">
        <f>IFERROR(__xludf.DUMMYFUNCTION("""COMPUTED_VALUE"""),FALSE)</f>
        <v>0</v>
      </c>
      <c r="K926" s="1"/>
      <c r="L926" s="1" t="b">
        <f>IFERROR(__xludf.DUMMYFUNCTION("""COMPUTED_VALUE"""),FALSE)</f>
        <v>0</v>
      </c>
      <c r="M926" s="1" t="b">
        <f>IFERROR(__xludf.DUMMYFUNCTION("""COMPUTED_VALUE"""),FALSE)</f>
        <v>0</v>
      </c>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t="b">
        <f>IFERROR(__xludf.DUMMYFUNCTION("""COMPUTED_VALUE"""),FALSE)</f>
        <v>0</v>
      </c>
      <c r="K927" s="1"/>
      <c r="L927" s="1" t="b">
        <f>IFERROR(__xludf.DUMMYFUNCTION("""COMPUTED_VALUE"""),FALSE)</f>
        <v>0</v>
      </c>
      <c r="M927" s="1" t="b">
        <f>IFERROR(__xludf.DUMMYFUNCTION("""COMPUTED_VALUE"""),FALSE)</f>
        <v>0</v>
      </c>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t="b">
        <f>IFERROR(__xludf.DUMMYFUNCTION("""COMPUTED_VALUE"""),FALSE)</f>
        <v>0</v>
      </c>
      <c r="K928" s="1"/>
      <c r="L928" s="1" t="b">
        <f>IFERROR(__xludf.DUMMYFUNCTION("""COMPUTED_VALUE"""),FALSE)</f>
        <v>0</v>
      </c>
      <c r="M928" s="1" t="b">
        <f>IFERROR(__xludf.DUMMYFUNCTION("""COMPUTED_VALUE"""),FALSE)</f>
        <v>0</v>
      </c>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t="b">
        <f>IFERROR(__xludf.DUMMYFUNCTION("""COMPUTED_VALUE"""),FALSE)</f>
        <v>0</v>
      </c>
      <c r="K929" s="1"/>
      <c r="L929" s="1" t="b">
        <f>IFERROR(__xludf.DUMMYFUNCTION("""COMPUTED_VALUE"""),FALSE)</f>
        <v>0</v>
      </c>
      <c r="M929" s="1" t="b">
        <f>IFERROR(__xludf.DUMMYFUNCTION("""COMPUTED_VALUE"""),FALSE)</f>
        <v>0</v>
      </c>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t="b">
        <f>IFERROR(__xludf.DUMMYFUNCTION("""COMPUTED_VALUE"""),FALSE)</f>
        <v>0</v>
      </c>
      <c r="K930" s="1"/>
      <c r="L930" s="1" t="b">
        <f>IFERROR(__xludf.DUMMYFUNCTION("""COMPUTED_VALUE"""),FALSE)</f>
        <v>0</v>
      </c>
      <c r="M930" s="1" t="b">
        <f>IFERROR(__xludf.DUMMYFUNCTION("""COMPUTED_VALUE"""),FALSE)</f>
        <v>0</v>
      </c>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t="b">
        <f>IFERROR(__xludf.DUMMYFUNCTION("""COMPUTED_VALUE"""),FALSE)</f>
        <v>0</v>
      </c>
      <c r="K931" s="1"/>
      <c r="L931" s="1" t="b">
        <f>IFERROR(__xludf.DUMMYFUNCTION("""COMPUTED_VALUE"""),FALSE)</f>
        <v>0</v>
      </c>
      <c r="M931" s="1" t="b">
        <f>IFERROR(__xludf.DUMMYFUNCTION("""COMPUTED_VALUE"""),FALSE)</f>
        <v>0</v>
      </c>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t="b">
        <f>IFERROR(__xludf.DUMMYFUNCTION("""COMPUTED_VALUE"""),FALSE)</f>
        <v>0</v>
      </c>
      <c r="K932" s="1"/>
      <c r="L932" s="1" t="b">
        <f>IFERROR(__xludf.DUMMYFUNCTION("""COMPUTED_VALUE"""),FALSE)</f>
        <v>0</v>
      </c>
      <c r="M932" s="1" t="b">
        <f>IFERROR(__xludf.DUMMYFUNCTION("""COMPUTED_VALUE"""),FALSE)</f>
        <v>0</v>
      </c>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t="b">
        <f>IFERROR(__xludf.DUMMYFUNCTION("""COMPUTED_VALUE"""),FALSE)</f>
        <v>0</v>
      </c>
      <c r="K933" s="1"/>
      <c r="L933" s="1" t="b">
        <f>IFERROR(__xludf.DUMMYFUNCTION("""COMPUTED_VALUE"""),FALSE)</f>
        <v>0</v>
      </c>
      <c r="M933" s="1" t="b">
        <f>IFERROR(__xludf.DUMMYFUNCTION("""COMPUTED_VALUE"""),FALSE)</f>
        <v>0</v>
      </c>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t="b">
        <f>IFERROR(__xludf.DUMMYFUNCTION("""COMPUTED_VALUE"""),FALSE)</f>
        <v>0</v>
      </c>
      <c r="K934" s="1"/>
      <c r="L934" s="1" t="b">
        <f>IFERROR(__xludf.DUMMYFUNCTION("""COMPUTED_VALUE"""),FALSE)</f>
        <v>0</v>
      </c>
      <c r="M934" s="1" t="b">
        <f>IFERROR(__xludf.DUMMYFUNCTION("""COMPUTED_VALUE"""),FALSE)</f>
        <v>0</v>
      </c>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t="b">
        <f>IFERROR(__xludf.DUMMYFUNCTION("""COMPUTED_VALUE"""),FALSE)</f>
        <v>0</v>
      </c>
      <c r="K935" s="1"/>
      <c r="L935" s="1" t="b">
        <f>IFERROR(__xludf.DUMMYFUNCTION("""COMPUTED_VALUE"""),FALSE)</f>
        <v>0</v>
      </c>
      <c r="M935" s="1" t="b">
        <f>IFERROR(__xludf.DUMMYFUNCTION("""COMPUTED_VALUE"""),FALSE)</f>
        <v>0</v>
      </c>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t="b">
        <f>IFERROR(__xludf.DUMMYFUNCTION("""COMPUTED_VALUE"""),FALSE)</f>
        <v>0</v>
      </c>
      <c r="K936" s="1"/>
      <c r="L936" s="1" t="b">
        <f>IFERROR(__xludf.DUMMYFUNCTION("""COMPUTED_VALUE"""),FALSE)</f>
        <v>0</v>
      </c>
      <c r="M936" s="1" t="b">
        <f>IFERROR(__xludf.DUMMYFUNCTION("""COMPUTED_VALUE"""),FALSE)</f>
        <v>0</v>
      </c>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t="b">
        <f>IFERROR(__xludf.DUMMYFUNCTION("""COMPUTED_VALUE"""),FALSE)</f>
        <v>0</v>
      </c>
      <c r="K937" s="1"/>
      <c r="L937" s="1" t="b">
        <f>IFERROR(__xludf.DUMMYFUNCTION("""COMPUTED_VALUE"""),FALSE)</f>
        <v>0</v>
      </c>
      <c r="M937" s="1" t="b">
        <f>IFERROR(__xludf.DUMMYFUNCTION("""COMPUTED_VALUE"""),FALSE)</f>
        <v>0</v>
      </c>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t="b">
        <f>IFERROR(__xludf.DUMMYFUNCTION("""COMPUTED_VALUE"""),FALSE)</f>
        <v>0</v>
      </c>
      <c r="K938" s="1"/>
      <c r="L938" s="1" t="b">
        <f>IFERROR(__xludf.DUMMYFUNCTION("""COMPUTED_VALUE"""),FALSE)</f>
        <v>0</v>
      </c>
      <c r="M938" s="1" t="b">
        <f>IFERROR(__xludf.DUMMYFUNCTION("""COMPUTED_VALUE"""),FALSE)</f>
        <v>0</v>
      </c>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t="b">
        <f>IFERROR(__xludf.DUMMYFUNCTION("""COMPUTED_VALUE"""),FALSE)</f>
        <v>0</v>
      </c>
      <c r="K939" s="1"/>
      <c r="L939" s="1" t="b">
        <f>IFERROR(__xludf.DUMMYFUNCTION("""COMPUTED_VALUE"""),FALSE)</f>
        <v>0</v>
      </c>
      <c r="M939" s="1" t="b">
        <f>IFERROR(__xludf.DUMMYFUNCTION("""COMPUTED_VALUE"""),FALSE)</f>
        <v>0</v>
      </c>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t="b">
        <f>IFERROR(__xludf.DUMMYFUNCTION("""COMPUTED_VALUE"""),FALSE)</f>
        <v>0</v>
      </c>
      <c r="K940" s="1"/>
      <c r="L940" s="1" t="b">
        <f>IFERROR(__xludf.DUMMYFUNCTION("""COMPUTED_VALUE"""),FALSE)</f>
        <v>0</v>
      </c>
      <c r="M940" s="1" t="b">
        <f>IFERROR(__xludf.DUMMYFUNCTION("""COMPUTED_VALUE"""),FALSE)</f>
        <v>0</v>
      </c>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t="b">
        <f>IFERROR(__xludf.DUMMYFUNCTION("""COMPUTED_VALUE"""),FALSE)</f>
        <v>0</v>
      </c>
      <c r="K941" s="1"/>
      <c r="L941" s="1" t="b">
        <f>IFERROR(__xludf.DUMMYFUNCTION("""COMPUTED_VALUE"""),FALSE)</f>
        <v>0</v>
      </c>
      <c r="M941" s="1" t="b">
        <f>IFERROR(__xludf.DUMMYFUNCTION("""COMPUTED_VALUE"""),FALSE)</f>
        <v>0</v>
      </c>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t="b">
        <f>IFERROR(__xludf.DUMMYFUNCTION("""COMPUTED_VALUE"""),FALSE)</f>
        <v>0</v>
      </c>
      <c r="K942" s="1"/>
      <c r="L942" s="1" t="b">
        <f>IFERROR(__xludf.DUMMYFUNCTION("""COMPUTED_VALUE"""),FALSE)</f>
        <v>0</v>
      </c>
      <c r="M942" s="1" t="b">
        <f>IFERROR(__xludf.DUMMYFUNCTION("""COMPUTED_VALUE"""),FALSE)</f>
        <v>0</v>
      </c>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t="b">
        <f>IFERROR(__xludf.DUMMYFUNCTION("""COMPUTED_VALUE"""),FALSE)</f>
        <v>0</v>
      </c>
      <c r="K943" s="1"/>
      <c r="L943" s="1" t="b">
        <f>IFERROR(__xludf.DUMMYFUNCTION("""COMPUTED_VALUE"""),FALSE)</f>
        <v>0</v>
      </c>
      <c r="M943" s="1" t="b">
        <f>IFERROR(__xludf.DUMMYFUNCTION("""COMPUTED_VALUE"""),FALSE)</f>
        <v>0</v>
      </c>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t="b">
        <f>IFERROR(__xludf.DUMMYFUNCTION("""COMPUTED_VALUE"""),FALSE)</f>
        <v>0</v>
      </c>
      <c r="K944" s="1"/>
      <c r="L944" s="1" t="b">
        <f>IFERROR(__xludf.DUMMYFUNCTION("""COMPUTED_VALUE"""),FALSE)</f>
        <v>0</v>
      </c>
      <c r="M944" s="1" t="b">
        <f>IFERROR(__xludf.DUMMYFUNCTION("""COMPUTED_VALUE"""),FALSE)</f>
        <v>0</v>
      </c>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t="b">
        <f>IFERROR(__xludf.DUMMYFUNCTION("""COMPUTED_VALUE"""),FALSE)</f>
        <v>0</v>
      </c>
      <c r="K945" s="1"/>
      <c r="L945" s="1" t="b">
        <f>IFERROR(__xludf.DUMMYFUNCTION("""COMPUTED_VALUE"""),FALSE)</f>
        <v>0</v>
      </c>
      <c r="M945" s="1" t="b">
        <f>IFERROR(__xludf.DUMMYFUNCTION("""COMPUTED_VALUE"""),FALSE)</f>
        <v>0</v>
      </c>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t="b">
        <f>IFERROR(__xludf.DUMMYFUNCTION("""COMPUTED_VALUE"""),FALSE)</f>
        <v>0</v>
      </c>
      <c r="K946" s="1"/>
      <c r="L946" s="1" t="b">
        <f>IFERROR(__xludf.DUMMYFUNCTION("""COMPUTED_VALUE"""),FALSE)</f>
        <v>0</v>
      </c>
      <c r="M946" s="1" t="b">
        <f>IFERROR(__xludf.DUMMYFUNCTION("""COMPUTED_VALUE"""),FALSE)</f>
        <v>0</v>
      </c>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t="b">
        <f>IFERROR(__xludf.DUMMYFUNCTION("""COMPUTED_VALUE"""),FALSE)</f>
        <v>0</v>
      </c>
      <c r="K947" s="1"/>
      <c r="L947" s="1" t="b">
        <f>IFERROR(__xludf.DUMMYFUNCTION("""COMPUTED_VALUE"""),FALSE)</f>
        <v>0</v>
      </c>
      <c r="M947" s="1" t="b">
        <f>IFERROR(__xludf.DUMMYFUNCTION("""COMPUTED_VALUE"""),FALSE)</f>
        <v>0</v>
      </c>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t="b">
        <f>IFERROR(__xludf.DUMMYFUNCTION("""COMPUTED_VALUE"""),FALSE)</f>
        <v>0</v>
      </c>
      <c r="K948" s="1"/>
      <c r="L948" s="1" t="b">
        <f>IFERROR(__xludf.DUMMYFUNCTION("""COMPUTED_VALUE"""),FALSE)</f>
        <v>0</v>
      </c>
      <c r="M948" s="1" t="b">
        <f>IFERROR(__xludf.DUMMYFUNCTION("""COMPUTED_VALUE"""),FALSE)</f>
        <v>0</v>
      </c>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t="b">
        <f>IFERROR(__xludf.DUMMYFUNCTION("""COMPUTED_VALUE"""),FALSE)</f>
        <v>0</v>
      </c>
      <c r="K949" s="1"/>
      <c r="L949" s="1" t="b">
        <f>IFERROR(__xludf.DUMMYFUNCTION("""COMPUTED_VALUE"""),FALSE)</f>
        <v>0</v>
      </c>
      <c r="M949" s="1" t="b">
        <f>IFERROR(__xludf.DUMMYFUNCTION("""COMPUTED_VALUE"""),FALSE)</f>
        <v>0</v>
      </c>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t="b">
        <f>IFERROR(__xludf.DUMMYFUNCTION("""COMPUTED_VALUE"""),FALSE)</f>
        <v>0</v>
      </c>
      <c r="K950" s="1"/>
      <c r="L950" s="1" t="b">
        <f>IFERROR(__xludf.DUMMYFUNCTION("""COMPUTED_VALUE"""),FALSE)</f>
        <v>0</v>
      </c>
      <c r="M950" s="1" t="b">
        <f>IFERROR(__xludf.DUMMYFUNCTION("""COMPUTED_VALUE"""),FALSE)</f>
        <v>0</v>
      </c>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t="b">
        <f>IFERROR(__xludf.DUMMYFUNCTION("""COMPUTED_VALUE"""),FALSE)</f>
        <v>0</v>
      </c>
      <c r="K951" s="1"/>
      <c r="L951" s="1" t="b">
        <f>IFERROR(__xludf.DUMMYFUNCTION("""COMPUTED_VALUE"""),FALSE)</f>
        <v>0</v>
      </c>
      <c r="M951" s="1" t="b">
        <f>IFERROR(__xludf.DUMMYFUNCTION("""COMPUTED_VALUE"""),FALSE)</f>
        <v>0</v>
      </c>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t="b">
        <f>IFERROR(__xludf.DUMMYFUNCTION("""COMPUTED_VALUE"""),FALSE)</f>
        <v>0</v>
      </c>
      <c r="K952" s="1"/>
      <c r="L952" s="1" t="b">
        <f>IFERROR(__xludf.DUMMYFUNCTION("""COMPUTED_VALUE"""),FALSE)</f>
        <v>0</v>
      </c>
      <c r="M952" s="1" t="b">
        <f>IFERROR(__xludf.DUMMYFUNCTION("""COMPUTED_VALUE"""),FALSE)</f>
        <v>0</v>
      </c>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t="b">
        <f>IFERROR(__xludf.DUMMYFUNCTION("""COMPUTED_VALUE"""),FALSE)</f>
        <v>0</v>
      </c>
      <c r="K953" s="1"/>
      <c r="L953" s="1" t="b">
        <f>IFERROR(__xludf.DUMMYFUNCTION("""COMPUTED_VALUE"""),FALSE)</f>
        <v>0</v>
      </c>
      <c r="M953" s="1" t="b">
        <f>IFERROR(__xludf.DUMMYFUNCTION("""COMPUTED_VALUE"""),FALSE)</f>
        <v>0</v>
      </c>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t="b">
        <f>IFERROR(__xludf.DUMMYFUNCTION("""COMPUTED_VALUE"""),FALSE)</f>
        <v>0</v>
      </c>
      <c r="K954" s="1"/>
      <c r="L954" s="1" t="b">
        <f>IFERROR(__xludf.DUMMYFUNCTION("""COMPUTED_VALUE"""),FALSE)</f>
        <v>0</v>
      </c>
      <c r="M954" s="1" t="b">
        <f>IFERROR(__xludf.DUMMYFUNCTION("""COMPUTED_VALUE"""),FALSE)</f>
        <v>0</v>
      </c>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t="b">
        <f>IFERROR(__xludf.DUMMYFUNCTION("""COMPUTED_VALUE"""),FALSE)</f>
        <v>0</v>
      </c>
      <c r="K955" s="1"/>
      <c r="L955" s="1" t="b">
        <f>IFERROR(__xludf.DUMMYFUNCTION("""COMPUTED_VALUE"""),FALSE)</f>
        <v>0</v>
      </c>
      <c r="M955" s="1" t="b">
        <f>IFERROR(__xludf.DUMMYFUNCTION("""COMPUTED_VALUE"""),FALSE)</f>
        <v>0</v>
      </c>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t="b">
        <f>IFERROR(__xludf.DUMMYFUNCTION("""COMPUTED_VALUE"""),FALSE)</f>
        <v>0</v>
      </c>
      <c r="K956" s="1"/>
      <c r="L956" s="1" t="b">
        <f>IFERROR(__xludf.DUMMYFUNCTION("""COMPUTED_VALUE"""),FALSE)</f>
        <v>0</v>
      </c>
      <c r="M956" s="1" t="b">
        <f>IFERROR(__xludf.DUMMYFUNCTION("""COMPUTED_VALUE"""),FALSE)</f>
        <v>0</v>
      </c>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t="b">
        <f>IFERROR(__xludf.DUMMYFUNCTION("""COMPUTED_VALUE"""),FALSE)</f>
        <v>0</v>
      </c>
      <c r="K957" s="1"/>
      <c r="L957" s="1" t="b">
        <f>IFERROR(__xludf.DUMMYFUNCTION("""COMPUTED_VALUE"""),FALSE)</f>
        <v>0</v>
      </c>
      <c r="M957" s="1" t="b">
        <f>IFERROR(__xludf.DUMMYFUNCTION("""COMPUTED_VALUE"""),FALSE)</f>
        <v>0</v>
      </c>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t="b">
        <f>IFERROR(__xludf.DUMMYFUNCTION("""COMPUTED_VALUE"""),FALSE)</f>
        <v>0</v>
      </c>
      <c r="K958" s="1"/>
      <c r="L958" s="1" t="b">
        <f>IFERROR(__xludf.DUMMYFUNCTION("""COMPUTED_VALUE"""),FALSE)</f>
        <v>0</v>
      </c>
      <c r="M958" s="1" t="b">
        <f>IFERROR(__xludf.DUMMYFUNCTION("""COMPUTED_VALUE"""),FALSE)</f>
        <v>0</v>
      </c>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t="b">
        <f>IFERROR(__xludf.DUMMYFUNCTION("""COMPUTED_VALUE"""),FALSE)</f>
        <v>0</v>
      </c>
      <c r="K959" s="1"/>
      <c r="L959" s="1" t="b">
        <f>IFERROR(__xludf.DUMMYFUNCTION("""COMPUTED_VALUE"""),FALSE)</f>
        <v>0</v>
      </c>
      <c r="M959" s="1" t="b">
        <f>IFERROR(__xludf.DUMMYFUNCTION("""COMPUTED_VALUE"""),FALSE)</f>
        <v>0</v>
      </c>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t="b">
        <f>IFERROR(__xludf.DUMMYFUNCTION("""COMPUTED_VALUE"""),FALSE)</f>
        <v>0</v>
      </c>
      <c r="K960" s="1"/>
      <c r="L960" s="1" t="b">
        <f>IFERROR(__xludf.DUMMYFUNCTION("""COMPUTED_VALUE"""),FALSE)</f>
        <v>0</v>
      </c>
      <c r="M960" s="1" t="b">
        <f>IFERROR(__xludf.DUMMYFUNCTION("""COMPUTED_VALUE"""),FALSE)</f>
        <v>0</v>
      </c>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t="b">
        <f>IFERROR(__xludf.DUMMYFUNCTION("""COMPUTED_VALUE"""),FALSE)</f>
        <v>0</v>
      </c>
      <c r="K961" s="1"/>
      <c r="L961" s="1" t="b">
        <f>IFERROR(__xludf.DUMMYFUNCTION("""COMPUTED_VALUE"""),FALSE)</f>
        <v>0</v>
      </c>
      <c r="M961" s="1" t="b">
        <f>IFERROR(__xludf.DUMMYFUNCTION("""COMPUTED_VALUE"""),FALSE)</f>
        <v>0</v>
      </c>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t="b">
        <f>IFERROR(__xludf.DUMMYFUNCTION("""COMPUTED_VALUE"""),FALSE)</f>
        <v>0</v>
      </c>
      <c r="K962" s="1"/>
      <c r="L962" s="1" t="b">
        <f>IFERROR(__xludf.DUMMYFUNCTION("""COMPUTED_VALUE"""),FALSE)</f>
        <v>0</v>
      </c>
      <c r="M962" s="1" t="b">
        <f>IFERROR(__xludf.DUMMYFUNCTION("""COMPUTED_VALUE"""),FALSE)</f>
        <v>0</v>
      </c>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t="b">
        <f>IFERROR(__xludf.DUMMYFUNCTION("""COMPUTED_VALUE"""),FALSE)</f>
        <v>0</v>
      </c>
      <c r="K963" s="1"/>
      <c r="L963" s="1" t="b">
        <f>IFERROR(__xludf.DUMMYFUNCTION("""COMPUTED_VALUE"""),FALSE)</f>
        <v>0</v>
      </c>
      <c r="M963" s="1" t="b">
        <f>IFERROR(__xludf.DUMMYFUNCTION("""COMPUTED_VALUE"""),FALSE)</f>
        <v>0</v>
      </c>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t="b">
        <f>IFERROR(__xludf.DUMMYFUNCTION("""COMPUTED_VALUE"""),FALSE)</f>
        <v>0</v>
      </c>
      <c r="K964" s="1"/>
      <c r="L964" s="1" t="b">
        <f>IFERROR(__xludf.DUMMYFUNCTION("""COMPUTED_VALUE"""),FALSE)</f>
        <v>0</v>
      </c>
      <c r="M964" s="1" t="b">
        <f>IFERROR(__xludf.DUMMYFUNCTION("""COMPUTED_VALUE"""),FALSE)</f>
        <v>0</v>
      </c>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t="b">
        <f>IFERROR(__xludf.DUMMYFUNCTION("""COMPUTED_VALUE"""),FALSE)</f>
        <v>0</v>
      </c>
      <c r="K965" s="1"/>
      <c r="L965" s="1" t="b">
        <f>IFERROR(__xludf.DUMMYFUNCTION("""COMPUTED_VALUE"""),FALSE)</f>
        <v>0</v>
      </c>
      <c r="M965" s="1" t="b">
        <f>IFERROR(__xludf.DUMMYFUNCTION("""COMPUTED_VALUE"""),FALSE)</f>
        <v>0</v>
      </c>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t="b">
        <f>IFERROR(__xludf.DUMMYFUNCTION("""COMPUTED_VALUE"""),FALSE)</f>
        <v>0</v>
      </c>
      <c r="K966" s="1"/>
      <c r="L966" s="1" t="b">
        <f>IFERROR(__xludf.DUMMYFUNCTION("""COMPUTED_VALUE"""),FALSE)</f>
        <v>0</v>
      </c>
      <c r="M966" s="1" t="b">
        <f>IFERROR(__xludf.DUMMYFUNCTION("""COMPUTED_VALUE"""),FALSE)</f>
        <v>0</v>
      </c>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t="b">
        <f>IFERROR(__xludf.DUMMYFUNCTION("""COMPUTED_VALUE"""),FALSE)</f>
        <v>0</v>
      </c>
      <c r="K967" s="1"/>
      <c r="L967" s="1" t="b">
        <f>IFERROR(__xludf.DUMMYFUNCTION("""COMPUTED_VALUE"""),FALSE)</f>
        <v>0</v>
      </c>
      <c r="M967" s="1" t="b">
        <f>IFERROR(__xludf.DUMMYFUNCTION("""COMPUTED_VALUE"""),FALSE)</f>
        <v>0</v>
      </c>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t="b">
        <f>IFERROR(__xludf.DUMMYFUNCTION("""COMPUTED_VALUE"""),FALSE)</f>
        <v>0</v>
      </c>
      <c r="K968" s="1"/>
      <c r="L968" s="1" t="b">
        <f>IFERROR(__xludf.DUMMYFUNCTION("""COMPUTED_VALUE"""),FALSE)</f>
        <v>0</v>
      </c>
      <c r="M968" s="1" t="b">
        <f>IFERROR(__xludf.DUMMYFUNCTION("""COMPUTED_VALUE"""),FALSE)</f>
        <v>0</v>
      </c>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t="b">
        <f>IFERROR(__xludf.DUMMYFUNCTION("""COMPUTED_VALUE"""),FALSE)</f>
        <v>0</v>
      </c>
      <c r="K969" s="1"/>
      <c r="L969" s="1" t="b">
        <f>IFERROR(__xludf.DUMMYFUNCTION("""COMPUTED_VALUE"""),FALSE)</f>
        <v>0</v>
      </c>
      <c r="M969" s="1" t="b">
        <f>IFERROR(__xludf.DUMMYFUNCTION("""COMPUTED_VALUE"""),FALSE)</f>
        <v>0</v>
      </c>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t="b">
        <f>IFERROR(__xludf.DUMMYFUNCTION("""COMPUTED_VALUE"""),FALSE)</f>
        <v>0</v>
      </c>
      <c r="K970" s="1"/>
      <c r="L970" s="1" t="b">
        <f>IFERROR(__xludf.DUMMYFUNCTION("""COMPUTED_VALUE"""),FALSE)</f>
        <v>0</v>
      </c>
      <c r="M970" s="1" t="b">
        <f>IFERROR(__xludf.DUMMYFUNCTION("""COMPUTED_VALUE"""),FALSE)</f>
        <v>0</v>
      </c>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t="b">
        <f>IFERROR(__xludf.DUMMYFUNCTION("""COMPUTED_VALUE"""),FALSE)</f>
        <v>0</v>
      </c>
      <c r="K971" s="1"/>
      <c r="L971" s="1" t="b">
        <f>IFERROR(__xludf.DUMMYFUNCTION("""COMPUTED_VALUE"""),FALSE)</f>
        <v>0</v>
      </c>
      <c r="M971" s="1" t="b">
        <f>IFERROR(__xludf.DUMMYFUNCTION("""COMPUTED_VALUE"""),FALSE)</f>
        <v>0</v>
      </c>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t="b">
        <f>IFERROR(__xludf.DUMMYFUNCTION("""COMPUTED_VALUE"""),FALSE)</f>
        <v>0</v>
      </c>
      <c r="K972" s="1"/>
      <c r="L972" s="1" t="b">
        <f>IFERROR(__xludf.DUMMYFUNCTION("""COMPUTED_VALUE"""),FALSE)</f>
        <v>0</v>
      </c>
      <c r="M972" s="1" t="b">
        <f>IFERROR(__xludf.DUMMYFUNCTION("""COMPUTED_VALUE"""),FALSE)</f>
        <v>0</v>
      </c>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t="b">
        <f>IFERROR(__xludf.DUMMYFUNCTION("""COMPUTED_VALUE"""),FALSE)</f>
        <v>0</v>
      </c>
      <c r="K973" s="1"/>
      <c r="L973" s="1" t="b">
        <f>IFERROR(__xludf.DUMMYFUNCTION("""COMPUTED_VALUE"""),FALSE)</f>
        <v>0</v>
      </c>
      <c r="M973" s="1" t="b">
        <f>IFERROR(__xludf.DUMMYFUNCTION("""COMPUTED_VALUE"""),FALSE)</f>
        <v>0</v>
      </c>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t="b">
        <f>IFERROR(__xludf.DUMMYFUNCTION("""COMPUTED_VALUE"""),FALSE)</f>
        <v>0</v>
      </c>
      <c r="K974" s="1"/>
      <c r="L974" s="1" t="b">
        <f>IFERROR(__xludf.DUMMYFUNCTION("""COMPUTED_VALUE"""),FALSE)</f>
        <v>0</v>
      </c>
      <c r="M974" s="1" t="b">
        <f>IFERROR(__xludf.DUMMYFUNCTION("""COMPUTED_VALUE"""),FALSE)</f>
        <v>0</v>
      </c>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t="b">
        <f>IFERROR(__xludf.DUMMYFUNCTION("""COMPUTED_VALUE"""),FALSE)</f>
        <v>0</v>
      </c>
      <c r="K975" s="1"/>
      <c r="L975" s="1" t="b">
        <f>IFERROR(__xludf.DUMMYFUNCTION("""COMPUTED_VALUE"""),FALSE)</f>
        <v>0</v>
      </c>
      <c r="M975" s="1" t="b">
        <f>IFERROR(__xludf.DUMMYFUNCTION("""COMPUTED_VALUE"""),FALSE)</f>
        <v>0</v>
      </c>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t="b">
        <f>IFERROR(__xludf.DUMMYFUNCTION("""COMPUTED_VALUE"""),FALSE)</f>
        <v>0</v>
      </c>
      <c r="K976" s="1"/>
      <c r="L976" s="1" t="b">
        <f>IFERROR(__xludf.DUMMYFUNCTION("""COMPUTED_VALUE"""),FALSE)</f>
        <v>0</v>
      </c>
      <c r="M976" s="1" t="b">
        <f>IFERROR(__xludf.DUMMYFUNCTION("""COMPUTED_VALUE"""),FALSE)</f>
        <v>0</v>
      </c>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t="b">
        <f>IFERROR(__xludf.DUMMYFUNCTION("""COMPUTED_VALUE"""),FALSE)</f>
        <v>0</v>
      </c>
      <c r="K977" s="1"/>
      <c r="L977" s="1" t="b">
        <f>IFERROR(__xludf.DUMMYFUNCTION("""COMPUTED_VALUE"""),FALSE)</f>
        <v>0</v>
      </c>
      <c r="M977" s="1" t="b">
        <f>IFERROR(__xludf.DUMMYFUNCTION("""COMPUTED_VALUE"""),FALSE)</f>
        <v>0</v>
      </c>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t="b">
        <f>IFERROR(__xludf.DUMMYFUNCTION("""COMPUTED_VALUE"""),FALSE)</f>
        <v>0</v>
      </c>
      <c r="K978" s="1"/>
      <c r="L978" s="1" t="b">
        <f>IFERROR(__xludf.DUMMYFUNCTION("""COMPUTED_VALUE"""),FALSE)</f>
        <v>0</v>
      </c>
      <c r="M978" s="1" t="b">
        <f>IFERROR(__xludf.DUMMYFUNCTION("""COMPUTED_VALUE"""),FALSE)</f>
        <v>0</v>
      </c>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t="b">
        <f>IFERROR(__xludf.DUMMYFUNCTION("""COMPUTED_VALUE"""),FALSE)</f>
        <v>0</v>
      </c>
      <c r="K979" s="1"/>
      <c r="L979" s="1" t="b">
        <f>IFERROR(__xludf.DUMMYFUNCTION("""COMPUTED_VALUE"""),FALSE)</f>
        <v>0</v>
      </c>
      <c r="M979" s="1" t="b">
        <f>IFERROR(__xludf.DUMMYFUNCTION("""COMPUTED_VALUE"""),FALSE)</f>
        <v>0</v>
      </c>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t="b">
        <f>IFERROR(__xludf.DUMMYFUNCTION("""COMPUTED_VALUE"""),FALSE)</f>
        <v>0</v>
      </c>
      <c r="K980" s="1"/>
      <c r="L980" s="1" t="b">
        <f>IFERROR(__xludf.DUMMYFUNCTION("""COMPUTED_VALUE"""),FALSE)</f>
        <v>0</v>
      </c>
      <c r="M980" s="1" t="b">
        <f>IFERROR(__xludf.DUMMYFUNCTION("""COMPUTED_VALUE"""),FALSE)</f>
        <v>0</v>
      </c>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t="b">
        <f>IFERROR(__xludf.DUMMYFUNCTION("""COMPUTED_VALUE"""),FALSE)</f>
        <v>0</v>
      </c>
      <c r="K981" s="1"/>
      <c r="L981" s="1" t="b">
        <f>IFERROR(__xludf.DUMMYFUNCTION("""COMPUTED_VALUE"""),FALSE)</f>
        <v>0</v>
      </c>
      <c r="M981" s="1" t="b">
        <f>IFERROR(__xludf.DUMMYFUNCTION("""COMPUTED_VALUE"""),FALSE)</f>
        <v>0</v>
      </c>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t="b">
        <f>IFERROR(__xludf.DUMMYFUNCTION("""COMPUTED_VALUE"""),FALSE)</f>
        <v>0</v>
      </c>
      <c r="K982" s="1"/>
      <c r="L982" s="1" t="b">
        <f>IFERROR(__xludf.DUMMYFUNCTION("""COMPUTED_VALUE"""),FALSE)</f>
        <v>0</v>
      </c>
      <c r="M982" s="1" t="b">
        <f>IFERROR(__xludf.DUMMYFUNCTION("""COMPUTED_VALUE"""),FALSE)</f>
        <v>0</v>
      </c>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t="b">
        <f>IFERROR(__xludf.DUMMYFUNCTION("""COMPUTED_VALUE"""),FALSE)</f>
        <v>0</v>
      </c>
      <c r="K983" s="1"/>
      <c r="L983" s="1" t="b">
        <f>IFERROR(__xludf.DUMMYFUNCTION("""COMPUTED_VALUE"""),FALSE)</f>
        <v>0</v>
      </c>
      <c r="M983" s="1" t="b">
        <f>IFERROR(__xludf.DUMMYFUNCTION("""COMPUTED_VALUE"""),FALSE)</f>
        <v>0</v>
      </c>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t="b">
        <f>IFERROR(__xludf.DUMMYFUNCTION("""COMPUTED_VALUE"""),FALSE)</f>
        <v>0</v>
      </c>
      <c r="K984" s="1"/>
      <c r="L984" s="1" t="b">
        <f>IFERROR(__xludf.DUMMYFUNCTION("""COMPUTED_VALUE"""),FALSE)</f>
        <v>0</v>
      </c>
      <c r="M984" s="1" t="b">
        <f>IFERROR(__xludf.DUMMYFUNCTION("""COMPUTED_VALUE"""),FALSE)</f>
        <v>0</v>
      </c>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t="b">
        <f>IFERROR(__xludf.DUMMYFUNCTION("""COMPUTED_VALUE"""),FALSE)</f>
        <v>0</v>
      </c>
      <c r="K985" s="1"/>
      <c r="L985" s="1" t="b">
        <f>IFERROR(__xludf.DUMMYFUNCTION("""COMPUTED_VALUE"""),FALSE)</f>
        <v>0</v>
      </c>
      <c r="M985" s="1" t="b">
        <f>IFERROR(__xludf.DUMMYFUNCTION("""COMPUTED_VALUE"""),FALSE)</f>
        <v>0</v>
      </c>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t="b">
        <f>IFERROR(__xludf.DUMMYFUNCTION("""COMPUTED_VALUE"""),FALSE)</f>
        <v>0</v>
      </c>
      <c r="K986" s="1"/>
      <c r="L986" s="1" t="b">
        <f>IFERROR(__xludf.DUMMYFUNCTION("""COMPUTED_VALUE"""),FALSE)</f>
        <v>0</v>
      </c>
      <c r="M986" s="1" t="b">
        <f>IFERROR(__xludf.DUMMYFUNCTION("""COMPUTED_VALUE"""),FALSE)</f>
        <v>0</v>
      </c>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t="b">
        <f>IFERROR(__xludf.DUMMYFUNCTION("""COMPUTED_VALUE"""),FALSE)</f>
        <v>0</v>
      </c>
      <c r="K987" s="1"/>
      <c r="L987" s="1" t="b">
        <f>IFERROR(__xludf.DUMMYFUNCTION("""COMPUTED_VALUE"""),FALSE)</f>
        <v>0</v>
      </c>
      <c r="M987" s="1" t="b">
        <f>IFERROR(__xludf.DUMMYFUNCTION("""COMPUTED_VALUE"""),FALSE)</f>
        <v>0</v>
      </c>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t="b">
        <f>IFERROR(__xludf.DUMMYFUNCTION("""COMPUTED_VALUE"""),FALSE)</f>
        <v>0</v>
      </c>
      <c r="K988" s="1"/>
      <c r="L988" s="1" t="b">
        <f>IFERROR(__xludf.DUMMYFUNCTION("""COMPUTED_VALUE"""),FALSE)</f>
        <v>0</v>
      </c>
      <c r="M988" s="1" t="b">
        <f>IFERROR(__xludf.DUMMYFUNCTION("""COMPUTED_VALUE"""),FALSE)</f>
        <v>0</v>
      </c>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t="b">
        <f>IFERROR(__xludf.DUMMYFUNCTION("""COMPUTED_VALUE"""),FALSE)</f>
        <v>0</v>
      </c>
      <c r="K989" s="1"/>
      <c r="L989" s="1" t="b">
        <f>IFERROR(__xludf.DUMMYFUNCTION("""COMPUTED_VALUE"""),FALSE)</f>
        <v>0</v>
      </c>
      <c r="M989" s="1" t="b">
        <f>IFERROR(__xludf.DUMMYFUNCTION("""COMPUTED_VALUE"""),FALSE)</f>
        <v>0</v>
      </c>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t="b">
        <f>IFERROR(__xludf.DUMMYFUNCTION("""COMPUTED_VALUE"""),FALSE)</f>
        <v>0</v>
      </c>
      <c r="K990" s="1"/>
      <c r="L990" s="1" t="b">
        <f>IFERROR(__xludf.DUMMYFUNCTION("""COMPUTED_VALUE"""),FALSE)</f>
        <v>0</v>
      </c>
      <c r="M990" s="1" t="b">
        <f>IFERROR(__xludf.DUMMYFUNCTION("""COMPUTED_VALUE"""),FALSE)</f>
        <v>0</v>
      </c>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t="b">
        <f>IFERROR(__xludf.DUMMYFUNCTION("""COMPUTED_VALUE"""),FALSE)</f>
        <v>0</v>
      </c>
      <c r="K991" s="1"/>
      <c r="L991" s="1" t="b">
        <f>IFERROR(__xludf.DUMMYFUNCTION("""COMPUTED_VALUE"""),FALSE)</f>
        <v>0</v>
      </c>
      <c r="M991" s="1" t="b">
        <f>IFERROR(__xludf.DUMMYFUNCTION("""COMPUTED_VALUE"""),FALSE)</f>
        <v>0</v>
      </c>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t="b">
        <f>IFERROR(__xludf.DUMMYFUNCTION("""COMPUTED_VALUE"""),FALSE)</f>
        <v>0</v>
      </c>
      <c r="K992" s="1"/>
      <c r="L992" s="1" t="b">
        <f>IFERROR(__xludf.DUMMYFUNCTION("""COMPUTED_VALUE"""),FALSE)</f>
        <v>0</v>
      </c>
      <c r="M992" s="1" t="b">
        <f>IFERROR(__xludf.DUMMYFUNCTION("""COMPUTED_VALUE"""),FALSE)</f>
        <v>0</v>
      </c>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t="b">
        <f>IFERROR(__xludf.DUMMYFUNCTION("""COMPUTED_VALUE"""),FALSE)</f>
        <v>0</v>
      </c>
      <c r="K993" s="1"/>
      <c r="L993" s="1" t="b">
        <f>IFERROR(__xludf.DUMMYFUNCTION("""COMPUTED_VALUE"""),FALSE)</f>
        <v>0</v>
      </c>
      <c r="M993" s="1" t="b">
        <f>IFERROR(__xludf.DUMMYFUNCTION("""COMPUTED_VALUE"""),FALSE)</f>
        <v>0</v>
      </c>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t="b">
        <f>IFERROR(__xludf.DUMMYFUNCTION("""COMPUTED_VALUE"""),FALSE)</f>
        <v>0</v>
      </c>
      <c r="K994" s="1"/>
      <c r="L994" s="1" t="b">
        <f>IFERROR(__xludf.DUMMYFUNCTION("""COMPUTED_VALUE"""),FALSE)</f>
        <v>0</v>
      </c>
      <c r="M994" s="1" t="b">
        <f>IFERROR(__xludf.DUMMYFUNCTION("""COMPUTED_VALUE"""),FALSE)</f>
        <v>0</v>
      </c>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t="b">
        <f>IFERROR(__xludf.DUMMYFUNCTION("""COMPUTED_VALUE"""),FALSE)</f>
        <v>0</v>
      </c>
      <c r="K995" s="1"/>
      <c r="L995" s="1" t="b">
        <f>IFERROR(__xludf.DUMMYFUNCTION("""COMPUTED_VALUE"""),FALSE)</f>
        <v>0</v>
      </c>
      <c r="M995" s="1" t="b">
        <f>IFERROR(__xludf.DUMMYFUNCTION("""COMPUTED_VALUE"""),FALSE)</f>
        <v>0</v>
      </c>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t="b">
        <f>IFERROR(__xludf.DUMMYFUNCTION("""COMPUTED_VALUE"""),FALSE)</f>
        <v>0</v>
      </c>
      <c r="K996" s="1"/>
      <c r="L996" s="1" t="b">
        <f>IFERROR(__xludf.DUMMYFUNCTION("""COMPUTED_VALUE"""),FALSE)</f>
        <v>0</v>
      </c>
      <c r="M996" s="1" t="b">
        <f>IFERROR(__xludf.DUMMYFUNCTION("""COMPUTED_VALUE"""),FALSE)</f>
        <v>0</v>
      </c>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t="b">
        <f>IFERROR(__xludf.DUMMYFUNCTION("""COMPUTED_VALUE"""),FALSE)</f>
        <v>0</v>
      </c>
      <c r="K997" s="1"/>
      <c r="L997" s="1" t="b">
        <f>IFERROR(__xludf.DUMMYFUNCTION("""COMPUTED_VALUE"""),FALSE)</f>
        <v>0</v>
      </c>
      <c r="M997" s="1" t="b">
        <f>IFERROR(__xludf.DUMMYFUNCTION("""COMPUTED_VALUE"""),FALSE)</f>
        <v>0</v>
      </c>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t="b">
        <f>IFERROR(__xludf.DUMMYFUNCTION("""COMPUTED_VALUE"""),FALSE)</f>
        <v>0</v>
      </c>
      <c r="K998" s="1"/>
      <c r="L998" s="1" t="b">
        <f>IFERROR(__xludf.DUMMYFUNCTION("""COMPUTED_VALUE"""),FALSE)</f>
        <v>0</v>
      </c>
      <c r="M998" s="1" t="b">
        <f>IFERROR(__xludf.DUMMYFUNCTION("""COMPUTED_VALUE"""),FALSE)</f>
        <v>0</v>
      </c>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t="b">
        <f>IFERROR(__xludf.DUMMYFUNCTION("""COMPUTED_VALUE"""),FALSE)</f>
        <v>0</v>
      </c>
      <c r="K999" s="1"/>
      <c r="L999" s="1" t="b">
        <f>IFERROR(__xludf.DUMMYFUNCTION("""COMPUTED_VALUE"""),FALSE)</f>
        <v>0</v>
      </c>
      <c r="M999" s="1" t="b">
        <f>IFERROR(__xludf.DUMMYFUNCTION("""COMPUTED_VALUE"""),FALSE)</f>
        <v>0</v>
      </c>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t="b">
        <f>IFERROR(__xludf.DUMMYFUNCTION("""COMPUTED_VALUE"""),FALSE)</f>
        <v>0</v>
      </c>
      <c r="K1000" s="1"/>
      <c r="L1000" s="1" t="b">
        <f>IFERROR(__xludf.DUMMYFUNCTION("""COMPUTED_VALUE"""),FALSE)</f>
        <v>0</v>
      </c>
      <c r="M1000" s="1" t="b">
        <f>IFERROR(__xludf.DUMMYFUNCTION("""COMPUTED_VALUE"""),FALSE)</f>
        <v>0</v>
      </c>
      <c r="N1000" s="1"/>
      <c r="O1000" s="1"/>
      <c r="P1000" s="1"/>
      <c r="Q1000" s="1"/>
      <c r="R1000" s="1"/>
      <c r="S1000" s="1"/>
      <c r="T1000" s="1"/>
      <c r="U1000" s="1"/>
      <c r="V1000" s="1"/>
      <c r="W1000" s="1"/>
      <c r="X1000" s="1"/>
      <c r="Y1000" s="1"/>
      <c r="Z1000" s="1"/>
    </row>
    <row r="1001" ht="15.75" customHeight="1">
      <c r="A1001" s="1"/>
      <c r="B1001" s="1"/>
      <c r="C1001" s="1"/>
      <c r="D1001" s="1"/>
      <c r="E1001" s="1"/>
      <c r="F1001" s="1"/>
      <c r="G1001" s="1"/>
      <c r="H1001" s="1"/>
      <c r="I1001" s="1"/>
      <c r="J1001" s="1" t="b">
        <f>IFERROR(__xludf.DUMMYFUNCTION("""COMPUTED_VALUE"""),FALSE)</f>
        <v>0</v>
      </c>
      <c r="K1001" s="1"/>
      <c r="L1001" s="1" t="b">
        <f>IFERROR(__xludf.DUMMYFUNCTION("""COMPUTED_VALUE"""),FALSE)</f>
        <v>0</v>
      </c>
      <c r="M1001" s="1" t="b">
        <f>IFERROR(__xludf.DUMMYFUNCTION("""COMPUTED_VALUE"""),FALSE)</f>
        <v>0</v>
      </c>
      <c r="N1001" s="1"/>
      <c r="O1001" s="1"/>
      <c r="P1001" s="1"/>
      <c r="Q1001" s="1"/>
      <c r="R1001" s="1"/>
      <c r="S1001" s="1"/>
      <c r="T1001" s="1"/>
      <c r="U1001" s="1"/>
      <c r="V1001" s="1"/>
      <c r="W1001" s="1"/>
      <c r="X1001" s="1"/>
      <c r="Y1001" s="1"/>
      <c r="Z1001" s="1"/>
    </row>
    <row r="1002" ht="15.75" customHeight="1">
      <c r="A1002" s="1"/>
      <c r="B1002" s="1"/>
      <c r="C1002" s="1"/>
      <c r="D1002" s="1"/>
      <c r="E1002" s="1"/>
      <c r="F1002" s="1"/>
      <c r="G1002" s="1"/>
      <c r="H1002" s="1"/>
      <c r="I1002" s="1"/>
      <c r="J1002" s="1" t="b">
        <f>IFERROR(__xludf.DUMMYFUNCTION("""COMPUTED_VALUE"""),FALSE)</f>
        <v>0</v>
      </c>
      <c r="K1002" s="1"/>
      <c r="L1002" s="1" t="b">
        <f>IFERROR(__xludf.DUMMYFUNCTION("""COMPUTED_VALUE"""),FALSE)</f>
        <v>0</v>
      </c>
      <c r="M1002" s="1" t="b">
        <f>IFERROR(__xludf.DUMMYFUNCTION("""COMPUTED_VALUE"""),FALSE)</f>
        <v>0</v>
      </c>
      <c r="N1002" s="1"/>
      <c r="O1002" s="1"/>
      <c r="P1002" s="1"/>
      <c r="Q1002" s="1"/>
      <c r="R1002" s="1"/>
      <c r="S1002" s="1"/>
      <c r="T1002" s="1"/>
      <c r="U1002" s="1"/>
      <c r="V1002" s="1"/>
      <c r="W1002" s="1"/>
      <c r="X1002" s="1"/>
      <c r="Y1002" s="1"/>
      <c r="Z1002" s="1"/>
    </row>
    <row r="1003" ht="15.75" customHeight="1">
      <c r="A1003" s="1"/>
      <c r="B1003" s="1"/>
      <c r="C1003" s="1"/>
      <c r="D1003" s="1"/>
      <c r="E1003" s="1"/>
      <c r="F1003" s="1"/>
      <c r="G1003" s="1"/>
      <c r="H1003" s="1"/>
      <c r="I1003" s="1"/>
      <c r="J1003" s="1" t="b">
        <f>IFERROR(__xludf.DUMMYFUNCTION("""COMPUTED_VALUE"""),FALSE)</f>
        <v>0</v>
      </c>
      <c r="K1003" s="1"/>
      <c r="L1003" s="1" t="b">
        <f>IFERROR(__xludf.DUMMYFUNCTION("""COMPUTED_VALUE"""),FALSE)</f>
        <v>0</v>
      </c>
      <c r="M1003" s="1" t="b">
        <f>IFERROR(__xludf.DUMMYFUNCTION("""COMPUTED_VALUE"""),FALSE)</f>
        <v>0</v>
      </c>
      <c r="N1003" s="1"/>
      <c r="O1003" s="1"/>
      <c r="P1003" s="1"/>
      <c r="Q1003" s="1"/>
      <c r="R1003" s="1"/>
      <c r="S1003" s="1"/>
      <c r="T1003" s="1"/>
      <c r="U1003" s="1"/>
      <c r="V1003" s="1"/>
      <c r="W1003" s="1"/>
      <c r="X1003" s="1"/>
      <c r="Y1003" s="1"/>
      <c r="Z1003" s="1"/>
    </row>
    <row r="1004" ht="15.75" customHeight="1">
      <c r="A1004" s="1"/>
      <c r="B1004" s="1"/>
      <c r="C1004" s="1"/>
      <c r="D1004" s="1"/>
      <c r="E1004" s="1"/>
      <c r="F1004" s="1"/>
      <c r="G1004" s="1"/>
      <c r="H1004" s="1"/>
      <c r="I1004" s="1"/>
      <c r="J1004" s="1" t="b">
        <f>IFERROR(__xludf.DUMMYFUNCTION("""COMPUTED_VALUE"""),FALSE)</f>
        <v>0</v>
      </c>
      <c r="K1004" s="1"/>
      <c r="L1004" s="1" t="b">
        <f>IFERROR(__xludf.DUMMYFUNCTION("""COMPUTED_VALUE"""),FALSE)</f>
        <v>0</v>
      </c>
      <c r="M1004" s="1" t="b">
        <f>IFERROR(__xludf.DUMMYFUNCTION("""COMPUTED_VALUE"""),FALSE)</f>
        <v>0</v>
      </c>
      <c r="N1004" s="1"/>
      <c r="O1004" s="1"/>
      <c r="P1004" s="1"/>
      <c r="Q1004" s="1"/>
      <c r="R1004" s="1"/>
      <c r="S1004" s="1"/>
      <c r="T1004" s="1"/>
      <c r="U1004" s="1"/>
      <c r="V1004" s="1"/>
      <c r="W1004" s="1"/>
      <c r="X1004" s="1"/>
      <c r="Y1004" s="1"/>
      <c r="Z1004" s="1"/>
    </row>
    <row r="1005" ht="15.75" customHeight="1">
      <c r="A1005" s="1"/>
      <c r="B1005" s="1"/>
      <c r="C1005" s="1"/>
      <c r="D1005" s="1"/>
      <c r="E1005" s="1"/>
      <c r="F1005" s="1"/>
      <c r="G1005" s="1"/>
      <c r="H1005" s="1"/>
      <c r="I1005" s="1"/>
      <c r="J1005" s="1" t="b">
        <f>IFERROR(__xludf.DUMMYFUNCTION("""COMPUTED_VALUE"""),FALSE)</f>
        <v>0</v>
      </c>
      <c r="K1005" s="1"/>
      <c r="L1005" s="1" t="b">
        <f>IFERROR(__xludf.DUMMYFUNCTION("""COMPUTED_VALUE"""),FALSE)</f>
        <v>0</v>
      </c>
      <c r="M1005" s="1" t="b">
        <f>IFERROR(__xludf.DUMMYFUNCTION("""COMPUTED_VALUE"""),FALSE)</f>
        <v>0</v>
      </c>
      <c r="N1005" s="1"/>
      <c r="O1005" s="1"/>
      <c r="P1005" s="1"/>
      <c r="Q1005" s="1"/>
      <c r="R1005" s="1"/>
      <c r="S1005" s="1"/>
      <c r="T1005" s="1"/>
      <c r="U1005" s="1"/>
      <c r="V1005" s="1"/>
      <c r="W1005" s="1"/>
      <c r="X1005" s="1"/>
      <c r="Y1005" s="1"/>
      <c r="Z1005" s="1"/>
    </row>
    <row r="1006" ht="15.75" customHeight="1">
      <c r="A1006" s="1"/>
      <c r="B1006" s="1"/>
      <c r="C1006" s="1"/>
      <c r="D1006" s="1"/>
      <c r="E1006" s="1"/>
      <c r="F1006" s="1"/>
      <c r="G1006" s="1"/>
      <c r="H1006" s="1"/>
      <c r="I1006" s="1"/>
      <c r="J1006" s="1" t="b">
        <f>IFERROR(__xludf.DUMMYFUNCTION("""COMPUTED_VALUE"""),FALSE)</f>
        <v>0</v>
      </c>
      <c r="K1006" s="1"/>
      <c r="L1006" s="1" t="b">
        <f>IFERROR(__xludf.DUMMYFUNCTION("""COMPUTED_VALUE"""),FALSE)</f>
        <v>0</v>
      </c>
      <c r="M1006" s="1" t="b">
        <f>IFERROR(__xludf.DUMMYFUNCTION("""COMPUTED_VALUE"""),FALSE)</f>
        <v>0</v>
      </c>
      <c r="N1006" s="1"/>
      <c r="O1006" s="1"/>
      <c r="P1006" s="1"/>
      <c r="Q1006" s="1"/>
      <c r="R1006" s="1"/>
      <c r="S1006" s="1"/>
      <c r="T1006" s="1"/>
      <c r="U1006" s="1"/>
      <c r="V1006" s="1"/>
      <c r="W1006" s="1"/>
      <c r="X1006" s="1"/>
      <c r="Y1006" s="1"/>
      <c r="Z1006" s="1"/>
    </row>
    <row r="1007" ht="15.75" customHeight="1">
      <c r="A1007" s="1"/>
      <c r="B1007" s="1"/>
      <c r="C1007" s="1"/>
      <c r="D1007" s="1"/>
      <c r="E1007" s="1"/>
      <c r="F1007" s="1"/>
      <c r="G1007" s="1"/>
      <c r="H1007" s="1"/>
      <c r="I1007" s="1"/>
      <c r="J1007" s="1" t="b">
        <f>IFERROR(__xludf.DUMMYFUNCTION("""COMPUTED_VALUE"""),FALSE)</f>
        <v>0</v>
      </c>
      <c r="K1007" s="1"/>
      <c r="L1007" s="1" t="b">
        <f>IFERROR(__xludf.DUMMYFUNCTION("""COMPUTED_VALUE"""),FALSE)</f>
        <v>0</v>
      </c>
      <c r="M1007" s="1" t="b">
        <f>IFERROR(__xludf.DUMMYFUNCTION("""COMPUTED_VALUE"""),FALSE)</f>
        <v>0</v>
      </c>
      <c r="N1007" s="1"/>
      <c r="O1007" s="1"/>
      <c r="P1007" s="1"/>
      <c r="Q1007" s="1"/>
      <c r="R1007" s="1"/>
      <c r="S1007" s="1"/>
      <c r="T1007" s="1"/>
      <c r="U1007" s="1"/>
      <c r="V1007" s="1"/>
      <c r="W1007" s="1"/>
      <c r="X1007" s="1"/>
      <c r="Y1007" s="1"/>
      <c r="Z1007" s="1"/>
    </row>
    <row r="1008" ht="15.75" customHeight="1">
      <c r="A1008" s="1"/>
      <c r="B1008" s="1"/>
      <c r="C1008" s="1"/>
      <c r="D1008" s="1"/>
      <c r="E1008" s="1"/>
      <c r="F1008" s="1"/>
      <c r="G1008" s="1"/>
      <c r="H1008" s="1"/>
      <c r="I1008" s="1"/>
      <c r="J1008" s="1" t="b">
        <f>IFERROR(__xludf.DUMMYFUNCTION("""COMPUTED_VALUE"""),FALSE)</f>
        <v>0</v>
      </c>
      <c r="K1008" s="1"/>
      <c r="L1008" s="1" t="b">
        <f>IFERROR(__xludf.DUMMYFUNCTION("""COMPUTED_VALUE"""),FALSE)</f>
        <v>0</v>
      </c>
      <c r="M1008" s="1" t="b">
        <f>IFERROR(__xludf.DUMMYFUNCTION("""COMPUTED_VALUE"""),FALSE)</f>
        <v>0</v>
      </c>
      <c r="N1008" s="1"/>
      <c r="O1008" s="1"/>
      <c r="P1008" s="1"/>
      <c r="Q1008" s="1"/>
      <c r="R1008" s="1"/>
      <c r="S1008" s="1"/>
      <c r="T1008" s="1"/>
      <c r="U1008" s="1"/>
      <c r="V1008" s="1"/>
      <c r="W1008" s="1"/>
      <c r="X1008" s="1"/>
      <c r="Y1008" s="1"/>
      <c r="Z1008" s="1"/>
    </row>
    <row r="1009" ht="15.75" customHeight="1">
      <c r="A1009" s="1"/>
      <c r="B1009" s="1"/>
      <c r="C1009" s="1"/>
      <c r="D1009" s="1"/>
      <c r="E1009" s="1"/>
      <c r="F1009" s="1"/>
      <c r="G1009" s="1"/>
      <c r="H1009" s="1"/>
      <c r="I1009" s="1"/>
      <c r="J1009" s="1" t="b">
        <f>IFERROR(__xludf.DUMMYFUNCTION("""COMPUTED_VALUE"""),FALSE)</f>
        <v>0</v>
      </c>
      <c r="K1009" s="1"/>
      <c r="L1009" s="1" t="b">
        <f>IFERROR(__xludf.DUMMYFUNCTION("""COMPUTED_VALUE"""),FALSE)</f>
        <v>0</v>
      </c>
      <c r="M1009" s="1" t="b">
        <f>IFERROR(__xludf.DUMMYFUNCTION("""COMPUTED_VALUE"""),FALSE)</f>
        <v>0</v>
      </c>
      <c r="N1009" s="1"/>
      <c r="O1009" s="1"/>
      <c r="P1009" s="1"/>
      <c r="Q1009" s="1"/>
      <c r="R1009" s="1"/>
      <c r="S1009" s="1"/>
      <c r="T1009" s="1"/>
      <c r="U1009" s="1"/>
      <c r="V1009" s="1"/>
      <c r="W1009" s="1"/>
      <c r="X1009" s="1"/>
      <c r="Y1009" s="1"/>
      <c r="Z1009" s="1"/>
    </row>
    <row r="1010" ht="15.75" customHeight="1">
      <c r="A1010" s="1"/>
      <c r="B1010" s="1"/>
      <c r="C1010" s="1"/>
      <c r="D1010" s="1"/>
      <c r="E1010" s="1"/>
      <c r="F1010" s="1"/>
      <c r="G1010" s="1"/>
      <c r="H1010" s="1"/>
      <c r="I1010" s="1"/>
      <c r="J1010" s="1" t="b">
        <f>IFERROR(__xludf.DUMMYFUNCTION("""COMPUTED_VALUE"""),FALSE)</f>
        <v>0</v>
      </c>
      <c r="K1010" s="1"/>
      <c r="L1010" s="1" t="b">
        <f>IFERROR(__xludf.DUMMYFUNCTION("""COMPUTED_VALUE"""),FALSE)</f>
        <v>0</v>
      </c>
      <c r="M1010" s="1" t="b">
        <f>IFERROR(__xludf.DUMMYFUNCTION("""COMPUTED_VALUE"""),FALSE)</f>
        <v>0</v>
      </c>
      <c r="N1010" s="1"/>
      <c r="O1010" s="1"/>
      <c r="P1010" s="1"/>
      <c r="Q1010" s="1"/>
      <c r="R1010" s="1"/>
      <c r="S1010" s="1"/>
      <c r="T1010" s="1"/>
      <c r="U1010" s="1"/>
      <c r="V1010" s="1"/>
      <c r="W1010" s="1"/>
      <c r="X1010" s="1"/>
      <c r="Y1010" s="1"/>
      <c r="Z1010" s="1"/>
    </row>
    <row r="1011" ht="15.75" customHeight="1">
      <c r="A1011" s="1"/>
      <c r="B1011" s="1"/>
      <c r="C1011" s="1"/>
      <c r="D1011" s="1"/>
      <c r="E1011" s="1"/>
      <c r="F1011" s="1"/>
      <c r="G1011" s="1"/>
      <c r="H1011" s="1"/>
      <c r="I1011" s="1"/>
      <c r="J1011" s="1" t="b">
        <f>IFERROR(__xludf.DUMMYFUNCTION("""COMPUTED_VALUE"""),FALSE)</f>
        <v>0</v>
      </c>
      <c r="K1011" s="1"/>
      <c r="L1011" s="1" t="b">
        <f>IFERROR(__xludf.DUMMYFUNCTION("""COMPUTED_VALUE"""),FALSE)</f>
        <v>0</v>
      </c>
      <c r="M1011" s="1" t="b">
        <f>IFERROR(__xludf.DUMMYFUNCTION("""COMPUTED_VALUE"""),FALSE)</f>
        <v>0</v>
      </c>
      <c r="N1011" s="1"/>
      <c r="O1011" s="1"/>
      <c r="P1011" s="1"/>
      <c r="Q1011" s="1"/>
      <c r="R1011" s="1"/>
      <c r="S1011" s="1"/>
      <c r="T1011" s="1"/>
      <c r="U1011" s="1"/>
      <c r="V1011" s="1"/>
      <c r="W1011" s="1"/>
      <c r="X1011" s="1"/>
      <c r="Y1011" s="1"/>
      <c r="Z1011" s="1"/>
    </row>
    <row r="1012" ht="15.75" customHeight="1">
      <c r="A1012" s="1"/>
      <c r="B1012" s="1"/>
      <c r="C1012" s="1"/>
      <c r="D1012" s="1"/>
      <c r="E1012" s="1"/>
      <c r="F1012" s="1"/>
      <c r="G1012" s="1"/>
      <c r="H1012" s="1"/>
      <c r="I1012" s="1"/>
      <c r="J1012" s="1" t="b">
        <f>IFERROR(__xludf.DUMMYFUNCTION("""COMPUTED_VALUE"""),FALSE)</f>
        <v>0</v>
      </c>
      <c r="K1012" s="1"/>
      <c r="L1012" s="1" t="b">
        <f>IFERROR(__xludf.DUMMYFUNCTION("""COMPUTED_VALUE"""),FALSE)</f>
        <v>0</v>
      </c>
      <c r="M1012" s="1" t="b">
        <f>IFERROR(__xludf.DUMMYFUNCTION("""COMPUTED_VALUE"""),FALSE)</f>
        <v>0</v>
      </c>
      <c r="N1012" s="1"/>
      <c r="O1012" s="1"/>
      <c r="P1012" s="1"/>
      <c r="Q1012" s="1"/>
      <c r="R1012" s="1"/>
      <c r="S1012" s="1"/>
      <c r="T1012" s="1"/>
      <c r="U1012" s="1"/>
      <c r="V1012" s="1"/>
      <c r="W1012" s="1"/>
      <c r="X1012" s="1"/>
      <c r="Y1012" s="1"/>
      <c r="Z1012" s="1"/>
    </row>
    <row r="1013" ht="15.75" customHeight="1">
      <c r="A1013" s="1"/>
      <c r="B1013" s="1"/>
      <c r="C1013" s="1"/>
      <c r="D1013" s="1"/>
      <c r="E1013" s="1"/>
      <c r="F1013" s="1"/>
      <c r="G1013" s="1"/>
      <c r="H1013" s="1"/>
      <c r="I1013" s="1"/>
      <c r="J1013" s="1" t="b">
        <f>IFERROR(__xludf.DUMMYFUNCTION("""COMPUTED_VALUE"""),FALSE)</f>
        <v>0</v>
      </c>
      <c r="K1013" s="1"/>
      <c r="L1013" s="1" t="b">
        <f>IFERROR(__xludf.DUMMYFUNCTION("""COMPUTED_VALUE"""),FALSE)</f>
        <v>0</v>
      </c>
      <c r="M1013" s="1" t="b">
        <f>IFERROR(__xludf.DUMMYFUNCTION("""COMPUTED_VALUE"""),FALSE)</f>
        <v>0</v>
      </c>
      <c r="N1013" s="1"/>
      <c r="O1013" s="1"/>
      <c r="P1013" s="1"/>
      <c r="Q1013" s="1"/>
      <c r="R1013" s="1"/>
      <c r="S1013" s="1"/>
      <c r="T1013" s="1"/>
      <c r="U1013" s="1"/>
      <c r="V1013" s="1"/>
      <c r="W1013" s="1"/>
      <c r="X1013" s="1"/>
      <c r="Y1013" s="1"/>
      <c r="Z1013" s="1"/>
    </row>
    <row r="1014" ht="15.75" customHeight="1">
      <c r="A1014" s="1"/>
      <c r="B1014" s="1"/>
      <c r="C1014" s="1"/>
      <c r="D1014" s="1"/>
      <c r="E1014" s="1"/>
      <c r="F1014" s="1"/>
      <c r="G1014" s="1"/>
      <c r="H1014" s="1"/>
      <c r="I1014" s="1"/>
      <c r="J1014" s="1" t="b">
        <f>IFERROR(__xludf.DUMMYFUNCTION("""COMPUTED_VALUE"""),FALSE)</f>
        <v>0</v>
      </c>
      <c r="K1014" s="1"/>
      <c r="L1014" s="1" t="b">
        <f>IFERROR(__xludf.DUMMYFUNCTION("""COMPUTED_VALUE"""),FALSE)</f>
        <v>0</v>
      </c>
      <c r="M1014" s="1" t="b">
        <f>IFERROR(__xludf.DUMMYFUNCTION("""COMPUTED_VALUE"""),FALSE)</f>
        <v>0</v>
      </c>
      <c r="N1014" s="1"/>
      <c r="O1014" s="1"/>
      <c r="P1014" s="1"/>
      <c r="Q1014" s="1"/>
      <c r="R1014" s="1"/>
      <c r="S1014" s="1"/>
      <c r="T1014" s="1"/>
      <c r="U1014" s="1"/>
      <c r="V1014" s="1"/>
      <c r="W1014" s="1"/>
      <c r="X1014" s="1"/>
      <c r="Y1014" s="1"/>
      <c r="Z1014" s="1"/>
    </row>
    <row r="1015" ht="15.75" customHeight="1">
      <c r="A1015" s="1"/>
      <c r="B1015" s="1"/>
      <c r="C1015" s="1"/>
      <c r="D1015" s="1"/>
      <c r="E1015" s="1"/>
      <c r="F1015" s="1"/>
      <c r="G1015" s="1"/>
      <c r="H1015" s="1"/>
      <c r="I1015" s="1"/>
      <c r="J1015" s="1" t="b">
        <f>IFERROR(__xludf.DUMMYFUNCTION("""COMPUTED_VALUE"""),FALSE)</f>
        <v>0</v>
      </c>
      <c r="K1015" s="1"/>
      <c r="L1015" s="1" t="b">
        <f>IFERROR(__xludf.DUMMYFUNCTION("""COMPUTED_VALUE"""),FALSE)</f>
        <v>0</v>
      </c>
      <c r="M1015" s="1" t="b">
        <f>IFERROR(__xludf.DUMMYFUNCTION("""COMPUTED_VALUE"""),FALSE)</f>
        <v>0</v>
      </c>
      <c r="N1015" s="1"/>
      <c r="O1015" s="1"/>
      <c r="P1015" s="1"/>
      <c r="Q1015" s="1"/>
      <c r="R1015" s="1"/>
      <c r="S1015" s="1"/>
      <c r="T1015" s="1"/>
      <c r="U1015" s="1"/>
      <c r="V1015" s="1"/>
      <c r="W1015" s="1"/>
      <c r="X1015" s="1"/>
      <c r="Y1015" s="1"/>
      <c r="Z1015" s="1"/>
    </row>
    <row r="1016" ht="15.75" customHeight="1">
      <c r="A1016" s="1"/>
      <c r="B1016" s="1"/>
      <c r="C1016" s="1"/>
      <c r="D1016" s="1"/>
      <c r="E1016" s="1"/>
      <c r="F1016" s="1"/>
      <c r="G1016" s="1"/>
      <c r="H1016" s="1"/>
      <c r="I1016" s="1"/>
      <c r="J1016" s="1" t="b">
        <f>IFERROR(__xludf.DUMMYFUNCTION("""COMPUTED_VALUE"""),FALSE)</f>
        <v>0</v>
      </c>
      <c r="K1016" s="1"/>
      <c r="L1016" s="1" t="b">
        <f>IFERROR(__xludf.DUMMYFUNCTION("""COMPUTED_VALUE"""),FALSE)</f>
        <v>0</v>
      </c>
      <c r="M1016" s="1" t="b">
        <f>IFERROR(__xludf.DUMMYFUNCTION("""COMPUTED_VALUE"""),FALSE)</f>
        <v>0</v>
      </c>
      <c r="N1016" s="1"/>
      <c r="O1016" s="1"/>
      <c r="P1016" s="1"/>
      <c r="Q1016" s="1"/>
      <c r="R1016" s="1"/>
      <c r="S1016" s="1"/>
      <c r="T1016" s="1"/>
      <c r="U1016" s="1"/>
      <c r="V1016" s="1"/>
      <c r="W1016" s="1"/>
      <c r="X1016" s="1"/>
      <c r="Y1016" s="1"/>
      <c r="Z1016" s="1"/>
    </row>
    <row r="1017" ht="15.75" customHeight="1">
      <c r="A1017" s="1"/>
      <c r="B1017" s="1"/>
      <c r="C1017" s="1"/>
      <c r="D1017" s="1"/>
      <c r="E1017" s="1"/>
      <c r="F1017" s="1"/>
      <c r="G1017" s="1"/>
      <c r="H1017" s="1"/>
      <c r="I1017" s="1"/>
      <c r="J1017" s="1" t="b">
        <f>IFERROR(__xludf.DUMMYFUNCTION("""COMPUTED_VALUE"""),FALSE)</f>
        <v>0</v>
      </c>
      <c r="K1017" s="1"/>
      <c r="L1017" s="1" t="b">
        <f>IFERROR(__xludf.DUMMYFUNCTION("""COMPUTED_VALUE"""),FALSE)</f>
        <v>0</v>
      </c>
      <c r="M1017" s="1" t="b">
        <f>IFERROR(__xludf.DUMMYFUNCTION("""COMPUTED_VALUE"""),FALSE)</f>
        <v>0</v>
      </c>
      <c r="N1017" s="1"/>
      <c r="O1017" s="1"/>
      <c r="P1017" s="1"/>
      <c r="Q1017" s="1"/>
      <c r="R1017" s="1"/>
      <c r="S1017" s="1"/>
      <c r="T1017" s="1"/>
      <c r="U1017" s="1"/>
      <c r="V1017" s="1"/>
      <c r="W1017" s="1"/>
      <c r="X1017" s="1"/>
      <c r="Y1017" s="1"/>
      <c r="Z1017" s="1"/>
    </row>
    <row r="1018" ht="15.75" customHeight="1">
      <c r="A1018" s="1"/>
      <c r="B1018" s="1"/>
      <c r="C1018" s="1"/>
      <c r="D1018" s="1"/>
      <c r="E1018" s="1"/>
      <c r="F1018" s="1"/>
      <c r="G1018" s="1"/>
      <c r="H1018" s="1"/>
      <c r="I1018" s="1"/>
      <c r="J1018" s="1" t="b">
        <f>IFERROR(__xludf.DUMMYFUNCTION("""COMPUTED_VALUE"""),FALSE)</f>
        <v>0</v>
      </c>
      <c r="K1018" s="1"/>
      <c r="L1018" s="1" t="b">
        <f>IFERROR(__xludf.DUMMYFUNCTION("""COMPUTED_VALUE"""),FALSE)</f>
        <v>0</v>
      </c>
      <c r="M1018" s="1" t="b">
        <f>IFERROR(__xludf.DUMMYFUNCTION("""COMPUTED_VALUE"""),FALSE)</f>
        <v>0</v>
      </c>
      <c r="N1018" s="1"/>
      <c r="O1018" s="1"/>
      <c r="P1018" s="1"/>
      <c r="Q1018" s="1"/>
      <c r="R1018" s="1"/>
      <c r="S1018" s="1"/>
      <c r="T1018" s="1"/>
      <c r="U1018" s="1"/>
      <c r="V1018" s="1"/>
      <c r="W1018" s="1"/>
      <c r="X1018" s="1"/>
      <c r="Y1018" s="1"/>
      <c r="Z1018" s="1"/>
    </row>
    <row r="1019" ht="15.75" customHeight="1">
      <c r="A1019" s="1"/>
      <c r="B1019" s="1"/>
      <c r="C1019" s="1"/>
      <c r="D1019" s="1"/>
      <c r="E1019" s="1"/>
      <c r="F1019" s="1"/>
      <c r="G1019" s="1"/>
      <c r="H1019" s="1"/>
      <c r="I1019" s="1"/>
      <c r="J1019" s="1" t="b">
        <f>IFERROR(__xludf.DUMMYFUNCTION("""COMPUTED_VALUE"""),FALSE)</f>
        <v>0</v>
      </c>
      <c r="K1019" s="1"/>
      <c r="L1019" s="1" t="b">
        <f>IFERROR(__xludf.DUMMYFUNCTION("""COMPUTED_VALUE"""),FALSE)</f>
        <v>0</v>
      </c>
      <c r="M1019" s="1" t="b">
        <f>IFERROR(__xludf.DUMMYFUNCTION("""COMPUTED_VALUE"""),FALSE)</f>
        <v>0</v>
      </c>
      <c r="N1019" s="1"/>
      <c r="O1019" s="1"/>
      <c r="P1019" s="1"/>
      <c r="Q1019" s="1"/>
      <c r="R1019" s="1"/>
      <c r="S1019" s="1"/>
      <c r="T1019" s="1"/>
      <c r="U1019" s="1"/>
      <c r="V1019" s="1"/>
      <c r="W1019" s="1"/>
      <c r="X1019" s="1"/>
      <c r="Y1019" s="1"/>
      <c r="Z1019" s="1"/>
    </row>
    <row r="1020" ht="15.75" customHeight="1">
      <c r="A1020" s="1"/>
      <c r="B1020" s="1"/>
      <c r="C1020" s="1"/>
      <c r="D1020" s="1"/>
      <c r="E1020" s="1"/>
      <c r="F1020" s="1"/>
      <c r="G1020" s="1"/>
      <c r="H1020" s="1"/>
      <c r="I1020" s="1"/>
      <c r="J1020" s="1" t="b">
        <f>IFERROR(__xludf.DUMMYFUNCTION("""COMPUTED_VALUE"""),FALSE)</f>
        <v>0</v>
      </c>
      <c r="K1020" s="1"/>
      <c r="L1020" s="1" t="b">
        <f>IFERROR(__xludf.DUMMYFUNCTION("""COMPUTED_VALUE"""),FALSE)</f>
        <v>0</v>
      </c>
      <c r="M1020" s="1" t="b">
        <f>IFERROR(__xludf.DUMMYFUNCTION("""COMPUTED_VALUE"""),FALSE)</f>
        <v>0</v>
      </c>
      <c r="N1020" s="1"/>
      <c r="O1020" s="1"/>
      <c r="P1020" s="1"/>
      <c r="Q1020" s="1"/>
      <c r="R1020" s="1"/>
      <c r="S1020" s="1"/>
      <c r="T1020" s="1"/>
      <c r="U1020" s="1"/>
      <c r="V1020" s="1"/>
      <c r="W1020" s="1"/>
      <c r="X1020" s="1"/>
      <c r="Y1020" s="1"/>
      <c r="Z1020" s="1"/>
    </row>
    <row r="1021" ht="15.75" customHeight="1">
      <c r="A1021" s="1"/>
      <c r="B1021" s="1"/>
      <c r="C1021" s="1"/>
      <c r="D1021" s="1"/>
      <c r="E1021" s="1"/>
      <c r="F1021" s="1"/>
      <c r="G1021" s="1"/>
      <c r="H1021" s="1"/>
      <c r="I1021" s="1"/>
      <c r="J1021" s="1" t="b">
        <f>IFERROR(__xludf.DUMMYFUNCTION("""COMPUTED_VALUE"""),FALSE)</f>
        <v>0</v>
      </c>
      <c r="K1021" s="1"/>
      <c r="L1021" s="1" t="b">
        <f>IFERROR(__xludf.DUMMYFUNCTION("""COMPUTED_VALUE"""),FALSE)</f>
        <v>0</v>
      </c>
      <c r="M1021" s="1" t="b">
        <f>IFERROR(__xludf.DUMMYFUNCTION("""COMPUTED_VALUE"""),FALSE)</f>
        <v>0</v>
      </c>
      <c r="N1021" s="1"/>
      <c r="O1021" s="1"/>
      <c r="P1021" s="1"/>
      <c r="Q1021" s="1"/>
      <c r="R1021" s="1"/>
      <c r="S1021" s="1"/>
      <c r="T1021" s="1"/>
      <c r="U1021" s="1"/>
      <c r="V1021" s="1"/>
      <c r="W1021" s="1"/>
      <c r="X1021" s="1"/>
      <c r="Y1021" s="1"/>
      <c r="Z1021" s="1"/>
    </row>
    <row r="1022" ht="15.75" customHeight="1">
      <c r="A1022" s="1"/>
      <c r="B1022" s="1"/>
      <c r="C1022" s="1"/>
      <c r="D1022" s="1"/>
      <c r="E1022" s="1"/>
      <c r="F1022" s="1"/>
      <c r="G1022" s="1"/>
      <c r="H1022" s="1"/>
      <c r="I1022" s="1"/>
      <c r="J1022" s="1" t="b">
        <f>IFERROR(__xludf.DUMMYFUNCTION("""COMPUTED_VALUE"""),FALSE)</f>
        <v>0</v>
      </c>
      <c r="K1022" s="1"/>
      <c r="L1022" s="1" t="b">
        <f>IFERROR(__xludf.DUMMYFUNCTION("""COMPUTED_VALUE"""),FALSE)</f>
        <v>0</v>
      </c>
      <c r="M1022" s="1" t="b">
        <f>IFERROR(__xludf.DUMMYFUNCTION("""COMPUTED_VALUE"""),FALSE)</f>
        <v>0</v>
      </c>
      <c r="N1022" s="1"/>
      <c r="O1022" s="1"/>
      <c r="P1022" s="1"/>
      <c r="Q1022" s="1"/>
      <c r="R1022" s="1"/>
      <c r="S1022" s="1"/>
      <c r="T1022" s="1"/>
      <c r="U1022" s="1"/>
      <c r="V1022" s="1"/>
      <c r="W1022" s="1"/>
      <c r="X1022" s="1"/>
      <c r="Y1022" s="1"/>
      <c r="Z1022" s="1"/>
    </row>
    <row r="1023" ht="15.75" customHeight="1">
      <c r="A1023" s="1"/>
      <c r="B1023" s="1"/>
      <c r="C1023" s="1"/>
      <c r="D1023" s="1"/>
      <c r="E1023" s="1"/>
      <c r="F1023" s="1"/>
      <c r="G1023" s="1"/>
      <c r="H1023" s="1"/>
      <c r="I1023" s="1"/>
      <c r="J1023" s="1" t="b">
        <f>IFERROR(__xludf.DUMMYFUNCTION("""COMPUTED_VALUE"""),FALSE)</f>
        <v>0</v>
      </c>
      <c r="K1023" s="1"/>
      <c r="L1023" s="1" t="b">
        <f>IFERROR(__xludf.DUMMYFUNCTION("""COMPUTED_VALUE"""),FALSE)</f>
        <v>0</v>
      </c>
      <c r="M1023" s="1" t="b">
        <f>IFERROR(__xludf.DUMMYFUNCTION("""COMPUTED_VALUE"""),FALSE)</f>
        <v>0</v>
      </c>
      <c r="N1023" s="1"/>
      <c r="O1023" s="1"/>
      <c r="P1023" s="1"/>
      <c r="Q1023" s="1"/>
      <c r="R1023" s="1"/>
      <c r="S1023" s="1"/>
      <c r="T1023" s="1"/>
      <c r="U1023" s="1"/>
      <c r="V1023" s="1"/>
      <c r="W1023" s="1"/>
      <c r="X1023" s="1"/>
      <c r="Y1023" s="1"/>
      <c r="Z1023" s="1"/>
    </row>
    <row r="1024" ht="15.75" customHeight="1">
      <c r="A1024" s="1"/>
      <c r="B1024" s="1"/>
      <c r="C1024" s="1"/>
      <c r="D1024" s="1"/>
      <c r="E1024" s="1"/>
      <c r="F1024" s="1"/>
      <c r="G1024" s="1"/>
      <c r="H1024" s="1"/>
      <c r="I1024" s="1"/>
      <c r="J1024" s="1" t="b">
        <f>IFERROR(__xludf.DUMMYFUNCTION("""COMPUTED_VALUE"""),FALSE)</f>
        <v>0</v>
      </c>
      <c r="K1024" s="1"/>
      <c r="L1024" s="1" t="b">
        <f>IFERROR(__xludf.DUMMYFUNCTION("""COMPUTED_VALUE"""),FALSE)</f>
        <v>0</v>
      </c>
      <c r="M1024" s="1" t="b">
        <f>IFERROR(__xludf.DUMMYFUNCTION("""COMPUTED_VALUE"""),FALSE)</f>
        <v>0</v>
      </c>
      <c r="N1024" s="1"/>
      <c r="O1024" s="1"/>
      <c r="P1024" s="1"/>
      <c r="Q1024" s="1"/>
      <c r="R1024" s="1"/>
      <c r="S1024" s="1"/>
      <c r="T1024" s="1"/>
      <c r="U1024" s="1"/>
      <c r="V1024" s="1"/>
      <c r="W1024" s="1"/>
      <c r="X1024" s="1"/>
      <c r="Y1024" s="1"/>
      <c r="Z1024" s="1"/>
    </row>
    <row r="1025" ht="15.75" customHeight="1">
      <c r="A1025" s="1"/>
      <c r="B1025" s="1"/>
      <c r="C1025" s="1"/>
      <c r="D1025" s="1"/>
      <c r="E1025" s="1"/>
      <c r="F1025" s="1"/>
      <c r="G1025" s="1"/>
      <c r="H1025" s="1"/>
      <c r="I1025" s="1"/>
      <c r="J1025" s="1" t="b">
        <f>IFERROR(__xludf.DUMMYFUNCTION("""COMPUTED_VALUE"""),FALSE)</f>
        <v>0</v>
      </c>
      <c r="K1025" s="1"/>
      <c r="L1025" s="1" t="b">
        <f>IFERROR(__xludf.DUMMYFUNCTION("""COMPUTED_VALUE"""),FALSE)</f>
        <v>0</v>
      </c>
      <c r="M1025" s="1" t="b">
        <f>IFERROR(__xludf.DUMMYFUNCTION("""COMPUTED_VALUE"""),FALSE)</f>
        <v>0</v>
      </c>
      <c r="N1025" s="1"/>
      <c r="O1025" s="1"/>
      <c r="P1025" s="1"/>
      <c r="Q1025" s="1"/>
      <c r="R1025" s="1"/>
      <c r="S1025" s="1"/>
      <c r="T1025" s="1"/>
      <c r="U1025" s="1"/>
      <c r="V1025" s="1"/>
      <c r="W1025" s="1"/>
      <c r="X1025" s="1"/>
      <c r="Y1025" s="1"/>
      <c r="Z1025" s="1"/>
    </row>
    <row r="1026" ht="15.75" customHeight="1">
      <c r="A1026" s="1"/>
      <c r="B1026" s="1"/>
      <c r="C1026" s="1"/>
      <c r="D1026" s="1"/>
      <c r="E1026" s="1"/>
      <c r="F1026" s="1"/>
      <c r="G1026" s="1"/>
      <c r="H1026" s="1"/>
      <c r="I1026" s="1"/>
      <c r="J1026" s="1" t="b">
        <f>IFERROR(__xludf.DUMMYFUNCTION("""COMPUTED_VALUE"""),FALSE)</f>
        <v>0</v>
      </c>
      <c r="K1026" s="1"/>
      <c r="L1026" s="1" t="b">
        <f>IFERROR(__xludf.DUMMYFUNCTION("""COMPUTED_VALUE"""),FALSE)</f>
        <v>0</v>
      </c>
      <c r="M1026" s="1" t="b">
        <f>IFERROR(__xludf.DUMMYFUNCTION("""COMPUTED_VALUE"""),FALSE)</f>
        <v>0</v>
      </c>
      <c r="N1026" s="1"/>
      <c r="O1026" s="1"/>
      <c r="P1026" s="1"/>
      <c r="Q1026" s="1"/>
      <c r="R1026" s="1"/>
      <c r="S1026" s="1"/>
      <c r="T1026" s="1"/>
      <c r="U1026" s="1"/>
      <c r="V1026" s="1"/>
      <c r="W1026" s="1"/>
      <c r="X1026" s="1"/>
      <c r="Y1026" s="1"/>
      <c r="Z1026" s="1"/>
    </row>
    <row r="1027" ht="15.75" customHeight="1">
      <c r="A1027" s="1"/>
      <c r="B1027" s="1"/>
      <c r="C1027" s="1"/>
      <c r="D1027" s="1"/>
      <c r="E1027" s="1"/>
      <c r="F1027" s="1"/>
      <c r="G1027" s="1"/>
      <c r="H1027" s="1"/>
      <c r="I1027" s="1"/>
      <c r="J1027" s="1" t="b">
        <f>IFERROR(__xludf.DUMMYFUNCTION("""COMPUTED_VALUE"""),FALSE)</f>
        <v>0</v>
      </c>
      <c r="K1027" s="1"/>
      <c r="L1027" s="1" t="b">
        <f>IFERROR(__xludf.DUMMYFUNCTION("""COMPUTED_VALUE"""),FALSE)</f>
        <v>0</v>
      </c>
      <c r="M1027" s="1" t="b">
        <f>IFERROR(__xludf.DUMMYFUNCTION("""COMPUTED_VALUE"""),FALSE)</f>
        <v>0</v>
      </c>
      <c r="N1027" s="1"/>
      <c r="O1027" s="1"/>
      <c r="P1027" s="1"/>
      <c r="Q1027" s="1"/>
      <c r="R1027" s="1"/>
      <c r="S1027" s="1"/>
      <c r="T1027" s="1"/>
      <c r="U1027" s="1"/>
      <c r="V1027" s="1"/>
      <c r="W1027" s="1"/>
      <c r="X1027" s="1"/>
      <c r="Y1027" s="1"/>
      <c r="Z1027" s="1"/>
    </row>
    <row r="1028" ht="15.75" customHeight="1">
      <c r="A1028" s="1"/>
      <c r="B1028" s="1"/>
      <c r="C1028" s="1"/>
      <c r="D1028" s="1"/>
      <c r="E1028" s="1"/>
      <c r="F1028" s="1"/>
      <c r="G1028" s="1"/>
      <c r="H1028" s="1"/>
      <c r="I1028" s="1"/>
      <c r="J1028" s="1" t="b">
        <f>IFERROR(__xludf.DUMMYFUNCTION("""COMPUTED_VALUE"""),FALSE)</f>
        <v>0</v>
      </c>
      <c r="K1028" s="1"/>
      <c r="L1028" s="1" t="b">
        <f>IFERROR(__xludf.DUMMYFUNCTION("""COMPUTED_VALUE"""),FALSE)</f>
        <v>0</v>
      </c>
      <c r="M1028" s="1" t="b">
        <f>IFERROR(__xludf.DUMMYFUNCTION("""COMPUTED_VALUE"""),FALSE)</f>
        <v>0</v>
      </c>
      <c r="N1028" s="1"/>
      <c r="O1028" s="1"/>
      <c r="P1028" s="1"/>
      <c r="Q1028" s="1"/>
      <c r="R1028" s="1"/>
      <c r="S1028" s="1"/>
      <c r="T1028" s="1"/>
      <c r="U1028" s="1"/>
      <c r="V1028" s="1"/>
      <c r="W1028" s="1"/>
      <c r="X1028" s="1"/>
      <c r="Y1028" s="1"/>
      <c r="Z1028" s="1"/>
    </row>
    <row r="1029" ht="15.75" customHeight="1">
      <c r="A1029" s="1"/>
      <c r="B1029" s="1"/>
      <c r="C1029" s="1"/>
      <c r="D1029" s="1"/>
      <c r="E1029" s="1"/>
      <c r="F1029" s="1"/>
      <c r="G1029" s="1"/>
      <c r="H1029" s="1"/>
      <c r="I1029" s="1"/>
      <c r="J1029" s="1" t="b">
        <f>IFERROR(__xludf.DUMMYFUNCTION("""COMPUTED_VALUE"""),FALSE)</f>
        <v>0</v>
      </c>
      <c r="K1029" s="1"/>
      <c r="L1029" s="1" t="b">
        <f>IFERROR(__xludf.DUMMYFUNCTION("""COMPUTED_VALUE"""),FALSE)</f>
        <v>0</v>
      </c>
      <c r="M1029" s="1" t="b">
        <f>IFERROR(__xludf.DUMMYFUNCTION("""COMPUTED_VALUE"""),FALSE)</f>
        <v>0</v>
      </c>
      <c r="N1029" s="1"/>
      <c r="O1029" s="1"/>
      <c r="P1029" s="1"/>
      <c r="Q1029" s="1"/>
      <c r="R1029" s="1"/>
      <c r="S1029" s="1"/>
      <c r="T1029" s="1"/>
      <c r="U1029" s="1"/>
      <c r="V1029" s="1"/>
      <c r="W1029" s="1"/>
      <c r="X1029" s="1"/>
      <c r="Y1029" s="1"/>
      <c r="Z1029" s="1"/>
    </row>
    <row r="1030" ht="15.75" customHeight="1">
      <c r="A1030" s="1"/>
      <c r="B1030" s="1"/>
      <c r="C1030" s="1"/>
      <c r="D1030" s="1"/>
      <c r="E1030" s="1"/>
      <c r="F1030" s="1"/>
      <c r="G1030" s="1"/>
      <c r="H1030" s="1"/>
      <c r="I1030" s="1"/>
      <c r="J1030" s="1" t="b">
        <f>IFERROR(__xludf.DUMMYFUNCTION("""COMPUTED_VALUE"""),FALSE)</f>
        <v>0</v>
      </c>
      <c r="K1030" s="1"/>
      <c r="L1030" s="1" t="b">
        <f>IFERROR(__xludf.DUMMYFUNCTION("""COMPUTED_VALUE"""),FALSE)</f>
        <v>0</v>
      </c>
      <c r="M1030" s="1" t="b">
        <f>IFERROR(__xludf.DUMMYFUNCTION("""COMPUTED_VALUE"""),FALSE)</f>
        <v>0</v>
      </c>
      <c r="N1030" s="1"/>
      <c r="O1030" s="1"/>
      <c r="P1030" s="1"/>
      <c r="Q1030" s="1"/>
      <c r="R1030" s="1"/>
      <c r="S1030" s="1"/>
      <c r="T1030" s="1"/>
      <c r="U1030" s="1"/>
      <c r="V1030" s="1"/>
      <c r="W1030" s="1"/>
      <c r="X1030" s="1"/>
      <c r="Y1030" s="1"/>
      <c r="Z1030" s="1"/>
    </row>
    <row r="1031" ht="15.75" customHeight="1">
      <c r="A1031" s="1"/>
      <c r="B1031" s="1"/>
      <c r="C1031" s="1"/>
      <c r="D1031" s="1"/>
      <c r="E1031" s="1"/>
      <c r="F1031" s="1"/>
      <c r="G1031" s="1"/>
      <c r="H1031" s="1"/>
      <c r="I1031" s="1"/>
      <c r="J1031" s="1" t="b">
        <f>IFERROR(__xludf.DUMMYFUNCTION("""COMPUTED_VALUE"""),FALSE)</f>
        <v>0</v>
      </c>
      <c r="K1031" s="1"/>
      <c r="L1031" s="1" t="b">
        <f>IFERROR(__xludf.DUMMYFUNCTION("""COMPUTED_VALUE"""),FALSE)</f>
        <v>0</v>
      </c>
      <c r="M1031" s="1" t="b">
        <f>IFERROR(__xludf.DUMMYFUNCTION("""COMPUTED_VALUE"""),FALSE)</f>
        <v>0</v>
      </c>
      <c r="N1031" s="1"/>
      <c r="O1031" s="1"/>
      <c r="P1031" s="1"/>
      <c r="Q1031" s="1"/>
      <c r="R1031" s="1"/>
      <c r="S1031" s="1"/>
      <c r="T1031" s="1"/>
      <c r="U1031" s="1"/>
      <c r="V1031" s="1"/>
      <c r="W1031" s="1"/>
      <c r="X1031" s="1"/>
      <c r="Y1031" s="1"/>
      <c r="Z1031" s="1"/>
    </row>
    <row r="1032" ht="15.75" customHeight="1">
      <c r="A1032" s="1"/>
      <c r="B1032" s="1"/>
      <c r="C1032" s="1"/>
      <c r="D1032" s="1"/>
      <c r="E1032" s="1"/>
      <c r="F1032" s="1"/>
      <c r="G1032" s="1"/>
      <c r="H1032" s="1"/>
      <c r="I1032" s="1"/>
      <c r="J1032" s="1" t="b">
        <f>IFERROR(__xludf.DUMMYFUNCTION("""COMPUTED_VALUE"""),FALSE)</f>
        <v>0</v>
      </c>
      <c r="K1032" s="1"/>
      <c r="L1032" s="1" t="b">
        <f>IFERROR(__xludf.DUMMYFUNCTION("""COMPUTED_VALUE"""),FALSE)</f>
        <v>0</v>
      </c>
      <c r="M1032" s="1" t="b">
        <f>IFERROR(__xludf.DUMMYFUNCTION("""COMPUTED_VALUE"""),FALSE)</f>
        <v>0</v>
      </c>
      <c r="N1032" s="1"/>
      <c r="O1032" s="1"/>
      <c r="P1032" s="1"/>
      <c r="Q1032" s="1"/>
      <c r="R1032" s="1"/>
      <c r="S1032" s="1"/>
      <c r="T1032" s="1"/>
      <c r="U1032" s="1"/>
      <c r="V1032" s="1"/>
      <c r="W1032" s="1"/>
      <c r="X1032" s="1"/>
      <c r="Y1032" s="1"/>
      <c r="Z1032" s="1"/>
    </row>
    <row r="1033" ht="15.75" customHeight="1">
      <c r="A1033" s="1"/>
      <c r="B1033" s="1"/>
      <c r="C1033" s="1"/>
      <c r="D1033" s="1"/>
      <c r="E1033" s="1"/>
      <c r="F1033" s="1"/>
      <c r="G1033" s="1"/>
      <c r="H1033" s="1"/>
      <c r="I1033" s="1"/>
      <c r="J1033" s="1" t="b">
        <f>IFERROR(__xludf.DUMMYFUNCTION("""COMPUTED_VALUE"""),FALSE)</f>
        <v>0</v>
      </c>
      <c r="K1033" s="1"/>
      <c r="L1033" s="1" t="b">
        <f>IFERROR(__xludf.DUMMYFUNCTION("""COMPUTED_VALUE"""),FALSE)</f>
        <v>0</v>
      </c>
      <c r="M1033" s="1" t="b">
        <f>IFERROR(__xludf.DUMMYFUNCTION("""COMPUTED_VALUE"""),FALSE)</f>
        <v>0</v>
      </c>
      <c r="N1033" s="1"/>
      <c r="O1033" s="1"/>
      <c r="P1033" s="1"/>
      <c r="Q1033" s="1"/>
      <c r="R1033" s="1"/>
      <c r="S1033" s="1"/>
      <c r="T1033" s="1"/>
      <c r="U1033" s="1"/>
      <c r="V1033" s="1"/>
      <c r="W1033" s="1"/>
      <c r="X1033" s="1"/>
      <c r="Y1033" s="1"/>
      <c r="Z1033" s="1"/>
    </row>
    <row r="1034" ht="15.75" customHeight="1">
      <c r="A1034" s="1"/>
      <c r="B1034" s="1"/>
      <c r="C1034" s="1"/>
      <c r="D1034" s="1"/>
      <c r="E1034" s="1"/>
      <c r="F1034" s="1"/>
      <c r="G1034" s="1"/>
      <c r="H1034" s="1"/>
      <c r="I1034" s="1"/>
      <c r="J1034" s="1" t="b">
        <f>IFERROR(__xludf.DUMMYFUNCTION("""COMPUTED_VALUE"""),FALSE)</f>
        <v>0</v>
      </c>
      <c r="K1034" s="1"/>
      <c r="L1034" s="1" t="b">
        <f>IFERROR(__xludf.DUMMYFUNCTION("""COMPUTED_VALUE"""),FALSE)</f>
        <v>0</v>
      </c>
      <c r="M1034" s="1" t="b">
        <f>IFERROR(__xludf.DUMMYFUNCTION("""COMPUTED_VALUE"""),FALSE)</f>
        <v>0</v>
      </c>
      <c r="N1034" s="1"/>
      <c r="O1034" s="1"/>
      <c r="P1034" s="1"/>
      <c r="Q1034" s="1"/>
      <c r="R1034" s="1"/>
      <c r="S1034" s="1"/>
      <c r="T1034" s="1"/>
      <c r="U1034" s="1"/>
      <c r="V1034" s="1"/>
      <c r="W1034" s="1"/>
      <c r="X1034" s="1"/>
      <c r="Y1034" s="1"/>
      <c r="Z1034" s="1"/>
    </row>
    <row r="1035" ht="15.75" customHeight="1">
      <c r="A1035" s="1"/>
      <c r="B1035" s="1"/>
      <c r="C1035" s="1"/>
      <c r="D1035" s="1"/>
      <c r="E1035" s="1"/>
      <c r="F1035" s="1"/>
      <c r="G1035" s="1"/>
      <c r="H1035" s="1"/>
      <c r="I1035" s="1"/>
      <c r="J1035" s="1" t="b">
        <f>IFERROR(__xludf.DUMMYFUNCTION("""COMPUTED_VALUE"""),FALSE)</f>
        <v>0</v>
      </c>
      <c r="K1035" s="1"/>
      <c r="L1035" s="1" t="b">
        <f>IFERROR(__xludf.DUMMYFUNCTION("""COMPUTED_VALUE"""),FALSE)</f>
        <v>0</v>
      </c>
      <c r="M1035" s="1" t="b">
        <f>IFERROR(__xludf.DUMMYFUNCTION("""COMPUTED_VALUE"""),FALSE)</f>
        <v>0</v>
      </c>
      <c r="N1035" s="1"/>
      <c r="O1035" s="1"/>
      <c r="P1035" s="1"/>
      <c r="Q1035" s="1"/>
      <c r="R1035" s="1"/>
      <c r="S1035" s="1"/>
      <c r="T1035" s="1"/>
      <c r="U1035" s="1"/>
      <c r="V1035" s="1"/>
      <c r="W1035" s="1"/>
      <c r="X1035" s="1"/>
      <c r="Y1035" s="1"/>
      <c r="Z1035" s="1"/>
    </row>
    <row r="1036" ht="15.75" customHeight="1">
      <c r="A1036" s="1"/>
      <c r="B1036" s="1"/>
      <c r="C1036" s="1"/>
      <c r="D1036" s="1"/>
      <c r="E1036" s="1"/>
      <c r="F1036" s="1"/>
      <c r="G1036" s="1"/>
      <c r="H1036" s="1"/>
      <c r="I1036" s="1"/>
      <c r="J1036" s="1" t="b">
        <f>IFERROR(__xludf.DUMMYFUNCTION("""COMPUTED_VALUE"""),FALSE)</f>
        <v>0</v>
      </c>
      <c r="K1036" s="1"/>
      <c r="L1036" s="1" t="b">
        <f>IFERROR(__xludf.DUMMYFUNCTION("""COMPUTED_VALUE"""),FALSE)</f>
        <v>0</v>
      </c>
      <c r="M1036" s="1" t="b">
        <f>IFERROR(__xludf.DUMMYFUNCTION("""COMPUTED_VALUE"""),FALSE)</f>
        <v>0</v>
      </c>
      <c r="N1036" s="1"/>
      <c r="O1036" s="1"/>
      <c r="P1036" s="1"/>
      <c r="Q1036" s="1"/>
      <c r="R1036" s="1"/>
      <c r="S1036" s="1"/>
      <c r="T1036" s="1"/>
      <c r="U1036" s="1"/>
      <c r="V1036" s="1"/>
      <c r="W1036" s="1"/>
      <c r="X1036" s="1"/>
      <c r="Y1036" s="1"/>
      <c r="Z1036" s="1"/>
    </row>
    <row r="1037" ht="15.75" customHeight="1">
      <c r="A1037" s="1"/>
      <c r="B1037" s="1"/>
      <c r="C1037" s="1"/>
      <c r="D1037" s="1"/>
      <c r="E1037" s="1"/>
      <c r="F1037" s="1"/>
      <c r="G1037" s="1"/>
      <c r="H1037" s="1"/>
      <c r="I1037" s="1"/>
      <c r="J1037" s="1" t="b">
        <f>IFERROR(__xludf.DUMMYFUNCTION("""COMPUTED_VALUE"""),FALSE)</f>
        <v>0</v>
      </c>
      <c r="K1037" s="1"/>
      <c r="L1037" s="1" t="b">
        <f>IFERROR(__xludf.DUMMYFUNCTION("""COMPUTED_VALUE"""),FALSE)</f>
        <v>0</v>
      </c>
      <c r="M1037" s="1" t="b">
        <f>IFERROR(__xludf.DUMMYFUNCTION("""COMPUTED_VALUE"""),FALSE)</f>
        <v>0</v>
      </c>
      <c r="N1037" s="1"/>
      <c r="O1037" s="1"/>
      <c r="P1037" s="1"/>
      <c r="Q1037" s="1"/>
      <c r="R1037" s="1"/>
      <c r="S1037" s="1"/>
      <c r="T1037" s="1"/>
      <c r="U1037" s="1"/>
      <c r="V1037" s="1"/>
      <c r="W1037" s="1"/>
      <c r="X1037" s="1"/>
      <c r="Y1037" s="1"/>
      <c r="Z1037" s="1"/>
    </row>
    <row r="1038" ht="15.75" customHeight="1">
      <c r="A1038" s="1"/>
      <c r="B1038" s="1"/>
      <c r="C1038" s="1"/>
      <c r="D1038" s="1"/>
      <c r="E1038" s="1"/>
      <c r="F1038" s="1"/>
      <c r="G1038" s="1"/>
      <c r="H1038" s="1"/>
      <c r="I1038" s="1"/>
      <c r="J1038" s="1" t="b">
        <f>IFERROR(__xludf.DUMMYFUNCTION("""COMPUTED_VALUE"""),FALSE)</f>
        <v>0</v>
      </c>
      <c r="K1038" s="1"/>
      <c r="L1038" s="1" t="b">
        <f>IFERROR(__xludf.DUMMYFUNCTION("""COMPUTED_VALUE"""),FALSE)</f>
        <v>0</v>
      </c>
      <c r="M1038" s="1" t="b">
        <f>IFERROR(__xludf.DUMMYFUNCTION("""COMPUTED_VALUE"""),FALSE)</f>
        <v>0</v>
      </c>
      <c r="N1038" s="1"/>
      <c r="O1038" s="1"/>
      <c r="P1038" s="1"/>
      <c r="Q1038" s="1"/>
      <c r="R1038" s="1"/>
      <c r="S1038" s="1"/>
      <c r="T1038" s="1"/>
      <c r="U1038" s="1"/>
      <c r="V1038" s="1"/>
      <c r="W1038" s="1"/>
      <c r="X1038" s="1"/>
      <c r="Y1038" s="1"/>
      <c r="Z1038" s="1"/>
    </row>
    <row r="1039" ht="15.75" customHeight="1">
      <c r="A1039" s="1"/>
      <c r="B1039" s="1"/>
      <c r="C1039" s="1"/>
      <c r="D1039" s="1"/>
      <c r="E1039" s="1"/>
      <c r="F1039" s="1"/>
      <c r="G1039" s="1"/>
      <c r="H1039" s="1"/>
      <c r="I1039" s="1"/>
      <c r="J1039" s="1" t="b">
        <f>IFERROR(__xludf.DUMMYFUNCTION("""COMPUTED_VALUE"""),FALSE)</f>
        <v>0</v>
      </c>
      <c r="K1039" s="1"/>
      <c r="L1039" s="1" t="b">
        <f>IFERROR(__xludf.DUMMYFUNCTION("""COMPUTED_VALUE"""),FALSE)</f>
        <v>0</v>
      </c>
      <c r="M1039" s="1" t="b">
        <f>IFERROR(__xludf.DUMMYFUNCTION("""COMPUTED_VALUE"""),FALSE)</f>
        <v>0</v>
      </c>
      <c r="N1039" s="1"/>
      <c r="O1039" s="1"/>
      <c r="P1039" s="1"/>
      <c r="Q1039" s="1"/>
      <c r="R1039" s="1"/>
      <c r="S1039" s="1"/>
      <c r="T1039" s="1"/>
      <c r="U1039" s="1"/>
      <c r="V1039" s="1"/>
      <c r="W1039" s="1"/>
      <c r="X1039" s="1"/>
      <c r="Y1039" s="1"/>
      <c r="Z1039" s="1"/>
    </row>
    <row r="1040" ht="15.75" customHeight="1">
      <c r="A1040" s="1"/>
      <c r="B1040" s="1"/>
      <c r="C1040" s="1"/>
      <c r="D1040" s="1"/>
      <c r="E1040" s="1"/>
      <c r="F1040" s="1"/>
      <c r="G1040" s="1"/>
      <c r="H1040" s="1"/>
      <c r="I1040" s="1"/>
      <c r="J1040" s="1" t="b">
        <f>IFERROR(__xludf.DUMMYFUNCTION("""COMPUTED_VALUE"""),FALSE)</f>
        <v>0</v>
      </c>
      <c r="K1040" s="1"/>
      <c r="L1040" s="1" t="b">
        <f>IFERROR(__xludf.DUMMYFUNCTION("""COMPUTED_VALUE"""),FALSE)</f>
        <v>0</v>
      </c>
      <c r="M1040" s="1" t="b">
        <f>IFERROR(__xludf.DUMMYFUNCTION("""COMPUTED_VALUE"""),FALSE)</f>
        <v>0</v>
      </c>
      <c r="N1040" s="1"/>
      <c r="O1040" s="1"/>
      <c r="P1040" s="1"/>
      <c r="Q1040" s="1"/>
      <c r="R1040" s="1"/>
      <c r="S1040" s="1"/>
      <c r="T1040" s="1"/>
      <c r="U1040" s="1"/>
      <c r="V1040" s="1"/>
      <c r="W1040" s="1"/>
      <c r="X1040" s="1"/>
      <c r="Y1040" s="1"/>
      <c r="Z1040" s="1"/>
    </row>
    <row r="1041" ht="15.75" customHeight="1">
      <c r="A1041" s="1"/>
      <c r="B1041" s="1"/>
      <c r="C1041" s="1"/>
      <c r="D1041" s="1"/>
      <c r="E1041" s="1"/>
      <c r="F1041" s="1"/>
      <c r="G1041" s="1"/>
      <c r="H1041" s="1"/>
      <c r="I1041" s="1"/>
      <c r="J1041" s="1" t="b">
        <f>IFERROR(__xludf.DUMMYFUNCTION("""COMPUTED_VALUE"""),FALSE)</f>
        <v>0</v>
      </c>
      <c r="K1041" s="1"/>
      <c r="L1041" s="1" t="b">
        <f>IFERROR(__xludf.DUMMYFUNCTION("""COMPUTED_VALUE"""),FALSE)</f>
        <v>0</v>
      </c>
      <c r="M1041" s="1" t="b">
        <f>IFERROR(__xludf.DUMMYFUNCTION("""COMPUTED_VALUE"""),FALSE)</f>
        <v>0</v>
      </c>
      <c r="N1041" s="1"/>
      <c r="O1041" s="1"/>
      <c r="P1041" s="1"/>
      <c r="Q1041" s="1"/>
      <c r="R1041" s="1"/>
      <c r="S1041" s="1"/>
      <c r="T1041" s="1"/>
      <c r="U1041" s="1"/>
      <c r="V1041" s="1"/>
      <c r="W1041" s="1"/>
      <c r="X1041" s="1"/>
      <c r="Y1041" s="1"/>
      <c r="Z1041" s="1"/>
    </row>
    <row r="1042" ht="15.75" customHeight="1">
      <c r="A1042" s="1"/>
      <c r="B1042" s="1"/>
      <c r="C1042" s="1"/>
      <c r="D1042" s="1"/>
      <c r="E1042" s="1"/>
      <c r="F1042" s="1"/>
      <c r="G1042" s="1"/>
      <c r="H1042" s="1"/>
      <c r="I1042" s="1"/>
      <c r="J1042" s="1" t="b">
        <f>IFERROR(__xludf.DUMMYFUNCTION("""COMPUTED_VALUE"""),FALSE)</f>
        <v>0</v>
      </c>
      <c r="K1042" s="1"/>
      <c r="L1042" s="1" t="b">
        <f>IFERROR(__xludf.DUMMYFUNCTION("""COMPUTED_VALUE"""),FALSE)</f>
        <v>0</v>
      </c>
      <c r="M1042" s="1" t="b">
        <f>IFERROR(__xludf.DUMMYFUNCTION("""COMPUTED_VALUE"""),FALSE)</f>
        <v>0</v>
      </c>
      <c r="N1042" s="1"/>
      <c r="O1042" s="1"/>
      <c r="P1042" s="1"/>
      <c r="Q1042" s="1"/>
      <c r="R1042" s="1"/>
      <c r="S1042" s="1"/>
      <c r="T1042" s="1"/>
      <c r="U1042" s="1"/>
      <c r="V1042" s="1"/>
      <c r="W1042" s="1"/>
      <c r="X1042" s="1"/>
      <c r="Y1042" s="1"/>
      <c r="Z1042" s="1"/>
    </row>
    <row r="1043" ht="15.75" customHeight="1">
      <c r="A1043" s="1"/>
      <c r="B1043" s="1"/>
      <c r="C1043" s="1"/>
      <c r="D1043" s="1"/>
      <c r="E1043" s="1"/>
      <c r="F1043" s="1"/>
      <c r="G1043" s="1"/>
      <c r="H1043" s="1"/>
      <c r="I1043" s="1"/>
      <c r="J1043" s="1" t="b">
        <f>IFERROR(__xludf.DUMMYFUNCTION("""COMPUTED_VALUE"""),FALSE)</f>
        <v>0</v>
      </c>
      <c r="K1043" s="1"/>
      <c r="L1043" s="1" t="b">
        <f>IFERROR(__xludf.DUMMYFUNCTION("""COMPUTED_VALUE"""),FALSE)</f>
        <v>0</v>
      </c>
      <c r="M1043" s="1" t="b">
        <f>IFERROR(__xludf.DUMMYFUNCTION("""COMPUTED_VALUE"""),FALSE)</f>
        <v>0</v>
      </c>
      <c r="N1043" s="1"/>
      <c r="O1043" s="1"/>
      <c r="P1043" s="1"/>
      <c r="Q1043" s="1"/>
      <c r="R1043" s="1"/>
      <c r="S1043" s="1"/>
      <c r="T1043" s="1"/>
      <c r="U1043" s="1"/>
      <c r="V1043" s="1"/>
      <c r="W1043" s="1"/>
      <c r="X1043" s="1"/>
      <c r="Y1043" s="1"/>
      <c r="Z1043" s="1"/>
    </row>
    <row r="1044" ht="15.75" customHeight="1">
      <c r="A1044" s="1"/>
      <c r="B1044" s="1"/>
      <c r="C1044" s="1"/>
      <c r="D1044" s="1"/>
      <c r="E1044" s="1"/>
      <c r="F1044" s="1"/>
      <c r="G1044" s="1"/>
      <c r="H1044" s="1"/>
      <c r="I1044" s="1"/>
      <c r="J1044" s="1" t="b">
        <f>IFERROR(__xludf.DUMMYFUNCTION("""COMPUTED_VALUE"""),FALSE)</f>
        <v>0</v>
      </c>
      <c r="K1044" s="1"/>
      <c r="L1044" s="1" t="b">
        <f>IFERROR(__xludf.DUMMYFUNCTION("""COMPUTED_VALUE"""),FALSE)</f>
        <v>0</v>
      </c>
      <c r="M1044" s="1" t="b">
        <f>IFERROR(__xludf.DUMMYFUNCTION("""COMPUTED_VALUE"""),FALSE)</f>
        <v>0</v>
      </c>
      <c r="N1044" s="1"/>
      <c r="O1044" s="1"/>
      <c r="P1044" s="1"/>
      <c r="Q1044" s="1"/>
      <c r="R1044" s="1"/>
      <c r="S1044" s="1"/>
      <c r="T1044" s="1"/>
      <c r="U1044" s="1"/>
      <c r="V1044" s="1"/>
      <c r="W1044" s="1"/>
      <c r="X1044" s="1"/>
      <c r="Y1044" s="1"/>
      <c r="Z1044" s="1"/>
    </row>
    <row r="1045" ht="15.75" customHeight="1">
      <c r="A1045" s="1"/>
      <c r="B1045" s="1"/>
      <c r="C1045" s="1"/>
      <c r="D1045" s="1"/>
      <c r="E1045" s="1"/>
      <c r="F1045" s="1"/>
      <c r="G1045" s="1"/>
      <c r="H1045" s="1"/>
      <c r="I1045" s="1"/>
      <c r="J1045" s="1" t="b">
        <f>IFERROR(__xludf.DUMMYFUNCTION("""COMPUTED_VALUE"""),FALSE)</f>
        <v>0</v>
      </c>
      <c r="K1045" s="1"/>
      <c r="L1045" s="1" t="b">
        <f>IFERROR(__xludf.DUMMYFUNCTION("""COMPUTED_VALUE"""),FALSE)</f>
        <v>0</v>
      </c>
      <c r="M1045" s="1" t="b">
        <f>IFERROR(__xludf.DUMMYFUNCTION("""COMPUTED_VALUE"""),FALSE)</f>
        <v>0</v>
      </c>
      <c r="N1045" s="1"/>
      <c r="O1045" s="1"/>
      <c r="P1045" s="1"/>
      <c r="Q1045" s="1"/>
      <c r="R1045" s="1"/>
      <c r="S1045" s="1"/>
      <c r="T1045" s="1"/>
      <c r="U1045" s="1"/>
      <c r="V1045" s="1"/>
      <c r="W1045" s="1"/>
      <c r="X1045" s="1"/>
      <c r="Y1045" s="1"/>
      <c r="Z1045" s="1"/>
    </row>
    <row r="1046" ht="15.75" customHeight="1">
      <c r="A1046" s="1"/>
      <c r="B1046" s="1"/>
      <c r="C1046" s="1"/>
      <c r="D1046" s="1"/>
      <c r="E1046" s="1"/>
      <c r="F1046" s="1"/>
      <c r="G1046" s="1"/>
      <c r="H1046" s="1"/>
      <c r="I1046" s="1"/>
      <c r="J1046" s="1" t="b">
        <f>IFERROR(__xludf.DUMMYFUNCTION("""COMPUTED_VALUE"""),FALSE)</f>
        <v>0</v>
      </c>
      <c r="K1046" s="1"/>
      <c r="L1046" s="1" t="b">
        <f>IFERROR(__xludf.DUMMYFUNCTION("""COMPUTED_VALUE"""),FALSE)</f>
        <v>0</v>
      </c>
      <c r="M1046" s="1" t="b">
        <f>IFERROR(__xludf.DUMMYFUNCTION("""COMPUTED_VALUE"""),FALSE)</f>
        <v>0</v>
      </c>
      <c r="N1046" s="1"/>
      <c r="O1046" s="1"/>
      <c r="P1046" s="1"/>
      <c r="Q1046" s="1"/>
      <c r="R1046" s="1"/>
      <c r="S1046" s="1"/>
      <c r="T1046" s="1"/>
      <c r="U1046" s="1"/>
      <c r="V1046" s="1"/>
      <c r="W1046" s="1"/>
      <c r="X1046" s="1"/>
      <c r="Y1046" s="1"/>
      <c r="Z1046" s="1"/>
    </row>
    <row r="1047" ht="15.75" customHeight="1">
      <c r="A1047" s="1"/>
      <c r="B1047" s="1"/>
      <c r="C1047" s="1"/>
      <c r="D1047" s="1"/>
      <c r="E1047" s="1"/>
      <c r="F1047" s="1"/>
      <c r="G1047" s="1"/>
      <c r="H1047" s="1"/>
      <c r="I1047" s="1"/>
      <c r="J1047" s="1" t="b">
        <f>IFERROR(__xludf.DUMMYFUNCTION("""COMPUTED_VALUE"""),FALSE)</f>
        <v>0</v>
      </c>
      <c r="K1047" s="1"/>
      <c r="L1047" s="1" t="b">
        <f>IFERROR(__xludf.DUMMYFUNCTION("""COMPUTED_VALUE"""),FALSE)</f>
        <v>0</v>
      </c>
      <c r="M1047" s="1" t="b">
        <f>IFERROR(__xludf.DUMMYFUNCTION("""COMPUTED_VALUE"""),FALSE)</f>
        <v>0</v>
      </c>
      <c r="N1047" s="1"/>
      <c r="O1047" s="1"/>
      <c r="P1047" s="1"/>
      <c r="Q1047" s="1"/>
      <c r="R1047" s="1"/>
      <c r="S1047" s="1"/>
      <c r="T1047" s="1"/>
      <c r="U1047" s="1"/>
      <c r="V1047" s="1"/>
      <c r="W1047" s="1"/>
      <c r="X1047" s="1"/>
      <c r="Y1047" s="1"/>
      <c r="Z1047" s="1"/>
    </row>
    <row r="1048" ht="15.75" customHeight="1">
      <c r="A1048" s="1"/>
      <c r="B1048" s="1"/>
      <c r="C1048" s="1"/>
      <c r="D1048" s="1"/>
      <c r="E1048" s="1"/>
      <c r="F1048" s="1"/>
      <c r="G1048" s="1"/>
      <c r="H1048" s="1"/>
      <c r="I1048" s="1"/>
      <c r="J1048" s="1" t="b">
        <f>IFERROR(__xludf.DUMMYFUNCTION("""COMPUTED_VALUE"""),FALSE)</f>
        <v>0</v>
      </c>
      <c r="K1048" s="1"/>
      <c r="L1048" s="1" t="b">
        <f>IFERROR(__xludf.DUMMYFUNCTION("""COMPUTED_VALUE"""),FALSE)</f>
        <v>0</v>
      </c>
      <c r="M1048" s="1" t="b">
        <f>IFERROR(__xludf.DUMMYFUNCTION("""COMPUTED_VALUE"""),FALSE)</f>
        <v>0</v>
      </c>
      <c r="N1048" s="1"/>
      <c r="O1048" s="1"/>
      <c r="P1048" s="1"/>
      <c r="Q1048" s="1"/>
      <c r="R1048" s="1"/>
      <c r="S1048" s="1"/>
      <c r="T1048" s="1"/>
      <c r="U1048" s="1"/>
      <c r="V1048" s="1"/>
      <c r="W1048" s="1"/>
      <c r="X1048" s="1"/>
      <c r="Y1048" s="1"/>
      <c r="Z1048" s="1"/>
    </row>
    <row r="1049" ht="15.75" customHeight="1">
      <c r="A1049" s="1"/>
      <c r="B1049" s="1"/>
      <c r="C1049" s="1"/>
      <c r="D1049" s="1"/>
      <c r="E1049" s="1"/>
      <c r="F1049" s="1"/>
      <c r="G1049" s="1"/>
      <c r="H1049" s="1"/>
      <c r="I1049" s="1"/>
      <c r="J1049" s="1" t="b">
        <f>IFERROR(__xludf.DUMMYFUNCTION("""COMPUTED_VALUE"""),FALSE)</f>
        <v>0</v>
      </c>
      <c r="K1049" s="1"/>
      <c r="L1049" s="1" t="b">
        <f>IFERROR(__xludf.DUMMYFUNCTION("""COMPUTED_VALUE"""),FALSE)</f>
        <v>0</v>
      </c>
      <c r="M1049" s="1" t="b">
        <f>IFERROR(__xludf.DUMMYFUNCTION("""COMPUTED_VALUE"""),FALSE)</f>
        <v>0</v>
      </c>
      <c r="N1049" s="1"/>
      <c r="O1049" s="1"/>
      <c r="P1049" s="1"/>
      <c r="Q1049" s="1"/>
      <c r="R1049" s="1"/>
      <c r="S1049" s="1"/>
      <c r="T1049" s="1"/>
      <c r="U1049" s="1"/>
      <c r="V1049" s="1"/>
      <c r="W1049" s="1"/>
      <c r="X1049" s="1"/>
      <c r="Y1049" s="1"/>
      <c r="Z1049" s="1"/>
    </row>
    <row r="1050" ht="15.75" customHeight="1">
      <c r="A1050" s="1"/>
      <c r="B1050" s="1"/>
      <c r="C1050" s="1"/>
      <c r="D1050" s="1"/>
      <c r="E1050" s="1"/>
      <c r="F1050" s="1"/>
      <c r="G1050" s="1"/>
      <c r="H1050" s="1"/>
      <c r="I1050" s="1"/>
      <c r="J1050" s="1" t="b">
        <f>IFERROR(__xludf.DUMMYFUNCTION("""COMPUTED_VALUE"""),FALSE)</f>
        <v>0</v>
      </c>
      <c r="K1050" s="1"/>
      <c r="L1050" s="1" t="b">
        <f>IFERROR(__xludf.DUMMYFUNCTION("""COMPUTED_VALUE"""),FALSE)</f>
        <v>0</v>
      </c>
      <c r="M1050" s="1" t="b">
        <f>IFERROR(__xludf.DUMMYFUNCTION("""COMPUTED_VALUE"""),FALSE)</f>
        <v>0</v>
      </c>
      <c r="N1050" s="1"/>
      <c r="O1050" s="1"/>
      <c r="P1050" s="1"/>
      <c r="Q1050" s="1"/>
      <c r="R1050" s="1"/>
      <c r="S1050" s="1"/>
      <c r="T1050" s="1"/>
      <c r="U1050" s="1"/>
      <c r="V1050" s="1"/>
      <c r="W1050" s="1"/>
      <c r="X1050" s="1"/>
      <c r="Y1050" s="1"/>
      <c r="Z1050" s="1"/>
    </row>
    <row r="1051" ht="15.75" customHeight="1">
      <c r="A1051" s="1"/>
      <c r="B1051" s="1"/>
      <c r="C1051" s="1"/>
      <c r="D1051" s="1"/>
      <c r="E1051" s="1"/>
      <c r="F1051" s="1"/>
      <c r="G1051" s="1"/>
      <c r="H1051" s="1"/>
      <c r="I1051" s="1"/>
      <c r="J1051" s="1" t="b">
        <f>IFERROR(__xludf.DUMMYFUNCTION("""COMPUTED_VALUE"""),FALSE)</f>
        <v>0</v>
      </c>
      <c r="K1051" s="1"/>
      <c r="L1051" s="1" t="b">
        <f>IFERROR(__xludf.DUMMYFUNCTION("""COMPUTED_VALUE"""),FALSE)</f>
        <v>0</v>
      </c>
      <c r="M1051" s="1" t="b">
        <f>IFERROR(__xludf.DUMMYFUNCTION("""COMPUTED_VALUE"""),FALSE)</f>
        <v>0</v>
      </c>
      <c r="N1051" s="1"/>
      <c r="O1051" s="1"/>
      <c r="P1051" s="1"/>
      <c r="Q1051" s="1"/>
      <c r="R1051" s="1"/>
      <c r="S1051" s="1"/>
      <c r="T1051" s="1"/>
      <c r="U1051" s="1"/>
      <c r="V1051" s="1"/>
      <c r="W1051" s="1"/>
      <c r="X1051" s="1"/>
      <c r="Y1051" s="1"/>
      <c r="Z1051" s="1"/>
    </row>
    <row r="1052" ht="15.75" customHeight="1">
      <c r="A1052" s="1"/>
      <c r="B1052" s="1"/>
      <c r="C1052" s="1"/>
      <c r="D1052" s="1"/>
      <c r="E1052" s="1"/>
      <c r="F1052" s="1"/>
      <c r="G1052" s="1"/>
      <c r="H1052" s="1"/>
      <c r="I1052" s="1"/>
      <c r="J1052" s="1" t="b">
        <f>IFERROR(__xludf.DUMMYFUNCTION("""COMPUTED_VALUE"""),FALSE)</f>
        <v>0</v>
      </c>
      <c r="K1052" s="1"/>
      <c r="L1052" s="1" t="b">
        <f>IFERROR(__xludf.DUMMYFUNCTION("""COMPUTED_VALUE"""),FALSE)</f>
        <v>0</v>
      </c>
      <c r="M1052" s="1" t="b">
        <f>IFERROR(__xludf.DUMMYFUNCTION("""COMPUTED_VALUE"""),FALSE)</f>
        <v>0</v>
      </c>
      <c r="N1052" s="1"/>
      <c r="O1052" s="1"/>
      <c r="P1052" s="1"/>
      <c r="Q1052" s="1"/>
      <c r="R1052" s="1"/>
      <c r="S1052" s="1"/>
      <c r="T1052" s="1"/>
      <c r="U1052" s="1"/>
      <c r="V1052" s="1"/>
      <c r="W1052" s="1"/>
      <c r="X1052" s="1"/>
      <c r="Y1052" s="1"/>
      <c r="Z1052" s="1"/>
    </row>
    <row r="1053" ht="15.75" customHeight="1">
      <c r="A1053" s="1"/>
      <c r="B1053" s="1"/>
      <c r="C1053" s="1"/>
      <c r="D1053" s="1"/>
      <c r="E1053" s="1"/>
      <c r="F1053" s="1"/>
      <c r="G1053" s="1"/>
      <c r="H1053" s="1"/>
      <c r="I1053" s="1"/>
      <c r="J1053" s="1" t="b">
        <f>IFERROR(__xludf.DUMMYFUNCTION("""COMPUTED_VALUE"""),FALSE)</f>
        <v>0</v>
      </c>
      <c r="K1053" s="1"/>
      <c r="L1053" s="1" t="b">
        <f>IFERROR(__xludf.DUMMYFUNCTION("""COMPUTED_VALUE"""),FALSE)</f>
        <v>0</v>
      </c>
      <c r="M1053" s="1" t="b">
        <f>IFERROR(__xludf.DUMMYFUNCTION("""COMPUTED_VALUE"""),FALSE)</f>
        <v>0</v>
      </c>
      <c r="N1053" s="1"/>
      <c r="O1053" s="1"/>
      <c r="P1053" s="1"/>
      <c r="Q1053" s="1"/>
      <c r="R1053" s="1"/>
      <c r="S1053" s="1"/>
      <c r="T1053" s="1"/>
      <c r="U1053" s="1"/>
      <c r="V1053" s="1"/>
      <c r="W1053" s="1"/>
      <c r="X1053" s="1"/>
      <c r="Y1053" s="1"/>
      <c r="Z1053" s="1"/>
    </row>
    <row r="1054" ht="15.75" customHeight="1">
      <c r="A1054" s="1"/>
      <c r="B1054" s="1"/>
      <c r="C1054" s="1"/>
      <c r="D1054" s="1"/>
      <c r="E1054" s="1"/>
      <c r="F1054" s="1"/>
      <c r="G1054" s="1"/>
      <c r="H1054" s="1"/>
      <c r="I1054" s="1"/>
      <c r="J1054" s="1" t="b">
        <f>IFERROR(__xludf.DUMMYFUNCTION("""COMPUTED_VALUE"""),FALSE)</f>
        <v>0</v>
      </c>
      <c r="K1054" s="1"/>
      <c r="L1054" s="1" t="b">
        <f>IFERROR(__xludf.DUMMYFUNCTION("""COMPUTED_VALUE"""),FALSE)</f>
        <v>0</v>
      </c>
      <c r="M1054" s="1" t="b">
        <f>IFERROR(__xludf.DUMMYFUNCTION("""COMPUTED_VALUE"""),FALSE)</f>
        <v>0</v>
      </c>
      <c r="N1054" s="1"/>
      <c r="O1054" s="1"/>
      <c r="P1054" s="1"/>
      <c r="Q1054" s="1"/>
      <c r="R1054" s="1"/>
      <c r="S1054" s="1"/>
      <c r="T1054" s="1"/>
      <c r="U1054" s="1"/>
      <c r="V1054" s="1"/>
      <c r="W1054" s="1"/>
      <c r="X1054" s="1"/>
      <c r="Y1054" s="1"/>
      <c r="Z1054" s="1"/>
    </row>
    <row r="1055" ht="15.75" customHeight="1">
      <c r="A1055" s="1"/>
      <c r="B1055" s="1"/>
      <c r="C1055" s="1"/>
      <c r="D1055" s="1"/>
      <c r="E1055" s="1"/>
      <c r="F1055" s="1"/>
      <c r="G1055" s="1"/>
      <c r="H1055" s="1"/>
      <c r="I1055" s="1"/>
      <c r="J1055" s="1" t="b">
        <f>IFERROR(__xludf.DUMMYFUNCTION("""COMPUTED_VALUE"""),FALSE)</f>
        <v>0</v>
      </c>
      <c r="K1055" s="1"/>
      <c r="L1055" s="1" t="b">
        <f>IFERROR(__xludf.DUMMYFUNCTION("""COMPUTED_VALUE"""),FALSE)</f>
        <v>0</v>
      </c>
      <c r="M1055" s="1" t="b">
        <f>IFERROR(__xludf.DUMMYFUNCTION("""COMPUTED_VALUE"""),FALSE)</f>
        <v>0</v>
      </c>
      <c r="N1055" s="1"/>
      <c r="O1055" s="1"/>
      <c r="P1055" s="1"/>
      <c r="Q1055" s="1"/>
      <c r="R1055" s="1"/>
      <c r="S1055" s="1"/>
      <c r="T1055" s="1"/>
      <c r="U1055" s="1"/>
      <c r="V1055" s="1"/>
      <c r="W1055" s="1"/>
      <c r="X1055" s="1"/>
      <c r="Y1055" s="1"/>
      <c r="Z1055" s="1"/>
    </row>
    <row r="1056" ht="15.75" customHeight="1">
      <c r="A1056" s="1"/>
      <c r="B1056" s="1"/>
      <c r="C1056" s="1"/>
      <c r="D1056" s="1"/>
      <c r="E1056" s="1"/>
      <c r="F1056" s="1"/>
      <c r="G1056" s="1"/>
      <c r="H1056" s="1"/>
      <c r="I1056" s="1"/>
      <c r="J1056" s="1" t="b">
        <f>IFERROR(__xludf.DUMMYFUNCTION("""COMPUTED_VALUE"""),FALSE)</f>
        <v>0</v>
      </c>
      <c r="K1056" s="1"/>
      <c r="L1056" s="1" t="b">
        <f>IFERROR(__xludf.DUMMYFUNCTION("""COMPUTED_VALUE"""),FALSE)</f>
        <v>0</v>
      </c>
      <c r="M1056" s="1" t="b">
        <f>IFERROR(__xludf.DUMMYFUNCTION("""COMPUTED_VALUE"""),FALSE)</f>
        <v>0</v>
      </c>
      <c r="N1056" s="1"/>
      <c r="O1056" s="1"/>
      <c r="P1056" s="1"/>
      <c r="Q1056" s="1"/>
      <c r="R1056" s="1"/>
      <c r="S1056" s="1"/>
      <c r="T1056" s="1"/>
      <c r="U1056" s="1"/>
      <c r="V1056" s="1"/>
      <c r="W1056" s="1"/>
      <c r="X1056" s="1"/>
      <c r="Y1056" s="1"/>
      <c r="Z1056" s="1"/>
    </row>
    <row r="1057" ht="15.75" customHeight="1">
      <c r="A1057" s="1"/>
      <c r="B1057" s="1"/>
      <c r="C1057" s="1"/>
      <c r="D1057" s="1"/>
      <c r="E1057" s="1"/>
      <c r="F1057" s="1"/>
      <c r="G1057" s="1"/>
      <c r="H1057" s="1"/>
      <c r="I1057" s="1"/>
      <c r="J1057" s="1" t="b">
        <f>IFERROR(__xludf.DUMMYFUNCTION("""COMPUTED_VALUE"""),FALSE)</f>
        <v>0</v>
      </c>
      <c r="K1057" s="1"/>
      <c r="L1057" s="1" t="b">
        <f>IFERROR(__xludf.DUMMYFUNCTION("""COMPUTED_VALUE"""),FALSE)</f>
        <v>0</v>
      </c>
      <c r="M1057" s="1" t="b">
        <f>IFERROR(__xludf.DUMMYFUNCTION("""COMPUTED_VALUE"""),FALSE)</f>
        <v>0</v>
      </c>
      <c r="N1057" s="1"/>
      <c r="O1057" s="1"/>
      <c r="P1057" s="1"/>
      <c r="Q1057" s="1"/>
      <c r="R1057" s="1"/>
      <c r="S1057" s="1"/>
      <c r="T1057" s="1"/>
      <c r="U1057" s="1"/>
      <c r="V1057" s="1"/>
      <c r="W1057" s="1"/>
      <c r="X1057" s="1"/>
      <c r="Y1057" s="1"/>
      <c r="Z1057" s="1"/>
    </row>
    <row r="1058" ht="15.75" customHeight="1">
      <c r="A1058" s="1"/>
      <c r="B1058" s="1"/>
      <c r="C1058" s="1"/>
      <c r="D1058" s="1"/>
      <c r="E1058" s="1"/>
      <c r="F1058" s="1"/>
      <c r="G1058" s="1"/>
      <c r="H1058" s="1"/>
      <c r="I1058" s="1"/>
      <c r="J1058" s="1" t="b">
        <f>IFERROR(__xludf.DUMMYFUNCTION("""COMPUTED_VALUE"""),FALSE)</f>
        <v>0</v>
      </c>
      <c r="K1058" s="1"/>
      <c r="L1058" s="1" t="b">
        <f>IFERROR(__xludf.DUMMYFUNCTION("""COMPUTED_VALUE"""),FALSE)</f>
        <v>0</v>
      </c>
      <c r="M1058" s="1" t="b">
        <f>IFERROR(__xludf.DUMMYFUNCTION("""COMPUTED_VALUE"""),FALSE)</f>
        <v>0</v>
      </c>
      <c r="N1058" s="1"/>
      <c r="O1058" s="1"/>
      <c r="P1058" s="1"/>
      <c r="Q1058" s="1"/>
      <c r="R1058" s="1"/>
      <c r="S1058" s="1"/>
      <c r="T1058" s="1"/>
      <c r="U1058" s="1"/>
      <c r="V1058" s="1"/>
      <c r="W1058" s="1"/>
      <c r="X1058" s="1"/>
      <c r="Y1058" s="1"/>
      <c r="Z1058" s="1"/>
    </row>
    <row r="1059" ht="15.75" customHeight="1">
      <c r="A1059" s="1"/>
      <c r="B1059" s="1"/>
      <c r="C1059" s="1"/>
      <c r="D1059" s="1"/>
      <c r="E1059" s="1"/>
      <c r="F1059" s="1"/>
      <c r="G1059" s="1"/>
      <c r="H1059" s="1"/>
      <c r="I1059" s="1"/>
      <c r="J1059" s="1" t="b">
        <f>IFERROR(__xludf.DUMMYFUNCTION("""COMPUTED_VALUE"""),FALSE)</f>
        <v>0</v>
      </c>
      <c r="K1059" s="1"/>
      <c r="L1059" s="1" t="b">
        <f>IFERROR(__xludf.DUMMYFUNCTION("""COMPUTED_VALUE"""),FALSE)</f>
        <v>0</v>
      </c>
      <c r="M1059" s="1" t="b">
        <f>IFERROR(__xludf.DUMMYFUNCTION("""COMPUTED_VALUE"""),FALSE)</f>
        <v>0</v>
      </c>
      <c r="N1059" s="1"/>
      <c r="O1059" s="1"/>
      <c r="P1059" s="1"/>
      <c r="Q1059" s="1"/>
      <c r="R1059" s="1"/>
      <c r="S1059" s="1"/>
      <c r="T1059" s="1"/>
      <c r="U1059" s="1"/>
      <c r="V1059" s="1"/>
      <c r="W1059" s="1"/>
      <c r="X1059" s="1"/>
      <c r="Y1059" s="1"/>
      <c r="Z1059" s="1"/>
    </row>
    <row r="1060" ht="15.75" customHeight="1">
      <c r="A1060" s="1"/>
      <c r="B1060" s="1"/>
      <c r="C1060" s="1"/>
      <c r="D1060" s="1"/>
      <c r="E1060" s="1"/>
      <c r="F1060" s="1"/>
      <c r="G1060" s="1"/>
      <c r="H1060" s="1"/>
      <c r="I1060" s="1"/>
      <c r="J1060" s="1" t="b">
        <f>IFERROR(__xludf.DUMMYFUNCTION("""COMPUTED_VALUE"""),FALSE)</f>
        <v>0</v>
      </c>
      <c r="K1060" s="1"/>
      <c r="L1060" s="1" t="b">
        <f>IFERROR(__xludf.DUMMYFUNCTION("""COMPUTED_VALUE"""),FALSE)</f>
        <v>0</v>
      </c>
      <c r="M1060" s="1" t="b">
        <f>IFERROR(__xludf.DUMMYFUNCTION("""COMPUTED_VALUE"""),FALSE)</f>
        <v>0</v>
      </c>
      <c r="N1060" s="1"/>
      <c r="O1060" s="1"/>
      <c r="P1060" s="1"/>
      <c r="Q1060" s="1"/>
      <c r="R1060" s="1"/>
      <c r="S1060" s="1"/>
      <c r="T1060" s="1"/>
      <c r="U1060" s="1"/>
      <c r="V1060" s="1"/>
      <c r="W1060" s="1"/>
      <c r="X1060" s="1"/>
      <c r="Y1060" s="1"/>
      <c r="Z1060" s="1"/>
    </row>
    <row r="1061" ht="15.75" customHeight="1">
      <c r="A1061" s="1"/>
      <c r="B1061" s="1"/>
      <c r="C1061" s="1"/>
      <c r="D1061" s="1"/>
      <c r="E1061" s="1"/>
      <c r="F1061" s="1"/>
      <c r="G1061" s="1"/>
      <c r="H1061" s="1"/>
      <c r="I1061" s="1"/>
      <c r="J1061" s="1" t="b">
        <f>IFERROR(__xludf.DUMMYFUNCTION("""COMPUTED_VALUE"""),FALSE)</f>
        <v>0</v>
      </c>
      <c r="K1061" s="1"/>
      <c r="L1061" s="1" t="b">
        <f>IFERROR(__xludf.DUMMYFUNCTION("""COMPUTED_VALUE"""),FALSE)</f>
        <v>0</v>
      </c>
      <c r="M1061" s="1" t="b">
        <f>IFERROR(__xludf.DUMMYFUNCTION("""COMPUTED_VALUE"""),FALSE)</f>
        <v>0</v>
      </c>
      <c r="N1061" s="1"/>
      <c r="O1061" s="1"/>
      <c r="P1061" s="1"/>
      <c r="Q1061" s="1"/>
      <c r="R1061" s="1"/>
      <c r="S1061" s="1"/>
      <c r="T1061" s="1"/>
      <c r="U1061" s="1"/>
      <c r="V1061" s="1"/>
      <c r="W1061" s="1"/>
      <c r="X1061" s="1"/>
      <c r="Y1061" s="1"/>
      <c r="Z1061" s="1"/>
    </row>
    <row r="1062" ht="15.75" customHeight="1">
      <c r="A1062" s="1"/>
      <c r="B1062" s="1"/>
      <c r="C1062" s="1"/>
      <c r="D1062" s="1"/>
      <c r="E1062" s="1"/>
      <c r="F1062" s="1"/>
      <c r="G1062" s="1"/>
      <c r="H1062" s="1"/>
      <c r="I1062" s="1"/>
      <c r="J1062" s="1" t="b">
        <f>IFERROR(__xludf.DUMMYFUNCTION("""COMPUTED_VALUE"""),FALSE)</f>
        <v>0</v>
      </c>
      <c r="K1062" s="1"/>
      <c r="L1062" s="1" t="b">
        <f>IFERROR(__xludf.DUMMYFUNCTION("""COMPUTED_VALUE"""),FALSE)</f>
        <v>0</v>
      </c>
      <c r="M1062" s="1" t="b">
        <f>IFERROR(__xludf.DUMMYFUNCTION("""COMPUTED_VALUE"""),FALSE)</f>
        <v>0</v>
      </c>
      <c r="N1062" s="1"/>
      <c r="O1062" s="1"/>
      <c r="P1062" s="1"/>
      <c r="Q1062" s="1"/>
      <c r="R1062" s="1"/>
      <c r="S1062" s="1"/>
      <c r="T1062" s="1"/>
      <c r="U1062" s="1"/>
      <c r="V1062" s="1"/>
      <c r="W1062" s="1"/>
      <c r="X1062" s="1"/>
      <c r="Y1062" s="1"/>
      <c r="Z1062" s="1"/>
    </row>
    <row r="1063" ht="15.75" customHeight="1">
      <c r="A1063" s="1"/>
      <c r="B1063" s="1"/>
      <c r="C1063" s="1"/>
      <c r="D1063" s="1"/>
      <c r="E1063" s="1"/>
      <c r="F1063" s="1"/>
      <c r="G1063" s="1"/>
      <c r="H1063" s="1"/>
      <c r="I1063" s="1"/>
      <c r="J1063" s="1" t="b">
        <f>IFERROR(__xludf.DUMMYFUNCTION("""COMPUTED_VALUE"""),FALSE)</f>
        <v>0</v>
      </c>
      <c r="K1063" s="1"/>
      <c r="L1063" s="1" t="b">
        <f>IFERROR(__xludf.DUMMYFUNCTION("""COMPUTED_VALUE"""),FALSE)</f>
        <v>0</v>
      </c>
      <c r="M1063" s="1" t="b">
        <f>IFERROR(__xludf.DUMMYFUNCTION("""COMPUTED_VALUE"""),FALSE)</f>
        <v>0</v>
      </c>
      <c r="N1063" s="1"/>
      <c r="O1063" s="1"/>
      <c r="P1063" s="1"/>
      <c r="Q1063" s="1"/>
      <c r="R1063" s="1"/>
      <c r="S1063" s="1"/>
      <c r="T1063" s="1"/>
      <c r="U1063" s="1"/>
      <c r="V1063" s="1"/>
      <c r="W1063" s="1"/>
      <c r="X1063" s="1"/>
      <c r="Y1063" s="1"/>
      <c r="Z1063" s="1"/>
    </row>
    <row r="1064" ht="15.75" customHeight="1">
      <c r="A1064" s="1"/>
      <c r="B1064" s="1"/>
      <c r="C1064" s="1"/>
      <c r="D1064" s="1"/>
      <c r="E1064" s="1"/>
      <c r="F1064" s="1"/>
      <c r="G1064" s="1"/>
      <c r="H1064" s="1"/>
      <c r="I1064" s="1"/>
      <c r="J1064" s="1" t="b">
        <f>IFERROR(__xludf.DUMMYFUNCTION("""COMPUTED_VALUE"""),FALSE)</f>
        <v>0</v>
      </c>
      <c r="K1064" s="1"/>
      <c r="L1064" s="1" t="b">
        <f>IFERROR(__xludf.DUMMYFUNCTION("""COMPUTED_VALUE"""),FALSE)</f>
        <v>0</v>
      </c>
      <c r="M1064" s="1" t="b">
        <f>IFERROR(__xludf.DUMMYFUNCTION("""COMPUTED_VALUE"""),FALSE)</f>
        <v>0</v>
      </c>
      <c r="N1064" s="1"/>
      <c r="O1064" s="1"/>
      <c r="P1064" s="1"/>
      <c r="Q1064" s="1"/>
      <c r="R1064" s="1"/>
      <c r="S1064" s="1"/>
      <c r="T1064" s="1"/>
      <c r="U1064" s="1"/>
      <c r="V1064" s="1"/>
      <c r="W1064" s="1"/>
      <c r="X1064" s="1"/>
      <c r="Y1064" s="1"/>
      <c r="Z1064" s="1"/>
    </row>
    <row r="1065" ht="15.75" customHeight="1">
      <c r="A1065" s="1"/>
      <c r="B1065" s="1"/>
      <c r="C1065" s="1"/>
      <c r="D1065" s="1"/>
      <c r="E1065" s="1"/>
      <c r="F1065" s="1"/>
      <c r="G1065" s="1"/>
      <c r="H1065" s="1"/>
      <c r="I1065" s="1"/>
      <c r="J1065" s="1" t="b">
        <f>IFERROR(__xludf.DUMMYFUNCTION("""COMPUTED_VALUE"""),FALSE)</f>
        <v>0</v>
      </c>
      <c r="K1065" s="1"/>
      <c r="L1065" s="1" t="b">
        <f>IFERROR(__xludf.DUMMYFUNCTION("""COMPUTED_VALUE"""),FALSE)</f>
        <v>0</v>
      </c>
      <c r="M1065" s="1" t="b">
        <f>IFERROR(__xludf.DUMMYFUNCTION("""COMPUTED_VALUE"""),FALSE)</f>
        <v>0</v>
      </c>
      <c r="N1065" s="1"/>
      <c r="O1065" s="1"/>
      <c r="P1065" s="1"/>
      <c r="Q1065" s="1"/>
      <c r="R1065" s="1"/>
      <c r="S1065" s="1"/>
      <c r="T1065" s="1"/>
      <c r="U1065" s="1"/>
      <c r="V1065" s="1"/>
      <c r="W1065" s="1"/>
      <c r="X1065" s="1"/>
      <c r="Y1065" s="1"/>
      <c r="Z1065" s="1"/>
    </row>
    <row r="1066" ht="15.75" customHeight="1">
      <c r="A1066" s="1"/>
      <c r="B1066" s="1"/>
      <c r="C1066" s="1"/>
      <c r="D1066" s="1"/>
      <c r="E1066" s="1"/>
      <c r="F1066" s="1"/>
      <c r="G1066" s="1"/>
      <c r="H1066" s="1"/>
      <c r="I1066" s="1"/>
      <c r="J1066" s="1" t="b">
        <f>IFERROR(__xludf.DUMMYFUNCTION("""COMPUTED_VALUE"""),FALSE)</f>
        <v>0</v>
      </c>
      <c r="K1066" s="1"/>
      <c r="L1066" s="1" t="b">
        <f>IFERROR(__xludf.DUMMYFUNCTION("""COMPUTED_VALUE"""),FALSE)</f>
        <v>0</v>
      </c>
      <c r="M1066" s="1" t="b">
        <f>IFERROR(__xludf.DUMMYFUNCTION("""COMPUTED_VALUE"""),FALSE)</f>
        <v>0</v>
      </c>
      <c r="N1066" s="1"/>
      <c r="O1066" s="1"/>
      <c r="P1066" s="1"/>
      <c r="Q1066" s="1"/>
      <c r="R1066" s="1"/>
      <c r="S1066" s="1"/>
      <c r="T1066" s="1"/>
      <c r="U1066" s="1"/>
      <c r="V1066" s="1"/>
      <c r="W1066" s="1"/>
      <c r="X1066" s="1"/>
      <c r="Y1066" s="1"/>
      <c r="Z1066" s="1"/>
    </row>
    <row r="1067" ht="15.75" customHeight="1">
      <c r="A1067" s="1"/>
      <c r="B1067" s="1"/>
      <c r="C1067" s="1"/>
      <c r="D1067" s="1"/>
      <c r="E1067" s="1"/>
      <c r="F1067" s="1"/>
      <c r="G1067" s="1"/>
      <c r="H1067" s="1"/>
      <c r="I1067" s="1"/>
      <c r="J1067" s="1" t="b">
        <f>IFERROR(__xludf.DUMMYFUNCTION("""COMPUTED_VALUE"""),FALSE)</f>
        <v>0</v>
      </c>
      <c r="K1067" s="1"/>
      <c r="L1067" s="1" t="b">
        <f>IFERROR(__xludf.DUMMYFUNCTION("""COMPUTED_VALUE"""),FALSE)</f>
        <v>0</v>
      </c>
      <c r="M1067" s="1" t="b">
        <f>IFERROR(__xludf.DUMMYFUNCTION("""COMPUTED_VALUE"""),FALSE)</f>
        <v>0</v>
      </c>
      <c r="N1067" s="1"/>
      <c r="O1067" s="1"/>
      <c r="P1067" s="1"/>
      <c r="Q1067" s="1"/>
      <c r="R1067" s="1"/>
      <c r="S1067" s="1"/>
      <c r="T1067" s="1"/>
      <c r="U1067" s="1"/>
      <c r="V1067" s="1"/>
      <c r="W1067" s="1"/>
      <c r="X1067" s="1"/>
      <c r="Y1067" s="1"/>
      <c r="Z1067" s="1"/>
    </row>
    <row r="1068" ht="15.75" customHeight="1">
      <c r="A1068" s="1"/>
      <c r="B1068" s="1"/>
      <c r="C1068" s="1"/>
      <c r="D1068" s="1"/>
      <c r="E1068" s="1"/>
      <c r="F1068" s="1"/>
      <c r="G1068" s="1"/>
      <c r="H1068" s="1"/>
      <c r="I1068" s="1"/>
      <c r="J1068" s="1" t="b">
        <f>IFERROR(__xludf.DUMMYFUNCTION("""COMPUTED_VALUE"""),FALSE)</f>
        <v>0</v>
      </c>
      <c r="K1068" s="1"/>
      <c r="L1068" s="1" t="b">
        <f>IFERROR(__xludf.DUMMYFUNCTION("""COMPUTED_VALUE"""),FALSE)</f>
        <v>0</v>
      </c>
      <c r="M1068" s="1" t="b">
        <f>IFERROR(__xludf.DUMMYFUNCTION("""COMPUTED_VALUE"""),FALSE)</f>
        <v>0</v>
      </c>
      <c r="N1068" s="1"/>
      <c r="O1068" s="1"/>
      <c r="P1068" s="1"/>
      <c r="Q1068" s="1"/>
      <c r="R1068" s="1"/>
      <c r="S1068" s="1"/>
      <c r="T1068" s="1"/>
      <c r="U1068" s="1"/>
      <c r="V1068" s="1"/>
      <c r="W1068" s="1"/>
      <c r="X1068" s="1"/>
      <c r="Y1068" s="1"/>
      <c r="Z1068" s="1"/>
    </row>
    <row r="1069" ht="15.75" customHeight="1">
      <c r="A1069" s="1"/>
      <c r="B1069" s="1"/>
      <c r="C1069" s="1"/>
      <c r="D1069" s="1"/>
      <c r="E1069" s="1"/>
      <c r="F1069" s="1"/>
      <c r="G1069" s="1"/>
      <c r="H1069" s="1"/>
      <c r="I1069" s="1"/>
      <c r="J1069" s="1" t="b">
        <f>IFERROR(__xludf.DUMMYFUNCTION("""COMPUTED_VALUE"""),FALSE)</f>
        <v>0</v>
      </c>
      <c r="K1069" s="1"/>
      <c r="L1069" s="1" t="b">
        <f>IFERROR(__xludf.DUMMYFUNCTION("""COMPUTED_VALUE"""),FALSE)</f>
        <v>0</v>
      </c>
      <c r="M1069" s="1" t="b">
        <f>IFERROR(__xludf.DUMMYFUNCTION("""COMPUTED_VALUE"""),FALSE)</f>
        <v>0</v>
      </c>
      <c r="N1069" s="1"/>
      <c r="O1069" s="1"/>
      <c r="P1069" s="1"/>
      <c r="Q1069" s="1"/>
      <c r="R1069" s="1"/>
      <c r="S1069" s="1"/>
      <c r="T1069" s="1"/>
      <c r="U1069" s="1"/>
      <c r="V1069" s="1"/>
      <c r="W1069" s="1"/>
      <c r="X1069" s="1"/>
      <c r="Y1069" s="1"/>
      <c r="Z1069" s="1"/>
    </row>
    <row r="1070" ht="15.75" customHeight="1">
      <c r="A1070" s="1"/>
      <c r="B1070" s="1"/>
      <c r="C1070" s="1"/>
      <c r="D1070" s="1"/>
      <c r="E1070" s="1"/>
      <c r="F1070" s="1"/>
      <c r="G1070" s="1"/>
      <c r="H1070" s="1"/>
      <c r="I1070" s="1"/>
      <c r="J1070" s="1" t="b">
        <f>IFERROR(__xludf.DUMMYFUNCTION("""COMPUTED_VALUE"""),FALSE)</f>
        <v>0</v>
      </c>
      <c r="K1070" s="1"/>
      <c r="L1070" s="1" t="b">
        <f>IFERROR(__xludf.DUMMYFUNCTION("""COMPUTED_VALUE"""),FALSE)</f>
        <v>0</v>
      </c>
      <c r="M1070" s="1" t="b">
        <f>IFERROR(__xludf.DUMMYFUNCTION("""COMPUTED_VALUE"""),FALSE)</f>
        <v>0</v>
      </c>
      <c r="N1070" s="1"/>
      <c r="O1070" s="1"/>
      <c r="P1070" s="1"/>
      <c r="Q1070" s="1"/>
      <c r="R1070" s="1"/>
      <c r="S1070" s="1"/>
      <c r="T1070" s="1"/>
      <c r="U1070" s="1"/>
      <c r="V1070" s="1"/>
      <c r="W1070" s="1"/>
      <c r="X1070" s="1"/>
      <c r="Y1070" s="1"/>
      <c r="Z1070" s="1"/>
    </row>
    <row r="1071" ht="15.75" customHeight="1">
      <c r="A1071" s="1"/>
      <c r="B1071" s="1"/>
      <c r="C1071" s="1"/>
      <c r="D1071" s="1"/>
      <c r="E1071" s="1"/>
      <c r="F1071" s="1"/>
      <c r="G1071" s="1"/>
      <c r="H1071" s="1"/>
      <c r="I1071" s="1"/>
      <c r="J1071" s="1" t="b">
        <f>IFERROR(__xludf.DUMMYFUNCTION("""COMPUTED_VALUE"""),FALSE)</f>
        <v>0</v>
      </c>
      <c r="K1071" s="1"/>
      <c r="L1071" s="1" t="b">
        <f>IFERROR(__xludf.DUMMYFUNCTION("""COMPUTED_VALUE"""),FALSE)</f>
        <v>0</v>
      </c>
      <c r="M1071" s="1" t="b">
        <f>IFERROR(__xludf.DUMMYFUNCTION("""COMPUTED_VALUE"""),FALSE)</f>
        <v>0</v>
      </c>
      <c r="N1071" s="1"/>
      <c r="O1071" s="1"/>
      <c r="P1071" s="1"/>
      <c r="Q1071" s="1"/>
      <c r="R1071" s="1"/>
      <c r="S1071" s="1"/>
      <c r="T1071" s="1"/>
      <c r="U1071" s="1"/>
      <c r="V1071" s="1"/>
      <c r="W1071" s="1"/>
      <c r="X1071" s="1"/>
      <c r="Y1071" s="1"/>
      <c r="Z1071" s="1"/>
    </row>
    <row r="1072" ht="15.75" customHeight="1">
      <c r="A1072" s="1"/>
      <c r="B1072" s="1"/>
      <c r="C1072" s="1"/>
      <c r="D1072" s="1"/>
      <c r="E1072" s="1"/>
      <c r="F1072" s="1"/>
      <c r="G1072" s="1"/>
      <c r="H1072" s="1"/>
      <c r="I1072" s="1"/>
      <c r="J1072" s="1" t="b">
        <f>IFERROR(__xludf.DUMMYFUNCTION("""COMPUTED_VALUE"""),FALSE)</f>
        <v>0</v>
      </c>
      <c r="K1072" s="1"/>
      <c r="L1072" s="1" t="b">
        <f>IFERROR(__xludf.DUMMYFUNCTION("""COMPUTED_VALUE"""),FALSE)</f>
        <v>0</v>
      </c>
      <c r="M1072" s="1" t="b">
        <f>IFERROR(__xludf.DUMMYFUNCTION("""COMPUTED_VALUE"""),FALSE)</f>
        <v>0</v>
      </c>
      <c r="N1072" s="1"/>
      <c r="O1072" s="1"/>
      <c r="P1072" s="1"/>
      <c r="Q1072" s="1"/>
      <c r="R1072" s="1"/>
      <c r="S1072" s="1"/>
      <c r="T1072" s="1"/>
      <c r="U1072" s="1"/>
      <c r="V1072" s="1"/>
      <c r="W1072" s="1"/>
      <c r="X1072" s="1"/>
      <c r="Y1072" s="1"/>
      <c r="Z1072" s="1"/>
    </row>
    <row r="1073" ht="15.75" customHeight="1">
      <c r="A1073" s="1"/>
      <c r="B1073" s="1"/>
      <c r="C1073" s="1"/>
      <c r="D1073" s="1"/>
      <c r="E1073" s="1"/>
      <c r="F1073" s="1"/>
      <c r="G1073" s="1"/>
      <c r="H1073" s="1"/>
      <c r="I1073" s="1"/>
      <c r="J1073" s="1" t="b">
        <f>IFERROR(__xludf.DUMMYFUNCTION("""COMPUTED_VALUE"""),FALSE)</f>
        <v>0</v>
      </c>
      <c r="K1073" s="1"/>
      <c r="L1073" s="1" t="b">
        <f>IFERROR(__xludf.DUMMYFUNCTION("""COMPUTED_VALUE"""),FALSE)</f>
        <v>0</v>
      </c>
      <c r="M1073" s="1" t="b">
        <f>IFERROR(__xludf.DUMMYFUNCTION("""COMPUTED_VALUE"""),FALSE)</f>
        <v>0</v>
      </c>
      <c r="N1073" s="1"/>
      <c r="O1073" s="1"/>
      <c r="P1073" s="1"/>
      <c r="Q1073" s="1"/>
      <c r="R1073" s="1"/>
      <c r="S1073" s="1"/>
      <c r="T1073" s="1"/>
      <c r="U1073" s="1"/>
      <c r="V1073" s="1"/>
      <c r="W1073" s="1"/>
      <c r="X1073" s="1"/>
      <c r="Y1073" s="1"/>
      <c r="Z1073" s="1"/>
    </row>
    <row r="1074" ht="15.75" customHeight="1">
      <c r="A1074" s="1"/>
      <c r="B1074" s="1"/>
      <c r="C1074" s="1"/>
      <c r="D1074" s="1"/>
      <c r="E1074" s="1"/>
      <c r="F1074" s="1"/>
      <c r="G1074" s="1"/>
      <c r="H1074" s="1"/>
      <c r="I1074" s="1"/>
      <c r="J1074" s="1" t="b">
        <f>IFERROR(__xludf.DUMMYFUNCTION("""COMPUTED_VALUE"""),FALSE)</f>
        <v>0</v>
      </c>
      <c r="K1074" s="1"/>
      <c r="L1074" s="1" t="b">
        <f>IFERROR(__xludf.DUMMYFUNCTION("""COMPUTED_VALUE"""),FALSE)</f>
        <v>0</v>
      </c>
      <c r="M1074" s="1" t="b">
        <f>IFERROR(__xludf.DUMMYFUNCTION("""COMPUTED_VALUE"""),FALSE)</f>
        <v>0</v>
      </c>
      <c r="N1074" s="1"/>
      <c r="O1074" s="1"/>
      <c r="P1074" s="1"/>
      <c r="Q1074" s="1"/>
      <c r="R1074" s="1"/>
      <c r="S1074" s="1"/>
      <c r="T1074" s="1"/>
      <c r="U1074" s="1"/>
      <c r="V1074" s="1"/>
      <c r="W1074" s="1"/>
      <c r="X1074" s="1"/>
      <c r="Y1074" s="1"/>
      <c r="Z1074" s="1"/>
    </row>
    <row r="1075" ht="15.75" customHeight="1">
      <c r="A1075" s="1"/>
      <c r="B1075" s="1"/>
      <c r="C1075" s="1"/>
      <c r="D1075" s="1"/>
      <c r="E1075" s="1"/>
      <c r="F1075" s="1"/>
      <c r="G1075" s="1"/>
      <c r="H1075" s="1"/>
      <c r="I1075" s="1"/>
      <c r="J1075" s="1" t="b">
        <f>IFERROR(__xludf.DUMMYFUNCTION("""COMPUTED_VALUE"""),FALSE)</f>
        <v>0</v>
      </c>
      <c r="K1075" s="1"/>
      <c r="L1075" s="1" t="b">
        <f>IFERROR(__xludf.DUMMYFUNCTION("""COMPUTED_VALUE"""),FALSE)</f>
        <v>0</v>
      </c>
      <c r="M1075" s="1" t="b">
        <f>IFERROR(__xludf.DUMMYFUNCTION("""COMPUTED_VALUE"""),FALSE)</f>
        <v>0</v>
      </c>
      <c r="N1075" s="1"/>
      <c r="O1075" s="1"/>
      <c r="P1075" s="1"/>
      <c r="Q1075" s="1"/>
      <c r="R1075" s="1"/>
      <c r="S1075" s="1"/>
      <c r="T1075" s="1"/>
      <c r="U1075" s="1"/>
      <c r="V1075" s="1"/>
      <c r="W1075" s="1"/>
      <c r="X1075" s="1"/>
      <c r="Y1075" s="1"/>
      <c r="Z1075" s="1"/>
    </row>
    <row r="1076" ht="15.75" customHeight="1">
      <c r="A1076" s="1"/>
      <c r="B1076" s="1"/>
      <c r="C1076" s="1"/>
      <c r="D1076" s="1"/>
      <c r="E1076" s="1"/>
      <c r="F1076" s="1"/>
      <c r="G1076" s="1"/>
      <c r="H1076" s="1"/>
      <c r="I1076" s="1"/>
      <c r="J1076" s="1" t="b">
        <f>IFERROR(__xludf.DUMMYFUNCTION("""COMPUTED_VALUE"""),FALSE)</f>
        <v>0</v>
      </c>
      <c r="K1076" s="1"/>
      <c r="L1076" s="1" t="b">
        <f>IFERROR(__xludf.DUMMYFUNCTION("""COMPUTED_VALUE"""),FALSE)</f>
        <v>0</v>
      </c>
      <c r="M1076" s="1" t="b">
        <f>IFERROR(__xludf.DUMMYFUNCTION("""COMPUTED_VALUE"""),FALSE)</f>
        <v>0</v>
      </c>
      <c r="N1076" s="1"/>
      <c r="O1076" s="1"/>
      <c r="P1076" s="1"/>
      <c r="Q1076" s="1"/>
      <c r="R1076" s="1"/>
      <c r="S1076" s="1"/>
      <c r="T1076" s="1"/>
      <c r="U1076" s="1"/>
      <c r="V1076" s="1"/>
      <c r="W1076" s="1"/>
      <c r="X1076" s="1"/>
      <c r="Y1076" s="1"/>
      <c r="Z1076" s="1"/>
    </row>
    <row r="1077" ht="15.75" customHeight="1">
      <c r="A1077" s="1"/>
      <c r="B1077" s="1"/>
      <c r="C1077" s="1"/>
      <c r="D1077" s="1"/>
      <c r="E1077" s="1"/>
      <c r="F1077" s="1"/>
      <c r="G1077" s="1"/>
      <c r="H1077" s="1"/>
      <c r="I1077" s="1"/>
      <c r="J1077" s="1" t="b">
        <f>IFERROR(__xludf.DUMMYFUNCTION("""COMPUTED_VALUE"""),FALSE)</f>
        <v>0</v>
      </c>
      <c r="K1077" s="1"/>
      <c r="L1077" s="1" t="b">
        <f>IFERROR(__xludf.DUMMYFUNCTION("""COMPUTED_VALUE"""),FALSE)</f>
        <v>0</v>
      </c>
      <c r="M1077" s="1" t="b">
        <f>IFERROR(__xludf.DUMMYFUNCTION("""COMPUTED_VALUE"""),FALSE)</f>
        <v>0</v>
      </c>
      <c r="N1077" s="1"/>
      <c r="O1077" s="1"/>
      <c r="P1077" s="1"/>
      <c r="Q1077" s="1"/>
      <c r="R1077" s="1"/>
      <c r="S1077" s="1"/>
      <c r="T1077" s="1"/>
      <c r="U1077" s="1"/>
      <c r="V1077" s="1"/>
      <c r="W1077" s="1"/>
      <c r="X1077" s="1"/>
      <c r="Y1077" s="1"/>
      <c r="Z1077" s="1"/>
    </row>
    <row r="1078" ht="15.75" customHeight="1">
      <c r="A1078" s="1"/>
      <c r="B1078" s="1"/>
      <c r="C1078" s="1"/>
      <c r="D1078" s="1"/>
      <c r="E1078" s="1"/>
      <c r="F1078" s="1"/>
      <c r="G1078" s="1"/>
      <c r="H1078" s="1"/>
      <c r="I1078" s="1"/>
      <c r="J1078" s="1" t="b">
        <f>IFERROR(__xludf.DUMMYFUNCTION("""COMPUTED_VALUE"""),FALSE)</f>
        <v>0</v>
      </c>
      <c r="K1078" s="1"/>
      <c r="L1078" s="1" t="b">
        <f>IFERROR(__xludf.DUMMYFUNCTION("""COMPUTED_VALUE"""),FALSE)</f>
        <v>0</v>
      </c>
      <c r="M1078" s="1" t="b">
        <f>IFERROR(__xludf.DUMMYFUNCTION("""COMPUTED_VALUE"""),FALSE)</f>
        <v>0</v>
      </c>
      <c r="N1078" s="1"/>
      <c r="O1078" s="1"/>
      <c r="P1078" s="1"/>
      <c r="Q1078" s="1"/>
      <c r="R1078" s="1"/>
      <c r="S1078" s="1"/>
      <c r="T1078" s="1"/>
      <c r="U1078" s="1"/>
      <c r="V1078" s="1"/>
      <c r="W1078" s="1"/>
      <c r="X1078" s="1"/>
      <c r="Y1078" s="1"/>
      <c r="Z1078" s="1"/>
    </row>
    <row r="1079" ht="15.75" customHeight="1">
      <c r="A1079" s="1"/>
      <c r="B1079" s="1"/>
      <c r="C1079" s="1"/>
      <c r="D1079" s="1"/>
      <c r="E1079" s="1"/>
      <c r="F1079" s="1"/>
      <c r="G1079" s="1"/>
      <c r="H1079" s="1"/>
      <c r="I1079" s="1"/>
      <c r="J1079" s="1" t="b">
        <f>IFERROR(__xludf.DUMMYFUNCTION("""COMPUTED_VALUE"""),FALSE)</f>
        <v>0</v>
      </c>
      <c r="K1079" s="1"/>
      <c r="L1079" s="1" t="b">
        <f>IFERROR(__xludf.DUMMYFUNCTION("""COMPUTED_VALUE"""),FALSE)</f>
        <v>0</v>
      </c>
      <c r="M1079" s="1" t="b">
        <f>IFERROR(__xludf.DUMMYFUNCTION("""COMPUTED_VALUE"""),FALSE)</f>
        <v>0</v>
      </c>
      <c r="N1079" s="1"/>
      <c r="O1079" s="1"/>
      <c r="P1079" s="1"/>
      <c r="Q1079" s="1"/>
      <c r="R1079" s="1"/>
      <c r="S1079" s="1"/>
      <c r="T1079" s="1"/>
      <c r="U1079" s="1"/>
      <c r="V1079" s="1"/>
      <c r="W1079" s="1"/>
      <c r="X1079" s="1"/>
      <c r="Y1079" s="1"/>
      <c r="Z1079" s="1"/>
    </row>
    <row r="1080" ht="15.75" customHeight="1">
      <c r="A1080" s="1"/>
      <c r="B1080" s="1"/>
      <c r="C1080" s="1"/>
      <c r="D1080" s="1"/>
      <c r="E1080" s="1"/>
      <c r="F1080" s="1"/>
      <c r="G1080" s="1"/>
      <c r="H1080" s="1"/>
      <c r="I1080" s="1"/>
      <c r="J1080" s="1" t="b">
        <f>IFERROR(__xludf.DUMMYFUNCTION("""COMPUTED_VALUE"""),FALSE)</f>
        <v>0</v>
      </c>
      <c r="K1080" s="1"/>
      <c r="L1080" s="1" t="b">
        <f>IFERROR(__xludf.DUMMYFUNCTION("""COMPUTED_VALUE"""),FALSE)</f>
        <v>0</v>
      </c>
      <c r="M1080" s="1" t="b">
        <f>IFERROR(__xludf.DUMMYFUNCTION("""COMPUTED_VALUE"""),FALSE)</f>
        <v>0</v>
      </c>
      <c r="N1080" s="1"/>
      <c r="O1080" s="1"/>
      <c r="P1080" s="1"/>
      <c r="Q1080" s="1"/>
      <c r="R1080" s="1"/>
      <c r="S1080" s="1"/>
      <c r="T1080" s="1"/>
      <c r="U1080" s="1"/>
      <c r="V1080" s="1"/>
      <c r="W1080" s="1"/>
      <c r="X1080" s="1"/>
      <c r="Y1080" s="1"/>
      <c r="Z1080" s="1"/>
    </row>
    <row r="1081" ht="15.75" customHeight="1">
      <c r="A1081" s="1"/>
      <c r="B1081" s="1"/>
      <c r="C1081" s="1"/>
      <c r="D1081" s="1"/>
      <c r="E1081" s="1"/>
      <c r="F1081" s="1"/>
      <c r="G1081" s="1"/>
      <c r="H1081" s="1"/>
      <c r="I1081" s="1"/>
      <c r="J1081" s="1" t="b">
        <f>IFERROR(__xludf.DUMMYFUNCTION("""COMPUTED_VALUE"""),FALSE)</f>
        <v>0</v>
      </c>
      <c r="K1081" s="1"/>
      <c r="L1081" s="1" t="b">
        <f>IFERROR(__xludf.DUMMYFUNCTION("""COMPUTED_VALUE"""),FALSE)</f>
        <v>0</v>
      </c>
      <c r="M1081" s="1" t="b">
        <f>IFERROR(__xludf.DUMMYFUNCTION("""COMPUTED_VALUE"""),FALSE)</f>
        <v>0</v>
      </c>
      <c r="N1081" s="1"/>
      <c r="O1081" s="1"/>
      <c r="P1081" s="1"/>
      <c r="Q1081" s="1"/>
      <c r="R1081" s="1"/>
      <c r="S1081" s="1"/>
      <c r="T1081" s="1"/>
      <c r="U1081" s="1"/>
      <c r="V1081" s="1"/>
      <c r="W1081" s="1"/>
      <c r="X1081" s="1"/>
      <c r="Y1081" s="1"/>
      <c r="Z1081" s="1"/>
    </row>
    <row r="1082" ht="15.75" customHeight="1">
      <c r="A1082" s="1"/>
      <c r="B1082" s="1"/>
      <c r="C1082" s="1"/>
      <c r="D1082" s="1"/>
      <c r="E1082" s="1"/>
      <c r="F1082" s="1"/>
      <c r="G1082" s="1"/>
      <c r="H1082" s="1"/>
      <c r="I1082" s="1"/>
      <c r="J1082" s="1" t="b">
        <f>IFERROR(__xludf.DUMMYFUNCTION("""COMPUTED_VALUE"""),FALSE)</f>
        <v>0</v>
      </c>
      <c r="K1082" s="1"/>
      <c r="L1082" s="1" t="b">
        <f>IFERROR(__xludf.DUMMYFUNCTION("""COMPUTED_VALUE"""),FALSE)</f>
        <v>0</v>
      </c>
      <c r="M1082" s="1" t="b">
        <f>IFERROR(__xludf.DUMMYFUNCTION("""COMPUTED_VALUE"""),FALSE)</f>
        <v>0</v>
      </c>
      <c r="N1082" s="1"/>
      <c r="O1082" s="1"/>
      <c r="P1082" s="1"/>
      <c r="Q1082" s="1"/>
      <c r="R1082" s="1"/>
      <c r="S1082" s="1"/>
      <c r="T1082" s="1"/>
      <c r="U1082" s="1"/>
      <c r="V1082" s="1"/>
      <c r="W1082" s="1"/>
      <c r="X1082" s="1"/>
      <c r="Y1082" s="1"/>
      <c r="Z1082" s="1"/>
    </row>
    <row r="1083" ht="15.75" customHeight="1">
      <c r="A1083" s="1"/>
      <c r="B1083" s="1"/>
      <c r="C1083" s="1"/>
      <c r="D1083" s="1"/>
      <c r="E1083" s="1"/>
      <c r="F1083" s="1"/>
      <c r="G1083" s="1"/>
      <c r="H1083" s="1"/>
      <c r="I1083" s="1"/>
      <c r="J1083" s="1" t="b">
        <f>IFERROR(__xludf.DUMMYFUNCTION("""COMPUTED_VALUE"""),FALSE)</f>
        <v>0</v>
      </c>
      <c r="K1083" s="1"/>
      <c r="L1083" s="1" t="b">
        <f>IFERROR(__xludf.DUMMYFUNCTION("""COMPUTED_VALUE"""),FALSE)</f>
        <v>0</v>
      </c>
      <c r="M1083" s="1" t="b">
        <f>IFERROR(__xludf.DUMMYFUNCTION("""COMPUTED_VALUE"""),FALSE)</f>
        <v>0</v>
      </c>
      <c r="N1083" s="1"/>
      <c r="O1083" s="1"/>
      <c r="P1083" s="1"/>
      <c r="Q1083" s="1"/>
      <c r="R1083" s="1"/>
      <c r="S1083" s="1"/>
      <c r="T1083" s="1"/>
      <c r="U1083" s="1"/>
      <c r="V1083" s="1"/>
      <c r="W1083" s="1"/>
      <c r="X1083" s="1"/>
      <c r="Y1083" s="1"/>
      <c r="Z1083" s="1"/>
    </row>
    <row r="1084" ht="15.75" customHeight="1">
      <c r="A1084" s="1"/>
      <c r="B1084" s="1"/>
      <c r="C1084" s="1"/>
      <c r="D1084" s="1"/>
      <c r="E1084" s="1"/>
      <c r="F1084" s="1"/>
      <c r="G1084" s="1"/>
      <c r="H1084" s="1"/>
      <c r="I1084" s="1"/>
      <c r="J1084" s="1" t="b">
        <f>IFERROR(__xludf.DUMMYFUNCTION("""COMPUTED_VALUE"""),FALSE)</f>
        <v>0</v>
      </c>
      <c r="K1084" s="1"/>
      <c r="L1084" s="1" t="b">
        <f>IFERROR(__xludf.DUMMYFUNCTION("""COMPUTED_VALUE"""),FALSE)</f>
        <v>0</v>
      </c>
      <c r="M1084" s="1" t="b">
        <f>IFERROR(__xludf.DUMMYFUNCTION("""COMPUTED_VALUE"""),FALSE)</f>
        <v>0</v>
      </c>
      <c r="N1084" s="1"/>
      <c r="O1084" s="1"/>
      <c r="P1084" s="1"/>
      <c r="Q1084" s="1"/>
      <c r="R1084" s="1"/>
      <c r="S1084" s="1"/>
      <c r="T1084" s="1"/>
      <c r="U1084" s="1"/>
      <c r="V1084" s="1"/>
      <c r="W1084" s="1"/>
      <c r="X1084" s="1"/>
      <c r="Y1084" s="1"/>
      <c r="Z1084" s="1"/>
    </row>
    <row r="1085" ht="15.75" customHeight="1">
      <c r="A1085" s="1"/>
      <c r="B1085" s="1"/>
      <c r="C1085" s="1"/>
      <c r="D1085" s="1"/>
      <c r="E1085" s="1"/>
      <c r="F1085" s="1"/>
      <c r="G1085" s="1"/>
      <c r="H1085" s="1"/>
      <c r="I1085" s="1"/>
      <c r="J1085" s="1" t="b">
        <f>IFERROR(__xludf.DUMMYFUNCTION("""COMPUTED_VALUE"""),FALSE)</f>
        <v>0</v>
      </c>
      <c r="K1085" s="1"/>
      <c r="L1085" s="1" t="b">
        <f>IFERROR(__xludf.DUMMYFUNCTION("""COMPUTED_VALUE"""),FALSE)</f>
        <v>0</v>
      </c>
      <c r="M1085" s="1" t="b">
        <f>IFERROR(__xludf.DUMMYFUNCTION("""COMPUTED_VALUE"""),FALSE)</f>
        <v>0</v>
      </c>
      <c r="N1085" s="1"/>
      <c r="O1085" s="1"/>
      <c r="P1085" s="1"/>
      <c r="Q1085" s="1"/>
      <c r="R1085" s="1"/>
      <c r="S1085" s="1"/>
      <c r="T1085" s="1"/>
      <c r="U1085" s="1"/>
      <c r="V1085" s="1"/>
      <c r="W1085" s="1"/>
      <c r="X1085" s="1"/>
      <c r="Y1085" s="1"/>
      <c r="Z1085" s="1"/>
    </row>
    <row r="1086" ht="15.75" customHeight="1">
      <c r="A1086" s="1"/>
      <c r="B1086" s="1"/>
      <c r="C1086" s="1"/>
      <c r="D1086" s="1"/>
      <c r="E1086" s="1"/>
      <c r="F1086" s="1"/>
      <c r="G1086" s="1"/>
      <c r="H1086" s="1"/>
      <c r="I1086" s="1"/>
      <c r="J1086" s="1" t="b">
        <f>IFERROR(__xludf.DUMMYFUNCTION("""COMPUTED_VALUE"""),FALSE)</f>
        <v>0</v>
      </c>
      <c r="K1086" s="1"/>
      <c r="L1086" s="1" t="b">
        <f>IFERROR(__xludf.DUMMYFUNCTION("""COMPUTED_VALUE"""),FALSE)</f>
        <v>0</v>
      </c>
      <c r="M1086" s="1" t="b">
        <f>IFERROR(__xludf.DUMMYFUNCTION("""COMPUTED_VALUE"""),FALSE)</f>
        <v>0</v>
      </c>
      <c r="N1086" s="1"/>
      <c r="O1086" s="1"/>
      <c r="P1086" s="1"/>
      <c r="Q1086" s="1"/>
      <c r="R1086" s="1"/>
      <c r="S1086" s="1"/>
      <c r="T1086" s="1"/>
      <c r="U1086" s="1"/>
      <c r="V1086" s="1"/>
      <c r="W1086" s="1"/>
      <c r="X1086" s="1"/>
      <c r="Y1086" s="1"/>
      <c r="Z1086" s="1"/>
    </row>
    <row r="1087" ht="15.75" customHeight="1">
      <c r="A1087" s="1"/>
      <c r="B1087" s="1"/>
      <c r="C1087" s="1"/>
      <c r="D1087" s="1"/>
      <c r="E1087" s="1"/>
      <c r="F1087" s="1"/>
      <c r="G1087" s="1"/>
      <c r="H1087" s="1"/>
      <c r="I1087" s="1"/>
      <c r="J1087" s="1" t="b">
        <f>IFERROR(__xludf.DUMMYFUNCTION("""COMPUTED_VALUE"""),FALSE)</f>
        <v>0</v>
      </c>
      <c r="K1087" s="1"/>
      <c r="L1087" s="1" t="b">
        <f>IFERROR(__xludf.DUMMYFUNCTION("""COMPUTED_VALUE"""),FALSE)</f>
        <v>0</v>
      </c>
      <c r="M1087" s="1" t="b">
        <f>IFERROR(__xludf.DUMMYFUNCTION("""COMPUTED_VALUE"""),FALSE)</f>
        <v>0</v>
      </c>
      <c r="N1087" s="1"/>
      <c r="O1087" s="1"/>
      <c r="P1087" s="1"/>
      <c r="Q1087" s="1"/>
      <c r="R1087" s="1"/>
      <c r="S1087" s="1"/>
      <c r="T1087" s="1"/>
      <c r="U1087" s="1"/>
      <c r="V1087" s="1"/>
      <c r="W1087" s="1"/>
      <c r="X1087" s="1"/>
      <c r="Y1087" s="1"/>
      <c r="Z1087" s="1"/>
    </row>
    <row r="1088" ht="15.75" customHeight="1">
      <c r="A1088" s="1"/>
      <c r="B1088" s="1"/>
      <c r="C1088" s="1"/>
      <c r="D1088" s="1"/>
      <c r="E1088" s="1"/>
      <c r="F1088" s="1"/>
      <c r="G1088" s="1"/>
      <c r="H1088" s="1"/>
      <c r="I1088" s="1"/>
      <c r="J1088" s="1" t="b">
        <f>IFERROR(__xludf.DUMMYFUNCTION("""COMPUTED_VALUE"""),FALSE)</f>
        <v>0</v>
      </c>
      <c r="K1088" s="1"/>
      <c r="L1088" s="1" t="b">
        <f>IFERROR(__xludf.DUMMYFUNCTION("""COMPUTED_VALUE"""),FALSE)</f>
        <v>0</v>
      </c>
      <c r="M1088" s="1" t="b">
        <f>IFERROR(__xludf.DUMMYFUNCTION("""COMPUTED_VALUE"""),FALSE)</f>
        <v>0</v>
      </c>
      <c r="N1088" s="1"/>
      <c r="O1088" s="1"/>
      <c r="P1088" s="1"/>
      <c r="Q1088" s="1"/>
      <c r="R1088" s="1"/>
      <c r="S1088" s="1"/>
      <c r="T1088" s="1"/>
      <c r="U1088" s="1"/>
      <c r="V1088" s="1"/>
      <c r="W1088" s="1"/>
      <c r="X1088" s="1"/>
      <c r="Y1088" s="1"/>
      <c r="Z1088" s="1"/>
    </row>
    <row r="1089" ht="15.75" customHeight="1">
      <c r="A1089" s="1"/>
      <c r="B1089" s="1"/>
      <c r="C1089" s="1"/>
      <c r="D1089" s="1"/>
      <c r="E1089" s="1"/>
      <c r="F1089" s="1"/>
      <c r="G1089" s="1"/>
      <c r="H1089" s="1"/>
      <c r="I1089" s="1"/>
      <c r="J1089" s="1" t="b">
        <f>IFERROR(__xludf.DUMMYFUNCTION("""COMPUTED_VALUE"""),FALSE)</f>
        <v>0</v>
      </c>
      <c r="K1089" s="1"/>
      <c r="L1089" s="1" t="b">
        <f>IFERROR(__xludf.DUMMYFUNCTION("""COMPUTED_VALUE"""),FALSE)</f>
        <v>0</v>
      </c>
      <c r="M1089" s="1" t="b">
        <f>IFERROR(__xludf.DUMMYFUNCTION("""COMPUTED_VALUE"""),FALSE)</f>
        <v>0</v>
      </c>
      <c r="N1089" s="1"/>
      <c r="O1089" s="1"/>
      <c r="P1089" s="1"/>
      <c r="Q1089" s="1"/>
      <c r="R1089" s="1"/>
      <c r="S1089" s="1"/>
      <c r="T1089" s="1"/>
      <c r="U1089" s="1"/>
      <c r="V1089" s="1"/>
      <c r="W1089" s="1"/>
      <c r="X1089" s="1"/>
      <c r="Y1089" s="1"/>
      <c r="Z1089" s="1"/>
    </row>
    <row r="1090" ht="15.75" customHeight="1">
      <c r="A1090" s="1"/>
      <c r="B1090" s="1"/>
      <c r="C1090" s="1"/>
      <c r="D1090" s="1"/>
      <c r="E1090" s="1"/>
      <c r="F1090" s="1"/>
      <c r="G1090" s="1"/>
      <c r="H1090" s="1"/>
      <c r="I1090" s="1"/>
      <c r="J1090" s="1" t="b">
        <f>IFERROR(__xludf.DUMMYFUNCTION("""COMPUTED_VALUE"""),FALSE)</f>
        <v>0</v>
      </c>
      <c r="K1090" s="1"/>
      <c r="L1090" s="1" t="b">
        <f>IFERROR(__xludf.DUMMYFUNCTION("""COMPUTED_VALUE"""),FALSE)</f>
        <v>0</v>
      </c>
      <c r="M1090" s="1" t="b">
        <f>IFERROR(__xludf.DUMMYFUNCTION("""COMPUTED_VALUE"""),FALSE)</f>
        <v>0</v>
      </c>
      <c r="N1090" s="1"/>
      <c r="O1090" s="1"/>
      <c r="P1090" s="1"/>
      <c r="Q1090" s="1"/>
      <c r="R1090" s="1"/>
      <c r="S1090" s="1"/>
      <c r="T1090" s="1"/>
      <c r="U1090" s="1"/>
      <c r="V1090" s="1"/>
      <c r="W1090" s="1"/>
      <c r="X1090" s="1"/>
      <c r="Y1090" s="1"/>
      <c r="Z1090" s="1"/>
    </row>
    <row r="1091" ht="15.75" customHeight="1">
      <c r="A1091" s="1"/>
      <c r="B1091" s="1"/>
      <c r="C1091" s="1"/>
      <c r="D1091" s="1"/>
      <c r="E1091" s="1"/>
      <c r="F1091" s="1"/>
      <c r="G1091" s="1"/>
      <c r="H1091" s="1"/>
      <c r="I1091" s="1"/>
      <c r="J1091" s="1" t="b">
        <f>IFERROR(__xludf.DUMMYFUNCTION("""COMPUTED_VALUE"""),FALSE)</f>
        <v>0</v>
      </c>
      <c r="K1091" s="1"/>
      <c r="L1091" s="1" t="b">
        <f>IFERROR(__xludf.DUMMYFUNCTION("""COMPUTED_VALUE"""),FALSE)</f>
        <v>0</v>
      </c>
      <c r="M1091" s="1" t="b">
        <f>IFERROR(__xludf.DUMMYFUNCTION("""COMPUTED_VALUE"""),FALSE)</f>
        <v>0</v>
      </c>
      <c r="N1091" s="1"/>
      <c r="O1091" s="1"/>
      <c r="P1091" s="1"/>
      <c r="Q1091" s="1"/>
      <c r="R1091" s="1"/>
      <c r="S1091" s="1"/>
      <c r="T1091" s="1"/>
      <c r="U1091" s="1"/>
      <c r="V1091" s="1"/>
      <c r="W1091" s="1"/>
      <c r="X1091" s="1"/>
      <c r="Y1091" s="1"/>
      <c r="Z1091" s="1"/>
    </row>
    <row r="1092" ht="15.75" customHeight="1">
      <c r="A1092" s="1"/>
      <c r="B1092" s="1"/>
      <c r="C1092" s="1"/>
      <c r="D1092" s="1"/>
      <c r="E1092" s="1"/>
      <c r="F1092" s="1"/>
      <c r="G1092" s="1"/>
      <c r="H1092" s="1"/>
      <c r="I1092" s="1"/>
      <c r="J1092" s="1" t="b">
        <f>IFERROR(__xludf.DUMMYFUNCTION("""COMPUTED_VALUE"""),FALSE)</f>
        <v>0</v>
      </c>
      <c r="K1092" s="1"/>
      <c r="L1092" s="1" t="b">
        <f>IFERROR(__xludf.DUMMYFUNCTION("""COMPUTED_VALUE"""),FALSE)</f>
        <v>0</v>
      </c>
      <c r="M1092" s="1" t="b">
        <f>IFERROR(__xludf.DUMMYFUNCTION("""COMPUTED_VALUE"""),FALSE)</f>
        <v>0</v>
      </c>
      <c r="N1092" s="1"/>
      <c r="O1092" s="1"/>
      <c r="P1092" s="1"/>
      <c r="Q1092" s="1"/>
      <c r="R1092" s="1"/>
      <c r="S1092" s="1"/>
      <c r="T1092" s="1"/>
      <c r="U1092" s="1"/>
      <c r="V1092" s="1"/>
      <c r="W1092" s="1"/>
      <c r="X1092" s="1"/>
      <c r="Y1092" s="1"/>
      <c r="Z1092" s="1"/>
    </row>
    <row r="1093" ht="15.75" customHeight="1">
      <c r="A1093" s="1"/>
      <c r="B1093" s="1"/>
      <c r="C1093" s="1"/>
      <c r="D1093" s="1"/>
      <c r="E1093" s="1"/>
      <c r="F1093" s="1"/>
      <c r="G1093" s="1"/>
      <c r="H1093" s="1"/>
      <c r="I1093" s="1"/>
      <c r="J1093" s="1" t="b">
        <f>IFERROR(__xludf.DUMMYFUNCTION("""COMPUTED_VALUE"""),FALSE)</f>
        <v>0</v>
      </c>
      <c r="K1093" s="1"/>
      <c r="L1093" s="1" t="b">
        <f>IFERROR(__xludf.DUMMYFUNCTION("""COMPUTED_VALUE"""),FALSE)</f>
        <v>0</v>
      </c>
      <c r="M1093" s="1" t="b">
        <f>IFERROR(__xludf.DUMMYFUNCTION("""COMPUTED_VALUE"""),FALSE)</f>
        <v>0</v>
      </c>
      <c r="N1093" s="1"/>
      <c r="O1093" s="1"/>
      <c r="P1093" s="1"/>
      <c r="Q1093" s="1"/>
      <c r="R1093" s="1"/>
      <c r="S1093" s="1"/>
      <c r="T1093" s="1"/>
      <c r="U1093" s="1"/>
      <c r="V1093" s="1"/>
      <c r="W1093" s="1"/>
      <c r="X1093" s="1"/>
      <c r="Y1093" s="1"/>
      <c r="Z1093" s="1"/>
    </row>
    <row r="1094" ht="15.75" customHeight="1">
      <c r="A1094" s="1"/>
      <c r="B1094" s="1"/>
      <c r="C1094" s="1"/>
      <c r="D1094" s="1"/>
      <c r="E1094" s="1"/>
      <c r="F1094" s="1"/>
      <c r="G1094" s="1"/>
      <c r="H1094" s="1"/>
      <c r="I1094" s="1"/>
      <c r="J1094" s="1" t="b">
        <f>IFERROR(__xludf.DUMMYFUNCTION("""COMPUTED_VALUE"""),FALSE)</f>
        <v>0</v>
      </c>
      <c r="K1094" s="1"/>
      <c r="L1094" s="1" t="b">
        <f>IFERROR(__xludf.DUMMYFUNCTION("""COMPUTED_VALUE"""),FALSE)</f>
        <v>0</v>
      </c>
      <c r="M1094" s="1" t="b">
        <f>IFERROR(__xludf.DUMMYFUNCTION("""COMPUTED_VALUE"""),FALSE)</f>
        <v>0</v>
      </c>
      <c r="N1094" s="1"/>
      <c r="O1094" s="1"/>
      <c r="P1094" s="1"/>
      <c r="Q1094" s="1"/>
      <c r="R1094" s="1"/>
      <c r="S1094" s="1"/>
      <c r="T1094" s="1"/>
      <c r="U1094" s="1"/>
      <c r="V1094" s="1"/>
      <c r="W1094" s="1"/>
      <c r="X1094" s="1"/>
      <c r="Y1094" s="1"/>
      <c r="Z1094" s="1"/>
    </row>
    <row r="1095" ht="15.75" customHeight="1">
      <c r="A1095" s="1"/>
      <c r="B1095" s="1"/>
      <c r="C1095" s="1"/>
      <c r="D1095" s="1"/>
      <c r="E1095" s="1"/>
      <c r="F1095" s="1"/>
      <c r="G1095" s="1"/>
      <c r="H1095" s="1"/>
      <c r="I1095" s="1"/>
      <c r="J1095" s="1" t="b">
        <f>IFERROR(__xludf.DUMMYFUNCTION("""COMPUTED_VALUE"""),FALSE)</f>
        <v>0</v>
      </c>
      <c r="K1095" s="1"/>
      <c r="L1095" s="1" t="b">
        <f>IFERROR(__xludf.DUMMYFUNCTION("""COMPUTED_VALUE"""),FALSE)</f>
        <v>0</v>
      </c>
      <c r="M1095" s="1" t="b">
        <f>IFERROR(__xludf.DUMMYFUNCTION("""COMPUTED_VALUE"""),FALSE)</f>
        <v>0</v>
      </c>
      <c r="N1095" s="1"/>
      <c r="O1095" s="1"/>
      <c r="P1095" s="1"/>
      <c r="Q1095" s="1"/>
      <c r="R1095" s="1"/>
      <c r="S1095" s="1"/>
      <c r="T1095" s="1"/>
      <c r="U1095" s="1"/>
      <c r="V1095" s="1"/>
      <c r="W1095" s="1"/>
      <c r="X1095" s="1"/>
      <c r="Y1095" s="1"/>
      <c r="Z1095" s="1"/>
    </row>
    <row r="1096" ht="15.75" customHeight="1">
      <c r="A1096" s="1"/>
      <c r="B1096" s="1"/>
      <c r="C1096" s="1"/>
      <c r="D1096" s="1"/>
      <c r="E1096" s="1"/>
      <c r="F1096" s="1"/>
      <c r="G1096" s="1"/>
      <c r="H1096" s="1"/>
      <c r="I1096" s="1"/>
      <c r="J1096" s="1" t="b">
        <f>IFERROR(__xludf.DUMMYFUNCTION("""COMPUTED_VALUE"""),FALSE)</f>
        <v>0</v>
      </c>
      <c r="K1096" s="1"/>
      <c r="L1096" s="1" t="b">
        <f>IFERROR(__xludf.DUMMYFUNCTION("""COMPUTED_VALUE"""),FALSE)</f>
        <v>0</v>
      </c>
      <c r="M1096" s="1" t="b">
        <f>IFERROR(__xludf.DUMMYFUNCTION("""COMPUTED_VALUE"""),FALSE)</f>
        <v>0</v>
      </c>
      <c r="N1096" s="1"/>
      <c r="O1096" s="1"/>
      <c r="P1096" s="1"/>
      <c r="Q1096" s="1"/>
      <c r="R1096" s="1"/>
      <c r="S1096" s="1"/>
      <c r="T1096" s="1"/>
      <c r="U1096" s="1"/>
      <c r="V1096" s="1"/>
      <c r="W1096" s="1"/>
      <c r="X1096" s="1"/>
      <c r="Y1096" s="1"/>
      <c r="Z1096" s="1"/>
    </row>
    <row r="1097" ht="15.75" customHeight="1">
      <c r="A1097" s="1"/>
      <c r="B1097" s="1"/>
      <c r="C1097" s="1"/>
      <c r="D1097" s="1"/>
      <c r="E1097" s="1"/>
      <c r="F1097" s="1"/>
      <c r="G1097" s="1"/>
      <c r="H1097" s="1"/>
      <c r="I1097" s="1"/>
      <c r="J1097" s="1" t="b">
        <f>IFERROR(__xludf.DUMMYFUNCTION("""COMPUTED_VALUE"""),FALSE)</f>
        <v>0</v>
      </c>
      <c r="K1097" s="1"/>
      <c r="L1097" s="1" t="b">
        <f>IFERROR(__xludf.DUMMYFUNCTION("""COMPUTED_VALUE"""),FALSE)</f>
        <v>0</v>
      </c>
      <c r="M1097" s="1" t="b">
        <f>IFERROR(__xludf.DUMMYFUNCTION("""COMPUTED_VALUE"""),FALSE)</f>
        <v>0</v>
      </c>
      <c r="N1097" s="1"/>
      <c r="O1097" s="1"/>
      <c r="P1097" s="1"/>
      <c r="Q1097" s="1"/>
      <c r="R1097" s="1"/>
      <c r="S1097" s="1"/>
      <c r="T1097" s="1"/>
      <c r="U1097" s="1"/>
      <c r="V1097" s="1"/>
      <c r="W1097" s="1"/>
      <c r="X1097" s="1"/>
      <c r="Y1097" s="1"/>
      <c r="Z1097" s="1"/>
    </row>
    <row r="1098" ht="15.75" customHeight="1">
      <c r="A1098" s="1"/>
      <c r="B1098" s="1"/>
      <c r="C1098" s="1"/>
      <c r="D1098" s="1"/>
      <c r="E1098" s="1"/>
      <c r="F1098" s="1"/>
      <c r="G1098" s="1"/>
      <c r="H1098" s="1"/>
      <c r="I1098" s="1"/>
      <c r="J1098" s="1" t="b">
        <f>IFERROR(__xludf.DUMMYFUNCTION("""COMPUTED_VALUE"""),FALSE)</f>
        <v>0</v>
      </c>
      <c r="K1098" s="1"/>
      <c r="L1098" s="1" t="b">
        <f>IFERROR(__xludf.DUMMYFUNCTION("""COMPUTED_VALUE"""),FALSE)</f>
        <v>0</v>
      </c>
      <c r="M1098" s="1" t="b">
        <f>IFERROR(__xludf.DUMMYFUNCTION("""COMPUTED_VALUE"""),FALSE)</f>
        <v>0</v>
      </c>
      <c r="N1098" s="1"/>
      <c r="O1098" s="1"/>
      <c r="P1098" s="1"/>
      <c r="Q1098" s="1"/>
      <c r="R1098" s="1"/>
      <c r="S1098" s="1"/>
      <c r="T1098" s="1"/>
      <c r="U1098" s="1"/>
      <c r="V1098" s="1"/>
      <c r="W1098" s="1"/>
      <c r="X1098" s="1"/>
      <c r="Y1098" s="1"/>
      <c r="Z1098" s="1"/>
    </row>
    <row r="1099" ht="15.75" customHeight="1">
      <c r="A1099" s="1"/>
      <c r="B1099" s="1"/>
      <c r="C1099" s="1"/>
      <c r="D1099" s="1"/>
      <c r="E1099" s="1"/>
      <c r="F1099" s="1"/>
      <c r="G1099" s="1"/>
      <c r="H1099" s="1"/>
      <c r="I1099" s="1"/>
      <c r="J1099" s="1" t="b">
        <f>IFERROR(__xludf.DUMMYFUNCTION("""COMPUTED_VALUE"""),FALSE)</f>
        <v>0</v>
      </c>
      <c r="K1099" s="1"/>
      <c r="L1099" s="1" t="b">
        <f>IFERROR(__xludf.DUMMYFUNCTION("""COMPUTED_VALUE"""),FALSE)</f>
        <v>0</v>
      </c>
      <c r="M1099" s="1" t="b">
        <f>IFERROR(__xludf.DUMMYFUNCTION("""COMPUTED_VALUE"""),FALSE)</f>
        <v>0</v>
      </c>
      <c r="N1099" s="1"/>
      <c r="O1099" s="1"/>
      <c r="P1099" s="1"/>
      <c r="Q1099" s="1"/>
      <c r="R1099" s="1"/>
      <c r="S1099" s="1"/>
      <c r="T1099" s="1"/>
      <c r="U1099" s="1"/>
      <c r="V1099" s="1"/>
      <c r="W1099" s="1"/>
      <c r="X1099" s="1"/>
      <c r="Y1099" s="1"/>
      <c r="Z1099" s="1"/>
    </row>
    <row r="1100" ht="15.75" customHeight="1">
      <c r="A1100" s="1"/>
      <c r="B1100" s="1"/>
      <c r="C1100" s="1"/>
      <c r="D1100" s="1"/>
      <c r="E1100" s="1"/>
      <c r="F1100" s="1"/>
      <c r="G1100" s="1"/>
      <c r="H1100" s="1"/>
      <c r="I1100" s="1"/>
      <c r="J1100" s="1" t="b">
        <f>IFERROR(__xludf.DUMMYFUNCTION("""COMPUTED_VALUE"""),FALSE)</f>
        <v>0</v>
      </c>
      <c r="K1100" s="1"/>
      <c r="L1100" s="1" t="b">
        <f>IFERROR(__xludf.DUMMYFUNCTION("""COMPUTED_VALUE"""),FALSE)</f>
        <v>0</v>
      </c>
      <c r="M1100" s="1" t="b">
        <f>IFERROR(__xludf.DUMMYFUNCTION("""COMPUTED_VALUE"""),FALSE)</f>
        <v>0</v>
      </c>
      <c r="N1100" s="1"/>
      <c r="O1100" s="1"/>
      <c r="P1100" s="1"/>
      <c r="Q1100" s="1"/>
      <c r="R1100" s="1"/>
      <c r="S1100" s="1"/>
      <c r="T1100" s="1"/>
      <c r="U1100" s="1"/>
      <c r="V1100" s="1"/>
      <c r="W1100" s="1"/>
      <c r="X1100" s="1"/>
      <c r="Y1100" s="1"/>
      <c r="Z1100" s="1"/>
    </row>
    <row r="1101" ht="15.75" customHeight="1">
      <c r="A1101" s="1"/>
      <c r="B1101" s="1"/>
      <c r="C1101" s="1"/>
      <c r="D1101" s="1"/>
      <c r="E1101" s="1"/>
      <c r="F1101" s="1"/>
      <c r="G1101" s="1"/>
      <c r="H1101" s="1"/>
      <c r="I1101" s="1"/>
      <c r="J1101" s="1" t="b">
        <f>IFERROR(__xludf.DUMMYFUNCTION("""COMPUTED_VALUE"""),FALSE)</f>
        <v>0</v>
      </c>
      <c r="K1101" s="1"/>
      <c r="L1101" s="1" t="b">
        <f>IFERROR(__xludf.DUMMYFUNCTION("""COMPUTED_VALUE"""),FALSE)</f>
        <v>0</v>
      </c>
      <c r="M1101" s="1" t="b">
        <f>IFERROR(__xludf.DUMMYFUNCTION("""COMPUTED_VALUE"""),FALSE)</f>
        <v>0</v>
      </c>
      <c r="N1101" s="1"/>
      <c r="O1101" s="1"/>
      <c r="P1101" s="1"/>
      <c r="Q1101" s="1"/>
      <c r="R1101" s="1"/>
      <c r="S1101" s="1"/>
      <c r="T1101" s="1"/>
      <c r="U1101" s="1"/>
      <c r="V1101" s="1"/>
      <c r="W1101" s="1"/>
      <c r="X1101" s="1"/>
      <c r="Y1101" s="1"/>
      <c r="Z1101" s="1"/>
    </row>
    <row r="1102" ht="15.75" customHeight="1">
      <c r="A1102" s="1"/>
      <c r="B1102" s="1"/>
      <c r="C1102" s="1"/>
      <c r="D1102" s="1"/>
      <c r="E1102" s="1"/>
      <c r="F1102" s="1"/>
      <c r="G1102" s="1"/>
      <c r="H1102" s="1"/>
      <c r="I1102" s="1"/>
      <c r="J1102" s="1" t="b">
        <f>IFERROR(__xludf.DUMMYFUNCTION("""COMPUTED_VALUE"""),FALSE)</f>
        <v>0</v>
      </c>
      <c r="K1102" s="1"/>
      <c r="L1102" s="1" t="b">
        <f>IFERROR(__xludf.DUMMYFUNCTION("""COMPUTED_VALUE"""),FALSE)</f>
        <v>0</v>
      </c>
      <c r="M1102" s="1" t="b">
        <f>IFERROR(__xludf.DUMMYFUNCTION("""COMPUTED_VALUE"""),FALSE)</f>
        <v>0</v>
      </c>
      <c r="N1102" s="1"/>
      <c r="O1102" s="1"/>
      <c r="P1102" s="1"/>
      <c r="Q1102" s="1"/>
      <c r="R1102" s="1"/>
      <c r="S1102" s="1"/>
      <c r="T1102" s="1"/>
      <c r="U1102" s="1"/>
      <c r="V1102" s="1"/>
      <c r="W1102" s="1"/>
      <c r="X1102" s="1"/>
      <c r="Y1102" s="1"/>
      <c r="Z1102" s="1"/>
    </row>
    <row r="1103" ht="15.75" customHeight="1">
      <c r="A1103" s="1"/>
      <c r="B1103" s="1"/>
      <c r="C1103" s="1"/>
      <c r="D1103" s="1"/>
      <c r="E1103" s="1"/>
      <c r="F1103" s="1"/>
      <c r="G1103" s="1"/>
      <c r="H1103" s="1"/>
      <c r="I1103" s="1"/>
      <c r="J1103" s="1" t="b">
        <f>IFERROR(__xludf.DUMMYFUNCTION("""COMPUTED_VALUE"""),FALSE)</f>
        <v>0</v>
      </c>
      <c r="K1103" s="1"/>
      <c r="L1103" s="1" t="b">
        <f>IFERROR(__xludf.DUMMYFUNCTION("""COMPUTED_VALUE"""),FALSE)</f>
        <v>0</v>
      </c>
      <c r="M1103" s="1" t="b">
        <f>IFERROR(__xludf.DUMMYFUNCTION("""COMPUTED_VALUE"""),FALSE)</f>
        <v>0</v>
      </c>
      <c r="N1103" s="1"/>
      <c r="O1103" s="1"/>
      <c r="P1103" s="1"/>
      <c r="Q1103" s="1"/>
      <c r="R1103" s="1"/>
      <c r="S1103" s="1"/>
      <c r="T1103" s="1"/>
      <c r="U1103" s="1"/>
      <c r="V1103" s="1"/>
      <c r="W1103" s="1"/>
      <c r="X1103" s="1"/>
      <c r="Y1103" s="1"/>
      <c r="Z1103" s="1"/>
    </row>
    <row r="1104" ht="15.75" customHeight="1">
      <c r="A1104" s="1"/>
      <c r="B1104" s="1"/>
      <c r="C1104" s="1"/>
      <c r="D1104" s="1"/>
      <c r="E1104" s="1"/>
      <c r="F1104" s="1"/>
      <c r="G1104" s="1"/>
      <c r="H1104" s="1"/>
      <c r="I1104" s="1"/>
      <c r="J1104" s="1" t="b">
        <f>IFERROR(__xludf.DUMMYFUNCTION("""COMPUTED_VALUE"""),FALSE)</f>
        <v>0</v>
      </c>
      <c r="K1104" s="1"/>
      <c r="L1104" s="1" t="b">
        <f>IFERROR(__xludf.DUMMYFUNCTION("""COMPUTED_VALUE"""),FALSE)</f>
        <v>0</v>
      </c>
      <c r="M1104" s="1" t="b">
        <f>IFERROR(__xludf.DUMMYFUNCTION("""COMPUTED_VALUE"""),FALSE)</f>
        <v>0</v>
      </c>
      <c r="N1104" s="1"/>
      <c r="O1104" s="1"/>
      <c r="P1104" s="1"/>
      <c r="Q1104" s="1"/>
      <c r="R1104" s="1"/>
      <c r="S1104" s="1"/>
      <c r="T1104" s="1"/>
      <c r="U1104" s="1"/>
      <c r="V1104" s="1"/>
      <c r="W1104" s="1"/>
      <c r="X1104" s="1"/>
      <c r="Y1104" s="1"/>
      <c r="Z1104" s="1"/>
    </row>
    <row r="1105" ht="15.75" customHeight="1">
      <c r="A1105" s="1"/>
      <c r="B1105" s="1"/>
      <c r="C1105" s="1"/>
      <c r="D1105" s="1"/>
      <c r="E1105" s="1"/>
      <c r="F1105" s="1"/>
      <c r="G1105" s="1"/>
      <c r="H1105" s="1"/>
      <c r="I1105" s="1"/>
      <c r="J1105" s="1" t="b">
        <f>IFERROR(__xludf.DUMMYFUNCTION("""COMPUTED_VALUE"""),FALSE)</f>
        <v>0</v>
      </c>
      <c r="K1105" s="1"/>
      <c r="L1105" s="1" t="b">
        <f>IFERROR(__xludf.DUMMYFUNCTION("""COMPUTED_VALUE"""),FALSE)</f>
        <v>0</v>
      </c>
      <c r="M1105" s="1" t="b">
        <f>IFERROR(__xludf.DUMMYFUNCTION("""COMPUTED_VALUE"""),FALSE)</f>
        <v>0</v>
      </c>
      <c r="N1105" s="1"/>
      <c r="O1105" s="1"/>
      <c r="P1105" s="1"/>
      <c r="Q1105" s="1"/>
      <c r="R1105" s="1"/>
      <c r="S1105" s="1"/>
      <c r="T1105" s="1"/>
      <c r="U1105" s="1"/>
      <c r="V1105" s="1"/>
      <c r="W1105" s="1"/>
      <c r="X1105" s="1"/>
      <c r="Y1105" s="1"/>
      <c r="Z1105" s="1"/>
    </row>
    <row r="1106" ht="15.75" customHeight="1">
      <c r="A1106" s="1"/>
      <c r="B1106" s="1"/>
      <c r="C1106" s="1"/>
      <c r="D1106" s="1"/>
      <c r="E1106" s="1"/>
      <c r="F1106" s="1"/>
      <c r="G1106" s="1"/>
      <c r="H1106" s="1"/>
      <c r="I1106" s="1"/>
      <c r="J1106" s="1" t="b">
        <f>IFERROR(__xludf.DUMMYFUNCTION("""COMPUTED_VALUE"""),FALSE)</f>
        <v>0</v>
      </c>
      <c r="K1106" s="1"/>
      <c r="L1106" s="1" t="b">
        <f>IFERROR(__xludf.DUMMYFUNCTION("""COMPUTED_VALUE"""),FALSE)</f>
        <v>0</v>
      </c>
      <c r="M1106" s="1" t="b">
        <f>IFERROR(__xludf.DUMMYFUNCTION("""COMPUTED_VALUE"""),FALSE)</f>
        <v>0</v>
      </c>
      <c r="N1106" s="1"/>
      <c r="O1106" s="1"/>
      <c r="P1106" s="1"/>
      <c r="Q1106" s="1"/>
      <c r="R1106" s="1"/>
      <c r="S1106" s="1"/>
      <c r="T1106" s="1"/>
      <c r="U1106" s="1"/>
      <c r="V1106" s="1"/>
      <c r="W1106" s="1"/>
      <c r="X1106" s="1"/>
      <c r="Y1106" s="1"/>
      <c r="Z1106" s="1"/>
    </row>
    <row r="1107" ht="15.75" customHeight="1">
      <c r="A1107" s="1"/>
      <c r="B1107" s="1"/>
      <c r="C1107" s="1"/>
      <c r="D1107" s="1"/>
      <c r="E1107" s="1"/>
      <c r="F1107" s="1"/>
      <c r="G1107" s="1"/>
      <c r="H1107" s="1"/>
      <c r="I1107" s="1"/>
      <c r="J1107" s="1" t="b">
        <f>IFERROR(__xludf.DUMMYFUNCTION("""COMPUTED_VALUE"""),FALSE)</f>
        <v>0</v>
      </c>
      <c r="K1107" s="1"/>
      <c r="L1107" s="1" t="b">
        <f>IFERROR(__xludf.DUMMYFUNCTION("""COMPUTED_VALUE"""),FALSE)</f>
        <v>0</v>
      </c>
      <c r="M1107" s="1" t="b">
        <f>IFERROR(__xludf.DUMMYFUNCTION("""COMPUTED_VALUE"""),FALSE)</f>
        <v>0</v>
      </c>
      <c r="N1107" s="1"/>
      <c r="O1107" s="1"/>
      <c r="P1107" s="1"/>
      <c r="Q1107" s="1"/>
      <c r="R1107" s="1"/>
      <c r="S1107" s="1"/>
      <c r="T1107" s="1"/>
      <c r="U1107" s="1"/>
      <c r="V1107" s="1"/>
      <c r="W1107" s="1"/>
      <c r="X1107" s="1"/>
      <c r="Y1107" s="1"/>
      <c r="Z1107" s="1"/>
    </row>
    <row r="1108" ht="15.75" customHeight="1">
      <c r="A1108" s="1"/>
      <c r="B1108" s="1"/>
      <c r="C1108" s="1"/>
      <c r="D1108" s="1"/>
      <c r="E1108" s="1"/>
      <c r="F1108" s="1"/>
      <c r="G1108" s="1"/>
      <c r="H1108" s="1"/>
      <c r="I1108" s="1"/>
      <c r="J1108" s="1" t="b">
        <f>IFERROR(__xludf.DUMMYFUNCTION("""COMPUTED_VALUE"""),FALSE)</f>
        <v>0</v>
      </c>
      <c r="K1108" s="1"/>
      <c r="L1108" s="1" t="b">
        <f>IFERROR(__xludf.DUMMYFUNCTION("""COMPUTED_VALUE"""),FALSE)</f>
        <v>0</v>
      </c>
      <c r="M1108" s="1" t="b">
        <f>IFERROR(__xludf.DUMMYFUNCTION("""COMPUTED_VALUE"""),FALSE)</f>
        <v>0</v>
      </c>
      <c r="N1108" s="1"/>
      <c r="O1108" s="1"/>
      <c r="P1108" s="1"/>
      <c r="Q1108" s="1"/>
      <c r="R1108" s="1"/>
      <c r="S1108" s="1"/>
      <c r="T1108" s="1"/>
      <c r="U1108" s="1"/>
      <c r="V1108" s="1"/>
      <c r="W1108" s="1"/>
      <c r="X1108" s="1"/>
      <c r="Y1108" s="1"/>
      <c r="Z1108" s="1"/>
    </row>
    <row r="1109" ht="15.75" customHeight="1">
      <c r="A1109" s="1"/>
      <c r="B1109" s="1"/>
      <c r="C1109" s="1"/>
      <c r="D1109" s="1"/>
      <c r="E1109" s="1"/>
      <c r="F1109" s="1"/>
      <c r="G1109" s="1"/>
      <c r="H1109" s="1"/>
      <c r="I1109" s="1"/>
      <c r="J1109" s="1" t="b">
        <f>IFERROR(__xludf.DUMMYFUNCTION("""COMPUTED_VALUE"""),FALSE)</f>
        <v>0</v>
      </c>
      <c r="K1109" s="1"/>
      <c r="L1109" s="1" t="b">
        <f>IFERROR(__xludf.DUMMYFUNCTION("""COMPUTED_VALUE"""),FALSE)</f>
        <v>0</v>
      </c>
      <c r="M1109" s="1" t="b">
        <f>IFERROR(__xludf.DUMMYFUNCTION("""COMPUTED_VALUE"""),FALSE)</f>
        <v>0</v>
      </c>
      <c r="N1109" s="1"/>
      <c r="O1109" s="1"/>
      <c r="P1109" s="1"/>
      <c r="Q1109" s="1"/>
      <c r="R1109" s="1"/>
      <c r="S1109" s="1"/>
      <c r="T1109" s="1"/>
      <c r="U1109" s="1"/>
      <c r="V1109" s="1"/>
      <c r="W1109" s="1"/>
      <c r="X1109" s="1"/>
      <c r="Y1109" s="1"/>
      <c r="Z1109" s="1"/>
    </row>
    <row r="1110" ht="15.75" customHeight="1">
      <c r="A1110" s="1"/>
      <c r="B1110" s="1"/>
      <c r="C1110" s="1"/>
      <c r="D1110" s="1"/>
      <c r="E1110" s="1"/>
      <c r="F1110" s="1"/>
      <c r="G1110" s="1"/>
      <c r="H1110" s="1"/>
      <c r="I1110" s="1"/>
      <c r="J1110" s="1" t="b">
        <f>IFERROR(__xludf.DUMMYFUNCTION("""COMPUTED_VALUE"""),FALSE)</f>
        <v>0</v>
      </c>
      <c r="K1110" s="1"/>
      <c r="L1110" s="1" t="b">
        <f>IFERROR(__xludf.DUMMYFUNCTION("""COMPUTED_VALUE"""),FALSE)</f>
        <v>0</v>
      </c>
      <c r="M1110" s="1" t="b">
        <f>IFERROR(__xludf.DUMMYFUNCTION("""COMPUTED_VALUE"""),FALSE)</f>
        <v>0</v>
      </c>
      <c r="N1110" s="1"/>
      <c r="O1110" s="1"/>
      <c r="P1110" s="1"/>
      <c r="Q1110" s="1"/>
      <c r="R1110" s="1"/>
      <c r="S1110" s="1"/>
      <c r="T1110" s="1"/>
      <c r="U1110" s="1"/>
      <c r="V1110" s="1"/>
      <c r="W1110" s="1"/>
      <c r="X1110" s="1"/>
      <c r="Y1110" s="1"/>
      <c r="Z1110" s="1"/>
    </row>
    <row r="1111" ht="15.75" customHeight="1">
      <c r="A1111" s="1"/>
      <c r="B1111" s="1"/>
      <c r="C1111" s="1"/>
      <c r="D1111" s="1"/>
      <c r="E1111" s="1"/>
      <c r="F1111" s="1"/>
      <c r="G1111" s="1"/>
      <c r="H1111" s="1"/>
      <c r="I1111" s="1"/>
      <c r="J1111" s="1" t="b">
        <f>IFERROR(__xludf.DUMMYFUNCTION("""COMPUTED_VALUE"""),FALSE)</f>
        <v>0</v>
      </c>
      <c r="K1111" s="1"/>
      <c r="L1111" s="1" t="b">
        <f>IFERROR(__xludf.DUMMYFUNCTION("""COMPUTED_VALUE"""),FALSE)</f>
        <v>0</v>
      </c>
      <c r="M1111" s="1" t="b">
        <f>IFERROR(__xludf.DUMMYFUNCTION("""COMPUTED_VALUE"""),FALSE)</f>
        <v>0</v>
      </c>
      <c r="N1111" s="1"/>
      <c r="O1111" s="1"/>
      <c r="P1111" s="1"/>
      <c r="Q1111" s="1"/>
      <c r="R1111" s="1"/>
      <c r="S1111" s="1"/>
      <c r="T1111" s="1"/>
      <c r="U1111" s="1"/>
      <c r="V1111" s="1"/>
      <c r="W1111" s="1"/>
      <c r="X1111" s="1"/>
      <c r="Y1111" s="1"/>
      <c r="Z1111" s="1"/>
    </row>
    <row r="1112" ht="15.75" customHeight="1">
      <c r="A1112" s="1"/>
      <c r="B1112" s="1"/>
      <c r="C1112" s="1"/>
      <c r="D1112" s="1"/>
      <c r="E1112" s="1"/>
      <c r="F1112" s="1"/>
      <c r="G1112" s="1"/>
      <c r="H1112" s="1"/>
      <c r="I1112" s="1"/>
      <c r="J1112" s="1" t="b">
        <f>IFERROR(__xludf.DUMMYFUNCTION("""COMPUTED_VALUE"""),FALSE)</f>
        <v>0</v>
      </c>
      <c r="K1112" s="1"/>
      <c r="L1112" s="1" t="b">
        <f>IFERROR(__xludf.DUMMYFUNCTION("""COMPUTED_VALUE"""),FALSE)</f>
        <v>0</v>
      </c>
      <c r="M1112" s="1" t="b">
        <f>IFERROR(__xludf.DUMMYFUNCTION("""COMPUTED_VALUE"""),FALSE)</f>
        <v>0</v>
      </c>
      <c r="N1112" s="1"/>
      <c r="O1112" s="1"/>
      <c r="P1112" s="1"/>
      <c r="Q1112" s="1"/>
      <c r="R1112" s="1"/>
      <c r="S1112" s="1"/>
      <c r="T1112" s="1"/>
      <c r="U1112" s="1"/>
      <c r="V1112" s="1"/>
      <c r="W1112" s="1"/>
      <c r="X1112" s="1"/>
      <c r="Y1112" s="1"/>
      <c r="Z1112" s="1"/>
    </row>
    <row r="1113" ht="15.75" customHeight="1">
      <c r="A1113" s="1"/>
      <c r="B1113" s="1"/>
      <c r="C1113" s="1"/>
      <c r="D1113" s="1"/>
      <c r="E1113" s="1"/>
      <c r="F1113" s="1"/>
      <c r="G1113" s="1"/>
      <c r="H1113" s="1"/>
      <c r="I1113" s="1"/>
      <c r="J1113" s="1" t="b">
        <f>IFERROR(__xludf.DUMMYFUNCTION("""COMPUTED_VALUE"""),FALSE)</f>
        <v>0</v>
      </c>
      <c r="K1113" s="1"/>
      <c r="L1113" s="1" t="b">
        <f>IFERROR(__xludf.DUMMYFUNCTION("""COMPUTED_VALUE"""),FALSE)</f>
        <v>0</v>
      </c>
      <c r="M1113" s="1" t="b">
        <f>IFERROR(__xludf.DUMMYFUNCTION("""COMPUTED_VALUE"""),FALSE)</f>
        <v>0</v>
      </c>
      <c r="N1113" s="1"/>
      <c r="O1113" s="1"/>
      <c r="P1113" s="1"/>
      <c r="Q1113" s="1"/>
      <c r="R1113" s="1"/>
      <c r="S1113" s="1"/>
      <c r="T1113" s="1"/>
      <c r="U1113" s="1"/>
      <c r="V1113" s="1"/>
      <c r="W1113" s="1"/>
      <c r="X1113" s="1"/>
      <c r="Y1113" s="1"/>
      <c r="Z1113" s="1"/>
    </row>
    <row r="1114" ht="15.75" customHeight="1">
      <c r="A1114" s="1"/>
      <c r="B1114" s="1"/>
      <c r="C1114" s="1"/>
      <c r="D1114" s="1"/>
      <c r="E1114" s="1"/>
      <c r="F1114" s="1"/>
      <c r="G1114" s="1"/>
      <c r="H1114" s="1"/>
      <c r="I1114" s="1"/>
      <c r="J1114" s="1" t="b">
        <f>IFERROR(__xludf.DUMMYFUNCTION("""COMPUTED_VALUE"""),FALSE)</f>
        <v>0</v>
      </c>
      <c r="K1114" s="1"/>
      <c r="L1114" s="1" t="b">
        <f>IFERROR(__xludf.DUMMYFUNCTION("""COMPUTED_VALUE"""),FALSE)</f>
        <v>0</v>
      </c>
      <c r="M1114" s="1" t="b">
        <f>IFERROR(__xludf.DUMMYFUNCTION("""COMPUTED_VALUE"""),FALSE)</f>
        <v>0</v>
      </c>
      <c r="N1114" s="1"/>
      <c r="O1114" s="1"/>
      <c r="P1114" s="1"/>
      <c r="Q1114" s="1"/>
      <c r="R1114" s="1"/>
      <c r="S1114" s="1"/>
      <c r="T1114" s="1"/>
      <c r="U1114" s="1"/>
      <c r="V1114" s="1"/>
      <c r="W1114" s="1"/>
      <c r="X1114" s="1"/>
      <c r="Y1114" s="1"/>
      <c r="Z1114" s="1"/>
    </row>
    <row r="1115" ht="15.75" customHeight="1">
      <c r="A1115" s="1"/>
      <c r="B1115" s="1"/>
      <c r="C1115" s="1"/>
      <c r="D1115" s="1"/>
      <c r="E1115" s="1"/>
      <c r="F1115" s="1"/>
      <c r="G1115" s="1"/>
      <c r="H1115" s="1"/>
      <c r="I1115" s="1"/>
      <c r="J1115" s="1" t="b">
        <f>IFERROR(__xludf.DUMMYFUNCTION("""COMPUTED_VALUE"""),FALSE)</f>
        <v>0</v>
      </c>
      <c r="K1115" s="1"/>
      <c r="L1115" s="1" t="b">
        <f>IFERROR(__xludf.DUMMYFUNCTION("""COMPUTED_VALUE"""),FALSE)</f>
        <v>0</v>
      </c>
      <c r="M1115" s="1" t="b">
        <f>IFERROR(__xludf.DUMMYFUNCTION("""COMPUTED_VALUE"""),FALSE)</f>
        <v>0</v>
      </c>
      <c r="N1115" s="1"/>
      <c r="O1115" s="1"/>
      <c r="P1115" s="1"/>
      <c r="Q1115" s="1"/>
      <c r="R1115" s="1"/>
      <c r="S1115" s="1"/>
      <c r="T1115" s="1"/>
      <c r="U1115" s="1"/>
      <c r="V1115" s="1"/>
      <c r="W1115" s="1"/>
      <c r="X1115" s="1"/>
      <c r="Y1115" s="1"/>
      <c r="Z1115" s="1"/>
    </row>
    <row r="1116" ht="15.75" customHeight="1">
      <c r="A1116" s="1"/>
      <c r="B1116" s="1"/>
      <c r="C1116" s="1"/>
      <c r="D1116" s="1"/>
      <c r="E1116" s="1"/>
      <c r="F1116" s="1"/>
      <c r="G1116" s="1"/>
      <c r="H1116" s="1"/>
      <c r="I1116" s="1"/>
      <c r="J1116" s="1" t="b">
        <f>IFERROR(__xludf.DUMMYFUNCTION("""COMPUTED_VALUE"""),FALSE)</f>
        <v>0</v>
      </c>
      <c r="K1116" s="1"/>
      <c r="L1116" s="1" t="b">
        <f>IFERROR(__xludf.DUMMYFUNCTION("""COMPUTED_VALUE"""),FALSE)</f>
        <v>0</v>
      </c>
      <c r="M1116" s="1" t="b">
        <f>IFERROR(__xludf.DUMMYFUNCTION("""COMPUTED_VALUE"""),FALSE)</f>
        <v>0</v>
      </c>
      <c r="N1116" s="1"/>
      <c r="O1116" s="1"/>
      <c r="P1116" s="1"/>
      <c r="Q1116" s="1"/>
      <c r="R1116" s="1"/>
      <c r="S1116" s="1"/>
      <c r="T1116" s="1"/>
      <c r="U1116" s="1"/>
      <c r="V1116" s="1"/>
      <c r="W1116" s="1"/>
      <c r="X1116" s="1"/>
      <c r="Y1116" s="1"/>
      <c r="Z1116" s="1"/>
    </row>
    <row r="1117" ht="15.75" customHeight="1">
      <c r="A1117" s="1"/>
      <c r="B1117" s="1"/>
      <c r="C1117" s="1"/>
      <c r="D1117" s="1"/>
      <c r="E1117" s="1"/>
      <c r="F1117" s="1"/>
      <c r="G1117" s="1"/>
      <c r="H1117" s="1"/>
      <c r="I1117" s="1"/>
      <c r="J1117" s="1" t="b">
        <f>IFERROR(__xludf.DUMMYFUNCTION("""COMPUTED_VALUE"""),FALSE)</f>
        <v>0</v>
      </c>
      <c r="K1117" s="1"/>
      <c r="L1117" s="1" t="b">
        <f>IFERROR(__xludf.DUMMYFUNCTION("""COMPUTED_VALUE"""),FALSE)</f>
        <v>0</v>
      </c>
      <c r="M1117" s="1" t="b">
        <f>IFERROR(__xludf.DUMMYFUNCTION("""COMPUTED_VALUE"""),FALSE)</f>
        <v>0</v>
      </c>
      <c r="N1117" s="1"/>
      <c r="O1117" s="1"/>
      <c r="P1117" s="1"/>
      <c r="Q1117" s="1"/>
      <c r="R1117" s="1"/>
      <c r="S1117" s="1"/>
      <c r="T1117" s="1"/>
      <c r="U1117" s="1"/>
      <c r="V1117" s="1"/>
      <c r="W1117" s="1"/>
      <c r="X1117" s="1"/>
      <c r="Y1117" s="1"/>
      <c r="Z1117" s="1"/>
    </row>
    <row r="1118" ht="15.75" customHeight="1">
      <c r="A1118" s="1"/>
      <c r="B1118" s="1"/>
      <c r="C1118" s="1"/>
      <c r="D1118" s="1"/>
      <c r="E1118" s="1"/>
      <c r="F1118" s="1"/>
      <c r="G1118" s="1"/>
      <c r="H1118" s="1"/>
      <c r="I1118" s="1"/>
      <c r="J1118" s="1" t="b">
        <f>IFERROR(__xludf.DUMMYFUNCTION("""COMPUTED_VALUE"""),FALSE)</f>
        <v>0</v>
      </c>
      <c r="K1118" s="1"/>
      <c r="L1118" s="1" t="b">
        <f>IFERROR(__xludf.DUMMYFUNCTION("""COMPUTED_VALUE"""),FALSE)</f>
        <v>0</v>
      </c>
      <c r="M1118" s="1" t="b">
        <f>IFERROR(__xludf.DUMMYFUNCTION("""COMPUTED_VALUE"""),FALSE)</f>
        <v>0</v>
      </c>
      <c r="N1118" s="1"/>
      <c r="O1118" s="1"/>
      <c r="P1118" s="1"/>
      <c r="Q1118" s="1"/>
      <c r="R1118" s="1"/>
      <c r="S1118" s="1"/>
      <c r="T1118" s="1"/>
      <c r="U1118" s="1"/>
      <c r="V1118" s="1"/>
      <c r="W1118" s="1"/>
      <c r="X1118" s="1"/>
      <c r="Y1118" s="1"/>
      <c r="Z1118" s="1"/>
    </row>
    <row r="1119" ht="15.75" customHeight="1">
      <c r="A1119" s="1"/>
      <c r="B1119" s="1"/>
      <c r="C1119" s="1"/>
      <c r="D1119" s="1"/>
      <c r="E1119" s="1"/>
      <c r="F1119" s="1"/>
      <c r="G1119" s="1"/>
      <c r="H1119" s="1"/>
      <c r="I1119" s="1"/>
      <c r="J1119" s="1" t="b">
        <f>IFERROR(__xludf.DUMMYFUNCTION("""COMPUTED_VALUE"""),FALSE)</f>
        <v>0</v>
      </c>
      <c r="K1119" s="1"/>
      <c r="L1119" s="1" t="b">
        <f>IFERROR(__xludf.DUMMYFUNCTION("""COMPUTED_VALUE"""),FALSE)</f>
        <v>0</v>
      </c>
      <c r="M1119" s="1" t="b">
        <f>IFERROR(__xludf.DUMMYFUNCTION("""COMPUTED_VALUE"""),FALSE)</f>
        <v>0</v>
      </c>
      <c r="N1119" s="1"/>
      <c r="O1119" s="1"/>
      <c r="P1119" s="1"/>
      <c r="Q1119" s="1"/>
      <c r="R1119" s="1"/>
      <c r="S1119" s="1"/>
      <c r="T1119" s="1"/>
      <c r="U1119" s="1"/>
      <c r="V1119" s="1"/>
      <c r="W1119" s="1"/>
      <c r="X1119" s="1"/>
      <c r="Y1119" s="1"/>
      <c r="Z1119" s="1"/>
    </row>
    <row r="1120" ht="15.75" customHeight="1">
      <c r="A1120" s="1"/>
      <c r="B1120" s="1"/>
      <c r="C1120" s="1"/>
      <c r="D1120" s="1"/>
      <c r="E1120" s="1"/>
      <c r="F1120" s="1"/>
      <c r="G1120" s="1"/>
      <c r="H1120" s="1"/>
      <c r="I1120" s="1"/>
      <c r="J1120" s="1" t="b">
        <f>IFERROR(__xludf.DUMMYFUNCTION("""COMPUTED_VALUE"""),FALSE)</f>
        <v>0</v>
      </c>
      <c r="K1120" s="1"/>
      <c r="L1120" s="1" t="b">
        <f>IFERROR(__xludf.DUMMYFUNCTION("""COMPUTED_VALUE"""),FALSE)</f>
        <v>0</v>
      </c>
      <c r="M1120" s="1" t="b">
        <f>IFERROR(__xludf.DUMMYFUNCTION("""COMPUTED_VALUE"""),FALSE)</f>
        <v>0</v>
      </c>
      <c r="N1120" s="1"/>
      <c r="O1120" s="1"/>
      <c r="P1120" s="1"/>
      <c r="Q1120" s="1"/>
      <c r="R1120" s="1"/>
      <c r="S1120" s="1"/>
      <c r="T1120" s="1"/>
      <c r="U1120" s="1"/>
      <c r="V1120" s="1"/>
      <c r="W1120" s="1"/>
      <c r="X1120" s="1"/>
      <c r="Y1120" s="1"/>
      <c r="Z1120" s="1"/>
    </row>
    <row r="1121" ht="15.75" customHeight="1">
      <c r="A1121" s="1"/>
      <c r="B1121" s="1"/>
      <c r="C1121" s="1"/>
      <c r="D1121" s="1"/>
      <c r="E1121" s="1"/>
      <c r="F1121" s="1"/>
      <c r="G1121" s="1"/>
      <c r="H1121" s="1"/>
      <c r="I1121" s="1"/>
      <c r="J1121" s="1" t="b">
        <f>IFERROR(__xludf.DUMMYFUNCTION("""COMPUTED_VALUE"""),FALSE)</f>
        <v>0</v>
      </c>
      <c r="K1121" s="1"/>
      <c r="L1121" s="1" t="b">
        <f>IFERROR(__xludf.DUMMYFUNCTION("""COMPUTED_VALUE"""),FALSE)</f>
        <v>0</v>
      </c>
      <c r="M1121" s="1" t="b">
        <f>IFERROR(__xludf.DUMMYFUNCTION("""COMPUTED_VALUE"""),FALSE)</f>
        <v>0</v>
      </c>
      <c r="N1121" s="1"/>
      <c r="O1121" s="1"/>
      <c r="P1121" s="1"/>
      <c r="Q1121" s="1"/>
      <c r="R1121" s="1"/>
      <c r="S1121" s="1"/>
      <c r="T1121" s="1"/>
      <c r="U1121" s="1"/>
      <c r="V1121" s="1"/>
      <c r="W1121" s="1"/>
      <c r="X1121" s="1"/>
      <c r="Y1121" s="1"/>
      <c r="Z1121" s="1"/>
    </row>
    <row r="1122" ht="15.75" customHeight="1">
      <c r="A1122" s="1"/>
      <c r="B1122" s="1"/>
      <c r="C1122" s="1"/>
      <c r="D1122" s="1"/>
      <c r="E1122" s="1"/>
      <c r="F1122" s="1"/>
      <c r="G1122" s="1"/>
      <c r="H1122" s="1"/>
      <c r="I1122" s="1"/>
      <c r="J1122" s="1" t="b">
        <f>IFERROR(__xludf.DUMMYFUNCTION("""COMPUTED_VALUE"""),FALSE)</f>
        <v>0</v>
      </c>
      <c r="K1122" s="1"/>
      <c r="L1122" s="1" t="b">
        <f>IFERROR(__xludf.DUMMYFUNCTION("""COMPUTED_VALUE"""),FALSE)</f>
        <v>0</v>
      </c>
      <c r="M1122" s="1" t="b">
        <f>IFERROR(__xludf.DUMMYFUNCTION("""COMPUTED_VALUE"""),FALSE)</f>
        <v>0</v>
      </c>
      <c r="N1122" s="1"/>
      <c r="O1122" s="1"/>
      <c r="P1122" s="1"/>
      <c r="Q1122" s="1"/>
      <c r="R1122" s="1"/>
      <c r="S1122" s="1"/>
      <c r="T1122" s="1"/>
      <c r="U1122" s="1"/>
      <c r="V1122" s="1"/>
      <c r="W1122" s="1"/>
      <c r="X1122" s="1"/>
      <c r="Y1122" s="1"/>
      <c r="Z1122" s="1"/>
    </row>
    <row r="1123" ht="15.75" customHeight="1">
      <c r="A1123" s="1"/>
      <c r="B1123" s="1"/>
      <c r="C1123" s="1"/>
      <c r="D1123" s="1"/>
      <c r="E1123" s="1"/>
      <c r="F1123" s="1"/>
      <c r="G1123" s="1"/>
      <c r="H1123" s="1"/>
      <c r="I1123" s="1"/>
      <c r="J1123" s="1" t="b">
        <f>IFERROR(__xludf.DUMMYFUNCTION("""COMPUTED_VALUE"""),FALSE)</f>
        <v>0</v>
      </c>
      <c r="K1123" s="1"/>
      <c r="L1123" s="1" t="b">
        <f>IFERROR(__xludf.DUMMYFUNCTION("""COMPUTED_VALUE"""),FALSE)</f>
        <v>0</v>
      </c>
      <c r="M1123" s="1" t="b">
        <f>IFERROR(__xludf.DUMMYFUNCTION("""COMPUTED_VALUE"""),FALSE)</f>
        <v>0</v>
      </c>
      <c r="N1123" s="1"/>
      <c r="O1123" s="1"/>
      <c r="P1123" s="1"/>
      <c r="Q1123" s="1"/>
      <c r="R1123" s="1"/>
      <c r="S1123" s="1"/>
      <c r="T1123" s="1"/>
      <c r="U1123" s="1"/>
      <c r="V1123" s="1"/>
      <c r="W1123" s="1"/>
      <c r="X1123" s="1"/>
      <c r="Y1123" s="1"/>
      <c r="Z1123" s="1"/>
    </row>
    <row r="1124" ht="15.75" customHeight="1">
      <c r="A1124" s="1"/>
      <c r="B1124" s="1"/>
      <c r="C1124" s="1"/>
      <c r="D1124" s="1"/>
      <c r="E1124" s="1"/>
      <c r="F1124" s="1"/>
      <c r="G1124" s="1"/>
      <c r="H1124" s="1"/>
      <c r="I1124" s="1"/>
      <c r="J1124" s="1" t="b">
        <f>IFERROR(__xludf.DUMMYFUNCTION("""COMPUTED_VALUE"""),FALSE)</f>
        <v>0</v>
      </c>
      <c r="K1124" s="1"/>
      <c r="L1124" s="1" t="b">
        <f>IFERROR(__xludf.DUMMYFUNCTION("""COMPUTED_VALUE"""),FALSE)</f>
        <v>0</v>
      </c>
      <c r="M1124" s="1" t="b">
        <f>IFERROR(__xludf.DUMMYFUNCTION("""COMPUTED_VALUE"""),FALSE)</f>
        <v>0</v>
      </c>
      <c r="N1124" s="1"/>
      <c r="O1124" s="1"/>
      <c r="P1124" s="1"/>
      <c r="Q1124" s="1"/>
      <c r="R1124" s="1"/>
      <c r="S1124" s="1"/>
      <c r="T1124" s="1"/>
      <c r="U1124" s="1"/>
      <c r="V1124" s="1"/>
      <c r="W1124" s="1"/>
      <c r="X1124" s="1"/>
      <c r="Y1124" s="1"/>
      <c r="Z1124" s="1"/>
    </row>
    <row r="1125" ht="15.75" customHeight="1">
      <c r="A1125" s="1"/>
      <c r="B1125" s="1"/>
      <c r="C1125" s="1"/>
      <c r="D1125" s="1"/>
      <c r="E1125" s="1"/>
      <c r="F1125" s="1"/>
      <c r="G1125" s="1"/>
      <c r="H1125" s="1"/>
      <c r="I1125" s="1"/>
      <c r="J1125" s="1" t="b">
        <f>IFERROR(__xludf.DUMMYFUNCTION("""COMPUTED_VALUE"""),FALSE)</f>
        <v>0</v>
      </c>
      <c r="K1125" s="1"/>
      <c r="L1125" s="1" t="b">
        <f>IFERROR(__xludf.DUMMYFUNCTION("""COMPUTED_VALUE"""),FALSE)</f>
        <v>0</v>
      </c>
      <c r="M1125" s="1" t="b">
        <f>IFERROR(__xludf.DUMMYFUNCTION("""COMPUTED_VALUE"""),FALSE)</f>
        <v>0</v>
      </c>
      <c r="N1125" s="1"/>
      <c r="O1125" s="1"/>
      <c r="P1125" s="1"/>
      <c r="Q1125" s="1"/>
      <c r="R1125" s="1"/>
      <c r="S1125" s="1"/>
      <c r="T1125" s="1"/>
      <c r="U1125" s="1"/>
      <c r="V1125" s="1"/>
      <c r="W1125" s="1"/>
      <c r="X1125" s="1"/>
      <c r="Y1125" s="1"/>
      <c r="Z1125" s="1"/>
    </row>
    <row r="1126" ht="15.75" customHeight="1">
      <c r="A1126" s="1"/>
      <c r="B1126" s="1"/>
      <c r="C1126" s="1"/>
      <c r="D1126" s="1"/>
      <c r="E1126" s="1"/>
      <c r="F1126" s="1"/>
      <c r="G1126" s="1"/>
      <c r="H1126" s="1"/>
      <c r="I1126" s="1"/>
      <c r="J1126" s="1" t="b">
        <f>IFERROR(__xludf.DUMMYFUNCTION("""COMPUTED_VALUE"""),FALSE)</f>
        <v>0</v>
      </c>
      <c r="K1126" s="1"/>
      <c r="L1126" s="1" t="b">
        <f>IFERROR(__xludf.DUMMYFUNCTION("""COMPUTED_VALUE"""),FALSE)</f>
        <v>0</v>
      </c>
      <c r="M1126" s="1" t="b">
        <f>IFERROR(__xludf.DUMMYFUNCTION("""COMPUTED_VALUE"""),FALSE)</f>
        <v>0</v>
      </c>
      <c r="N1126" s="1"/>
      <c r="O1126" s="1"/>
      <c r="P1126" s="1"/>
      <c r="Q1126" s="1"/>
      <c r="R1126" s="1"/>
      <c r="S1126" s="1"/>
      <c r="T1126" s="1"/>
      <c r="U1126" s="1"/>
      <c r="V1126" s="1"/>
      <c r="W1126" s="1"/>
      <c r="X1126" s="1"/>
      <c r="Y1126" s="1"/>
      <c r="Z1126" s="1"/>
    </row>
    <row r="1127" ht="15.75" customHeight="1">
      <c r="A1127" s="1"/>
      <c r="B1127" s="1"/>
      <c r="C1127" s="1"/>
      <c r="D1127" s="1"/>
      <c r="E1127" s="1"/>
      <c r="F1127" s="1"/>
      <c r="G1127" s="1"/>
      <c r="H1127" s="1"/>
      <c r="I1127" s="1"/>
      <c r="J1127" s="1" t="b">
        <f>IFERROR(__xludf.DUMMYFUNCTION("""COMPUTED_VALUE"""),FALSE)</f>
        <v>0</v>
      </c>
      <c r="K1127" s="1"/>
      <c r="L1127" s="1" t="b">
        <f>IFERROR(__xludf.DUMMYFUNCTION("""COMPUTED_VALUE"""),FALSE)</f>
        <v>0</v>
      </c>
      <c r="M1127" s="1" t="b">
        <f>IFERROR(__xludf.DUMMYFUNCTION("""COMPUTED_VALUE"""),FALSE)</f>
        <v>0</v>
      </c>
      <c r="N1127" s="1"/>
      <c r="O1127" s="1"/>
      <c r="P1127" s="1"/>
      <c r="Q1127" s="1"/>
      <c r="R1127" s="1"/>
      <c r="S1127" s="1"/>
      <c r="T1127" s="1"/>
      <c r="U1127" s="1"/>
      <c r="V1127" s="1"/>
      <c r="W1127" s="1"/>
      <c r="X1127" s="1"/>
      <c r="Y1127" s="1"/>
      <c r="Z1127" s="1"/>
    </row>
    <row r="1128" ht="15.75" customHeight="1">
      <c r="A1128" s="1"/>
      <c r="B1128" s="1"/>
      <c r="C1128" s="1"/>
      <c r="D1128" s="1"/>
      <c r="E1128" s="1"/>
      <c r="F1128" s="1"/>
      <c r="G1128" s="1"/>
      <c r="H1128" s="1"/>
      <c r="I1128" s="1"/>
      <c r="J1128" s="1" t="b">
        <f>IFERROR(__xludf.DUMMYFUNCTION("""COMPUTED_VALUE"""),FALSE)</f>
        <v>0</v>
      </c>
      <c r="K1128" s="1"/>
      <c r="L1128" s="1" t="b">
        <f>IFERROR(__xludf.DUMMYFUNCTION("""COMPUTED_VALUE"""),FALSE)</f>
        <v>0</v>
      </c>
      <c r="M1128" s="1" t="b">
        <f>IFERROR(__xludf.DUMMYFUNCTION("""COMPUTED_VALUE"""),FALSE)</f>
        <v>0</v>
      </c>
      <c r="N1128" s="1"/>
      <c r="O1128" s="1"/>
      <c r="P1128" s="1"/>
      <c r="Q1128" s="1"/>
      <c r="R1128" s="1"/>
      <c r="S1128" s="1"/>
      <c r="T1128" s="1"/>
      <c r="U1128" s="1"/>
      <c r="V1128" s="1"/>
      <c r="W1128" s="1"/>
      <c r="X1128" s="1"/>
      <c r="Y1128" s="1"/>
      <c r="Z1128" s="1"/>
    </row>
    <row r="1129" ht="15.75" customHeight="1">
      <c r="A1129" s="1"/>
      <c r="B1129" s="1"/>
      <c r="C1129" s="1"/>
      <c r="D1129" s="1"/>
      <c r="E1129" s="1"/>
      <c r="F1129" s="1"/>
      <c r="G1129" s="1"/>
      <c r="H1129" s="1"/>
      <c r="I1129" s="1"/>
      <c r="J1129" s="1" t="b">
        <f>IFERROR(__xludf.DUMMYFUNCTION("""COMPUTED_VALUE"""),FALSE)</f>
        <v>0</v>
      </c>
      <c r="K1129" s="1"/>
      <c r="L1129" s="1" t="b">
        <f>IFERROR(__xludf.DUMMYFUNCTION("""COMPUTED_VALUE"""),FALSE)</f>
        <v>0</v>
      </c>
      <c r="M1129" s="1" t="b">
        <f>IFERROR(__xludf.DUMMYFUNCTION("""COMPUTED_VALUE"""),FALSE)</f>
        <v>0</v>
      </c>
      <c r="N1129" s="1"/>
      <c r="O1129" s="1"/>
      <c r="P1129" s="1"/>
      <c r="Q1129" s="1"/>
      <c r="R1129" s="1"/>
      <c r="S1129" s="1"/>
      <c r="T1129" s="1"/>
      <c r="U1129" s="1"/>
      <c r="V1129" s="1"/>
      <c r="W1129" s="1"/>
      <c r="X1129" s="1"/>
      <c r="Y1129" s="1"/>
      <c r="Z1129" s="1"/>
    </row>
    <row r="1130" ht="15.75" customHeight="1">
      <c r="A1130" s="1"/>
      <c r="B1130" s="1"/>
      <c r="C1130" s="1"/>
      <c r="D1130" s="1"/>
      <c r="E1130" s="1"/>
      <c r="F1130" s="1"/>
      <c r="G1130" s="1"/>
      <c r="H1130" s="1"/>
      <c r="I1130" s="1"/>
      <c r="J1130" s="1" t="b">
        <f>IFERROR(__xludf.DUMMYFUNCTION("""COMPUTED_VALUE"""),FALSE)</f>
        <v>0</v>
      </c>
      <c r="K1130" s="1"/>
      <c r="L1130" s="1" t="b">
        <f>IFERROR(__xludf.DUMMYFUNCTION("""COMPUTED_VALUE"""),FALSE)</f>
        <v>0</v>
      </c>
      <c r="M1130" s="1" t="b">
        <f>IFERROR(__xludf.DUMMYFUNCTION("""COMPUTED_VALUE"""),FALSE)</f>
        <v>0</v>
      </c>
      <c r="N1130" s="1"/>
      <c r="O1130" s="1"/>
      <c r="P1130" s="1"/>
      <c r="Q1130" s="1"/>
      <c r="R1130" s="1"/>
      <c r="S1130" s="1"/>
      <c r="T1130" s="1"/>
      <c r="U1130" s="1"/>
      <c r="V1130" s="1"/>
      <c r="W1130" s="1"/>
      <c r="X1130" s="1"/>
      <c r="Y1130" s="1"/>
      <c r="Z1130" s="1"/>
    </row>
    <row r="1131" ht="15.75" customHeight="1">
      <c r="A1131" s="1"/>
      <c r="B1131" s="1"/>
      <c r="C1131" s="1"/>
      <c r="D1131" s="1"/>
      <c r="E1131" s="1"/>
      <c r="F1131" s="1"/>
      <c r="G1131" s="1"/>
      <c r="H1131" s="1"/>
      <c r="I1131" s="1"/>
      <c r="J1131" s="1" t="b">
        <f>IFERROR(__xludf.DUMMYFUNCTION("""COMPUTED_VALUE"""),FALSE)</f>
        <v>0</v>
      </c>
      <c r="K1131" s="1"/>
      <c r="L1131" s="1" t="b">
        <f>IFERROR(__xludf.DUMMYFUNCTION("""COMPUTED_VALUE"""),FALSE)</f>
        <v>0</v>
      </c>
      <c r="M1131" s="1" t="b">
        <f>IFERROR(__xludf.DUMMYFUNCTION("""COMPUTED_VALUE"""),FALSE)</f>
        <v>0</v>
      </c>
      <c r="N1131" s="1"/>
      <c r="O1131" s="1"/>
      <c r="P1131" s="1"/>
      <c r="Q1131" s="1"/>
      <c r="R1131" s="1"/>
      <c r="S1131" s="1"/>
      <c r="T1131" s="1"/>
      <c r="U1131" s="1"/>
      <c r="V1131" s="1"/>
      <c r="W1131" s="1"/>
      <c r="X1131" s="1"/>
      <c r="Y1131" s="1"/>
      <c r="Z1131" s="1"/>
    </row>
    <row r="1132" ht="15.75" customHeight="1">
      <c r="A1132" s="1"/>
      <c r="B1132" s="1"/>
      <c r="C1132" s="1"/>
      <c r="D1132" s="1"/>
      <c r="E1132" s="1"/>
      <c r="F1132" s="1"/>
      <c r="G1132" s="1"/>
      <c r="H1132" s="1"/>
      <c r="I1132" s="1"/>
      <c r="J1132" s="1" t="b">
        <f>IFERROR(__xludf.DUMMYFUNCTION("""COMPUTED_VALUE"""),FALSE)</f>
        <v>0</v>
      </c>
      <c r="K1132" s="1"/>
      <c r="L1132" s="1" t="b">
        <f>IFERROR(__xludf.DUMMYFUNCTION("""COMPUTED_VALUE"""),FALSE)</f>
        <v>0</v>
      </c>
      <c r="M1132" s="1" t="b">
        <f>IFERROR(__xludf.DUMMYFUNCTION("""COMPUTED_VALUE"""),FALSE)</f>
        <v>0</v>
      </c>
      <c r="N1132" s="1"/>
      <c r="O1132" s="1"/>
      <c r="P1132" s="1"/>
      <c r="Q1132" s="1"/>
      <c r="R1132" s="1"/>
      <c r="S1132" s="1"/>
      <c r="T1132" s="1"/>
      <c r="U1132" s="1"/>
      <c r="V1132" s="1"/>
      <c r="W1132" s="1"/>
      <c r="X1132" s="1"/>
      <c r="Y1132" s="1"/>
      <c r="Z1132" s="1"/>
    </row>
    <row r="1133" ht="15.75" customHeight="1">
      <c r="A1133" s="1"/>
      <c r="B1133" s="1"/>
      <c r="C1133" s="1"/>
      <c r="D1133" s="1"/>
      <c r="E1133" s="1"/>
      <c r="F1133" s="1"/>
      <c r="G1133" s="1"/>
      <c r="H1133" s="1"/>
      <c r="I1133" s="1"/>
      <c r="J1133" s="1" t="b">
        <f>IFERROR(__xludf.DUMMYFUNCTION("""COMPUTED_VALUE"""),FALSE)</f>
        <v>0</v>
      </c>
      <c r="K1133" s="1"/>
      <c r="L1133" s="1" t="b">
        <f>IFERROR(__xludf.DUMMYFUNCTION("""COMPUTED_VALUE"""),FALSE)</f>
        <v>0</v>
      </c>
      <c r="M1133" s="1" t="b">
        <f>IFERROR(__xludf.DUMMYFUNCTION("""COMPUTED_VALUE"""),FALSE)</f>
        <v>0</v>
      </c>
      <c r="N1133" s="1"/>
      <c r="O1133" s="1"/>
      <c r="P1133" s="1"/>
      <c r="Q1133" s="1"/>
      <c r="R1133" s="1"/>
      <c r="S1133" s="1"/>
      <c r="T1133" s="1"/>
      <c r="U1133" s="1"/>
      <c r="V1133" s="1"/>
      <c r="W1133" s="1"/>
      <c r="X1133" s="1"/>
      <c r="Y1133" s="1"/>
      <c r="Z1133" s="1"/>
    </row>
    <row r="1134" ht="15.75" customHeight="1">
      <c r="A1134" s="1"/>
      <c r="B1134" s="1"/>
      <c r="C1134" s="1"/>
      <c r="D1134" s="1"/>
      <c r="E1134" s="1"/>
      <c r="F1134" s="1"/>
      <c r="G1134" s="1"/>
      <c r="H1134" s="1"/>
      <c r="I1134" s="1"/>
      <c r="J1134" s="1" t="b">
        <f>IFERROR(__xludf.DUMMYFUNCTION("""COMPUTED_VALUE"""),FALSE)</f>
        <v>0</v>
      </c>
      <c r="K1134" s="1"/>
      <c r="L1134" s="1" t="b">
        <f>IFERROR(__xludf.DUMMYFUNCTION("""COMPUTED_VALUE"""),FALSE)</f>
        <v>0</v>
      </c>
      <c r="M1134" s="1" t="b">
        <f>IFERROR(__xludf.DUMMYFUNCTION("""COMPUTED_VALUE"""),FALSE)</f>
        <v>0</v>
      </c>
      <c r="N1134" s="1"/>
      <c r="O1134" s="1"/>
      <c r="P1134" s="1"/>
      <c r="Q1134" s="1"/>
      <c r="R1134" s="1"/>
      <c r="S1134" s="1"/>
      <c r="T1134" s="1"/>
      <c r="U1134" s="1"/>
      <c r="V1134" s="1"/>
      <c r="W1134" s="1"/>
      <c r="X1134" s="1"/>
      <c r="Y1134" s="1"/>
      <c r="Z1134" s="1"/>
    </row>
    <row r="1135" ht="15.75" customHeight="1">
      <c r="A1135" s="1"/>
      <c r="B1135" s="1"/>
      <c r="C1135" s="1"/>
      <c r="D1135" s="1"/>
      <c r="E1135" s="1"/>
      <c r="F1135" s="1"/>
      <c r="G1135" s="1"/>
      <c r="H1135" s="1"/>
      <c r="I1135" s="1"/>
      <c r="J1135" s="1" t="b">
        <f>IFERROR(__xludf.DUMMYFUNCTION("""COMPUTED_VALUE"""),FALSE)</f>
        <v>0</v>
      </c>
      <c r="K1135" s="1"/>
      <c r="L1135" s="1" t="b">
        <f>IFERROR(__xludf.DUMMYFUNCTION("""COMPUTED_VALUE"""),FALSE)</f>
        <v>0</v>
      </c>
      <c r="M1135" s="1" t="b">
        <f>IFERROR(__xludf.DUMMYFUNCTION("""COMPUTED_VALUE"""),FALSE)</f>
        <v>0</v>
      </c>
      <c r="N1135" s="1"/>
      <c r="O1135" s="1"/>
      <c r="P1135" s="1"/>
      <c r="Q1135" s="1"/>
      <c r="R1135" s="1"/>
      <c r="S1135" s="1"/>
      <c r="T1135" s="1"/>
      <c r="U1135" s="1"/>
      <c r="V1135" s="1"/>
      <c r="W1135" s="1"/>
      <c r="X1135" s="1"/>
      <c r="Y1135" s="1"/>
      <c r="Z1135" s="1"/>
    </row>
    <row r="1136" ht="15.75" customHeight="1">
      <c r="A1136" s="1"/>
      <c r="B1136" s="1"/>
      <c r="C1136" s="1"/>
      <c r="D1136" s="1"/>
      <c r="E1136" s="1"/>
      <c r="F1136" s="1"/>
      <c r="G1136" s="1"/>
      <c r="H1136" s="1"/>
      <c r="I1136" s="1"/>
      <c r="J1136" s="1" t="b">
        <f>IFERROR(__xludf.DUMMYFUNCTION("""COMPUTED_VALUE"""),FALSE)</f>
        <v>0</v>
      </c>
      <c r="K1136" s="1"/>
      <c r="L1136" s="1" t="b">
        <f>IFERROR(__xludf.DUMMYFUNCTION("""COMPUTED_VALUE"""),FALSE)</f>
        <v>0</v>
      </c>
      <c r="M1136" s="1" t="b">
        <f>IFERROR(__xludf.DUMMYFUNCTION("""COMPUTED_VALUE"""),FALSE)</f>
        <v>0</v>
      </c>
      <c r="N1136" s="1"/>
      <c r="O1136" s="1"/>
      <c r="P1136" s="1"/>
      <c r="Q1136" s="1"/>
      <c r="R1136" s="1"/>
      <c r="S1136" s="1"/>
      <c r="T1136" s="1"/>
      <c r="U1136" s="1"/>
      <c r="V1136" s="1"/>
      <c r="W1136" s="1"/>
      <c r="X1136" s="1"/>
      <c r="Y1136" s="1"/>
      <c r="Z1136" s="1"/>
    </row>
    <row r="1137" ht="15.75" customHeight="1">
      <c r="A1137" s="1"/>
      <c r="B1137" s="1"/>
      <c r="C1137" s="1"/>
      <c r="D1137" s="1"/>
      <c r="E1137" s="1"/>
      <c r="F1137" s="1"/>
      <c r="G1137" s="1"/>
      <c r="H1137" s="1"/>
      <c r="I1137" s="1"/>
      <c r="J1137" s="1" t="b">
        <f>IFERROR(__xludf.DUMMYFUNCTION("""COMPUTED_VALUE"""),FALSE)</f>
        <v>0</v>
      </c>
      <c r="K1137" s="1"/>
      <c r="L1137" s="1" t="b">
        <f>IFERROR(__xludf.DUMMYFUNCTION("""COMPUTED_VALUE"""),FALSE)</f>
        <v>0</v>
      </c>
      <c r="M1137" s="1" t="b">
        <f>IFERROR(__xludf.DUMMYFUNCTION("""COMPUTED_VALUE"""),FALSE)</f>
        <v>0</v>
      </c>
      <c r="N1137" s="1"/>
      <c r="O1137" s="1"/>
      <c r="P1137" s="1"/>
      <c r="Q1137" s="1"/>
      <c r="R1137" s="1"/>
      <c r="S1137" s="1"/>
      <c r="T1137" s="1"/>
      <c r="U1137" s="1"/>
      <c r="V1137" s="1"/>
      <c r="W1137" s="1"/>
      <c r="X1137" s="1"/>
      <c r="Y1137" s="1"/>
      <c r="Z1137" s="1"/>
    </row>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21.5"/>
    <col customWidth="1" min="2" max="6" width="12.63"/>
  </cols>
  <sheetData>
    <row r="1" ht="15.75" customHeight="1">
      <c r="A1" s="2" t="str">
        <f>IFERROR(__xludf.DUMMYFUNCTION("IMPORTRANGE(""https://docs.google.com/spreadsheets/d/1HXoAI5UG3zq1UHqU5n7fPdbQk93qOha2VQb1r7iRi1o"",""Equipment!A:BJ"")"),"#REF!")</f>
        <v>#REF!</v>
      </c>
      <c r="B1" s="2"/>
      <c r="C1" s="2"/>
      <c r="D1" s="63"/>
      <c r="E1" s="2"/>
      <c r="F1" s="2"/>
      <c r="G1" s="2"/>
      <c r="H1" s="64"/>
      <c r="I1" s="64"/>
      <c r="J1" s="64"/>
      <c r="K1" s="64"/>
      <c r="L1" s="64"/>
      <c r="M1" s="64"/>
      <c r="N1" s="64"/>
      <c r="O1" s="64"/>
      <c r="P1" s="64"/>
      <c r="Q1" s="64"/>
      <c r="R1" s="64"/>
      <c r="S1" s="64"/>
      <c r="T1" s="64"/>
      <c r="U1" s="64"/>
      <c r="V1" s="64"/>
      <c r="W1" s="64"/>
      <c r="X1" s="64"/>
      <c r="Y1" s="64"/>
      <c r="Z1" s="64"/>
      <c r="AA1" s="64"/>
      <c r="AB1" s="64"/>
      <c r="AC1" s="64"/>
      <c r="AD1" s="65"/>
      <c r="AE1" s="64"/>
      <c r="AF1" s="64"/>
      <c r="AG1" s="64"/>
      <c r="AH1" s="64"/>
      <c r="AI1" s="64"/>
      <c r="AJ1" s="64"/>
      <c r="AK1" s="64"/>
      <c r="AL1" s="64"/>
      <c r="AM1" s="64"/>
      <c r="AN1" s="64"/>
      <c r="AO1" s="64"/>
      <c r="AP1" s="64"/>
      <c r="AQ1" s="64"/>
      <c r="AR1" s="64"/>
      <c r="AS1" s="64"/>
      <c r="AT1" s="64"/>
      <c r="AU1" s="64"/>
      <c r="AV1" s="64"/>
      <c r="AW1" s="64"/>
      <c r="AX1" s="64"/>
    </row>
    <row r="2" ht="15.75" customHeight="1">
      <c r="A2" s="2"/>
      <c r="B2" s="2"/>
      <c r="C2" s="1"/>
      <c r="D2" s="2"/>
      <c r="E2" s="66"/>
      <c r="F2" s="2"/>
      <c r="G2" s="2"/>
      <c r="H2" s="2"/>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row>
    <row r="3" ht="15.75" customHeight="1">
      <c r="A3" s="2"/>
      <c r="B3" s="2"/>
      <c r="C3" s="1"/>
      <c r="D3" s="2"/>
      <c r="E3" s="66"/>
      <c r="F3" s="2"/>
      <c r="G3" s="2"/>
      <c r="H3" s="1"/>
      <c r="I3" s="1"/>
      <c r="J3" s="1"/>
      <c r="K3" s="1"/>
      <c r="L3" s="1"/>
      <c r="M3" s="1"/>
      <c r="N3" s="1"/>
      <c r="O3" s="1"/>
      <c r="P3" s="1"/>
      <c r="Q3" s="1"/>
      <c r="R3" s="1"/>
      <c r="S3" s="1"/>
      <c r="T3" s="1"/>
      <c r="U3" s="1"/>
      <c r="V3" s="1"/>
      <c r="W3" s="1"/>
      <c r="X3" s="1"/>
      <c r="Y3" s="1"/>
      <c r="Z3" s="1"/>
      <c r="AA3" s="1"/>
      <c r="AB3" s="1"/>
      <c r="AC3" s="1"/>
      <c r="AD3" s="2"/>
      <c r="AE3" s="1"/>
      <c r="AF3" s="1"/>
      <c r="AG3" s="1"/>
      <c r="AH3" s="1"/>
      <c r="AI3" s="1"/>
      <c r="AJ3" s="1"/>
      <c r="AK3" s="1"/>
      <c r="AL3" s="1"/>
      <c r="AM3" s="1"/>
      <c r="AN3" s="1"/>
      <c r="AO3" s="1"/>
      <c r="AP3" s="1"/>
      <c r="AQ3" s="1"/>
      <c r="AR3" s="1"/>
      <c r="AS3" s="1"/>
      <c r="AT3" s="1"/>
      <c r="AU3" s="1"/>
      <c r="AV3" s="1"/>
      <c r="AW3" s="1"/>
      <c r="AX3" s="1"/>
    </row>
    <row r="4" ht="15.75" customHeight="1">
      <c r="A4" s="2"/>
      <c r="B4" s="2"/>
      <c r="C4" s="1"/>
      <c r="D4" s="2"/>
      <c r="E4" s="66"/>
      <c r="F4" s="2"/>
      <c r="G4" s="2"/>
      <c r="H4" s="1"/>
      <c r="I4" s="1"/>
      <c r="J4" s="2"/>
      <c r="K4" s="1"/>
      <c r="L4" s="1"/>
      <c r="M4" s="1"/>
      <c r="N4" s="1"/>
      <c r="O4" s="1"/>
      <c r="P4" s="1"/>
      <c r="Q4" s="1"/>
      <c r="R4" s="1"/>
      <c r="S4" s="1"/>
      <c r="T4" s="1"/>
      <c r="U4" s="1"/>
      <c r="V4" s="1"/>
      <c r="W4" s="1"/>
      <c r="X4" s="1"/>
      <c r="Y4" s="1"/>
      <c r="Z4" s="1"/>
      <c r="AA4" s="1"/>
      <c r="AB4" s="1"/>
      <c r="AC4" s="1"/>
      <c r="AD4" s="2"/>
      <c r="AE4" s="1"/>
      <c r="AF4" s="1"/>
      <c r="AG4" s="1"/>
      <c r="AH4" s="1"/>
      <c r="AI4" s="1"/>
      <c r="AJ4" s="1"/>
      <c r="AK4" s="1"/>
      <c r="AL4" s="1"/>
      <c r="AM4" s="1"/>
      <c r="AN4" s="1"/>
      <c r="AO4" s="1"/>
      <c r="AP4" s="1"/>
      <c r="AQ4" s="1"/>
      <c r="AR4" s="1"/>
      <c r="AS4" s="1"/>
      <c r="AT4" s="1"/>
      <c r="AU4" s="1"/>
      <c r="AV4" s="1"/>
      <c r="AW4" s="1"/>
      <c r="AX4" s="1"/>
    </row>
    <row r="5" ht="15.75" customHeight="1">
      <c r="A5" s="2"/>
      <c r="B5" s="2"/>
      <c r="C5" s="1"/>
      <c r="D5" s="2"/>
      <c r="E5" s="66"/>
      <c r="F5" s="2"/>
      <c r="G5" s="2"/>
      <c r="H5" s="1"/>
      <c r="I5" s="1"/>
      <c r="J5" s="1"/>
      <c r="K5" s="1"/>
      <c r="L5" s="1"/>
      <c r="M5" s="1"/>
      <c r="N5" s="1"/>
      <c r="O5" s="1"/>
      <c r="P5" s="1"/>
      <c r="Q5" s="1"/>
      <c r="R5" s="1"/>
      <c r="S5" s="1"/>
      <c r="T5" s="1"/>
      <c r="U5" s="1"/>
      <c r="V5" s="1"/>
      <c r="W5" s="1"/>
      <c r="X5" s="1"/>
      <c r="Y5" s="1"/>
      <c r="Z5" s="1"/>
      <c r="AA5" s="1"/>
      <c r="AB5" s="1"/>
      <c r="AC5" s="1"/>
      <c r="AD5" s="2"/>
      <c r="AE5" s="1"/>
      <c r="AF5" s="1"/>
      <c r="AG5" s="1"/>
      <c r="AH5" s="1"/>
      <c r="AI5" s="1"/>
      <c r="AJ5" s="1"/>
      <c r="AK5" s="1"/>
      <c r="AL5" s="1"/>
      <c r="AM5" s="1"/>
      <c r="AN5" s="1"/>
      <c r="AO5" s="1"/>
      <c r="AP5" s="1"/>
      <c r="AQ5" s="1"/>
      <c r="AR5" s="1"/>
      <c r="AS5" s="1"/>
      <c r="AT5" s="1"/>
      <c r="AU5" s="1"/>
      <c r="AV5" s="1"/>
      <c r="AW5" s="1"/>
      <c r="AX5" s="1"/>
    </row>
    <row r="6" ht="15.75" customHeight="1">
      <c r="A6" s="2"/>
      <c r="B6" s="2"/>
      <c r="C6" s="1"/>
      <c r="D6" s="2"/>
      <c r="E6" s="66"/>
      <c r="F6" s="2"/>
      <c r="G6" s="2"/>
      <c r="H6" s="1"/>
      <c r="I6" s="1"/>
      <c r="J6" s="1"/>
      <c r="K6" s="1"/>
      <c r="L6" s="1"/>
      <c r="M6" s="1"/>
      <c r="N6" s="1"/>
      <c r="O6" s="1"/>
      <c r="P6" s="1"/>
      <c r="Q6" s="1"/>
      <c r="R6" s="1"/>
      <c r="S6" s="1"/>
      <c r="T6" s="1"/>
      <c r="U6" s="1"/>
      <c r="V6" s="1"/>
      <c r="W6" s="1"/>
      <c r="X6" s="1"/>
      <c r="Y6" s="1"/>
      <c r="Z6" s="1"/>
      <c r="AA6" s="1"/>
      <c r="AB6" s="1"/>
      <c r="AC6" s="1"/>
      <c r="AD6" s="2"/>
      <c r="AE6" s="1"/>
      <c r="AF6" s="1"/>
      <c r="AG6" s="1"/>
      <c r="AH6" s="1"/>
      <c r="AI6" s="1"/>
      <c r="AJ6" s="1"/>
      <c r="AK6" s="1"/>
      <c r="AL6" s="1"/>
      <c r="AM6" s="1"/>
      <c r="AN6" s="1"/>
      <c r="AO6" s="1"/>
      <c r="AP6" s="1"/>
      <c r="AQ6" s="1"/>
      <c r="AR6" s="1"/>
      <c r="AS6" s="1"/>
      <c r="AT6" s="1"/>
      <c r="AU6" s="1"/>
      <c r="AV6" s="1"/>
      <c r="AW6" s="1"/>
      <c r="AX6" s="1"/>
    </row>
    <row r="7" ht="15.75" customHeight="1">
      <c r="A7" s="2"/>
      <c r="B7" s="2"/>
      <c r="C7" s="1"/>
      <c r="D7" s="2"/>
      <c r="E7" s="66"/>
      <c r="F7" s="2"/>
      <c r="G7" s="1"/>
      <c r="H7" s="1"/>
      <c r="I7" s="1"/>
      <c r="J7" s="1"/>
      <c r="K7" s="1"/>
      <c r="L7" s="1"/>
      <c r="M7" s="1"/>
      <c r="N7" s="1"/>
      <c r="O7" s="1"/>
      <c r="P7" s="1"/>
      <c r="Q7" s="1"/>
      <c r="R7" s="1"/>
      <c r="S7" s="1"/>
      <c r="T7" s="1"/>
      <c r="U7" s="1"/>
      <c r="V7" s="1"/>
      <c r="W7" s="1"/>
      <c r="X7" s="1"/>
      <c r="Y7" s="1"/>
      <c r="Z7" s="1"/>
      <c r="AA7" s="1"/>
      <c r="AB7" s="1"/>
      <c r="AC7" s="1"/>
      <c r="AD7" s="2"/>
      <c r="AE7" s="1"/>
      <c r="AF7" s="1"/>
      <c r="AG7" s="1"/>
      <c r="AH7" s="1"/>
      <c r="AI7" s="1"/>
      <c r="AJ7" s="1"/>
      <c r="AK7" s="1"/>
      <c r="AL7" s="1"/>
      <c r="AM7" s="1"/>
      <c r="AN7" s="1"/>
      <c r="AO7" s="1"/>
      <c r="AP7" s="1"/>
      <c r="AQ7" s="1"/>
      <c r="AR7" s="1"/>
      <c r="AS7" s="1"/>
      <c r="AT7" s="1"/>
      <c r="AU7" s="1"/>
      <c r="AV7" s="1"/>
      <c r="AW7" s="1"/>
      <c r="AX7" s="1"/>
    </row>
    <row r="8" ht="15.75" customHeight="1">
      <c r="A8" s="2"/>
      <c r="B8" s="2"/>
      <c r="C8" s="1"/>
      <c r="D8" s="2"/>
      <c r="E8" s="66"/>
      <c r="F8" s="2"/>
      <c r="G8" s="1"/>
      <c r="H8" s="1"/>
      <c r="I8" s="1"/>
      <c r="J8" s="2"/>
      <c r="K8" s="1"/>
      <c r="L8" s="1"/>
      <c r="M8" s="1"/>
      <c r="N8" s="1"/>
      <c r="O8" s="1"/>
      <c r="P8" s="1"/>
      <c r="Q8" s="1"/>
      <c r="R8" s="1"/>
      <c r="S8" s="1"/>
      <c r="T8" s="1"/>
      <c r="U8" s="1"/>
      <c r="V8" s="1"/>
      <c r="W8" s="1"/>
      <c r="X8" s="1"/>
      <c r="Y8" s="1"/>
      <c r="Z8" s="1"/>
      <c r="AA8" s="1"/>
      <c r="AB8" s="1"/>
      <c r="AC8" s="1"/>
      <c r="AD8" s="2"/>
      <c r="AE8" s="1"/>
      <c r="AF8" s="1"/>
      <c r="AG8" s="1"/>
      <c r="AH8" s="1"/>
      <c r="AI8" s="1"/>
      <c r="AJ8" s="1"/>
      <c r="AK8" s="1"/>
      <c r="AL8" s="1"/>
      <c r="AM8" s="1"/>
      <c r="AN8" s="1"/>
      <c r="AO8" s="1"/>
      <c r="AP8" s="1"/>
      <c r="AQ8" s="1"/>
      <c r="AR8" s="1"/>
      <c r="AS8" s="1"/>
      <c r="AT8" s="1"/>
      <c r="AU8" s="1"/>
      <c r="AV8" s="1"/>
      <c r="AW8" s="1"/>
      <c r="AX8" s="1"/>
    </row>
    <row r="9" ht="15.75" customHeight="1">
      <c r="A9" s="2"/>
      <c r="B9" s="2"/>
      <c r="C9" s="1"/>
      <c r="D9" s="2"/>
      <c r="E9" s="66"/>
      <c r="F9" s="2"/>
      <c r="G9" s="2"/>
      <c r="H9" s="1"/>
      <c r="I9" s="1"/>
      <c r="J9" s="1"/>
      <c r="K9" s="1"/>
      <c r="L9" s="1"/>
      <c r="M9" s="1"/>
      <c r="N9" s="1"/>
      <c r="O9" s="1"/>
      <c r="P9" s="1"/>
      <c r="Q9" s="1"/>
      <c r="R9" s="1"/>
      <c r="S9" s="1"/>
      <c r="T9" s="1"/>
      <c r="U9" s="1"/>
      <c r="V9" s="1"/>
      <c r="W9" s="1"/>
      <c r="X9" s="1"/>
      <c r="Y9" s="1"/>
      <c r="Z9" s="1"/>
      <c r="AA9" s="1"/>
      <c r="AB9" s="1"/>
      <c r="AC9" s="1"/>
      <c r="AD9" s="2"/>
      <c r="AE9" s="1"/>
      <c r="AF9" s="1"/>
      <c r="AG9" s="1"/>
      <c r="AH9" s="1"/>
      <c r="AI9" s="1"/>
      <c r="AJ9" s="1"/>
      <c r="AK9" s="1"/>
      <c r="AL9" s="1"/>
      <c r="AM9" s="1"/>
      <c r="AN9" s="1"/>
      <c r="AO9" s="1"/>
      <c r="AP9" s="1"/>
      <c r="AQ9" s="1"/>
      <c r="AR9" s="1"/>
      <c r="AS9" s="1"/>
      <c r="AT9" s="1"/>
      <c r="AU9" s="1"/>
      <c r="AV9" s="1"/>
      <c r="AW9" s="1"/>
      <c r="AX9" s="1"/>
    </row>
    <row r="10" ht="15.75" customHeight="1">
      <c r="A10" s="2"/>
      <c r="B10" s="2"/>
      <c r="C10" s="1"/>
      <c r="D10" s="2"/>
      <c r="E10" s="66"/>
      <c r="F10" s="2"/>
      <c r="G10" s="2"/>
      <c r="H10" s="1"/>
      <c r="I10" s="1"/>
      <c r="J10" s="1"/>
      <c r="K10" s="1"/>
      <c r="L10" s="2"/>
      <c r="M10" s="1"/>
      <c r="N10" s="1"/>
      <c r="O10" s="1"/>
      <c r="P10" s="1"/>
      <c r="Q10" s="1"/>
      <c r="R10" s="1"/>
      <c r="S10" s="1"/>
      <c r="T10" s="1"/>
      <c r="U10" s="1"/>
      <c r="V10" s="1"/>
      <c r="W10" s="1"/>
      <c r="X10" s="1"/>
      <c r="Y10" s="1"/>
      <c r="Z10" s="1"/>
      <c r="AA10" s="1"/>
      <c r="AB10" s="1"/>
      <c r="AC10" s="1"/>
      <c r="AD10" s="2"/>
      <c r="AE10" s="1"/>
      <c r="AF10" s="1"/>
      <c r="AG10" s="1"/>
      <c r="AH10" s="1"/>
      <c r="AI10" s="1"/>
      <c r="AJ10" s="1"/>
      <c r="AK10" s="1"/>
      <c r="AL10" s="1"/>
      <c r="AM10" s="1"/>
      <c r="AN10" s="1"/>
      <c r="AO10" s="1"/>
      <c r="AP10" s="1"/>
      <c r="AQ10" s="1"/>
      <c r="AR10" s="1"/>
      <c r="AS10" s="1"/>
      <c r="AT10" s="1"/>
      <c r="AU10" s="1"/>
      <c r="AV10" s="1"/>
      <c r="AW10" s="1"/>
      <c r="AX10" s="1"/>
    </row>
    <row r="11" ht="15.75" customHeight="1">
      <c r="A11" s="2"/>
      <c r="B11" s="2"/>
      <c r="C11" s="1"/>
      <c r="D11" s="2"/>
      <c r="E11" s="66"/>
      <c r="F11" s="2"/>
      <c r="G11" s="2"/>
      <c r="H11" s="1"/>
      <c r="I11" s="1"/>
      <c r="J11" s="1"/>
      <c r="K11" s="1"/>
      <c r="L11" s="1"/>
      <c r="M11" s="1"/>
      <c r="N11" s="2"/>
      <c r="O11" s="1"/>
      <c r="P11" s="1"/>
      <c r="Q11" s="1"/>
      <c r="R11" s="1"/>
      <c r="S11" s="1"/>
      <c r="T11" s="1"/>
      <c r="U11" s="1"/>
      <c r="V11" s="1"/>
      <c r="W11" s="1"/>
      <c r="X11" s="1"/>
      <c r="Y11" s="1"/>
      <c r="Z11" s="1"/>
      <c r="AA11" s="1"/>
      <c r="AB11" s="1"/>
      <c r="AC11" s="1"/>
      <c r="AD11" s="67"/>
      <c r="AE11" s="1"/>
      <c r="AF11" s="1"/>
      <c r="AG11" s="1"/>
      <c r="AH11" s="1"/>
      <c r="AI11" s="1"/>
      <c r="AJ11" s="1"/>
      <c r="AK11" s="1"/>
      <c r="AL11" s="1"/>
      <c r="AM11" s="1"/>
      <c r="AN11" s="1"/>
      <c r="AO11" s="1"/>
      <c r="AP11" s="1"/>
      <c r="AQ11" s="1"/>
      <c r="AR11" s="1"/>
      <c r="AS11" s="1"/>
      <c r="AT11" s="1"/>
      <c r="AU11" s="1"/>
      <c r="AV11" s="1"/>
      <c r="AW11" s="1"/>
      <c r="AX11" s="1"/>
    </row>
    <row r="12" ht="15.75" customHeight="1">
      <c r="A12" s="2"/>
      <c r="B12" s="2"/>
      <c r="C12" s="1"/>
      <c r="D12" s="2"/>
      <c r="E12" s="66"/>
      <c r="F12" s="2"/>
      <c r="G12" s="2"/>
      <c r="H12" s="2"/>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row>
    <row r="13" ht="15.75" customHeight="1">
      <c r="A13" s="2"/>
      <c r="B13" s="2"/>
      <c r="C13" s="1"/>
      <c r="D13" s="2"/>
      <c r="E13" s="66"/>
      <c r="F13" s="2"/>
      <c r="G13" s="2"/>
      <c r="H13" s="1"/>
      <c r="I13" s="1"/>
      <c r="J13" s="1"/>
      <c r="K13" s="1"/>
      <c r="L13" s="2"/>
      <c r="M13" s="1"/>
      <c r="N13" s="2"/>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row>
    <row r="14" ht="15.75" customHeight="1">
      <c r="A14" s="68"/>
      <c r="B14" s="2"/>
      <c r="C14" s="1"/>
      <c r="D14" s="2"/>
      <c r="E14" s="66"/>
      <c r="F14" s="2"/>
      <c r="G14" s="2"/>
      <c r="H14" s="1"/>
      <c r="I14" s="1"/>
      <c r="J14" s="1"/>
      <c r="K14" s="1"/>
      <c r="L14" s="1"/>
      <c r="M14" s="1"/>
      <c r="N14" s="1"/>
      <c r="O14" s="1"/>
      <c r="P14" s="1"/>
      <c r="Q14" s="1"/>
      <c r="R14" s="1"/>
      <c r="S14" s="1"/>
      <c r="T14" s="1"/>
      <c r="U14" s="1"/>
      <c r="V14" s="1"/>
      <c r="W14" s="1"/>
      <c r="X14" s="1"/>
      <c r="Y14" s="1"/>
      <c r="Z14" s="1"/>
      <c r="AA14" s="1"/>
      <c r="AB14" s="1"/>
      <c r="AC14" s="1"/>
      <c r="AD14" s="67"/>
      <c r="AE14" s="1"/>
      <c r="AF14" s="1"/>
      <c r="AG14" s="1"/>
      <c r="AH14" s="1"/>
      <c r="AI14" s="1"/>
      <c r="AJ14" s="1"/>
      <c r="AK14" s="1"/>
      <c r="AL14" s="1"/>
      <c r="AM14" s="1"/>
      <c r="AN14" s="1"/>
      <c r="AO14" s="1"/>
      <c r="AP14" s="1"/>
      <c r="AQ14" s="1"/>
      <c r="AR14" s="1"/>
      <c r="AS14" s="1"/>
      <c r="AT14" s="1"/>
      <c r="AU14" s="1"/>
      <c r="AV14" s="1"/>
      <c r="AW14" s="1"/>
      <c r="AX14" s="1"/>
    </row>
    <row r="15" ht="15.75" customHeight="1">
      <c r="A15" s="68"/>
      <c r="B15" s="2"/>
      <c r="C15" s="1"/>
      <c r="D15" s="2"/>
      <c r="E15" s="66"/>
      <c r="F15" s="2"/>
      <c r="G15" s="2"/>
      <c r="H15" s="1"/>
      <c r="I15" s="1"/>
      <c r="J15" s="1"/>
      <c r="K15" s="1"/>
      <c r="L15" s="2"/>
      <c r="M15" s="1"/>
      <c r="N15" s="1"/>
      <c r="O15" s="1"/>
      <c r="P15" s="1"/>
      <c r="Q15" s="1"/>
      <c r="R15" s="2"/>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row>
    <row r="16" ht="15.75" customHeight="1">
      <c r="A16" s="2"/>
      <c r="B16" s="2"/>
      <c r="C16" s="1"/>
      <c r="D16" s="2"/>
      <c r="E16" s="66"/>
      <c r="F16" s="2"/>
      <c r="G16" s="2"/>
      <c r="H16" s="1"/>
      <c r="I16" s="1"/>
      <c r="J16" s="1"/>
      <c r="K16" s="1"/>
      <c r="L16" s="2"/>
      <c r="M16" s="1"/>
      <c r="N16" s="1"/>
      <c r="O16" s="1"/>
      <c r="P16" s="1"/>
      <c r="Q16" s="1"/>
      <c r="R16" s="2"/>
      <c r="S16" s="1"/>
      <c r="T16" s="1"/>
      <c r="U16" s="1"/>
      <c r="V16" s="1"/>
      <c r="W16" s="1"/>
      <c r="X16" s="1"/>
      <c r="Y16" s="1"/>
      <c r="Z16" s="1"/>
      <c r="AA16" s="1"/>
      <c r="AB16" s="1"/>
      <c r="AC16" s="2"/>
      <c r="AD16" s="1"/>
      <c r="AE16" s="1"/>
      <c r="AF16" s="1"/>
      <c r="AG16" s="1"/>
      <c r="AH16" s="1"/>
      <c r="AI16" s="1"/>
      <c r="AJ16" s="1"/>
      <c r="AK16" s="1"/>
      <c r="AL16" s="1"/>
      <c r="AM16" s="1"/>
      <c r="AN16" s="1"/>
      <c r="AO16" s="1"/>
      <c r="AP16" s="1"/>
      <c r="AQ16" s="1"/>
      <c r="AR16" s="1"/>
      <c r="AS16" s="1"/>
      <c r="AT16" s="1"/>
      <c r="AU16" s="1"/>
      <c r="AV16" s="1"/>
      <c r="AW16" s="1"/>
      <c r="AX16" s="1"/>
    </row>
    <row r="17" ht="15.75" customHeight="1">
      <c r="A17" s="68"/>
      <c r="B17" s="2"/>
      <c r="C17" s="1"/>
      <c r="D17" s="2"/>
      <c r="E17" s="66"/>
      <c r="F17" s="2"/>
      <c r="G17" s="2"/>
      <c r="H17" s="1"/>
      <c r="I17" s="1"/>
      <c r="J17" s="1"/>
      <c r="K17" s="1"/>
      <c r="L17" s="1"/>
      <c r="M17" s="1"/>
      <c r="N17" s="2"/>
      <c r="O17" s="2"/>
      <c r="P17" s="1"/>
      <c r="Q17" s="2"/>
      <c r="R17" s="1"/>
      <c r="S17" s="1"/>
      <c r="T17" s="1"/>
      <c r="U17" s="1"/>
      <c r="V17" s="1"/>
      <c r="W17" s="1"/>
      <c r="X17" s="1"/>
      <c r="Y17" s="1"/>
      <c r="Z17" s="1"/>
      <c r="AA17" s="1"/>
      <c r="AB17" s="1"/>
      <c r="AC17" s="1"/>
      <c r="AD17" s="67"/>
      <c r="AE17" s="1"/>
      <c r="AF17" s="1"/>
      <c r="AG17" s="1"/>
      <c r="AH17" s="1"/>
      <c r="AI17" s="1"/>
      <c r="AJ17" s="1"/>
      <c r="AK17" s="1"/>
      <c r="AL17" s="1"/>
      <c r="AM17" s="1"/>
      <c r="AN17" s="1"/>
      <c r="AO17" s="1"/>
      <c r="AP17" s="1"/>
      <c r="AQ17" s="1"/>
      <c r="AR17" s="1"/>
      <c r="AS17" s="1"/>
      <c r="AT17" s="1"/>
      <c r="AU17" s="1"/>
      <c r="AV17" s="1"/>
      <c r="AW17" s="1"/>
      <c r="AX17" s="1"/>
    </row>
    <row r="18" ht="15.75" customHeight="1">
      <c r="A18" s="68"/>
      <c r="B18" s="2"/>
      <c r="C18" s="1"/>
      <c r="D18" s="2"/>
      <c r="E18" s="66"/>
      <c r="F18" s="2"/>
      <c r="G18" s="2"/>
      <c r="H18" s="1"/>
      <c r="I18" s="1"/>
      <c r="J18" s="2"/>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row>
    <row r="19" ht="15.75" customHeight="1">
      <c r="A19" s="68"/>
      <c r="B19" s="2"/>
      <c r="C19" s="1"/>
      <c r="D19" s="2"/>
      <c r="E19" s="66"/>
      <c r="F19" s="2"/>
      <c r="G19" s="2"/>
      <c r="H19" s="1"/>
      <c r="I19" s="1"/>
      <c r="J19" s="1"/>
      <c r="K19" s="1"/>
      <c r="L19" s="1"/>
      <c r="M19" s="1"/>
      <c r="N19" s="1"/>
      <c r="O19" s="1"/>
      <c r="P19" s="1"/>
      <c r="Q19" s="1"/>
      <c r="R19" s="1"/>
      <c r="S19" s="1"/>
      <c r="T19" s="1"/>
      <c r="U19" s="1"/>
      <c r="V19" s="1"/>
      <c r="W19" s="1"/>
      <c r="X19" s="1"/>
      <c r="Y19" s="1"/>
      <c r="Z19" s="1"/>
      <c r="AA19" s="1"/>
      <c r="AB19" s="1"/>
      <c r="AC19" s="1"/>
      <c r="AD19" s="2"/>
      <c r="AE19" s="1"/>
      <c r="AF19" s="1"/>
      <c r="AG19" s="1"/>
      <c r="AH19" s="1"/>
      <c r="AI19" s="1"/>
      <c r="AJ19" s="1"/>
      <c r="AK19" s="1"/>
      <c r="AL19" s="1"/>
      <c r="AM19" s="1"/>
      <c r="AN19" s="1"/>
      <c r="AO19" s="1"/>
      <c r="AP19" s="1"/>
      <c r="AQ19" s="1"/>
      <c r="AR19" s="1"/>
      <c r="AS19" s="1"/>
      <c r="AT19" s="1"/>
      <c r="AU19" s="1"/>
      <c r="AV19" s="1"/>
      <c r="AW19" s="1"/>
      <c r="AX19" s="1"/>
    </row>
    <row r="20" ht="15.75" customHeight="1">
      <c r="A20" s="2"/>
      <c r="B20" s="2"/>
      <c r="C20" s="2"/>
      <c r="D20" s="2"/>
      <c r="E20" s="66"/>
      <c r="F20" s="2"/>
      <c r="G20" s="2"/>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row>
    <row r="21" ht="15.75" customHeight="1">
      <c r="A21" s="68"/>
      <c r="B21" s="2"/>
      <c r="C21" s="1"/>
      <c r="D21" s="2"/>
      <c r="E21" s="66"/>
      <c r="F21" s="2"/>
      <c r="G21" s="67"/>
      <c r="H21" s="1"/>
      <c r="I21" s="1"/>
      <c r="J21" s="1"/>
      <c r="K21" s="1"/>
      <c r="L21" s="1"/>
      <c r="M21" s="1"/>
      <c r="N21" s="67"/>
      <c r="O21" s="1"/>
      <c r="P21" s="1"/>
      <c r="Q21" s="1"/>
      <c r="R21" s="1"/>
      <c r="S21" s="1"/>
      <c r="T21" s="1"/>
      <c r="U21" s="1"/>
      <c r="V21" s="1"/>
      <c r="W21" s="1"/>
      <c r="X21" s="1"/>
      <c r="Y21" s="1"/>
      <c r="Z21" s="1"/>
      <c r="AA21" s="1"/>
      <c r="AB21" s="1"/>
      <c r="AC21" s="1"/>
      <c r="AD21" s="67"/>
      <c r="AE21" s="1"/>
      <c r="AF21" s="1"/>
      <c r="AG21" s="1"/>
      <c r="AH21" s="1"/>
      <c r="AI21" s="1"/>
      <c r="AJ21" s="1"/>
      <c r="AK21" s="1"/>
      <c r="AL21" s="1"/>
      <c r="AM21" s="1"/>
      <c r="AN21" s="1"/>
      <c r="AO21" s="1"/>
      <c r="AP21" s="1"/>
      <c r="AQ21" s="1"/>
      <c r="AR21" s="1"/>
      <c r="AS21" s="1"/>
      <c r="AT21" s="1"/>
      <c r="AU21" s="1"/>
      <c r="AV21" s="1"/>
      <c r="AW21" s="1"/>
      <c r="AX21" s="1"/>
    </row>
    <row r="22" ht="15.75" customHeight="1">
      <c r="A22" s="68"/>
      <c r="B22" s="2"/>
      <c r="C22" s="1"/>
      <c r="D22" s="2"/>
      <c r="E22" s="66"/>
      <c r="F22" s="1"/>
      <c r="G22" s="1"/>
      <c r="H22" s="2"/>
      <c r="I22" s="1"/>
      <c r="J22" s="1"/>
      <c r="K22" s="1"/>
      <c r="L22" s="1"/>
      <c r="M22" s="1"/>
      <c r="N22" s="1"/>
      <c r="O22" s="1"/>
      <c r="P22" s="1"/>
      <c r="Q22" s="1"/>
      <c r="R22" s="1"/>
      <c r="S22" s="1"/>
      <c r="T22" s="1"/>
      <c r="U22" s="1"/>
      <c r="V22" s="1"/>
      <c r="W22" s="1"/>
      <c r="X22" s="1"/>
      <c r="Y22" s="1"/>
      <c r="Z22" s="1"/>
      <c r="AA22" s="1"/>
      <c r="AB22" s="1"/>
      <c r="AC22" s="1"/>
      <c r="AD22" s="67"/>
      <c r="AE22" s="1"/>
      <c r="AF22" s="1"/>
      <c r="AG22" s="1"/>
      <c r="AH22" s="1"/>
      <c r="AI22" s="1"/>
      <c r="AJ22" s="1"/>
      <c r="AK22" s="1"/>
      <c r="AL22" s="1"/>
      <c r="AM22" s="1"/>
      <c r="AN22" s="1"/>
      <c r="AO22" s="1"/>
      <c r="AP22" s="1"/>
      <c r="AQ22" s="1"/>
      <c r="AR22" s="1"/>
      <c r="AS22" s="1"/>
      <c r="AT22" s="1"/>
      <c r="AU22" s="1"/>
      <c r="AV22" s="1"/>
      <c r="AW22" s="1"/>
      <c r="AX22" s="1"/>
    </row>
    <row r="23" ht="15.75" customHeight="1">
      <c r="A23" s="68"/>
      <c r="B23" s="2"/>
      <c r="C23" s="1"/>
      <c r="D23" s="2"/>
      <c r="E23" s="66"/>
      <c r="F23" s="1"/>
      <c r="G23" s="1"/>
      <c r="H23" s="1"/>
      <c r="I23" s="1"/>
      <c r="J23" s="1"/>
      <c r="K23" s="1"/>
      <c r="L23" s="1"/>
      <c r="M23" s="1"/>
      <c r="N23" s="1"/>
      <c r="O23" s="1"/>
      <c r="P23" s="1"/>
      <c r="Q23" s="1"/>
      <c r="R23" s="1"/>
      <c r="S23" s="1"/>
      <c r="T23" s="1"/>
      <c r="U23" s="1"/>
      <c r="V23" s="1"/>
      <c r="W23" s="1"/>
      <c r="X23" s="1"/>
      <c r="Y23" s="1"/>
      <c r="Z23" s="1"/>
      <c r="AA23" s="1"/>
      <c r="AB23" s="1"/>
      <c r="AC23" s="1"/>
      <c r="AD23" s="67"/>
      <c r="AE23" s="1"/>
      <c r="AF23" s="1"/>
      <c r="AG23" s="1"/>
      <c r="AH23" s="1"/>
      <c r="AI23" s="1"/>
      <c r="AJ23" s="1"/>
      <c r="AK23" s="1"/>
      <c r="AL23" s="1"/>
      <c r="AM23" s="1"/>
      <c r="AN23" s="1"/>
      <c r="AO23" s="1"/>
      <c r="AP23" s="1"/>
      <c r="AQ23" s="1"/>
      <c r="AR23" s="1"/>
      <c r="AS23" s="1"/>
      <c r="AT23" s="1"/>
      <c r="AU23" s="1"/>
      <c r="AV23" s="1"/>
      <c r="AW23" s="1"/>
      <c r="AX23" s="1"/>
    </row>
    <row r="24" ht="15.75" customHeight="1">
      <c r="A24" s="68"/>
      <c r="B24" s="2"/>
      <c r="C24" s="1"/>
      <c r="D24" s="2"/>
      <c r="E24" s="66"/>
      <c r="F24" s="2"/>
      <c r="G24" s="1"/>
      <c r="H24" s="1"/>
      <c r="I24" s="1"/>
      <c r="J24" s="1"/>
      <c r="K24" s="1"/>
      <c r="L24" s="1"/>
      <c r="M24" s="1"/>
      <c r="N24" s="1"/>
      <c r="O24" s="1"/>
      <c r="P24" s="1"/>
      <c r="Q24" s="2"/>
      <c r="R24" s="1"/>
      <c r="S24" s="1"/>
      <c r="T24" s="1"/>
      <c r="U24" s="1"/>
      <c r="V24" s="1"/>
      <c r="W24" s="1"/>
      <c r="X24" s="1"/>
      <c r="Y24" s="1"/>
      <c r="Z24" s="1"/>
      <c r="AA24" s="1"/>
      <c r="AB24" s="1"/>
      <c r="AC24" s="1"/>
      <c r="AD24" s="67"/>
      <c r="AE24" s="1"/>
      <c r="AF24" s="1"/>
      <c r="AG24" s="1"/>
      <c r="AH24" s="1"/>
      <c r="AI24" s="1"/>
      <c r="AJ24" s="1"/>
      <c r="AK24" s="1"/>
      <c r="AL24" s="1"/>
      <c r="AM24" s="1"/>
      <c r="AN24" s="1"/>
      <c r="AO24" s="1"/>
      <c r="AP24" s="1"/>
      <c r="AQ24" s="1"/>
      <c r="AR24" s="1"/>
      <c r="AS24" s="1"/>
      <c r="AT24" s="1"/>
      <c r="AU24" s="1"/>
      <c r="AV24" s="1"/>
      <c r="AW24" s="1"/>
      <c r="AX24" s="1"/>
    </row>
    <row r="25" ht="15.75" customHeight="1">
      <c r="A25" s="2"/>
      <c r="B25" s="2"/>
      <c r="C25" s="1"/>
      <c r="D25" s="2"/>
      <c r="E25" s="66"/>
      <c r="F25" s="2"/>
      <c r="G25" s="1"/>
      <c r="H25" s="1"/>
      <c r="I25" s="1"/>
      <c r="J25" s="1"/>
      <c r="K25" s="1"/>
      <c r="L25" s="1"/>
      <c r="M25" s="1"/>
      <c r="N25" s="2"/>
      <c r="O25" s="1"/>
      <c r="P25" s="1"/>
      <c r="Q25" s="2"/>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row>
    <row r="26" ht="15.75" customHeight="1">
      <c r="A26" s="2"/>
      <c r="B26" s="2"/>
      <c r="C26" s="1"/>
      <c r="D26" s="2"/>
      <c r="E26" s="66"/>
      <c r="F26" s="1"/>
      <c r="G26" s="1"/>
      <c r="H26" s="1"/>
      <c r="I26" s="1"/>
      <c r="J26" s="1"/>
      <c r="K26" s="1"/>
      <c r="L26" s="1"/>
      <c r="M26" s="1"/>
      <c r="N26" s="1"/>
      <c r="O26" s="1"/>
      <c r="P26" s="1"/>
      <c r="Q26" s="1"/>
      <c r="R26" s="1"/>
      <c r="S26" s="1"/>
      <c r="T26" s="1"/>
      <c r="U26" s="1"/>
      <c r="V26" s="1"/>
      <c r="W26" s="1"/>
      <c r="X26" s="1"/>
      <c r="Y26" s="1"/>
      <c r="Z26" s="1"/>
      <c r="AA26" s="1"/>
      <c r="AB26" s="1"/>
      <c r="AC26" s="1"/>
      <c r="AD26" s="2"/>
      <c r="AE26" s="1"/>
      <c r="AF26" s="1"/>
      <c r="AG26" s="1"/>
      <c r="AH26" s="1"/>
      <c r="AI26" s="1"/>
      <c r="AJ26" s="1"/>
      <c r="AK26" s="1"/>
      <c r="AL26" s="1"/>
      <c r="AM26" s="1"/>
      <c r="AN26" s="1"/>
      <c r="AO26" s="1"/>
      <c r="AP26" s="1"/>
      <c r="AQ26" s="1"/>
      <c r="AR26" s="1"/>
      <c r="AS26" s="1"/>
      <c r="AT26" s="1"/>
      <c r="AU26" s="1"/>
      <c r="AV26" s="1"/>
      <c r="AW26" s="1"/>
      <c r="AX26" s="1"/>
    </row>
    <row r="27" ht="15.75" customHeight="1">
      <c r="A27" s="2"/>
      <c r="B27" s="2"/>
      <c r="C27" s="1"/>
      <c r="D27" s="2"/>
      <c r="E27" s="66"/>
      <c r="F27" s="2"/>
      <c r="G27" s="1"/>
      <c r="H27" s="1"/>
      <c r="I27" s="1"/>
      <c r="J27" s="2"/>
      <c r="K27" s="1"/>
      <c r="L27" s="1"/>
      <c r="M27" s="1"/>
      <c r="N27" s="1"/>
      <c r="O27" s="1"/>
      <c r="P27" s="1"/>
      <c r="Q27" s="1"/>
      <c r="R27" s="1"/>
      <c r="S27" s="1"/>
      <c r="T27" s="1"/>
      <c r="U27" s="1"/>
      <c r="V27" s="1"/>
      <c r="W27" s="1"/>
      <c r="X27" s="1"/>
      <c r="Y27" s="1"/>
      <c r="Z27" s="1"/>
      <c r="AA27" s="1"/>
      <c r="AB27" s="1"/>
      <c r="AC27" s="1"/>
      <c r="AD27" s="2"/>
      <c r="AE27" s="1"/>
      <c r="AF27" s="1"/>
      <c r="AG27" s="1"/>
      <c r="AH27" s="1"/>
      <c r="AI27" s="1"/>
      <c r="AJ27" s="1"/>
      <c r="AK27" s="1"/>
      <c r="AL27" s="1"/>
      <c r="AM27" s="1"/>
      <c r="AN27" s="1"/>
      <c r="AO27" s="1"/>
      <c r="AP27" s="1"/>
      <c r="AQ27" s="1"/>
      <c r="AR27" s="1"/>
      <c r="AS27" s="1"/>
      <c r="AT27" s="1"/>
      <c r="AU27" s="1"/>
      <c r="AV27" s="1"/>
      <c r="AW27" s="1"/>
      <c r="AX27" s="1"/>
    </row>
    <row r="28" ht="15.75" customHeight="1">
      <c r="A28" s="2"/>
      <c r="B28" s="2"/>
      <c r="C28" s="1"/>
      <c r="D28" s="2"/>
      <c r="E28" s="66"/>
      <c r="F28" s="2"/>
      <c r="G28" s="2"/>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row>
    <row r="29" ht="15.75" customHeight="1">
      <c r="A29" s="2"/>
      <c r="B29" s="2"/>
      <c r="C29" s="1"/>
      <c r="D29" s="2"/>
      <c r="E29" s="66"/>
      <c r="F29" s="2"/>
      <c r="G29" s="2"/>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row>
    <row r="30" ht="15.75" customHeight="1">
      <c r="A30" s="2"/>
      <c r="B30" s="2"/>
      <c r="C30" s="1"/>
      <c r="D30" s="2"/>
      <c r="E30" s="66"/>
      <c r="F30" s="2"/>
      <c r="G30" s="1"/>
      <c r="H30" s="1"/>
      <c r="I30" s="1"/>
      <c r="J30" s="1"/>
      <c r="K30" s="1"/>
      <c r="L30" s="1"/>
      <c r="M30" s="1"/>
      <c r="N30" s="1"/>
      <c r="O30" s="1"/>
      <c r="P30" s="1"/>
      <c r="Q30" s="2"/>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row>
    <row r="31" ht="15.75" customHeight="1">
      <c r="A31" s="2"/>
      <c r="B31" s="2"/>
      <c r="C31" s="1"/>
      <c r="D31" s="2"/>
      <c r="E31" s="66"/>
      <c r="F31" s="2"/>
      <c r="G31" s="2"/>
      <c r="H31" s="1"/>
      <c r="I31" s="1"/>
      <c r="J31" s="1"/>
      <c r="K31" s="1"/>
      <c r="L31" s="1"/>
      <c r="M31" s="1"/>
      <c r="N31" s="1"/>
      <c r="O31" s="1"/>
      <c r="P31" s="1"/>
      <c r="Q31" s="1"/>
      <c r="R31" s="1"/>
      <c r="S31" s="1"/>
      <c r="T31" s="1"/>
      <c r="U31" s="1"/>
      <c r="V31" s="1"/>
      <c r="W31" s="1"/>
      <c r="X31" s="1"/>
      <c r="Y31" s="1"/>
      <c r="Z31" s="1"/>
      <c r="AA31" s="1"/>
      <c r="AB31" s="1"/>
      <c r="AC31" s="1"/>
      <c r="AD31" s="2"/>
      <c r="AE31" s="1"/>
      <c r="AF31" s="1"/>
      <c r="AG31" s="1"/>
      <c r="AH31" s="1"/>
      <c r="AI31" s="1"/>
      <c r="AJ31" s="1"/>
      <c r="AK31" s="1"/>
      <c r="AL31" s="1"/>
      <c r="AM31" s="1"/>
      <c r="AN31" s="1"/>
      <c r="AO31" s="1"/>
      <c r="AP31" s="1"/>
      <c r="AQ31" s="1"/>
      <c r="AR31" s="1"/>
      <c r="AS31" s="1"/>
      <c r="AT31" s="1"/>
      <c r="AU31" s="1"/>
      <c r="AV31" s="1"/>
      <c r="AW31" s="1"/>
      <c r="AX31" s="1"/>
    </row>
    <row r="32" ht="15.75" customHeight="1">
      <c r="A32" s="2"/>
      <c r="B32" s="2"/>
      <c r="C32" s="1"/>
      <c r="D32" s="2"/>
      <c r="E32" s="66"/>
      <c r="F32" s="2"/>
      <c r="G32" s="2"/>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row>
    <row r="33" ht="15.75" customHeight="1">
      <c r="A33" s="2"/>
      <c r="B33" s="2"/>
      <c r="C33" s="1"/>
      <c r="D33" s="2"/>
      <c r="E33" s="66"/>
      <c r="F33" s="2"/>
      <c r="G33" s="2"/>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row>
    <row r="34" ht="15.75" customHeight="1">
      <c r="A34" s="2"/>
      <c r="B34" s="2"/>
      <c r="C34" s="1"/>
      <c r="D34" s="2"/>
      <c r="E34" s="66"/>
      <c r="F34" s="2"/>
      <c r="G34" s="2"/>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row>
    <row r="35" ht="15.75" customHeight="1">
      <c r="A35" s="2"/>
      <c r="B35" s="2"/>
      <c r="C35" s="1"/>
      <c r="D35" s="2"/>
      <c r="E35" s="66"/>
      <c r="F35" s="2"/>
      <c r="G35" s="1"/>
      <c r="H35" s="1"/>
      <c r="I35" s="1"/>
      <c r="J35" s="1"/>
      <c r="K35" s="1"/>
      <c r="L35" s="1"/>
      <c r="M35" s="2"/>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row>
    <row r="36" ht="15.75" customHeight="1">
      <c r="A36" s="2"/>
      <c r="B36" s="2"/>
      <c r="C36" s="1"/>
      <c r="D36" s="2"/>
      <c r="E36" s="66"/>
      <c r="F36" s="2"/>
      <c r="G36" s="2"/>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row>
    <row r="37" ht="15.75" customHeight="1">
      <c r="A37" s="2"/>
      <c r="B37" s="2"/>
      <c r="C37" s="1"/>
      <c r="D37" s="2"/>
      <c r="E37" s="66"/>
      <c r="F37" s="2"/>
      <c r="G37" s="2"/>
      <c r="H37" s="1"/>
      <c r="I37" s="1"/>
      <c r="J37" s="1"/>
      <c r="K37" s="1"/>
      <c r="L37" s="1"/>
      <c r="M37" s="2"/>
      <c r="N37" s="1"/>
      <c r="O37" s="1"/>
      <c r="P37" s="2"/>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row>
    <row r="38" ht="15.75" customHeight="1">
      <c r="A38" s="2"/>
      <c r="B38" s="2"/>
      <c r="C38" s="1"/>
      <c r="D38" s="2"/>
      <c r="E38" s="66"/>
      <c r="F38" s="2"/>
      <c r="G38" s="2"/>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row>
    <row r="39" ht="15.75" customHeight="1">
      <c r="A39" s="2"/>
      <c r="B39" s="2"/>
      <c r="C39" s="1"/>
      <c r="D39" s="2"/>
      <c r="E39" s="66"/>
      <c r="F39" s="2"/>
      <c r="G39" s="2"/>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row>
    <row r="40" ht="15.75" customHeight="1">
      <c r="A40" s="2"/>
      <c r="B40" s="2"/>
      <c r="C40" s="1"/>
      <c r="D40" s="2"/>
      <c r="E40" s="66"/>
      <c r="F40" s="2"/>
      <c r="G40" s="2"/>
      <c r="H40" s="1"/>
      <c r="I40" s="1"/>
      <c r="J40" s="1"/>
      <c r="K40" s="1"/>
      <c r="L40" s="1"/>
      <c r="M40" s="1"/>
      <c r="N40" s="1"/>
      <c r="O40" s="1"/>
      <c r="P40" s="1"/>
      <c r="Q40" s="1"/>
      <c r="R40" s="1"/>
      <c r="S40" s="1"/>
      <c r="T40" s="1"/>
      <c r="U40" s="1"/>
      <c r="V40" s="1"/>
      <c r="W40" s="1"/>
      <c r="X40" s="1"/>
      <c r="Y40" s="1"/>
      <c r="Z40" s="1"/>
      <c r="AA40" s="1"/>
      <c r="AB40" s="1"/>
      <c r="AC40" s="1"/>
      <c r="AD40" s="2"/>
      <c r="AE40" s="1"/>
      <c r="AF40" s="1"/>
      <c r="AG40" s="1"/>
      <c r="AH40" s="1"/>
      <c r="AI40" s="1"/>
      <c r="AJ40" s="1"/>
      <c r="AK40" s="1"/>
      <c r="AL40" s="1"/>
      <c r="AM40" s="1"/>
      <c r="AN40" s="1"/>
      <c r="AO40" s="1"/>
      <c r="AP40" s="1"/>
      <c r="AQ40" s="1"/>
      <c r="AR40" s="1"/>
      <c r="AS40" s="1"/>
      <c r="AT40" s="1"/>
      <c r="AU40" s="1"/>
      <c r="AV40" s="1"/>
      <c r="AW40" s="1"/>
      <c r="AX40" s="1"/>
    </row>
    <row r="41" ht="15.75" customHeight="1">
      <c r="A41" s="2"/>
      <c r="B41" s="2"/>
      <c r="C41" s="1"/>
      <c r="D41" s="2"/>
      <c r="E41" s="66"/>
      <c r="F41" s="2"/>
      <c r="G41" s="5"/>
      <c r="H41" s="1"/>
      <c r="I41" s="1"/>
      <c r="J41" s="1"/>
      <c r="K41" s="1"/>
      <c r="L41" s="1"/>
      <c r="M41" s="2"/>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row>
    <row r="42" ht="15.75" customHeight="1">
      <c r="A42" s="2"/>
      <c r="B42" s="2"/>
      <c r="C42" s="1"/>
      <c r="D42" s="2"/>
      <c r="E42" s="66"/>
      <c r="F42" s="2"/>
      <c r="G42" s="2"/>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row>
    <row r="43" ht="15.75" customHeight="1">
      <c r="A43" s="2"/>
      <c r="B43" s="2"/>
      <c r="C43" s="1"/>
      <c r="D43" s="2"/>
      <c r="E43" s="66"/>
      <c r="F43" s="2"/>
      <c r="G43" s="2"/>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row>
    <row r="44" ht="15.75" customHeight="1">
      <c r="A44" s="2"/>
      <c r="B44" s="2"/>
      <c r="C44" s="1"/>
      <c r="D44" s="2"/>
      <c r="E44" s="66"/>
      <c r="F44" s="2"/>
      <c r="G44" s="2"/>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row>
    <row r="45" ht="15.75" customHeight="1">
      <c r="A45" s="2"/>
      <c r="B45" s="2"/>
      <c r="C45" s="1"/>
      <c r="D45" s="2"/>
      <c r="E45" s="66"/>
      <c r="F45" s="2"/>
      <c r="G45" s="5"/>
      <c r="H45" s="1"/>
      <c r="I45" s="1"/>
      <c r="J45" s="1"/>
      <c r="K45" s="1"/>
      <c r="L45" s="1"/>
      <c r="M45" s="1"/>
      <c r="N45" s="1"/>
      <c r="O45" s="1"/>
      <c r="P45" s="1"/>
      <c r="Q45" s="1"/>
      <c r="R45" s="1"/>
      <c r="S45" s="1"/>
      <c r="T45" s="1"/>
      <c r="U45" s="1"/>
      <c r="V45" s="1"/>
      <c r="W45" s="1"/>
      <c r="X45" s="1"/>
      <c r="Y45" s="1"/>
      <c r="Z45" s="1"/>
      <c r="AA45" s="1"/>
      <c r="AB45" s="1"/>
      <c r="AC45" s="1"/>
      <c r="AD45" s="2"/>
      <c r="AE45" s="1"/>
      <c r="AF45" s="1"/>
      <c r="AG45" s="1"/>
      <c r="AH45" s="1"/>
      <c r="AI45" s="1"/>
      <c r="AJ45" s="1"/>
      <c r="AK45" s="1"/>
      <c r="AL45" s="1"/>
      <c r="AM45" s="1"/>
      <c r="AN45" s="1"/>
      <c r="AO45" s="1"/>
      <c r="AP45" s="1"/>
      <c r="AQ45" s="1"/>
      <c r="AR45" s="1"/>
      <c r="AS45" s="1"/>
      <c r="AT45" s="1"/>
      <c r="AU45" s="1"/>
      <c r="AV45" s="1"/>
      <c r="AW45" s="1"/>
      <c r="AX45" s="1"/>
    </row>
    <row r="46" ht="15.75" customHeight="1">
      <c r="A46" s="2"/>
      <c r="B46" s="2"/>
      <c r="C46" s="1"/>
      <c r="D46" s="2"/>
      <c r="E46" s="66"/>
      <c r="F46" s="2"/>
      <c r="G46" s="2"/>
      <c r="H46" s="1"/>
      <c r="I46" s="1"/>
      <c r="J46" s="1"/>
      <c r="K46" s="1"/>
      <c r="L46" s="1"/>
      <c r="M46" s="1"/>
      <c r="N46" s="1"/>
      <c r="O46" s="1"/>
      <c r="P46" s="1"/>
      <c r="Q46" s="1"/>
      <c r="R46" s="1"/>
      <c r="S46" s="1"/>
      <c r="T46" s="1"/>
      <c r="U46" s="1"/>
      <c r="V46" s="1"/>
      <c r="W46" s="1"/>
      <c r="X46" s="1"/>
      <c r="Y46" s="1"/>
      <c r="Z46" s="1"/>
      <c r="AA46" s="1"/>
      <c r="AB46" s="1"/>
      <c r="AC46" s="1"/>
      <c r="AD46" s="2"/>
      <c r="AE46" s="1"/>
      <c r="AF46" s="1"/>
      <c r="AG46" s="1"/>
      <c r="AH46" s="1"/>
      <c r="AI46" s="1"/>
      <c r="AJ46" s="1"/>
      <c r="AK46" s="1"/>
      <c r="AL46" s="1"/>
      <c r="AM46" s="1"/>
      <c r="AN46" s="1"/>
      <c r="AO46" s="1"/>
      <c r="AP46" s="1"/>
      <c r="AQ46" s="1"/>
      <c r="AR46" s="1"/>
      <c r="AS46" s="1"/>
      <c r="AT46" s="1"/>
      <c r="AU46" s="1"/>
      <c r="AV46" s="1"/>
      <c r="AW46" s="1"/>
      <c r="AX46" s="1"/>
    </row>
    <row r="47" ht="15.75" customHeight="1">
      <c r="A47" s="2"/>
      <c r="B47" s="2"/>
      <c r="C47" s="1"/>
      <c r="D47" s="2"/>
      <c r="E47" s="66"/>
      <c r="F47" s="2"/>
      <c r="G47" s="5"/>
      <c r="H47" s="1"/>
      <c r="I47" s="1"/>
      <c r="J47" s="1"/>
      <c r="K47" s="1"/>
      <c r="L47" s="1"/>
      <c r="M47" s="1"/>
      <c r="N47" s="1"/>
      <c r="O47" s="1"/>
      <c r="P47" s="1"/>
      <c r="Q47" s="1"/>
      <c r="R47" s="1"/>
      <c r="S47" s="1"/>
      <c r="T47" s="1"/>
      <c r="U47" s="1"/>
      <c r="V47" s="1"/>
      <c r="W47" s="1"/>
      <c r="X47" s="1"/>
      <c r="Y47" s="1"/>
      <c r="Z47" s="1"/>
      <c r="AA47" s="1"/>
      <c r="AB47" s="1"/>
      <c r="AC47" s="5"/>
      <c r="AD47" s="2"/>
      <c r="AE47" s="1"/>
      <c r="AF47" s="1"/>
      <c r="AG47" s="1"/>
      <c r="AH47" s="1"/>
      <c r="AI47" s="1"/>
      <c r="AJ47" s="1"/>
      <c r="AK47" s="1"/>
      <c r="AL47" s="1"/>
      <c r="AM47" s="1"/>
      <c r="AN47" s="1"/>
      <c r="AO47" s="1"/>
      <c r="AP47" s="1"/>
      <c r="AQ47" s="1"/>
      <c r="AR47" s="1"/>
      <c r="AS47" s="1"/>
      <c r="AT47" s="1"/>
      <c r="AU47" s="1"/>
      <c r="AV47" s="1"/>
      <c r="AW47" s="1"/>
      <c r="AX47" s="1"/>
    </row>
    <row r="48" ht="15.75" customHeight="1">
      <c r="A48" s="2"/>
      <c r="B48" s="2"/>
      <c r="C48" s="1"/>
      <c r="D48" s="2"/>
      <c r="E48" s="66"/>
      <c r="F48" s="2"/>
      <c r="G48" s="2"/>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row>
    <row r="49" ht="15.75" customHeight="1">
      <c r="A49" s="2"/>
      <c r="B49" s="2"/>
      <c r="C49" s="1"/>
      <c r="D49" s="2"/>
      <c r="E49" s="66"/>
      <c r="F49" s="2"/>
      <c r="G49" s="2"/>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row>
    <row r="50" ht="15.75" customHeight="1">
      <c r="A50" s="67"/>
      <c r="B50" s="2"/>
      <c r="C50" s="1"/>
      <c r="D50" s="2"/>
      <c r="E50" s="66"/>
      <c r="F50" s="2"/>
      <c r="G50" s="2"/>
      <c r="H50" s="1"/>
      <c r="I50" s="1"/>
      <c r="J50" s="1"/>
      <c r="K50" s="1"/>
      <c r="L50" s="1"/>
      <c r="M50" s="1"/>
      <c r="N50" s="2"/>
      <c r="O50" s="1"/>
      <c r="P50" s="1"/>
      <c r="Q50" s="2"/>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row>
    <row r="51" ht="15.75" customHeight="1">
      <c r="A51" s="67"/>
      <c r="B51" s="2"/>
      <c r="C51" s="1"/>
      <c r="D51" s="2"/>
      <c r="E51" s="66"/>
      <c r="F51" s="2"/>
      <c r="G51" s="2"/>
      <c r="H51" s="1"/>
      <c r="I51" s="1"/>
      <c r="J51" s="1"/>
      <c r="K51" s="1"/>
      <c r="L51" s="2"/>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row>
    <row r="52" ht="15.75" customHeight="1">
      <c r="A52" s="67"/>
      <c r="B52" s="2"/>
      <c r="C52" s="1"/>
      <c r="D52" s="2"/>
      <c r="E52" s="66"/>
      <c r="F52" s="2"/>
      <c r="G52" s="2"/>
      <c r="H52" s="1"/>
      <c r="I52" s="1"/>
      <c r="J52" s="1"/>
      <c r="K52" s="1"/>
      <c r="L52" s="2"/>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row>
    <row r="53" ht="15.75" customHeight="1">
      <c r="A53" s="2"/>
      <c r="B53" s="2"/>
      <c r="C53" s="1"/>
      <c r="D53" s="2"/>
      <c r="E53" s="66"/>
      <c r="F53" s="2"/>
      <c r="G53" s="2"/>
      <c r="H53" s="1"/>
      <c r="I53" s="1"/>
      <c r="J53" s="1"/>
      <c r="K53" s="1"/>
      <c r="L53" s="1"/>
      <c r="M53" s="1"/>
      <c r="N53" s="1"/>
      <c r="O53" s="1"/>
      <c r="P53" s="1"/>
      <c r="Q53" s="1"/>
      <c r="R53" s="1"/>
      <c r="S53" s="1"/>
      <c r="T53" s="1"/>
      <c r="U53" s="1"/>
      <c r="V53" s="1"/>
      <c r="W53" s="1"/>
      <c r="X53" s="1"/>
      <c r="Y53" s="1"/>
      <c r="Z53" s="1"/>
      <c r="AA53" s="1"/>
      <c r="AB53" s="1"/>
      <c r="AC53" s="1"/>
      <c r="AD53" s="2"/>
      <c r="AE53" s="1"/>
      <c r="AF53" s="1"/>
      <c r="AG53" s="1"/>
      <c r="AH53" s="1"/>
      <c r="AI53" s="1"/>
      <c r="AJ53" s="1"/>
      <c r="AK53" s="1"/>
      <c r="AL53" s="1"/>
      <c r="AM53" s="1"/>
      <c r="AN53" s="1"/>
      <c r="AO53" s="1"/>
      <c r="AP53" s="1"/>
      <c r="AQ53" s="1"/>
      <c r="AR53" s="1"/>
      <c r="AS53" s="1"/>
      <c r="AT53" s="1"/>
      <c r="AU53" s="1"/>
      <c r="AV53" s="1"/>
      <c r="AW53" s="1"/>
      <c r="AX53" s="1"/>
    </row>
    <row r="54" ht="15.75" customHeight="1">
      <c r="A54" s="2"/>
      <c r="B54" s="2"/>
      <c r="C54" s="1"/>
      <c r="D54" s="2"/>
      <c r="E54" s="66"/>
      <c r="F54" s="2"/>
      <c r="G54" s="2"/>
      <c r="H54" s="1"/>
      <c r="I54" s="1"/>
      <c r="J54" s="1"/>
      <c r="K54" s="1"/>
      <c r="L54" s="1"/>
      <c r="M54" s="1"/>
      <c r="N54" s="1"/>
      <c r="O54" s="1"/>
      <c r="P54" s="1"/>
      <c r="Q54" s="1"/>
      <c r="R54" s="1"/>
      <c r="S54" s="1"/>
      <c r="T54" s="1"/>
      <c r="U54" s="1"/>
      <c r="V54" s="1"/>
      <c r="W54" s="1"/>
      <c r="X54" s="1"/>
      <c r="Y54" s="1"/>
      <c r="Z54" s="1"/>
      <c r="AA54" s="1"/>
      <c r="AB54" s="1"/>
      <c r="AC54" s="1"/>
      <c r="AD54" s="2"/>
      <c r="AE54" s="1"/>
      <c r="AF54" s="1"/>
      <c r="AG54" s="1"/>
      <c r="AH54" s="1"/>
      <c r="AI54" s="1"/>
      <c r="AJ54" s="1"/>
      <c r="AK54" s="1"/>
      <c r="AL54" s="1"/>
      <c r="AM54" s="1"/>
      <c r="AN54" s="1"/>
      <c r="AO54" s="1"/>
      <c r="AP54" s="1"/>
      <c r="AQ54" s="1"/>
      <c r="AR54" s="1"/>
      <c r="AS54" s="1"/>
      <c r="AT54" s="1"/>
      <c r="AU54" s="1"/>
      <c r="AV54" s="1"/>
      <c r="AW54" s="1"/>
      <c r="AX54" s="1"/>
    </row>
    <row r="55" ht="15.75" customHeight="1">
      <c r="A55" s="2"/>
      <c r="B55" s="2"/>
      <c r="C55" s="1"/>
      <c r="D55" s="2"/>
      <c r="E55" s="66"/>
      <c r="F55" s="2"/>
      <c r="G55" s="2"/>
      <c r="H55" s="2"/>
      <c r="I55" s="1"/>
      <c r="J55" s="1"/>
      <c r="K55" s="1"/>
      <c r="L55" s="1"/>
      <c r="M55" s="1"/>
      <c r="N55" s="1"/>
      <c r="O55" s="1"/>
      <c r="P55" s="1"/>
      <c r="Q55" s="1"/>
      <c r="R55" s="2"/>
      <c r="S55" s="1"/>
      <c r="T55" s="1"/>
      <c r="U55" s="1"/>
      <c r="V55" s="1"/>
      <c r="W55" s="1"/>
      <c r="X55" s="1"/>
      <c r="Y55" s="1"/>
      <c r="Z55" s="1"/>
      <c r="AA55" s="1"/>
      <c r="AB55" s="1"/>
      <c r="AC55" s="1"/>
      <c r="AD55" s="2"/>
      <c r="AE55" s="1"/>
      <c r="AF55" s="1"/>
      <c r="AG55" s="1"/>
      <c r="AH55" s="1"/>
      <c r="AI55" s="1"/>
      <c r="AJ55" s="1"/>
      <c r="AK55" s="1"/>
      <c r="AL55" s="1"/>
      <c r="AM55" s="1"/>
      <c r="AN55" s="1"/>
      <c r="AO55" s="1"/>
      <c r="AP55" s="1"/>
      <c r="AQ55" s="1"/>
      <c r="AR55" s="1"/>
      <c r="AS55" s="1"/>
      <c r="AT55" s="1"/>
      <c r="AU55" s="1"/>
      <c r="AV55" s="1"/>
      <c r="AW55" s="1"/>
      <c r="AX55" s="1"/>
    </row>
    <row r="56" ht="15.75" customHeight="1">
      <c r="A56" s="2"/>
      <c r="B56" s="2"/>
      <c r="C56" s="1"/>
      <c r="D56" s="2"/>
      <c r="E56" s="66"/>
      <c r="F56" s="2"/>
      <c r="G56" s="2"/>
      <c r="H56" s="1"/>
      <c r="I56" s="1"/>
      <c r="J56" s="1"/>
      <c r="K56" s="1"/>
      <c r="L56" s="1"/>
      <c r="M56" s="1"/>
      <c r="N56" s="1"/>
      <c r="O56" s="1"/>
      <c r="P56" s="1"/>
      <c r="Q56" s="1"/>
      <c r="R56" s="1"/>
      <c r="S56" s="1"/>
      <c r="T56" s="1"/>
      <c r="U56" s="1"/>
      <c r="V56" s="2"/>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row>
    <row r="57" ht="15.75" customHeight="1">
      <c r="A57" s="2"/>
      <c r="B57" s="2"/>
      <c r="C57" s="1"/>
      <c r="D57" s="2"/>
      <c r="E57" s="66"/>
      <c r="F57" s="2"/>
      <c r="G57" s="2"/>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row>
    <row r="58" ht="15.75" customHeight="1">
      <c r="A58" s="67"/>
      <c r="B58" s="2"/>
      <c r="C58" s="1"/>
      <c r="D58" s="2"/>
      <c r="E58" s="66"/>
      <c r="F58" s="2"/>
      <c r="G58" s="2"/>
      <c r="H58" s="1"/>
      <c r="I58" s="1"/>
      <c r="J58" s="1"/>
      <c r="K58" s="1"/>
      <c r="L58" s="1"/>
      <c r="M58" s="1"/>
      <c r="N58" s="1"/>
      <c r="O58" s="1"/>
      <c r="P58" s="1"/>
      <c r="Q58" s="1"/>
      <c r="R58" s="2"/>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row>
    <row r="59" ht="15.75" customHeight="1">
      <c r="A59" s="67"/>
      <c r="B59" s="2"/>
      <c r="C59" s="1"/>
      <c r="D59" s="2"/>
      <c r="E59" s="66"/>
      <c r="F59" s="2"/>
      <c r="G59" s="2"/>
      <c r="H59" s="1"/>
      <c r="I59" s="1"/>
      <c r="J59" s="1"/>
      <c r="K59" s="1"/>
      <c r="L59" s="1"/>
      <c r="M59" s="1"/>
      <c r="N59" s="2"/>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row>
    <row r="60" ht="15.75" customHeight="1">
      <c r="A60" s="67"/>
      <c r="B60" s="2"/>
      <c r="C60" s="1"/>
      <c r="D60" s="2"/>
      <c r="E60" s="66"/>
      <c r="F60" s="2"/>
      <c r="G60" s="2"/>
      <c r="H60" s="1"/>
      <c r="I60" s="1"/>
      <c r="J60" s="1"/>
      <c r="K60" s="1"/>
      <c r="L60" s="1"/>
      <c r="M60" s="1"/>
      <c r="N60" s="1"/>
      <c r="O60" s="1"/>
      <c r="P60" s="1"/>
      <c r="Q60" s="1"/>
      <c r="R60" s="1"/>
      <c r="S60" s="1"/>
      <c r="T60" s="1"/>
      <c r="U60" s="1"/>
      <c r="V60" s="1"/>
      <c r="W60" s="1"/>
      <c r="X60" s="2"/>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row>
    <row r="61" ht="15.75" customHeight="1">
      <c r="A61" s="67"/>
      <c r="B61" s="2"/>
      <c r="C61" s="1"/>
      <c r="D61" s="2"/>
      <c r="E61" s="66"/>
      <c r="F61" s="2"/>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row>
    <row r="62" ht="15.75" customHeight="1">
      <c r="A62" s="67"/>
      <c r="B62" s="2"/>
      <c r="C62" s="1"/>
      <c r="D62" s="2"/>
      <c r="E62" s="66"/>
      <c r="F62" s="2"/>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row>
    <row r="63" ht="15.75" customHeight="1">
      <c r="A63" s="16"/>
      <c r="B63" s="2"/>
      <c r="C63" s="1"/>
      <c r="D63" s="2"/>
      <c r="E63" s="66"/>
      <c r="F63" s="1"/>
      <c r="G63" s="1"/>
      <c r="H63" s="1"/>
      <c r="I63" s="1"/>
      <c r="J63" s="1"/>
      <c r="K63" s="1"/>
      <c r="L63" s="1"/>
      <c r="M63" s="1"/>
      <c r="N63" s="1"/>
      <c r="O63" s="1"/>
      <c r="P63" s="1"/>
      <c r="Q63" s="1"/>
      <c r="R63" s="1"/>
      <c r="S63" s="1"/>
      <c r="T63" s="1"/>
      <c r="U63" s="1"/>
      <c r="V63" s="1"/>
      <c r="W63" s="1"/>
      <c r="X63" s="1"/>
      <c r="Y63" s="1"/>
      <c r="Z63" s="1"/>
      <c r="AA63" s="1"/>
      <c r="AB63" s="1"/>
      <c r="AC63" s="1"/>
      <c r="AD63" s="67"/>
      <c r="AE63" s="1"/>
      <c r="AF63" s="1"/>
      <c r="AG63" s="1"/>
      <c r="AH63" s="1"/>
      <c r="AI63" s="1"/>
      <c r="AJ63" s="1"/>
      <c r="AK63" s="1"/>
      <c r="AL63" s="1"/>
      <c r="AM63" s="1"/>
      <c r="AN63" s="1"/>
      <c r="AO63" s="1"/>
      <c r="AP63" s="1"/>
      <c r="AQ63" s="1"/>
      <c r="AR63" s="1"/>
      <c r="AS63" s="1"/>
      <c r="AT63" s="1"/>
      <c r="AU63" s="1"/>
      <c r="AV63" s="1"/>
      <c r="AW63" s="1"/>
      <c r="AX63" s="1"/>
    </row>
    <row r="64" ht="15.75" customHeight="1">
      <c r="A64" s="16"/>
      <c r="B64" s="2"/>
      <c r="C64" s="1"/>
      <c r="D64" s="2"/>
      <c r="E64" s="66"/>
      <c r="F64" s="1"/>
      <c r="G64" s="1"/>
      <c r="H64" s="1"/>
      <c r="I64" s="1"/>
      <c r="J64" s="1"/>
      <c r="K64" s="1"/>
      <c r="L64" s="1"/>
      <c r="M64" s="1"/>
      <c r="N64" s="1"/>
      <c r="O64" s="1"/>
      <c r="P64" s="1"/>
      <c r="Q64" s="1"/>
      <c r="R64" s="1"/>
      <c r="S64" s="1"/>
      <c r="T64" s="1"/>
      <c r="U64" s="1"/>
      <c r="V64" s="1"/>
      <c r="W64" s="1"/>
      <c r="X64" s="1"/>
      <c r="Y64" s="1"/>
      <c r="Z64" s="1"/>
      <c r="AA64" s="1"/>
      <c r="AB64" s="1"/>
      <c r="AC64" s="1"/>
      <c r="AD64" s="2"/>
      <c r="AE64" s="1"/>
      <c r="AF64" s="1"/>
      <c r="AG64" s="1"/>
      <c r="AH64" s="1"/>
      <c r="AI64" s="1"/>
      <c r="AJ64" s="1"/>
      <c r="AK64" s="1"/>
      <c r="AL64" s="1"/>
      <c r="AM64" s="1"/>
      <c r="AN64" s="1"/>
      <c r="AO64" s="1"/>
      <c r="AP64" s="1"/>
      <c r="AQ64" s="1"/>
      <c r="AR64" s="1"/>
      <c r="AS64" s="1"/>
      <c r="AT64" s="1"/>
      <c r="AU64" s="1"/>
      <c r="AV64" s="1"/>
      <c r="AW64" s="1"/>
      <c r="AX64" s="1"/>
    </row>
    <row r="65" ht="15.75" customHeight="1">
      <c r="A65" s="16"/>
      <c r="B65" s="2"/>
      <c r="C65" s="1"/>
      <c r="D65" s="2"/>
      <c r="E65" s="66"/>
      <c r="F65" s="1"/>
      <c r="G65" s="1"/>
      <c r="H65" s="1"/>
      <c r="I65" s="1"/>
      <c r="J65" s="1"/>
      <c r="K65" s="1"/>
      <c r="L65" s="1"/>
      <c r="M65" s="1"/>
      <c r="N65" s="1"/>
      <c r="O65" s="1"/>
      <c r="P65" s="1"/>
      <c r="Q65" s="1"/>
      <c r="R65" s="1"/>
      <c r="S65" s="1"/>
      <c r="T65" s="1"/>
      <c r="U65" s="1"/>
      <c r="V65" s="1"/>
      <c r="W65" s="1"/>
      <c r="X65" s="1"/>
      <c r="Y65" s="1"/>
      <c r="Z65" s="1"/>
      <c r="AA65" s="1"/>
      <c r="AB65" s="1"/>
      <c r="AC65" s="1"/>
      <c r="AD65" s="2"/>
      <c r="AE65" s="1"/>
      <c r="AF65" s="1"/>
      <c r="AG65" s="1"/>
      <c r="AH65" s="1"/>
      <c r="AI65" s="1"/>
      <c r="AJ65" s="1"/>
      <c r="AK65" s="1"/>
      <c r="AL65" s="1"/>
      <c r="AM65" s="1"/>
      <c r="AN65" s="1"/>
      <c r="AO65" s="1"/>
      <c r="AP65" s="1"/>
      <c r="AQ65" s="1"/>
      <c r="AR65" s="1"/>
      <c r="AS65" s="1"/>
      <c r="AT65" s="1"/>
      <c r="AU65" s="1"/>
      <c r="AV65" s="1"/>
      <c r="AW65" s="1"/>
      <c r="AX65" s="1"/>
    </row>
    <row r="66" ht="15.75" customHeight="1">
      <c r="A66" s="16"/>
      <c r="B66" s="2"/>
      <c r="C66" s="1"/>
      <c r="D66" s="2"/>
      <c r="E66" s="66"/>
      <c r="F66" s="1"/>
      <c r="G66" s="1"/>
      <c r="H66" s="1"/>
      <c r="I66" s="1"/>
      <c r="J66" s="1"/>
      <c r="K66" s="1"/>
      <c r="L66" s="1"/>
      <c r="M66" s="1"/>
      <c r="N66" s="1"/>
      <c r="O66" s="1"/>
      <c r="P66" s="1"/>
      <c r="Q66" s="1"/>
      <c r="R66" s="1"/>
      <c r="S66" s="1"/>
      <c r="T66" s="1"/>
      <c r="U66" s="1"/>
      <c r="V66" s="1"/>
      <c r="W66" s="1"/>
      <c r="X66" s="1"/>
      <c r="Y66" s="1"/>
      <c r="Z66" s="1"/>
      <c r="AA66" s="1"/>
      <c r="AB66" s="1"/>
      <c r="AC66" s="1"/>
      <c r="AD66" s="2"/>
      <c r="AE66" s="1"/>
      <c r="AF66" s="1"/>
      <c r="AG66" s="1"/>
      <c r="AH66" s="1"/>
      <c r="AI66" s="1"/>
      <c r="AJ66" s="1"/>
      <c r="AK66" s="1"/>
      <c r="AL66" s="1"/>
      <c r="AM66" s="1"/>
      <c r="AN66" s="1"/>
      <c r="AO66" s="1"/>
      <c r="AP66" s="1"/>
      <c r="AQ66" s="1"/>
      <c r="AR66" s="1"/>
      <c r="AS66" s="1"/>
      <c r="AT66" s="1"/>
      <c r="AU66" s="1"/>
      <c r="AV66" s="1"/>
      <c r="AW66" s="1"/>
      <c r="AX66" s="1"/>
    </row>
    <row r="67" ht="15.75" customHeight="1">
      <c r="A67" s="16"/>
      <c r="B67" s="2"/>
      <c r="C67" s="1"/>
      <c r="D67" s="2"/>
      <c r="E67" s="66"/>
      <c r="F67" s="1"/>
      <c r="G67" s="1"/>
      <c r="H67" s="1"/>
      <c r="I67" s="1"/>
      <c r="J67" s="1"/>
      <c r="K67" s="1"/>
      <c r="L67" s="1"/>
      <c r="M67" s="1"/>
      <c r="N67" s="1"/>
      <c r="O67" s="1"/>
      <c r="P67" s="1"/>
      <c r="Q67" s="1"/>
      <c r="R67" s="1"/>
      <c r="S67" s="1"/>
      <c r="T67" s="1"/>
      <c r="U67" s="1"/>
      <c r="V67" s="1"/>
      <c r="W67" s="1"/>
      <c r="X67" s="1"/>
      <c r="Y67" s="1"/>
      <c r="Z67" s="1"/>
      <c r="AA67" s="1"/>
      <c r="AB67" s="1"/>
      <c r="AC67" s="1"/>
      <c r="AD67" s="2"/>
      <c r="AE67" s="1"/>
      <c r="AF67" s="1"/>
      <c r="AG67" s="1"/>
      <c r="AH67" s="1"/>
      <c r="AI67" s="1"/>
      <c r="AJ67" s="1"/>
      <c r="AK67" s="1"/>
      <c r="AL67" s="1"/>
      <c r="AM67" s="1"/>
      <c r="AN67" s="1"/>
      <c r="AO67" s="1"/>
      <c r="AP67" s="1"/>
      <c r="AQ67" s="1"/>
      <c r="AR67" s="1"/>
      <c r="AS67" s="1"/>
      <c r="AT67" s="1"/>
      <c r="AU67" s="1"/>
      <c r="AV67" s="1"/>
      <c r="AW67" s="1"/>
      <c r="AX67" s="1"/>
    </row>
    <row r="68" ht="15.75" customHeight="1">
      <c r="A68" s="16"/>
      <c r="B68" s="2"/>
      <c r="C68" s="1"/>
      <c r="D68" s="2"/>
      <c r="E68" s="66"/>
      <c r="F68" s="1"/>
      <c r="G68" s="1"/>
      <c r="H68" s="1"/>
      <c r="I68" s="1"/>
      <c r="J68" s="1"/>
      <c r="K68" s="1"/>
      <c r="L68" s="1"/>
      <c r="M68" s="1"/>
      <c r="N68" s="1"/>
      <c r="O68" s="1"/>
      <c r="P68" s="1"/>
      <c r="Q68" s="1"/>
      <c r="R68" s="1"/>
      <c r="S68" s="1"/>
      <c r="T68" s="1"/>
      <c r="U68" s="1"/>
      <c r="V68" s="1"/>
      <c r="W68" s="1"/>
      <c r="X68" s="1"/>
      <c r="Y68" s="1"/>
      <c r="Z68" s="1"/>
      <c r="AA68" s="1"/>
      <c r="AB68" s="1"/>
      <c r="AC68" s="1"/>
      <c r="AD68" s="2"/>
      <c r="AE68" s="1"/>
      <c r="AF68" s="1"/>
      <c r="AG68" s="1"/>
      <c r="AH68" s="1"/>
      <c r="AI68" s="1"/>
      <c r="AJ68" s="1"/>
      <c r="AK68" s="1"/>
      <c r="AL68" s="1"/>
      <c r="AM68" s="1"/>
      <c r="AN68" s="1"/>
      <c r="AO68" s="1"/>
      <c r="AP68" s="1"/>
      <c r="AQ68" s="1"/>
      <c r="AR68" s="1"/>
      <c r="AS68" s="1"/>
      <c r="AT68" s="1"/>
      <c r="AU68" s="1"/>
      <c r="AV68" s="1"/>
      <c r="AW68" s="1"/>
      <c r="AX68" s="1"/>
    </row>
    <row r="69" ht="15.75" customHeight="1">
      <c r="A69" s="16"/>
      <c r="B69" s="2"/>
      <c r="C69" s="1"/>
      <c r="D69" s="2"/>
      <c r="E69" s="66"/>
      <c r="F69" s="1"/>
      <c r="G69" s="1"/>
      <c r="H69" s="1"/>
      <c r="I69" s="1"/>
      <c r="J69" s="1"/>
      <c r="K69" s="1"/>
      <c r="L69" s="1"/>
      <c r="M69" s="1"/>
      <c r="N69" s="1"/>
      <c r="O69" s="1"/>
      <c r="P69" s="1"/>
      <c r="Q69" s="1"/>
      <c r="R69" s="1"/>
      <c r="S69" s="1"/>
      <c r="T69" s="1"/>
      <c r="U69" s="1"/>
      <c r="V69" s="1"/>
      <c r="W69" s="1"/>
      <c r="X69" s="1"/>
      <c r="Y69" s="1"/>
      <c r="Z69" s="1"/>
      <c r="AA69" s="1"/>
      <c r="AB69" s="1"/>
      <c r="AC69" s="1"/>
      <c r="AD69" s="2"/>
      <c r="AE69" s="1"/>
      <c r="AF69" s="1"/>
      <c r="AG69" s="1"/>
      <c r="AH69" s="1"/>
      <c r="AI69" s="1"/>
      <c r="AJ69" s="1"/>
      <c r="AK69" s="1"/>
      <c r="AL69" s="1"/>
      <c r="AM69" s="1"/>
      <c r="AN69" s="1"/>
      <c r="AO69" s="1"/>
      <c r="AP69" s="1"/>
      <c r="AQ69" s="1"/>
      <c r="AR69" s="1"/>
      <c r="AS69" s="1"/>
      <c r="AT69" s="1"/>
      <c r="AU69" s="1"/>
      <c r="AV69" s="1"/>
      <c r="AW69" s="1"/>
      <c r="AX69" s="1"/>
    </row>
    <row r="70" ht="15.75" customHeight="1">
      <c r="A70" s="16"/>
      <c r="B70" s="2"/>
      <c r="C70" s="1"/>
      <c r="D70" s="2"/>
      <c r="E70" s="66"/>
      <c r="F70" s="1"/>
      <c r="G70" s="1"/>
      <c r="H70" s="1"/>
      <c r="I70" s="1"/>
      <c r="J70" s="1"/>
      <c r="K70" s="1"/>
      <c r="L70" s="1"/>
      <c r="M70" s="1"/>
      <c r="N70" s="1"/>
      <c r="O70" s="1"/>
      <c r="P70" s="1"/>
      <c r="Q70" s="1"/>
      <c r="R70" s="1"/>
      <c r="S70" s="1"/>
      <c r="T70" s="1"/>
      <c r="U70" s="1"/>
      <c r="V70" s="1"/>
      <c r="W70" s="1"/>
      <c r="X70" s="1"/>
      <c r="Y70" s="1"/>
      <c r="Z70" s="1"/>
      <c r="AA70" s="1"/>
      <c r="AB70" s="1"/>
      <c r="AC70" s="1"/>
      <c r="AD70" s="2"/>
      <c r="AE70" s="1"/>
      <c r="AF70" s="1"/>
      <c r="AG70" s="1"/>
      <c r="AH70" s="1"/>
      <c r="AI70" s="1"/>
      <c r="AJ70" s="1"/>
      <c r="AK70" s="1"/>
      <c r="AL70" s="1"/>
      <c r="AM70" s="1"/>
      <c r="AN70" s="1"/>
      <c r="AO70" s="1"/>
      <c r="AP70" s="1"/>
      <c r="AQ70" s="1"/>
      <c r="AR70" s="1"/>
      <c r="AS70" s="1"/>
      <c r="AT70" s="1"/>
      <c r="AU70" s="1"/>
      <c r="AV70" s="1"/>
      <c r="AW70" s="1"/>
      <c r="AX70" s="1"/>
    </row>
    <row r="71" ht="15.75" customHeight="1">
      <c r="A71" s="16"/>
      <c r="B71" s="2"/>
      <c r="C71" s="1"/>
      <c r="D71" s="2"/>
      <c r="E71" s="66"/>
      <c r="F71" s="1"/>
      <c r="G71" s="1"/>
      <c r="H71" s="1"/>
      <c r="I71" s="1"/>
      <c r="J71" s="1"/>
      <c r="K71" s="1"/>
      <c r="L71" s="1"/>
      <c r="M71" s="1"/>
      <c r="N71" s="1"/>
      <c r="O71" s="1"/>
      <c r="P71" s="1"/>
      <c r="Q71" s="1"/>
      <c r="R71" s="1"/>
      <c r="S71" s="1"/>
      <c r="T71" s="1"/>
      <c r="U71" s="1"/>
      <c r="V71" s="1"/>
      <c r="W71" s="1"/>
      <c r="X71" s="1"/>
      <c r="Y71" s="1"/>
      <c r="Z71" s="1"/>
      <c r="AA71" s="1"/>
      <c r="AB71" s="1"/>
      <c r="AC71" s="1"/>
      <c r="AD71" s="67"/>
      <c r="AE71" s="1"/>
      <c r="AF71" s="1"/>
      <c r="AG71" s="1"/>
      <c r="AH71" s="1"/>
      <c r="AI71" s="1"/>
      <c r="AJ71" s="1"/>
      <c r="AK71" s="1"/>
      <c r="AL71" s="1"/>
      <c r="AM71" s="1"/>
      <c r="AN71" s="1"/>
      <c r="AO71" s="1"/>
      <c r="AP71" s="1"/>
      <c r="AQ71" s="1"/>
      <c r="AR71" s="1"/>
      <c r="AS71" s="1"/>
      <c r="AT71" s="1"/>
      <c r="AU71" s="1"/>
      <c r="AV71" s="1"/>
      <c r="AW71" s="1"/>
      <c r="AX71" s="1"/>
    </row>
    <row r="72" ht="15.75" customHeight="1">
      <c r="A72" s="16"/>
      <c r="B72" s="2"/>
      <c r="C72" s="1"/>
      <c r="D72" s="2"/>
      <c r="E72" s="66"/>
      <c r="F72" s="1"/>
      <c r="G72" s="1"/>
      <c r="H72" s="1"/>
      <c r="I72" s="1"/>
      <c r="J72" s="1"/>
      <c r="K72" s="1"/>
      <c r="L72" s="1"/>
      <c r="M72" s="1"/>
      <c r="N72" s="1"/>
      <c r="O72" s="1"/>
      <c r="P72" s="1"/>
      <c r="Q72" s="1"/>
      <c r="R72" s="1"/>
      <c r="S72" s="1"/>
      <c r="T72" s="1"/>
      <c r="U72" s="1"/>
      <c r="V72" s="1"/>
      <c r="W72" s="1"/>
      <c r="X72" s="1"/>
      <c r="Y72" s="1"/>
      <c r="Z72" s="1"/>
      <c r="AA72" s="1"/>
      <c r="AB72" s="1"/>
      <c r="AC72" s="1"/>
      <c r="AD72" s="67"/>
      <c r="AE72" s="1"/>
      <c r="AF72" s="1"/>
      <c r="AG72" s="1"/>
      <c r="AH72" s="1"/>
      <c r="AI72" s="1"/>
      <c r="AJ72" s="1"/>
      <c r="AK72" s="1"/>
      <c r="AL72" s="1"/>
      <c r="AM72" s="1"/>
      <c r="AN72" s="1"/>
      <c r="AO72" s="1"/>
      <c r="AP72" s="1"/>
      <c r="AQ72" s="1"/>
      <c r="AR72" s="1"/>
      <c r="AS72" s="1"/>
      <c r="AT72" s="1"/>
      <c r="AU72" s="1"/>
      <c r="AV72" s="1"/>
      <c r="AW72" s="1"/>
      <c r="AX72" s="1"/>
    </row>
    <row r="73" ht="15.75" customHeight="1">
      <c r="A73" s="16"/>
      <c r="B73" s="2"/>
      <c r="C73" s="1"/>
      <c r="D73" s="2"/>
      <c r="E73" s="66"/>
      <c r="F73" s="1"/>
      <c r="G73" s="1"/>
      <c r="H73" s="1"/>
      <c r="I73" s="1"/>
      <c r="J73" s="1"/>
      <c r="K73" s="1"/>
      <c r="L73" s="1"/>
      <c r="M73" s="1"/>
      <c r="N73" s="1"/>
      <c r="O73" s="1"/>
      <c r="P73" s="1"/>
      <c r="Q73" s="1"/>
      <c r="R73" s="1"/>
      <c r="S73" s="1"/>
      <c r="T73" s="1"/>
      <c r="U73" s="1"/>
      <c r="V73" s="1"/>
      <c r="W73" s="1"/>
      <c r="X73" s="1"/>
      <c r="Y73" s="1"/>
      <c r="Z73" s="1"/>
      <c r="AA73" s="1"/>
      <c r="AB73" s="1"/>
      <c r="AC73" s="1"/>
      <c r="AD73" s="67"/>
      <c r="AE73" s="1"/>
      <c r="AF73" s="1"/>
      <c r="AG73" s="1"/>
      <c r="AH73" s="1"/>
      <c r="AI73" s="1"/>
      <c r="AJ73" s="1"/>
      <c r="AK73" s="1"/>
      <c r="AL73" s="1"/>
      <c r="AM73" s="1"/>
      <c r="AN73" s="1"/>
      <c r="AO73" s="1"/>
      <c r="AP73" s="1"/>
      <c r="AQ73" s="1"/>
      <c r="AR73" s="1"/>
      <c r="AS73" s="1"/>
      <c r="AT73" s="1"/>
      <c r="AU73" s="1"/>
      <c r="AV73" s="1"/>
      <c r="AW73" s="1"/>
      <c r="AX73" s="1"/>
    </row>
    <row r="74" ht="15.75" customHeight="1">
      <c r="A74" s="16"/>
      <c r="B74" s="2"/>
      <c r="C74" s="1"/>
      <c r="D74" s="2"/>
      <c r="E74" s="66"/>
      <c r="F74" s="1"/>
      <c r="G74" s="1"/>
      <c r="H74" s="1"/>
      <c r="I74" s="1"/>
      <c r="J74" s="1"/>
      <c r="K74" s="1"/>
      <c r="L74" s="1"/>
      <c r="M74" s="1"/>
      <c r="N74" s="1"/>
      <c r="O74" s="1"/>
      <c r="P74" s="1"/>
      <c r="Q74" s="1"/>
      <c r="R74" s="1"/>
      <c r="S74" s="1"/>
      <c r="T74" s="1"/>
      <c r="U74" s="1"/>
      <c r="V74" s="1"/>
      <c r="W74" s="1"/>
      <c r="X74" s="1"/>
      <c r="Y74" s="1"/>
      <c r="Z74" s="1"/>
      <c r="AA74" s="1"/>
      <c r="AB74" s="1"/>
      <c r="AC74" s="1"/>
      <c r="AD74" s="67"/>
      <c r="AE74" s="1"/>
      <c r="AF74" s="1"/>
      <c r="AG74" s="1"/>
      <c r="AH74" s="1"/>
      <c r="AI74" s="1"/>
      <c r="AJ74" s="1"/>
      <c r="AK74" s="1"/>
      <c r="AL74" s="1"/>
      <c r="AM74" s="1"/>
      <c r="AN74" s="1"/>
      <c r="AO74" s="1"/>
      <c r="AP74" s="1"/>
      <c r="AQ74" s="1"/>
      <c r="AR74" s="1"/>
      <c r="AS74" s="1"/>
      <c r="AT74" s="1"/>
      <c r="AU74" s="1"/>
      <c r="AV74" s="1"/>
      <c r="AW74" s="1"/>
      <c r="AX74" s="1"/>
    </row>
    <row r="75" ht="15.75" customHeight="1">
      <c r="A75" s="16"/>
      <c r="B75" s="2"/>
      <c r="C75" s="1"/>
      <c r="D75" s="2"/>
      <c r="E75" s="66"/>
      <c r="F75" s="1"/>
      <c r="G75" s="1"/>
      <c r="H75" s="1"/>
      <c r="I75" s="1"/>
      <c r="J75" s="1"/>
      <c r="K75" s="1"/>
      <c r="L75" s="1"/>
      <c r="M75" s="1"/>
      <c r="N75" s="1"/>
      <c r="O75" s="1"/>
      <c r="P75" s="1"/>
      <c r="Q75" s="1"/>
      <c r="R75" s="1"/>
      <c r="S75" s="1"/>
      <c r="T75" s="1"/>
      <c r="U75" s="1"/>
      <c r="V75" s="1"/>
      <c r="W75" s="1"/>
      <c r="X75" s="1"/>
      <c r="Y75" s="1"/>
      <c r="Z75" s="1"/>
      <c r="AA75" s="1"/>
      <c r="AB75" s="1"/>
      <c r="AC75" s="1"/>
      <c r="AD75" s="2"/>
      <c r="AE75" s="1"/>
      <c r="AF75" s="1"/>
      <c r="AG75" s="1"/>
      <c r="AH75" s="1"/>
      <c r="AI75" s="1"/>
      <c r="AJ75" s="1"/>
      <c r="AK75" s="1"/>
      <c r="AL75" s="1"/>
      <c r="AM75" s="1"/>
      <c r="AN75" s="1"/>
      <c r="AO75" s="1"/>
      <c r="AP75" s="1"/>
      <c r="AQ75" s="1"/>
      <c r="AR75" s="1"/>
      <c r="AS75" s="1"/>
      <c r="AT75" s="1"/>
      <c r="AU75" s="1"/>
      <c r="AV75" s="1"/>
      <c r="AW75" s="1"/>
      <c r="AX75" s="1"/>
    </row>
    <row r="76" ht="15.75" customHeight="1">
      <c r="A76" s="16"/>
      <c r="B76" s="2"/>
      <c r="C76" s="1"/>
      <c r="D76" s="2"/>
      <c r="E76" s="66"/>
      <c r="F76" s="1"/>
      <c r="G76" s="1"/>
      <c r="H76" s="1"/>
      <c r="I76" s="1"/>
      <c r="J76" s="1"/>
      <c r="K76" s="1"/>
      <c r="L76" s="1"/>
      <c r="M76" s="1"/>
      <c r="N76" s="1"/>
      <c r="O76" s="1"/>
      <c r="P76" s="1"/>
      <c r="Q76" s="1"/>
      <c r="R76" s="1"/>
      <c r="S76" s="1"/>
      <c r="T76" s="1"/>
      <c r="U76" s="1"/>
      <c r="V76" s="1"/>
      <c r="W76" s="1"/>
      <c r="X76" s="1"/>
      <c r="Y76" s="1"/>
      <c r="Z76" s="1"/>
      <c r="AA76" s="1"/>
      <c r="AB76" s="1"/>
      <c r="AC76" s="1"/>
      <c r="AD76" s="67"/>
      <c r="AE76" s="1"/>
      <c r="AF76" s="1"/>
      <c r="AG76" s="1"/>
      <c r="AH76" s="1"/>
      <c r="AI76" s="1"/>
      <c r="AJ76" s="1"/>
      <c r="AK76" s="1"/>
      <c r="AL76" s="1"/>
      <c r="AM76" s="1"/>
      <c r="AN76" s="1"/>
      <c r="AO76" s="1"/>
      <c r="AP76" s="1"/>
      <c r="AQ76" s="1"/>
      <c r="AR76" s="1"/>
      <c r="AS76" s="1"/>
      <c r="AT76" s="1"/>
      <c r="AU76" s="1"/>
      <c r="AV76" s="1"/>
      <c r="AW76" s="1"/>
      <c r="AX76" s="1"/>
    </row>
    <row r="77" ht="15.75" customHeight="1">
      <c r="A77" s="16"/>
      <c r="B77" s="2"/>
      <c r="C77" s="1"/>
      <c r="D77" s="2"/>
      <c r="E77" s="66"/>
      <c r="F77" s="8"/>
      <c r="G77" s="2"/>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row>
    <row r="78" ht="15.75" customHeight="1">
      <c r="A78" s="16"/>
      <c r="B78" s="2"/>
      <c r="C78" s="1"/>
      <c r="D78" s="2"/>
      <c r="E78" s="66"/>
      <c r="F78" s="8"/>
      <c r="G78" s="2"/>
      <c r="H78" s="2"/>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row>
    <row r="79" ht="15.75" customHeight="1">
      <c r="A79" s="16"/>
      <c r="B79" s="2"/>
      <c r="C79" s="1"/>
      <c r="D79" s="2"/>
      <c r="E79" s="66"/>
      <c r="F79" s="8"/>
      <c r="G79" s="2"/>
      <c r="H79" s="1"/>
      <c r="I79" s="1"/>
      <c r="J79" s="1"/>
      <c r="K79" s="1"/>
      <c r="L79" s="1"/>
      <c r="M79" s="1"/>
      <c r="N79" s="1"/>
      <c r="O79" s="1"/>
      <c r="P79" s="1"/>
      <c r="Q79" s="1"/>
      <c r="R79" s="2"/>
      <c r="S79" s="1"/>
      <c r="T79" s="1"/>
      <c r="U79" s="1"/>
      <c r="V79" s="1"/>
      <c r="W79" s="1"/>
      <c r="X79" s="1"/>
      <c r="Y79" s="1"/>
      <c r="Z79" s="1"/>
      <c r="AA79" s="1"/>
      <c r="AB79" s="1"/>
      <c r="AC79" s="1"/>
      <c r="AD79" s="2"/>
      <c r="AE79" s="1"/>
      <c r="AF79" s="1"/>
      <c r="AG79" s="1"/>
      <c r="AH79" s="1"/>
      <c r="AI79" s="1"/>
      <c r="AJ79" s="1"/>
      <c r="AK79" s="1"/>
      <c r="AL79" s="1"/>
      <c r="AM79" s="1"/>
      <c r="AN79" s="1"/>
      <c r="AO79" s="1"/>
      <c r="AP79" s="1"/>
      <c r="AQ79" s="1"/>
      <c r="AR79" s="1"/>
      <c r="AS79" s="1"/>
      <c r="AT79" s="1"/>
      <c r="AU79" s="1"/>
      <c r="AV79" s="1"/>
      <c r="AW79" s="1"/>
      <c r="AX79" s="1"/>
    </row>
    <row r="80" ht="15.75" customHeight="1">
      <c r="A80" s="16"/>
      <c r="B80" s="2"/>
      <c r="C80" s="1"/>
      <c r="D80" s="2"/>
      <c r="E80" s="66"/>
      <c r="F80" s="8"/>
      <c r="G80" s="2"/>
      <c r="H80" s="1"/>
      <c r="I80" s="1"/>
      <c r="J80" s="1"/>
      <c r="K80" s="1"/>
      <c r="L80" s="1"/>
      <c r="M80" s="1"/>
      <c r="N80" s="1"/>
      <c r="O80" s="1"/>
      <c r="P80" s="1"/>
      <c r="Q80" s="1"/>
      <c r="R80" s="1"/>
      <c r="S80" s="1"/>
      <c r="T80" s="1"/>
      <c r="U80" s="1"/>
      <c r="V80" s="1"/>
      <c r="W80" s="1"/>
      <c r="X80" s="1"/>
      <c r="Y80" s="1"/>
      <c r="Z80" s="1"/>
      <c r="AA80" s="1"/>
      <c r="AB80" s="1"/>
      <c r="AC80" s="1"/>
      <c r="AD80" s="67"/>
      <c r="AE80" s="1"/>
      <c r="AF80" s="1"/>
      <c r="AG80" s="1"/>
      <c r="AH80" s="1"/>
      <c r="AI80" s="1"/>
      <c r="AJ80" s="1"/>
      <c r="AK80" s="1"/>
      <c r="AL80" s="1"/>
      <c r="AM80" s="1"/>
      <c r="AN80" s="1"/>
      <c r="AO80" s="1"/>
      <c r="AP80" s="1"/>
      <c r="AQ80" s="1"/>
      <c r="AR80" s="1"/>
      <c r="AS80" s="1"/>
      <c r="AT80" s="1"/>
      <c r="AU80" s="1"/>
      <c r="AV80" s="1"/>
      <c r="AW80" s="1"/>
      <c r="AX80" s="1"/>
    </row>
    <row r="81" ht="15.75" customHeight="1">
      <c r="A81" s="16"/>
      <c r="B81" s="2"/>
      <c r="C81" s="1"/>
      <c r="D81" s="2"/>
      <c r="E81" s="66"/>
      <c r="F81" s="8"/>
      <c r="G81" s="2"/>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row>
    <row r="82" ht="15.75" customHeight="1">
      <c r="A82" s="16"/>
      <c r="B82" s="2"/>
      <c r="C82" s="1"/>
      <c r="D82" s="2"/>
      <c r="E82" s="66"/>
      <c r="F82" s="8"/>
      <c r="G82" s="1"/>
      <c r="H82" s="1"/>
      <c r="I82" s="1"/>
      <c r="J82" s="1"/>
      <c r="K82" s="1"/>
      <c r="L82" s="1"/>
      <c r="M82" s="1"/>
      <c r="N82" s="1"/>
      <c r="O82" s="1"/>
      <c r="P82" s="1"/>
      <c r="Q82" s="1"/>
      <c r="R82" s="1"/>
      <c r="S82" s="1"/>
      <c r="T82" s="1"/>
      <c r="U82" s="1"/>
      <c r="V82" s="1"/>
      <c r="W82" s="1"/>
      <c r="X82" s="1"/>
      <c r="Y82" s="1"/>
      <c r="Z82" s="1"/>
      <c r="AA82" s="1"/>
      <c r="AB82" s="1"/>
      <c r="AC82" s="1"/>
      <c r="AD82" s="67"/>
      <c r="AE82" s="1"/>
      <c r="AF82" s="1"/>
      <c r="AG82" s="1"/>
      <c r="AH82" s="1"/>
      <c r="AI82" s="1"/>
      <c r="AJ82" s="1"/>
      <c r="AK82" s="1"/>
      <c r="AL82" s="1"/>
      <c r="AM82" s="1"/>
      <c r="AN82" s="1"/>
      <c r="AO82" s="1"/>
      <c r="AP82" s="1"/>
      <c r="AQ82" s="1"/>
      <c r="AR82" s="1"/>
      <c r="AS82" s="1"/>
      <c r="AT82" s="1"/>
      <c r="AU82" s="1"/>
      <c r="AV82" s="1"/>
      <c r="AW82" s="1"/>
      <c r="AX82" s="1"/>
    </row>
    <row r="83" ht="15.75" customHeight="1">
      <c r="A83" s="16"/>
      <c r="B83" s="2"/>
      <c r="C83" s="1"/>
      <c r="D83" s="2"/>
      <c r="E83" s="66"/>
      <c r="F83" s="8"/>
      <c r="G83" s="1"/>
      <c r="H83" s="1"/>
      <c r="I83" s="1"/>
      <c r="J83" s="1"/>
      <c r="K83" s="1"/>
      <c r="L83" s="1"/>
      <c r="M83" s="1"/>
      <c r="N83" s="1"/>
      <c r="O83" s="1"/>
      <c r="P83" s="1"/>
      <c r="Q83" s="1"/>
      <c r="R83" s="1"/>
      <c r="S83" s="1"/>
      <c r="T83" s="1"/>
      <c r="U83" s="1"/>
      <c r="V83" s="1"/>
      <c r="W83" s="1"/>
      <c r="X83" s="1"/>
      <c r="Y83" s="1"/>
      <c r="Z83" s="1"/>
      <c r="AA83" s="1"/>
      <c r="AB83" s="1"/>
      <c r="AC83" s="1"/>
      <c r="AD83" s="67"/>
      <c r="AE83" s="1"/>
      <c r="AF83" s="1"/>
      <c r="AG83" s="1"/>
      <c r="AH83" s="1"/>
      <c r="AI83" s="1"/>
      <c r="AJ83" s="1"/>
      <c r="AK83" s="1"/>
      <c r="AL83" s="1"/>
      <c r="AM83" s="1"/>
      <c r="AN83" s="1"/>
      <c r="AO83" s="1"/>
      <c r="AP83" s="1"/>
      <c r="AQ83" s="1"/>
      <c r="AR83" s="1"/>
      <c r="AS83" s="1"/>
      <c r="AT83" s="1"/>
      <c r="AU83" s="1"/>
      <c r="AV83" s="1"/>
      <c r="AW83" s="1"/>
      <c r="AX83" s="1"/>
    </row>
    <row r="84" ht="15.75" customHeight="1">
      <c r="A84" s="16"/>
      <c r="B84" s="2"/>
      <c r="C84" s="1"/>
      <c r="D84" s="2"/>
      <c r="E84" s="66"/>
      <c r="F84" s="1"/>
      <c r="G84" s="1"/>
      <c r="H84" s="1"/>
      <c r="I84" s="1"/>
      <c r="J84" s="1"/>
      <c r="K84" s="1"/>
      <c r="L84" s="1"/>
      <c r="M84" s="1"/>
      <c r="N84" s="1"/>
      <c r="O84" s="1"/>
      <c r="P84" s="1"/>
      <c r="Q84" s="1"/>
      <c r="R84" s="1"/>
      <c r="S84" s="1"/>
      <c r="T84" s="1"/>
      <c r="U84" s="1"/>
      <c r="V84" s="1"/>
      <c r="W84" s="1"/>
      <c r="X84" s="1"/>
      <c r="Y84" s="1"/>
      <c r="Z84" s="1"/>
      <c r="AA84" s="1"/>
      <c r="AB84" s="1"/>
      <c r="AC84" s="1"/>
      <c r="AD84" s="67"/>
      <c r="AE84" s="1"/>
      <c r="AF84" s="1"/>
      <c r="AG84" s="1"/>
      <c r="AH84" s="1"/>
      <c r="AI84" s="1"/>
      <c r="AJ84" s="1"/>
      <c r="AK84" s="1"/>
      <c r="AL84" s="1"/>
      <c r="AM84" s="1"/>
      <c r="AN84" s="1"/>
      <c r="AO84" s="1"/>
      <c r="AP84" s="1"/>
      <c r="AQ84" s="1"/>
      <c r="AR84" s="1"/>
      <c r="AS84" s="1"/>
      <c r="AT84" s="1"/>
      <c r="AU84" s="1"/>
      <c r="AV84" s="1"/>
      <c r="AW84" s="1"/>
      <c r="AX84" s="1"/>
    </row>
    <row r="85" ht="15.75" customHeight="1">
      <c r="A85" s="16"/>
      <c r="B85" s="2"/>
      <c r="C85" s="1"/>
      <c r="D85" s="2"/>
      <c r="E85" s="66"/>
      <c r="F85" s="1"/>
      <c r="G85" s="1"/>
      <c r="H85" s="1"/>
      <c r="I85" s="1"/>
      <c r="J85" s="1"/>
      <c r="K85" s="1"/>
      <c r="L85" s="1"/>
      <c r="M85" s="1"/>
      <c r="N85" s="1"/>
      <c r="O85" s="1"/>
      <c r="P85" s="1"/>
      <c r="Q85" s="1"/>
      <c r="R85" s="1"/>
      <c r="S85" s="1"/>
      <c r="T85" s="1"/>
      <c r="U85" s="1"/>
      <c r="V85" s="1"/>
      <c r="W85" s="1"/>
      <c r="X85" s="1"/>
      <c r="Y85" s="1"/>
      <c r="Z85" s="1"/>
      <c r="AA85" s="1"/>
      <c r="AB85" s="1"/>
      <c r="AC85" s="1"/>
      <c r="AD85" s="2"/>
      <c r="AE85" s="1"/>
      <c r="AF85" s="1"/>
      <c r="AG85" s="1"/>
      <c r="AH85" s="1"/>
      <c r="AI85" s="1"/>
      <c r="AJ85" s="1"/>
      <c r="AK85" s="1"/>
      <c r="AL85" s="1"/>
      <c r="AM85" s="1"/>
      <c r="AN85" s="1"/>
      <c r="AO85" s="1"/>
      <c r="AP85" s="1"/>
      <c r="AQ85" s="1"/>
      <c r="AR85" s="1"/>
      <c r="AS85" s="1"/>
      <c r="AT85" s="1"/>
      <c r="AU85" s="1"/>
      <c r="AV85" s="1"/>
      <c r="AW85" s="1"/>
      <c r="AX85" s="1"/>
    </row>
    <row r="86" ht="15.75" customHeight="1">
      <c r="A86" s="16"/>
      <c r="B86" s="2"/>
      <c r="C86" s="1"/>
      <c r="D86" s="2"/>
      <c r="E86" s="66"/>
      <c r="F86" s="2"/>
      <c r="G86" s="2"/>
      <c r="H86" s="2"/>
      <c r="I86" s="1"/>
      <c r="J86" s="1"/>
      <c r="K86" s="1"/>
      <c r="L86" s="1"/>
      <c r="M86" s="1"/>
      <c r="N86" s="1"/>
      <c r="O86" s="1"/>
      <c r="P86" s="1"/>
      <c r="Q86" s="1"/>
      <c r="R86" s="1"/>
      <c r="S86" s="1"/>
      <c r="T86" s="1"/>
      <c r="U86" s="1"/>
      <c r="V86" s="1"/>
      <c r="W86" s="1"/>
      <c r="X86" s="1"/>
      <c r="Y86" s="1"/>
      <c r="Z86" s="1"/>
      <c r="AA86" s="1"/>
      <c r="AB86" s="1"/>
      <c r="AC86" s="1"/>
      <c r="AD86" s="67"/>
      <c r="AE86" s="1"/>
      <c r="AF86" s="1"/>
      <c r="AG86" s="1"/>
      <c r="AH86" s="1"/>
      <c r="AI86" s="1"/>
      <c r="AJ86" s="1"/>
      <c r="AK86" s="1"/>
      <c r="AL86" s="1"/>
      <c r="AM86" s="1"/>
      <c r="AN86" s="1"/>
      <c r="AO86" s="1"/>
      <c r="AP86" s="1"/>
      <c r="AQ86" s="1"/>
      <c r="AR86" s="1"/>
      <c r="AS86" s="1"/>
      <c r="AT86" s="1"/>
      <c r="AU86" s="1"/>
      <c r="AV86" s="1"/>
      <c r="AW86" s="1"/>
      <c r="AX86" s="1"/>
    </row>
    <row r="87" ht="15.75" customHeight="1">
      <c r="A87" s="16"/>
      <c r="B87" s="2"/>
      <c r="C87" s="1"/>
      <c r="D87" s="2"/>
      <c r="E87" s="66"/>
      <c r="F87" s="1"/>
      <c r="G87" s="1"/>
      <c r="H87" s="1"/>
      <c r="I87" s="1"/>
      <c r="J87" s="1"/>
      <c r="K87" s="1"/>
      <c r="L87" s="1"/>
      <c r="M87" s="1"/>
      <c r="N87" s="1"/>
      <c r="O87" s="1"/>
      <c r="P87" s="1"/>
      <c r="Q87" s="1"/>
      <c r="R87" s="1"/>
      <c r="S87" s="1"/>
      <c r="T87" s="1"/>
      <c r="U87" s="1"/>
      <c r="V87" s="1"/>
      <c r="W87" s="1"/>
      <c r="X87" s="1"/>
      <c r="Y87" s="1"/>
      <c r="Z87" s="1"/>
      <c r="AA87" s="1"/>
      <c r="AB87" s="1"/>
      <c r="AC87" s="1"/>
      <c r="AD87" s="67"/>
      <c r="AE87" s="1"/>
      <c r="AF87" s="1"/>
      <c r="AG87" s="1"/>
      <c r="AH87" s="1"/>
      <c r="AI87" s="1"/>
      <c r="AJ87" s="1"/>
      <c r="AK87" s="1"/>
      <c r="AL87" s="1"/>
      <c r="AM87" s="1"/>
      <c r="AN87" s="1"/>
      <c r="AO87" s="1"/>
      <c r="AP87" s="1"/>
      <c r="AQ87" s="1"/>
      <c r="AR87" s="1"/>
      <c r="AS87" s="1"/>
      <c r="AT87" s="1"/>
      <c r="AU87" s="1"/>
      <c r="AV87" s="1"/>
      <c r="AW87" s="1"/>
      <c r="AX87" s="1"/>
    </row>
    <row r="88" ht="15.75" customHeight="1">
      <c r="A88" s="16"/>
      <c r="B88" s="2"/>
      <c r="C88" s="1"/>
      <c r="D88" s="2"/>
      <c r="E88" s="66"/>
      <c r="F88" s="2"/>
      <c r="G88" s="1"/>
      <c r="H88" s="1"/>
      <c r="I88" s="1"/>
      <c r="J88" s="1"/>
      <c r="K88" s="1"/>
      <c r="L88" s="1"/>
      <c r="M88" s="1"/>
      <c r="N88" s="1"/>
      <c r="O88" s="1"/>
      <c r="P88" s="1"/>
      <c r="Q88" s="1"/>
      <c r="R88" s="1"/>
      <c r="S88" s="1"/>
      <c r="T88" s="1"/>
      <c r="U88" s="1"/>
      <c r="V88" s="1"/>
      <c r="W88" s="1"/>
      <c r="X88" s="1"/>
      <c r="Y88" s="1"/>
      <c r="Z88" s="1"/>
      <c r="AA88" s="1"/>
      <c r="AB88" s="1"/>
      <c r="AC88" s="1"/>
      <c r="AD88" s="67"/>
      <c r="AE88" s="1"/>
      <c r="AF88" s="1"/>
      <c r="AG88" s="1"/>
      <c r="AH88" s="1"/>
      <c r="AI88" s="1"/>
      <c r="AJ88" s="1"/>
      <c r="AK88" s="1"/>
      <c r="AL88" s="1"/>
      <c r="AM88" s="1"/>
      <c r="AN88" s="1"/>
      <c r="AO88" s="1"/>
      <c r="AP88" s="1"/>
      <c r="AQ88" s="1"/>
      <c r="AR88" s="1"/>
      <c r="AS88" s="1"/>
      <c r="AT88" s="1"/>
      <c r="AU88" s="1"/>
      <c r="AV88" s="1"/>
      <c r="AW88" s="1"/>
      <c r="AX88" s="1"/>
    </row>
    <row r="89" ht="15.75" customHeight="1">
      <c r="A89" s="16"/>
      <c r="B89" s="2"/>
      <c r="C89" s="1"/>
      <c r="D89" s="2"/>
      <c r="E89" s="66"/>
      <c r="F89" s="1"/>
      <c r="G89" s="1"/>
      <c r="H89" s="1"/>
      <c r="I89" s="1"/>
      <c r="J89" s="1"/>
      <c r="K89" s="1"/>
      <c r="L89" s="1"/>
      <c r="M89" s="1"/>
      <c r="N89" s="1"/>
      <c r="O89" s="1"/>
      <c r="P89" s="1"/>
      <c r="Q89" s="1"/>
      <c r="R89" s="1"/>
      <c r="S89" s="1"/>
      <c r="T89" s="1"/>
      <c r="U89" s="1"/>
      <c r="V89" s="1"/>
      <c r="W89" s="1"/>
      <c r="X89" s="1"/>
      <c r="Y89" s="1"/>
      <c r="Z89" s="1"/>
      <c r="AA89" s="1"/>
      <c r="AB89" s="1"/>
      <c r="AC89" s="1"/>
      <c r="AD89" s="67"/>
      <c r="AE89" s="1"/>
      <c r="AF89" s="1"/>
      <c r="AG89" s="1"/>
      <c r="AH89" s="1"/>
      <c r="AI89" s="1"/>
      <c r="AJ89" s="1"/>
      <c r="AK89" s="1"/>
      <c r="AL89" s="1"/>
      <c r="AM89" s="1"/>
      <c r="AN89" s="1"/>
      <c r="AO89" s="1"/>
      <c r="AP89" s="1"/>
      <c r="AQ89" s="1"/>
      <c r="AR89" s="1"/>
      <c r="AS89" s="1"/>
      <c r="AT89" s="1"/>
      <c r="AU89" s="1"/>
      <c r="AV89" s="1"/>
      <c r="AW89" s="1"/>
      <c r="AX89" s="1"/>
    </row>
    <row r="90" ht="15.75" customHeight="1">
      <c r="A90" s="16"/>
      <c r="B90" s="2"/>
      <c r="C90" s="1"/>
      <c r="D90" s="2"/>
      <c r="E90" s="66"/>
      <c r="F90" s="1"/>
      <c r="G90" s="1"/>
      <c r="H90" s="1"/>
      <c r="I90" s="1"/>
      <c r="J90" s="1"/>
      <c r="K90" s="1"/>
      <c r="L90" s="1"/>
      <c r="M90" s="1"/>
      <c r="N90" s="1"/>
      <c r="O90" s="1"/>
      <c r="P90" s="1"/>
      <c r="Q90" s="1"/>
      <c r="R90" s="1"/>
      <c r="S90" s="1"/>
      <c r="T90" s="1"/>
      <c r="U90" s="1"/>
      <c r="V90" s="1"/>
      <c r="W90" s="1"/>
      <c r="X90" s="1"/>
      <c r="Y90" s="1"/>
      <c r="Z90" s="1"/>
      <c r="AA90" s="1"/>
      <c r="AB90" s="1"/>
      <c r="AC90" s="1"/>
      <c r="AD90" s="67"/>
      <c r="AE90" s="1"/>
      <c r="AF90" s="1"/>
      <c r="AG90" s="1"/>
      <c r="AH90" s="1"/>
      <c r="AI90" s="1"/>
      <c r="AJ90" s="1"/>
      <c r="AK90" s="1"/>
      <c r="AL90" s="1"/>
      <c r="AM90" s="1"/>
      <c r="AN90" s="1"/>
      <c r="AO90" s="1"/>
      <c r="AP90" s="1"/>
      <c r="AQ90" s="1"/>
      <c r="AR90" s="1"/>
      <c r="AS90" s="1"/>
      <c r="AT90" s="1"/>
      <c r="AU90" s="1"/>
      <c r="AV90" s="1"/>
      <c r="AW90" s="1"/>
      <c r="AX90" s="1"/>
    </row>
    <row r="91" ht="15.75" customHeight="1">
      <c r="A91" s="16"/>
      <c r="B91" s="2"/>
      <c r="C91" s="1"/>
      <c r="D91" s="2"/>
      <c r="E91" s="66"/>
      <c r="F91" s="1"/>
      <c r="G91" s="1"/>
      <c r="H91" s="1"/>
      <c r="I91" s="1"/>
      <c r="J91" s="1"/>
      <c r="K91" s="1"/>
      <c r="L91" s="1"/>
      <c r="M91" s="1"/>
      <c r="N91" s="1"/>
      <c r="O91" s="1"/>
      <c r="P91" s="1"/>
      <c r="Q91" s="1"/>
      <c r="R91" s="1"/>
      <c r="S91" s="1"/>
      <c r="T91" s="1"/>
      <c r="U91" s="1"/>
      <c r="V91" s="1"/>
      <c r="W91" s="1"/>
      <c r="X91" s="1"/>
      <c r="Y91" s="1"/>
      <c r="Z91" s="1"/>
      <c r="AA91" s="1"/>
      <c r="AB91" s="1"/>
      <c r="AC91" s="1"/>
      <c r="AD91" s="67"/>
      <c r="AE91" s="1"/>
      <c r="AF91" s="1"/>
      <c r="AG91" s="1"/>
      <c r="AH91" s="1"/>
      <c r="AI91" s="1"/>
      <c r="AJ91" s="1"/>
      <c r="AK91" s="1"/>
      <c r="AL91" s="1"/>
      <c r="AM91" s="1"/>
      <c r="AN91" s="1"/>
      <c r="AO91" s="1"/>
      <c r="AP91" s="1"/>
      <c r="AQ91" s="1"/>
      <c r="AR91" s="1"/>
      <c r="AS91" s="1"/>
      <c r="AT91" s="1"/>
      <c r="AU91" s="1"/>
      <c r="AV91" s="1"/>
      <c r="AW91" s="1"/>
      <c r="AX91" s="1"/>
    </row>
    <row r="92" ht="15.75" customHeight="1">
      <c r="A92" s="16"/>
      <c r="B92" s="2"/>
      <c r="C92" s="1"/>
      <c r="D92" s="2"/>
      <c r="E92" s="66"/>
      <c r="F92" s="1"/>
      <c r="G92" s="1"/>
      <c r="H92" s="1"/>
      <c r="I92" s="1"/>
      <c r="J92" s="1"/>
      <c r="K92" s="1"/>
      <c r="L92" s="1"/>
      <c r="M92" s="1"/>
      <c r="N92" s="1"/>
      <c r="O92" s="1"/>
      <c r="P92" s="1"/>
      <c r="Q92" s="1"/>
      <c r="R92" s="1"/>
      <c r="S92" s="1"/>
      <c r="T92" s="1"/>
      <c r="U92" s="1"/>
      <c r="V92" s="1"/>
      <c r="W92" s="1"/>
      <c r="X92" s="1"/>
      <c r="Y92" s="1"/>
      <c r="Z92" s="1"/>
      <c r="AA92" s="1"/>
      <c r="AB92" s="1"/>
      <c r="AC92" s="1"/>
      <c r="AD92" s="67"/>
      <c r="AE92" s="1"/>
      <c r="AF92" s="1"/>
      <c r="AG92" s="1"/>
      <c r="AH92" s="1"/>
      <c r="AI92" s="1"/>
      <c r="AJ92" s="1"/>
      <c r="AK92" s="1"/>
      <c r="AL92" s="1"/>
      <c r="AM92" s="1"/>
      <c r="AN92" s="1"/>
      <c r="AO92" s="1"/>
      <c r="AP92" s="1"/>
      <c r="AQ92" s="1"/>
      <c r="AR92" s="1"/>
      <c r="AS92" s="1"/>
      <c r="AT92" s="1"/>
      <c r="AU92" s="1"/>
      <c r="AV92" s="1"/>
      <c r="AW92" s="1"/>
      <c r="AX92" s="1"/>
    </row>
    <row r="93" ht="15.75" customHeight="1">
      <c r="A93" s="16"/>
      <c r="B93" s="2"/>
      <c r="C93" s="1"/>
      <c r="D93" s="2"/>
      <c r="E93" s="66"/>
      <c r="F93" s="1"/>
      <c r="G93" s="1"/>
      <c r="H93" s="1"/>
      <c r="I93" s="1"/>
      <c r="J93" s="1"/>
      <c r="K93" s="1"/>
      <c r="L93" s="1"/>
      <c r="M93" s="1"/>
      <c r="N93" s="1"/>
      <c r="O93" s="1"/>
      <c r="P93" s="1"/>
      <c r="Q93" s="1"/>
      <c r="R93" s="1"/>
      <c r="S93" s="1"/>
      <c r="T93" s="1"/>
      <c r="U93" s="1"/>
      <c r="V93" s="1"/>
      <c r="W93" s="1"/>
      <c r="X93" s="1"/>
      <c r="Y93" s="1"/>
      <c r="Z93" s="1"/>
      <c r="AA93" s="1"/>
      <c r="AB93" s="1"/>
      <c r="AC93" s="1"/>
      <c r="AD93" s="67"/>
      <c r="AE93" s="1"/>
      <c r="AF93" s="1"/>
      <c r="AG93" s="1"/>
      <c r="AH93" s="1"/>
      <c r="AI93" s="1"/>
      <c r="AJ93" s="1"/>
      <c r="AK93" s="1"/>
      <c r="AL93" s="1"/>
      <c r="AM93" s="1"/>
      <c r="AN93" s="1"/>
      <c r="AO93" s="1"/>
      <c r="AP93" s="1"/>
      <c r="AQ93" s="1"/>
      <c r="AR93" s="1"/>
      <c r="AS93" s="1"/>
      <c r="AT93" s="1"/>
      <c r="AU93" s="1"/>
      <c r="AV93" s="1"/>
      <c r="AW93" s="1"/>
      <c r="AX93" s="1"/>
    </row>
    <row r="94" ht="15.75" customHeight="1">
      <c r="A94" s="16"/>
      <c r="B94" s="2"/>
      <c r="C94" s="1"/>
      <c r="D94" s="2"/>
      <c r="E94" s="66"/>
      <c r="F94" s="2"/>
      <c r="G94" s="2"/>
      <c r="H94" s="1"/>
      <c r="I94" s="1"/>
      <c r="J94" s="1"/>
      <c r="K94" s="1"/>
      <c r="L94" s="1"/>
      <c r="M94" s="1"/>
      <c r="N94" s="1"/>
      <c r="O94" s="1"/>
      <c r="P94" s="1"/>
      <c r="Q94" s="1"/>
      <c r="R94" s="1"/>
      <c r="S94" s="1"/>
      <c r="T94" s="1"/>
      <c r="U94" s="1"/>
      <c r="V94" s="1"/>
      <c r="W94" s="1"/>
      <c r="X94" s="1"/>
      <c r="Y94" s="1"/>
      <c r="Z94" s="1"/>
      <c r="AA94" s="1"/>
      <c r="AB94" s="1"/>
      <c r="AC94" s="1"/>
      <c r="AD94" s="67"/>
      <c r="AE94" s="1"/>
      <c r="AF94" s="1"/>
      <c r="AG94" s="1"/>
      <c r="AH94" s="1"/>
      <c r="AI94" s="1"/>
      <c r="AJ94" s="1"/>
      <c r="AK94" s="1"/>
      <c r="AL94" s="1"/>
      <c r="AM94" s="1"/>
      <c r="AN94" s="1"/>
      <c r="AO94" s="1"/>
      <c r="AP94" s="1"/>
      <c r="AQ94" s="1"/>
      <c r="AR94" s="1"/>
      <c r="AS94" s="1"/>
      <c r="AT94" s="1"/>
      <c r="AU94" s="1"/>
      <c r="AV94" s="1"/>
      <c r="AW94" s="1"/>
      <c r="AX94" s="1"/>
    </row>
    <row r="95" ht="15.75" customHeight="1">
      <c r="A95" s="16"/>
      <c r="B95" s="2"/>
      <c r="C95" s="1"/>
      <c r="D95" s="2"/>
      <c r="E95" s="66"/>
      <c r="F95" s="1"/>
      <c r="G95" s="1"/>
      <c r="H95" s="1"/>
      <c r="I95" s="1"/>
      <c r="J95" s="1"/>
      <c r="K95" s="1"/>
      <c r="L95" s="1"/>
      <c r="M95" s="1"/>
      <c r="N95" s="1"/>
      <c r="O95" s="1"/>
      <c r="P95" s="1"/>
      <c r="Q95" s="1"/>
      <c r="R95" s="1"/>
      <c r="S95" s="1"/>
      <c r="T95" s="1"/>
      <c r="U95" s="1"/>
      <c r="V95" s="1"/>
      <c r="W95" s="1"/>
      <c r="X95" s="1"/>
      <c r="Y95" s="1"/>
      <c r="Z95" s="1"/>
      <c r="AA95" s="1"/>
      <c r="AB95" s="1"/>
      <c r="AC95" s="1"/>
      <c r="AD95" s="67"/>
      <c r="AE95" s="1"/>
      <c r="AF95" s="1"/>
      <c r="AG95" s="1"/>
      <c r="AH95" s="1"/>
      <c r="AI95" s="1"/>
      <c r="AJ95" s="1"/>
      <c r="AK95" s="1"/>
      <c r="AL95" s="1"/>
      <c r="AM95" s="1"/>
      <c r="AN95" s="1"/>
      <c r="AO95" s="1"/>
      <c r="AP95" s="1"/>
      <c r="AQ95" s="1"/>
      <c r="AR95" s="1"/>
      <c r="AS95" s="1"/>
      <c r="AT95" s="1"/>
      <c r="AU95" s="1"/>
      <c r="AV95" s="1"/>
      <c r="AW95" s="1"/>
      <c r="AX95" s="1"/>
    </row>
    <row r="96" ht="15.75" customHeight="1">
      <c r="A96" s="16"/>
      <c r="B96" s="2"/>
      <c r="C96" s="1"/>
      <c r="D96" s="2"/>
      <c r="E96" s="66"/>
      <c r="F96" s="1"/>
      <c r="G96" s="1"/>
      <c r="H96" s="1"/>
      <c r="I96" s="1"/>
      <c r="J96" s="1"/>
      <c r="K96" s="1"/>
      <c r="L96" s="1"/>
      <c r="M96" s="1"/>
      <c r="N96" s="1"/>
      <c r="O96" s="1"/>
      <c r="P96" s="1"/>
      <c r="Q96" s="1"/>
      <c r="R96" s="1"/>
      <c r="S96" s="1"/>
      <c r="T96" s="1"/>
      <c r="U96" s="1"/>
      <c r="V96" s="1"/>
      <c r="W96" s="1"/>
      <c r="X96" s="1"/>
      <c r="Y96" s="1"/>
      <c r="Z96" s="1"/>
      <c r="AA96" s="1"/>
      <c r="AB96" s="1"/>
      <c r="AC96" s="1"/>
      <c r="AD96" s="67"/>
      <c r="AE96" s="1"/>
      <c r="AF96" s="1"/>
      <c r="AG96" s="1"/>
      <c r="AH96" s="1"/>
      <c r="AI96" s="1"/>
      <c r="AJ96" s="1"/>
      <c r="AK96" s="1"/>
      <c r="AL96" s="1"/>
      <c r="AM96" s="1"/>
      <c r="AN96" s="1"/>
      <c r="AO96" s="1"/>
      <c r="AP96" s="1"/>
      <c r="AQ96" s="1"/>
      <c r="AR96" s="1"/>
      <c r="AS96" s="1"/>
      <c r="AT96" s="1"/>
      <c r="AU96" s="1"/>
      <c r="AV96" s="1"/>
      <c r="AW96" s="1"/>
      <c r="AX96" s="1"/>
    </row>
    <row r="97" ht="15.75" customHeight="1">
      <c r="A97" s="16"/>
      <c r="B97" s="2"/>
      <c r="C97" s="1"/>
      <c r="D97" s="2"/>
      <c r="E97" s="66"/>
      <c r="F97" s="1"/>
      <c r="G97" s="1"/>
      <c r="H97" s="1"/>
      <c r="I97" s="1"/>
      <c r="J97" s="1"/>
      <c r="K97" s="1"/>
      <c r="L97" s="1"/>
      <c r="M97" s="1"/>
      <c r="N97" s="1"/>
      <c r="O97" s="1"/>
      <c r="P97" s="1"/>
      <c r="Q97" s="1"/>
      <c r="R97" s="1"/>
      <c r="S97" s="1"/>
      <c r="T97" s="1"/>
      <c r="U97" s="1"/>
      <c r="V97" s="1"/>
      <c r="W97" s="1"/>
      <c r="X97" s="1"/>
      <c r="Y97" s="1"/>
      <c r="Z97" s="1"/>
      <c r="AA97" s="1"/>
      <c r="AB97" s="1"/>
      <c r="AC97" s="1"/>
      <c r="AD97" s="67"/>
      <c r="AE97" s="1"/>
      <c r="AF97" s="1"/>
      <c r="AG97" s="1"/>
      <c r="AH97" s="1"/>
      <c r="AI97" s="1"/>
      <c r="AJ97" s="1"/>
      <c r="AK97" s="1"/>
      <c r="AL97" s="1"/>
      <c r="AM97" s="1"/>
      <c r="AN97" s="1"/>
      <c r="AO97" s="1"/>
      <c r="AP97" s="1"/>
      <c r="AQ97" s="1"/>
      <c r="AR97" s="1"/>
      <c r="AS97" s="1"/>
      <c r="AT97" s="1"/>
      <c r="AU97" s="1"/>
      <c r="AV97" s="1"/>
      <c r="AW97" s="1"/>
      <c r="AX97" s="1"/>
    </row>
    <row r="98" ht="15.75" customHeight="1">
      <c r="A98" s="16"/>
      <c r="B98" s="2"/>
      <c r="C98" s="1"/>
      <c r="D98" s="2"/>
      <c r="E98" s="66"/>
      <c r="F98" s="1"/>
      <c r="G98" s="1"/>
      <c r="H98" s="1"/>
      <c r="I98" s="1"/>
      <c r="J98" s="1"/>
      <c r="K98" s="1"/>
      <c r="L98" s="1"/>
      <c r="M98" s="1"/>
      <c r="N98" s="1"/>
      <c r="O98" s="1"/>
      <c r="P98" s="1"/>
      <c r="Q98" s="1"/>
      <c r="R98" s="1"/>
      <c r="S98" s="1"/>
      <c r="T98" s="1"/>
      <c r="U98" s="1"/>
      <c r="V98" s="1"/>
      <c r="W98" s="1"/>
      <c r="X98" s="1"/>
      <c r="Y98" s="1"/>
      <c r="Z98" s="1"/>
      <c r="AA98" s="1"/>
      <c r="AB98" s="1"/>
      <c r="AC98" s="1"/>
      <c r="AD98" s="67"/>
      <c r="AE98" s="1"/>
      <c r="AF98" s="1"/>
      <c r="AG98" s="1"/>
      <c r="AH98" s="1"/>
      <c r="AI98" s="1"/>
      <c r="AJ98" s="1"/>
      <c r="AK98" s="1"/>
      <c r="AL98" s="1"/>
      <c r="AM98" s="1"/>
      <c r="AN98" s="1"/>
      <c r="AO98" s="1"/>
      <c r="AP98" s="1"/>
      <c r="AQ98" s="1"/>
      <c r="AR98" s="1"/>
      <c r="AS98" s="1"/>
      <c r="AT98" s="1"/>
      <c r="AU98" s="1"/>
      <c r="AV98" s="1"/>
      <c r="AW98" s="1"/>
      <c r="AX98" s="1"/>
    </row>
    <row r="99" ht="15.75" customHeight="1">
      <c r="A99" s="16"/>
      <c r="B99" s="2"/>
      <c r="C99" s="1"/>
      <c r="D99" s="2"/>
      <c r="E99" s="66"/>
      <c r="F99" s="1"/>
      <c r="G99" s="1"/>
      <c r="H99" s="1"/>
      <c r="I99" s="1"/>
      <c r="J99" s="1"/>
      <c r="K99" s="1"/>
      <c r="L99" s="1"/>
      <c r="M99" s="1"/>
      <c r="N99" s="1"/>
      <c r="O99" s="1"/>
      <c r="P99" s="1"/>
      <c r="Q99" s="1"/>
      <c r="R99" s="1"/>
      <c r="S99" s="1"/>
      <c r="T99" s="1"/>
      <c r="U99" s="1"/>
      <c r="V99" s="1"/>
      <c r="W99" s="1"/>
      <c r="X99" s="1"/>
      <c r="Y99" s="1"/>
      <c r="Z99" s="1"/>
      <c r="AA99" s="1"/>
      <c r="AB99" s="1"/>
      <c r="AC99" s="1"/>
      <c r="AD99" s="67"/>
      <c r="AE99" s="1"/>
      <c r="AF99" s="1"/>
      <c r="AG99" s="1"/>
      <c r="AH99" s="1"/>
      <c r="AI99" s="1"/>
      <c r="AJ99" s="1"/>
      <c r="AK99" s="1"/>
      <c r="AL99" s="1"/>
      <c r="AM99" s="1"/>
      <c r="AN99" s="1"/>
      <c r="AO99" s="1"/>
      <c r="AP99" s="1"/>
      <c r="AQ99" s="1"/>
      <c r="AR99" s="1"/>
      <c r="AS99" s="1"/>
      <c r="AT99" s="1"/>
      <c r="AU99" s="1"/>
      <c r="AV99" s="1"/>
      <c r="AW99" s="1"/>
      <c r="AX99" s="1"/>
    </row>
    <row r="100" ht="15.75" customHeight="1">
      <c r="A100" s="16"/>
      <c r="B100" s="2"/>
      <c r="C100" s="1"/>
      <c r="D100" s="2"/>
      <c r="E100" s="66"/>
      <c r="F100" s="1"/>
      <c r="G100" s="1"/>
      <c r="H100" s="1"/>
      <c r="I100" s="1"/>
      <c r="J100" s="1"/>
      <c r="K100" s="1"/>
      <c r="L100" s="1"/>
      <c r="M100" s="1"/>
      <c r="N100" s="1"/>
      <c r="O100" s="1"/>
      <c r="P100" s="1"/>
      <c r="Q100" s="1"/>
      <c r="R100" s="1"/>
      <c r="S100" s="1"/>
      <c r="T100" s="1"/>
      <c r="U100" s="1"/>
      <c r="V100" s="1"/>
      <c r="W100" s="1"/>
      <c r="X100" s="1"/>
      <c r="Y100" s="1"/>
      <c r="Z100" s="1"/>
      <c r="AA100" s="1"/>
      <c r="AB100" s="1"/>
      <c r="AC100" s="1"/>
      <c r="AD100" s="67"/>
      <c r="AE100" s="1"/>
      <c r="AF100" s="1"/>
      <c r="AG100" s="1"/>
      <c r="AH100" s="1"/>
      <c r="AI100" s="1"/>
      <c r="AJ100" s="1"/>
      <c r="AK100" s="1"/>
      <c r="AL100" s="1"/>
      <c r="AM100" s="1"/>
      <c r="AN100" s="1"/>
      <c r="AO100" s="1"/>
      <c r="AP100" s="1"/>
      <c r="AQ100" s="1"/>
      <c r="AR100" s="1"/>
      <c r="AS100" s="1"/>
      <c r="AT100" s="1"/>
      <c r="AU100" s="1"/>
      <c r="AV100" s="1"/>
      <c r="AW100" s="1"/>
      <c r="AX100" s="1"/>
    </row>
    <row r="101" ht="15.75" customHeight="1">
      <c r="A101" s="67"/>
      <c r="B101" s="2"/>
      <c r="C101" s="1"/>
      <c r="D101" s="2"/>
      <c r="E101" s="66"/>
      <c r="F101" s="1"/>
      <c r="G101" s="1"/>
      <c r="H101" s="1"/>
      <c r="I101" s="1"/>
      <c r="J101" s="1"/>
      <c r="K101" s="1"/>
      <c r="L101" s="1"/>
      <c r="M101" s="1"/>
      <c r="N101" s="1"/>
      <c r="O101" s="1"/>
      <c r="P101" s="1"/>
      <c r="Q101" s="1"/>
      <c r="R101" s="1"/>
      <c r="S101" s="1"/>
      <c r="T101" s="1"/>
      <c r="U101" s="1"/>
      <c r="V101" s="1"/>
      <c r="W101" s="1"/>
      <c r="X101" s="1"/>
      <c r="Y101" s="1"/>
      <c r="Z101" s="1"/>
      <c r="AA101" s="1"/>
      <c r="AB101" s="1"/>
      <c r="AC101" s="1"/>
      <c r="AD101" s="67"/>
      <c r="AE101" s="1"/>
      <c r="AF101" s="1"/>
      <c r="AG101" s="1"/>
      <c r="AH101" s="1"/>
      <c r="AI101" s="1"/>
      <c r="AJ101" s="1"/>
      <c r="AK101" s="1"/>
      <c r="AL101" s="1"/>
      <c r="AM101" s="1"/>
      <c r="AN101" s="1"/>
      <c r="AO101" s="1"/>
      <c r="AP101" s="1"/>
      <c r="AQ101" s="1"/>
      <c r="AR101" s="1"/>
      <c r="AS101" s="1"/>
      <c r="AT101" s="1"/>
      <c r="AU101" s="1"/>
      <c r="AV101" s="1"/>
      <c r="AW101" s="1"/>
      <c r="AX101" s="1"/>
    </row>
    <row r="102" ht="15.75" customHeight="1">
      <c r="A102" s="16"/>
      <c r="B102" s="2"/>
      <c r="C102" s="1"/>
      <c r="D102" s="2"/>
      <c r="E102" s="66"/>
      <c r="F102" s="2"/>
      <c r="G102" s="2"/>
      <c r="H102" s="1"/>
      <c r="I102" s="1"/>
      <c r="J102" s="2"/>
      <c r="K102" s="1"/>
      <c r="L102" s="1"/>
      <c r="M102" s="1"/>
      <c r="N102" s="1"/>
      <c r="O102" s="1"/>
      <c r="P102" s="1"/>
      <c r="Q102" s="1"/>
      <c r="R102" s="1"/>
      <c r="S102" s="1"/>
      <c r="T102" s="1"/>
      <c r="U102" s="1"/>
      <c r="V102" s="1"/>
      <c r="W102" s="1"/>
      <c r="X102" s="1"/>
      <c r="Y102" s="1"/>
      <c r="Z102" s="1"/>
      <c r="AA102" s="1"/>
      <c r="AB102" s="1"/>
      <c r="AC102" s="1"/>
      <c r="AD102" s="8"/>
      <c r="AE102" s="1"/>
      <c r="AF102" s="1"/>
      <c r="AG102" s="1"/>
      <c r="AH102" s="1"/>
      <c r="AI102" s="1"/>
      <c r="AJ102" s="1"/>
      <c r="AK102" s="1"/>
      <c r="AL102" s="1"/>
      <c r="AM102" s="1"/>
      <c r="AN102" s="1"/>
      <c r="AO102" s="1"/>
      <c r="AP102" s="1"/>
      <c r="AQ102" s="1"/>
      <c r="AR102" s="1"/>
      <c r="AS102" s="1"/>
      <c r="AT102" s="1"/>
      <c r="AU102" s="1"/>
      <c r="AV102" s="1"/>
      <c r="AW102" s="1"/>
      <c r="AX102" s="1"/>
    </row>
    <row r="103" ht="15.75" customHeight="1">
      <c r="A103" s="16"/>
      <c r="B103" s="2"/>
      <c r="C103" s="1"/>
      <c r="D103" s="2"/>
      <c r="E103" s="66"/>
      <c r="F103" s="1"/>
      <c r="G103" s="1"/>
      <c r="H103" s="1"/>
      <c r="I103" s="1"/>
      <c r="J103" s="1"/>
      <c r="K103" s="1"/>
      <c r="L103" s="1"/>
      <c r="M103" s="1"/>
      <c r="N103" s="1"/>
      <c r="O103" s="1"/>
      <c r="P103" s="1"/>
      <c r="Q103" s="1"/>
      <c r="R103" s="1"/>
      <c r="S103" s="1"/>
      <c r="T103" s="1"/>
      <c r="U103" s="1"/>
      <c r="V103" s="1"/>
      <c r="W103" s="1"/>
      <c r="X103" s="1"/>
      <c r="Y103" s="1"/>
      <c r="Z103" s="1"/>
      <c r="AA103" s="1"/>
      <c r="AB103" s="1"/>
      <c r="AC103" s="1"/>
      <c r="AD103" s="8"/>
      <c r="AE103" s="1"/>
      <c r="AF103" s="1"/>
      <c r="AG103" s="1"/>
      <c r="AH103" s="1"/>
      <c r="AI103" s="1"/>
      <c r="AJ103" s="1"/>
      <c r="AK103" s="1"/>
      <c r="AL103" s="1"/>
      <c r="AM103" s="1"/>
      <c r="AN103" s="1"/>
      <c r="AO103" s="1"/>
      <c r="AP103" s="1"/>
      <c r="AQ103" s="1"/>
      <c r="AR103" s="1"/>
      <c r="AS103" s="1"/>
      <c r="AT103" s="1"/>
      <c r="AU103" s="1"/>
      <c r="AV103" s="1"/>
      <c r="AW103" s="1"/>
      <c r="AX103" s="1"/>
    </row>
    <row r="104" ht="15.75" customHeight="1">
      <c r="A104" s="16"/>
      <c r="B104" s="2"/>
      <c r="C104" s="1"/>
      <c r="D104" s="2"/>
      <c r="E104" s="66"/>
      <c r="F104" s="2"/>
      <c r="G104" s="2"/>
      <c r="H104" s="1"/>
      <c r="I104" s="1"/>
      <c r="J104" s="1"/>
      <c r="K104" s="1"/>
      <c r="L104" s="1"/>
      <c r="M104" s="1"/>
      <c r="N104" s="1"/>
      <c r="O104" s="1"/>
      <c r="P104" s="1"/>
      <c r="Q104" s="1"/>
      <c r="R104" s="1"/>
      <c r="S104" s="1"/>
      <c r="T104" s="1"/>
      <c r="U104" s="1"/>
      <c r="V104" s="1"/>
      <c r="W104" s="1"/>
      <c r="X104" s="1"/>
      <c r="Y104" s="1"/>
      <c r="Z104" s="1"/>
      <c r="AA104" s="1"/>
      <c r="AB104" s="1"/>
      <c r="AC104" s="1"/>
      <c r="AD104" s="8"/>
      <c r="AE104" s="1"/>
      <c r="AF104" s="1"/>
      <c r="AG104" s="1"/>
      <c r="AH104" s="1"/>
      <c r="AI104" s="1"/>
      <c r="AJ104" s="1"/>
      <c r="AK104" s="1"/>
      <c r="AL104" s="1"/>
      <c r="AM104" s="1"/>
      <c r="AN104" s="1"/>
      <c r="AO104" s="1"/>
      <c r="AP104" s="1"/>
      <c r="AQ104" s="1"/>
      <c r="AR104" s="1"/>
      <c r="AS104" s="1"/>
      <c r="AT104" s="1"/>
      <c r="AU104" s="1"/>
      <c r="AV104" s="1"/>
      <c r="AW104" s="1"/>
      <c r="AX104" s="1"/>
    </row>
    <row r="105" ht="15.75" customHeight="1">
      <c r="A105" s="16"/>
      <c r="B105" s="2"/>
      <c r="C105" s="1"/>
      <c r="D105" s="2"/>
      <c r="E105" s="66"/>
      <c r="F105" s="2"/>
      <c r="G105" s="2"/>
      <c r="H105" s="1"/>
      <c r="I105" s="1"/>
      <c r="J105" s="1"/>
      <c r="K105" s="1"/>
      <c r="L105" s="1"/>
      <c r="M105" s="1"/>
      <c r="N105" s="1"/>
      <c r="O105" s="1"/>
      <c r="P105" s="1"/>
      <c r="Q105" s="1"/>
      <c r="R105" s="1"/>
      <c r="S105" s="1"/>
      <c r="T105" s="1"/>
      <c r="U105" s="1"/>
      <c r="V105" s="1"/>
      <c r="W105" s="1"/>
      <c r="X105" s="1"/>
      <c r="Y105" s="1"/>
      <c r="Z105" s="1"/>
      <c r="AA105" s="1"/>
      <c r="AB105" s="1"/>
      <c r="AC105" s="1"/>
      <c r="AD105" s="2"/>
      <c r="AE105" s="1"/>
      <c r="AF105" s="1"/>
      <c r="AG105" s="1"/>
      <c r="AH105" s="1"/>
      <c r="AI105" s="1"/>
      <c r="AJ105" s="1"/>
      <c r="AK105" s="1"/>
      <c r="AL105" s="1"/>
      <c r="AM105" s="1"/>
      <c r="AN105" s="1"/>
      <c r="AO105" s="1"/>
      <c r="AP105" s="1"/>
      <c r="AQ105" s="1"/>
      <c r="AR105" s="1"/>
      <c r="AS105" s="1"/>
      <c r="AT105" s="1"/>
      <c r="AU105" s="1"/>
      <c r="AV105" s="1"/>
      <c r="AW105" s="1"/>
      <c r="AX105" s="1"/>
    </row>
    <row r="106" ht="15.75" customHeight="1">
      <c r="A106" s="16"/>
      <c r="B106" s="2"/>
      <c r="C106" s="1"/>
      <c r="D106" s="2"/>
      <c r="E106" s="66"/>
      <c r="F106" s="1"/>
      <c r="G106" s="1"/>
      <c r="H106" s="1"/>
      <c r="I106" s="1"/>
      <c r="J106" s="1"/>
      <c r="K106" s="1"/>
      <c r="L106" s="1"/>
      <c r="M106" s="1"/>
      <c r="N106" s="1"/>
      <c r="O106" s="1"/>
      <c r="P106" s="1"/>
      <c r="Q106" s="1"/>
      <c r="R106" s="1"/>
      <c r="S106" s="1"/>
      <c r="T106" s="1"/>
      <c r="U106" s="1"/>
      <c r="V106" s="1"/>
      <c r="W106" s="1"/>
      <c r="X106" s="1"/>
      <c r="Y106" s="1"/>
      <c r="Z106" s="1"/>
      <c r="AA106" s="1"/>
      <c r="AB106" s="1"/>
      <c r="AC106" s="1"/>
      <c r="AD106" s="8"/>
      <c r="AE106" s="1"/>
      <c r="AF106" s="1"/>
      <c r="AG106" s="1"/>
      <c r="AH106" s="1"/>
      <c r="AI106" s="1"/>
      <c r="AJ106" s="1"/>
      <c r="AK106" s="1"/>
      <c r="AL106" s="1"/>
      <c r="AM106" s="1"/>
      <c r="AN106" s="1"/>
      <c r="AO106" s="1"/>
      <c r="AP106" s="1"/>
      <c r="AQ106" s="1"/>
      <c r="AR106" s="1"/>
      <c r="AS106" s="1"/>
      <c r="AT106" s="1"/>
      <c r="AU106" s="1"/>
      <c r="AV106" s="1"/>
      <c r="AW106" s="1"/>
      <c r="AX106" s="1"/>
    </row>
    <row r="107" ht="15.75" customHeight="1">
      <c r="A107" s="16"/>
      <c r="B107" s="2"/>
      <c r="C107" s="1"/>
      <c r="D107" s="2"/>
      <c r="E107" s="66"/>
      <c r="F107" s="1"/>
      <c r="G107" s="1"/>
      <c r="H107" s="1"/>
      <c r="I107" s="1"/>
      <c r="J107" s="1"/>
      <c r="K107" s="1"/>
      <c r="L107" s="1"/>
      <c r="M107" s="1"/>
      <c r="N107" s="1"/>
      <c r="O107" s="1"/>
      <c r="P107" s="1"/>
      <c r="Q107" s="1"/>
      <c r="R107" s="1"/>
      <c r="S107" s="1"/>
      <c r="T107" s="1"/>
      <c r="U107" s="1"/>
      <c r="V107" s="1"/>
      <c r="W107" s="1"/>
      <c r="X107" s="1"/>
      <c r="Y107" s="1"/>
      <c r="Z107" s="1"/>
      <c r="AA107" s="1"/>
      <c r="AB107" s="1"/>
      <c r="AC107" s="1"/>
      <c r="AD107" s="8"/>
      <c r="AE107" s="1"/>
      <c r="AF107" s="1"/>
      <c r="AG107" s="1"/>
      <c r="AH107" s="1"/>
      <c r="AI107" s="1"/>
      <c r="AJ107" s="1"/>
      <c r="AK107" s="1"/>
      <c r="AL107" s="1"/>
      <c r="AM107" s="1"/>
      <c r="AN107" s="1"/>
      <c r="AO107" s="1"/>
      <c r="AP107" s="1"/>
      <c r="AQ107" s="1"/>
      <c r="AR107" s="1"/>
      <c r="AS107" s="1"/>
      <c r="AT107" s="1"/>
      <c r="AU107" s="1"/>
      <c r="AV107" s="1"/>
      <c r="AW107" s="1"/>
      <c r="AX107" s="1"/>
    </row>
    <row r="108" ht="15.75" customHeight="1">
      <c r="A108" s="67"/>
      <c r="B108" s="2"/>
      <c r="C108" s="1"/>
      <c r="D108" s="2"/>
      <c r="E108" s="66"/>
      <c r="F108" s="2"/>
      <c r="G108" s="2"/>
      <c r="H108" s="1"/>
      <c r="I108" s="1"/>
      <c r="J108" s="1"/>
      <c r="K108" s="1"/>
      <c r="L108" s="1"/>
      <c r="M108" s="1"/>
      <c r="N108" s="1"/>
      <c r="O108" s="1"/>
      <c r="P108" s="1"/>
      <c r="Q108" s="1"/>
      <c r="R108" s="1"/>
      <c r="S108" s="1"/>
      <c r="T108" s="1"/>
      <c r="U108" s="1"/>
      <c r="V108" s="1"/>
      <c r="W108" s="1"/>
      <c r="X108" s="1"/>
      <c r="Y108" s="1"/>
      <c r="Z108" s="1"/>
      <c r="AA108" s="1"/>
      <c r="AB108" s="1"/>
      <c r="AC108" s="1"/>
      <c r="AD108" s="69"/>
      <c r="AE108" s="1"/>
      <c r="AF108" s="1"/>
      <c r="AG108" s="1"/>
      <c r="AH108" s="1"/>
      <c r="AI108" s="1"/>
      <c r="AJ108" s="1"/>
      <c r="AK108" s="1"/>
      <c r="AL108" s="1"/>
      <c r="AM108" s="1"/>
      <c r="AN108" s="1"/>
      <c r="AO108" s="1"/>
      <c r="AP108" s="1"/>
      <c r="AQ108" s="1"/>
      <c r="AR108" s="1"/>
      <c r="AS108" s="1"/>
      <c r="AT108" s="1"/>
      <c r="AU108" s="1"/>
      <c r="AV108" s="1"/>
      <c r="AW108" s="1"/>
      <c r="AX108" s="1"/>
    </row>
    <row r="109" ht="15.75" customHeight="1">
      <c r="A109" s="16"/>
      <c r="B109" s="2"/>
      <c r="C109" s="1"/>
      <c r="D109" s="2"/>
      <c r="E109" s="66"/>
      <c r="F109" s="2"/>
      <c r="G109" s="2"/>
      <c r="H109" s="1"/>
      <c r="I109" s="1"/>
      <c r="J109" s="1"/>
      <c r="K109" s="1"/>
      <c r="L109" s="1"/>
      <c r="M109" s="1"/>
      <c r="N109" s="1"/>
      <c r="O109" s="1"/>
      <c r="P109" s="1"/>
      <c r="Q109" s="1"/>
      <c r="R109" s="1"/>
      <c r="S109" s="1"/>
      <c r="T109" s="1"/>
      <c r="U109" s="1"/>
      <c r="V109" s="1"/>
      <c r="W109" s="1"/>
      <c r="X109" s="1"/>
      <c r="Y109" s="1"/>
      <c r="Z109" s="1"/>
      <c r="AA109" s="1"/>
      <c r="AB109" s="1"/>
      <c r="AC109" s="1"/>
      <c r="AD109" s="67"/>
      <c r="AE109" s="1"/>
      <c r="AF109" s="1"/>
      <c r="AG109" s="1"/>
      <c r="AH109" s="1"/>
      <c r="AI109" s="1"/>
      <c r="AJ109" s="1"/>
      <c r="AK109" s="1"/>
      <c r="AL109" s="1"/>
      <c r="AM109" s="1"/>
      <c r="AN109" s="1"/>
      <c r="AO109" s="1"/>
      <c r="AP109" s="1"/>
      <c r="AQ109" s="1"/>
      <c r="AR109" s="1"/>
      <c r="AS109" s="1"/>
      <c r="AT109" s="1"/>
      <c r="AU109" s="1"/>
      <c r="AV109" s="1"/>
      <c r="AW109" s="1"/>
      <c r="AX109" s="1"/>
    </row>
    <row r="110" ht="15.75" customHeight="1">
      <c r="A110" s="16"/>
      <c r="B110" s="2"/>
      <c r="C110" s="1"/>
      <c r="D110" s="2"/>
      <c r="E110" s="66"/>
      <c r="F110" s="2"/>
      <c r="G110" s="2"/>
      <c r="H110" s="1"/>
      <c r="I110" s="1"/>
      <c r="J110" s="1"/>
      <c r="K110" s="1"/>
      <c r="L110" s="1"/>
      <c r="M110" s="1"/>
      <c r="N110" s="1"/>
      <c r="O110" s="1"/>
      <c r="P110" s="1"/>
      <c r="Q110" s="1"/>
      <c r="R110" s="1"/>
      <c r="S110" s="1"/>
      <c r="T110" s="1"/>
      <c r="U110" s="1"/>
      <c r="V110" s="1"/>
      <c r="W110" s="1"/>
      <c r="X110" s="1"/>
      <c r="Y110" s="1"/>
      <c r="Z110" s="1"/>
      <c r="AA110" s="1"/>
      <c r="AB110" s="1"/>
      <c r="AC110" s="1"/>
      <c r="AD110" s="67"/>
      <c r="AE110" s="1"/>
      <c r="AF110" s="1"/>
      <c r="AG110" s="1"/>
      <c r="AH110" s="1"/>
      <c r="AI110" s="1"/>
      <c r="AJ110" s="1"/>
      <c r="AK110" s="1"/>
      <c r="AL110" s="1"/>
      <c r="AM110" s="1"/>
      <c r="AN110" s="1"/>
      <c r="AO110" s="1"/>
      <c r="AP110" s="1"/>
      <c r="AQ110" s="1"/>
      <c r="AR110" s="1"/>
      <c r="AS110" s="1"/>
      <c r="AT110" s="1"/>
      <c r="AU110" s="1"/>
      <c r="AV110" s="1"/>
      <c r="AW110" s="1"/>
      <c r="AX110" s="1"/>
    </row>
    <row r="111" ht="15.75" customHeight="1">
      <c r="A111" s="16"/>
      <c r="B111" s="2"/>
      <c r="C111" s="1"/>
      <c r="D111" s="2"/>
      <c r="E111" s="66"/>
      <c r="F111" s="2"/>
      <c r="G111" s="2"/>
      <c r="H111" s="1"/>
      <c r="I111" s="1"/>
      <c r="J111" s="1"/>
      <c r="K111" s="1"/>
      <c r="L111" s="1"/>
      <c r="M111" s="1"/>
      <c r="N111" s="1"/>
      <c r="O111" s="1"/>
      <c r="P111" s="1"/>
      <c r="Q111" s="1"/>
      <c r="R111" s="1"/>
      <c r="S111" s="1"/>
      <c r="T111" s="1"/>
      <c r="U111" s="1"/>
      <c r="V111" s="1"/>
      <c r="W111" s="1"/>
      <c r="X111" s="1"/>
      <c r="Y111" s="1"/>
      <c r="Z111" s="1"/>
      <c r="AA111" s="1"/>
      <c r="AB111" s="1"/>
      <c r="AC111" s="1"/>
      <c r="AD111" s="8"/>
      <c r="AE111" s="1"/>
      <c r="AF111" s="1"/>
      <c r="AG111" s="1"/>
      <c r="AH111" s="1"/>
      <c r="AI111" s="1"/>
      <c r="AJ111" s="1"/>
      <c r="AK111" s="1"/>
      <c r="AL111" s="1"/>
      <c r="AM111" s="1"/>
      <c r="AN111" s="1"/>
      <c r="AO111" s="1"/>
      <c r="AP111" s="1"/>
      <c r="AQ111" s="1"/>
      <c r="AR111" s="1"/>
      <c r="AS111" s="1"/>
      <c r="AT111" s="1"/>
      <c r="AU111" s="1"/>
      <c r="AV111" s="1"/>
      <c r="AW111" s="1"/>
      <c r="AX111" s="1"/>
    </row>
    <row r="112" ht="15.75" customHeight="1">
      <c r="A112" s="16"/>
      <c r="B112" s="2"/>
      <c r="C112" s="1"/>
      <c r="D112" s="2"/>
      <c r="E112" s="66"/>
      <c r="F112" s="2"/>
      <c r="G112" s="2"/>
      <c r="H112" s="1"/>
      <c r="I112" s="1"/>
      <c r="J112" s="1"/>
      <c r="K112" s="1"/>
      <c r="L112" s="1"/>
      <c r="M112" s="1"/>
      <c r="N112" s="1"/>
      <c r="O112" s="1"/>
      <c r="P112" s="1"/>
      <c r="Q112" s="1"/>
      <c r="R112" s="1"/>
      <c r="S112" s="1"/>
      <c r="T112" s="1"/>
      <c r="U112" s="1"/>
      <c r="V112" s="1"/>
      <c r="W112" s="1"/>
      <c r="X112" s="1"/>
      <c r="Y112" s="1"/>
      <c r="Z112" s="1"/>
      <c r="AA112" s="1"/>
      <c r="AB112" s="1"/>
      <c r="AC112" s="1"/>
      <c r="AD112" s="67"/>
      <c r="AE112" s="1"/>
      <c r="AF112" s="1"/>
      <c r="AG112" s="1"/>
      <c r="AH112" s="1"/>
      <c r="AI112" s="1"/>
      <c r="AJ112" s="1"/>
      <c r="AK112" s="1"/>
      <c r="AL112" s="1"/>
      <c r="AM112" s="1"/>
      <c r="AN112" s="1"/>
      <c r="AO112" s="1"/>
      <c r="AP112" s="1"/>
      <c r="AQ112" s="1"/>
      <c r="AR112" s="1"/>
      <c r="AS112" s="1"/>
      <c r="AT112" s="1"/>
      <c r="AU112" s="1"/>
      <c r="AV112" s="1"/>
      <c r="AW112" s="1"/>
      <c r="AX112" s="1"/>
    </row>
    <row r="113" ht="15.75" customHeight="1">
      <c r="A113" s="16"/>
      <c r="B113" s="2"/>
      <c r="C113" s="1"/>
      <c r="D113" s="2"/>
      <c r="E113" s="66"/>
      <c r="F113" s="1"/>
      <c r="G113" s="1"/>
      <c r="H113" s="1"/>
      <c r="I113" s="1"/>
      <c r="J113" s="1"/>
      <c r="K113" s="1"/>
      <c r="L113" s="1"/>
      <c r="M113" s="1"/>
      <c r="N113" s="1"/>
      <c r="O113" s="1"/>
      <c r="P113" s="1"/>
      <c r="Q113" s="1"/>
      <c r="R113" s="1"/>
      <c r="S113" s="1"/>
      <c r="T113" s="1"/>
      <c r="U113" s="1"/>
      <c r="V113" s="1"/>
      <c r="W113" s="1"/>
      <c r="X113" s="1"/>
      <c r="Y113" s="1"/>
      <c r="Z113" s="1"/>
      <c r="AA113" s="1"/>
      <c r="AB113" s="1"/>
      <c r="AC113" s="1"/>
      <c r="AD113" s="69"/>
      <c r="AE113" s="1"/>
      <c r="AF113" s="1"/>
      <c r="AG113" s="1"/>
      <c r="AH113" s="1"/>
      <c r="AI113" s="1"/>
      <c r="AJ113" s="1"/>
      <c r="AK113" s="1"/>
      <c r="AL113" s="1"/>
      <c r="AM113" s="1"/>
      <c r="AN113" s="1"/>
      <c r="AO113" s="1"/>
      <c r="AP113" s="1"/>
      <c r="AQ113" s="1"/>
      <c r="AR113" s="1"/>
      <c r="AS113" s="1"/>
      <c r="AT113" s="1"/>
      <c r="AU113" s="1"/>
      <c r="AV113" s="1"/>
      <c r="AW113" s="1"/>
      <c r="AX113" s="1"/>
    </row>
    <row r="114" ht="15.75" customHeight="1">
      <c r="A114" s="16"/>
      <c r="B114" s="2"/>
      <c r="C114" s="1"/>
      <c r="D114" s="2"/>
      <c r="E114" s="66"/>
      <c r="F114" s="1"/>
      <c r="G114" s="1"/>
      <c r="H114" s="1"/>
      <c r="I114" s="1"/>
      <c r="J114" s="1"/>
      <c r="K114" s="1"/>
      <c r="L114" s="1"/>
      <c r="M114" s="1"/>
      <c r="N114" s="1"/>
      <c r="O114" s="1"/>
      <c r="P114" s="1"/>
      <c r="Q114" s="1"/>
      <c r="R114" s="1"/>
      <c r="S114" s="1"/>
      <c r="T114" s="1"/>
      <c r="U114" s="1"/>
      <c r="V114" s="1"/>
      <c r="W114" s="1"/>
      <c r="X114" s="1"/>
      <c r="Y114" s="1"/>
      <c r="Z114" s="1"/>
      <c r="AA114" s="1"/>
      <c r="AB114" s="1"/>
      <c r="AC114" s="1"/>
      <c r="AD114" s="69"/>
      <c r="AE114" s="1"/>
      <c r="AF114" s="1"/>
      <c r="AG114" s="1"/>
      <c r="AH114" s="1"/>
      <c r="AI114" s="1"/>
      <c r="AJ114" s="1"/>
      <c r="AK114" s="1"/>
      <c r="AL114" s="1"/>
      <c r="AM114" s="1"/>
      <c r="AN114" s="1"/>
      <c r="AO114" s="1"/>
      <c r="AP114" s="1"/>
      <c r="AQ114" s="1"/>
      <c r="AR114" s="1"/>
      <c r="AS114" s="1"/>
      <c r="AT114" s="1"/>
      <c r="AU114" s="1"/>
      <c r="AV114" s="1"/>
      <c r="AW114" s="1"/>
      <c r="AX114" s="1"/>
    </row>
    <row r="115" ht="15.75" customHeight="1">
      <c r="A115" s="2"/>
      <c r="B115" s="2"/>
      <c r="C115" s="1"/>
      <c r="D115" s="2"/>
      <c r="E115" s="66"/>
      <c r="F115" s="2"/>
      <c r="G115" s="2"/>
      <c r="H115" s="1"/>
      <c r="I115" s="1"/>
      <c r="J115" s="1"/>
      <c r="K115" s="1"/>
      <c r="L115" s="1"/>
      <c r="M115" s="1"/>
      <c r="N115" s="2"/>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row>
    <row r="116" ht="15.75" customHeight="1">
      <c r="A116" s="2"/>
      <c r="B116" s="2"/>
      <c r="C116" s="1"/>
      <c r="D116" s="2"/>
      <c r="E116" s="66"/>
      <c r="F116" s="2"/>
      <c r="G116" s="2"/>
      <c r="H116" s="1"/>
      <c r="I116" s="1"/>
      <c r="J116" s="1"/>
      <c r="K116" s="1"/>
      <c r="L116" s="1"/>
      <c r="M116" s="1"/>
      <c r="N116" s="1"/>
      <c r="O116" s="1"/>
      <c r="P116" s="1"/>
      <c r="Q116" s="1"/>
      <c r="R116" s="1"/>
      <c r="S116" s="1"/>
      <c r="T116" s="1"/>
      <c r="U116" s="1"/>
      <c r="V116" s="1"/>
      <c r="W116" s="1"/>
      <c r="X116" s="1"/>
      <c r="Y116" s="1"/>
      <c r="Z116" s="1"/>
      <c r="AA116" s="1"/>
      <c r="AB116" s="1"/>
      <c r="AC116" s="1"/>
      <c r="AD116" s="2"/>
      <c r="AE116" s="1"/>
      <c r="AF116" s="1"/>
      <c r="AG116" s="1"/>
      <c r="AH116" s="1"/>
      <c r="AI116" s="1"/>
      <c r="AJ116" s="1"/>
      <c r="AK116" s="1"/>
      <c r="AL116" s="1"/>
      <c r="AM116" s="1"/>
      <c r="AN116" s="1"/>
      <c r="AO116" s="1"/>
      <c r="AP116" s="1"/>
      <c r="AQ116" s="1"/>
      <c r="AR116" s="1"/>
      <c r="AS116" s="1"/>
      <c r="AT116" s="1"/>
      <c r="AU116" s="1"/>
      <c r="AV116" s="1"/>
      <c r="AW116" s="1"/>
      <c r="AX116" s="1"/>
    </row>
    <row r="117" ht="15.75" customHeight="1">
      <c r="A117" s="2"/>
      <c r="B117" s="2"/>
      <c r="C117" s="1"/>
      <c r="D117" s="2"/>
      <c r="E117" s="66"/>
      <c r="F117" s="1"/>
      <c r="G117" s="1"/>
      <c r="H117" s="1"/>
      <c r="I117" s="1"/>
      <c r="J117" s="1"/>
      <c r="K117" s="1"/>
      <c r="L117" s="1"/>
      <c r="M117" s="1"/>
      <c r="N117" s="1"/>
      <c r="O117" s="1"/>
      <c r="P117" s="1"/>
      <c r="Q117" s="1"/>
      <c r="R117" s="1"/>
      <c r="S117" s="1"/>
      <c r="T117" s="1"/>
      <c r="U117" s="1"/>
      <c r="V117" s="1"/>
      <c r="W117" s="1"/>
      <c r="X117" s="1"/>
      <c r="Y117" s="1"/>
      <c r="Z117" s="1"/>
      <c r="AA117" s="1"/>
      <c r="AB117" s="1"/>
      <c r="AC117" s="1"/>
      <c r="AD117" s="67"/>
      <c r="AE117" s="1"/>
      <c r="AF117" s="1"/>
      <c r="AG117" s="1"/>
      <c r="AH117" s="1"/>
      <c r="AI117" s="1"/>
      <c r="AJ117" s="1"/>
      <c r="AK117" s="1"/>
      <c r="AL117" s="1"/>
      <c r="AM117" s="1"/>
      <c r="AN117" s="1"/>
      <c r="AO117" s="1"/>
      <c r="AP117" s="1"/>
      <c r="AQ117" s="1"/>
      <c r="AR117" s="1"/>
      <c r="AS117" s="1"/>
      <c r="AT117" s="1"/>
      <c r="AU117" s="1"/>
      <c r="AV117" s="1"/>
      <c r="AW117" s="1"/>
      <c r="AX117" s="1"/>
    </row>
    <row r="118" ht="15.75" customHeight="1">
      <c r="A118" s="2"/>
      <c r="B118" s="2"/>
      <c r="C118" s="1"/>
      <c r="D118" s="2"/>
      <c r="E118" s="66"/>
      <c r="F118" s="2"/>
      <c r="G118" s="2"/>
      <c r="H118" s="1"/>
      <c r="I118" s="1"/>
      <c r="J118" s="1"/>
      <c r="K118" s="1"/>
      <c r="L118" s="1"/>
      <c r="M118" s="1"/>
      <c r="N118" s="1"/>
      <c r="O118" s="1"/>
      <c r="P118" s="1"/>
      <c r="Q118" s="1"/>
      <c r="R118" s="1"/>
      <c r="S118" s="1"/>
      <c r="T118" s="1"/>
      <c r="U118" s="1"/>
      <c r="V118" s="1"/>
      <c r="W118" s="1"/>
      <c r="X118" s="1"/>
      <c r="Y118" s="1"/>
      <c r="Z118" s="1"/>
      <c r="AA118" s="1"/>
      <c r="AB118" s="1"/>
      <c r="AC118" s="1"/>
      <c r="AD118" s="67"/>
      <c r="AE118" s="1"/>
      <c r="AF118" s="1"/>
      <c r="AG118" s="1"/>
      <c r="AH118" s="1"/>
      <c r="AI118" s="1"/>
      <c r="AJ118" s="1"/>
      <c r="AK118" s="1"/>
      <c r="AL118" s="1"/>
      <c r="AM118" s="1"/>
      <c r="AN118" s="1"/>
      <c r="AO118" s="1"/>
      <c r="AP118" s="1"/>
      <c r="AQ118" s="1"/>
      <c r="AR118" s="1"/>
      <c r="AS118" s="1"/>
      <c r="AT118" s="1"/>
      <c r="AU118" s="1"/>
      <c r="AV118" s="1"/>
      <c r="AW118" s="1"/>
      <c r="AX118" s="1"/>
    </row>
    <row r="119" ht="15.75" customHeight="1">
      <c r="A119" s="2"/>
      <c r="B119" s="2"/>
      <c r="C119" s="1"/>
      <c r="D119" s="2"/>
      <c r="E119" s="66"/>
      <c r="F119" s="2"/>
      <c r="G119" s="2"/>
      <c r="H119" s="1"/>
      <c r="I119" s="1"/>
      <c r="J119" s="1"/>
      <c r="K119" s="1"/>
      <c r="L119" s="1"/>
      <c r="M119" s="1"/>
      <c r="N119" s="2"/>
      <c r="O119" s="1"/>
      <c r="P119" s="1"/>
      <c r="Q119" s="2"/>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row>
    <row r="120" ht="15.75" customHeight="1">
      <c r="A120" s="2"/>
      <c r="B120" s="2"/>
      <c r="C120" s="1"/>
      <c r="D120" s="2"/>
      <c r="E120" s="66"/>
      <c r="F120" s="2"/>
      <c r="G120" s="2"/>
      <c r="H120" s="1"/>
      <c r="I120" s="1"/>
      <c r="J120" s="1"/>
      <c r="K120" s="1"/>
      <c r="L120" s="1"/>
      <c r="M120" s="1"/>
      <c r="N120" s="1"/>
      <c r="O120" s="1"/>
      <c r="P120" s="1"/>
      <c r="Q120" s="1"/>
      <c r="R120" s="1"/>
      <c r="S120" s="1"/>
      <c r="T120" s="1"/>
      <c r="U120" s="1"/>
      <c r="V120" s="1"/>
      <c r="W120" s="1"/>
      <c r="X120" s="1"/>
      <c r="Y120" s="1"/>
      <c r="Z120" s="1"/>
      <c r="AA120" s="1"/>
      <c r="AB120" s="1"/>
      <c r="AC120" s="1"/>
      <c r="AD120" s="67"/>
      <c r="AE120" s="1"/>
      <c r="AF120" s="1"/>
      <c r="AG120" s="1"/>
      <c r="AH120" s="1"/>
      <c r="AI120" s="1"/>
      <c r="AJ120" s="1"/>
      <c r="AK120" s="1"/>
      <c r="AL120" s="1"/>
      <c r="AM120" s="1"/>
      <c r="AN120" s="1"/>
      <c r="AO120" s="1"/>
      <c r="AP120" s="1"/>
      <c r="AQ120" s="1"/>
      <c r="AR120" s="1"/>
      <c r="AS120" s="1"/>
      <c r="AT120" s="1"/>
      <c r="AU120" s="1"/>
      <c r="AV120" s="1"/>
      <c r="AW120" s="1"/>
      <c r="AX120" s="1"/>
    </row>
    <row r="121" ht="15.75" customHeight="1">
      <c r="A121" s="2"/>
      <c r="B121" s="2"/>
      <c r="C121" s="1"/>
      <c r="D121" s="2"/>
      <c r="E121" s="66"/>
      <c r="F121" s="2"/>
      <c r="G121" s="5"/>
      <c r="H121" s="1"/>
      <c r="I121" s="1"/>
      <c r="J121" s="1"/>
      <c r="K121" s="1"/>
      <c r="L121" s="1"/>
      <c r="M121" s="1"/>
      <c r="N121" s="2"/>
      <c r="O121" s="1"/>
      <c r="P121" s="1"/>
      <c r="Q121" s="2"/>
      <c r="R121" s="1"/>
      <c r="S121" s="1"/>
      <c r="T121" s="1"/>
      <c r="U121" s="1"/>
      <c r="V121" s="1"/>
      <c r="W121" s="1"/>
      <c r="X121" s="1"/>
      <c r="Y121" s="1"/>
      <c r="Z121" s="1"/>
      <c r="AA121" s="1"/>
      <c r="AB121" s="1"/>
      <c r="AC121" s="1"/>
      <c r="AD121" s="67"/>
      <c r="AE121" s="1"/>
      <c r="AF121" s="1"/>
      <c r="AG121" s="1"/>
      <c r="AH121" s="1"/>
      <c r="AI121" s="1"/>
      <c r="AJ121" s="1"/>
      <c r="AK121" s="1"/>
      <c r="AL121" s="1"/>
      <c r="AM121" s="1"/>
      <c r="AN121" s="1"/>
      <c r="AO121" s="1"/>
      <c r="AP121" s="1"/>
      <c r="AQ121" s="1"/>
      <c r="AR121" s="1"/>
      <c r="AS121" s="1"/>
      <c r="AT121" s="1"/>
      <c r="AU121" s="1"/>
      <c r="AV121" s="1"/>
      <c r="AW121" s="1"/>
      <c r="AX121" s="1"/>
    </row>
    <row r="122" ht="15.75" customHeight="1">
      <c r="A122" s="2"/>
      <c r="B122" s="2"/>
      <c r="C122" s="1"/>
      <c r="D122" s="2"/>
      <c r="E122" s="66"/>
      <c r="F122" s="1"/>
      <c r="G122" s="1"/>
      <c r="H122" s="1"/>
      <c r="I122" s="1"/>
      <c r="J122" s="1"/>
      <c r="K122" s="1"/>
      <c r="L122" s="1"/>
      <c r="M122" s="1"/>
      <c r="N122" s="1"/>
      <c r="O122" s="1"/>
      <c r="P122" s="1"/>
      <c r="Q122" s="1"/>
      <c r="R122" s="1"/>
      <c r="S122" s="1"/>
      <c r="T122" s="1"/>
      <c r="U122" s="1"/>
      <c r="V122" s="1"/>
      <c r="W122" s="1"/>
      <c r="X122" s="1"/>
      <c r="Y122" s="1"/>
      <c r="Z122" s="1"/>
      <c r="AA122" s="1"/>
      <c r="AB122" s="1"/>
      <c r="AC122" s="1"/>
      <c r="AD122" s="67"/>
      <c r="AE122" s="1"/>
      <c r="AF122" s="1"/>
      <c r="AG122" s="1"/>
      <c r="AH122" s="1"/>
      <c r="AI122" s="1"/>
      <c r="AJ122" s="1"/>
      <c r="AK122" s="1"/>
      <c r="AL122" s="1"/>
      <c r="AM122" s="1"/>
      <c r="AN122" s="1"/>
      <c r="AO122" s="1"/>
      <c r="AP122" s="1"/>
      <c r="AQ122" s="1"/>
      <c r="AR122" s="1"/>
      <c r="AS122" s="1"/>
      <c r="AT122" s="1"/>
      <c r="AU122" s="1"/>
      <c r="AV122" s="1"/>
      <c r="AW122" s="1"/>
      <c r="AX122" s="1"/>
    </row>
    <row r="123" ht="15.75" customHeight="1">
      <c r="A123" s="2"/>
      <c r="B123" s="2"/>
      <c r="C123" s="1"/>
      <c r="D123" s="2"/>
      <c r="E123" s="66"/>
      <c r="F123" s="2"/>
      <c r="G123" s="2"/>
      <c r="H123" s="1"/>
      <c r="I123" s="1"/>
      <c r="J123" s="1"/>
      <c r="K123" s="1"/>
      <c r="L123" s="1"/>
      <c r="M123" s="1"/>
      <c r="N123" s="1"/>
      <c r="O123" s="1"/>
      <c r="P123" s="1"/>
      <c r="Q123" s="1"/>
      <c r="R123" s="1"/>
      <c r="S123" s="1"/>
      <c r="T123" s="1"/>
      <c r="U123" s="1"/>
      <c r="V123" s="1"/>
      <c r="W123" s="1"/>
      <c r="X123" s="1"/>
      <c r="Y123" s="1"/>
      <c r="Z123" s="1"/>
      <c r="AA123" s="1"/>
      <c r="AB123" s="1"/>
      <c r="AC123" s="1"/>
      <c r="AD123" s="67"/>
      <c r="AE123" s="1"/>
      <c r="AF123" s="1"/>
      <c r="AG123" s="1"/>
      <c r="AH123" s="1"/>
      <c r="AI123" s="1"/>
      <c r="AJ123" s="1"/>
      <c r="AK123" s="1"/>
      <c r="AL123" s="1"/>
      <c r="AM123" s="1"/>
      <c r="AN123" s="1"/>
      <c r="AO123" s="1"/>
      <c r="AP123" s="1"/>
      <c r="AQ123" s="1"/>
      <c r="AR123" s="1"/>
      <c r="AS123" s="1"/>
      <c r="AT123" s="1"/>
      <c r="AU123" s="1"/>
      <c r="AV123" s="1"/>
      <c r="AW123" s="1"/>
      <c r="AX123" s="1"/>
    </row>
    <row r="124" ht="15.75" customHeight="1">
      <c r="A124" s="2"/>
      <c r="B124" s="2"/>
      <c r="C124" s="1"/>
      <c r="D124" s="2"/>
      <c r="E124" s="66"/>
      <c r="F124" s="2"/>
      <c r="G124" s="2"/>
      <c r="H124" s="1"/>
      <c r="I124" s="1"/>
      <c r="J124" s="1"/>
      <c r="K124" s="1"/>
      <c r="L124" s="1"/>
      <c r="M124" s="1"/>
      <c r="N124" s="2"/>
      <c r="O124" s="1"/>
      <c r="P124" s="1"/>
      <c r="Q124" s="1"/>
      <c r="R124" s="1"/>
      <c r="S124" s="1"/>
      <c r="T124" s="1"/>
      <c r="U124" s="1"/>
      <c r="V124" s="1"/>
      <c r="W124" s="1"/>
      <c r="X124" s="1"/>
      <c r="Y124" s="1"/>
      <c r="Z124" s="1"/>
      <c r="AA124" s="1"/>
      <c r="AB124" s="1"/>
      <c r="AC124" s="1"/>
      <c r="AD124" s="67"/>
      <c r="AE124" s="1"/>
      <c r="AF124" s="1"/>
      <c r="AG124" s="1"/>
      <c r="AH124" s="1"/>
      <c r="AI124" s="1"/>
      <c r="AJ124" s="1"/>
      <c r="AK124" s="1"/>
      <c r="AL124" s="1"/>
      <c r="AM124" s="1"/>
      <c r="AN124" s="1"/>
      <c r="AO124" s="1"/>
      <c r="AP124" s="1"/>
      <c r="AQ124" s="1"/>
      <c r="AR124" s="1"/>
      <c r="AS124" s="1"/>
      <c r="AT124" s="1"/>
      <c r="AU124" s="1"/>
      <c r="AV124" s="1"/>
      <c r="AW124" s="1"/>
      <c r="AX124" s="1"/>
    </row>
    <row r="125" ht="15.75" customHeight="1">
      <c r="A125" s="67"/>
      <c r="B125" s="2"/>
      <c r="C125" s="1"/>
      <c r="D125" s="2"/>
      <c r="E125" s="66"/>
      <c r="F125" s="2"/>
      <c r="G125" s="1"/>
      <c r="H125" s="1"/>
      <c r="I125" s="1"/>
      <c r="J125" s="1"/>
      <c r="K125" s="1"/>
      <c r="L125" s="1"/>
      <c r="M125" s="1"/>
      <c r="N125" s="1"/>
      <c r="O125" s="1"/>
      <c r="P125" s="1"/>
      <c r="Q125" s="1"/>
      <c r="R125" s="1"/>
      <c r="S125" s="1"/>
      <c r="T125" s="1"/>
      <c r="U125" s="1"/>
      <c r="V125" s="1"/>
      <c r="W125" s="1"/>
      <c r="X125" s="1"/>
      <c r="Y125" s="1"/>
      <c r="Z125" s="1"/>
      <c r="AA125" s="1"/>
      <c r="AB125" s="1"/>
      <c r="AC125" s="1"/>
      <c r="AD125" s="67"/>
      <c r="AE125" s="1"/>
      <c r="AF125" s="1"/>
      <c r="AG125" s="1"/>
      <c r="AH125" s="1"/>
      <c r="AI125" s="1"/>
      <c r="AJ125" s="1"/>
      <c r="AK125" s="1"/>
      <c r="AL125" s="1"/>
      <c r="AM125" s="1"/>
      <c r="AN125" s="1"/>
      <c r="AO125" s="1"/>
      <c r="AP125" s="1"/>
      <c r="AQ125" s="1"/>
      <c r="AR125" s="1"/>
      <c r="AS125" s="1"/>
      <c r="AT125" s="1"/>
      <c r="AU125" s="1"/>
      <c r="AV125" s="1"/>
      <c r="AW125" s="1"/>
      <c r="AX125" s="1"/>
    </row>
    <row r="126" ht="15.75" customHeight="1">
      <c r="A126" s="2"/>
      <c r="B126" s="2"/>
      <c r="C126" s="1"/>
      <c r="D126" s="2"/>
      <c r="E126" s="66"/>
      <c r="F126" s="2"/>
      <c r="G126" s="2"/>
      <c r="H126" s="1"/>
      <c r="I126" s="1"/>
      <c r="J126" s="1"/>
      <c r="K126" s="2"/>
      <c r="L126" s="1"/>
      <c r="M126" s="1"/>
      <c r="N126" s="1"/>
      <c r="O126" s="1"/>
      <c r="P126" s="1"/>
      <c r="Q126" s="1"/>
      <c r="R126" s="1"/>
      <c r="S126" s="1"/>
      <c r="T126" s="1"/>
      <c r="U126" s="1"/>
      <c r="V126" s="1"/>
      <c r="W126" s="1"/>
      <c r="X126" s="1"/>
      <c r="Y126" s="1"/>
      <c r="Z126" s="1"/>
      <c r="AA126" s="1"/>
      <c r="AB126" s="1"/>
      <c r="AC126" s="1"/>
      <c r="AD126" s="2"/>
      <c r="AE126" s="1"/>
      <c r="AF126" s="1"/>
      <c r="AG126" s="1"/>
      <c r="AH126" s="1"/>
      <c r="AI126" s="1"/>
      <c r="AJ126" s="1"/>
      <c r="AK126" s="1"/>
      <c r="AL126" s="1"/>
      <c r="AM126" s="1"/>
      <c r="AN126" s="1"/>
      <c r="AO126" s="1"/>
      <c r="AP126" s="1"/>
      <c r="AQ126" s="1"/>
      <c r="AR126" s="1"/>
      <c r="AS126" s="1"/>
      <c r="AT126" s="1"/>
      <c r="AU126" s="1"/>
      <c r="AV126" s="1"/>
      <c r="AW126" s="1"/>
      <c r="AX126" s="1"/>
    </row>
    <row r="127" ht="15.75" customHeight="1">
      <c r="A127" s="2"/>
      <c r="B127" s="2"/>
      <c r="C127" s="1"/>
      <c r="D127" s="2"/>
      <c r="E127" s="66"/>
      <c r="F127" s="2"/>
      <c r="G127" s="2"/>
      <c r="H127" s="1"/>
      <c r="I127" s="1"/>
      <c r="J127" s="2"/>
      <c r="K127" s="1"/>
      <c r="L127" s="1"/>
      <c r="M127" s="1"/>
      <c r="N127" s="1"/>
      <c r="O127" s="1"/>
      <c r="P127" s="1"/>
      <c r="Q127" s="1"/>
      <c r="R127" s="1"/>
      <c r="S127" s="1"/>
      <c r="T127" s="1"/>
      <c r="U127" s="1"/>
      <c r="V127" s="1"/>
      <c r="W127" s="1"/>
      <c r="X127" s="1"/>
      <c r="Y127" s="1"/>
      <c r="Z127" s="1"/>
      <c r="AA127" s="1"/>
      <c r="AB127" s="1"/>
      <c r="AC127" s="1"/>
      <c r="AD127" s="2"/>
      <c r="AE127" s="1"/>
      <c r="AF127" s="1"/>
      <c r="AG127" s="1"/>
      <c r="AH127" s="1"/>
      <c r="AI127" s="1"/>
      <c r="AJ127" s="1"/>
      <c r="AK127" s="1"/>
      <c r="AL127" s="1"/>
      <c r="AM127" s="1"/>
      <c r="AN127" s="1"/>
      <c r="AO127" s="1"/>
      <c r="AP127" s="1"/>
      <c r="AQ127" s="1"/>
      <c r="AR127" s="1"/>
      <c r="AS127" s="1"/>
      <c r="AT127" s="1"/>
      <c r="AU127" s="1"/>
      <c r="AV127" s="1"/>
      <c r="AW127" s="1"/>
      <c r="AX127" s="1"/>
    </row>
    <row r="128" ht="15.75" customHeight="1">
      <c r="A128" s="2"/>
      <c r="B128" s="2"/>
      <c r="C128" s="1"/>
      <c r="D128" s="2"/>
      <c r="E128" s="66"/>
      <c r="F128" s="2"/>
      <c r="G128" s="2"/>
      <c r="H128" s="1"/>
      <c r="I128" s="1"/>
      <c r="J128" s="1"/>
      <c r="K128" s="1"/>
      <c r="L128" s="2"/>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row>
    <row r="129" ht="15.75" customHeight="1">
      <c r="A129" s="2"/>
      <c r="B129" s="2"/>
      <c r="C129" s="1"/>
      <c r="D129" s="2"/>
      <c r="E129" s="66"/>
      <c r="F129" s="2"/>
      <c r="G129" s="2"/>
      <c r="H129" s="1"/>
      <c r="I129" s="1"/>
      <c r="J129" s="2"/>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row>
    <row r="130" ht="15.75" customHeight="1">
      <c r="A130" s="2"/>
      <c r="B130" s="2"/>
      <c r="C130" s="1"/>
      <c r="D130" s="2"/>
      <c r="E130" s="66"/>
      <c r="F130" s="2"/>
      <c r="G130" s="2"/>
      <c r="H130" s="2"/>
      <c r="I130" s="1"/>
      <c r="J130" s="1"/>
      <c r="K130" s="1"/>
      <c r="L130" s="1"/>
      <c r="M130" s="1"/>
      <c r="N130" s="1"/>
      <c r="O130" s="1"/>
      <c r="P130" s="1"/>
      <c r="Q130" s="1"/>
      <c r="R130" s="1"/>
      <c r="S130" s="1"/>
      <c r="T130" s="1"/>
      <c r="U130" s="1"/>
      <c r="V130" s="1"/>
      <c r="W130" s="1"/>
      <c r="X130" s="1"/>
      <c r="Y130" s="1"/>
      <c r="Z130" s="1"/>
      <c r="AA130" s="1"/>
      <c r="AB130" s="1"/>
      <c r="AC130" s="1"/>
      <c r="AD130" s="67"/>
      <c r="AE130" s="1"/>
      <c r="AF130" s="1"/>
      <c r="AG130" s="1"/>
      <c r="AH130" s="1"/>
      <c r="AI130" s="1"/>
      <c r="AJ130" s="1"/>
      <c r="AK130" s="1"/>
      <c r="AL130" s="1"/>
      <c r="AM130" s="1"/>
      <c r="AN130" s="1"/>
      <c r="AO130" s="1"/>
      <c r="AP130" s="1"/>
      <c r="AQ130" s="1"/>
      <c r="AR130" s="1"/>
      <c r="AS130" s="1"/>
      <c r="AT130" s="1"/>
      <c r="AU130" s="1"/>
      <c r="AV130" s="1"/>
      <c r="AW130" s="1"/>
      <c r="AX130" s="1"/>
    </row>
    <row r="131" ht="15.75" customHeight="1">
      <c r="A131" s="2"/>
      <c r="B131" s="2"/>
      <c r="C131" s="1"/>
      <c r="D131" s="2"/>
      <c r="E131" s="66"/>
      <c r="F131" s="2"/>
      <c r="G131" s="2"/>
      <c r="H131" s="2"/>
      <c r="I131" s="1"/>
      <c r="J131" s="1"/>
      <c r="K131" s="1"/>
      <c r="L131" s="1"/>
      <c r="M131" s="1"/>
      <c r="N131" s="1"/>
      <c r="O131" s="1"/>
      <c r="P131" s="1"/>
      <c r="Q131" s="1"/>
      <c r="R131" s="1"/>
      <c r="S131" s="1"/>
      <c r="T131" s="1"/>
      <c r="U131" s="1"/>
      <c r="V131" s="1"/>
      <c r="W131" s="1"/>
      <c r="X131" s="1"/>
      <c r="Y131" s="1"/>
      <c r="Z131" s="1"/>
      <c r="AA131" s="1"/>
      <c r="AB131" s="1"/>
      <c r="AC131" s="1"/>
      <c r="AD131" s="67"/>
      <c r="AE131" s="1"/>
      <c r="AF131" s="1"/>
      <c r="AG131" s="1"/>
      <c r="AH131" s="1"/>
      <c r="AI131" s="1"/>
      <c r="AJ131" s="1"/>
      <c r="AK131" s="1"/>
      <c r="AL131" s="1"/>
      <c r="AM131" s="1"/>
      <c r="AN131" s="1"/>
      <c r="AO131" s="1"/>
      <c r="AP131" s="1"/>
      <c r="AQ131" s="1"/>
      <c r="AR131" s="1"/>
      <c r="AS131" s="1"/>
      <c r="AT131" s="1"/>
      <c r="AU131" s="1"/>
      <c r="AV131" s="1"/>
      <c r="AW131" s="1"/>
      <c r="AX131" s="1"/>
    </row>
    <row r="132" ht="15.75" customHeight="1">
      <c r="A132" s="67"/>
      <c r="B132" s="2"/>
      <c r="C132" s="1"/>
      <c r="D132" s="2"/>
      <c r="E132" s="66"/>
      <c r="F132" s="2"/>
      <c r="G132" s="2"/>
      <c r="H132" s="1"/>
      <c r="I132" s="1"/>
      <c r="J132" s="1"/>
      <c r="K132" s="1"/>
      <c r="L132" s="1"/>
      <c r="M132" s="1"/>
      <c r="N132" s="1"/>
      <c r="O132" s="1"/>
      <c r="P132" s="1"/>
      <c r="Q132" s="1"/>
      <c r="R132" s="1"/>
      <c r="S132" s="1"/>
      <c r="T132" s="1"/>
      <c r="U132" s="1"/>
      <c r="V132" s="1"/>
      <c r="W132" s="1"/>
      <c r="X132" s="1"/>
      <c r="Y132" s="1"/>
      <c r="Z132" s="1"/>
      <c r="AA132" s="1"/>
      <c r="AB132" s="1"/>
      <c r="AC132" s="1"/>
      <c r="AD132" s="2"/>
      <c r="AE132" s="1"/>
      <c r="AF132" s="1"/>
      <c r="AG132" s="1"/>
      <c r="AH132" s="1"/>
      <c r="AI132" s="1"/>
      <c r="AJ132" s="1"/>
      <c r="AK132" s="1"/>
      <c r="AL132" s="1"/>
      <c r="AM132" s="1"/>
      <c r="AN132" s="1"/>
      <c r="AO132" s="1"/>
      <c r="AP132" s="1"/>
      <c r="AQ132" s="1"/>
      <c r="AR132" s="1"/>
      <c r="AS132" s="1"/>
      <c r="AT132" s="1"/>
      <c r="AU132" s="1"/>
      <c r="AV132" s="1"/>
      <c r="AW132" s="1"/>
      <c r="AX132" s="1"/>
    </row>
    <row r="133" ht="15.75" customHeight="1">
      <c r="A133" s="67"/>
      <c r="B133" s="2"/>
      <c r="C133" s="1"/>
      <c r="D133" s="2"/>
      <c r="E133" s="66"/>
      <c r="F133" s="2"/>
      <c r="G133" s="2"/>
      <c r="H133" s="2"/>
      <c r="I133" s="1"/>
      <c r="J133" s="1"/>
      <c r="K133" s="1"/>
      <c r="L133" s="1"/>
      <c r="M133" s="1"/>
      <c r="N133" s="1"/>
      <c r="O133" s="1"/>
      <c r="P133" s="1"/>
      <c r="Q133" s="1"/>
      <c r="R133" s="1"/>
      <c r="S133" s="1"/>
      <c r="T133" s="1"/>
      <c r="U133" s="1"/>
      <c r="V133" s="1"/>
      <c r="W133" s="1"/>
      <c r="X133" s="1"/>
      <c r="Y133" s="1"/>
      <c r="Z133" s="1"/>
      <c r="AA133" s="1"/>
      <c r="AB133" s="1"/>
      <c r="AC133" s="1"/>
      <c r="AD133" s="67"/>
      <c r="AE133" s="1"/>
      <c r="AF133" s="1"/>
      <c r="AG133" s="1"/>
      <c r="AH133" s="1"/>
      <c r="AI133" s="1"/>
      <c r="AJ133" s="1"/>
      <c r="AK133" s="1"/>
      <c r="AL133" s="1"/>
      <c r="AM133" s="1"/>
      <c r="AN133" s="1"/>
      <c r="AO133" s="1"/>
      <c r="AP133" s="1"/>
      <c r="AQ133" s="1"/>
      <c r="AR133" s="1"/>
      <c r="AS133" s="1"/>
      <c r="AT133" s="1"/>
      <c r="AU133" s="1"/>
      <c r="AV133" s="1"/>
      <c r="AW133" s="1"/>
      <c r="AX133" s="1"/>
    </row>
    <row r="134" ht="15.75" customHeight="1">
      <c r="A134" s="67"/>
      <c r="B134" s="2"/>
      <c r="C134" s="1"/>
      <c r="D134" s="2"/>
      <c r="E134" s="66"/>
      <c r="F134" s="2"/>
      <c r="G134" s="5"/>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row>
    <row r="135" ht="15.75" customHeight="1">
      <c r="A135" s="67"/>
      <c r="B135" s="2"/>
      <c r="C135" s="1"/>
      <c r="D135" s="2"/>
      <c r="E135" s="66"/>
      <c r="F135" s="2"/>
      <c r="G135" s="2"/>
      <c r="H135" s="1"/>
      <c r="I135" s="1"/>
      <c r="J135" s="1"/>
      <c r="K135" s="1"/>
      <c r="L135" s="1"/>
      <c r="M135" s="1"/>
      <c r="N135" s="1"/>
      <c r="O135" s="1"/>
      <c r="P135" s="1"/>
      <c r="Q135" s="1"/>
      <c r="R135" s="1"/>
      <c r="S135" s="1"/>
      <c r="T135" s="1"/>
      <c r="U135" s="1"/>
      <c r="V135" s="1"/>
      <c r="W135" s="1"/>
      <c r="X135" s="1"/>
      <c r="Y135" s="1"/>
      <c r="Z135" s="1"/>
      <c r="AA135" s="1"/>
      <c r="AB135" s="1"/>
      <c r="AC135" s="1"/>
      <c r="AD135" s="67"/>
      <c r="AE135" s="1"/>
      <c r="AF135" s="1"/>
      <c r="AG135" s="1"/>
      <c r="AH135" s="1"/>
      <c r="AI135" s="1"/>
      <c r="AJ135" s="1"/>
      <c r="AK135" s="1"/>
      <c r="AL135" s="1"/>
      <c r="AM135" s="1"/>
      <c r="AN135" s="1"/>
      <c r="AO135" s="1"/>
      <c r="AP135" s="1"/>
      <c r="AQ135" s="1"/>
      <c r="AR135" s="1"/>
      <c r="AS135" s="1"/>
      <c r="AT135" s="1"/>
      <c r="AU135" s="1"/>
      <c r="AV135" s="1"/>
      <c r="AW135" s="1"/>
      <c r="AX135" s="1"/>
    </row>
    <row r="136" ht="15.75" customHeight="1">
      <c r="A136" s="2"/>
      <c r="B136" s="2"/>
      <c r="C136" s="1"/>
      <c r="D136" s="2"/>
      <c r="E136" s="66"/>
      <c r="F136" s="2"/>
      <c r="G136" s="2"/>
      <c r="H136" s="1"/>
      <c r="I136" s="1"/>
      <c r="J136" s="1"/>
      <c r="K136" s="1"/>
      <c r="L136" s="1"/>
      <c r="M136" s="1"/>
      <c r="N136" s="1"/>
      <c r="O136" s="1"/>
      <c r="P136" s="1"/>
      <c r="Q136" s="1"/>
      <c r="R136" s="1"/>
      <c r="S136" s="1"/>
      <c r="T136" s="1"/>
      <c r="U136" s="1"/>
      <c r="V136" s="1"/>
      <c r="W136" s="1"/>
      <c r="X136" s="1"/>
      <c r="Y136" s="1"/>
      <c r="Z136" s="1"/>
      <c r="AA136" s="1"/>
      <c r="AB136" s="1"/>
      <c r="AC136" s="1"/>
      <c r="AD136" s="2"/>
      <c r="AE136" s="1"/>
      <c r="AF136" s="1"/>
      <c r="AG136" s="1"/>
      <c r="AH136" s="1"/>
      <c r="AI136" s="1"/>
      <c r="AJ136" s="1"/>
      <c r="AK136" s="1"/>
      <c r="AL136" s="1"/>
      <c r="AM136" s="1"/>
      <c r="AN136" s="1"/>
      <c r="AO136" s="1"/>
      <c r="AP136" s="1"/>
      <c r="AQ136" s="1"/>
      <c r="AR136" s="1"/>
      <c r="AS136" s="1"/>
      <c r="AT136" s="1"/>
      <c r="AU136" s="1"/>
      <c r="AV136" s="1"/>
      <c r="AW136" s="1"/>
      <c r="AX136" s="1"/>
    </row>
    <row r="137" ht="15.75" customHeight="1">
      <c r="A137" s="2"/>
      <c r="B137" s="2"/>
      <c r="C137" s="1"/>
      <c r="D137" s="2"/>
      <c r="E137" s="66"/>
      <c r="F137" s="2"/>
      <c r="G137" s="2"/>
      <c r="H137" s="2"/>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row>
    <row r="138" ht="15.75" customHeight="1">
      <c r="A138" s="2"/>
      <c r="B138" s="2"/>
      <c r="C138" s="1"/>
      <c r="D138" s="2"/>
      <c r="E138" s="66"/>
      <c r="F138" s="1"/>
      <c r="G138" s="1"/>
      <c r="H138" s="1"/>
      <c r="I138" s="1"/>
      <c r="J138" s="1"/>
      <c r="K138" s="1"/>
      <c r="L138" s="1"/>
      <c r="M138" s="1"/>
      <c r="N138" s="1"/>
      <c r="O138" s="1"/>
      <c r="P138" s="1"/>
      <c r="Q138" s="1"/>
      <c r="R138" s="1"/>
      <c r="S138" s="1"/>
      <c r="T138" s="1"/>
      <c r="U138" s="1"/>
      <c r="V138" s="1"/>
      <c r="W138" s="1"/>
      <c r="X138" s="1"/>
      <c r="Y138" s="1"/>
      <c r="Z138" s="1"/>
      <c r="AA138" s="1"/>
      <c r="AB138" s="1"/>
      <c r="AC138" s="1"/>
      <c r="AD138" s="67"/>
      <c r="AE138" s="1"/>
      <c r="AF138" s="1"/>
      <c r="AG138" s="1"/>
      <c r="AH138" s="1"/>
      <c r="AI138" s="1"/>
      <c r="AJ138" s="1"/>
      <c r="AK138" s="1"/>
      <c r="AL138" s="1"/>
      <c r="AM138" s="1"/>
      <c r="AN138" s="1"/>
      <c r="AO138" s="1"/>
      <c r="AP138" s="1"/>
      <c r="AQ138" s="1"/>
      <c r="AR138" s="1"/>
      <c r="AS138" s="1"/>
      <c r="AT138" s="1"/>
      <c r="AU138" s="1"/>
      <c r="AV138" s="1"/>
      <c r="AW138" s="1"/>
      <c r="AX138" s="1"/>
    </row>
    <row r="139" ht="15.75" customHeight="1">
      <c r="A139" s="67"/>
      <c r="B139" s="2"/>
      <c r="C139" s="1"/>
      <c r="D139" s="2"/>
      <c r="E139" s="66"/>
      <c r="F139" s="1"/>
      <c r="G139" s="1"/>
      <c r="H139" s="1"/>
      <c r="I139" s="1"/>
      <c r="J139" s="1"/>
      <c r="K139" s="1"/>
      <c r="L139" s="1"/>
      <c r="M139" s="1"/>
      <c r="N139" s="1"/>
      <c r="O139" s="1"/>
      <c r="P139" s="1"/>
      <c r="Q139" s="1"/>
      <c r="R139" s="1"/>
      <c r="S139" s="1"/>
      <c r="T139" s="1"/>
      <c r="U139" s="1"/>
      <c r="V139" s="1"/>
      <c r="W139" s="1"/>
      <c r="X139" s="1"/>
      <c r="Y139" s="1"/>
      <c r="Z139" s="1"/>
      <c r="AA139" s="1"/>
      <c r="AB139" s="1"/>
      <c r="AC139" s="1"/>
      <c r="AD139" s="67"/>
      <c r="AE139" s="1"/>
      <c r="AF139" s="1"/>
      <c r="AG139" s="1"/>
      <c r="AH139" s="1"/>
      <c r="AI139" s="1"/>
      <c r="AJ139" s="1"/>
      <c r="AK139" s="1"/>
      <c r="AL139" s="1"/>
      <c r="AM139" s="1"/>
      <c r="AN139" s="1"/>
      <c r="AO139" s="1"/>
      <c r="AP139" s="1"/>
      <c r="AQ139" s="1"/>
      <c r="AR139" s="1"/>
      <c r="AS139" s="1"/>
      <c r="AT139" s="1"/>
      <c r="AU139" s="1"/>
      <c r="AV139" s="1"/>
      <c r="AW139" s="1"/>
      <c r="AX139" s="1"/>
    </row>
    <row r="140" ht="15.75" customHeight="1">
      <c r="A140" s="67"/>
      <c r="B140" s="2"/>
      <c r="C140" s="1"/>
      <c r="D140" s="2"/>
      <c r="E140" s="66"/>
      <c r="F140" s="2"/>
      <c r="G140" s="5"/>
      <c r="H140" s="1"/>
      <c r="I140" s="1"/>
      <c r="J140" s="1"/>
      <c r="K140" s="1"/>
      <c r="L140" s="1"/>
      <c r="M140" s="1"/>
      <c r="N140" s="1"/>
      <c r="O140" s="1"/>
      <c r="P140" s="1"/>
      <c r="Q140" s="1"/>
      <c r="R140" s="1"/>
      <c r="S140" s="1"/>
      <c r="T140" s="1"/>
      <c r="U140" s="1"/>
      <c r="V140" s="1"/>
      <c r="W140" s="1"/>
      <c r="X140" s="1"/>
      <c r="Y140" s="1"/>
      <c r="Z140" s="1"/>
      <c r="AA140" s="1"/>
      <c r="AB140" s="1"/>
      <c r="AC140" s="1"/>
      <c r="AD140" s="67"/>
      <c r="AE140" s="1"/>
      <c r="AF140" s="1"/>
      <c r="AG140" s="1"/>
      <c r="AH140" s="1"/>
      <c r="AI140" s="1"/>
      <c r="AJ140" s="1"/>
      <c r="AK140" s="1"/>
      <c r="AL140" s="1"/>
      <c r="AM140" s="1"/>
      <c r="AN140" s="1"/>
      <c r="AO140" s="1"/>
      <c r="AP140" s="1"/>
      <c r="AQ140" s="1"/>
      <c r="AR140" s="1"/>
      <c r="AS140" s="1"/>
      <c r="AT140" s="1"/>
      <c r="AU140" s="1"/>
      <c r="AV140" s="1"/>
      <c r="AW140" s="1"/>
      <c r="AX140" s="1"/>
    </row>
    <row r="141" ht="15.75" customHeight="1">
      <c r="A141" s="67"/>
      <c r="B141" s="2"/>
      <c r="C141" s="1"/>
      <c r="D141" s="2"/>
      <c r="E141" s="66"/>
      <c r="F141" s="2"/>
      <c r="G141" s="2"/>
      <c r="H141" s="1"/>
      <c r="I141" s="1"/>
      <c r="J141" s="1"/>
      <c r="K141" s="1"/>
      <c r="L141" s="1"/>
      <c r="M141" s="1"/>
      <c r="N141" s="1"/>
      <c r="O141" s="1"/>
      <c r="P141" s="1"/>
      <c r="Q141" s="1"/>
      <c r="R141" s="1"/>
      <c r="S141" s="1"/>
      <c r="T141" s="1"/>
      <c r="U141" s="1"/>
      <c r="V141" s="1"/>
      <c r="W141" s="1"/>
      <c r="X141" s="1"/>
      <c r="Y141" s="1"/>
      <c r="Z141" s="1"/>
      <c r="AA141" s="1"/>
      <c r="AB141" s="1"/>
      <c r="AC141" s="1"/>
      <c r="AD141" s="67"/>
      <c r="AE141" s="1"/>
      <c r="AF141" s="1"/>
      <c r="AG141" s="1"/>
      <c r="AH141" s="1"/>
      <c r="AI141" s="1"/>
      <c r="AJ141" s="1"/>
      <c r="AK141" s="1"/>
      <c r="AL141" s="1"/>
      <c r="AM141" s="1"/>
      <c r="AN141" s="1"/>
      <c r="AO141" s="1"/>
      <c r="AP141" s="1"/>
      <c r="AQ141" s="1"/>
      <c r="AR141" s="1"/>
      <c r="AS141" s="1"/>
      <c r="AT141" s="1"/>
      <c r="AU141" s="1"/>
      <c r="AV141" s="1"/>
      <c r="AW141" s="1"/>
      <c r="AX141" s="1"/>
    </row>
    <row r="142" ht="15.75" customHeight="1">
      <c r="A142" s="2"/>
      <c r="B142" s="2"/>
      <c r="C142" s="1"/>
      <c r="D142" s="2"/>
      <c r="E142" s="66"/>
      <c r="F142" s="2"/>
      <c r="G142" s="2"/>
      <c r="H142" s="1"/>
      <c r="I142" s="1"/>
      <c r="J142" s="1"/>
      <c r="K142" s="1"/>
      <c r="L142" s="1"/>
      <c r="M142" s="1"/>
      <c r="N142" s="1"/>
      <c r="O142" s="1"/>
      <c r="P142" s="1"/>
      <c r="Q142" s="1"/>
      <c r="R142" s="1"/>
      <c r="S142" s="1"/>
      <c r="T142" s="1"/>
      <c r="U142" s="1"/>
      <c r="V142" s="1"/>
      <c r="W142" s="1"/>
      <c r="X142" s="1"/>
      <c r="Y142" s="1"/>
      <c r="Z142" s="1"/>
      <c r="AA142" s="1"/>
      <c r="AB142" s="1"/>
      <c r="AC142" s="1"/>
      <c r="AD142" s="67"/>
      <c r="AE142" s="1"/>
      <c r="AF142" s="1"/>
      <c r="AG142" s="1"/>
      <c r="AH142" s="1"/>
      <c r="AI142" s="1"/>
      <c r="AJ142" s="1"/>
      <c r="AK142" s="1"/>
      <c r="AL142" s="1"/>
      <c r="AM142" s="1"/>
      <c r="AN142" s="1"/>
      <c r="AO142" s="1"/>
      <c r="AP142" s="1"/>
      <c r="AQ142" s="1"/>
      <c r="AR142" s="1"/>
      <c r="AS142" s="1"/>
      <c r="AT142" s="1"/>
      <c r="AU142" s="1"/>
      <c r="AV142" s="1"/>
      <c r="AW142" s="1"/>
      <c r="AX142" s="1"/>
    </row>
    <row r="143" ht="15.75" customHeight="1">
      <c r="A143" s="2"/>
      <c r="B143" s="2"/>
      <c r="C143" s="1"/>
      <c r="D143" s="2"/>
      <c r="E143" s="66"/>
      <c r="F143" s="2"/>
      <c r="G143" s="2"/>
      <c r="H143" s="1"/>
      <c r="I143" s="1"/>
      <c r="J143" s="1"/>
      <c r="K143" s="1"/>
      <c r="L143" s="1"/>
      <c r="M143" s="1"/>
      <c r="N143" s="1"/>
      <c r="O143" s="1"/>
      <c r="P143" s="1"/>
      <c r="Q143" s="1"/>
      <c r="R143" s="1"/>
      <c r="S143" s="1"/>
      <c r="T143" s="1"/>
      <c r="U143" s="1"/>
      <c r="V143" s="1"/>
      <c r="W143" s="1"/>
      <c r="X143" s="1"/>
      <c r="Y143" s="1"/>
      <c r="Z143" s="1"/>
      <c r="AA143" s="1"/>
      <c r="AB143" s="1"/>
      <c r="AC143" s="1"/>
      <c r="AD143" s="67"/>
      <c r="AE143" s="1"/>
      <c r="AF143" s="1"/>
      <c r="AG143" s="1"/>
      <c r="AH143" s="1"/>
      <c r="AI143" s="1"/>
      <c r="AJ143" s="1"/>
      <c r="AK143" s="1"/>
      <c r="AL143" s="1"/>
      <c r="AM143" s="1"/>
      <c r="AN143" s="1"/>
      <c r="AO143" s="1"/>
      <c r="AP143" s="1"/>
      <c r="AQ143" s="1"/>
      <c r="AR143" s="1"/>
      <c r="AS143" s="1"/>
      <c r="AT143" s="1"/>
      <c r="AU143" s="1"/>
      <c r="AV143" s="1"/>
      <c r="AW143" s="1"/>
      <c r="AX143" s="1"/>
    </row>
    <row r="144" ht="15.75" customHeight="1">
      <c r="A144" s="2"/>
      <c r="B144" s="2"/>
      <c r="C144" s="1"/>
      <c r="D144" s="2"/>
      <c r="E144" s="66"/>
      <c r="F144" s="2"/>
      <c r="G144" s="2"/>
      <c r="H144" s="1"/>
      <c r="I144" s="1"/>
      <c r="J144" s="1"/>
      <c r="K144" s="1"/>
      <c r="L144" s="1"/>
      <c r="M144" s="1"/>
      <c r="N144" s="1"/>
      <c r="O144" s="1"/>
      <c r="P144" s="1"/>
      <c r="Q144" s="1"/>
      <c r="R144" s="1"/>
      <c r="S144" s="1"/>
      <c r="T144" s="1"/>
      <c r="U144" s="1"/>
      <c r="V144" s="1"/>
      <c r="W144" s="1"/>
      <c r="X144" s="1"/>
      <c r="Y144" s="1"/>
      <c r="Z144" s="1"/>
      <c r="AA144" s="1"/>
      <c r="AB144" s="1"/>
      <c r="AC144" s="1"/>
      <c r="AD144" s="67"/>
      <c r="AE144" s="1"/>
      <c r="AF144" s="1"/>
      <c r="AG144" s="1"/>
      <c r="AH144" s="1"/>
      <c r="AI144" s="1"/>
      <c r="AJ144" s="1"/>
      <c r="AK144" s="1"/>
      <c r="AL144" s="1"/>
      <c r="AM144" s="1"/>
      <c r="AN144" s="1"/>
      <c r="AO144" s="1"/>
      <c r="AP144" s="1"/>
      <c r="AQ144" s="1"/>
      <c r="AR144" s="1"/>
      <c r="AS144" s="1"/>
      <c r="AT144" s="1"/>
      <c r="AU144" s="1"/>
      <c r="AV144" s="1"/>
      <c r="AW144" s="1"/>
      <c r="AX144" s="1"/>
    </row>
    <row r="145" ht="15.75" customHeight="1">
      <c r="A145" s="2"/>
      <c r="B145" s="2"/>
      <c r="C145" s="1"/>
      <c r="D145" s="2"/>
      <c r="E145" s="66"/>
      <c r="F145" s="2"/>
      <c r="G145" s="2"/>
      <c r="H145" s="1"/>
      <c r="I145" s="1"/>
      <c r="J145" s="1"/>
      <c r="K145" s="1"/>
      <c r="L145" s="1"/>
      <c r="M145" s="1"/>
      <c r="N145" s="1"/>
      <c r="O145" s="1"/>
      <c r="P145" s="1"/>
      <c r="Q145" s="1"/>
      <c r="R145" s="1"/>
      <c r="S145" s="1"/>
      <c r="T145" s="1"/>
      <c r="U145" s="1"/>
      <c r="V145" s="1"/>
      <c r="W145" s="1"/>
      <c r="X145" s="1"/>
      <c r="Y145" s="1"/>
      <c r="Z145" s="1"/>
      <c r="AA145" s="1"/>
      <c r="AB145" s="1"/>
      <c r="AC145" s="1"/>
      <c r="AD145" s="67"/>
      <c r="AE145" s="1"/>
      <c r="AF145" s="1"/>
      <c r="AG145" s="1"/>
      <c r="AH145" s="1"/>
      <c r="AI145" s="1"/>
      <c r="AJ145" s="1"/>
      <c r="AK145" s="1"/>
      <c r="AL145" s="1"/>
      <c r="AM145" s="1"/>
      <c r="AN145" s="1"/>
      <c r="AO145" s="1"/>
      <c r="AP145" s="1"/>
      <c r="AQ145" s="1"/>
      <c r="AR145" s="1"/>
      <c r="AS145" s="1"/>
      <c r="AT145" s="1"/>
      <c r="AU145" s="1"/>
      <c r="AV145" s="1"/>
      <c r="AW145" s="1"/>
      <c r="AX145" s="1"/>
    </row>
    <row r="146" ht="15.75" customHeight="1">
      <c r="A146" s="2"/>
      <c r="B146" s="2"/>
      <c r="C146" s="1"/>
      <c r="D146" s="2"/>
      <c r="E146" s="66"/>
      <c r="F146" s="2"/>
      <c r="G146" s="2"/>
      <c r="H146" s="1"/>
      <c r="I146" s="1"/>
      <c r="J146" s="1"/>
      <c r="K146" s="1"/>
      <c r="L146" s="1"/>
      <c r="M146" s="1"/>
      <c r="N146" s="1"/>
      <c r="O146" s="1"/>
      <c r="P146" s="1"/>
      <c r="Q146" s="1"/>
      <c r="R146" s="1"/>
      <c r="S146" s="1"/>
      <c r="T146" s="1"/>
      <c r="U146" s="1"/>
      <c r="V146" s="1"/>
      <c r="W146" s="1"/>
      <c r="X146" s="1"/>
      <c r="Y146" s="1"/>
      <c r="Z146" s="1"/>
      <c r="AA146" s="1"/>
      <c r="AB146" s="1"/>
      <c r="AC146" s="1"/>
      <c r="AD146" s="67"/>
      <c r="AE146" s="1"/>
      <c r="AF146" s="1"/>
      <c r="AG146" s="1"/>
      <c r="AH146" s="1"/>
      <c r="AI146" s="1"/>
      <c r="AJ146" s="1"/>
      <c r="AK146" s="1"/>
      <c r="AL146" s="1"/>
      <c r="AM146" s="1"/>
      <c r="AN146" s="1"/>
      <c r="AO146" s="1"/>
      <c r="AP146" s="1"/>
      <c r="AQ146" s="1"/>
      <c r="AR146" s="1"/>
      <c r="AS146" s="1"/>
      <c r="AT146" s="1"/>
      <c r="AU146" s="1"/>
      <c r="AV146" s="1"/>
      <c r="AW146" s="1"/>
      <c r="AX146" s="1"/>
    </row>
    <row r="147" ht="15.75" customHeight="1">
      <c r="A147" s="2"/>
      <c r="B147" s="2"/>
      <c r="C147" s="1"/>
      <c r="D147" s="2"/>
      <c r="E147" s="66"/>
      <c r="F147" s="2"/>
      <c r="G147" s="2"/>
      <c r="H147" s="1"/>
      <c r="I147" s="1"/>
      <c r="J147" s="1"/>
      <c r="K147" s="1"/>
      <c r="L147" s="1"/>
      <c r="M147" s="1"/>
      <c r="N147" s="1"/>
      <c r="O147" s="1"/>
      <c r="P147" s="1"/>
      <c r="Q147" s="1"/>
      <c r="R147" s="1"/>
      <c r="S147" s="1"/>
      <c r="T147" s="2"/>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row>
    <row r="148" ht="15.75" customHeight="1">
      <c r="A148" s="2"/>
      <c r="B148" s="2"/>
      <c r="C148" s="1"/>
      <c r="D148" s="2"/>
      <c r="E148" s="66"/>
      <c r="F148" s="2"/>
      <c r="G148" s="2"/>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row>
    <row r="149" ht="15.75" customHeight="1">
      <c r="A149" s="2"/>
      <c r="B149" s="2"/>
      <c r="C149" s="1"/>
      <c r="D149" s="2"/>
      <c r="E149" s="66"/>
      <c r="F149" s="2"/>
      <c r="G149" s="2"/>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row>
    <row r="150" ht="15.75" customHeight="1">
      <c r="A150" s="2"/>
      <c r="B150" s="2"/>
      <c r="C150" s="1"/>
      <c r="D150" s="2"/>
      <c r="E150" s="66"/>
      <c r="F150" s="2"/>
      <c r="G150" s="2"/>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row>
    <row r="151" ht="15.75" customHeight="1">
      <c r="A151" s="2"/>
      <c r="B151" s="2"/>
      <c r="C151" s="1"/>
      <c r="D151" s="2"/>
      <c r="E151" s="66"/>
      <c r="F151" s="2"/>
      <c r="G151" s="2"/>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row>
    <row r="152" ht="15.75" customHeight="1">
      <c r="A152" s="2"/>
      <c r="B152" s="2"/>
      <c r="C152" s="1"/>
      <c r="D152" s="2"/>
      <c r="E152" s="66"/>
      <c r="F152" s="2"/>
      <c r="G152" s="2"/>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row>
    <row r="153" ht="15.75" customHeight="1">
      <c r="A153" s="2"/>
      <c r="B153" s="2"/>
      <c r="C153" s="1"/>
      <c r="D153" s="2"/>
      <c r="E153" s="66"/>
      <c r="F153" s="2"/>
      <c r="G153" s="2"/>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row>
    <row r="154" ht="15.75" customHeight="1">
      <c r="A154" s="2"/>
      <c r="B154" s="2"/>
      <c r="C154" s="1"/>
      <c r="D154" s="2"/>
      <c r="E154" s="66"/>
      <c r="F154" s="2"/>
      <c r="G154" s="5"/>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row>
    <row r="155" ht="15.75" customHeight="1">
      <c r="A155" s="67"/>
      <c r="B155" s="2"/>
      <c r="C155" s="1"/>
      <c r="D155" s="2"/>
      <c r="E155" s="66"/>
      <c r="F155" s="2"/>
      <c r="G155" s="1"/>
      <c r="H155" s="1"/>
      <c r="I155" s="1"/>
      <c r="J155" s="1"/>
      <c r="K155" s="1"/>
      <c r="L155" s="1"/>
      <c r="M155" s="1"/>
      <c r="N155" s="1"/>
      <c r="O155" s="1"/>
      <c r="P155" s="1"/>
      <c r="Q155" s="5"/>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row>
    <row r="156" ht="15.75" customHeight="1">
      <c r="A156" s="67"/>
      <c r="B156" s="2"/>
      <c r="C156" s="1"/>
      <c r="D156" s="2"/>
      <c r="E156" s="66"/>
      <c r="F156" s="2"/>
      <c r="G156" s="5"/>
      <c r="H156" s="1"/>
      <c r="I156" s="1"/>
      <c r="J156" s="1"/>
      <c r="K156" s="1"/>
      <c r="L156" s="1"/>
      <c r="M156" s="1"/>
      <c r="N156" s="1"/>
      <c r="O156" s="1"/>
      <c r="P156" s="1"/>
      <c r="Q156" s="1"/>
      <c r="R156" s="5"/>
      <c r="S156" s="1"/>
      <c r="T156" s="1"/>
      <c r="U156" s="1"/>
      <c r="V156" s="1"/>
      <c r="W156" s="1"/>
      <c r="X156" s="1"/>
      <c r="Y156" s="1"/>
      <c r="Z156" s="1"/>
      <c r="AA156" s="1"/>
      <c r="AB156" s="1"/>
      <c r="AC156" s="1"/>
      <c r="AD156" s="67"/>
      <c r="AE156" s="1"/>
      <c r="AF156" s="1"/>
      <c r="AG156" s="1"/>
      <c r="AH156" s="1"/>
      <c r="AI156" s="1"/>
      <c r="AJ156" s="1"/>
      <c r="AK156" s="1"/>
      <c r="AL156" s="1"/>
      <c r="AM156" s="1"/>
      <c r="AN156" s="1"/>
      <c r="AO156" s="1"/>
      <c r="AP156" s="1"/>
      <c r="AQ156" s="1"/>
      <c r="AR156" s="1"/>
      <c r="AS156" s="1"/>
      <c r="AT156" s="1"/>
      <c r="AU156" s="1"/>
      <c r="AV156" s="1"/>
      <c r="AW156" s="1"/>
      <c r="AX156" s="1"/>
    </row>
    <row r="157" ht="15.75" customHeight="1">
      <c r="A157" s="2"/>
      <c r="B157" s="2"/>
      <c r="C157" s="1"/>
      <c r="D157" s="2"/>
      <c r="E157" s="66"/>
      <c r="F157" s="2"/>
      <c r="G157" s="5"/>
      <c r="H157" s="1"/>
      <c r="I157" s="1"/>
      <c r="J157" s="1"/>
      <c r="K157" s="1"/>
      <c r="L157" s="1"/>
      <c r="M157" s="1"/>
      <c r="N157" s="1"/>
      <c r="O157" s="1"/>
      <c r="P157" s="2"/>
      <c r="Q157" s="1"/>
      <c r="R157" s="1"/>
      <c r="S157" s="1"/>
      <c r="T157" s="1"/>
      <c r="U157" s="1"/>
      <c r="V157" s="1"/>
      <c r="W157" s="1"/>
      <c r="X157" s="1"/>
      <c r="Y157" s="1"/>
      <c r="Z157" s="1"/>
      <c r="AA157" s="1"/>
      <c r="AB157" s="1"/>
      <c r="AC157" s="1"/>
      <c r="AD157" s="67"/>
      <c r="AE157" s="1"/>
      <c r="AF157" s="1"/>
      <c r="AG157" s="1"/>
      <c r="AH157" s="1"/>
      <c r="AI157" s="1"/>
      <c r="AJ157" s="1"/>
      <c r="AK157" s="1"/>
      <c r="AL157" s="1"/>
      <c r="AM157" s="1"/>
      <c r="AN157" s="1"/>
      <c r="AO157" s="1"/>
      <c r="AP157" s="1"/>
      <c r="AQ157" s="1"/>
      <c r="AR157" s="1"/>
      <c r="AS157" s="1"/>
      <c r="AT157" s="1"/>
      <c r="AU157" s="1"/>
      <c r="AV157" s="1"/>
      <c r="AW157" s="1"/>
      <c r="AX157" s="1"/>
    </row>
    <row r="158" ht="15.75" customHeight="1">
      <c r="A158" s="2"/>
      <c r="B158" s="2"/>
      <c r="C158" s="1"/>
      <c r="D158" s="2"/>
      <c r="E158" s="66"/>
      <c r="F158" s="2"/>
      <c r="G158" s="2"/>
      <c r="H158" s="1"/>
      <c r="I158" s="1"/>
      <c r="J158" s="1"/>
      <c r="K158" s="1"/>
      <c r="L158" s="1"/>
      <c r="M158" s="1"/>
      <c r="N158" s="1"/>
      <c r="O158" s="1"/>
      <c r="P158" s="1"/>
      <c r="Q158" s="1"/>
      <c r="R158" s="2"/>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row>
    <row r="159" ht="15.75" customHeight="1">
      <c r="A159" s="2"/>
      <c r="B159" s="2"/>
      <c r="C159" s="1"/>
      <c r="D159" s="2"/>
      <c r="E159" s="66"/>
      <c r="F159" s="2"/>
      <c r="G159" s="2"/>
      <c r="H159" s="1"/>
      <c r="I159" s="1"/>
      <c r="J159" s="1"/>
      <c r="K159" s="1"/>
      <c r="L159" s="1"/>
      <c r="M159" s="1"/>
      <c r="N159" s="1"/>
      <c r="O159" s="1"/>
      <c r="P159" s="1"/>
      <c r="Q159" s="1"/>
      <c r="R159" s="2"/>
      <c r="S159" s="1"/>
      <c r="T159" s="1"/>
      <c r="U159" s="1"/>
      <c r="V159" s="1"/>
      <c r="W159" s="1"/>
      <c r="X159" s="1"/>
      <c r="Y159" s="1"/>
      <c r="Z159" s="1"/>
      <c r="AA159" s="1"/>
      <c r="AB159" s="1"/>
      <c r="AC159" s="1"/>
      <c r="AD159" s="67"/>
      <c r="AE159" s="1"/>
      <c r="AF159" s="1"/>
      <c r="AG159" s="1"/>
      <c r="AH159" s="1"/>
      <c r="AI159" s="1"/>
      <c r="AJ159" s="1"/>
      <c r="AK159" s="1"/>
      <c r="AL159" s="1"/>
      <c r="AM159" s="1"/>
      <c r="AN159" s="1"/>
      <c r="AO159" s="1"/>
      <c r="AP159" s="1"/>
      <c r="AQ159" s="1"/>
      <c r="AR159" s="1"/>
      <c r="AS159" s="1"/>
      <c r="AT159" s="1"/>
      <c r="AU159" s="1"/>
      <c r="AV159" s="1"/>
      <c r="AW159" s="1"/>
      <c r="AX159" s="1"/>
    </row>
    <row r="160" ht="15.75" customHeight="1">
      <c r="A160" s="67"/>
      <c r="B160" s="2"/>
      <c r="C160" s="1"/>
      <c r="D160" s="2"/>
      <c r="E160" s="66"/>
      <c r="F160" s="2"/>
      <c r="G160" s="2"/>
      <c r="H160" s="1"/>
      <c r="I160" s="1"/>
      <c r="J160" s="1"/>
      <c r="K160" s="1"/>
      <c r="L160" s="1"/>
      <c r="M160" s="1"/>
      <c r="N160" s="1"/>
      <c r="O160" s="1"/>
      <c r="P160" s="1"/>
      <c r="Q160" s="1"/>
      <c r="R160" s="2"/>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row>
    <row r="161" ht="15.75" customHeight="1">
      <c r="A161" s="2"/>
      <c r="B161" s="2"/>
      <c r="C161" s="1"/>
      <c r="D161" s="2"/>
      <c r="E161" s="66"/>
      <c r="F161" s="2"/>
      <c r="G161" s="2"/>
      <c r="H161" s="1"/>
      <c r="I161" s="1"/>
      <c r="J161" s="1"/>
      <c r="K161" s="1"/>
      <c r="L161" s="1"/>
      <c r="M161" s="1"/>
      <c r="N161" s="2"/>
      <c r="O161" s="1"/>
      <c r="P161" s="1"/>
      <c r="Q161" s="1"/>
      <c r="R161" s="2"/>
      <c r="S161" s="1"/>
      <c r="T161" s="1"/>
      <c r="U161" s="1"/>
      <c r="V161" s="1"/>
      <c r="W161" s="1"/>
      <c r="X161" s="1"/>
      <c r="Y161" s="1"/>
      <c r="Z161" s="1"/>
      <c r="AA161" s="1"/>
      <c r="AB161" s="1"/>
      <c r="AC161" s="1"/>
      <c r="AD161" s="2"/>
      <c r="AE161" s="1"/>
      <c r="AF161" s="1"/>
      <c r="AG161" s="1"/>
      <c r="AH161" s="1"/>
      <c r="AI161" s="1"/>
      <c r="AJ161" s="1"/>
      <c r="AK161" s="1"/>
      <c r="AL161" s="1"/>
      <c r="AM161" s="1"/>
      <c r="AN161" s="1"/>
      <c r="AO161" s="1"/>
      <c r="AP161" s="1"/>
      <c r="AQ161" s="1"/>
      <c r="AR161" s="1"/>
      <c r="AS161" s="1"/>
      <c r="AT161" s="1"/>
      <c r="AU161" s="1"/>
      <c r="AV161" s="1"/>
      <c r="AW161" s="1"/>
      <c r="AX161" s="1"/>
    </row>
    <row r="162" ht="15.75" customHeight="1">
      <c r="A162" s="2"/>
      <c r="B162" s="2"/>
      <c r="C162" s="1"/>
      <c r="D162" s="2"/>
      <c r="E162" s="66"/>
      <c r="F162" s="2"/>
      <c r="G162" s="2"/>
      <c r="H162" s="1"/>
      <c r="I162" s="1"/>
      <c r="J162" s="1"/>
      <c r="K162" s="1"/>
      <c r="L162" s="1"/>
      <c r="M162" s="1"/>
      <c r="N162" s="1"/>
      <c r="O162" s="1"/>
      <c r="P162" s="1"/>
      <c r="Q162" s="1"/>
      <c r="R162" s="1"/>
      <c r="S162" s="1"/>
      <c r="T162" s="1"/>
      <c r="U162" s="1"/>
      <c r="V162" s="1"/>
      <c r="W162" s="1"/>
      <c r="X162" s="1"/>
      <c r="Y162" s="1"/>
      <c r="Z162" s="1"/>
      <c r="AA162" s="1"/>
      <c r="AB162" s="1"/>
      <c r="AC162" s="1"/>
      <c r="AD162" s="67"/>
      <c r="AE162" s="1"/>
      <c r="AF162" s="1"/>
      <c r="AG162" s="1"/>
      <c r="AH162" s="1"/>
      <c r="AI162" s="1"/>
      <c r="AJ162" s="1"/>
      <c r="AK162" s="1"/>
      <c r="AL162" s="1"/>
      <c r="AM162" s="1"/>
      <c r="AN162" s="1"/>
      <c r="AO162" s="1"/>
      <c r="AP162" s="1"/>
      <c r="AQ162" s="1"/>
      <c r="AR162" s="1"/>
      <c r="AS162" s="1"/>
      <c r="AT162" s="1"/>
      <c r="AU162" s="1"/>
      <c r="AV162" s="1"/>
      <c r="AW162" s="1"/>
      <c r="AX162" s="1"/>
    </row>
    <row r="163" ht="15.75" customHeight="1">
      <c r="A163" s="2"/>
      <c r="B163" s="2"/>
      <c r="C163" s="1"/>
      <c r="D163" s="2"/>
      <c r="E163" s="66"/>
      <c r="F163" s="2"/>
      <c r="G163" s="2"/>
      <c r="H163" s="1"/>
      <c r="I163" s="1"/>
      <c r="J163" s="1"/>
      <c r="K163" s="1"/>
      <c r="L163" s="1"/>
      <c r="M163" s="1"/>
      <c r="N163" s="2"/>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row>
    <row r="164" ht="15.75" customHeight="1">
      <c r="A164" s="16"/>
      <c r="B164" s="2"/>
      <c r="C164" s="1"/>
      <c r="D164" s="2"/>
      <c r="E164" s="66"/>
      <c r="F164" s="2"/>
      <c r="G164" s="2"/>
      <c r="H164" s="1"/>
      <c r="I164" s="1"/>
      <c r="J164" s="1"/>
      <c r="K164" s="1"/>
      <c r="L164" s="1"/>
      <c r="M164" s="1"/>
      <c r="N164" s="1"/>
      <c r="O164" s="1"/>
      <c r="P164" s="1"/>
      <c r="Q164" s="1"/>
      <c r="R164" s="1"/>
      <c r="S164" s="1"/>
      <c r="T164" s="1"/>
      <c r="U164" s="1"/>
      <c r="V164" s="1"/>
      <c r="W164" s="1"/>
      <c r="X164" s="1"/>
      <c r="Y164" s="1"/>
      <c r="Z164" s="1"/>
      <c r="AA164" s="1"/>
      <c r="AB164" s="1"/>
      <c r="AC164" s="1"/>
      <c r="AD164" s="2"/>
      <c r="AE164" s="1"/>
      <c r="AF164" s="1"/>
      <c r="AG164" s="1"/>
      <c r="AH164" s="1"/>
      <c r="AI164" s="1"/>
      <c r="AJ164" s="1"/>
      <c r="AK164" s="1"/>
      <c r="AL164" s="1"/>
      <c r="AM164" s="1"/>
      <c r="AN164" s="1"/>
      <c r="AO164" s="1"/>
      <c r="AP164" s="1"/>
      <c r="AQ164" s="1"/>
      <c r="AR164" s="1"/>
      <c r="AS164" s="1"/>
      <c r="AT164" s="1"/>
      <c r="AU164" s="1"/>
      <c r="AV164" s="1"/>
      <c r="AW164" s="1"/>
      <c r="AX164" s="1"/>
    </row>
    <row r="165" ht="15.75" customHeight="1">
      <c r="A165" s="2"/>
      <c r="B165" s="2"/>
      <c r="C165" s="1"/>
      <c r="D165" s="2"/>
      <c r="E165" s="66"/>
      <c r="F165" s="2"/>
      <c r="G165" s="2"/>
      <c r="H165" s="1"/>
      <c r="I165" s="1"/>
      <c r="J165" s="1"/>
      <c r="K165" s="1"/>
      <c r="L165" s="1"/>
      <c r="M165" s="1"/>
      <c r="N165" s="1"/>
      <c r="O165" s="1"/>
      <c r="P165" s="1"/>
      <c r="Q165" s="1"/>
      <c r="R165" s="1"/>
      <c r="S165" s="1"/>
      <c r="T165" s="1"/>
      <c r="U165" s="1"/>
      <c r="V165" s="1"/>
      <c r="W165" s="1"/>
      <c r="X165" s="1"/>
      <c r="Y165" s="1"/>
      <c r="Z165" s="1"/>
      <c r="AA165" s="1"/>
      <c r="AB165" s="1"/>
      <c r="AC165" s="1"/>
      <c r="AD165" s="2"/>
      <c r="AE165" s="1"/>
      <c r="AF165" s="1"/>
      <c r="AG165" s="1"/>
      <c r="AH165" s="1"/>
      <c r="AI165" s="1"/>
      <c r="AJ165" s="1"/>
      <c r="AK165" s="1"/>
      <c r="AL165" s="1"/>
      <c r="AM165" s="1"/>
      <c r="AN165" s="1"/>
      <c r="AO165" s="1"/>
      <c r="AP165" s="1"/>
      <c r="AQ165" s="1"/>
      <c r="AR165" s="1"/>
      <c r="AS165" s="1"/>
      <c r="AT165" s="1"/>
      <c r="AU165" s="1"/>
      <c r="AV165" s="1"/>
      <c r="AW165" s="1"/>
      <c r="AX165" s="1"/>
    </row>
    <row r="166" ht="15.75" customHeight="1">
      <c r="A166" s="2"/>
      <c r="B166" s="2"/>
      <c r="C166" s="1"/>
      <c r="D166" s="2"/>
      <c r="E166" s="66"/>
      <c r="F166" s="2"/>
      <c r="G166" s="2"/>
      <c r="H166" s="1"/>
      <c r="I166" s="1"/>
      <c r="J166" s="1"/>
      <c r="K166" s="1"/>
      <c r="L166" s="1"/>
      <c r="M166" s="1"/>
      <c r="N166" s="1"/>
      <c r="O166" s="1"/>
      <c r="P166" s="1"/>
      <c r="Q166" s="1"/>
      <c r="R166" s="1"/>
      <c r="S166" s="1"/>
      <c r="T166" s="1"/>
      <c r="U166" s="1"/>
      <c r="V166" s="1"/>
      <c r="W166" s="1"/>
      <c r="X166" s="1"/>
      <c r="Y166" s="1"/>
      <c r="Z166" s="1"/>
      <c r="AA166" s="1"/>
      <c r="AB166" s="1"/>
      <c r="AC166" s="1"/>
      <c r="AD166" s="2"/>
      <c r="AE166" s="1"/>
      <c r="AF166" s="1"/>
      <c r="AG166" s="1"/>
      <c r="AH166" s="1"/>
      <c r="AI166" s="1"/>
      <c r="AJ166" s="1"/>
      <c r="AK166" s="1"/>
      <c r="AL166" s="1"/>
      <c r="AM166" s="1"/>
      <c r="AN166" s="1"/>
      <c r="AO166" s="1"/>
      <c r="AP166" s="1"/>
      <c r="AQ166" s="1"/>
      <c r="AR166" s="1"/>
      <c r="AS166" s="1"/>
      <c r="AT166" s="1"/>
      <c r="AU166" s="1"/>
      <c r="AV166" s="1"/>
      <c r="AW166" s="1"/>
      <c r="AX166" s="1"/>
    </row>
    <row r="167" ht="15.75" customHeight="1">
      <c r="A167" s="67"/>
      <c r="B167" s="2"/>
      <c r="C167" s="1"/>
      <c r="D167" s="2"/>
      <c r="E167" s="66"/>
      <c r="F167" s="2"/>
      <c r="G167" s="2"/>
      <c r="H167" s="1"/>
      <c r="I167" s="1"/>
      <c r="J167" s="2"/>
      <c r="K167" s="1"/>
      <c r="L167" s="1"/>
      <c r="M167" s="1"/>
      <c r="N167" s="1"/>
      <c r="O167" s="1"/>
      <c r="P167" s="1"/>
      <c r="Q167" s="1"/>
      <c r="R167" s="1"/>
      <c r="S167" s="1"/>
      <c r="T167" s="1"/>
      <c r="U167" s="1"/>
      <c r="V167" s="1"/>
      <c r="W167" s="1"/>
      <c r="X167" s="1"/>
      <c r="Y167" s="1"/>
      <c r="Z167" s="1"/>
      <c r="AA167" s="1"/>
      <c r="AB167" s="1"/>
      <c r="AC167" s="1"/>
      <c r="AD167" s="67"/>
      <c r="AE167" s="1"/>
      <c r="AF167" s="1"/>
      <c r="AG167" s="1"/>
      <c r="AH167" s="1"/>
      <c r="AI167" s="1"/>
      <c r="AJ167" s="1"/>
      <c r="AK167" s="1"/>
      <c r="AL167" s="1"/>
      <c r="AM167" s="1"/>
      <c r="AN167" s="1"/>
      <c r="AO167" s="1"/>
      <c r="AP167" s="1"/>
      <c r="AQ167" s="1"/>
      <c r="AR167" s="1"/>
      <c r="AS167" s="1"/>
      <c r="AT167" s="1"/>
      <c r="AU167" s="1"/>
      <c r="AV167" s="1"/>
      <c r="AW167" s="1"/>
      <c r="AX167" s="1"/>
    </row>
    <row r="168" ht="15.75" customHeight="1">
      <c r="A168" s="16"/>
      <c r="B168" s="2"/>
      <c r="C168" s="1"/>
      <c r="D168" s="2"/>
      <c r="E168" s="66"/>
      <c r="F168" s="2"/>
      <c r="G168" s="5"/>
      <c r="H168" s="1"/>
      <c r="I168" s="1"/>
      <c r="J168" s="1"/>
      <c r="K168" s="1"/>
      <c r="L168" s="1"/>
      <c r="M168" s="1"/>
      <c r="N168" s="1"/>
      <c r="O168" s="1"/>
      <c r="P168" s="1"/>
      <c r="Q168" s="1"/>
      <c r="R168" s="1"/>
      <c r="S168" s="1"/>
      <c r="T168" s="1"/>
      <c r="U168" s="1"/>
      <c r="V168" s="1"/>
      <c r="W168" s="1"/>
      <c r="X168" s="1"/>
      <c r="Y168" s="1"/>
      <c r="Z168" s="1"/>
      <c r="AA168" s="1"/>
      <c r="AB168" s="1"/>
      <c r="AC168" s="1"/>
      <c r="AD168" s="67"/>
      <c r="AE168" s="1"/>
      <c r="AF168" s="1"/>
      <c r="AG168" s="1"/>
      <c r="AH168" s="1"/>
      <c r="AI168" s="1"/>
      <c r="AJ168" s="1"/>
      <c r="AK168" s="1"/>
      <c r="AL168" s="1"/>
      <c r="AM168" s="1"/>
      <c r="AN168" s="1"/>
      <c r="AO168" s="1"/>
      <c r="AP168" s="1"/>
      <c r="AQ168" s="1"/>
      <c r="AR168" s="1"/>
      <c r="AS168" s="1"/>
      <c r="AT168" s="1"/>
      <c r="AU168" s="1"/>
      <c r="AV168" s="1"/>
      <c r="AW168" s="1"/>
      <c r="AX168" s="1"/>
    </row>
    <row r="169" ht="15.75" customHeight="1">
      <c r="A169" s="2"/>
      <c r="B169" s="2"/>
      <c r="C169" s="1"/>
      <c r="D169" s="2"/>
      <c r="E169" s="66"/>
      <c r="F169" s="1"/>
      <c r="G169" s="1"/>
      <c r="H169" s="1"/>
      <c r="I169" s="1"/>
      <c r="J169" s="1"/>
      <c r="K169" s="1"/>
      <c r="L169" s="1"/>
      <c r="M169" s="1"/>
      <c r="N169" s="1"/>
      <c r="O169" s="1"/>
      <c r="P169" s="1"/>
      <c r="Q169" s="1"/>
      <c r="R169" s="1"/>
      <c r="S169" s="1"/>
      <c r="T169" s="1"/>
      <c r="U169" s="1"/>
      <c r="V169" s="1"/>
      <c r="W169" s="1"/>
      <c r="X169" s="1"/>
      <c r="Y169" s="1"/>
      <c r="Z169" s="1"/>
      <c r="AA169" s="1"/>
      <c r="AB169" s="1"/>
      <c r="AC169" s="1"/>
      <c r="AD169" s="16"/>
      <c r="AE169" s="1"/>
      <c r="AF169" s="1"/>
      <c r="AG169" s="1"/>
      <c r="AH169" s="1"/>
      <c r="AI169" s="1"/>
      <c r="AJ169" s="1"/>
      <c r="AK169" s="1"/>
      <c r="AL169" s="1"/>
      <c r="AM169" s="1"/>
      <c r="AN169" s="1"/>
      <c r="AO169" s="1"/>
      <c r="AP169" s="1"/>
      <c r="AQ169" s="1"/>
      <c r="AR169" s="1"/>
      <c r="AS169" s="1"/>
      <c r="AT169" s="1"/>
      <c r="AU169" s="1"/>
      <c r="AV169" s="1"/>
      <c r="AW169" s="1"/>
      <c r="AX169" s="1"/>
    </row>
    <row r="170" ht="15.75" customHeight="1">
      <c r="A170" s="2"/>
      <c r="B170" s="2"/>
      <c r="C170" s="1"/>
      <c r="D170" s="2"/>
      <c r="E170" s="66"/>
      <c r="F170" s="2"/>
      <c r="G170" s="2"/>
      <c r="H170" s="2"/>
      <c r="I170" s="1"/>
      <c r="J170" s="1"/>
      <c r="K170" s="1"/>
      <c r="L170" s="1"/>
      <c r="M170" s="1"/>
      <c r="N170" s="1"/>
      <c r="O170" s="1"/>
      <c r="P170" s="1"/>
      <c r="Q170" s="1"/>
      <c r="R170" s="1"/>
      <c r="S170" s="1"/>
      <c r="T170" s="1"/>
      <c r="U170" s="1"/>
      <c r="V170" s="1"/>
      <c r="W170" s="1"/>
      <c r="X170" s="1"/>
      <c r="Y170" s="1"/>
      <c r="Z170" s="1"/>
      <c r="AA170" s="1"/>
      <c r="AB170" s="1"/>
      <c r="AC170" s="1"/>
      <c r="AD170" s="2"/>
      <c r="AE170" s="1"/>
      <c r="AF170" s="1"/>
      <c r="AG170" s="1"/>
      <c r="AH170" s="1"/>
      <c r="AI170" s="1"/>
      <c r="AJ170" s="1"/>
      <c r="AK170" s="1"/>
      <c r="AL170" s="1"/>
      <c r="AM170" s="1"/>
      <c r="AN170" s="1"/>
      <c r="AO170" s="1"/>
      <c r="AP170" s="1"/>
      <c r="AQ170" s="1"/>
      <c r="AR170" s="1"/>
      <c r="AS170" s="1"/>
      <c r="AT170" s="1"/>
      <c r="AU170" s="1"/>
      <c r="AV170" s="1"/>
      <c r="AW170" s="1"/>
      <c r="AX170" s="1"/>
    </row>
    <row r="171" ht="15.75" customHeight="1">
      <c r="A171" s="2"/>
      <c r="B171" s="2"/>
      <c r="C171" s="1"/>
      <c r="D171" s="2"/>
      <c r="E171" s="66"/>
      <c r="F171" s="2"/>
      <c r="G171" s="2"/>
      <c r="H171" s="1"/>
      <c r="I171" s="1"/>
      <c r="J171" s="2"/>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row>
    <row r="172" ht="15.75" customHeight="1">
      <c r="A172" s="2"/>
      <c r="B172" s="2"/>
      <c r="C172" s="1"/>
      <c r="D172" s="2"/>
      <c r="E172" s="66"/>
      <c r="F172" s="1"/>
      <c r="G172" s="1"/>
      <c r="H172" s="1"/>
      <c r="I172" s="1"/>
      <c r="J172" s="1"/>
      <c r="K172" s="1"/>
      <c r="L172" s="1"/>
      <c r="M172" s="1"/>
      <c r="N172" s="1"/>
      <c r="O172" s="1"/>
      <c r="P172" s="1"/>
      <c r="Q172" s="1"/>
      <c r="R172" s="1"/>
      <c r="S172" s="1"/>
      <c r="T172" s="1"/>
      <c r="U172" s="1"/>
      <c r="V172" s="1"/>
      <c r="W172" s="1"/>
      <c r="X172" s="1"/>
      <c r="Y172" s="1"/>
      <c r="Z172" s="1"/>
      <c r="AA172" s="1"/>
      <c r="AB172" s="1"/>
      <c r="AC172" s="1"/>
      <c r="AD172" s="2"/>
      <c r="AE172" s="1"/>
      <c r="AF172" s="1"/>
      <c r="AG172" s="1"/>
      <c r="AH172" s="1"/>
      <c r="AI172" s="1"/>
      <c r="AJ172" s="1"/>
      <c r="AK172" s="1"/>
      <c r="AL172" s="1"/>
      <c r="AM172" s="1"/>
      <c r="AN172" s="1"/>
      <c r="AO172" s="1"/>
      <c r="AP172" s="1"/>
      <c r="AQ172" s="1"/>
      <c r="AR172" s="1"/>
      <c r="AS172" s="1"/>
      <c r="AT172" s="1"/>
      <c r="AU172" s="1"/>
      <c r="AV172" s="1"/>
      <c r="AW172" s="1"/>
      <c r="AX172" s="1"/>
    </row>
    <row r="173" ht="15.75" customHeight="1">
      <c r="A173" s="2"/>
      <c r="B173" s="2"/>
      <c r="C173" s="1"/>
      <c r="D173" s="2"/>
      <c r="E173" s="66"/>
      <c r="F173" s="1"/>
      <c r="G173" s="1"/>
      <c r="H173" s="1"/>
      <c r="I173" s="1"/>
      <c r="J173" s="1"/>
      <c r="K173" s="1"/>
      <c r="L173" s="1"/>
      <c r="M173" s="1"/>
      <c r="N173" s="1"/>
      <c r="O173" s="1"/>
      <c r="P173" s="1"/>
      <c r="Q173" s="1"/>
      <c r="R173" s="1"/>
      <c r="S173" s="1"/>
      <c r="T173" s="1"/>
      <c r="U173" s="1"/>
      <c r="V173" s="1"/>
      <c r="W173" s="1"/>
      <c r="X173" s="1"/>
      <c r="Y173" s="1"/>
      <c r="Z173" s="1"/>
      <c r="AA173" s="1"/>
      <c r="AB173" s="1"/>
      <c r="AC173" s="1"/>
      <c r="AD173" s="2"/>
      <c r="AE173" s="1"/>
      <c r="AF173" s="1"/>
      <c r="AG173" s="1"/>
      <c r="AH173" s="1"/>
      <c r="AI173" s="1"/>
      <c r="AJ173" s="1"/>
      <c r="AK173" s="1"/>
      <c r="AL173" s="1"/>
      <c r="AM173" s="1"/>
      <c r="AN173" s="1"/>
      <c r="AO173" s="1"/>
      <c r="AP173" s="1"/>
      <c r="AQ173" s="1"/>
      <c r="AR173" s="1"/>
      <c r="AS173" s="1"/>
      <c r="AT173" s="1"/>
      <c r="AU173" s="1"/>
      <c r="AV173" s="1"/>
      <c r="AW173" s="1"/>
      <c r="AX173" s="1"/>
    </row>
    <row r="174" ht="15.75" customHeight="1">
      <c r="A174" s="2"/>
      <c r="B174" s="2"/>
      <c r="C174" s="1"/>
      <c r="D174" s="2"/>
      <c r="E174" s="66"/>
      <c r="F174" s="1"/>
      <c r="G174" s="1"/>
      <c r="H174" s="1"/>
      <c r="I174" s="1"/>
      <c r="J174" s="1"/>
      <c r="K174" s="1"/>
      <c r="L174" s="1"/>
      <c r="M174" s="1"/>
      <c r="N174" s="1"/>
      <c r="O174" s="1"/>
      <c r="P174" s="1"/>
      <c r="Q174" s="1"/>
      <c r="R174" s="1"/>
      <c r="S174" s="1"/>
      <c r="T174" s="1"/>
      <c r="U174" s="1"/>
      <c r="V174" s="1"/>
      <c r="W174" s="1"/>
      <c r="X174" s="1"/>
      <c r="Y174" s="1"/>
      <c r="Z174" s="1"/>
      <c r="AA174" s="1"/>
      <c r="AB174" s="1"/>
      <c r="AC174" s="1"/>
      <c r="AD174" s="2"/>
      <c r="AE174" s="1"/>
      <c r="AF174" s="1"/>
      <c r="AG174" s="1"/>
      <c r="AH174" s="1"/>
      <c r="AI174" s="1"/>
      <c r="AJ174" s="1"/>
      <c r="AK174" s="1"/>
      <c r="AL174" s="1"/>
      <c r="AM174" s="1"/>
      <c r="AN174" s="1"/>
      <c r="AO174" s="1"/>
      <c r="AP174" s="1"/>
      <c r="AQ174" s="1"/>
      <c r="AR174" s="1"/>
      <c r="AS174" s="1"/>
      <c r="AT174" s="1"/>
      <c r="AU174" s="1"/>
      <c r="AV174" s="1"/>
      <c r="AW174" s="1"/>
      <c r="AX174" s="1"/>
    </row>
    <row r="175" ht="15.75" customHeight="1">
      <c r="A175" s="2"/>
      <c r="B175" s="2"/>
      <c r="C175" s="1"/>
      <c r="D175" s="2"/>
      <c r="E175" s="66"/>
      <c r="F175" s="2"/>
      <c r="G175" s="2"/>
      <c r="H175" s="1"/>
      <c r="I175" s="1"/>
      <c r="J175" s="1"/>
      <c r="K175" s="1"/>
      <c r="L175" s="1"/>
      <c r="M175" s="1"/>
      <c r="N175" s="1"/>
      <c r="O175" s="1"/>
      <c r="P175" s="1"/>
      <c r="Q175" s="1"/>
      <c r="R175" s="2"/>
      <c r="S175" s="1"/>
      <c r="T175" s="1"/>
      <c r="U175" s="1"/>
      <c r="V175" s="1"/>
      <c r="W175" s="1"/>
      <c r="X175" s="1"/>
      <c r="Y175" s="1"/>
      <c r="Z175" s="1"/>
      <c r="AA175" s="1"/>
      <c r="AB175" s="1"/>
      <c r="AC175" s="1"/>
      <c r="AD175" s="67"/>
      <c r="AE175" s="1"/>
      <c r="AF175" s="1"/>
      <c r="AG175" s="1"/>
      <c r="AH175" s="1"/>
      <c r="AI175" s="1"/>
      <c r="AJ175" s="1"/>
      <c r="AK175" s="1"/>
      <c r="AL175" s="1"/>
      <c r="AM175" s="1"/>
      <c r="AN175" s="1"/>
      <c r="AO175" s="1"/>
      <c r="AP175" s="1"/>
      <c r="AQ175" s="1"/>
      <c r="AR175" s="1"/>
      <c r="AS175" s="1"/>
      <c r="AT175" s="1"/>
      <c r="AU175" s="1"/>
      <c r="AV175" s="1"/>
      <c r="AW175" s="1"/>
      <c r="AX175" s="1"/>
    </row>
    <row r="176" ht="15.75" customHeight="1">
      <c r="A176" s="2"/>
      <c r="B176" s="2"/>
      <c r="C176" s="1"/>
      <c r="D176" s="2"/>
      <c r="E176" s="66"/>
      <c r="F176" s="1"/>
      <c r="G176" s="1"/>
      <c r="H176" s="1"/>
      <c r="I176" s="1"/>
      <c r="J176" s="1"/>
      <c r="K176" s="1"/>
      <c r="L176" s="1"/>
      <c r="M176" s="1"/>
      <c r="N176" s="1"/>
      <c r="O176" s="1"/>
      <c r="P176" s="1"/>
      <c r="Q176" s="1"/>
      <c r="R176" s="1"/>
      <c r="S176" s="1"/>
      <c r="T176" s="1"/>
      <c r="U176" s="1"/>
      <c r="V176" s="1"/>
      <c r="W176" s="1"/>
      <c r="X176" s="1"/>
      <c r="Y176" s="1"/>
      <c r="Z176" s="1"/>
      <c r="AA176" s="1"/>
      <c r="AB176" s="1"/>
      <c r="AC176" s="1"/>
      <c r="AD176" s="67"/>
      <c r="AE176" s="1"/>
      <c r="AF176" s="1"/>
      <c r="AG176" s="1"/>
      <c r="AH176" s="1"/>
      <c r="AI176" s="1"/>
      <c r="AJ176" s="1"/>
      <c r="AK176" s="1"/>
      <c r="AL176" s="1"/>
      <c r="AM176" s="1"/>
      <c r="AN176" s="1"/>
      <c r="AO176" s="1"/>
      <c r="AP176" s="1"/>
      <c r="AQ176" s="1"/>
      <c r="AR176" s="1"/>
      <c r="AS176" s="1"/>
      <c r="AT176" s="1"/>
      <c r="AU176" s="1"/>
      <c r="AV176" s="1"/>
      <c r="AW176" s="1"/>
      <c r="AX176" s="1"/>
    </row>
    <row r="177" ht="15.75" customHeight="1">
      <c r="A177" s="16"/>
      <c r="B177" s="2"/>
      <c r="C177" s="1"/>
      <c r="D177" s="2"/>
      <c r="E177" s="66"/>
      <c r="F177" s="2"/>
      <c r="G177" s="2"/>
      <c r="H177" s="1"/>
      <c r="I177" s="1"/>
      <c r="J177" s="1"/>
      <c r="K177" s="1"/>
      <c r="L177" s="1"/>
      <c r="M177" s="1"/>
      <c r="N177" s="1"/>
      <c r="O177" s="1"/>
      <c r="P177" s="1"/>
      <c r="Q177" s="1"/>
      <c r="R177" s="1"/>
      <c r="S177" s="1"/>
      <c r="T177" s="1"/>
      <c r="U177" s="1"/>
      <c r="V177" s="1"/>
      <c r="W177" s="1"/>
      <c r="X177" s="1"/>
      <c r="Y177" s="1"/>
      <c r="Z177" s="1"/>
      <c r="AA177" s="1"/>
      <c r="AB177" s="1"/>
      <c r="AC177" s="1"/>
      <c r="AD177" s="70"/>
      <c r="AE177" s="1"/>
      <c r="AF177" s="1"/>
      <c r="AG177" s="1"/>
      <c r="AH177" s="1"/>
      <c r="AI177" s="1"/>
      <c r="AJ177" s="1"/>
      <c r="AK177" s="1"/>
      <c r="AL177" s="1"/>
      <c r="AM177" s="1"/>
      <c r="AN177" s="1"/>
      <c r="AO177" s="1"/>
      <c r="AP177" s="1"/>
      <c r="AQ177" s="1"/>
      <c r="AR177" s="1"/>
      <c r="AS177" s="1"/>
      <c r="AT177" s="1"/>
      <c r="AU177" s="1"/>
      <c r="AV177" s="1"/>
      <c r="AW177" s="1"/>
      <c r="AX177" s="1"/>
    </row>
    <row r="178" ht="15.75" customHeight="1">
      <c r="A178" s="8"/>
      <c r="B178" s="2"/>
      <c r="C178" s="1"/>
      <c r="D178" s="2"/>
      <c r="E178" s="66"/>
      <c r="F178" s="1"/>
      <c r="G178" s="1"/>
      <c r="H178" s="1"/>
      <c r="I178" s="1"/>
      <c r="J178" s="1"/>
      <c r="K178" s="1"/>
      <c r="L178" s="1"/>
      <c r="M178" s="1"/>
      <c r="N178" s="1"/>
      <c r="O178" s="1"/>
      <c r="P178" s="1"/>
      <c r="Q178" s="1"/>
      <c r="R178" s="1"/>
      <c r="S178" s="1"/>
      <c r="T178" s="1"/>
      <c r="U178" s="1"/>
      <c r="V178" s="1"/>
      <c r="W178" s="1"/>
      <c r="X178" s="1"/>
      <c r="Y178" s="1"/>
      <c r="Z178" s="1"/>
      <c r="AA178" s="1"/>
      <c r="AB178" s="1"/>
      <c r="AC178" s="1"/>
      <c r="AD178" s="16"/>
      <c r="AE178" s="1"/>
      <c r="AF178" s="1"/>
      <c r="AG178" s="1"/>
      <c r="AH178" s="1"/>
      <c r="AI178" s="1"/>
      <c r="AJ178" s="1"/>
      <c r="AK178" s="1"/>
      <c r="AL178" s="1"/>
      <c r="AM178" s="1"/>
      <c r="AN178" s="1"/>
      <c r="AO178" s="1"/>
      <c r="AP178" s="1"/>
      <c r="AQ178" s="1"/>
      <c r="AR178" s="1"/>
      <c r="AS178" s="1"/>
      <c r="AT178" s="1"/>
      <c r="AU178" s="1"/>
      <c r="AV178" s="1"/>
      <c r="AW178" s="1"/>
      <c r="AX178" s="1"/>
    </row>
    <row r="179" ht="15.75" customHeight="1">
      <c r="A179" s="71"/>
      <c r="B179" s="2"/>
      <c r="C179" s="1"/>
      <c r="D179" s="2"/>
      <c r="E179" s="66"/>
      <c r="F179" s="1"/>
      <c r="G179" s="1"/>
      <c r="H179" s="1"/>
      <c r="I179" s="1"/>
      <c r="J179" s="1"/>
      <c r="K179" s="1"/>
      <c r="L179" s="1"/>
      <c r="M179" s="1"/>
      <c r="N179" s="1"/>
      <c r="O179" s="1"/>
      <c r="P179" s="1"/>
      <c r="Q179" s="1"/>
      <c r="R179" s="1"/>
      <c r="S179" s="1"/>
      <c r="T179" s="1"/>
      <c r="U179" s="1"/>
      <c r="V179" s="1"/>
      <c r="W179" s="1"/>
      <c r="X179" s="1"/>
      <c r="Y179" s="1"/>
      <c r="Z179" s="1"/>
      <c r="AA179" s="1"/>
      <c r="AB179" s="1"/>
      <c r="AC179" s="1"/>
      <c r="AD179" s="21"/>
      <c r="AE179" s="1"/>
      <c r="AF179" s="1"/>
      <c r="AG179" s="1"/>
      <c r="AH179" s="1"/>
      <c r="AI179" s="1"/>
      <c r="AJ179" s="1"/>
      <c r="AK179" s="1"/>
      <c r="AL179" s="1"/>
      <c r="AM179" s="1"/>
      <c r="AN179" s="1"/>
      <c r="AO179" s="1"/>
      <c r="AP179" s="1"/>
      <c r="AQ179" s="1"/>
      <c r="AR179" s="1"/>
      <c r="AS179" s="1"/>
      <c r="AT179" s="1"/>
      <c r="AU179" s="1"/>
      <c r="AV179" s="1"/>
      <c r="AW179" s="1"/>
      <c r="AX179" s="1"/>
    </row>
    <row r="180" ht="15.75" customHeight="1">
      <c r="A180" s="21"/>
      <c r="B180" s="2"/>
      <c r="C180" s="1"/>
      <c r="D180" s="2"/>
      <c r="E180" s="66"/>
      <c r="F180" s="1"/>
      <c r="G180" s="1"/>
      <c r="H180" s="1"/>
      <c r="I180" s="1"/>
      <c r="J180" s="1"/>
      <c r="K180" s="1"/>
      <c r="L180" s="1"/>
      <c r="M180" s="1"/>
      <c r="N180" s="1"/>
      <c r="O180" s="1"/>
      <c r="P180" s="1"/>
      <c r="Q180" s="1"/>
      <c r="R180" s="1"/>
      <c r="S180" s="1"/>
      <c r="T180" s="1"/>
      <c r="U180" s="1"/>
      <c r="V180" s="1"/>
      <c r="W180" s="1"/>
      <c r="X180" s="1"/>
      <c r="Y180" s="1"/>
      <c r="Z180" s="1"/>
      <c r="AA180" s="1"/>
      <c r="AB180" s="1"/>
      <c r="AC180" s="1"/>
      <c r="AD180" s="16"/>
      <c r="AE180" s="1"/>
      <c r="AF180" s="1"/>
      <c r="AG180" s="1"/>
      <c r="AH180" s="1"/>
      <c r="AI180" s="1"/>
      <c r="AJ180" s="1"/>
      <c r="AK180" s="1"/>
      <c r="AL180" s="1"/>
      <c r="AM180" s="1"/>
      <c r="AN180" s="1"/>
      <c r="AO180" s="1"/>
      <c r="AP180" s="1"/>
      <c r="AQ180" s="1"/>
      <c r="AR180" s="1"/>
      <c r="AS180" s="1"/>
      <c r="AT180" s="1"/>
      <c r="AU180" s="1"/>
      <c r="AV180" s="1"/>
      <c r="AW180" s="1"/>
      <c r="AX180" s="1"/>
    </row>
    <row r="181" ht="15.75" customHeight="1">
      <c r="A181" s="21"/>
      <c r="B181" s="2"/>
      <c r="C181" s="1"/>
      <c r="D181" s="2"/>
      <c r="E181" s="66"/>
      <c r="F181" s="1"/>
      <c r="G181" s="1"/>
      <c r="H181" s="1"/>
      <c r="I181" s="1"/>
      <c r="J181" s="1"/>
      <c r="K181" s="1"/>
      <c r="L181" s="1"/>
      <c r="M181" s="1"/>
      <c r="N181" s="1"/>
      <c r="O181" s="1"/>
      <c r="P181" s="1"/>
      <c r="Q181" s="1"/>
      <c r="R181" s="1"/>
      <c r="S181" s="1"/>
      <c r="T181" s="1"/>
      <c r="U181" s="1"/>
      <c r="V181" s="1"/>
      <c r="W181" s="1"/>
      <c r="X181" s="1"/>
      <c r="Y181" s="1"/>
      <c r="Z181" s="1"/>
      <c r="AA181" s="1"/>
      <c r="AB181" s="1"/>
      <c r="AC181" s="1"/>
      <c r="AD181" s="16"/>
      <c r="AE181" s="1"/>
      <c r="AF181" s="1"/>
      <c r="AG181" s="1"/>
      <c r="AH181" s="1"/>
      <c r="AI181" s="1"/>
      <c r="AJ181" s="1"/>
      <c r="AK181" s="1"/>
      <c r="AL181" s="1"/>
      <c r="AM181" s="1"/>
      <c r="AN181" s="1"/>
      <c r="AO181" s="1"/>
      <c r="AP181" s="1"/>
      <c r="AQ181" s="1"/>
      <c r="AR181" s="1"/>
      <c r="AS181" s="1"/>
      <c r="AT181" s="1"/>
      <c r="AU181" s="1"/>
      <c r="AV181" s="1"/>
      <c r="AW181" s="1"/>
      <c r="AX181" s="1"/>
    </row>
    <row r="182" ht="15.75" customHeight="1">
      <c r="A182" s="21"/>
      <c r="B182" s="2"/>
      <c r="C182" s="1"/>
      <c r="D182" s="2"/>
      <c r="E182" s="66"/>
      <c r="F182" s="1"/>
      <c r="G182" s="1"/>
      <c r="H182" s="1"/>
      <c r="I182" s="1"/>
      <c r="J182" s="1"/>
      <c r="K182" s="1"/>
      <c r="L182" s="1"/>
      <c r="M182" s="1"/>
      <c r="N182" s="1"/>
      <c r="O182" s="1"/>
      <c r="P182" s="1"/>
      <c r="Q182" s="1"/>
      <c r="R182" s="1"/>
      <c r="S182" s="1"/>
      <c r="T182" s="1"/>
      <c r="U182" s="1"/>
      <c r="V182" s="1"/>
      <c r="W182" s="1"/>
      <c r="X182" s="1"/>
      <c r="Y182" s="1"/>
      <c r="Z182" s="1"/>
      <c r="AA182" s="1"/>
      <c r="AB182" s="1"/>
      <c r="AC182" s="1"/>
      <c r="AD182" s="16"/>
      <c r="AE182" s="1"/>
      <c r="AF182" s="1"/>
      <c r="AG182" s="1"/>
      <c r="AH182" s="1"/>
      <c r="AI182" s="1"/>
      <c r="AJ182" s="1"/>
      <c r="AK182" s="1"/>
      <c r="AL182" s="1"/>
      <c r="AM182" s="1"/>
      <c r="AN182" s="1"/>
      <c r="AO182" s="1"/>
      <c r="AP182" s="1"/>
      <c r="AQ182" s="1"/>
      <c r="AR182" s="1"/>
      <c r="AS182" s="1"/>
      <c r="AT182" s="1"/>
      <c r="AU182" s="1"/>
      <c r="AV182" s="1"/>
      <c r="AW182" s="1"/>
      <c r="AX182" s="1"/>
    </row>
    <row r="183" ht="15.75" customHeight="1">
      <c r="A183" s="21"/>
      <c r="B183" s="2"/>
      <c r="C183" s="1"/>
      <c r="D183" s="2"/>
      <c r="E183" s="66"/>
      <c r="F183" s="1"/>
      <c r="G183" s="1"/>
      <c r="H183" s="1"/>
      <c r="I183" s="1"/>
      <c r="J183" s="1"/>
      <c r="K183" s="1"/>
      <c r="L183" s="1"/>
      <c r="M183" s="1"/>
      <c r="N183" s="1"/>
      <c r="O183" s="1"/>
      <c r="P183" s="1"/>
      <c r="Q183" s="1"/>
      <c r="R183" s="1"/>
      <c r="S183" s="1"/>
      <c r="T183" s="1"/>
      <c r="U183" s="1"/>
      <c r="V183" s="1"/>
      <c r="W183" s="1"/>
      <c r="X183" s="1"/>
      <c r="Y183" s="1"/>
      <c r="Z183" s="1"/>
      <c r="AA183" s="1"/>
      <c r="AB183" s="1"/>
      <c r="AC183" s="1"/>
      <c r="AD183" s="16"/>
      <c r="AE183" s="1"/>
      <c r="AF183" s="1"/>
      <c r="AG183" s="1"/>
      <c r="AH183" s="1"/>
      <c r="AI183" s="1"/>
      <c r="AJ183" s="1"/>
      <c r="AK183" s="1"/>
      <c r="AL183" s="1"/>
      <c r="AM183" s="1"/>
      <c r="AN183" s="1"/>
      <c r="AO183" s="1"/>
      <c r="AP183" s="1"/>
      <c r="AQ183" s="1"/>
      <c r="AR183" s="1"/>
      <c r="AS183" s="1"/>
      <c r="AT183" s="1"/>
      <c r="AU183" s="1"/>
      <c r="AV183" s="1"/>
      <c r="AW183" s="1"/>
      <c r="AX183" s="1"/>
    </row>
    <row r="184" ht="15.75" customHeight="1">
      <c r="A184" s="21"/>
      <c r="B184" s="2"/>
      <c r="C184" s="1"/>
      <c r="D184" s="2"/>
      <c r="E184" s="66"/>
      <c r="F184" s="1"/>
      <c r="G184" s="1"/>
      <c r="H184" s="1"/>
      <c r="I184" s="1"/>
      <c r="J184" s="1"/>
      <c r="K184" s="1"/>
      <c r="L184" s="1"/>
      <c r="M184" s="1"/>
      <c r="N184" s="1"/>
      <c r="O184" s="1"/>
      <c r="P184" s="1"/>
      <c r="Q184" s="1"/>
      <c r="R184" s="1"/>
      <c r="S184" s="1"/>
      <c r="T184" s="1"/>
      <c r="U184" s="1"/>
      <c r="V184" s="1"/>
      <c r="W184" s="1"/>
      <c r="X184" s="1"/>
      <c r="Y184" s="1"/>
      <c r="Z184" s="1"/>
      <c r="AA184" s="1"/>
      <c r="AB184" s="1"/>
      <c r="AC184" s="1"/>
      <c r="AD184" s="16"/>
      <c r="AE184" s="1"/>
      <c r="AF184" s="1"/>
      <c r="AG184" s="1"/>
      <c r="AH184" s="1"/>
      <c r="AI184" s="1"/>
      <c r="AJ184" s="1"/>
      <c r="AK184" s="1"/>
      <c r="AL184" s="1"/>
      <c r="AM184" s="1"/>
      <c r="AN184" s="1"/>
      <c r="AO184" s="1"/>
      <c r="AP184" s="1"/>
      <c r="AQ184" s="1"/>
      <c r="AR184" s="1"/>
      <c r="AS184" s="1"/>
      <c r="AT184" s="1"/>
      <c r="AU184" s="1"/>
      <c r="AV184" s="1"/>
      <c r="AW184" s="1"/>
      <c r="AX184" s="1"/>
    </row>
    <row r="185" ht="15.75" customHeight="1">
      <c r="A185" s="21"/>
      <c r="B185" s="2"/>
      <c r="C185" s="1"/>
      <c r="D185" s="2"/>
      <c r="E185" s="66"/>
      <c r="F185" s="1"/>
      <c r="G185" s="1"/>
      <c r="H185" s="1"/>
      <c r="I185" s="1"/>
      <c r="J185" s="1"/>
      <c r="K185" s="1"/>
      <c r="L185" s="1"/>
      <c r="M185" s="1"/>
      <c r="N185" s="1"/>
      <c r="O185" s="1"/>
      <c r="P185" s="1"/>
      <c r="Q185" s="1"/>
      <c r="R185" s="1"/>
      <c r="S185" s="1"/>
      <c r="T185" s="1"/>
      <c r="U185" s="1"/>
      <c r="V185" s="1"/>
      <c r="W185" s="1"/>
      <c r="X185" s="1"/>
      <c r="Y185" s="1"/>
      <c r="Z185" s="1"/>
      <c r="AA185" s="1"/>
      <c r="AB185" s="1"/>
      <c r="AC185" s="1"/>
      <c r="AD185" s="16"/>
      <c r="AE185" s="1"/>
      <c r="AF185" s="1"/>
      <c r="AG185" s="1"/>
      <c r="AH185" s="1"/>
      <c r="AI185" s="1"/>
      <c r="AJ185" s="1"/>
      <c r="AK185" s="1"/>
      <c r="AL185" s="1"/>
      <c r="AM185" s="1"/>
      <c r="AN185" s="1"/>
      <c r="AO185" s="1"/>
      <c r="AP185" s="1"/>
      <c r="AQ185" s="1"/>
      <c r="AR185" s="1"/>
      <c r="AS185" s="1"/>
      <c r="AT185" s="1"/>
      <c r="AU185" s="1"/>
      <c r="AV185" s="1"/>
      <c r="AW185" s="1"/>
      <c r="AX185" s="1"/>
    </row>
    <row r="186" ht="15.75" customHeight="1">
      <c r="A186" s="21"/>
      <c r="B186" s="2"/>
      <c r="C186" s="1"/>
      <c r="D186" s="2"/>
      <c r="E186" s="66"/>
      <c r="F186" s="1"/>
      <c r="G186" s="1"/>
      <c r="H186" s="1"/>
      <c r="I186" s="1"/>
      <c r="J186" s="1"/>
      <c r="K186" s="1"/>
      <c r="L186" s="1"/>
      <c r="M186" s="1"/>
      <c r="N186" s="1"/>
      <c r="O186" s="1"/>
      <c r="P186" s="1"/>
      <c r="Q186" s="1"/>
      <c r="R186" s="1"/>
      <c r="S186" s="1"/>
      <c r="T186" s="1"/>
      <c r="U186" s="1"/>
      <c r="V186" s="1"/>
      <c r="W186" s="1"/>
      <c r="X186" s="1"/>
      <c r="Y186" s="1"/>
      <c r="Z186" s="1"/>
      <c r="AA186" s="1"/>
      <c r="AB186" s="1"/>
      <c r="AC186" s="1"/>
      <c r="AD186" s="16"/>
      <c r="AE186" s="1"/>
      <c r="AF186" s="1"/>
      <c r="AG186" s="1"/>
      <c r="AH186" s="1"/>
      <c r="AI186" s="1"/>
      <c r="AJ186" s="1"/>
      <c r="AK186" s="1"/>
      <c r="AL186" s="1"/>
      <c r="AM186" s="1"/>
      <c r="AN186" s="1"/>
      <c r="AO186" s="1"/>
      <c r="AP186" s="1"/>
      <c r="AQ186" s="1"/>
      <c r="AR186" s="1"/>
      <c r="AS186" s="1"/>
      <c r="AT186" s="1"/>
      <c r="AU186" s="1"/>
      <c r="AV186" s="1"/>
      <c r="AW186" s="1"/>
      <c r="AX186" s="1"/>
    </row>
    <row r="187" ht="15.75" customHeight="1">
      <c r="A187" s="71"/>
      <c r="B187" s="2"/>
      <c r="C187" s="1"/>
      <c r="D187" s="2"/>
      <c r="E187" s="66"/>
      <c r="F187" s="1"/>
      <c r="G187" s="1"/>
      <c r="H187" s="1"/>
      <c r="I187" s="1"/>
      <c r="J187" s="1"/>
      <c r="K187" s="1"/>
      <c r="L187" s="1"/>
      <c r="M187" s="1"/>
      <c r="N187" s="1"/>
      <c r="O187" s="1"/>
      <c r="P187" s="1"/>
      <c r="Q187" s="1"/>
      <c r="R187" s="1"/>
      <c r="S187" s="1"/>
      <c r="T187" s="1"/>
      <c r="U187" s="1"/>
      <c r="V187" s="1"/>
      <c r="W187" s="1"/>
      <c r="X187" s="1"/>
      <c r="Y187" s="1"/>
      <c r="Z187" s="1"/>
      <c r="AA187" s="1"/>
      <c r="AB187" s="1"/>
      <c r="AC187" s="1"/>
      <c r="AD187" s="16"/>
      <c r="AE187" s="1"/>
      <c r="AF187" s="1"/>
      <c r="AG187" s="1"/>
      <c r="AH187" s="1"/>
      <c r="AI187" s="1"/>
      <c r="AJ187" s="1"/>
      <c r="AK187" s="1"/>
      <c r="AL187" s="1"/>
      <c r="AM187" s="1"/>
      <c r="AN187" s="1"/>
      <c r="AO187" s="1"/>
      <c r="AP187" s="1"/>
      <c r="AQ187" s="1"/>
      <c r="AR187" s="1"/>
      <c r="AS187" s="1"/>
      <c r="AT187" s="1"/>
      <c r="AU187" s="1"/>
      <c r="AV187" s="1"/>
      <c r="AW187" s="1"/>
      <c r="AX187" s="1"/>
    </row>
    <row r="188" ht="15.75" customHeight="1">
      <c r="A188" s="16"/>
      <c r="B188" s="2"/>
      <c r="C188" s="1"/>
      <c r="D188" s="2"/>
      <c r="E188" s="66"/>
      <c r="F188" s="1"/>
      <c r="G188" s="1"/>
      <c r="H188" s="1"/>
      <c r="I188" s="1"/>
      <c r="J188" s="1"/>
      <c r="K188" s="1"/>
      <c r="L188" s="1"/>
      <c r="M188" s="1"/>
      <c r="N188" s="1"/>
      <c r="O188" s="1"/>
      <c r="P188" s="1"/>
      <c r="Q188" s="1"/>
      <c r="R188" s="1"/>
      <c r="S188" s="1"/>
      <c r="T188" s="1"/>
      <c r="U188" s="1"/>
      <c r="V188" s="1"/>
      <c r="W188" s="1"/>
      <c r="X188" s="1"/>
      <c r="Y188" s="1"/>
      <c r="Z188" s="1"/>
      <c r="AA188" s="1"/>
      <c r="AB188" s="1"/>
      <c r="AC188" s="1"/>
      <c r="AD188" s="16"/>
      <c r="AE188" s="1"/>
      <c r="AF188" s="1"/>
      <c r="AG188" s="1"/>
      <c r="AH188" s="1"/>
      <c r="AI188" s="1"/>
      <c r="AJ188" s="1"/>
      <c r="AK188" s="1"/>
      <c r="AL188" s="1"/>
      <c r="AM188" s="1"/>
      <c r="AN188" s="1"/>
      <c r="AO188" s="1"/>
      <c r="AP188" s="1"/>
      <c r="AQ188" s="1"/>
      <c r="AR188" s="1"/>
      <c r="AS188" s="1"/>
      <c r="AT188" s="1"/>
      <c r="AU188" s="1"/>
      <c r="AV188" s="1"/>
      <c r="AW188" s="1"/>
      <c r="AX188" s="1"/>
    </row>
    <row r="189" ht="15.75" customHeight="1">
      <c r="A189" s="16"/>
      <c r="B189" s="2"/>
      <c r="C189" s="1"/>
      <c r="D189" s="2"/>
      <c r="E189" s="66"/>
      <c r="F189" s="1"/>
      <c r="G189" s="1"/>
      <c r="H189" s="1"/>
      <c r="I189" s="1"/>
      <c r="J189" s="1"/>
      <c r="K189" s="1"/>
      <c r="L189" s="1"/>
      <c r="M189" s="1"/>
      <c r="N189" s="1"/>
      <c r="O189" s="1"/>
      <c r="P189" s="1"/>
      <c r="Q189" s="1"/>
      <c r="R189" s="1"/>
      <c r="S189" s="1"/>
      <c r="T189" s="1"/>
      <c r="U189" s="1"/>
      <c r="V189" s="1"/>
      <c r="W189" s="1"/>
      <c r="X189" s="1"/>
      <c r="Y189" s="1"/>
      <c r="Z189" s="1"/>
      <c r="AA189" s="1"/>
      <c r="AB189" s="1"/>
      <c r="AC189" s="1"/>
      <c r="AD189" s="16"/>
      <c r="AE189" s="1"/>
      <c r="AF189" s="1"/>
      <c r="AG189" s="1"/>
      <c r="AH189" s="1"/>
      <c r="AI189" s="1"/>
      <c r="AJ189" s="1"/>
      <c r="AK189" s="1"/>
      <c r="AL189" s="1"/>
      <c r="AM189" s="1"/>
      <c r="AN189" s="1"/>
      <c r="AO189" s="1"/>
      <c r="AP189" s="1"/>
      <c r="AQ189" s="1"/>
      <c r="AR189" s="1"/>
      <c r="AS189" s="1"/>
      <c r="AT189" s="1"/>
      <c r="AU189" s="1"/>
      <c r="AV189" s="1"/>
      <c r="AW189" s="1"/>
      <c r="AX189" s="1"/>
    </row>
    <row r="190" ht="15.75" customHeight="1">
      <c r="A190" s="16"/>
      <c r="B190" s="2"/>
      <c r="C190" s="1"/>
      <c r="D190" s="2"/>
      <c r="E190" s="66"/>
      <c r="F190" s="1"/>
      <c r="G190" s="1"/>
      <c r="H190" s="1"/>
      <c r="I190" s="1"/>
      <c r="J190" s="1"/>
      <c r="K190" s="1"/>
      <c r="L190" s="1"/>
      <c r="M190" s="1"/>
      <c r="N190" s="1"/>
      <c r="O190" s="1"/>
      <c r="P190" s="1"/>
      <c r="Q190" s="1"/>
      <c r="R190" s="1"/>
      <c r="S190" s="1"/>
      <c r="T190" s="1"/>
      <c r="U190" s="1"/>
      <c r="V190" s="1"/>
      <c r="W190" s="1"/>
      <c r="X190" s="1"/>
      <c r="Y190" s="1"/>
      <c r="Z190" s="1"/>
      <c r="AA190" s="1"/>
      <c r="AB190" s="1"/>
      <c r="AC190" s="1"/>
      <c r="AD190" s="16"/>
      <c r="AE190" s="1"/>
      <c r="AF190" s="1"/>
      <c r="AG190" s="1"/>
      <c r="AH190" s="1"/>
      <c r="AI190" s="1"/>
      <c r="AJ190" s="1"/>
      <c r="AK190" s="1"/>
      <c r="AL190" s="1"/>
      <c r="AM190" s="1"/>
      <c r="AN190" s="1"/>
      <c r="AO190" s="1"/>
      <c r="AP190" s="1"/>
      <c r="AQ190" s="1"/>
      <c r="AR190" s="1"/>
      <c r="AS190" s="1"/>
      <c r="AT190" s="1"/>
      <c r="AU190" s="1"/>
      <c r="AV190" s="1"/>
      <c r="AW190" s="1"/>
      <c r="AX190" s="1"/>
    </row>
    <row r="191" ht="15.75" customHeight="1">
      <c r="A191" s="16"/>
      <c r="B191" s="2"/>
      <c r="C191" s="1"/>
      <c r="D191" s="2"/>
      <c r="E191" s="66"/>
      <c r="F191" s="1"/>
      <c r="G191" s="1"/>
      <c r="H191" s="1"/>
      <c r="I191" s="1"/>
      <c r="J191" s="1"/>
      <c r="K191" s="1"/>
      <c r="L191" s="1"/>
      <c r="M191" s="1"/>
      <c r="N191" s="1"/>
      <c r="O191" s="1"/>
      <c r="P191" s="1"/>
      <c r="Q191" s="1"/>
      <c r="R191" s="1"/>
      <c r="S191" s="1"/>
      <c r="T191" s="1"/>
      <c r="U191" s="1"/>
      <c r="V191" s="1"/>
      <c r="W191" s="1"/>
      <c r="X191" s="1"/>
      <c r="Y191" s="1"/>
      <c r="Z191" s="1"/>
      <c r="AA191" s="1"/>
      <c r="AB191" s="1"/>
      <c r="AC191" s="1"/>
      <c r="AD191" s="16"/>
      <c r="AE191" s="1"/>
      <c r="AF191" s="1"/>
      <c r="AG191" s="1"/>
      <c r="AH191" s="1"/>
      <c r="AI191" s="1"/>
      <c r="AJ191" s="1"/>
      <c r="AK191" s="1"/>
      <c r="AL191" s="1"/>
      <c r="AM191" s="1"/>
      <c r="AN191" s="1"/>
      <c r="AO191" s="1"/>
      <c r="AP191" s="1"/>
      <c r="AQ191" s="1"/>
      <c r="AR191" s="1"/>
      <c r="AS191" s="1"/>
      <c r="AT191" s="1"/>
      <c r="AU191" s="1"/>
      <c r="AV191" s="1"/>
      <c r="AW191" s="1"/>
      <c r="AX191" s="1"/>
    </row>
    <row r="192" ht="15.75" customHeight="1">
      <c r="A192" s="16"/>
      <c r="B192" s="2"/>
      <c r="C192" s="1"/>
      <c r="D192" s="2"/>
      <c r="E192" s="66"/>
      <c r="F192" s="1"/>
      <c r="G192" s="1"/>
      <c r="H192" s="1"/>
      <c r="I192" s="1"/>
      <c r="J192" s="1"/>
      <c r="K192" s="1"/>
      <c r="L192" s="1"/>
      <c r="M192" s="1"/>
      <c r="N192" s="1"/>
      <c r="O192" s="1"/>
      <c r="P192" s="1"/>
      <c r="Q192" s="1"/>
      <c r="R192" s="1"/>
      <c r="S192" s="1"/>
      <c r="T192" s="1"/>
      <c r="U192" s="1"/>
      <c r="V192" s="1"/>
      <c r="W192" s="1"/>
      <c r="X192" s="1"/>
      <c r="Y192" s="1"/>
      <c r="Z192" s="1"/>
      <c r="AA192" s="1"/>
      <c r="AB192" s="1"/>
      <c r="AC192" s="1"/>
      <c r="AD192" s="16"/>
      <c r="AE192" s="1"/>
      <c r="AF192" s="1"/>
      <c r="AG192" s="1"/>
      <c r="AH192" s="1"/>
      <c r="AI192" s="1"/>
      <c r="AJ192" s="1"/>
      <c r="AK192" s="1"/>
      <c r="AL192" s="1"/>
      <c r="AM192" s="1"/>
      <c r="AN192" s="1"/>
      <c r="AO192" s="1"/>
      <c r="AP192" s="1"/>
      <c r="AQ192" s="1"/>
      <c r="AR192" s="1"/>
      <c r="AS192" s="1"/>
      <c r="AT192" s="1"/>
      <c r="AU192" s="1"/>
      <c r="AV192" s="1"/>
      <c r="AW192" s="1"/>
      <c r="AX192" s="1"/>
    </row>
    <row r="193" ht="15.75" customHeight="1">
      <c r="A193" s="16"/>
      <c r="B193" s="2"/>
      <c r="C193" s="1"/>
      <c r="D193" s="2"/>
      <c r="E193" s="66"/>
      <c r="F193" s="1"/>
      <c r="G193" s="1"/>
      <c r="H193" s="1"/>
      <c r="I193" s="1"/>
      <c r="J193" s="1"/>
      <c r="K193" s="1"/>
      <c r="L193" s="1"/>
      <c r="M193" s="1"/>
      <c r="N193" s="1"/>
      <c r="O193" s="1"/>
      <c r="P193" s="1"/>
      <c r="Q193" s="1"/>
      <c r="R193" s="1"/>
      <c r="S193" s="1"/>
      <c r="T193" s="1"/>
      <c r="U193" s="1"/>
      <c r="V193" s="1"/>
      <c r="W193" s="1"/>
      <c r="X193" s="1"/>
      <c r="Y193" s="1"/>
      <c r="Z193" s="1"/>
      <c r="AA193" s="1"/>
      <c r="AB193" s="1"/>
      <c r="AC193" s="1"/>
      <c r="AD193" s="16"/>
      <c r="AE193" s="1"/>
      <c r="AF193" s="1"/>
      <c r="AG193" s="1"/>
      <c r="AH193" s="1"/>
      <c r="AI193" s="1"/>
      <c r="AJ193" s="1"/>
      <c r="AK193" s="1"/>
      <c r="AL193" s="1"/>
      <c r="AM193" s="1"/>
      <c r="AN193" s="1"/>
      <c r="AO193" s="1"/>
      <c r="AP193" s="1"/>
      <c r="AQ193" s="1"/>
      <c r="AR193" s="1"/>
      <c r="AS193" s="1"/>
      <c r="AT193" s="1"/>
      <c r="AU193" s="1"/>
      <c r="AV193" s="1"/>
      <c r="AW193" s="1"/>
      <c r="AX193" s="1"/>
    </row>
    <row r="194" ht="15.75" customHeight="1">
      <c r="A194" s="16"/>
      <c r="B194" s="2"/>
      <c r="C194" s="1"/>
      <c r="D194" s="2"/>
      <c r="E194" s="66"/>
      <c r="F194" s="1"/>
      <c r="G194" s="1"/>
      <c r="H194" s="1"/>
      <c r="I194" s="1"/>
      <c r="J194" s="1"/>
      <c r="K194" s="1"/>
      <c r="L194" s="1"/>
      <c r="M194" s="1"/>
      <c r="N194" s="1"/>
      <c r="O194" s="1"/>
      <c r="P194" s="1"/>
      <c r="Q194" s="1"/>
      <c r="R194" s="1"/>
      <c r="S194" s="1"/>
      <c r="T194" s="1"/>
      <c r="U194" s="1"/>
      <c r="V194" s="1"/>
      <c r="W194" s="1"/>
      <c r="X194" s="1"/>
      <c r="Y194" s="1"/>
      <c r="Z194" s="1"/>
      <c r="AA194" s="1"/>
      <c r="AB194" s="1"/>
      <c r="AC194" s="1"/>
      <c r="AD194" s="16"/>
      <c r="AE194" s="1"/>
      <c r="AF194" s="1"/>
      <c r="AG194" s="1"/>
      <c r="AH194" s="1"/>
      <c r="AI194" s="1"/>
      <c r="AJ194" s="1"/>
      <c r="AK194" s="1"/>
      <c r="AL194" s="1"/>
      <c r="AM194" s="1"/>
      <c r="AN194" s="1"/>
      <c r="AO194" s="1"/>
      <c r="AP194" s="1"/>
      <c r="AQ194" s="1"/>
      <c r="AR194" s="1"/>
      <c r="AS194" s="1"/>
      <c r="AT194" s="1"/>
      <c r="AU194" s="1"/>
      <c r="AV194" s="1"/>
      <c r="AW194" s="1"/>
      <c r="AX194" s="1"/>
    </row>
    <row r="195" ht="15.75" customHeight="1">
      <c r="A195" s="16"/>
      <c r="B195" s="2"/>
      <c r="C195" s="1"/>
      <c r="D195" s="2"/>
      <c r="E195" s="66"/>
      <c r="F195" s="1"/>
      <c r="G195" s="1"/>
      <c r="H195" s="1"/>
      <c r="I195" s="1"/>
      <c r="J195" s="1"/>
      <c r="K195" s="1"/>
      <c r="L195" s="1"/>
      <c r="M195" s="1"/>
      <c r="N195" s="1"/>
      <c r="O195" s="1"/>
      <c r="P195" s="1"/>
      <c r="Q195" s="1"/>
      <c r="R195" s="1"/>
      <c r="S195" s="1"/>
      <c r="T195" s="1"/>
      <c r="U195" s="1"/>
      <c r="V195" s="1"/>
      <c r="W195" s="1"/>
      <c r="X195" s="1"/>
      <c r="Y195" s="1"/>
      <c r="Z195" s="1"/>
      <c r="AA195" s="1"/>
      <c r="AB195" s="1"/>
      <c r="AC195" s="1"/>
      <c r="AD195" s="16"/>
      <c r="AE195" s="1"/>
      <c r="AF195" s="1"/>
      <c r="AG195" s="1"/>
      <c r="AH195" s="1"/>
      <c r="AI195" s="1"/>
      <c r="AJ195" s="1"/>
      <c r="AK195" s="1"/>
      <c r="AL195" s="1"/>
      <c r="AM195" s="1"/>
      <c r="AN195" s="1"/>
      <c r="AO195" s="1"/>
      <c r="AP195" s="1"/>
      <c r="AQ195" s="1"/>
      <c r="AR195" s="1"/>
      <c r="AS195" s="1"/>
      <c r="AT195" s="1"/>
      <c r="AU195" s="1"/>
      <c r="AV195" s="1"/>
      <c r="AW195" s="1"/>
      <c r="AX195" s="1"/>
    </row>
    <row r="196" ht="15.75" customHeight="1">
      <c r="A196" s="16"/>
      <c r="B196" s="2"/>
      <c r="C196" s="1"/>
      <c r="D196" s="2"/>
      <c r="E196" s="66"/>
      <c r="F196" s="1"/>
      <c r="G196" s="1"/>
      <c r="H196" s="1"/>
      <c r="I196" s="1"/>
      <c r="J196" s="1"/>
      <c r="K196" s="1"/>
      <c r="L196" s="1"/>
      <c r="M196" s="1"/>
      <c r="N196" s="1"/>
      <c r="O196" s="1"/>
      <c r="P196" s="1"/>
      <c r="Q196" s="1"/>
      <c r="R196" s="1"/>
      <c r="S196" s="1"/>
      <c r="T196" s="1"/>
      <c r="U196" s="1"/>
      <c r="V196" s="1"/>
      <c r="W196" s="1"/>
      <c r="X196" s="1"/>
      <c r="Y196" s="1"/>
      <c r="Z196" s="1"/>
      <c r="AA196" s="1"/>
      <c r="AB196" s="1"/>
      <c r="AC196" s="1"/>
      <c r="AD196" s="16"/>
      <c r="AE196" s="1"/>
      <c r="AF196" s="1"/>
      <c r="AG196" s="1"/>
      <c r="AH196" s="1"/>
      <c r="AI196" s="1"/>
      <c r="AJ196" s="1"/>
      <c r="AK196" s="1"/>
      <c r="AL196" s="1"/>
      <c r="AM196" s="1"/>
      <c r="AN196" s="1"/>
      <c r="AO196" s="1"/>
      <c r="AP196" s="1"/>
      <c r="AQ196" s="1"/>
      <c r="AR196" s="1"/>
      <c r="AS196" s="1"/>
      <c r="AT196" s="1"/>
      <c r="AU196" s="1"/>
      <c r="AV196" s="1"/>
      <c r="AW196" s="1"/>
      <c r="AX196" s="1"/>
    </row>
    <row r="197" ht="15.75" customHeight="1">
      <c r="A197" s="16"/>
      <c r="B197" s="2"/>
      <c r="C197" s="1"/>
      <c r="D197" s="2"/>
      <c r="E197" s="66"/>
      <c r="F197" s="1"/>
      <c r="G197" s="1"/>
      <c r="H197" s="1"/>
      <c r="I197" s="1"/>
      <c r="J197" s="1"/>
      <c r="K197" s="1"/>
      <c r="L197" s="1"/>
      <c r="M197" s="1"/>
      <c r="N197" s="1"/>
      <c r="O197" s="1"/>
      <c r="P197" s="1"/>
      <c r="Q197" s="1"/>
      <c r="R197" s="1"/>
      <c r="S197" s="1"/>
      <c r="T197" s="1"/>
      <c r="U197" s="1"/>
      <c r="V197" s="1"/>
      <c r="W197" s="1"/>
      <c r="X197" s="1"/>
      <c r="Y197" s="1"/>
      <c r="Z197" s="1"/>
      <c r="AA197" s="1"/>
      <c r="AB197" s="1"/>
      <c r="AC197" s="1"/>
      <c r="AD197" s="16"/>
      <c r="AE197" s="1"/>
      <c r="AF197" s="1"/>
      <c r="AG197" s="1"/>
      <c r="AH197" s="1"/>
      <c r="AI197" s="1"/>
      <c r="AJ197" s="1"/>
      <c r="AK197" s="1"/>
      <c r="AL197" s="1"/>
      <c r="AM197" s="1"/>
      <c r="AN197" s="1"/>
      <c r="AO197" s="1"/>
      <c r="AP197" s="1"/>
      <c r="AQ197" s="1"/>
      <c r="AR197" s="1"/>
      <c r="AS197" s="1"/>
      <c r="AT197" s="1"/>
      <c r="AU197" s="1"/>
      <c r="AV197" s="1"/>
      <c r="AW197" s="1"/>
      <c r="AX197" s="1"/>
    </row>
    <row r="198" ht="15.75" customHeight="1">
      <c r="A198" s="16"/>
      <c r="B198" s="2"/>
      <c r="C198" s="1"/>
      <c r="D198" s="2"/>
      <c r="E198" s="66"/>
      <c r="F198" s="1"/>
      <c r="G198" s="1"/>
      <c r="H198" s="1"/>
      <c r="I198" s="1"/>
      <c r="J198" s="1"/>
      <c r="K198" s="1"/>
      <c r="L198" s="1"/>
      <c r="M198" s="1"/>
      <c r="N198" s="1"/>
      <c r="O198" s="1"/>
      <c r="P198" s="1"/>
      <c r="Q198" s="1"/>
      <c r="R198" s="1"/>
      <c r="S198" s="1"/>
      <c r="T198" s="1"/>
      <c r="U198" s="1"/>
      <c r="V198" s="1"/>
      <c r="W198" s="1"/>
      <c r="X198" s="1"/>
      <c r="Y198" s="1"/>
      <c r="Z198" s="1"/>
      <c r="AA198" s="1"/>
      <c r="AB198" s="1"/>
      <c r="AC198" s="1"/>
      <c r="AD198" s="16"/>
      <c r="AE198" s="1"/>
      <c r="AF198" s="1"/>
      <c r="AG198" s="1"/>
      <c r="AH198" s="1"/>
      <c r="AI198" s="1"/>
      <c r="AJ198" s="1"/>
      <c r="AK198" s="1"/>
      <c r="AL198" s="1"/>
      <c r="AM198" s="1"/>
      <c r="AN198" s="1"/>
      <c r="AO198" s="1"/>
      <c r="AP198" s="1"/>
      <c r="AQ198" s="1"/>
      <c r="AR198" s="1"/>
      <c r="AS198" s="1"/>
      <c r="AT198" s="1"/>
      <c r="AU198" s="1"/>
      <c r="AV198" s="1"/>
      <c r="AW198" s="1"/>
      <c r="AX198" s="1"/>
    </row>
    <row r="199" ht="15.75" customHeight="1">
      <c r="A199" s="16"/>
      <c r="B199" s="2"/>
      <c r="C199" s="1"/>
      <c r="D199" s="2"/>
      <c r="E199" s="66"/>
      <c r="F199" s="1"/>
      <c r="G199" s="1"/>
      <c r="H199" s="1"/>
      <c r="I199" s="1"/>
      <c r="J199" s="1"/>
      <c r="K199" s="1"/>
      <c r="L199" s="1"/>
      <c r="M199" s="1"/>
      <c r="N199" s="1"/>
      <c r="O199" s="1"/>
      <c r="P199" s="1"/>
      <c r="Q199" s="1"/>
      <c r="R199" s="1"/>
      <c r="S199" s="1"/>
      <c r="T199" s="1"/>
      <c r="U199" s="1"/>
      <c r="V199" s="1"/>
      <c r="W199" s="1"/>
      <c r="X199" s="1"/>
      <c r="Y199" s="1"/>
      <c r="Z199" s="1"/>
      <c r="AA199" s="1"/>
      <c r="AB199" s="1"/>
      <c r="AC199" s="1"/>
      <c r="AD199" s="16"/>
      <c r="AE199" s="1"/>
      <c r="AF199" s="1"/>
      <c r="AG199" s="1"/>
      <c r="AH199" s="1"/>
      <c r="AI199" s="1"/>
      <c r="AJ199" s="1"/>
      <c r="AK199" s="1"/>
      <c r="AL199" s="1"/>
      <c r="AM199" s="1"/>
      <c r="AN199" s="1"/>
      <c r="AO199" s="1"/>
      <c r="AP199" s="1"/>
      <c r="AQ199" s="1"/>
      <c r="AR199" s="1"/>
      <c r="AS199" s="1"/>
      <c r="AT199" s="1"/>
      <c r="AU199" s="1"/>
      <c r="AV199" s="1"/>
      <c r="AW199" s="1"/>
      <c r="AX199" s="1"/>
    </row>
    <row r="200" ht="15.75" customHeight="1">
      <c r="A200" s="16"/>
      <c r="B200" s="2"/>
      <c r="C200" s="1"/>
      <c r="D200" s="2"/>
      <c r="E200" s="66"/>
      <c r="F200" s="2"/>
      <c r="G200" s="1"/>
      <c r="H200" s="1"/>
      <c r="I200" s="1"/>
      <c r="J200" s="1"/>
      <c r="K200" s="1"/>
      <c r="L200" s="1"/>
      <c r="M200" s="1"/>
      <c r="N200" s="1"/>
      <c r="O200" s="1"/>
      <c r="P200" s="1"/>
      <c r="Q200" s="1"/>
      <c r="R200" s="1"/>
      <c r="S200" s="1"/>
      <c r="T200" s="1"/>
      <c r="U200" s="1"/>
      <c r="V200" s="1"/>
      <c r="W200" s="1"/>
      <c r="X200" s="1"/>
      <c r="Y200" s="1"/>
      <c r="Z200" s="1"/>
      <c r="AA200" s="1"/>
      <c r="AB200" s="1"/>
      <c r="AC200" s="1"/>
      <c r="AD200" s="67"/>
      <c r="AE200" s="1"/>
      <c r="AF200" s="1"/>
      <c r="AG200" s="1"/>
      <c r="AH200" s="1"/>
      <c r="AI200" s="1"/>
      <c r="AJ200" s="1"/>
      <c r="AK200" s="1"/>
      <c r="AL200" s="1"/>
      <c r="AM200" s="1"/>
      <c r="AN200" s="1"/>
      <c r="AO200" s="1"/>
      <c r="AP200" s="1"/>
      <c r="AQ200" s="1"/>
      <c r="AR200" s="1"/>
      <c r="AS200" s="1"/>
      <c r="AT200" s="1"/>
      <c r="AU200" s="1"/>
      <c r="AV200" s="1"/>
      <c r="AW200" s="1"/>
      <c r="AX200" s="1"/>
    </row>
    <row r="201" ht="15.75" customHeight="1">
      <c r="A201" s="67"/>
      <c r="B201" s="2"/>
      <c r="C201" s="1"/>
      <c r="D201" s="2"/>
      <c r="E201" s="66"/>
      <c r="F201" s="1"/>
      <c r="G201" s="1"/>
      <c r="H201" s="1"/>
      <c r="I201" s="1"/>
      <c r="J201" s="1"/>
      <c r="K201" s="1"/>
      <c r="L201" s="1"/>
      <c r="M201" s="1"/>
      <c r="N201" s="1"/>
      <c r="O201" s="1"/>
      <c r="P201" s="1"/>
      <c r="Q201" s="1"/>
      <c r="R201" s="1"/>
      <c r="S201" s="1"/>
      <c r="T201" s="1"/>
      <c r="U201" s="1"/>
      <c r="V201" s="1"/>
      <c r="W201" s="1"/>
      <c r="X201" s="1"/>
      <c r="Y201" s="1"/>
      <c r="Z201" s="1"/>
      <c r="AA201" s="1"/>
      <c r="AB201" s="1"/>
      <c r="AC201" s="1"/>
      <c r="AD201" s="67"/>
      <c r="AE201" s="1"/>
      <c r="AF201" s="1"/>
      <c r="AG201" s="1"/>
      <c r="AH201" s="1"/>
      <c r="AI201" s="1"/>
      <c r="AJ201" s="1"/>
      <c r="AK201" s="1"/>
      <c r="AL201" s="1"/>
      <c r="AM201" s="1"/>
      <c r="AN201" s="1"/>
      <c r="AO201" s="1"/>
      <c r="AP201" s="1"/>
      <c r="AQ201" s="1"/>
      <c r="AR201" s="1"/>
      <c r="AS201" s="1"/>
      <c r="AT201" s="1"/>
      <c r="AU201" s="1"/>
      <c r="AV201" s="1"/>
      <c r="AW201" s="1"/>
      <c r="AX201" s="1"/>
    </row>
    <row r="202" ht="15.75" customHeight="1">
      <c r="A202" s="67"/>
      <c r="B202" s="2"/>
      <c r="C202" s="1"/>
      <c r="D202" s="2"/>
      <c r="E202" s="66"/>
      <c r="F202" s="2"/>
      <c r="G202" s="5"/>
      <c r="H202" s="1"/>
      <c r="I202" s="1"/>
      <c r="J202" s="1"/>
      <c r="K202" s="1"/>
      <c r="L202" s="1"/>
      <c r="M202" s="1"/>
      <c r="N202" s="1"/>
      <c r="O202" s="1"/>
      <c r="P202" s="1"/>
      <c r="Q202" s="1"/>
      <c r="R202" s="1"/>
      <c r="S202" s="1"/>
      <c r="T202" s="1"/>
      <c r="U202" s="1"/>
      <c r="V202" s="1"/>
      <c r="W202" s="1"/>
      <c r="X202" s="1"/>
      <c r="Y202" s="1"/>
      <c r="Z202" s="1"/>
      <c r="AA202" s="1"/>
      <c r="AB202" s="1"/>
      <c r="AC202" s="1"/>
      <c r="AD202" s="67"/>
      <c r="AE202" s="1"/>
      <c r="AF202" s="1"/>
      <c r="AG202" s="1"/>
      <c r="AH202" s="1"/>
      <c r="AI202" s="1"/>
      <c r="AJ202" s="1"/>
      <c r="AK202" s="1"/>
      <c r="AL202" s="1"/>
      <c r="AM202" s="1"/>
      <c r="AN202" s="1"/>
      <c r="AO202" s="1"/>
      <c r="AP202" s="1"/>
      <c r="AQ202" s="1"/>
      <c r="AR202" s="1"/>
      <c r="AS202" s="1"/>
      <c r="AT202" s="1"/>
      <c r="AU202" s="1"/>
      <c r="AV202" s="1"/>
      <c r="AW202" s="1"/>
      <c r="AX202" s="1"/>
    </row>
    <row r="203" ht="15.75" customHeight="1">
      <c r="A203" s="67"/>
      <c r="B203" s="2"/>
      <c r="C203" s="1"/>
      <c r="D203" s="2"/>
      <c r="E203" s="66"/>
      <c r="F203" s="1"/>
      <c r="G203" s="1"/>
      <c r="H203" s="1"/>
      <c r="I203" s="1"/>
      <c r="J203" s="1"/>
      <c r="K203" s="1"/>
      <c r="L203" s="1"/>
      <c r="M203" s="1"/>
      <c r="N203" s="1"/>
      <c r="O203" s="1"/>
      <c r="P203" s="1"/>
      <c r="Q203" s="1"/>
      <c r="R203" s="1"/>
      <c r="S203" s="1"/>
      <c r="T203" s="1"/>
      <c r="U203" s="1"/>
      <c r="V203" s="1"/>
      <c r="W203" s="1"/>
      <c r="X203" s="1"/>
      <c r="Y203" s="1"/>
      <c r="Z203" s="1"/>
      <c r="AA203" s="1"/>
      <c r="AB203" s="1"/>
      <c r="AC203" s="1"/>
      <c r="AD203" s="67"/>
      <c r="AE203" s="1"/>
      <c r="AF203" s="1"/>
      <c r="AG203" s="1"/>
      <c r="AH203" s="1"/>
      <c r="AI203" s="1"/>
      <c r="AJ203" s="1"/>
      <c r="AK203" s="1"/>
      <c r="AL203" s="1"/>
      <c r="AM203" s="1"/>
      <c r="AN203" s="1"/>
      <c r="AO203" s="1"/>
      <c r="AP203" s="1"/>
      <c r="AQ203" s="1"/>
      <c r="AR203" s="1"/>
      <c r="AS203" s="1"/>
      <c r="AT203" s="1"/>
      <c r="AU203" s="1"/>
      <c r="AV203" s="1"/>
      <c r="AW203" s="1"/>
      <c r="AX203" s="1"/>
    </row>
    <row r="204" ht="15.75" customHeight="1">
      <c r="A204" s="67"/>
      <c r="B204" s="2"/>
      <c r="C204" s="1"/>
      <c r="D204" s="2"/>
      <c r="E204" s="66"/>
      <c r="F204" s="1"/>
      <c r="G204" s="1"/>
      <c r="H204" s="1"/>
      <c r="I204" s="1"/>
      <c r="J204" s="1"/>
      <c r="K204" s="1"/>
      <c r="L204" s="1"/>
      <c r="M204" s="1"/>
      <c r="N204" s="1"/>
      <c r="O204" s="1"/>
      <c r="P204" s="1"/>
      <c r="Q204" s="1"/>
      <c r="R204" s="1"/>
      <c r="S204" s="1"/>
      <c r="T204" s="1"/>
      <c r="U204" s="1"/>
      <c r="V204" s="1"/>
      <c r="W204" s="1"/>
      <c r="X204" s="1"/>
      <c r="Y204" s="1"/>
      <c r="Z204" s="1"/>
      <c r="AA204" s="1"/>
      <c r="AB204" s="1"/>
      <c r="AC204" s="1"/>
      <c r="AD204" s="67"/>
      <c r="AE204" s="1"/>
      <c r="AF204" s="1"/>
      <c r="AG204" s="1"/>
      <c r="AH204" s="1"/>
      <c r="AI204" s="1"/>
      <c r="AJ204" s="1"/>
      <c r="AK204" s="1"/>
      <c r="AL204" s="1"/>
      <c r="AM204" s="1"/>
      <c r="AN204" s="1"/>
      <c r="AO204" s="1"/>
      <c r="AP204" s="1"/>
      <c r="AQ204" s="1"/>
      <c r="AR204" s="1"/>
      <c r="AS204" s="1"/>
      <c r="AT204" s="1"/>
      <c r="AU204" s="1"/>
      <c r="AV204" s="1"/>
      <c r="AW204" s="1"/>
      <c r="AX204" s="1"/>
    </row>
    <row r="205" ht="15.75" customHeight="1">
      <c r="A205" s="2"/>
      <c r="B205" s="2"/>
      <c r="C205" s="1"/>
      <c r="D205" s="2"/>
      <c r="E205" s="66"/>
      <c r="F205" s="1"/>
      <c r="G205" s="1"/>
      <c r="H205" s="1"/>
      <c r="I205" s="1"/>
      <c r="J205" s="1"/>
      <c r="K205" s="1"/>
      <c r="L205" s="1"/>
      <c r="M205" s="1"/>
      <c r="N205" s="1"/>
      <c r="O205" s="1"/>
      <c r="P205" s="1"/>
      <c r="Q205" s="1"/>
      <c r="R205" s="1"/>
      <c r="S205" s="1"/>
      <c r="T205" s="1"/>
      <c r="U205" s="1"/>
      <c r="V205" s="1"/>
      <c r="W205" s="1"/>
      <c r="X205" s="1"/>
      <c r="Y205" s="1"/>
      <c r="Z205" s="1"/>
      <c r="AA205" s="1"/>
      <c r="AB205" s="1"/>
      <c r="AC205" s="1"/>
      <c r="AD205" s="67"/>
      <c r="AE205" s="1"/>
      <c r="AF205" s="1"/>
      <c r="AG205" s="1"/>
      <c r="AH205" s="1"/>
      <c r="AI205" s="1"/>
      <c r="AJ205" s="1"/>
      <c r="AK205" s="1"/>
      <c r="AL205" s="1"/>
      <c r="AM205" s="1"/>
      <c r="AN205" s="1"/>
      <c r="AO205" s="1"/>
      <c r="AP205" s="1"/>
      <c r="AQ205" s="1"/>
      <c r="AR205" s="1"/>
      <c r="AS205" s="1"/>
      <c r="AT205" s="1"/>
      <c r="AU205" s="1"/>
      <c r="AV205" s="1"/>
      <c r="AW205" s="1"/>
      <c r="AX205" s="1"/>
    </row>
    <row r="206" ht="15.75" customHeight="1">
      <c r="A206" s="67"/>
      <c r="B206" s="1"/>
      <c r="C206" s="1"/>
      <c r="D206" s="2"/>
      <c r="E206" s="66"/>
      <c r="F206" s="1"/>
      <c r="G206" s="1"/>
      <c r="H206" s="1"/>
      <c r="I206" s="1"/>
      <c r="J206" s="1"/>
      <c r="K206" s="1"/>
      <c r="L206" s="1"/>
      <c r="M206" s="1"/>
      <c r="N206" s="1"/>
      <c r="O206" s="1"/>
      <c r="P206" s="1"/>
      <c r="Q206" s="1"/>
      <c r="R206" s="1"/>
      <c r="S206" s="1"/>
      <c r="T206" s="1"/>
      <c r="U206" s="1"/>
      <c r="V206" s="1"/>
      <c r="W206" s="1"/>
      <c r="X206" s="1"/>
      <c r="Y206" s="1"/>
      <c r="Z206" s="1"/>
      <c r="AA206" s="1"/>
      <c r="AB206" s="1"/>
      <c r="AC206" s="1"/>
      <c r="AD206" s="67"/>
      <c r="AE206" s="1"/>
      <c r="AF206" s="1"/>
      <c r="AG206" s="1"/>
      <c r="AH206" s="1"/>
      <c r="AI206" s="1"/>
      <c r="AJ206" s="1"/>
      <c r="AK206" s="1"/>
      <c r="AL206" s="1"/>
      <c r="AM206" s="1"/>
      <c r="AN206" s="1"/>
      <c r="AO206" s="1"/>
      <c r="AP206" s="1"/>
      <c r="AQ206" s="1"/>
      <c r="AR206" s="1"/>
      <c r="AS206" s="1"/>
      <c r="AT206" s="1"/>
      <c r="AU206" s="1"/>
      <c r="AV206" s="1"/>
      <c r="AW206" s="1"/>
      <c r="AX206" s="1"/>
    </row>
    <row r="207" ht="15.75" customHeight="1">
      <c r="A207" s="2"/>
      <c r="B207" s="2"/>
      <c r="C207" s="1"/>
      <c r="D207" s="2"/>
      <c r="E207" s="66"/>
      <c r="F207" s="2"/>
      <c r="G207" s="2"/>
      <c r="H207" s="1"/>
      <c r="I207" s="1"/>
      <c r="J207" s="2"/>
      <c r="K207" s="1"/>
      <c r="L207" s="1"/>
      <c r="M207" s="1"/>
      <c r="N207" s="1"/>
      <c r="O207" s="1"/>
      <c r="P207" s="1"/>
      <c r="Q207" s="1"/>
      <c r="R207" s="1"/>
      <c r="S207" s="1"/>
      <c r="T207" s="1"/>
      <c r="U207" s="1"/>
      <c r="V207" s="1"/>
      <c r="W207" s="1"/>
      <c r="X207" s="1"/>
      <c r="Y207" s="1"/>
      <c r="Z207" s="1"/>
      <c r="AA207" s="1"/>
      <c r="AB207" s="1"/>
      <c r="AC207" s="1"/>
      <c r="AD207" s="67"/>
      <c r="AE207" s="1"/>
      <c r="AF207" s="1"/>
      <c r="AG207" s="1"/>
      <c r="AH207" s="1"/>
      <c r="AI207" s="1"/>
      <c r="AJ207" s="1"/>
      <c r="AK207" s="1"/>
      <c r="AL207" s="1"/>
      <c r="AM207" s="1"/>
      <c r="AN207" s="1"/>
      <c r="AO207" s="1"/>
      <c r="AP207" s="1"/>
      <c r="AQ207" s="1"/>
      <c r="AR207" s="1"/>
      <c r="AS207" s="1"/>
      <c r="AT207" s="1"/>
      <c r="AU207" s="1"/>
      <c r="AV207" s="1"/>
      <c r="AW207" s="1"/>
      <c r="AX207" s="1"/>
    </row>
    <row r="208" ht="15.75" customHeight="1">
      <c r="A208" s="2"/>
      <c r="B208" s="2"/>
      <c r="C208" s="1"/>
      <c r="D208" s="2"/>
      <c r="E208" s="66"/>
      <c r="F208" s="1"/>
      <c r="G208" s="1"/>
      <c r="H208" s="1"/>
      <c r="I208" s="1"/>
      <c r="J208" s="1"/>
      <c r="K208" s="1"/>
      <c r="L208" s="1"/>
      <c r="M208" s="1"/>
      <c r="N208" s="1"/>
      <c r="O208" s="1"/>
      <c r="P208" s="1"/>
      <c r="Q208" s="1"/>
      <c r="R208" s="1"/>
      <c r="S208" s="1"/>
      <c r="T208" s="1"/>
      <c r="U208" s="1"/>
      <c r="V208" s="1"/>
      <c r="W208" s="1"/>
      <c r="X208" s="1"/>
      <c r="Y208" s="1"/>
      <c r="Z208" s="1"/>
      <c r="AA208" s="1"/>
      <c r="AB208" s="1"/>
      <c r="AC208" s="1"/>
      <c r="AD208" s="67"/>
      <c r="AE208" s="1"/>
      <c r="AF208" s="1"/>
      <c r="AG208" s="1"/>
      <c r="AH208" s="1"/>
      <c r="AI208" s="1"/>
      <c r="AJ208" s="1"/>
      <c r="AK208" s="1"/>
      <c r="AL208" s="1"/>
      <c r="AM208" s="1"/>
      <c r="AN208" s="1"/>
      <c r="AO208" s="1"/>
      <c r="AP208" s="1"/>
      <c r="AQ208" s="1"/>
      <c r="AR208" s="1"/>
      <c r="AS208" s="1"/>
      <c r="AT208" s="1"/>
      <c r="AU208" s="1"/>
      <c r="AV208" s="1"/>
      <c r="AW208" s="1"/>
      <c r="AX208" s="1"/>
    </row>
    <row r="209" ht="15.75" customHeight="1">
      <c r="A209" s="2"/>
      <c r="B209" s="2"/>
      <c r="C209" s="1"/>
      <c r="D209" s="2"/>
      <c r="E209" s="66"/>
      <c r="F209" s="1"/>
      <c r="G209" s="1"/>
      <c r="H209" s="1"/>
      <c r="I209" s="1"/>
      <c r="J209" s="1"/>
      <c r="K209" s="1"/>
      <c r="L209" s="1"/>
      <c r="M209" s="1"/>
      <c r="N209" s="1"/>
      <c r="O209" s="1"/>
      <c r="P209" s="1"/>
      <c r="Q209" s="1"/>
      <c r="R209" s="1"/>
      <c r="S209" s="1"/>
      <c r="T209" s="1"/>
      <c r="U209" s="1"/>
      <c r="V209" s="1"/>
      <c r="W209" s="1"/>
      <c r="X209" s="1"/>
      <c r="Y209" s="1"/>
      <c r="Z209" s="1"/>
      <c r="AA209" s="1"/>
      <c r="AB209" s="1"/>
      <c r="AC209" s="1"/>
      <c r="AD209" s="67"/>
      <c r="AE209" s="1"/>
      <c r="AF209" s="1"/>
      <c r="AG209" s="1"/>
      <c r="AH209" s="1"/>
      <c r="AI209" s="1"/>
      <c r="AJ209" s="1"/>
      <c r="AK209" s="1"/>
      <c r="AL209" s="1"/>
      <c r="AM209" s="1"/>
      <c r="AN209" s="1"/>
      <c r="AO209" s="1"/>
      <c r="AP209" s="1"/>
      <c r="AQ209" s="1"/>
      <c r="AR209" s="1"/>
      <c r="AS209" s="1"/>
      <c r="AT209" s="1"/>
      <c r="AU209" s="1"/>
      <c r="AV209" s="1"/>
      <c r="AW209" s="1"/>
      <c r="AX209" s="1"/>
    </row>
    <row r="210" ht="15.75" customHeight="1">
      <c r="A210" s="67"/>
      <c r="B210" s="2"/>
      <c r="C210" s="1"/>
      <c r="D210" s="2"/>
      <c r="E210" s="66"/>
      <c r="F210" s="2"/>
      <c r="G210" s="1"/>
      <c r="H210" s="1"/>
      <c r="I210" s="1"/>
      <c r="J210" s="2"/>
      <c r="K210" s="1"/>
      <c r="L210" s="1"/>
      <c r="M210" s="1"/>
      <c r="N210" s="1"/>
      <c r="O210" s="1"/>
      <c r="P210" s="1"/>
      <c r="Q210" s="1"/>
      <c r="R210" s="1"/>
      <c r="S210" s="1"/>
      <c r="T210" s="1"/>
      <c r="U210" s="1"/>
      <c r="V210" s="1"/>
      <c r="W210" s="1"/>
      <c r="X210" s="1"/>
      <c r="Y210" s="1"/>
      <c r="Z210" s="1"/>
      <c r="AA210" s="1"/>
      <c r="AB210" s="1"/>
      <c r="AC210" s="1"/>
      <c r="AD210" s="2"/>
      <c r="AE210" s="1"/>
      <c r="AF210" s="1"/>
      <c r="AG210" s="1"/>
      <c r="AH210" s="1"/>
      <c r="AI210" s="1"/>
      <c r="AJ210" s="1"/>
      <c r="AK210" s="1"/>
      <c r="AL210" s="1"/>
      <c r="AM210" s="1"/>
      <c r="AN210" s="1"/>
      <c r="AO210" s="1"/>
      <c r="AP210" s="1"/>
      <c r="AQ210" s="1"/>
      <c r="AR210" s="1"/>
      <c r="AS210" s="1"/>
      <c r="AT210" s="1"/>
      <c r="AU210" s="1"/>
      <c r="AV210" s="1"/>
      <c r="AW210" s="1"/>
      <c r="AX210" s="1"/>
    </row>
    <row r="211" ht="15.75" customHeight="1">
      <c r="A211" s="2"/>
      <c r="B211" s="2"/>
      <c r="C211" s="1"/>
      <c r="D211" s="2"/>
      <c r="E211" s="66"/>
      <c r="F211" s="1"/>
      <c r="G211" s="1"/>
      <c r="H211" s="1"/>
      <c r="I211" s="1"/>
      <c r="J211" s="1"/>
      <c r="K211" s="1"/>
      <c r="L211" s="1"/>
      <c r="M211" s="1"/>
      <c r="N211" s="1"/>
      <c r="O211" s="1"/>
      <c r="P211" s="1"/>
      <c r="Q211" s="1"/>
      <c r="R211" s="1"/>
      <c r="S211" s="1"/>
      <c r="T211" s="1"/>
      <c r="U211" s="1"/>
      <c r="V211" s="1"/>
      <c r="W211" s="1"/>
      <c r="X211" s="1"/>
      <c r="Y211" s="1"/>
      <c r="Z211" s="1"/>
      <c r="AA211" s="1"/>
      <c r="AB211" s="1"/>
      <c r="AC211" s="1"/>
      <c r="AD211" s="67"/>
      <c r="AE211" s="1"/>
      <c r="AF211" s="1"/>
      <c r="AG211" s="1"/>
      <c r="AH211" s="1"/>
      <c r="AI211" s="1"/>
      <c r="AJ211" s="1"/>
      <c r="AK211" s="1"/>
      <c r="AL211" s="1"/>
      <c r="AM211" s="1"/>
      <c r="AN211" s="1"/>
      <c r="AO211" s="1"/>
      <c r="AP211" s="1"/>
      <c r="AQ211" s="1"/>
      <c r="AR211" s="1"/>
      <c r="AS211" s="1"/>
      <c r="AT211" s="1"/>
      <c r="AU211" s="1"/>
      <c r="AV211" s="1"/>
      <c r="AW211" s="1"/>
      <c r="AX211" s="1"/>
    </row>
    <row r="212" ht="15.75" customHeight="1">
      <c r="A212" s="2"/>
      <c r="B212" s="2"/>
      <c r="C212" s="1"/>
      <c r="D212" s="2"/>
      <c r="E212" s="66"/>
      <c r="F212" s="1"/>
      <c r="G212" s="1"/>
      <c r="H212" s="1"/>
      <c r="I212" s="1"/>
      <c r="J212" s="1"/>
      <c r="K212" s="1"/>
      <c r="L212" s="1"/>
      <c r="M212" s="1"/>
      <c r="N212" s="1"/>
      <c r="O212" s="1"/>
      <c r="P212" s="1"/>
      <c r="Q212" s="1"/>
      <c r="R212" s="1"/>
      <c r="S212" s="1"/>
      <c r="T212" s="1"/>
      <c r="U212" s="1"/>
      <c r="V212" s="1"/>
      <c r="W212" s="1"/>
      <c r="X212" s="1"/>
      <c r="Y212" s="1"/>
      <c r="Z212" s="1"/>
      <c r="AA212" s="1"/>
      <c r="AB212" s="1"/>
      <c r="AC212" s="1"/>
      <c r="AD212" s="2"/>
      <c r="AE212" s="1"/>
      <c r="AF212" s="1"/>
      <c r="AG212" s="1"/>
      <c r="AH212" s="1"/>
      <c r="AI212" s="1"/>
      <c r="AJ212" s="1"/>
      <c r="AK212" s="1"/>
      <c r="AL212" s="1"/>
      <c r="AM212" s="1"/>
      <c r="AN212" s="1"/>
      <c r="AO212" s="1"/>
      <c r="AP212" s="1"/>
      <c r="AQ212" s="1"/>
      <c r="AR212" s="1"/>
      <c r="AS212" s="1"/>
      <c r="AT212" s="1"/>
      <c r="AU212" s="1"/>
      <c r="AV212" s="1"/>
      <c r="AW212" s="1"/>
      <c r="AX212" s="1"/>
    </row>
    <row r="213" ht="15.75" customHeight="1">
      <c r="A213" s="2"/>
      <c r="B213" s="2"/>
      <c r="C213" s="1"/>
      <c r="D213" s="2"/>
      <c r="E213" s="66"/>
      <c r="F213" s="2"/>
      <c r="G213" s="2"/>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row>
    <row r="214" ht="15.75" customHeight="1">
      <c r="A214" s="2"/>
      <c r="B214" s="2"/>
      <c r="C214" s="1"/>
      <c r="D214" s="2"/>
      <c r="E214" s="66"/>
      <c r="F214" s="2"/>
      <c r="G214" s="2"/>
      <c r="H214" s="1"/>
      <c r="I214" s="1"/>
      <c r="J214" s="1"/>
      <c r="K214" s="1"/>
      <c r="L214" s="1"/>
      <c r="M214" s="1"/>
      <c r="N214" s="1"/>
      <c r="O214" s="1"/>
      <c r="P214" s="1"/>
      <c r="Q214" s="1"/>
      <c r="R214" s="1"/>
      <c r="S214" s="1"/>
      <c r="T214" s="1"/>
      <c r="U214" s="1"/>
      <c r="V214" s="1"/>
      <c r="W214" s="1"/>
      <c r="X214" s="1"/>
      <c r="Y214" s="1"/>
      <c r="Z214" s="1"/>
      <c r="AA214" s="1"/>
      <c r="AB214" s="1"/>
      <c r="AC214" s="1"/>
      <c r="AD214" s="2"/>
      <c r="AE214" s="1"/>
      <c r="AF214" s="1"/>
      <c r="AG214" s="1"/>
      <c r="AH214" s="1"/>
      <c r="AI214" s="1"/>
      <c r="AJ214" s="1"/>
      <c r="AK214" s="1"/>
      <c r="AL214" s="1"/>
      <c r="AM214" s="1"/>
      <c r="AN214" s="1"/>
      <c r="AO214" s="1"/>
      <c r="AP214" s="1"/>
      <c r="AQ214" s="1"/>
      <c r="AR214" s="1"/>
      <c r="AS214" s="1"/>
      <c r="AT214" s="1"/>
      <c r="AU214" s="1"/>
      <c r="AV214" s="1"/>
      <c r="AW214" s="1"/>
      <c r="AX214" s="1"/>
    </row>
    <row r="215" ht="15.75" customHeight="1">
      <c r="A215" s="67"/>
      <c r="B215" s="2"/>
      <c r="C215" s="1"/>
      <c r="D215" s="2"/>
      <c r="E215" s="66"/>
      <c r="F215" s="2"/>
      <c r="G215" s="2"/>
      <c r="H215" s="1"/>
      <c r="I215" s="1"/>
      <c r="J215" s="1"/>
      <c r="K215" s="1"/>
      <c r="L215" s="1"/>
      <c r="M215" s="1"/>
      <c r="N215" s="1"/>
      <c r="O215" s="1"/>
      <c r="P215" s="1"/>
      <c r="Q215" s="1"/>
      <c r="R215" s="1"/>
      <c r="S215" s="1"/>
      <c r="T215" s="1"/>
      <c r="U215" s="1"/>
      <c r="V215" s="1"/>
      <c r="W215" s="1"/>
      <c r="X215" s="1"/>
      <c r="Y215" s="1"/>
      <c r="Z215" s="1"/>
      <c r="AA215" s="1"/>
      <c r="AB215" s="1"/>
      <c r="AC215" s="1"/>
      <c r="AD215" s="67"/>
      <c r="AE215" s="1"/>
      <c r="AF215" s="1"/>
      <c r="AG215" s="1"/>
      <c r="AH215" s="1"/>
      <c r="AI215" s="1"/>
      <c r="AJ215" s="1"/>
      <c r="AK215" s="1"/>
      <c r="AL215" s="1"/>
      <c r="AM215" s="1"/>
      <c r="AN215" s="1"/>
      <c r="AO215" s="1"/>
      <c r="AP215" s="1"/>
      <c r="AQ215" s="1"/>
      <c r="AR215" s="1"/>
      <c r="AS215" s="1"/>
      <c r="AT215" s="1"/>
      <c r="AU215" s="1"/>
      <c r="AV215" s="1"/>
      <c r="AW215" s="1"/>
      <c r="AX215" s="1"/>
    </row>
    <row r="216" ht="15.75" customHeight="1">
      <c r="A216" s="2"/>
      <c r="B216" s="2"/>
      <c r="C216" s="2"/>
      <c r="D216" s="2"/>
      <c r="E216" s="66"/>
      <c r="F216" s="2"/>
      <c r="G216" s="2"/>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row>
    <row r="217" ht="15.75" customHeight="1">
      <c r="A217" s="2"/>
      <c r="B217" s="2"/>
      <c r="C217" s="2"/>
      <c r="D217" s="2"/>
      <c r="E217" s="66"/>
      <c r="F217" s="2"/>
      <c r="G217" s="2"/>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row>
    <row r="218" ht="15.75" customHeight="1">
      <c r="A218" s="2"/>
      <c r="B218" s="2"/>
      <c r="C218" s="1"/>
      <c r="D218" s="2"/>
      <c r="E218" s="66"/>
      <c r="F218" s="2"/>
      <c r="G218" s="2"/>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row>
    <row r="219" ht="15.75" customHeight="1">
      <c r="A219" s="2"/>
      <c r="B219" s="2"/>
      <c r="C219" s="1"/>
      <c r="D219" s="2"/>
      <c r="E219" s="66"/>
      <c r="F219" s="2"/>
      <c r="G219" s="2"/>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row>
    <row r="220" ht="15.75" customHeight="1">
      <c r="A220" s="2"/>
      <c r="B220" s="2"/>
      <c r="C220" s="1"/>
      <c r="D220" s="2"/>
      <c r="E220" s="66"/>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row>
    <row r="221" ht="15.75" customHeight="1">
      <c r="A221" s="2"/>
      <c r="B221" s="2"/>
      <c r="C221" s="67"/>
      <c r="D221" s="2"/>
      <c r="E221" s="66"/>
      <c r="F221" s="2"/>
      <c r="G221" s="1"/>
      <c r="H221" s="1"/>
      <c r="I221" s="1"/>
      <c r="J221" s="1"/>
      <c r="K221" s="1"/>
      <c r="L221" s="1"/>
      <c r="M221" s="1"/>
      <c r="N221" s="1"/>
      <c r="O221" s="1"/>
      <c r="P221" s="1"/>
      <c r="Q221" s="2"/>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row>
    <row r="222" ht="15.75" customHeight="1">
      <c r="A222" s="2"/>
      <c r="B222" s="2"/>
      <c r="C222" s="1"/>
      <c r="D222" s="2"/>
      <c r="E222" s="66"/>
      <c r="F222" s="2"/>
      <c r="G222" s="2"/>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row>
    <row r="223" ht="15.75" customHeight="1">
      <c r="A223" s="2"/>
      <c r="B223" s="2"/>
      <c r="C223" s="1"/>
      <c r="D223" s="2"/>
      <c r="E223" s="66"/>
      <c r="F223" s="1"/>
      <c r="G223" s="1"/>
      <c r="H223" s="1"/>
      <c r="I223" s="1"/>
      <c r="J223" s="1"/>
      <c r="K223" s="1"/>
      <c r="L223" s="1"/>
      <c r="M223" s="1"/>
      <c r="N223" s="1"/>
      <c r="O223" s="1"/>
      <c r="P223" s="1"/>
      <c r="Q223" s="1"/>
      <c r="R223" s="1"/>
      <c r="S223" s="1"/>
      <c r="T223" s="1"/>
      <c r="U223" s="1"/>
      <c r="V223" s="1"/>
      <c r="W223" s="1"/>
      <c r="X223" s="1"/>
      <c r="Y223" s="1"/>
      <c r="Z223" s="1"/>
      <c r="AA223" s="1"/>
      <c r="AB223" s="1"/>
      <c r="AC223" s="1"/>
      <c r="AD223" s="16"/>
      <c r="AE223" s="1"/>
      <c r="AF223" s="1"/>
      <c r="AG223" s="1"/>
      <c r="AH223" s="1"/>
      <c r="AI223" s="1"/>
      <c r="AJ223" s="1"/>
      <c r="AK223" s="1"/>
      <c r="AL223" s="1"/>
      <c r="AM223" s="1"/>
      <c r="AN223" s="1"/>
      <c r="AO223" s="1"/>
      <c r="AP223" s="1"/>
      <c r="AQ223" s="1"/>
      <c r="AR223" s="1"/>
      <c r="AS223" s="1"/>
      <c r="AT223" s="1"/>
      <c r="AU223" s="1"/>
      <c r="AV223" s="1"/>
      <c r="AW223" s="1"/>
      <c r="AX223" s="1"/>
    </row>
    <row r="224" ht="15.75" customHeight="1">
      <c r="A224" s="2"/>
      <c r="B224" s="2"/>
      <c r="C224" s="1"/>
      <c r="D224" s="2"/>
      <c r="E224" s="66"/>
      <c r="F224" s="2"/>
      <c r="G224" s="2"/>
      <c r="H224" s="1"/>
      <c r="I224" s="1"/>
      <c r="J224" s="1"/>
      <c r="K224" s="1"/>
      <c r="L224" s="1"/>
      <c r="M224" s="1"/>
      <c r="N224" s="1"/>
      <c r="O224" s="1"/>
      <c r="P224" s="1"/>
      <c r="Q224" s="1"/>
      <c r="R224" s="1"/>
      <c r="S224" s="1"/>
      <c r="T224" s="1"/>
      <c r="U224" s="1"/>
      <c r="V224" s="1"/>
      <c r="W224" s="1"/>
      <c r="X224" s="1"/>
      <c r="Y224" s="1"/>
      <c r="Z224" s="1"/>
      <c r="AA224" s="1"/>
      <c r="AB224" s="1"/>
      <c r="AC224" s="1"/>
      <c r="AD224" s="67"/>
      <c r="AE224" s="1"/>
      <c r="AF224" s="1"/>
      <c r="AG224" s="1"/>
      <c r="AH224" s="1"/>
      <c r="AI224" s="1"/>
      <c r="AJ224" s="1"/>
      <c r="AK224" s="1"/>
      <c r="AL224" s="1"/>
      <c r="AM224" s="1"/>
      <c r="AN224" s="1"/>
      <c r="AO224" s="1"/>
      <c r="AP224" s="1"/>
      <c r="AQ224" s="1"/>
      <c r="AR224" s="1"/>
      <c r="AS224" s="1"/>
      <c r="AT224" s="1"/>
      <c r="AU224" s="1"/>
      <c r="AV224" s="1"/>
      <c r="AW224" s="1"/>
      <c r="AX224" s="1"/>
    </row>
    <row r="225" ht="15.75" customHeight="1">
      <c r="A225" s="2"/>
      <c r="B225" s="2"/>
      <c r="C225" s="1"/>
      <c r="D225" s="2"/>
      <c r="E225" s="66"/>
      <c r="F225" s="2"/>
      <c r="G225" s="2"/>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row>
    <row r="226" ht="15.75" customHeight="1">
      <c r="A226" s="2"/>
      <c r="B226" s="2"/>
      <c r="C226" s="1"/>
      <c r="D226" s="2"/>
      <c r="E226" s="66"/>
      <c r="F226" s="2"/>
      <c r="G226" s="2"/>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row>
    <row r="227" ht="15.75" customHeight="1">
      <c r="A227" s="2"/>
      <c r="B227" s="2"/>
      <c r="C227" s="1"/>
      <c r="D227" s="2"/>
      <c r="E227" s="66"/>
      <c r="F227" s="2"/>
      <c r="G227" s="2"/>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row>
    <row r="228" ht="15.75" customHeight="1">
      <c r="A228" s="67"/>
      <c r="B228" s="2"/>
      <c r="C228" s="1"/>
      <c r="D228" s="2"/>
      <c r="E228" s="66"/>
      <c r="F228" s="2"/>
      <c r="G228" s="2"/>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row>
    <row r="229" ht="15.75" customHeight="1">
      <c r="A229" s="67"/>
      <c r="B229" s="2"/>
      <c r="C229" s="1"/>
      <c r="D229" s="2"/>
      <c r="E229" s="66"/>
      <c r="F229" s="2"/>
      <c r="G229" s="5"/>
      <c r="H229" s="1"/>
      <c r="I229" s="1"/>
      <c r="J229" s="1"/>
      <c r="K229" s="1"/>
      <c r="L229" s="1"/>
      <c r="M229" s="1"/>
      <c r="N229" s="1"/>
      <c r="O229" s="1"/>
      <c r="P229" s="1"/>
      <c r="Q229" s="1"/>
      <c r="R229" s="1"/>
      <c r="S229" s="1"/>
      <c r="T229" s="1"/>
      <c r="U229" s="1"/>
      <c r="V229" s="1"/>
      <c r="W229" s="1"/>
      <c r="X229" s="1"/>
      <c r="Y229" s="1"/>
      <c r="Z229" s="1"/>
      <c r="AA229" s="1"/>
      <c r="AB229" s="1"/>
      <c r="AC229" s="1"/>
      <c r="AD229" s="67"/>
      <c r="AE229" s="1"/>
      <c r="AF229" s="1"/>
      <c r="AG229" s="1"/>
      <c r="AH229" s="1"/>
      <c r="AI229" s="1"/>
      <c r="AJ229" s="1"/>
      <c r="AK229" s="1"/>
      <c r="AL229" s="1"/>
      <c r="AM229" s="1"/>
      <c r="AN229" s="1"/>
      <c r="AO229" s="1"/>
      <c r="AP229" s="1"/>
      <c r="AQ229" s="1"/>
      <c r="AR229" s="1"/>
      <c r="AS229" s="1"/>
      <c r="AT229" s="1"/>
      <c r="AU229" s="1"/>
      <c r="AV229" s="1"/>
      <c r="AW229" s="1"/>
      <c r="AX229" s="1"/>
    </row>
    <row r="230" ht="15.75" customHeight="1">
      <c r="A230" s="2"/>
      <c r="B230" s="2"/>
      <c r="C230" s="1"/>
      <c r="D230" s="2"/>
      <c r="E230" s="66"/>
      <c r="F230" s="2"/>
      <c r="G230" s="2"/>
      <c r="H230" s="1"/>
      <c r="I230" s="1"/>
      <c r="J230" s="1"/>
      <c r="K230" s="1"/>
      <c r="L230" s="1"/>
      <c r="M230" s="1"/>
      <c r="N230" s="1"/>
      <c r="O230" s="1"/>
      <c r="P230" s="1"/>
      <c r="Q230" s="1"/>
      <c r="R230" s="1"/>
      <c r="S230" s="1"/>
      <c r="T230" s="1"/>
      <c r="U230" s="1"/>
      <c r="V230" s="1"/>
      <c r="W230" s="1"/>
      <c r="X230" s="1"/>
      <c r="Y230" s="1"/>
      <c r="Z230" s="1"/>
      <c r="AA230" s="1"/>
      <c r="AB230" s="1"/>
      <c r="AC230" s="1"/>
      <c r="AD230" s="67"/>
      <c r="AE230" s="1"/>
      <c r="AF230" s="1"/>
      <c r="AG230" s="1"/>
      <c r="AH230" s="1"/>
      <c r="AI230" s="1"/>
      <c r="AJ230" s="1"/>
      <c r="AK230" s="1"/>
      <c r="AL230" s="1"/>
      <c r="AM230" s="1"/>
      <c r="AN230" s="1"/>
      <c r="AO230" s="1"/>
      <c r="AP230" s="1"/>
      <c r="AQ230" s="1"/>
      <c r="AR230" s="1"/>
      <c r="AS230" s="1"/>
      <c r="AT230" s="1"/>
      <c r="AU230" s="1"/>
      <c r="AV230" s="1"/>
      <c r="AW230" s="1"/>
      <c r="AX230" s="1"/>
    </row>
    <row r="231" ht="15.75" customHeight="1">
      <c r="A231" s="2"/>
      <c r="B231" s="2"/>
      <c r="C231" s="1"/>
      <c r="D231" s="2"/>
      <c r="E231" s="66"/>
      <c r="F231" s="2"/>
      <c r="G231" s="2"/>
      <c r="H231" s="1"/>
      <c r="I231" s="1"/>
      <c r="J231" s="1"/>
      <c r="K231" s="1"/>
      <c r="L231" s="1"/>
      <c r="M231" s="1"/>
      <c r="N231" s="1"/>
      <c r="O231" s="1"/>
      <c r="P231" s="1"/>
      <c r="Q231" s="1"/>
      <c r="R231" s="1"/>
      <c r="S231" s="1"/>
      <c r="T231" s="1"/>
      <c r="U231" s="1"/>
      <c r="V231" s="1"/>
      <c r="W231" s="1"/>
      <c r="X231" s="1"/>
      <c r="Y231" s="1"/>
      <c r="Z231" s="1"/>
      <c r="AA231" s="1"/>
      <c r="AB231" s="1"/>
      <c r="AC231" s="1"/>
      <c r="AD231" s="67"/>
      <c r="AE231" s="1"/>
      <c r="AF231" s="1"/>
      <c r="AG231" s="1"/>
      <c r="AH231" s="1"/>
      <c r="AI231" s="1"/>
      <c r="AJ231" s="1"/>
      <c r="AK231" s="1"/>
      <c r="AL231" s="1"/>
      <c r="AM231" s="1"/>
      <c r="AN231" s="1"/>
      <c r="AO231" s="1"/>
      <c r="AP231" s="1"/>
      <c r="AQ231" s="1"/>
      <c r="AR231" s="1"/>
      <c r="AS231" s="1"/>
      <c r="AT231" s="1"/>
      <c r="AU231" s="1"/>
      <c r="AV231" s="1"/>
      <c r="AW231" s="1"/>
      <c r="AX231" s="1"/>
    </row>
    <row r="232" ht="15.75" customHeight="1">
      <c r="A232" s="67"/>
      <c r="B232" s="2"/>
      <c r="C232" s="1"/>
      <c r="D232" s="2"/>
      <c r="E232" s="66"/>
      <c r="F232" s="2"/>
      <c r="G232" s="5"/>
      <c r="H232" s="1"/>
      <c r="I232" s="1"/>
      <c r="J232" s="1"/>
      <c r="K232" s="1"/>
      <c r="L232" s="1"/>
      <c r="M232" s="1"/>
      <c r="N232" s="1"/>
      <c r="O232" s="1"/>
      <c r="P232" s="1"/>
      <c r="Q232" s="1"/>
      <c r="R232" s="1"/>
      <c r="S232" s="1"/>
      <c r="T232" s="1"/>
      <c r="U232" s="1"/>
      <c r="V232" s="1"/>
      <c r="W232" s="1"/>
      <c r="X232" s="1"/>
      <c r="Y232" s="1"/>
      <c r="Z232" s="1"/>
      <c r="AA232" s="1"/>
      <c r="AB232" s="1"/>
      <c r="AC232" s="1"/>
      <c r="AD232" s="67"/>
      <c r="AE232" s="1"/>
      <c r="AF232" s="1"/>
      <c r="AG232" s="1"/>
      <c r="AH232" s="1"/>
      <c r="AI232" s="1"/>
      <c r="AJ232" s="1"/>
      <c r="AK232" s="1"/>
      <c r="AL232" s="1"/>
      <c r="AM232" s="1"/>
      <c r="AN232" s="1"/>
      <c r="AO232" s="1"/>
      <c r="AP232" s="1"/>
      <c r="AQ232" s="1"/>
      <c r="AR232" s="1"/>
      <c r="AS232" s="1"/>
      <c r="AT232" s="1"/>
      <c r="AU232" s="1"/>
      <c r="AV232" s="1"/>
      <c r="AW232" s="1"/>
      <c r="AX232" s="1"/>
    </row>
    <row r="233" ht="15.75" customHeight="1">
      <c r="A233" s="67"/>
      <c r="B233" s="2"/>
      <c r="C233" s="1"/>
      <c r="D233" s="2"/>
      <c r="E233" s="66"/>
      <c r="F233" s="2"/>
      <c r="G233" s="5"/>
      <c r="H233" s="1"/>
      <c r="I233" s="1"/>
      <c r="J233" s="1"/>
      <c r="K233" s="1"/>
      <c r="L233" s="1"/>
      <c r="M233" s="1"/>
      <c r="N233" s="1"/>
      <c r="O233" s="1"/>
      <c r="P233" s="1"/>
      <c r="Q233" s="1"/>
      <c r="R233" s="1"/>
      <c r="S233" s="1"/>
      <c r="T233" s="1"/>
      <c r="U233" s="1"/>
      <c r="V233" s="1"/>
      <c r="W233" s="1"/>
      <c r="X233" s="1"/>
      <c r="Y233" s="1"/>
      <c r="Z233" s="1"/>
      <c r="AA233" s="1"/>
      <c r="AB233" s="1"/>
      <c r="AC233" s="1"/>
      <c r="AD233" s="2"/>
      <c r="AE233" s="1"/>
      <c r="AF233" s="1"/>
      <c r="AG233" s="1"/>
      <c r="AH233" s="1"/>
      <c r="AI233" s="1"/>
      <c r="AJ233" s="1"/>
      <c r="AK233" s="1"/>
      <c r="AL233" s="1"/>
      <c r="AM233" s="1"/>
      <c r="AN233" s="1"/>
      <c r="AO233" s="1"/>
      <c r="AP233" s="1"/>
      <c r="AQ233" s="1"/>
      <c r="AR233" s="1"/>
      <c r="AS233" s="1"/>
      <c r="AT233" s="1"/>
      <c r="AU233" s="1"/>
      <c r="AV233" s="1"/>
      <c r="AW233" s="1"/>
      <c r="AX233" s="1"/>
    </row>
    <row r="234" ht="15.75" customHeight="1">
      <c r="A234" s="67"/>
      <c r="B234" s="2"/>
      <c r="C234" s="1"/>
      <c r="D234" s="2"/>
      <c r="E234" s="66"/>
      <c r="F234" s="2"/>
      <c r="G234" s="2"/>
      <c r="H234" s="1"/>
      <c r="I234" s="1"/>
      <c r="J234" s="1"/>
      <c r="K234" s="1"/>
      <c r="L234" s="1"/>
      <c r="M234" s="1"/>
      <c r="N234" s="1"/>
      <c r="O234" s="1"/>
      <c r="P234" s="1"/>
      <c r="Q234" s="1"/>
      <c r="R234" s="1"/>
      <c r="S234" s="1"/>
      <c r="T234" s="1"/>
      <c r="U234" s="1"/>
      <c r="V234" s="1"/>
      <c r="W234" s="1"/>
      <c r="X234" s="1"/>
      <c r="Y234" s="1"/>
      <c r="Z234" s="1"/>
      <c r="AA234" s="1"/>
      <c r="AB234" s="1"/>
      <c r="AC234" s="1"/>
      <c r="AD234" s="67"/>
      <c r="AE234" s="1"/>
      <c r="AF234" s="1"/>
      <c r="AG234" s="1"/>
      <c r="AH234" s="1"/>
      <c r="AI234" s="1"/>
      <c r="AJ234" s="1"/>
      <c r="AK234" s="1"/>
      <c r="AL234" s="1"/>
      <c r="AM234" s="1"/>
      <c r="AN234" s="1"/>
      <c r="AO234" s="1"/>
      <c r="AP234" s="1"/>
      <c r="AQ234" s="1"/>
      <c r="AR234" s="1"/>
      <c r="AS234" s="1"/>
      <c r="AT234" s="1"/>
      <c r="AU234" s="1"/>
      <c r="AV234" s="1"/>
      <c r="AW234" s="1"/>
      <c r="AX234" s="1"/>
    </row>
    <row r="235" ht="15.75" customHeight="1">
      <c r="A235" s="2"/>
      <c r="B235" s="2"/>
      <c r="C235" s="1"/>
      <c r="D235" s="2"/>
      <c r="E235" s="66"/>
      <c r="F235" s="2"/>
      <c r="G235" s="5"/>
      <c r="H235" s="1"/>
      <c r="I235" s="1"/>
      <c r="J235" s="5"/>
      <c r="K235" s="1"/>
      <c r="L235" s="1"/>
      <c r="M235" s="1"/>
      <c r="N235" s="1"/>
      <c r="O235" s="1"/>
      <c r="P235" s="1"/>
      <c r="Q235" s="1"/>
      <c r="R235" s="1"/>
      <c r="S235" s="1"/>
      <c r="T235" s="1"/>
      <c r="U235" s="1"/>
      <c r="V235" s="1"/>
      <c r="W235" s="1"/>
      <c r="X235" s="1"/>
      <c r="Y235" s="1"/>
      <c r="Z235" s="1"/>
      <c r="AA235" s="1"/>
      <c r="AB235" s="1"/>
      <c r="AC235" s="1"/>
      <c r="AD235" s="67"/>
      <c r="AE235" s="1"/>
      <c r="AF235" s="1"/>
      <c r="AG235" s="1"/>
      <c r="AH235" s="1"/>
      <c r="AI235" s="1"/>
      <c r="AJ235" s="1"/>
      <c r="AK235" s="1"/>
      <c r="AL235" s="1"/>
      <c r="AM235" s="1"/>
      <c r="AN235" s="1"/>
      <c r="AO235" s="1"/>
      <c r="AP235" s="1"/>
      <c r="AQ235" s="1"/>
      <c r="AR235" s="1"/>
      <c r="AS235" s="1"/>
      <c r="AT235" s="1"/>
      <c r="AU235" s="1"/>
      <c r="AV235" s="1"/>
      <c r="AW235" s="1"/>
      <c r="AX235" s="1"/>
    </row>
    <row r="236" ht="15.75" customHeight="1">
      <c r="A236" s="67"/>
      <c r="B236" s="2"/>
      <c r="C236" s="1"/>
      <c r="D236" s="2"/>
      <c r="E236" s="66"/>
      <c r="F236" s="2"/>
      <c r="G236" s="2"/>
      <c r="H236" s="1"/>
      <c r="I236" s="1"/>
      <c r="J236" s="1"/>
      <c r="K236" s="1"/>
      <c r="L236" s="1"/>
      <c r="M236" s="1"/>
      <c r="N236" s="1"/>
      <c r="O236" s="1"/>
      <c r="P236" s="1"/>
      <c r="Q236" s="1"/>
      <c r="R236" s="1"/>
      <c r="S236" s="1"/>
      <c r="T236" s="1"/>
      <c r="U236" s="1"/>
      <c r="V236" s="1"/>
      <c r="W236" s="1"/>
      <c r="X236" s="1"/>
      <c r="Y236" s="1"/>
      <c r="Z236" s="1"/>
      <c r="AA236" s="1"/>
      <c r="AB236" s="1"/>
      <c r="AC236" s="1"/>
      <c r="AD236" s="2"/>
      <c r="AE236" s="1"/>
      <c r="AF236" s="1"/>
      <c r="AG236" s="1"/>
      <c r="AH236" s="1"/>
      <c r="AI236" s="1"/>
      <c r="AJ236" s="1"/>
      <c r="AK236" s="1"/>
      <c r="AL236" s="1"/>
      <c r="AM236" s="1"/>
      <c r="AN236" s="1"/>
      <c r="AO236" s="1"/>
      <c r="AP236" s="1"/>
      <c r="AQ236" s="1"/>
      <c r="AR236" s="1"/>
      <c r="AS236" s="1"/>
      <c r="AT236" s="1"/>
      <c r="AU236" s="1"/>
      <c r="AV236" s="1"/>
      <c r="AW236" s="1"/>
      <c r="AX236" s="1"/>
    </row>
    <row r="237" ht="15.75" customHeight="1">
      <c r="A237" s="67"/>
      <c r="B237" s="2"/>
      <c r="C237" s="1"/>
      <c r="D237" s="2"/>
      <c r="E237" s="66"/>
      <c r="F237" s="2"/>
      <c r="G237" s="2"/>
      <c r="H237" s="1"/>
      <c r="I237" s="1"/>
      <c r="J237" s="1"/>
      <c r="K237" s="1"/>
      <c r="L237" s="1"/>
      <c r="M237" s="1"/>
      <c r="N237" s="1"/>
      <c r="O237" s="1"/>
      <c r="P237" s="1"/>
      <c r="Q237" s="1"/>
      <c r="R237" s="1"/>
      <c r="S237" s="1"/>
      <c r="T237" s="1"/>
      <c r="U237" s="1"/>
      <c r="V237" s="1"/>
      <c r="W237" s="1"/>
      <c r="X237" s="1"/>
      <c r="Y237" s="1"/>
      <c r="Z237" s="1"/>
      <c r="AA237" s="1"/>
      <c r="AB237" s="1"/>
      <c r="AC237" s="1"/>
      <c r="AD237" s="67"/>
      <c r="AE237" s="1"/>
      <c r="AF237" s="1"/>
      <c r="AG237" s="1"/>
      <c r="AH237" s="1"/>
      <c r="AI237" s="1"/>
      <c r="AJ237" s="1"/>
      <c r="AK237" s="1"/>
      <c r="AL237" s="1"/>
      <c r="AM237" s="1"/>
      <c r="AN237" s="1"/>
      <c r="AO237" s="1"/>
      <c r="AP237" s="1"/>
      <c r="AQ237" s="1"/>
      <c r="AR237" s="1"/>
      <c r="AS237" s="1"/>
      <c r="AT237" s="1"/>
      <c r="AU237" s="1"/>
      <c r="AV237" s="1"/>
      <c r="AW237" s="1"/>
      <c r="AX237" s="1"/>
    </row>
    <row r="238" ht="15.75" customHeight="1">
      <c r="A238" s="2"/>
      <c r="B238" s="2"/>
      <c r="C238" s="67"/>
      <c r="D238" s="2"/>
      <c r="E238" s="66"/>
      <c r="F238" s="2"/>
      <c r="G238" s="2"/>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row>
    <row r="239" ht="15.75" customHeight="1">
      <c r="A239" s="2"/>
      <c r="B239" s="2"/>
      <c r="C239" s="67"/>
      <c r="D239" s="2"/>
      <c r="E239" s="66"/>
      <c r="F239" s="2"/>
      <c r="G239" s="2"/>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row>
    <row r="240" ht="15.75" customHeight="1">
      <c r="A240" s="2"/>
      <c r="B240" s="2"/>
      <c r="C240" s="1"/>
      <c r="D240" s="2"/>
      <c r="E240" s="66"/>
      <c r="F240" s="2"/>
      <c r="G240" s="2"/>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row>
    <row r="241" ht="15.75" customHeight="1">
      <c r="A241" s="2"/>
      <c r="B241" s="2"/>
      <c r="C241" s="1"/>
      <c r="D241" s="2"/>
      <c r="E241" s="66"/>
      <c r="F241" s="2"/>
      <c r="G241" s="2"/>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row>
    <row r="242" ht="15.75" customHeight="1">
      <c r="A242" s="2"/>
      <c r="B242" s="2"/>
      <c r="C242" s="1"/>
      <c r="D242" s="2"/>
      <c r="E242" s="66"/>
      <c r="F242" s="2"/>
      <c r="G242" s="2"/>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row>
    <row r="243" ht="15.75" customHeight="1">
      <c r="A243" s="2"/>
      <c r="B243" s="2"/>
      <c r="C243" s="1"/>
      <c r="D243" s="2"/>
      <c r="E243" s="66"/>
      <c r="F243" s="2"/>
      <c r="G243" s="2"/>
      <c r="H243" s="1"/>
      <c r="I243" s="1"/>
      <c r="J243" s="1"/>
      <c r="K243" s="1"/>
      <c r="L243" s="1"/>
      <c r="M243" s="1"/>
      <c r="N243" s="1"/>
      <c r="O243" s="1"/>
      <c r="P243" s="1"/>
      <c r="Q243" s="1"/>
      <c r="R243" s="1"/>
      <c r="S243" s="1"/>
      <c r="T243" s="1"/>
      <c r="U243" s="1"/>
      <c r="V243" s="1"/>
      <c r="W243" s="1"/>
      <c r="X243" s="1"/>
      <c r="Y243" s="1"/>
      <c r="Z243" s="1"/>
      <c r="AA243" s="1"/>
      <c r="AB243" s="1"/>
      <c r="AC243" s="1"/>
      <c r="AD243" s="2"/>
      <c r="AE243" s="1"/>
      <c r="AF243" s="1"/>
      <c r="AG243" s="1"/>
      <c r="AH243" s="1"/>
      <c r="AI243" s="1"/>
      <c r="AJ243" s="1"/>
      <c r="AK243" s="1"/>
      <c r="AL243" s="1"/>
      <c r="AM243" s="1"/>
      <c r="AN243" s="1"/>
      <c r="AO243" s="1"/>
      <c r="AP243" s="1"/>
      <c r="AQ243" s="1"/>
      <c r="AR243" s="1"/>
      <c r="AS243" s="1"/>
      <c r="AT243" s="1"/>
      <c r="AU243" s="1"/>
      <c r="AV243" s="1"/>
      <c r="AW243" s="1"/>
      <c r="AX243" s="1"/>
    </row>
    <row r="244" ht="15.75" customHeight="1">
      <c r="A244" s="2"/>
      <c r="B244" s="2"/>
      <c r="C244" s="1"/>
      <c r="D244" s="2"/>
      <c r="E244" s="66"/>
      <c r="F244" s="2"/>
      <c r="G244" s="2"/>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row>
    <row r="245" ht="15.75" customHeight="1">
      <c r="A245" s="2"/>
      <c r="B245" s="2"/>
      <c r="C245" s="1"/>
      <c r="D245" s="2"/>
      <c r="E245" s="66"/>
      <c r="F245" s="2"/>
      <c r="G245" s="2"/>
      <c r="H245" s="1"/>
      <c r="I245" s="1"/>
      <c r="J245" s="1"/>
      <c r="K245" s="1"/>
      <c r="L245" s="1"/>
      <c r="M245" s="1"/>
      <c r="N245" s="1"/>
      <c r="O245" s="1"/>
      <c r="P245" s="1"/>
      <c r="Q245" s="1"/>
      <c r="R245" s="1"/>
      <c r="S245" s="1"/>
      <c r="T245" s="1"/>
      <c r="U245" s="1"/>
      <c r="V245" s="1"/>
      <c r="W245" s="1"/>
      <c r="X245" s="1"/>
      <c r="Y245" s="1"/>
      <c r="Z245" s="1"/>
      <c r="AA245" s="1"/>
      <c r="AB245" s="1"/>
      <c r="AC245" s="1"/>
      <c r="AD245" s="2"/>
      <c r="AE245" s="1"/>
      <c r="AF245" s="1"/>
      <c r="AG245" s="1"/>
      <c r="AH245" s="1"/>
      <c r="AI245" s="1"/>
      <c r="AJ245" s="1"/>
      <c r="AK245" s="1"/>
      <c r="AL245" s="1"/>
      <c r="AM245" s="1"/>
      <c r="AN245" s="1"/>
      <c r="AO245" s="1"/>
      <c r="AP245" s="1"/>
      <c r="AQ245" s="1"/>
      <c r="AR245" s="1"/>
      <c r="AS245" s="1"/>
      <c r="AT245" s="1"/>
      <c r="AU245" s="1"/>
      <c r="AV245" s="1"/>
      <c r="AW245" s="1"/>
      <c r="AX245" s="1"/>
    </row>
    <row r="246" ht="15.75" customHeight="1">
      <c r="A246" s="2"/>
      <c r="B246" s="2"/>
      <c r="C246" s="2"/>
      <c r="D246" s="2"/>
      <c r="E246" s="66"/>
      <c r="F246" s="2"/>
      <c r="G246" s="2"/>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row>
    <row r="247" ht="15.75" customHeight="1">
      <c r="A247" s="2"/>
      <c r="B247" s="2"/>
      <c r="C247" s="1"/>
      <c r="D247" s="2"/>
      <c r="E247" s="66"/>
      <c r="F247" s="2"/>
      <c r="G247" s="2"/>
      <c r="H247" s="1"/>
      <c r="I247" s="1"/>
      <c r="J247" s="1"/>
      <c r="K247" s="1"/>
      <c r="L247" s="1"/>
      <c r="M247" s="1"/>
      <c r="N247" s="1"/>
      <c r="O247" s="1"/>
      <c r="P247" s="1"/>
      <c r="Q247" s="1"/>
      <c r="R247" s="1"/>
      <c r="S247" s="1"/>
      <c r="T247" s="1"/>
      <c r="U247" s="1"/>
      <c r="V247" s="1"/>
      <c r="W247" s="1"/>
      <c r="X247" s="1"/>
      <c r="Y247" s="1"/>
      <c r="Z247" s="1"/>
      <c r="AA247" s="1"/>
      <c r="AB247" s="1"/>
      <c r="AC247" s="1"/>
      <c r="AD247" s="2"/>
      <c r="AE247" s="1"/>
      <c r="AF247" s="1"/>
      <c r="AG247" s="1"/>
      <c r="AH247" s="1"/>
      <c r="AI247" s="1"/>
      <c r="AJ247" s="1"/>
      <c r="AK247" s="1"/>
      <c r="AL247" s="1"/>
      <c r="AM247" s="1"/>
      <c r="AN247" s="1"/>
      <c r="AO247" s="1"/>
      <c r="AP247" s="1"/>
      <c r="AQ247" s="1"/>
      <c r="AR247" s="1"/>
      <c r="AS247" s="1"/>
      <c r="AT247" s="1"/>
      <c r="AU247" s="1"/>
      <c r="AV247" s="1"/>
      <c r="AW247" s="1"/>
      <c r="AX247" s="1"/>
    </row>
    <row r="248" ht="15.75" customHeight="1">
      <c r="A248" s="2"/>
      <c r="B248" s="2"/>
      <c r="C248" s="1"/>
      <c r="D248" s="2"/>
      <c r="E248" s="66"/>
      <c r="F248" s="2"/>
      <c r="G248" s="2"/>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row>
    <row r="249" ht="15.75" customHeight="1">
      <c r="A249" s="2"/>
      <c r="B249" s="2"/>
      <c r="C249" s="1"/>
      <c r="D249" s="2"/>
      <c r="E249" s="66"/>
      <c r="F249" s="2"/>
      <c r="G249" s="2"/>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row>
    <row r="250" ht="15.75" customHeight="1">
      <c r="A250" s="2"/>
      <c r="B250" s="2"/>
      <c r="C250" s="1"/>
      <c r="D250" s="2"/>
      <c r="E250" s="66"/>
      <c r="F250" s="2"/>
      <c r="G250" s="2"/>
      <c r="H250" s="1"/>
      <c r="I250" s="1"/>
      <c r="J250" s="1"/>
      <c r="K250" s="1"/>
      <c r="L250" s="1"/>
      <c r="M250" s="1"/>
      <c r="N250" s="1"/>
      <c r="O250" s="1"/>
      <c r="P250" s="1"/>
      <c r="Q250" s="1"/>
      <c r="R250" s="1"/>
      <c r="S250" s="1"/>
      <c r="T250" s="1"/>
      <c r="U250" s="1"/>
      <c r="V250" s="1"/>
      <c r="W250" s="1"/>
      <c r="X250" s="1"/>
      <c r="Y250" s="1"/>
      <c r="Z250" s="1"/>
      <c r="AA250" s="1"/>
      <c r="AB250" s="1"/>
      <c r="AC250" s="1"/>
      <c r="AD250" s="67"/>
      <c r="AE250" s="1"/>
      <c r="AF250" s="1"/>
      <c r="AG250" s="1"/>
      <c r="AH250" s="1"/>
      <c r="AI250" s="1"/>
      <c r="AJ250" s="1"/>
      <c r="AK250" s="1"/>
      <c r="AL250" s="1"/>
      <c r="AM250" s="1"/>
      <c r="AN250" s="1"/>
      <c r="AO250" s="1"/>
      <c r="AP250" s="1"/>
      <c r="AQ250" s="1"/>
      <c r="AR250" s="1"/>
      <c r="AS250" s="1"/>
      <c r="AT250" s="1"/>
      <c r="AU250" s="1"/>
      <c r="AV250" s="1"/>
      <c r="AW250" s="1"/>
      <c r="AX250" s="1"/>
    </row>
    <row r="251" ht="15.75" customHeight="1">
      <c r="A251" s="2"/>
      <c r="B251" s="2"/>
      <c r="C251" s="1"/>
      <c r="D251" s="2"/>
      <c r="E251" s="66"/>
      <c r="F251" s="2"/>
      <c r="G251" s="2"/>
      <c r="H251" s="1"/>
      <c r="I251" s="1"/>
      <c r="J251" s="1"/>
      <c r="K251" s="1"/>
      <c r="L251" s="1"/>
      <c r="M251" s="1"/>
      <c r="N251" s="1"/>
      <c r="O251" s="1"/>
      <c r="P251" s="1"/>
      <c r="Q251" s="1"/>
      <c r="R251" s="1"/>
      <c r="S251" s="1"/>
      <c r="T251" s="1"/>
      <c r="U251" s="1"/>
      <c r="V251" s="1"/>
      <c r="W251" s="1"/>
      <c r="X251" s="1"/>
      <c r="Y251" s="1"/>
      <c r="Z251" s="1"/>
      <c r="AA251" s="1"/>
      <c r="AB251" s="1"/>
      <c r="AC251" s="1"/>
      <c r="AD251" s="67"/>
      <c r="AE251" s="1"/>
      <c r="AF251" s="1"/>
      <c r="AG251" s="1"/>
      <c r="AH251" s="1"/>
      <c r="AI251" s="1"/>
      <c r="AJ251" s="1"/>
      <c r="AK251" s="1"/>
      <c r="AL251" s="1"/>
      <c r="AM251" s="1"/>
      <c r="AN251" s="1"/>
      <c r="AO251" s="1"/>
      <c r="AP251" s="1"/>
      <c r="AQ251" s="1"/>
      <c r="AR251" s="1"/>
      <c r="AS251" s="1"/>
      <c r="AT251" s="1"/>
      <c r="AU251" s="1"/>
      <c r="AV251" s="1"/>
      <c r="AW251" s="1"/>
      <c r="AX251" s="1"/>
    </row>
    <row r="252" ht="15.75" customHeight="1">
      <c r="A252" s="2"/>
      <c r="B252" s="2"/>
      <c r="C252" s="1"/>
      <c r="D252" s="2"/>
      <c r="E252" s="66"/>
      <c r="F252" s="2"/>
      <c r="G252" s="5"/>
      <c r="H252" s="1"/>
      <c r="I252" s="1"/>
      <c r="J252" s="1"/>
      <c r="K252" s="1"/>
      <c r="L252" s="1"/>
      <c r="M252" s="1"/>
      <c r="N252" s="1"/>
      <c r="O252" s="1"/>
      <c r="P252" s="1"/>
      <c r="Q252" s="1"/>
      <c r="R252" s="1"/>
      <c r="S252" s="1"/>
      <c r="T252" s="1"/>
      <c r="U252" s="1"/>
      <c r="V252" s="1"/>
      <c r="W252" s="1"/>
      <c r="X252" s="1"/>
      <c r="Y252" s="1"/>
      <c r="Z252" s="1"/>
      <c r="AA252" s="1"/>
      <c r="AB252" s="1"/>
      <c r="AC252" s="1"/>
      <c r="AD252" s="67"/>
      <c r="AE252" s="1"/>
      <c r="AF252" s="1"/>
      <c r="AG252" s="1"/>
      <c r="AH252" s="1"/>
      <c r="AI252" s="1"/>
      <c r="AJ252" s="1"/>
      <c r="AK252" s="1"/>
      <c r="AL252" s="1"/>
      <c r="AM252" s="1"/>
      <c r="AN252" s="1"/>
      <c r="AO252" s="1"/>
      <c r="AP252" s="1"/>
      <c r="AQ252" s="1"/>
      <c r="AR252" s="1"/>
      <c r="AS252" s="1"/>
      <c r="AT252" s="1"/>
      <c r="AU252" s="1"/>
      <c r="AV252" s="1"/>
      <c r="AW252" s="1"/>
      <c r="AX252" s="1"/>
    </row>
    <row r="253" ht="15.75" customHeight="1">
      <c r="A253" s="2"/>
      <c r="B253" s="2"/>
      <c r="C253" s="1"/>
      <c r="D253" s="2"/>
      <c r="E253" s="66"/>
      <c r="F253" s="2"/>
      <c r="G253" s="2"/>
      <c r="H253" s="1"/>
      <c r="I253" s="1"/>
      <c r="J253" s="1"/>
      <c r="K253" s="1"/>
      <c r="L253" s="1"/>
      <c r="M253" s="1"/>
      <c r="N253" s="1"/>
      <c r="O253" s="1"/>
      <c r="P253" s="1"/>
      <c r="Q253" s="1"/>
      <c r="R253" s="1"/>
      <c r="S253" s="1"/>
      <c r="T253" s="1"/>
      <c r="U253" s="1"/>
      <c r="V253" s="1"/>
      <c r="W253" s="1"/>
      <c r="X253" s="1"/>
      <c r="Y253" s="1"/>
      <c r="Z253" s="1"/>
      <c r="AA253" s="1"/>
      <c r="AB253" s="1"/>
      <c r="AC253" s="1"/>
      <c r="AD253" s="67"/>
      <c r="AE253" s="1"/>
      <c r="AF253" s="1"/>
      <c r="AG253" s="1"/>
      <c r="AH253" s="1"/>
      <c r="AI253" s="1"/>
      <c r="AJ253" s="1"/>
      <c r="AK253" s="1"/>
      <c r="AL253" s="1"/>
      <c r="AM253" s="1"/>
      <c r="AN253" s="1"/>
      <c r="AO253" s="1"/>
      <c r="AP253" s="1"/>
      <c r="AQ253" s="1"/>
      <c r="AR253" s="1"/>
      <c r="AS253" s="1"/>
      <c r="AT253" s="1"/>
      <c r="AU253" s="1"/>
      <c r="AV253" s="1"/>
      <c r="AW253" s="1"/>
      <c r="AX253" s="1"/>
    </row>
    <row r="254" ht="15.75" customHeight="1">
      <c r="A254" s="67"/>
      <c r="B254" s="2"/>
      <c r="C254" s="1"/>
      <c r="D254" s="2"/>
      <c r="E254" s="66"/>
      <c r="F254" s="2"/>
      <c r="G254" s="5"/>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row>
    <row r="255" ht="15.75" customHeight="1">
      <c r="A255" s="67"/>
      <c r="B255" s="2"/>
      <c r="C255" s="1"/>
      <c r="D255" s="2"/>
      <c r="E255" s="66"/>
      <c r="F255" s="2"/>
      <c r="G255" s="5"/>
      <c r="H255" s="2"/>
      <c r="I255" s="1"/>
      <c r="J255" s="1"/>
      <c r="K255" s="1"/>
      <c r="L255" s="1"/>
      <c r="M255" s="1"/>
      <c r="N255" s="1"/>
      <c r="O255" s="1"/>
      <c r="P255" s="1"/>
      <c r="Q255" s="1"/>
      <c r="R255" s="1"/>
      <c r="S255" s="1"/>
      <c r="T255" s="1"/>
      <c r="U255" s="1"/>
      <c r="V255" s="1"/>
      <c r="W255" s="1"/>
      <c r="X255" s="1"/>
      <c r="Y255" s="1"/>
      <c r="Z255" s="1"/>
      <c r="AA255" s="1"/>
      <c r="AB255" s="1"/>
      <c r="AC255" s="1"/>
      <c r="AD255" s="67"/>
      <c r="AE255" s="1"/>
      <c r="AF255" s="1"/>
      <c r="AG255" s="1"/>
      <c r="AH255" s="1"/>
      <c r="AI255" s="1"/>
      <c r="AJ255" s="1"/>
      <c r="AK255" s="1"/>
      <c r="AL255" s="1"/>
      <c r="AM255" s="1"/>
      <c r="AN255" s="1"/>
      <c r="AO255" s="1"/>
      <c r="AP255" s="1"/>
      <c r="AQ255" s="1"/>
      <c r="AR255" s="1"/>
      <c r="AS255" s="1"/>
      <c r="AT255" s="1"/>
      <c r="AU255" s="1"/>
      <c r="AV255" s="1"/>
      <c r="AW255" s="1"/>
      <c r="AX255" s="1"/>
    </row>
    <row r="256" ht="15.75" customHeight="1">
      <c r="A256" s="67"/>
      <c r="B256" s="2"/>
      <c r="C256" s="1"/>
      <c r="D256" s="2"/>
      <c r="E256" s="66"/>
      <c r="F256" s="1"/>
      <c r="G256" s="1"/>
      <c r="H256" s="1"/>
      <c r="I256" s="1"/>
      <c r="J256" s="1"/>
      <c r="K256" s="1"/>
      <c r="L256" s="1"/>
      <c r="M256" s="1"/>
      <c r="N256" s="1"/>
      <c r="O256" s="1"/>
      <c r="P256" s="1"/>
      <c r="Q256" s="1"/>
      <c r="R256" s="1"/>
      <c r="S256" s="1"/>
      <c r="T256" s="1"/>
      <c r="U256" s="1"/>
      <c r="V256" s="1"/>
      <c r="W256" s="1"/>
      <c r="X256" s="1"/>
      <c r="Y256" s="1"/>
      <c r="Z256" s="1"/>
      <c r="AA256" s="1"/>
      <c r="AB256" s="1"/>
      <c r="AC256" s="1"/>
      <c r="AD256" s="67"/>
      <c r="AE256" s="1"/>
      <c r="AF256" s="1"/>
      <c r="AG256" s="1"/>
      <c r="AH256" s="1"/>
      <c r="AI256" s="1"/>
      <c r="AJ256" s="1"/>
      <c r="AK256" s="1"/>
      <c r="AL256" s="1"/>
      <c r="AM256" s="1"/>
      <c r="AN256" s="1"/>
      <c r="AO256" s="1"/>
      <c r="AP256" s="1"/>
      <c r="AQ256" s="1"/>
      <c r="AR256" s="1"/>
      <c r="AS256" s="1"/>
      <c r="AT256" s="1"/>
      <c r="AU256" s="1"/>
      <c r="AV256" s="1"/>
      <c r="AW256" s="1"/>
      <c r="AX256" s="1"/>
    </row>
    <row r="257" ht="15.75" customHeight="1">
      <c r="A257" s="67"/>
      <c r="B257" s="2"/>
      <c r="C257" s="1"/>
      <c r="D257" s="2"/>
      <c r="E257" s="66"/>
      <c r="F257" s="2"/>
      <c r="G257" s="5"/>
      <c r="H257" s="1"/>
      <c r="I257" s="1"/>
      <c r="J257" s="1"/>
      <c r="K257" s="1"/>
      <c r="L257" s="1"/>
      <c r="M257" s="1"/>
      <c r="N257" s="1"/>
      <c r="O257" s="1"/>
      <c r="P257" s="1"/>
      <c r="Q257" s="1"/>
      <c r="R257" s="1"/>
      <c r="S257" s="1"/>
      <c r="T257" s="1"/>
      <c r="U257" s="1"/>
      <c r="V257" s="1"/>
      <c r="W257" s="1"/>
      <c r="X257" s="1"/>
      <c r="Y257" s="1"/>
      <c r="Z257" s="1"/>
      <c r="AA257" s="1"/>
      <c r="AB257" s="1"/>
      <c r="AC257" s="1"/>
      <c r="AD257" s="67"/>
      <c r="AE257" s="1"/>
      <c r="AF257" s="1"/>
      <c r="AG257" s="1"/>
      <c r="AH257" s="1"/>
      <c r="AI257" s="1"/>
      <c r="AJ257" s="1"/>
      <c r="AK257" s="1"/>
      <c r="AL257" s="1"/>
      <c r="AM257" s="1"/>
      <c r="AN257" s="1"/>
      <c r="AO257" s="1"/>
      <c r="AP257" s="1"/>
      <c r="AQ257" s="1"/>
      <c r="AR257" s="1"/>
      <c r="AS257" s="1"/>
      <c r="AT257" s="1"/>
      <c r="AU257" s="1"/>
      <c r="AV257" s="1"/>
      <c r="AW257" s="1"/>
      <c r="AX257" s="1"/>
    </row>
    <row r="258" ht="15.75" customHeight="1">
      <c r="A258" s="2"/>
      <c r="B258" s="2"/>
      <c r="C258" s="1"/>
      <c r="D258" s="2"/>
      <c r="E258" s="66"/>
      <c r="F258" s="2"/>
      <c r="G258" s="2"/>
      <c r="H258" s="1"/>
      <c r="I258" s="1"/>
      <c r="J258" s="1"/>
      <c r="K258" s="1"/>
      <c r="L258" s="1"/>
      <c r="M258" s="1"/>
      <c r="N258" s="1"/>
      <c r="O258" s="1"/>
      <c r="P258" s="1"/>
      <c r="Q258" s="1"/>
      <c r="R258" s="1"/>
      <c r="S258" s="1"/>
      <c r="T258" s="1"/>
      <c r="U258" s="1"/>
      <c r="V258" s="1"/>
      <c r="W258" s="1"/>
      <c r="X258" s="1"/>
      <c r="Y258" s="1"/>
      <c r="Z258" s="1"/>
      <c r="AA258" s="1"/>
      <c r="AB258" s="1"/>
      <c r="AC258" s="1"/>
      <c r="AD258" s="67"/>
      <c r="AE258" s="1"/>
      <c r="AF258" s="1"/>
      <c r="AG258" s="1"/>
      <c r="AH258" s="1"/>
      <c r="AI258" s="1"/>
      <c r="AJ258" s="1"/>
      <c r="AK258" s="1"/>
      <c r="AL258" s="1"/>
      <c r="AM258" s="1"/>
      <c r="AN258" s="1"/>
      <c r="AO258" s="1"/>
      <c r="AP258" s="1"/>
      <c r="AQ258" s="1"/>
      <c r="AR258" s="1"/>
      <c r="AS258" s="1"/>
      <c r="AT258" s="1"/>
      <c r="AU258" s="1"/>
      <c r="AV258" s="1"/>
      <c r="AW258" s="1"/>
      <c r="AX258" s="1"/>
    </row>
    <row r="259" ht="15.75" customHeight="1">
      <c r="A259" s="2"/>
      <c r="B259" s="2"/>
      <c r="C259" s="1"/>
      <c r="D259" s="2"/>
      <c r="E259" s="66"/>
      <c r="F259" s="2"/>
      <c r="G259" s="2"/>
      <c r="H259" s="1"/>
      <c r="I259" s="1"/>
      <c r="J259" s="1"/>
      <c r="K259" s="1"/>
      <c r="L259" s="1"/>
      <c r="M259" s="1"/>
      <c r="N259" s="1"/>
      <c r="O259" s="1"/>
      <c r="P259" s="1"/>
      <c r="Q259" s="1"/>
      <c r="R259" s="1"/>
      <c r="S259" s="1"/>
      <c r="T259" s="1"/>
      <c r="U259" s="1"/>
      <c r="V259" s="1"/>
      <c r="W259" s="1"/>
      <c r="X259" s="1"/>
      <c r="Y259" s="1"/>
      <c r="Z259" s="1"/>
      <c r="AA259" s="1"/>
      <c r="AB259" s="1"/>
      <c r="AC259" s="1"/>
      <c r="AD259" s="67"/>
      <c r="AE259" s="1"/>
      <c r="AF259" s="1"/>
      <c r="AG259" s="1"/>
      <c r="AH259" s="1"/>
      <c r="AI259" s="1"/>
      <c r="AJ259" s="1"/>
      <c r="AK259" s="1"/>
      <c r="AL259" s="1"/>
      <c r="AM259" s="1"/>
      <c r="AN259" s="1"/>
      <c r="AO259" s="1"/>
      <c r="AP259" s="1"/>
      <c r="AQ259" s="1"/>
      <c r="AR259" s="1"/>
      <c r="AS259" s="1"/>
      <c r="AT259" s="1"/>
      <c r="AU259" s="1"/>
      <c r="AV259" s="1"/>
      <c r="AW259" s="1"/>
      <c r="AX259" s="1"/>
    </row>
    <row r="260" ht="15.75" customHeight="1">
      <c r="A260" s="67"/>
      <c r="B260" s="2"/>
      <c r="C260" s="1"/>
      <c r="D260" s="2"/>
      <c r="E260" s="66"/>
      <c r="F260" s="2"/>
      <c r="G260" s="2"/>
      <c r="H260" s="1"/>
      <c r="I260" s="1"/>
      <c r="J260" s="1"/>
      <c r="K260" s="1"/>
      <c r="L260" s="1"/>
      <c r="M260" s="1"/>
      <c r="N260" s="1"/>
      <c r="O260" s="1"/>
      <c r="P260" s="1"/>
      <c r="Q260" s="1"/>
      <c r="R260" s="1"/>
      <c r="S260" s="1"/>
      <c r="T260" s="1"/>
      <c r="U260" s="1"/>
      <c r="V260" s="1"/>
      <c r="W260" s="1"/>
      <c r="X260" s="1"/>
      <c r="Y260" s="1"/>
      <c r="Z260" s="1"/>
      <c r="AA260" s="1"/>
      <c r="AB260" s="1"/>
      <c r="AC260" s="1"/>
      <c r="AD260" s="67"/>
      <c r="AE260" s="1"/>
      <c r="AF260" s="1"/>
      <c r="AG260" s="1"/>
      <c r="AH260" s="1"/>
      <c r="AI260" s="1"/>
      <c r="AJ260" s="1"/>
      <c r="AK260" s="1"/>
      <c r="AL260" s="1"/>
      <c r="AM260" s="1"/>
      <c r="AN260" s="1"/>
      <c r="AO260" s="1"/>
      <c r="AP260" s="1"/>
      <c r="AQ260" s="1"/>
      <c r="AR260" s="1"/>
      <c r="AS260" s="1"/>
      <c r="AT260" s="1"/>
      <c r="AU260" s="1"/>
      <c r="AV260" s="1"/>
      <c r="AW260" s="1"/>
      <c r="AX260" s="1"/>
    </row>
    <row r="261" ht="15.75" customHeight="1">
      <c r="A261" s="67"/>
      <c r="B261" s="2"/>
      <c r="C261" s="1"/>
      <c r="D261" s="2"/>
      <c r="E261" s="66"/>
      <c r="F261" s="1"/>
      <c r="G261" s="1"/>
      <c r="H261" s="1"/>
      <c r="I261" s="1"/>
      <c r="J261" s="1"/>
      <c r="K261" s="1"/>
      <c r="L261" s="1"/>
      <c r="M261" s="1"/>
      <c r="N261" s="1"/>
      <c r="O261" s="1"/>
      <c r="P261" s="1"/>
      <c r="Q261" s="1"/>
      <c r="R261" s="1"/>
      <c r="S261" s="1"/>
      <c r="T261" s="1"/>
      <c r="U261" s="1"/>
      <c r="V261" s="1"/>
      <c r="W261" s="1"/>
      <c r="X261" s="1"/>
      <c r="Y261" s="1"/>
      <c r="Z261" s="1"/>
      <c r="AA261" s="1"/>
      <c r="AB261" s="1"/>
      <c r="AC261" s="1"/>
      <c r="AD261" s="67"/>
      <c r="AE261" s="1"/>
      <c r="AF261" s="1"/>
      <c r="AG261" s="1"/>
      <c r="AH261" s="1"/>
      <c r="AI261" s="1"/>
      <c r="AJ261" s="1"/>
      <c r="AK261" s="1"/>
      <c r="AL261" s="1"/>
      <c r="AM261" s="1"/>
      <c r="AN261" s="1"/>
      <c r="AO261" s="1"/>
      <c r="AP261" s="1"/>
      <c r="AQ261" s="1"/>
      <c r="AR261" s="1"/>
      <c r="AS261" s="1"/>
      <c r="AT261" s="1"/>
      <c r="AU261" s="1"/>
      <c r="AV261" s="1"/>
      <c r="AW261" s="1"/>
      <c r="AX261" s="1"/>
    </row>
    <row r="262" ht="15.75" customHeight="1">
      <c r="A262" s="67"/>
      <c r="B262" s="2"/>
      <c r="C262" s="1"/>
      <c r="D262" s="2"/>
      <c r="E262" s="66"/>
      <c r="F262" s="1"/>
      <c r="G262" s="1"/>
      <c r="H262" s="1"/>
      <c r="I262" s="1"/>
      <c r="J262" s="1"/>
      <c r="K262" s="1"/>
      <c r="L262" s="1"/>
      <c r="M262" s="1"/>
      <c r="N262" s="1"/>
      <c r="O262" s="1"/>
      <c r="P262" s="1"/>
      <c r="Q262" s="1"/>
      <c r="R262" s="1"/>
      <c r="S262" s="1"/>
      <c r="T262" s="1"/>
      <c r="U262" s="1"/>
      <c r="V262" s="1"/>
      <c r="W262" s="1"/>
      <c r="X262" s="1"/>
      <c r="Y262" s="1"/>
      <c r="Z262" s="1"/>
      <c r="AA262" s="1"/>
      <c r="AB262" s="1"/>
      <c r="AC262" s="1"/>
      <c r="AD262" s="67"/>
      <c r="AE262" s="1"/>
      <c r="AF262" s="1"/>
      <c r="AG262" s="1"/>
      <c r="AH262" s="1"/>
      <c r="AI262" s="1"/>
      <c r="AJ262" s="1"/>
      <c r="AK262" s="1"/>
      <c r="AL262" s="1"/>
      <c r="AM262" s="1"/>
      <c r="AN262" s="1"/>
      <c r="AO262" s="1"/>
      <c r="AP262" s="1"/>
      <c r="AQ262" s="1"/>
      <c r="AR262" s="1"/>
      <c r="AS262" s="1"/>
      <c r="AT262" s="1"/>
      <c r="AU262" s="1"/>
      <c r="AV262" s="1"/>
      <c r="AW262" s="1"/>
      <c r="AX262" s="1"/>
    </row>
    <row r="263" ht="15.75" customHeight="1">
      <c r="A263" s="67"/>
      <c r="B263" s="2"/>
      <c r="C263" s="1"/>
      <c r="D263" s="2"/>
      <c r="E263" s="66"/>
      <c r="F263" s="2"/>
      <c r="G263" s="2"/>
      <c r="H263" s="2"/>
      <c r="I263" s="1"/>
      <c r="J263" s="1"/>
      <c r="K263" s="1"/>
      <c r="L263" s="1"/>
      <c r="M263" s="1"/>
      <c r="N263" s="2"/>
      <c r="O263" s="1"/>
      <c r="P263" s="1"/>
      <c r="Q263" s="2"/>
      <c r="R263" s="1"/>
      <c r="S263" s="1"/>
      <c r="T263" s="1"/>
      <c r="U263" s="1"/>
      <c r="V263" s="1"/>
      <c r="W263" s="1"/>
      <c r="X263" s="1"/>
      <c r="Y263" s="1"/>
      <c r="Z263" s="1"/>
      <c r="AA263" s="1"/>
      <c r="AB263" s="1"/>
      <c r="AC263" s="1"/>
      <c r="AD263" s="67"/>
      <c r="AE263" s="1"/>
      <c r="AF263" s="1"/>
      <c r="AG263" s="1"/>
      <c r="AH263" s="1"/>
      <c r="AI263" s="1"/>
      <c r="AJ263" s="1"/>
      <c r="AK263" s="1"/>
      <c r="AL263" s="1"/>
      <c r="AM263" s="1"/>
      <c r="AN263" s="1"/>
      <c r="AO263" s="1"/>
      <c r="AP263" s="1"/>
      <c r="AQ263" s="1"/>
      <c r="AR263" s="1"/>
      <c r="AS263" s="1"/>
      <c r="AT263" s="1"/>
      <c r="AU263" s="1"/>
      <c r="AV263" s="1"/>
      <c r="AW263" s="1"/>
      <c r="AX263" s="1"/>
    </row>
    <row r="264" ht="15.75" customHeight="1">
      <c r="A264" s="2"/>
      <c r="B264" s="2"/>
      <c r="C264" s="1"/>
      <c r="D264" s="2"/>
      <c r="E264" s="66"/>
      <c r="F264" s="2"/>
      <c r="G264" s="2"/>
      <c r="H264" s="1"/>
      <c r="I264" s="1"/>
      <c r="J264" s="1"/>
      <c r="K264" s="1"/>
      <c r="L264" s="1"/>
      <c r="M264" s="1"/>
      <c r="N264" s="2"/>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row>
    <row r="265" ht="15.75" customHeight="1">
      <c r="A265" s="67"/>
      <c r="B265" s="2"/>
      <c r="C265" s="1"/>
      <c r="D265" s="2"/>
      <c r="E265" s="66"/>
      <c r="F265" s="2"/>
      <c r="G265" s="2"/>
      <c r="H265" s="1"/>
      <c r="I265" s="1"/>
      <c r="J265" s="1"/>
      <c r="K265" s="1"/>
      <c r="L265" s="1"/>
      <c r="M265" s="1"/>
      <c r="N265" s="1"/>
      <c r="O265" s="1"/>
      <c r="P265" s="1"/>
      <c r="Q265" s="1"/>
      <c r="R265" s="1"/>
      <c r="S265" s="1"/>
      <c r="T265" s="1"/>
      <c r="U265" s="1"/>
      <c r="V265" s="1"/>
      <c r="W265" s="1"/>
      <c r="X265" s="1"/>
      <c r="Y265" s="1"/>
      <c r="Z265" s="1"/>
      <c r="AA265" s="1"/>
      <c r="AB265" s="1"/>
      <c r="AC265" s="1"/>
      <c r="AD265" s="67"/>
      <c r="AE265" s="1"/>
      <c r="AF265" s="1"/>
      <c r="AG265" s="1"/>
      <c r="AH265" s="1"/>
      <c r="AI265" s="1"/>
      <c r="AJ265" s="1"/>
      <c r="AK265" s="1"/>
      <c r="AL265" s="1"/>
      <c r="AM265" s="1"/>
      <c r="AN265" s="1"/>
      <c r="AO265" s="1"/>
      <c r="AP265" s="1"/>
      <c r="AQ265" s="1"/>
      <c r="AR265" s="1"/>
      <c r="AS265" s="1"/>
      <c r="AT265" s="1"/>
      <c r="AU265" s="1"/>
      <c r="AV265" s="1"/>
      <c r="AW265" s="1"/>
      <c r="AX265" s="1"/>
    </row>
    <row r="266" ht="15.75" customHeight="1">
      <c r="A266" s="2"/>
      <c r="B266" s="2"/>
      <c r="C266" s="1"/>
      <c r="D266" s="2"/>
      <c r="E266" s="66"/>
      <c r="F266" s="1"/>
      <c r="G266" s="1"/>
      <c r="H266" s="1"/>
      <c r="I266" s="1"/>
      <c r="J266" s="1"/>
      <c r="K266" s="1"/>
      <c r="L266" s="1"/>
      <c r="M266" s="1"/>
      <c r="N266" s="1"/>
      <c r="O266" s="1"/>
      <c r="P266" s="1"/>
      <c r="Q266" s="1"/>
      <c r="R266" s="1"/>
      <c r="S266" s="1"/>
      <c r="T266" s="1"/>
      <c r="U266" s="1"/>
      <c r="V266" s="1"/>
      <c r="W266" s="1"/>
      <c r="X266" s="1"/>
      <c r="Y266" s="1"/>
      <c r="Z266" s="1"/>
      <c r="AA266" s="1"/>
      <c r="AB266" s="1"/>
      <c r="AC266" s="1"/>
      <c r="AD266" s="67"/>
      <c r="AE266" s="1"/>
      <c r="AF266" s="1"/>
      <c r="AG266" s="1"/>
      <c r="AH266" s="1"/>
      <c r="AI266" s="1"/>
      <c r="AJ266" s="1"/>
      <c r="AK266" s="1"/>
      <c r="AL266" s="1"/>
      <c r="AM266" s="1"/>
      <c r="AN266" s="1"/>
      <c r="AO266" s="1"/>
      <c r="AP266" s="1"/>
      <c r="AQ266" s="1"/>
      <c r="AR266" s="1"/>
      <c r="AS266" s="1"/>
      <c r="AT266" s="1"/>
      <c r="AU266" s="1"/>
      <c r="AV266" s="1"/>
      <c r="AW266" s="1"/>
      <c r="AX266" s="1"/>
    </row>
    <row r="267" ht="15.75" customHeight="1">
      <c r="A267" s="2"/>
      <c r="B267" s="2"/>
      <c r="C267" s="1"/>
      <c r="D267" s="2"/>
      <c r="E267" s="66"/>
      <c r="F267" s="2"/>
      <c r="G267" s="2"/>
      <c r="H267" s="1"/>
      <c r="I267" s="1"/>
      <c r="J267" s="1"/>
      <c r="K267" s="1"/>
      <c r="L267" s="1"/>
      <c r="M267" s="1"/>
      <c r="N267" s="1"/>
      <c r="O267" s="1"/>
      <c r="P267" s="1"/>
      <c r="Q267" s="1"/>
      <c r="R267" s="1"/>
      <c r="S267" s="1"/>
      <c r="T267" s="1"/>
      <c r="U267" s="1"/>
      <c r="V267" s="1"/>
      <c r="W267" s="1"/>
      <c r="X267" s="1"/>
      <c r="Y267" s="1"/>
      <c r="Z267" s="1"/>
      <c r="AA267" s="1"/>
      <c r="AB267" s="1"/>
      <c r="AC267" s="1"/>
      <c r="AD267" s="67"/>
      <c r="AE267" s="1"/>
      <c r="AF267" s="1"/>
      <c r="AG267" s="1"/>
      <c r="AH267" s="1"/>
      <c r="AI267" s="1"/>
      <c r="AJ267" s="1"/>
      <c r="AK267" s="1"/>
      <c r="AL267" s="1"/>
      <c r="AM267" s="1"/>
      <c r="AN267" s="1"/>
      <c r="AO267" s="1"/>
      <c r="AP267" s="1"/>
      <c r="AQ267" s="1"/>
      <c r="AR267" s="1"/>
      <c r="AS267" s="1"/>
      <c r="AT267" s="1"/>
      <c r="AU267" s="1"/>
      <c r="AV267" s="1"/>
      <c r="AW267" s="1"/>
      <c r="AX267" s="1"/>
    </row>
    <row r="268" ht="15.75" customHeight="1">
      <c r="A268" s="2"/>
      <c r="B268" s="2"/>
      <c r="C268" s="1"/>
      <c r="D268" s="2"/>
      <c r="E268" s="66"/>
      <c r="F268" s="2"/>
      <c r="G268" s="2"/>
      <c r="H268" s="1"/>
      <c r="I268" s="1"/>
      <c r="J268" s="1"/>
      <c r="K268" s="1"/>
      <c r="L268" s="1"/>
      <c r="M268" s="1"/>
      <c r="N268" s="1"/>
      <c r="O268" s="1"/>
      <c r="P268" s="1"/>
      <c r="Q268" s="1"/>
      <c r="R268" s="1"/>
      <c r="S268" s="1"/>
      <c r="T268" s="1"/>
      <c r="U268" s="1"/>
      <c r="V268" s="1"/>
      <c r="W268" s="1"/>
      <c r="X268" s="1"/>
      <c r="Y268" s="1"/>
      <c r="Z268" s="1"/>
      <c r="AA268" s="1"/>
      <c r="AB268" s="1"/>
      <c r="AC268" s="1"/>
      <c r="AD268" s="67"/>
      <c r="AE268" s="1"/>
      <c r="AF268" s="1"/>
      <c r="AG268" s="1"/>
      <c r="AH268" s="1"/>
      <c r="AI268" s="1"/>
      <c r="AJ268" s="1"/>
      <c r="AK268" s="1"/>
      <c r="AL268" s="1"/>
      <c r="AM268" s="1"/>
      <c r="AN268" s="1"/>
      <c r="AO268" s="1"/>
      <c r="AP268" s="1"/>
      <c r="AQ268" s="1"/>
      <c r="AR268" s="1"/>
      <c r="AS268" s="1"/>
      <c r="AT268" s="1"/>
      <c r="AU268" s="1"/>
      <c r="AV268" s="1"/>
      <c r="AW268" s="1"/>
      <c r="AX268" s="1"/>
    </row>
    <row r="269" ht="15.75" customHeight="1">
      <c r="A269" s="2"/>
      <c r="B269" s="2"/>
      <c r="C269" s="1"/>
      <c r="D269" s="2"/>
      <c r="E269" s="66"/>
      <c r="F269" s="2"/>
      <c r="G269" s="2"/>
      <c r="H269" s="1"/>
      <c r="I269" s="1"/>
      <c r="J269" s="1"/>
      <c r="K269" s="1"/>
      <c r="L269" s="1"/>
      <c r="M269" s="1"/>
      <c r="N269" s="1"/>
      <c r="O269" s="1"/>
      <c r="P269" s="1"/>
      <c r="Q269" s="1"/>
      <c r="R269" s="1"/>
      <c r="S269" s="1"/>
      <c r="T269" s="1"/>
      <c r="U269" s="1"/>
      <c r="V269" s="1"/>
      <c r="W269" s="1"/>
      <c r="X269" s="1"/>
      <c r="Y269" s="1"/>
      <c r="Z269" s="1"/>
      <c r="AA269" s="1"/>
      <c r="AB269" s="1"/>
      <c r="AC269" s="1"/>
      <c r="AD269" s="67"/>
      <c r="AE269" s="1"/>
      <c r="AF269" s="1"/>
      <c r="AG269" s="1"/>
      <c r="AH269" s="1"/>
      <c r="AI269" s="1"/>
      <c r="AJ269" s="1"/>
      <c r="AK269" s="1"/>
      <c r="AL269" s="1"/>
      <c r="AM269" s="1"/>
      <c r="AN269" s="1"/>
      <c r="AO269" s="1"/>
      <c r="AP269" s="1"/>
      <c r="AQ269" s="1"/>
      <c r="AR269" s="1"/>
      <c r="AS269" s="1"/>
      <c r="AT269" s="1"/>
      <c r="AU269" s="1"/>
      <c r="AV269" s="1"/>
      <c r="AW269" s="1"/>
      <c r="AX269" s="1"/>
    </row>
    <row r="270" ht="15.75" customHeight="1">
      <c r="A270" s="2"/>
      <c r="B270" s="2"/>
      <c r="C270" s="1"/>
      <c r="D270" s="2"/>
      <c r="E270" s="66"/>
      <c r="F270" s="2"/>
      <c r="G270" s="2"/>
      <c r="H270" s="1"/>
      <c r="I270" s="1"/>
      <c r="J270" s="1"/>
      <c r="K270" s="1"/>
      <c r="L270" s="1"/>
      <c r="M270" s="1"/>
      <c r="N270" s="1"/>
      <c r="O270" s="1"/>
      <c r="P270" s="1"/>
      <c r="Q270" s="1"/>
      <c r="R270" s="1"/>
      <c r="S270" s="1"/>
      <c r="T270" s="1"/>
      <c r="U270" s="1"/>
      <c r="V270" s="1"/>
      <c r="W270" s="1"/>
      <c r="X270" s="1"/>
      <c r="Y270" s="1"/>
      <c r="Z270" s="1"/>
      <c r="AA270" s="1"/>
      <c r="AB270" s="1"/>
      <c r="AC270" s="1"/>
      <c r="AD270" s="67"/>
      <c r="AE270" s="1"/>
      <c r="AF270" s="1"/>
      <c r="AG270" s="1"/>
      <c r="AH270" s="1"/>
      <c r="AI270" s="1"/>
      <c r="AJ270" s="1"/>
      <c r="AK270" s="1"/>
      <c r="AL270" s="1"/>
      <c r="AM270" s="1"/>
      <c r="AN270" s="1"/>
      <c r="AO270" s="1"/>
      <c r="AP270" s="1"/>
      <c r="AQ270" s="1"/>
      <c r="AR270" s="1"/>
      <c r="AS270" s="1"/>
      <c r="AT270" s="1"/>
      <c r="AU270" s="1"/>
      <c r="AV270" s="1"/>
      <c r="AW270" s="1"/>
      <c r="AX270" s="1"/>
    </row>
    <row r="271" ht="15.75" customHeight="1">
      <c r="A271" s="2"/>
      <c r="B271" s="1"/>
      <c r="C271" s="1"/>
      <c r="D271" s="2"/>
      <c r="E271" s="66"/>
      <c r="F271" s="1"/>
      <c r="G271" s="1"/>
      <c r="H271" s="1"/>
      <c r="I271" s="1"/>
      <c r="J271" s="1"/>
      <c r="K271" s="1"/>
      <c r="L271" s="1"/>
      <c r="M271" s="1"/>
      <c r="N271" s="1"/>
      <c r="O271" s="1"/>
      <c r="P271" s="1"/>
      <c r="Q271" s="1"/>
      <c r="R271" s="1"/>
      <c r="S271" s="1"/>
      <c r="T271" s="1"/>
      <c r="U271" s="1"/>
      <c r="V271" s="1"/>
      <c r="W271" s="1"/>
      <c r="X271" s="1"/>
      <c r="Y271" s="1"/>
      <c r="Z271" s="1"/>
      <c r="AA271" s="1"/>
      <c r="AB271" s="1"/>
      <c r="AC271" s="1"/>
      <c r="AD271" s="67"/>
      <c r="AE271" s="1"/>
      <c r="AF271" s="1"/>
      <c r="AG271" s="1"/>
      <c r="AH271" s="1"/>
      <c r="AI271" s="1"/>
      <c r="AJ271" s="1"/>
      <c r="AK271" s="1"/>
      <c r="AL271" s="1"/>
      <c r="AM271" s="1"/>
      <c r="AN271" s="1"/>
      <c r="AO271" s="1"/>
      <c r="AP271" s="1"/>
      <c r="AQ271" s="1"/>
      <c r="AR271" s="1"/>
      <c r="AS271" s="1"/>
      <c r="AT271" s="1"/>
      <c r="AU271" s="1"/>
      <c r="AV271" s="1"/>
      <c r="AW271" s="1"/>
      <c r="AX271" s="1"/>
    </row>
    <row r="272" ht="15.75" customHeight="1">
      <c r="A272" s="1"/>
      <c r="B272" s="1"/>
      <c r="C272" s="1"/>
      <c r="D272" s="2"/>
      <c r="E272" s="66"/>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row>
    <row r="273" ht="15.75" customHeight="1">
      <c r="A273" s="1"/>
      <c r="B273" s="1"/>
      <c r="C273" s="1"/>
      <c r="D273" s="2"/>
      <c r="E273" s="66"/>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row>
    <row r="274" ht="15.75" customHeight="1">
      <c r="A274" s="1"/>
      <c r="B274" s="1"/>
      <c r="C274" s="1"/>
      <c r="D274" s="2"/>
      <c r="E274" s="66"/>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row>
    <row r="275" ht="15.75" customHeight="1">
      <c r="A275" s="1"/>
      <c r="B275" s="1"/>
      <c r="C275" s="1"/>
      <c r="D275" s="2"/>
      <c r="E275" s="66"/>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row>
    <row r="276" ht="15.75" customHeight="1">
      <c r="A276" s="1"/>
      <c r="B276" s="1"/>
      <c r="C276" s="1"/>
      <c r="D276" s="2"/>
      <c r="E276" s="66"/>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row>
    <row r="277" ht="15.75" customHeight="1">
      <c r="A277" s="1"/>
      <c r="B277" s="1"/>
      <c r="C277" s="1"/>
      <c r="D277" s="2"/>
      <c r="E277" s="66"/>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row>
    <row r="278" ht="15.75" customHeight="1">
      <c r="A278" s="1"/>
      <c r="B278" s="1"/>
      <c r="C278" s="1"/>
      <c r="D278" s="2"/>
      <c r="E278" s="66"/>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row>
    <row r="279" ht="15.75" customHeight="1">
      <c r="A279" s="1"/>
      <c r="B279" s="1"/>
      <c r="C279" s="1"/>
      <c r="D279" s="2"/>
      <c r="E279" s="66"/>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row>
    <row r="280" ht="15.75" customHeight="1">
      <c r="A280" s="1"/>
      <c r="B280" s="1"/>
      <c r="C280" s="1"/>
      <c r="D280" s="2"/>
      <c r="E280" s="66"/>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row>
    <row r="281" ht="15.75" customHeight="1">
      <c r="A281" s="1"/>
      <c r="B281" s="1"/>
      <c r="C281" s="1"/>
      <c r="D281" s="2"/>
      <c r="E281" s="66"/>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row>
    <row r="282" ht="15.75" customHeight="1">
      <c r="A282" s="1"/>
      <c r="B282" s="1"/>
      <c r="C282" s="1"/>
      <c r="D282" s="2"/>
      <c r="E282" s="66"/>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row>
    <row r="283" ht="15.75" customHeight="1">
      <c r="A283" s="1"/>
      <c r="B283" s="1"/>
      <c r="C283" s="1"/>
      <c r="D283" s="2"/>
      <c r="E283" s="66"/>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row>
    <row r="284" ht="15.75" customHeight="1">
      <c r="A284" s="1"/>
      <c r="B284" s="1"/>
      <c r="C284" s="1"/>
      <c r="D284" s="2"/>
      <c r="E284" s="66"/>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row>
    <row r="285" ht="15.75" customHeight="1">
      <c r="A285" s="1"/>
      <c r="B285" s="1"/>
      <c r="C285" s="1"/>
      <c r="D285" s="2"/>
      <c r="E285" s="66"/>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row>
    <row r="286" ht="15.75" customHeight="1">
      <c r="A286" s="1"/>
      <c r="B286" s="1"/>
      <c r="C286" s="1"/>
      <c r="D286" s="2"/>
      <c r="E286" s="66"/>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row>
    <row r="287" ht="15.75" customHeight="1">
      <c r="A287" s="1"/>
      <c r="B287" s="1"/>
      <c r="C287" s="1"/>
      <c r="D287" s="2"/>
      <c r="E287" s="66"/>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row>
    <row r="288" ht="15.75" customHeight="1">
      <c r="A288" s="1"/>
      <c r="B288" s="1"/>
      <c r="C288" s="1"/>
      <c r="D288" s="2"/>
      <c r="E288" s="66"/>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row>
    <row r="289" ht="15.75" customHeight="1">
      <c r="A289" s="1"/>
      <c r="B289" s="1"/>
      <c r="C289" s="1"/>
      <c r="D289" s="2"/>
      <c r="E289" s="66"/>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row>
    <row r="290" ht="15.75" customHeight="1">
      <c r="A290" s="1"/>
      <c r="B290" s="1"/>
      <c r="C290" s="1"/>
      <c r="D290" s="2"/>
      <c r="E290" s="66"/>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row>
    <row r="291" ht="15.75" customHeight="1">
      <c r="A291" s="1"/>
      <c r="B291" s="1"/>
      <c r="C291" s="1"/>
      <c r="D291" s="2"/>
      <c r="E291" s="66"/>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row>
    <row r="292" ht="15.75" customHeight="1">
      <c r="A292" s="1"/>
      <c r="B292" s="1"/>
      <c r="C292" s="1"/>
      <c r="D292" s="2"/>
      <c r="E292" s="66"/>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row>
    <row r="293" ht="15.75" customHeight="1">
      <c r="A293" s="1"/>
      <c r="B293" s="1"/>
      <c r="C293" s="1"/>
      <c r="D293" s="2"/>
      <c r="E293" s="66"/>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row>
    <row r="294" ht="15.75" customHeight="1">
      <c r="A294" s="1"/>
      <c r="B294" s="1"/>
      <c r="C294" s="1"/>
      <c r="D294" s="2"/>
      <c r="E294" s="66"/>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row>
    <row r="295" ht="15.75" customHeight="1">
      <c r="A295" s="1"/>
      <c r="B295" s="1"/>
      <c r="C295" s="1"/>
      <c r="D295" s="2"/>
      <c r="E295" s="66"/>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row>
    <row r="296" ht="15.75" customHeight="1">
      <c r="A296" s="1"/>
      <c r="B296" s="1"/>
      <c r="C296" s="1"/>
      <c r="D296" s="2"/>
      <c r="E296" s="66"/>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row>
    <row r="297" ht="15.75" customHeight="1">
      <c r="A297" s="1"/>
      <c r="B297" s="1"/>
      <c r="C297" s="1"/>
      <c r="D297" s="2"/>
      <c r="E297" s="66"/>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row>
    <row r="298" ht="15.75" customHeight="1">
      <c r="A298" s="1"/>
      <c r="B298" s="1"/>
      <c r="C298" s="1"/>
      <c r="D298" s="2"/>
      <c r="E298" s="66"/>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row>
    <row r="299" ht="15.75" customHeight="1">
      <c r="A299" s="1"/>
      <c r="B299" s="1"/>
      <c r="C299" s="1"/>
      <c r="D299" s="2"/>
      <c r="E299" s="66"/>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row>
    <row r="300" ht="15.75" customHeight="1">
      <c r="A300" s="1"/>
      <c r="B300" s="1"/>
      <c r="C300" s="1"/>
      <c r="D300" s="2"/>
      <c r="E300" s="66"/>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row>
    <row r="301" ht="15.75" customHeight="1">
      <c r="A301" s="1"/>
      <c r="B301" s="1"/>
      <c r="C301" s="1"/>
      <c r="D301" s="2"/>
      <c r="E301" s="66"/>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row>
    <row r="302" ht="15.75" customHeight="1">
      <c r="A302" s="1"/>
      <c r="B302" s="1"/>
      <c r="C302" s="1"/>
      <c r="D302" s="2"/>
      <c r="E302" s="66"/>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row>
    <row r="303" ht="15.75" customHeight="1">
      <c r="A303" s="1"/>
      <c r="B303" s="1"/>
      <c r="C303" s="1"/>
      <c r="D303" s="2"/>
      <c r="E303" s="66"/>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row>
    <row r="304" ht="15.75" customHeight="1">
      <c r="A304" s="1"/>
      <c r="B304" s="1"/>
      <c r="C304" s="1"/>
      <c r="D304" s="2"/>
      <c r="E304" s="66"/>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row>
    <row r="305" ht="15.75" customHeight="1">
      <c r="A305" s="1"/>
      <c r="B305" s="1"/>
      <c r="C305" s="1"/>
      <c r="D305" s="2"/>
      <c r="E305" s="66"/>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row>
    <row r="306" ht="15.75" customHeight="1">
      <c r="A306" s="1"/>
      <c r="B306" s="1"/>
      <c r="C306" s="1"/>
      <c r="D306" s="2"/>
      <c r="E306" s="66"/>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row>
    <row r="307" ht="15.75" customHeight="1">
      <c r="A307" s="1"/>
      <c r="B307" s="1"/>
      <c r="C307" s="1"/>
      <c r="D307" s="2"/>
      <c r="E307" s="66"/>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row>
    <row r="308" ht="15.75" customHeight="1">
      <c r="A308" s="1"/>
      <c r="B308" s="1"/>
      <c r="C308" s="1"/>
      <c r="D308" s="2"/>
      <c r="E308" s="66"/>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row>
    <row r="309" ht="15.75" customHeight="1">
      <c r="A309" s="1"/>
      <c r="B309" s="1"/>
      <c r="C309" s="1"/>
      <c r="D309" s="2"/>
      <c r="E309" s="66"/>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row>
    <row r="310" ht="15.75" customHeight="1">
      <c r="A310" s="1"/>
      <c r="B310" s="1"/>
      <c r="C310" s="1"/>
      <c r="D310" s="2"/>
      <c r="E310" s="66"/>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row>
    <row r="311" ht="15.75" customHeight="1">
      <c r="A311" s="1"/>
      <c r="B311" s="1"/>
      <c r="C311" s="1"/>
      <c r="D311" s="2"/>
      <c r="E311" s="66"/>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row>
    <row r="312" ht="15.75" customHeight="1">
      <c r="A312" s="1"/>
      <c r="B312" s="1"/>
      <c r="C312" s="1"/>
      <c r="D312" s="2"/>
      <c r="E312" s="66"/>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row>
    <row r="313" ht="15.75" customHeight="1">
      <c r="A313" s="1"/>
      <c r="B313" s="1"/>
      <c r="C313" s="1"/>
      <c r="D313" s="2"/>
      <c r="E313" s="66"/>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row>
    <row r="314" ht="15.75" customHeight="1">
      <c r="A314" s="1"/>
      <c r="B314" s="1"/>
      <c r="C314" s="1"/>
      <c r="D314" s="2"/>
      <c r="E314" s="66"/>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row>
    <row r="315" ht="15.75" customHeight="1">
      <c r="A315" s="1"/>
      <c r="B315" s="1"/>
      <c r="C315" s="1"/>
      <c r="D315" s="2"/>
      <c r="E315" s="66"/>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row>
    <row r="316" ht="15.75" customHeight="1">
      <c r="A316" s="1"/>
      <c r="B316" s="1"/>
      <c r="C316" s="1"/>
      <c r="D316" s="2"/>
      <c r="E316" s="66"/>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row>
    <row r="317" ht="15.75" customHeight="1">
      <c r="A317" s="1"/>
      <c r="B317" s="1"/>
      <c r="C317" s="1"/>
      <c r="D317" s="2"/>
      <c r="E317" s="66"/>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row>
    <row r="318" ht="15.75" customHeight="1">
      <c r="A318" s="1"/>
      <c r="B318" s="1"/>
      <c r="C318" s="1"/>
      <c r="D318" s="2"/>
      <c r="E318" s="66"/>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row>
    <row r="319" ht="15.75" customHeight="1">
      <c r="A319" s="1"/>
      <c r="B319" s="1"/>
      <c r="C319" s="1"/>
      <c r="D319" s="2"/>
      <c r="E319" s="66"/>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row>
    <row r="320" ht="15.75" customHeight="1">
      <c r="A320" s="1"/>
      <c r="B320" s="1"/>
      <c r="C320" s="1"/>
      <c r="D320" s="2"/>
      <c r="E320" s="66"/>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row>
    <row r="321" ht="15.75" customHeight="1">
      <c r="A321" s="1"/>
      <c r="B321" s="1"/>
      <c r="C321" s="1"/>
      <c r="D321" s="2"/>
      <c r="E321" s="66"/>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row>
    <row r="322" ht="15.75" customHeight="1">
      <c r="A322" s="1"/>
      <c r="B322" s="1"/>
      <c r="C322" s="1"/>
      <c r="D322" s="2"/>
      <c r="E322" s="66"/>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row>
    <row r="323" ht="15.75" customHeight="1">
      <c r="A323" s="1"/>
      <c r="B323" s="1"/>
      <c r="C323" s="1"/>
      <c r="D323" s="2"/>
      <c r="E323" s="66"/>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row>
    <row r="324" ht="15.75" customHeight="1">
      <c r="A324" s="1"/>
      <c r="B324" s="1"/>
      <c r="C324" s="1"/>
      <c r="D324" s="2"/>
      <c r="E324" s="66"/>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row>
    <row r="325" ht="15.75" customHeight="1">
      <c r="A325" s="1"/>
      <c r="B325" s="1"/>
      <c r="C325" s="1"/>
      <c r="D325" s="2"/>
      <c r="E325" s="66"/>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row>
    <row r="326" ht="15.75" customHeight="1">
      <c r="A326" s="1"/>
      <c r="B326" s="1"/>
      <c r="C326" s="1"/>
      <c r="D326" s="2"/>
      <c r="E326" s="66"/>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row>
    <row r="327" ht="15.75" customHeight="1">
      <c r="A327" s="1"/>
      <c r="B327" s="1"/>
      <c r="C327" s="1"/>
      <c r="D327" s="2"/>
      <c r="E327" s="66"/>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row>
    <row r="328" ht="15.75" customHeight="1">
      <c r="A328" s="1"/>
      <c r="B328" s="1"/>
      <c r="C328" s="1"/>
      <c r="D328" s="2"/>
      <c r="E328" s="66"/>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row>
    <row r="329" ht="15.75" customHeight="1">
      <c r="A329" s="1"/>
      <c r="B329" s="1"/>
      <c r="C329" s="1"/>
      <c r="D329" s="2"/>
      <c r="E329" s="66"/>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row>
    <row r="330" ht="15.75" customHeight="1">
      <c r="A330" s="1"/>
      <c r="B330" s="1"/>
      <c r="C330" s="1"/>
      <c r="D330" s="2"/>
      <c r="E330" s="66"/>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row>
    <row r="331" ht="15.75" customHeight="1">
      <c r="A331" s="1"/>
      <c r="B331" s="1"/>
      <c r="C331" s="1"/>
      <c r="D331" s="2"/>
      <c r="E331" s="66"/>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row>
    <row r="332" ht="15.75" customHeight="1">
      <c r="A332" s="1"/>
      <c r="B332" s="1"/>
      <c r="C332" s="1"/>
      <c r="D332" s="2"/>
      <c r="E332" s="66"/>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row>
    <row r="333" ht="15.75" customHeight="1">
      <c r="A333" s="1"/>
      <c r="B333" s="1"/>
      <c r="C333" s="1"/>
      <c r="D333" s="2"/>
      <c r="E333" s="66"/>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row>
    <row r="334" ht="15.75" customHeight="1">
      <c r="A334" s="1"/>
      <c r="B334" s="1"/>
      <c r="C334" s="1"/>
      <c r="D334" s="2"/>
      <c r="E334" s="66"/>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row>
    <row r="335" ht="15.75" customHeight="1">
      <c r="A335" s="1"/>
      <c r="B335" s="1"/>
      <c r="C335" s="1"/>
      <c r="D335" s="2"/>
      <c r="E335" s="66"/>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row>
    <row r="336" ht="15.75" customHeight="1">
      <c r="A336" s="1"/>
      <c r="B336" s="1"/>
      <c r="C336" s="1"/>
      <c r="D336" s="2"/>
      <c r="E336" s="66"/>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row>
    <row r="337" ht="15.75" customHeight="1">
      <c r="A337" s="1"/>
      <c r="B337" s="1"/>
      <c r="C337" s="1"/>
      <c r="D337" s="2"/>
      <c r="E337" s="66"/>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row>
    <row r="338" ht="15.75" customHeight="1">
      <c r="A338" s="1"/>
      <c r="B338" s="1"/>
      <c r="C338" s="1"/>
      <c r="D338" s="2"/>
      <c r="E338" s="66"/>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row>
    <row r="339" ht="15.75" customHeight="1">
      <c r="A339" s="1"/>
      <c r="B339" s="1"/>
      <c r="C339" s="1"/>
      <c r="D339" s="2"/>
      <c r="E339" s="66"/>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row>
    <row r="340" ht="15.75" customHeight="1">
      <c r="A340" s="1"/>
      <c r="B340" s="1"/>
      <c r="C340" s="1"/>
      <c r="D340" s="2"/>
      <c r="E340" s="66"/>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row>
    <row r="341" ht="15.75" customHeight="1">
      <c r="A341" s="1"/>
      <c r="B341" s="1"/>
      <c r="C341" s="1"/>
      <c r="D341" s="2"/>
      <c r="E341" s="66"/>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row>
    <row r="342" ht="15.75" customHeight="1">
      <c r="A342" s="1"/>
      <c r="B342" s="1"/>
      <c r="C342" s="1"/>
      <c r="D342" s="2"/>
      <c r="E342" s="66"/>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row>
    <row r="343" ht="15.75" customHeight="1">
      <c r="A343" s="1"/>
      <c r="B343" s="1"/>
      <c r="C343" s="1"/>
      <c r="D343" s="2"/>
      <c r="E343" s="66"/>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row>
    <row r="344" ht="15.75" customHeight="1">
      <c r="A344" s="1"/>
      <c r="B344" s="1"/>
      <c r="C344" s="1"/>
      <c r="D344" s="2"/>
      <c r="E344" s="66"/>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row>
    <row r="345" ht="15.75" customHeight="1">
      <c r="A345" s="1"/>
      <c r="B345" s="1"/>
      <c r="C345" s="1"/>
      <c r="D345" s="2"/>
      <c r="E345" s="66"/>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row>
    <row r="346" ht="15.75" customHeight="1">
      <c r="A346" s="1"/>
      <c r="B346" s="1"/>
      <c r="C346" s="1"/>
      <c r="D346" s="2"/>
      <c r="E346" s="66"/>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row>
    <row r="347" ht="15.75" customHeight="1">
      <c r="A347" s="1"/>
      <c r="B347" s="1"/>
      <c r="C347" s="1"/>
      <c r="D347" s="2"/>
      <c r="E347" s="66"/>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row>
    <row r="348" ht="15.75" customHeight="1">
      <c r="A348" s="1"/>
      <c r="B348" s="1"/>
      <c r="C348" s="1"/>
      <c r="D348" s="2"/>
      <c r="E348" s="66"/>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row>
    <row r="349" ht="15.75" customHeight="1">
      <c r="A349" s="1"/>
      <c r="B349" s="1"/>
      <c r="C349" s="1"/>
      <c r="D349" s="2"/>
      <c r="E349" s="66"/>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row>
    <row r="350" ht="15.75" customHeight="1">
      <c r="A350" s="1"/>
      <c r="B350" s="1"/>
      <c r="C350" s="1"/>
      <c r="D350" s="2"/>
      <c r="E350" s="66"/>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row>
    <row r="351" ht="15.75" customHeight="1">
      <c r="A351" s="1"/>
      <c r="B351" s="1"/>
      <c r="C351" s="1"/>
      <c r="D351" s="2"/>
      <c r="E351" s="66"/>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row>
    <row r="352" ht="15.75" customHeight="1">
      <c r="A352" s="1"/>
      <c r="B352" s="1"/>
      <c r="C352" s="1"/>
      <c r="D352" s="2"/>
      <c r="E352" s="66"/>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row>
    <row r="353" ht="15.75" customHeight="1">
      <c r="A353" s="1"/>
      <c r="B353" s="1"/>
      <c r="C353" s="1"/>
      <c r="D353" s="2"/>
      <c r="E353" s="66"/>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row>
    <row r="354" ht="15.75" customHeight="1">
      <c r="A354" s="1"/>
      <c r="B354" s="1"/>
      <c r="C354" s="1"/>
      <c r="D354" s="2"/>
      <c r="E354" s="66"/>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row>
    <row r="355" ht="15.75" customHeight="1">
      <c r="A355" s="1"/>
      <c r="B355" s="1"/>
      <c r="C355" s="1"/>
      <c r="D355" s="2"/>
      <c r="E355" s="66"/>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row>
    <row r="356" ht="15.75" customHeight="1">
      <c r="A356" s="1"/>
      <c r="B356" s="1"/>
      <c r="C356" s="1"/>
      <c r="D356" s="2"/>
      <c r="E356" s="66"/>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row>
    <row r="357" ht="15.75" customHeight="1">
      <c r="A357" s="1"/>
      <c r="B357" s="1"/>
      <c r="C357" s="1"/>
      <c r="D357" s="2"/>
      <c r="E357" s="66"/>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row>
    <row r="358" ht="15.75" customHeight="1">
      <c r="A358" s="1"/>
      <c r="B358" s="1"/>
      <c r="C358" s="1"/>
      <c r="D358" s="2"/>
      <c r="E358" s="66"/>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row>
    <row r="359" ht="15.75" customHeight="1">
      <c r="A359" s="1"/>
      <c r="B359" s="1"/>
      <c r="C359" s="1"/>
      <c r="D359" s="2"/>
      <c r="E359" s="66"/>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row>
    <row r="360" ht="15.75" customHeight="1">
      <c r="A360" s="1"/>
      <c r="B360" s="1"/>
      <c r="C360" s="1"/>
      <c r="D360" s="2"/>
      <c r="E360" s="66"/>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row>
    <row r="361" ht="15.75" customHeight="1">
      <c r="A361" s="1"/>
      <c r="B361" s="1"/>
      <c r="C361" s="1"/>
      <c r="D361" s="2"/>
      <c r="E361" s="66"/>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row>
    <row r="362" ht="15.75" customHeight="1">
      <c r="A362" s="1"/>
      <c r="B362" s="1"/>
      <c r="C362" s="1"/>
      <c r="D362" s="2"/>
      <c r="E362" s="66"/>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row>
    <row r="363" ht="15.75" customHeight="1">
      <c r="A363" s="1"/>
      <c r="B363" s="1"/>
      <c r="C363" s="1"/>
      <c r="D363" s="2"/>
      <c r="E363" s="66"/>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row>
    <row r="364" ht="15.75" customHeight="1">
      <c r="A364" s="1"/>
      <c r="B364" s="1"/>
      <c r="C364" s="1"/>
      <c r="D364" s="2"/>
      <c r="E364" s="66"/>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row>
    <row r="365" ht="15.75" customHeight="1">
      <c r="A365" s="1"/>
      <c r="B365" s="1"/>
      <c r="C365" s="1"/>
      <c r="D365" s="2"/>
      <c r="E365" s="66"/>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row>
    <row r="366" ht="15.75" customHeight="1">
      <c r="A366" s="1"/>
      <c r="B366" s="1"/>
      <c r="C366" s="1"/>
      <c r="D366" s="2"/>
      <c r="E366" s="66"/>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row>
    <row r="367" ht="15.75" customHeight="1">
      <c r="A367" s="1"/>
      <c r="B367" s="1"/>
      <c r="C367" s="1"/>
      <c r="D367" s="2"/>
      <c r="E367" s="66"/>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row>
    <row r="368" ht="15.75" customHeight="1">
      <c r="A368" s="1"/>
      <c r="B368" s="1"/>
      <c r="C368" s="1"/>
      <c r="D368" s="2"/>
      <c r="E368" s="66"/>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row>
    <row r="369" ht="15.75" customHeight="1">
      <c r="A369" s="1"/>
      <c r="B369" s="1"/>
      <c r="C369" s="1"/>
      <c r="D369" s="2"/>
      <c r="E369" s="66"/>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row>
    <row r="370" ht="15.75" customHeight="1">
      <c r="A370" s="1"/>
      <c r="B370" s="1"/>
      <c r="C370" s="1"/>
      <c r="D370" s="2"/>
      <c r="E370" s="66"/>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row>
    <row r="371" ht="15.75" customHeight="1">
      <c r="A371" s="1"/>
      <c r="B371" s="1"/>
      <c r="C371" s="1"/>
      <c r="D371" s="2"/>
      <c r="E371" s="66"/>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row>
    <row r="372" ht="15.75" customHeight="1">
      <c r="A372" s="1"/>
      <c r="B372" s="1"/>
      <c r="C372" s="1"/>
      <c r="D372" s="2"/>
      <c r="E372" s="66"/>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row>
    <row r="373" ht="15.75" customHeight="1">
      <c r="A373" s="1"/>
      <c r="B373" s="1"/>
      <c r="C373" s="1"/>
      <c r="D373" s="2"/>
      <c r="E373" s="66"/>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row>
    <row r="374" ht="15.75" customHeight="1">
      <c r="A374" s="1"/>
      <c r="B374" s="1"/>
      <c r="C374" s="1"/>
      <c r="D374" s="2"/>
      <c r="E374" s="66"/>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row>
    <row r="375" ht="15.75" customHeight="1">
      <c r="A375" s="1"/>
      <c r="B375" s="1"/>
      <c r="C375" s="1"/>
      <c r="D375" s="2"/>
      <c r="E375" s="66"/>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row>
    <row r="376" ht="15.75" customHeight="1">
      <c r="A376" s="1"/>
      <c r="B376" s="1"/>
      <c r="C376" s="1"/>
      <c r="D376" s="2"/>
      <c r="E376" s="66"/>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row>
    <row r="377" ht="15.75" customHeight="1">
      <c r="A377" s="1"/>
      <c r="B377" s="1"/>
      <c r="C377" s="1"/>
      <c r="D377" s="2"/>
      <c r="E377" s="66"/>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row>
    <row r="378" ht="15.75" customHeight="1">
      <c r="A378" s="1"/>
      <c r="B378" s="1"/>
      <c r="C378" s="1"/>
      <c r="D378" s="2"/>
      <c r="E378" s="66"/>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row>
    <row r="379" ht="15.75" customHeight="1">
      <c r="A379" s="1"/>
      <c r="B379" s="1"/>
      <c r="C379" s="1"/>
      <c r="D379" s="2"/>
      <c r="E379" s="66"/>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row>
    <row r="380" ht="15.75" customHeight="1">
      <c r="A380" s="1"/>
      <c r="B380" s="1"/>
      <c r="C380" s="1"/>
      <c r="D380" s="2"/>
      <c r="E380" s="66"/>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row>
    <row r="381" ht="15.75" customHeight="1">
      <c r="A381" s="1"/>
      <c r="B381" s="1"/>
      <c r="C381" s="1"/>
      <c r="D381" s="2"/>
      <c r="E381" s="66"/>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row>
    <row r="382" ht="15.75" customHeight="1">
      <c r="A382" s="1"/>
      <c r="B382" s="1"/>
      <c r="C382" s="1"/>
      <c r="D382" s="2"/>
      <c r="E382" s="66"/>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row>
    <row r="383" ht="15.75" customHeight="1">
      <c r="A383" s="1"/>
      <c r="B383" s="1"/>
      <c r="C383" s="1"/>
      <c r="D383" s="2"/>
      <c r="E383" s="66"/>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row>
    <row r="384" ht="15.75" customHeight="1">
      <c r="A384" s="1"/>
      <c r="B384" s="1"/>
      <c r="C384" s="1"/>
      <c r="D384" s="2"/>
      <c r="E384" s="66"/>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row>
    <row r="385" ht="15.75" customHeight="1">
      <c r="A385" s="1"/>
      <c r="B385" s="1"/>
      <c r="C385" s="1"/>
      <c r="D385" s="2"/>
      <c r="E385" s="66"/>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row>
    <row r="386" ht="15.75" customHeight="1">
      <c r="A386" s="1"/>
      <c r="B386" s="1"/>
      <c r="C386" s="1"/>
      <c r="D386" s="2"/>
      <c r="E386" s="66"/>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row>
    <row r="387" ht="15.75" customHeight="1">
      <c r="A387" s="1"/>
      <c r="B387" s="1"/>
      <c r="C387" s="1"/>
      <c r="D387" s="2"/>
      <c r="E387" s="66"/>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row>
    <row r="388" ht="15.75" customHeight="1">
      <c r="A388" s="1"/>
      <c r="B388" s="1"/>
      <c r="C388" s="1"/>
      <c r="D388" s="2"/>
      <c r="E388" s="66"/>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row>
    <row r="389" ht="15.75" customHeight="1">
      <c r="A389" s="1"/>
      <c r="B389" s="1"/>
      <c r="C389" s="1"/>
      <c r="D389" s="2"/>
      <c r="E389" s="66"/>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row>
    <row r="390" ht="15.75" customHeight="1">
      <c r="A390" s="1"/>
      <c r="B390" s="1"/>
      <c r="C390" s="1"/>
      <c r="D390" s="2"/>
      <c r="E390" s="66"/>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row>
    <row r="391" ht="15.75" customHeight="1">
      <c r="A391" s="1"/>
      <c r="B391" s="1"/>
      <c r="C391" s="1"/>
      <c r="D391" s="2"/>
      <c r="E391" s="66"/>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row>
    <row r="392" ht="15.75" customHeight="1">
      <c r="A392" s="1"/>
      <c r="B392" s="1"/>
      <c r="C392" s="1"/>
      <c r="D392" s="2"/>
      <c r="E392" s="66"/>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row>
    <row r="393" ht="15.75" customHeight="1">
      <c r="A393" s="1"/>
      <c r="B393" s="1"/>
      <c r="C393" s="1"/>
      <c r="D393" s="2"/>
      <c r="E393" s="66"/>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row>
    <row r="394" ht="15.75" customHeight="1">
      <c r="A394" s="1"/>
      <c r="B394" s="1"/>
      <c r="C394" s="1"/>
      <c r="D394" s="2"/>
      <c r="E394" s="66"/>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row>
    <row r="395" ht="15.75" customHeight="1">
      <c r="A395" s="1"/>
      <c r="B395" s="1"/>
      <c r="C395" s="1"/>
      <c r="D395" s="2"/>
      <c r="E395" s="66"/>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row>
    <row r="396" ht="15.75" customHeight="1">
      <c r="A396" s="1"/>
      <c r="B396" s="1"/>
      <c r="C396" s="1"/>
      <c r="D396" s="2"/>
      <c r="E396" s="66"/>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row>
    <row r="397" ht="15.75" customHeight="1">
      <c r="A397" s="1"/>
      <c r="B397" s="1"/>
      <c r="C397" s="1"/>
      <c r="D397" s="2"/>
      <c r="E397" s="66"/>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row>
    <row r="398" ht="15.75" customHeight="1">
      <c r="A398" s="1"/>
      <c r="B398" s="1"/>
      <c r="C398" s="1"/>
      <c r="D398" s="2"/>
      <c r="E398" s="66"/>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row>
    <row r="399" ht="15.75" customHeight="1">
      <c r="A399" s="1"/>
      <c r="B399" s="1"/>
      <c r="C399" s="1"/>
      <c r="D399" s="2"/>
      <c r="E399" s="66"/>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row>
    <row r="400" ht="15.75" customHeight="1">
      <c r="A400" s="1"/>
      <c r="B400" s="1"/>
      <c r="C400" s="1"/>
      <c r="D400" s="2"/>
      <c r="E400" s="66"/>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row>
    <row r="401" ht="15.75" customHeight="1">
      <c r="A401" s="1"/>
      <c r="B401" s="1"/>
      <c r="C401" s="1"/>
      <c r="D401" s="2"/>
      <c r="E401" s="66"/>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row>
    <row r="402" ht="15.75" customHeight="1">
      <c r="A402" s="1"/>
      <c r="B402" s="1"/>
      <c r="C402" s="1"/>
      <c r="D402" s="2"/>
      <c r="E402" s="66"/>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row>
    <row r="403" ht="15.75" customHeight="1">
      <c r="A403" s="1"/>
      <c r="B403" s="1"/>
      <c r="C403" s="1"/>
      <c r="D403" s="2"/>
      <c r="E403" s="66"/>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row>
    <row r="404" ht="15.75" customHeight="1">
      <c r="A404" s="1"/>
      <c r="B404" s="1"/>
      <c r="C404" s="1"/>
      <c r="D404" s="2"/>
      <c r="E404" s="66"/>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row>
    <row r="405" ht="15.75" customHeight="1">
      <c r="A405" s="1"/>
      <c r="B405" s="1"/>
      <c r="C405" s="1"/>
      <c r="D405" s="2"/>
      <c r="E405" s="66"/>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row>
    <row r="406" ht="15.75" customHeight="1">
      <c r="A406" s="1"/>
      <c r="B406" s="1"/>
      <c r="C406" s="1"/>
      <c r="D406" s="2"/>
      <c r="E406" s="66"/>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row>
    <row r="407" ht="15.75" customHeight="1">
      <c r="A407" s="1"/>
      <c r="B407" s="1"/>
      <c r="C407" s="1"/>
      <c r="D407" s="2"/>
      <c r="E407" s="66"/>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row>
    <row r="408" ht="15.75" customHeight="1">
      <c r="A408" s="1"/>
      <c r="B408" s="1"/>
      <c r="C408" s="1"/>
      <c r="D408" s="2"/>
      <c r="E408" s="66"/>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row>
    <row r="409" ht="15.75" customHeight="1">
      <c r="A409" s="1"/>
      <c r="B409" s="1"/>
      <c r="C409" s="1"/>
      <c r="D409" s="2"/>
      <c r="E409" s="66"/>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row>
    <row r="410" ht="15.75" customHeight="1">
      <c r="A410" s="1"/>
      <c r="B410" s="1"/>
      <c r="C410" s="1"/>
      <c r="D410" s="2"/>
      <c r="E410" s="66"/>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row>
    <row r="411" ht="15.75" customHeight="1">
      <c r="A411" s="1"/>
      <c r="B411" s="1"/>
      <c r="C411" s="1"/>
      <c r="D411" s="2"/>
      <c r="E411" s="66"/>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row>
    <row r="412" ht="15.75" customHeight="1">
      <c r="A412" s="1"/>
      <c r="B412" s="1"/>
      <c r="C412" s="1"/>
      <c r="D412" s="2"/>
      <c r="E412" s="66"/>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row>
    <row r="413" ht="15.75" customHeight="1">
      <c r="A413" s="1"/>
      <c r="B413" s="1"/>
      <c r="C413" s="1"/>
      <c r="D413" s="2"/>
      <c r="E413" s="66"/>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row>
    <row r="414" ht="15.75" customHeight="1">
      <c r="A414" s="1"/>
      <c r="B414" s="1"/>
      <c r="C414" s="1"/>
      <c r="D414" s="2"/>
      <c r="E414" s="66"/>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row>
    <row r="415" ht="15.75" customHeight="1">
      <c r="A415" s="1"/>
      <c r="B415" s="1"/>
      <c r="C415" s="1"/>
      <c r="D415" s="2"/>
      <c r="E415" s="66"/>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row>
    <row r="416" ht="15.75" customHeight="1">
      <c r="A416" s="1"/>
      <c r="B416" s="1"/>
      <c r="C416" s="1"/>
      <c r="D416" s="2"/>
      <c r="E416" s="66"/>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row>
    <row r="417" ht="15.75" customHeight="1">
      <c r="A417" s="1"/>
      <c r="B417" s="1"/>
      <c r="C417" s="1"/>
      <c r="D417" s="2"/>
      <c r="E417" s="66"/>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row>
    <row r="418" ht="15.75" customHeight="1">
      <c r="A418" s="1"/>
      <c r="B418" s="1"/>
      <c r="C418" s="1"/>
      <c r="D418" s="2"/>
      <c r="E418" s="66"/>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row>
    <row r="419" ht="15.75" customHeight="1">
      <c r="A419" s="1"/>
      <c r="B419" s="1"/>
      <c r="C419" s="1"/>
      <c r="D419" s="2"/>
      <c r="E419" s="66"/>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row>
    <row r="420" ht="15.75" customHeight="1">
      <c r="A420" s="1"/>
      <c r="B420" s="1"/>
      <c r="C420" s="1"/>
      <c r="D420" s="2"/>
      <c r="E420" s="66"/>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row>
    <row r="421" ht="15.75" customHeight="1">
      <c r="A421" s="1"/>
      <c r="B421" s="1"/>
      <c r="C421" s="1"/>
      <c r="D421" s="2"/>
      <c r="E421" s="66"/>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row>
    <row r="422" ht="15.75" customHeight="1">
      <c r="A422" s="1"/>
      <c r="B422" s="1"/>
      <c r="C422" s="1"/>
      <c r="D422" s="2"/>
      <c r="E422" s="66"/>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row>
    <row r="423" ht="15.75" customHeight="1">
      <c r="A423" s="1"/>
      <c r="B423" s="1"/>
      <c r="C423" s="1"/>
      <c r="D423" s="2"/>
      <c r="E423" s="66"/>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row>
    <row r="424" ht="15.75" customHeight="1">
      <c r="A424" s="1"/>
      <c r="B424" s="1"/>
      <c r="C424" s="1"/>
      <c r="D424" s="2"/>
      <c r="E424" s="66"/>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row>
    <row r="425" ht="15.75" customHeight="1">
      <c r="A425" s="1"/>
      <c r="B425" s="1"/>
      <c r="C425" s="1"/>
      <c r="D425" s="2"/>
      <c r="E425" s="66"/>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row>
    <row r="426" ht="15.75" customHeight="1">
      <c r="A426" s="1"/>
      <c r="B426" s="1"/>
      <c r="C426" s="1"/>
      <c r="D426" s="2"/>
      <c r="E426" s="66"/>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row>
    <row r="427" ht="15.75" customHeight="1">
      <c r="A427" s="1"/>
      <c r="B427" s="1"/>
      <c r="C427" s="1"/>
      <c r="D427" s="2"/>
      <c r="E427" s="66"/>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row>
    <row r="428" ht="15.75" customHeight="1">
      <c r="A428" s="1"/>
      <c r="B428" s="1"/>
      <c r="C428" s="1"/>
      <c r="D428" s="2"/>
      <c r="E428" s="66"/>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row>
    <row r="429" ht="15.75" customHeight="1">
      <c r="A429" s="1"/>
      <c r="B429" s="1"/>
      <c r="C429" s="1"/>
      <c r="D429" s="2"/>
      <c r="E429" s="66"/>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row>
    <row r="430" ht="15.75" customHeight="1">
      <c r="A430" s="1"/>
      <c r="B430" s="1"/>
      <c r="C430" s="1"/>
      <c r="D430" s="2"/>
      <c r="E430" s="66"/>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row>
    <row r="431" ht="15.75" customHeight="1">
      <c r="A431" s="1"/>
      <c r="B431" s="1"/>
      <c r="C431" s="1"/>
      <c r="D431" s="2"/>
      <c r="E431" s="66"/>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row>
    <row r="432" ht="15.75" customHeight="1">
      <c r="A432" s="1"/>
      <c r="B432" s="1"/>
      <c r="C432" s="1"/>
      <c r="D432" s="2"/>
      <c r="E432" s="66"/>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row>
    <row r="433" ht="15.75" customHeight="1">
      <c r="A433" s="1"/>
      <c r="B433" s="1"/>
      <c r="C433" s="1"/>
      <c r="D433" s="2"/>
      <c r="E433" s="66"/>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row>
    <row r="434" ht="15.75" customHeight="1">
      <c r="A434" s="1"/>
      <c r="B434" s="1"/>
      <c r="C434" s="1"/>
      <c r="D434" s="2"/>
      <c r="E434" s="66"/>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row>
    <row r="435" ht="15.75" customHeight="1">
      <c r="A435" s="1"/>
      <c r="B435" s="1"/>
      <c r="C435" s="1"/>
      <c r="D435" s="2"/>
      <c r="E435" s="66"/>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row>
    <row r="436" ht="15.75" customHeight="1">
      <c r="A436" s="1"/>
      <c r="B436" s="1"/>
      <c r="C436" s="1"/>
      <c r="D436" s="2"/>
      <c r="E436" s="66"/>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row>
    <row r="437" ht="15.75" customHeight="1">
      <c r="A437" s="1"/>
      <c r="B437" s="1"/>
      <c r="C437" s="1"/>
      <c r="D437" s="2"/>
      <c r="E437" s="66"/>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row>
    <row r="438" ht="15.75" customHeight="1">
      <c r="A438" s="1"/>
      <c r="B438" s="1"/>
      <c r="C438" s="1"/>
      <c r="D438" s="2"/>
      <c r="E438" s="66"/>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row>
    <row r="439" ht="15.75" customHeight="1">
      <c r="A439" s="1"/>
      <c r="B439" s="1"/>
      <c r="C439" s="1"/>
      <c r="D439" s="2"/>
      <c r="E439" s="66"/>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row>
    <row r="440" ht="15.75" customHeight="1">
      <c r="A440" s="1"/>
      <c r="B440" s="1"/>
      <c r="C440" s="1"/>
      <c r="D440" s="2"/>
      <c r="E440" s="66"/>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row>
    <row r="441" ht="15.75" customHeight="1">
      <c r="A441" s="1"/>
      <c r="B441" s="1"/>
      <c r="C441" s="1"/>
      <c r="D441" s="2"/>
      <c r="E441" s="66"/>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row>
    <row r="442" ht="15.75" customHeight="1">
      <c r="A442" s="1"/>
      <c r="B442" s="1"/>
      <c r="C442" s="1"/>
      <c r="D442" s="2"/>
      <c r="E442" s="66"/>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row>
    <row r="443" ht="15.75" customHeight="1">
      <c r="A443" s="1"/>
      <c r="B443" s="1"/>
      <c r="C443" s="1"/>
      <c r="D443" s="2"/>
      <c r="E443" s="66"/>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row>
    <row r="444" ht="15.75" customHeight="1">
      <c r="A444" s="1"/>
      <c r="B444" s="1"/>
      <c r="C444" s="1"/>
      <c r="D444" s="2"/>
      <c r="E444" s="66"/>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row>
    <row r="445" ht="15.75" customHeight="1">
      <c r="A445" s="1"/>
      <c r="B445" s="1"/>
      <c r="C445" s="1"/>
      <c r="D445" s="2"/>
      <c r="E445" s="66"/>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row>
    <row r="446" ht="15.75" customHeight="1">
      <c r="A446" s="1"/>
      <c r="B446" s="1"/>
      <c r="C446" s="1"/>
      <c r="D446" s="2"/>
      <c r="E446" s="66"/>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row>
    <row r="447" ht="15.75" customHeight="1">
      <c r="A447" s="1"/>
      <c r="B447" s="1"/>
      <c r="C447" s="1"/>
      <c r="D447" s="2"/>
      <c r="E447" s="66"/>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row>
    <row r="448" ht="15.75" customHeight="1">
      <c r="A448" s="1"/>
      <c r="B448" s="1"/>
      <c r="C448" s="1"/>
      <c r="D448" s="2"/>
      <c r="E448" s="66"/>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row>
    <row r="449" ht="15.75" customHeight="1">
      <c r="A449" s="1"/>
      <c r="B449" s="1"/>
      <c r="C449" s="1"/>
      <c r="D449" s="2"/>
      <c r="E449" s="66"/>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row>
    <row r="450" ht="15.75" customHeight="1">
      <c r="A450" s="1"/>
      <c r="B450" s="1"/>
      <c r="C450" s="1"/>
      <c r="D450" s="2"/>
      <c r="E450" s="66"/>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row>
    <row r="451" ht="15.75" customHeight="1">
      <c r="A451" s="1"/>
      <c r="B451" s="1"/>
      <c r="C451" s="1"/>
      <c r="D451" s="2"/>
      <c r="E451" s="66"/>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row>
    <row r="452" ht="15.75" customHeight="1">
      <c r="A452" s="1"/>
      <c r="B452" s="1"/>
      <c r="C452" s="1"/>
      <c r="D452" s="2"/>
      <c r="E452" s="66"/>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row>
    <row r="453" ht="15.75" customHeight="1">
      <c r="A453" s="1"/>
      <c r="B453" s="1"/>
      <c r="C453" s="1"/>
      <c r="D453" s="2"/>
      <c r="E453" s="66"/>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row>
    <row r="454" ht="15.75" customHeight="1">
      <c r="A454" s="1"/>
      <c r="B454" s="1"/>
      <c r="C454" s="1"/>
      <c r="D454" s="2"/>
      <c r="E454" s="66"/>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row>
    <row r="455" ht="15.75" customHeight="1">
      <c r="A455" s="1"/>
      <c r="B455" s="1"/>
      <c r="C455" s="1"/>
      <c r="D455" s="2"/>
      <c r="E455" s="66"/>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row>
    <row r="456" ht="15.75" customHeight="1">
      <c r="A456" s="1"/>
      <c r="B456" s="1"/>
      <c r="C456" s="1"/>
      <c r="D456" s="2"/>
      <c r="E456" s="66"/>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row>
    <row r="457" ht="15.75" customHeight="1">
      <c r="A457" s="1"/>
      <c r="B457" s="1"/>
      <c r="C457" s="1"/>
      <c r="D457" s="2"/>
      <c r="E457" s="66"/>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row>
    <row r="458" ht="15.75" customHeight="1">
      <c r="A458" s="1"/>
      <c r="B458" s="1"/>
      <c r="C458" s="1"/>
      <c r="D458" s="2"/>
      <c r="E458" s="66"/>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row>
    <row r="459" ht="15.75" customHeight="1">
      <c r="A459" s="1"/>
      <c r="B459" s="1"/>
      <c r="C459" s="1"/>
      <c r="D459" s="2"/>
      <c r="E459" s="66"/>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row>
    <row r="460" ht="15.75" customHeight="1">
      <c r="A460" s="1"/>
      <c r="B460" s="1"/>
      <c r="C460" s="1"/>
      <c r="D460" s="2"/>
      <c r="E460" s="66"/>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row>
    <row r="461" ht="15.75" customHeight="1">
      <c r="A461" s="1"/>
      <c r="B461" s="1"/>
      <c r="C461" s="1"/>
      <c r="D461" s="2"/>
      <c r="E461" s="66"/>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row>
    <row r="462" ht="15.75" customHeight="1">
      <c r="A462" s="1"/>
      <c r="B462" s="1"/>
      <c r="C462" s="1"/>
      <c r="D462" s="2"/>
      <c r="E462" s="66"/>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row>
    <row r="463" ht="15.75" customHeight="1">
      <c r="A463" s="1"/>
      <c r="B463" s="1"/>
      <c r="C463" s="1"/>
      <c r="D463" s="2"/>
      <c r="E463" s="66"/>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row>
    <row r="464" ht="15.75" customHeight="1">
      <c r="A464" s="1"/>
      <c r="B464" s="1"/>
      <c r="C464" s="1"/>
      <c r="D464" s="2"/>
      <c r="E464" s="66"/>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row>
    <row r="465" ht="15.75" customHeight="1">
      <c r="A465" s="1"/>
      <c r="B465" s="1"/>
      <c r="C465" s="1"/>
      <c r="D465" s="2"/>
      <c r="E465" s="66"/>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row>
    <row r="466" ht="15.75" customHeight="1">
      <c r="A466" s="1"/>
      <c r="B466" s="1"/>
      <c r="C466" s="1"/>
      <c r="D466" s="2"/>
      <c r="E466" s="66"/>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row>
    <row r="467" ht="15.75" customHeight="1">
      <c r="A467" s="1"/>
      <c r="B467" s="1"/>
      <c r="C467" s="1"/>
      <c r="D467" s="2"/>
      <c r="E467" s="66"/>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row>
    <row r="468" ht="15.75" customHeight="1">
      <c r="A468" s="1"/>
      <c r="B468" s="1"/>
      <c r="C468" s="1"/>
      <c r="D468" s="2"/>
      <c r="E468" s="66"/>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row>
    <row r="469" ht="15.75" customHeight="1">
      <c r="A469" s="1"/>
      <c r="B469" s="1"/>
      <c r="C469" s="1"/>
      <c r="D469" s="2"/>
      <c r="E469" s="66"/>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row>
    <row r="470" ht="15.75" customHeight="1">
      <c r="A470" s="1"/>
      <c r="B470" s="1"/>
      <c r="C470" s="1"/>
      <c r="D470" s="2"/>
      <c r="E470" s="66"/>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row>
    <row r="471" ht="15.75" customHeight="1">
      <c r="A471" s="1"/>
      <c r="B471" s="1"/>
      <c r="C471" s="1"/>
      <c r="D471" s="2"/>
      <c r="E471" s="66"/>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row>
    <row r="472" ht="15.75" customHeight="1">
      <c r="A472" s="1"/>
      <c r="B472" s="1"/>
      <c r="C472" s="1"/>
      <c r="D472" s="2"/>
      <c r="E472" s="66"/>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row>
    <row r="473" ht="15.75" customHeight="1">
      <c r="A473" s="1"/>
      <c r="B473" s="1"/>
      <c r="C473" s="1"/>
      <c r="D473" s="2"/>
      <c r="E473" s="66"/>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row>
    <row r="474" ht="15.75" customHeight="1">
      <c r="A474" s="1"/>
      <c r="B474" s="1"/>
      <c r="C474" s="1"/>
      <c r="D474" s="2"/>
      <c r="E474" s="66"/>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row>
    <row r="475" ht="15.75" customHeight="1">
      <c r="A475" s="1"/>
      <c r="B475" s="1"/>
      <c r="C475" s="1"/>
      <c r="D475" s="2"/>
      <c r="E475" s="66"/>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row>
    <row r="476" ht="15.75" customHeight="1">
      <c r="A476" s="1"/>
      <c r="B476" s="1"/>
      <c r="C476" s="1"/>
      <c r="D476" s="2"/>
      <c r="E476" s="66"/>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row>
    <row r="477" ht="15.75" customHeight="1">
      <c r="A477" s="1"/>
      <c r="B477" s="1"/>
      <c r="C477" s="1"/>
      <c r="D477" s="2"/>
      <c r="E477" s="66"/>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row>
    <row r="478" ht="15.75" customHeight="1">
      <c r="A478" s="1"/>
      <c r="B478" s="1"/>
      <c r="C478" s="1"/>
      <c r="D478" s="2"/>
      <c r="E478" s="66"/>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row>
    <row r="479" ht="15.75" customHeight="1">
      <c r="A479" s="1"/>
      <c r="B479" s="1"/>
      <c r="C479" s="1"/>
      <c r="D479" s="2"/>
      <c r="E479" s="66"/>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row>
    <row r="480" ht="15.75" customHeight="1">
      <c r="A480" s="1"/>
      <c r="B480" s="1"/>
      <c r="C480" s="1"/>
      <c r="D480" s="2"/>
      <c r="E480" s="66"/>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row>
    <row r="481" ht="15.75" customHeight="1">
      <c r="A481" s="1"/>
      <c r="B481" s="1"/>
      <c r="C481" s="1"/>
      <c r="D481" s="2"/>
      <c r="E481" s="66"/>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row>
    <row r="482" ht="15.75" customHeight="1">
      <c r="A482" s="1"/>
      <c r="B482" s="1"/>
      <c r="C482" s="1"/>
      <c r="D482" s="2"/>
      <c r="E482" s="66"/>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row>
    <row r="483" ht="15.75" customHeight="1">
      <c r="A483" s="1"/>
      <c r="B483" s="1"/>
      <c r="C483" s="1"/>
      <c r="D483" s="2"/>
      <c r="E483" s="66"/>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row>
    <row r="484" ht="15.75" customHeight="1">
      <c r="A484" s="1"/>
      <c r="B484" s="1"/>
      <c r="C484" s="1"/>
      <c r="D484" s="2"/>
      <c r="E484" s="66"/>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2" t="str">
        <f>IFERROR(__xludf.DUMMYFUNCTION("IMPORTRANGE(""https://docs.google.com/spreadsheets/d/1HXoAI5UG3zq1UHqU5n7fPdbQk93qOha2VQb1r7iRi1o"",""Loot!A:BJ"")"),"Mob")</f>
        <v>Mob</v>
      </c>
      <c r="B1" s="72" t="str">
        <f>IFERROR(__xludf.DUMMYFUNCTION("""COMPUTED_VALUE"""),"Loot 1 Range")</f>
        <v>Loot 1 Range</v>
      </c>
      <c r="C1" s="2" t="str">
        <f>IFERROR(__xludf.DUMMYFUNCTION("""COMPUTED_VALUE"""),"Loot 1")</f>
        <v>Loot 1</v>
      </c>
      <c r="D1" s="72" t="str">
        <f>IFERROR(__xludf.DUMMYFUNCTION("""COMPUTED_VALUE"""),"Loot 2 Range")</f>
        <v>Loot 2 Range</v>
      </c>
      <c r="E1" s="2" t="str">
        <f>IFERROR(__xludf.DUMMYFUNCTION("""COMPUTED_VALUE"""),"Loot 2")</f>
        <v>Loot 2</v>
      </c>
      <c r="F1" s="72" t="str">
        <f>IFERROR(__xludf.DUMMYFUNCTION("""COMPUTED_VALUE"""),"Loot 3 Range")</f>
        <v>Loot 3 Range</v>
      </c>
      <c r="G1" s="2" t="str">
        <f>IFERROR(__xludf.DUMMYFUNCTION("""COMPUTED_VALUE"""),"Loot 3")</f>
        <v>Loot 3</v>
      </c>
      <c r="H1" s="72" t="str">
        <f>IFERROR(__xludf.DUMMYFUNCTION("""COMPUTED_VALUE"""),"Loot 4 Range")</f>
        <v>Loot 4 Range</v>
      </c>
      <c r="I1" s="2" t="str">
        <f>IFERROR(__xludf.DUMMYFUNCTION("""COMPUTED_VALUE"""),"Loot 4")</f>
        <v>Loot 4</v>
      </c>
      <c r="J1" s="72" t="str">
        <f>IFERROR(__xludf.DUMMYFUNCTION("""COMPUTED_VALUE"""),"Loot 5 Range")</f>
        <v>Loot 5 Range</v>
      </c>
      <c r="K1" s="2" t="str">
        <f>IFERROR(__xludf.DUMMYFUNCTION("""COMPUTED_VALUE"""),"Loot 5")</f>
        <v>Loot 5</v>
      </c>
      <c r="L1" s="1"/>
      <c r="M1" s="1"/>
      <c r="N1" s="1"/>
      <c r="O1" s="1"/>
      <c r="P1" s="1"/>
      <c r="Q1" s="1"/>
      <c r="R1" s="1"/>
      <c r="S1" s="1"/>
      <c r="T1" s="1"/>
      <c r="U1" s="1"/>
      <c r="V1" s="1"/>
      <c r="W1" s="1"/>
      <c r="X1" s="1"/>
    </row>
    <row r="2" ht="15.75" customHeight="1">
      <c r="A2" s="2" t="str">
        <f>IFERROR(__xludf.DUMMYFUNCTION("""COMPUTED_VALUE"""),"Acid Dragon")</f>
        <v>Acid Dragon</v>
      </c>
      <c r="B2" s="72" t="str">
        <f>IFERROR(__xludf.DUMMYFUNCTION("""COMPUTED_VALUE"""),"1-5")</f>
        <v>1-5</v>
      </c>
      <c r="C2" s="2" t="str">
        <f>IFERROR(__xludf.DUMMYFUNCTION("""COMPUTED_VALUE"""),"Dragon Jerky")</f>
        <v>Dragon Jerky</v>
      </c>
      <c r="D2" s="72" t="str">
        <f>IFERROR(__xludf.DUMMYFUNCTION("""COMPUTED_VALUE"""),"6-10")</f>
        <v>6-10</v>
      </c>
      <c r="E2" s="2" t="str">
        <f>IFERROR(__xludf.DUMMYFUNCTION("""COMPUTED_VALUE"""),"Nothing")</f>
        <v>Nothing</v>
      </c>
      <c r="F2" s="72" t="str">
        <f>IFERROR(__xludf.DUMMYFUNCTION("""COMPUTED_VALUE"""),"11-15")</f>
        <v>11-15</v>
      </c>
      <c r="G2" s="2" t="str">
        <f>IFERROR(__xludf.DUMMYFUNCTION("""COMPUTED_VALUE"""),"Soul")</f>
        <v>Soul</v>
      </c>
      <c r="H2" s="72" t="str">
        <f>IFERROR(__xludf.DUMMYFUNCTION("""COMPUTED_VALUE"""),"16-20")</f>
        <v>16-20</v>
      </c>
      <c r="I2" s="2" t="str">
        <f>IFERROR(__xludf.DUMMYFUNCTION("""COMPUTED_VALUE"""),"Nothing")</f>
        <v>Nothing</v>
      </c>
      <c r="J2" s="72" t="str">
        <f>IFERROR(__xludf.DUMMYFUNCTION("""COMPUTED_VALUE"""),"21-25")</f>
        <v>21-25</v>
      </c>
      <c r="K2" s="2" t="str">
        <f>IFERROR(__xludf.DUMMYFUNCTION("""COMPUTED_VALUE"""),"Dragon scales")</f>
        <v>Dragon scales</v>
      </c>
      <c r="L2" s="1"/>
      <c r="M2" s="1"/>
      <c r="N2" s="1"/>
      <c r="O2" s="1"/>
      <c r="P2" s="1"/>
      <c r="Q2" s="1"/>
      <c r="R2" s="1"/>
      <c r="S2" s="1"/>
      <c r="T2" s="1"/>
      <c r="U2" s="1"/>
      <c r="V2" s="1"/>
      <c r="W2" s="1"/>
      <c r="X2" s="1"/>
    </row>
    <row r="3" ht="15.75" customHeight="1">
      <c r="A3" s="2" t="str">
        <f>IFERROR(__xludf.DUMMYFUNCTION("""COMPUTED_VALUE"""),"Ancient Colossal Frost Spider")</f>
        <v>Ancient Colossal Frost Spider</v>
      </c>
      <c r="B3" s="72" t="str">
        <f>IFERROR(__xludf.DUMMYFUNCTION("""COMPUTED_VALUE"""),"1-5")</f>
        <v>1-5</v>
      </c>
      <c r="C3" s="2" t="str">
        <f>IFERROR(__xludf.DUMMYFUNCTION("""COMPUTED_VALUE"""),"Nothing")</f>
        <v>Nothing</v>
      </c>
      <c r="D3" s="72" t="str">
        <f>IFERROR(__xludf.DUMMYFUNCTION("""COMPUTED_VALUE"""),"6-10")</f>
        <v>6-10</v>
      </c>
      <c r="E3" s="2" t="str">
        <f>IFERROR(__xludf.DUMMYFUNCTION("""COMPUTED_VALUE"""),"Nothing")</f>
        <v>Nothing</v>
      </c>
      <c r="F3" s="72" t="str">
        <f>IFERROR(__xludf.DUMMYFUNCTION("""COMPUTED_VALUE"""),"11-15")</f>
        <v>11-15</v>
      </c>
      <c r="G3" s="2" t="str">
        <f>IFERROR(__xludf.DUMMYFUNCTION("""COMPUTED_VALUE"""),"Soul")</f>
        <v>Soul</v>
      </c>
      <c r="H3" s="72" t="str">
        <f>IFERROR(__xludf.DUMMYFUNCTION("""COMPUTED_VALUE"""),"16-20")</f>
        <v>16-20</v>
      </c>
      <c r="I3" s="2" t="str">
        <f>IFERROR(__xludf.DUMMYFUNCTION("""COMPUTED_VALUE"""),"80,000G-100,000G")</f>
        <v>80,000G-100,000G</v>
      </c>
      <c r="J3" s="72" t="str">
        <f>IFERROR(__xludf.DUMMYFUNCTION("""COMPUTED_VALUE"""),"21-25")</f>
        <v>21-25</v>
      </c>
      <c r="K3" s="2" t="str">
        <f>IFERROR(__xludf.DUMMYFUNCTION("""COMPUTED_VALUE"""),"Giant Spider Exoskeleton")</f>
        <v>Giant Spider Exoskeleton</v>
      </c>
      <c r="L3" s="1"/>
      <c r="M3" s="1"/>
      <c r="N3" s="1"/>
      <c r="O3" s="1"/>
      <c r="P3" s="1"/>
      <c r="Q3" s="1"/>
      <c r="R3" s="1"/>
      <c r="S3" s="1"/>
      <c r="T3" s="1"/>
      <c r="U3" s="1"/>
      <c r="V3" s="1"/>
      <c r="W3" s="1"/>
      <c r="X3" s="1"/>
    </row>
    <row r="4" ht="15.75" customHeight="1">
      <c r="A4" s="2" t="str">
        <f>IFERROR(__xludf.DUMMYFUNCTION("""COMPUTED_VALUE"""),"Demon Snowman")</f>
        <v>Demon Snowman</v>
      </c>
      <c r="B4" s="72" t="str">
        <f>IFERROR(__xludf.DUMMYFUNCTION("""COMPUTED_VALUE"""),"1-5")</f>
        <v>1-5</v>
      </c>
      <c r="C4" s="2" t="str">
        <f>IFERROR(__xludf.DUMMYFUNCTION("""COMPUTED_VALUE"""),"Demons Eye")</f>
        <v>Demons Eye</v>
      </c>
      <c r="D4" s="72" t="str">
        <f>IFERROR(__xludf.DUMMYFUNCTION("""COMPUTED_VALUE"""),"6-10")</f>
        <v>6-10</v>
      </c>
      <c r="E4" s="2" t="str">
        <f>IFERROR(__xludf.DUMMYFUNCTION("""COMPUTED_VALUE"""),"Soul")</f>
        <v>Soul</v>
      </c>
      <c r="F4" s="72" t="str">
        <f>IFERROR(__xludf.DUMMYFUNCTION("""COMPUTED_VALUE"""),"11-15")</f>
        <v>11-15</v>
      </c>
      <c r="G4" s="2" t="str">
        <f>IFERROR(__xludf.DUMMYFUNCTION("""COMPUTED_VALUE"""),"500,000G-1,000,000G")</f>
        <v>500,000G-1,000,000G</v>
      </c>
      <c r="H4" s="72" t="str">
        <f>IFERROR(__xludf.DUMMYFUNCTION("""COMPUTED_VALUE"""),"16-20")</f>
        <v>16-20</v>
      </c>
      <c r="I4" s="2" t="str">
        <f>IFERROR(__xludf.DUMMYFUNCTION("""COMPUTED_VALUE"""),"Egg")</f>
        <v>Egg</v>
      </c>
      <c r="J4" s="72" t="str">
        <f>IFERROR(__xludf.DUMMYFUNCTION("""COMPUTED_VALUE"""),"21-25")</f>
        <v>21-25</v>
      </c>
      <c r="K4" s="2" t="str">
        <f>IFERROR(__xludf.DUMMYFUNCTION("""COMPUTED_VALUE"""),"Nothing")</f>
        <v>Nothing</v>
      </c>
      <c r="L4" s="1"/>
      <c r="M4" s="1"/>
      <c r="N4" s="1"/>
      <c r="O4" s="1"/>
      <c r="P4" s="1"/>
      <c r="Q4" s="1"/>
      <c r="R4" s="1"/>
      <c r="S4" s="1"/>
      <c r="T4" s="1"/>
      <c r="U4" s="1"/>
      <c r="V4" s="1"/>
      <c r="W4" s="1"/>
      <c r="X4" s="1"/>
    </row>
    <row r="5" ht="15.75" customHeight="1">
      <c r="A5" s="1" t="str">
        <f>IFERROR(__xludf.DUMMYFUNCTION("""COMPUTED_VALUE"""),"Ancient Desert Serpent")</f>
        <v>Ancient Desert Serpent</v>
      </c>
      <c r="B5" s="72" t="str">
        <f>IFERROR(__xludf.DUMMYFUNCTION("""COMPUTED_VALUE"""),"1-5")</f>
        <v>1-5</v>
      </c>
      <c r="C5" s="2" t="str">
        <f>IFERROR(__xludf.DUMMYFUNCTION("""COMPUTED_VALUE"""),"Desert Ruby")</f>
        <v>Desert Ruby</v>
      </c>
      <c r="D5" s="72" t="str">
        <f>IFERROR(__xludf.DUMMYFUNCTION("""COMPUTED_VALUE"""),"6-10")</f>
        <v>6-10</v>
      </c>
      <c r="E5" s="2" t="str">
        <f>IFERROR(__xludf.DUMMYFUNCTION("""COMPUTED_VALUE"""),"Desert Emerald")</f>
        <v>Desert Emerald</v>
      </c>
      <c r="F5" s="72" t="str">
        <f>IFERROR(__xludf.DUMMYFUNCTION("""COMPUTED_VALUE"""),"11-15")</f>
        <v>11-15</v>
      </c>
      <c r="G5" s="2" t="str">
        <f>IFERROR(__xludf.DUMMYFUNCTION("""COMPUTED_VALUE"""),"Egg")</f>
        <v>Egg</v>
      </c>
      <c r="H5" s="72" t="str">
        <f>IFERROR(__xludf.DUMMYFUNCTION("""COMPUTED_VALUE"""),"16-20")</f>
        <v>16-20</v>
      </c>
      <c r="I5" s="2" t="str">
        <f>IFERROR(__xludf.DUMMYFUNCTION("""COMPUTED_VALUE"""),"80,000G-100,000G")</f>
        <v>80,000G-100,000G</v>
      </c>
      <c r="J5" s="72" t="str">
        <f>IFERROR(__xludf.DUMMYFUNCTION("""COMPUTED_VALUE"""),"21-25")</f>
        <v>21-25</v>
      </c>
      <c r="K5" s="2" t="str">
        <f>IFERROR(__xludf.DUMMYFUNCTION("""COMPUTED_VALUE"""),"Soul")</f>
        <v>Soul</v>
      </c>
      <c r="L5" s="1"/>
      <c r="M5" s="1"/>
      <c r="N5" s="1"/>
      <c r="O5" s="1"/>
      <c r="P5" s="1"/>
      <c r="Q5" s="1"/>
      <c r="R5" s="1"/>
      <c r="S5" s="1"/>
      <c r="T5" s="1"/>
      <c r="U5" s="1"/>
      <c r="V5" s="1"/>
      <c r="W5" s="1"/>
      <c r="X5" s="1"/>
    </row>
    <row r="6" ht="15.75" customHeight="1">
      <c r="A6" s="2" t="str">
        <f>IFERROR(__xludf.DUMMYFUNCTION("""COMPUTED_VALUE"""),"Ancient Fire Sentinel")</f>
        <v>Ancient Fire Sentinel</v>
      </c>
      <c r="B6" s="72" t="str">
        <f>IFERROR(__xludf.DUMMYFUNCTION("""COMPUTED_VALUE"""),"1-5")</f>
        <v>1-5</v>
      </c>
      <c r="C6" s="2" t="str">
        <f>IFERROR(__xludf.DUMMYFUNCTION("""COMPUTED_VALUE"""),"Sentinel Core")</f>
        <v>Sentinel Core</v>
      </c>
      <c r="D6" s="72" t="str">
        <f>IFERROR(__xludf.DUMMYFUNCTION("""COMPUTED_VALUE"""),"6-10")</f>
        <v>6-10</v>
      </c>
      <c r="E6" s="2" t="str">
        <f>IFERROR(__xludf.DUMMYFUNCTION("""COMPUTED_VALUE"""),"Fire Gem")</f>
        <v>Fire Gem</v>
      </c>
      <c r="F6" s="72" t="str">
        <f>IFERROR(__xludf.DUMMYFUNCTION("""COMPUTED_VALUE"""),"11-15")</f>
        <v>11-15</v>
      </c>
      <c r="G6" s="2" t="str">
        <f>IFERROR(__xludf.DUMMYFUNCTION("""COMPUTED_VALUE"""),"Giant Fire Diamond")</f>
        <v>Giant Fire Diamond</v>
      </c>
      <c r="H6" s="72" t="str">
        <f>IFERROR(__xludf.DUMMYFUNCTION("""COMPUTED_VALUE"""),"16-20")</f>
        <v>16-20</v>
      </c>
      <c r="I6" s="2" t="str">
        <f>IFERROR(__xludf.DUMMYFUNCTION("""COMPUTED_VALUE"""),"Egg")</f>
        <v>Egg</v>
      </c>
      <c r="J6" s="72" t="str">
        <f>IFERROR(__xludf.DUMMYFUNCTION("""COMPUTED_VALUE"""),"21-25")</f>
        <v>21-25</v>
      </c>
      <c r="K6" s="2" t="str">
        <f>IFERROR(__xludf.DUMMYFUNCTION("""COMPUTED_VALUE"""),"Nothing")</f>
        <v>Nothing</v>
      </c>
      <c r="L6" s="1"/>
      <c r="M6" s="1"/>
      <c r="N6" s="1"/>
      <c r="O6" s="1"/>
      <c r="P6" s="1"/>
      <c r="Q6" s="1"/>
      <c r="R6" s="1"/>
      <c r="S6" s="1"/>
      <c r="T6" s="1"/>
      <c r="U6" s="1"/>
      <c r="V6" s="1"/>
      <c r="W6" s="1"/>
      <c r="X6" s="1"/>
    </row>
    <row r="7" ht="15.75" customHeight="1">
      <c r="A7" s="2" t="str">
        <f>IFERROR(__xludf.DUMMYFUNCTION("""COMPUTED_VALUE"""),"Ancient Fire Serpent")</f>
        <v>Ancient Fire Serpent</v>
      </c>
      <c r="B7" s="72" t="str">
        <f>IFERROR(__xludf.DUMMYFUNCTION("""COMPUTED_VALUE"""),"1-5")</f>
        <v>1-5</v>
      </c>
      <c r="C7" s="2" t="str">
        <f>IFERROR(__xludf.DUMMYFUNCTION("""COMPUTED_VALUE"""),"1,000,000G-20,000,000G")</f>
        <v>1,000,000G-20,000,000G</v>
      </c>
      <c r="D7" s="72" t="str">
        <f>IFERROR(__xludf.DUMMYFUNCTION("""COMPUTED_VALUE"""),"6-10")</f>
        <v>6-10</v>
      </c>
      <c r="E7" s="2" t="str">
        <f>IFERROR(__xludf.DUMMYFUNCTION("""COMPUTED_VALUE"""),"Sword Of The Ancient Fire Serpent")</f>
        <v>Sword Of The Ancient Fire Serpent</v>
      </c>
      <c r="F7" s="72" t="str">
        <f>IFERROR(__xludf.DUMMYFUNCTION("""COMPUTED_VALUE"""),"11-15")</f>
        <v>11-15</v>
      </c>
      <c r="G7" s="2" t="str">
        <f>IFERROR(__xludf.DUMMYFUNCTION("""COMPUTED_VALUE"""),"Nothing")</f>
        <v>Nothing</v>
      </c>
      <c r="H7" s="72" t="str">
        <f>IFERROR(__xludf.DUMMYFUNCTION("""COMPUTED_VALUE"""),"16-20")</f>
        <v>16-20</v>
      </c>
      <c r="I7" s="2" t="str">
        <f>IFERROR(__xludf.DUMMYFUNCTION("""COMPUTED_VALUE"""),"Soul")</f>
        <v>Soul</v>
      </c>
      <c r="J7" s="72" t="str">
        <f>IFERROR(__xludf.DUMMYFUNCTION("""COMPUTED_VALUE"""),"21-25")</f>
        <v>21-25</v>
      </c>
      <c r="K7" s="2" t="str">
        <f>IFERROR(__xludf.DUMMYFUNCTION("""COMPUTED_VALUE"""),"20,000,000G-40,000,000G")</f>
        <v>20,000,000G-40,000,000G</v>
      </c>
      <c r="L7" s="1"/>
      <c r="M7" s="1"/>
      <c r="N7" s="1"/>
      <c r="O7" s="1"/>
      <c r="P7" s="1"/>
      <c r="Q7" s="1"/>
      <c r="R7" s="1"/>
      <c r="S7" s="1"/>
      <c r="T7" s="1"/>
      <c r="U7" s="1"/>
      <c r="V7" s="1"/>
      <c r="W7" s="1"/>
      <c r="X7" s="1"/>
    </row>
    <row r="8" ht="15.75" customHeight="1">
      <c r="A8" s="2" t="str">
        <f>IFERROR(__xludf.DUMMYFUNCTION("""COMPUTED_VALUE"""),"Flame Ostrich")</f>
        <v>Flame Ostrich</v>
      </c>
      <c r="B8" s="72" t="str">
        <f>IFERROR(__xludf.DUMMYFUNCTION("""COMPUTED_VALUE"""),"1-5")</f>
        <v>1-5</v>
      </c>
      <c r="C8" s="2" t="str">
        <f>IFERROR(__xludf.DUMMYFUNCTION("""COMPUTED_VALUE"""),"Nothing")</f>
        <v>Nothing</v>
      </c>
      <c r="D8" s="72" t="str">
        <f>IFERROR(__xludf.DUMMYFUNCTION("""COMPUTED_VALUE"""),"6-10")</f>
        <v>6-10</v>
      </c>
      <c r="E8" s="2" t="str">
        <f>IFERROR(__xludf.DUMMYFUNCTION("""COMPUTED_VALUE"""),"Flaming Feathers")</f>
        <v>Flaming Feathers</v>
      </c>
      <c r="F8" s="72" t="str">
        <f>IFERROR(__xludf.DUMMYFUNCTION("""COMPUTED_VALUE"""),"11-15")</f>
        <v>11-15</v>
      </c>
      <c r="G8" s="2" t="str">
        <f>IFERROR(__xludf.DUMMYFUNCTION("""COMPUTED_VALUE"""),"Egg")</f>
        <v>Egg</v>
      </c>
      <c r="H8" s="72" t="str">
        <f>IFERROR(__xludf.DUMMYFUNCTION("""COMPUTED_VALUE"""),"16-20")</f>
        <v>16-20</v>
      </c>
      <c r="I8" s="2" t="str">
        <f>IFERROR(__xludf.DUMMYFUNCTION("""COMPUTED_VALUE"""),"Soul")</f>
        <v>Soul</v>
      </c>
      <c r="J8" s="72" t="str">
        <f>IFERROR(__xludf.DUMMYFUNCTION("""COMPUTED_VALUE"""),"21-25")</f>
        <v>21-25</v>
      </c>
      <c r="K8" s="2" t="str">
        <f>IFERROR(__xludf.DUMMYFUNCTION("""COMPUTED_VALUE"""),"Nothing")</f>
        <v>Nothing</v>
      </c>
      <c r="L8" s="1"/>
      <c r="M8" s="1"/>
      <c r="N8" s="1"/>
      <c r="O8" s="1"/>
      <c r="P8" s="1"/>
      <c r="Q8" s="1"/>
      <c r="R8" s="1"/>
      <c r="S8" s="1"/>
      <c r="T8" s="1"/>
      <c r="U8" s="1"/>
      <c r="V8" s="1"/>
      <c r="W8" s="1"/>
      <c r="X8" s="1"/>
    </row>
    <row r="9" ht="15.75" customHeight="1">
      <c r="A9" s="2" t="str">
        <f>IFERROR(__xludf.DUMMYFUNCTION("""COMPUTED_VALUE"""),"Ancient Forest Colossus")</f>
        <v>Ancient Forest Colossus</v>
      </c>
      <c r="B9" s="72" t="str">
        <f>IFERROR(__xludf.DUMMYFUNCTION("""COMPUTED_VALUE"""),"1-5")</f>
        <v>1-5</v>
      </c>
      <c r="C9" s="2" t="str">
        <f>IFERROR(__xludf.DUMMYFUNCTION("""COMPUTED_VALUE"""),"Ancient Colossus Forest Hammer")</f>
        <v>Ancient Colossus Forest Hammer</v>
      </c>
      <c r="D9" s="72" t="str">
        <f>IFERROR(__xludf.DUMMYFUNCTION("""COMPUTED_VALUE"""),"6-10")</f>
        <v>6-10</v>
      </c>
      <c r="E9" s="2" t="str">
        <f>IFERROR(__xludf.DUMMYFUNCTION("""COMPUTED_VALUE"""),"Nothing")</f>
        <v>Nothing</v>
      </c>
      <c r="F9" s="72" t="str">
        <f>IFERROR(__xludf.DUMMYFUNCTION("""COMPUTED_VALUE"""),"11-15")</f>
        <v>11-15</v>
      </c>
      <c r="G9" s="2" t="str">
        <f>IFERROR(__xludf.DUMMYFUNCTION("""COMPUTED_VALUE"""),"Nothing")</f>
        <v>Nothing</v>
      </c>
      <c r="H9" s="72" t="str">
        <f>IFERROR(__xludf.DUMMYFUNCTION("""COMPUTED_VALUE"""),"16-20")</f>
        <v>16-20</v>
      </c>
      <c r="I9" s="2" t="str">
        <f>IFERROR(__xludf.DUMMYFUNCTION("""COMPUTED_VALUE"""),"Soul")</f>
        <v>Soul</v>
      </c>
      <c r="J9" s="72" t="str">
        <f>IFERROR(__xludf.DUMMYFUNCTION("""COMPUTED_VALUE"""),"21-25")</f>
        <v>21-25</v>
      </c>
      <c r="K9" s="2" t="str">
        <f>IFERROR(__xludf.DUMMYFUNCTION("""COMPUTED_VALUE"""),"Sword of Nature’s Love")</f>
        <v>Sword of Nature’s Love</v>
      </c>
      <c r="L9" s="1"/>
      <c r="M9" s="1"/>
      <c r="N9" s="1"/>
      <c r="O9" s="1"/>
      <c r="P9" s="1"/>
      <c r="Q9" s="1"/>
      <c r="R9" s="1"/>
      <c r="S9" s="1"/>
      <c r="T9" s="1"/>
      <c r="U9" s="1"/>
      <c r="V9" s="1"/>
      <c r="W9" s="1"/>
      <c r="X9" s="1"/>
    </row>
    <row r="10" ht="15.75" customHeight="1">
      <c r="A10" s="2" t="str">
        <f>IFERROR(__xludf.DUMMYFUNCTION("""COMPUTED_VALUE"""),"Frost Colossus")</f>
        <v>Frost Colossus</v>
      </c>
      <c r="B10" s="72" t="str">
        <f>IFERROR(__xludf.DUMMYFUNCTION("""COMPUTED_VALUE"""),"1-5")</f>
        <v>1-5</v>
      </c>
      <c r="C10" s="2" t="str">
        <f>IFERROR(__xludf.DUMMYFUNCTION("""COMPUTED_VALUE"""),"Frost Spear")</f>
        <v>Frost Spear</v>
      </c>
      <c r="D10" s="72" t="str">
        <f>IFERROR(__xludf.DUMMYFUNCTION("""COMPUTED_VALUE"""),"6-10")</f>
        <v>6-10</v>
      </c>
      <c r="E10" s="2" t="str">
        <f>IFERROR(__xludf.DUMMYFUNCTION("""COMPUTED_VALUE"""),"Giant Frost diamond")</f>
        <v>Giant Frost diamond</v>
      </c>
      <c r="F10" s="72" t="str">
        <f>IFERROR(__xludf.DUMMYFUNCTION("""COMPUTED_VALUE"""),"11-15")</f>
        <v>11-15</v>
      </c>
      <c r="G10" s="2" t="str">
        <f>IFERROR(__xludf.DUMMYFUNCTION("""COMPUTED_VALUE"""),"Soul")</f>
        <v>Soul</v>
      </c>
      <c r="H10" s="72" t="str">
        <f>IFERROR(__xludf.DUMMYFUNCTION("""COMPUTED_VALUE"""),"16-20")</f>
        <v>16-20</v>
      </c>
      <c r="I10" s="2" t="str">
        <f>IFERROR(__xludf.DUMMYFUNCTION("""COMPUTED_VALUE"""),"80,000,000G-100,000,000G")</f>
        <v>80,000,000G-100,000,000G</v>
      </c>
      <c r="J10" s="72" t="str">
        <f>IFERROR(__xludf.DUMMYFUNCTION("""COMPUTED_VALUE"""),"21-25")</f>
        <v>21-25</v>
      </c>
      <c r="K10" s="2" t="str">
        <f>IFERROR(__xludf.DUMMYFUNCTION("""COMPUTED_VALUE"""),"Nothing")</f>
        <v>Nothing</v>
      </c>
      <c r="L10" s="1"/>
      <c r="M10" s="1"/>
      <c r="N10" s="1"/>
      <c r="O10" s="1"/>
      <c r="P10" s="1"/>
      <c r="Q10" s="1"/>
      <c r="R10" s="1"/>
      <c r="S10" s="1"/>
      <c r="T10" s="1"/>
      <c r="U10" s="1"/>
      <c r="V10" s="1"/>
      <c r="W10" s="1"/>
      <c r="X10" s="1"/>
    </row>
    <row r="11" ht="15.75" customHeight="1">
      <c r="A11" s="2" t="str">
        <f>IFERROR(__xludf.DUMMYFUNCTION("""COMPUTED_VALUE"""),"Frost Cyclops")</f>
        <v>Frost Cyclops</v>
      </c>
      <c r="B11" s="72" t="str">
        <f>IFERROR(__xludf.DUMMYFUNCTION("""COMPUTED_VALUE"""),"1-5")</f>
        <v>1-5</v>
      </c>
      <c r="C11" s="2" t="str">
        <f>IFERROR(__xludf.DUMMYFUNCTION("""COMPUTED_VALUE"""),"Block Of Ice")</f>
        <v>Block Of Ice</v>
      </c>
      <c r="D11" s="72" t="str">
        <f>IFERROR(__xludf.DUMMYFUNCTION("""COMPUTED_VALUE"""),"6-10")</f>
        <v>6-10</v>
      </c>
      <c r="E11" s="2" t="str">
        <f>IFERROR(__xludf.DUMMYFUNCTION("""COMPUTED_VALUE"""),"Soul")</f>
        <v>Soul</v>
      </c>
      <c r="F11" s="72" t="str">
        <f>IFERROR(__xludf.DUMMYFUNCTION("""COMPUTED_VALUE"""),"11-15")</f>
        <v>11-15</v>
      </c>
      <c r="G11" s="2" t="str">
        <f>IFERROR(__xludf.DUMMYFUNCTION("""COMPUTED_VALUE"""),"Vile of poison")</f>
        <v>Vile of poison</v>
      </c>
      <c r="H11" s="72" t="str">
        <f>IFERROR(__xludf.DUMMYFUNCTION("""COMPUTED_VALUE"""),"16-20")</f>
        <v>16-20</v>
      </c>
      <c r="I11" s="2" t="str">
        <f>IFERROR(__xludf.DUMMYFUNCTION("""COMPUTED_VALUE"""),"Egg")</f>
        <v>Egg</v>
      </c>
      <c r="J11" s="72" t="str">
        <f>IFERROR(__xludf.DUMMYFUNCTION("""COMPUTED_VALUE"""),"21-25")</f>
        <v>21-25</v>
      </c>
      <c r="K11" s="2" t="str">
        <f>IFERROR(__xludf.DUMMYFUNCTION("""COMPUTED_VALUE"""),"80,000G-100,000G")</f>
        <v>80,000G-100,000G</v>
      </c>
      <c r="L11" s="1"/>
      <c r="M11" s="1"/>
      <c r="N11" s="1"/>
      <c r="O11" s="1"/>
      <c r="P11" s="1"/>
      <c r="Q11" s="1"/>
      <c r="R11" s="1"/>
      <c r="S11" s="1"/>
      <c r="T11" s="1"/>
      <c r="U11" s="1"/>
      <c r="V11" s="1"/>
      <c r="W11" s="1"/>
      <c r="X11" s="1"/>
    </row>
    <row r="12" ht="15.75" customHeight="1">
      <c r="A12" s="2" t="str">
        <f>IFERROR(__xludf.DUMMYFUNCTION("""COMPUTED_VALUE"""),"Frost Grand Mage")</f>
        <v>Frost Grand Mage</v>
      </c>
      <c r="B12" s="72" t="str">
        <f>IFERROR(__xludf.DUMMYFUNCTION("""COMPUTED_VALUE"""),"1-5")</f>
        <v>1-5</v>
      </c>
      <c r="C12" s="2" t="str">
        <f>IFERROR(__xludf.DUMMYFUNCTION("""COMPUTED_VALUE"""),"Block of Ice")</f>
        <v>Block of Ice</v>
      </c>
      <c r="D12" s="72" t="str">
        <f>IFERROR(__xludf.DUMMYFUNCTION("""COMPUTED_VALUE"""),"6-10")</f>
        <v>6-10</v>
      </c>
      <c r="E12" s="2" t="str">
        <f>IFERROR(__xludf.DUMMYFUNCTION("""COMPUTED_VALUE"""),"500,000G-1,000,000G")</f>
        <v>500,000G-1,000,000G</v>
      </c>
      <c r="F12" s="72" t="str">
        <f>IFERROR(__xludf.DUMMYFUNCTION("""COMPUTED_VALUE"""),"11-15")</f>
        <v>11-15</v>
      </c>
      <c r="G12" s="2" t="str">
        <f>IFERROR(__xludf.DUMMYFUNCTION("""COMPUTED_VALUE"""),"Nothing")</f>
        <v>Nothing</v>
      </c>
      <c r="H12" s="72" t="str">
        <f>IFERROR(__xludf.DUMMYFUNCTION("""COMPUTED_VALUE"""),"16-20")</f>
        <v>16-20</v>
      </c>
      <c r="I12" s="2" t="str">
        <f>IFERROR(__xludf.DUMMYFUNCTION("""COMPUTED_VALUE"""),"Nothing")</f>
        <v>Nothing</v>
      </c>
      <c r="J12" s="72" t="str">
        <f>IFERROR(__xludf.DUMMYFUNCTION("""COMPUTED_VALUE"""),"21-25")</f>
        <v>21-25</v>
      </c>
      <c r="K12" s="2" t="str">
        <f>IFERROR(__xludf.DUMMYFUNCTION("""COMPUTED_VALUE"""),"Soul")</f>
        <v>Soul</v>
      </c>
      <c r="L12" s="1"/>
      <c r="M12" s="1"/>
      <c r="N12" s="1"/>
      <c r="O12" s="1"/>
      <c r="P12" s="1"/>
      <c r="Q12" s="1"/>
      <c r="R12" s="1"/>
      <c r="S12" s="1"/>
      <c r="T12" s="1"/>
      <c r="U12" s="1"/>
      <c r="V12" s="1"/>
      <c r="W12" s="1"/>
      <c r="X12" s="1"/>
    </row>
    <row r="13" ht="15.75" customHeight="1">
      <c r="A13" s="2" t="str">
        <f>IFERROR(__xludf.DUMMYFUNCTION("""COMPUTED_VALUE"""),"Frost King")</f>
        <v>Frost King</v>
      </c>
      <c r="B13" s="72" t="str">
        <f>IFERROR(__xludf.DUMMYFUNCTION("""COMPUTED_VALUE"""),"1-5")</f>
        <v>1-5</v>
      </c>
      <c r="C13" s="2" t="str">
        <f>IFERROR(__xludf.DUMMYFUNCTION("""COMPUTED_VALUE"""),"100,000,000G-500,000,000G")</f>
        <v>100,000,000G-500,000,000G</v>
      </c>
      <c r="D13" s="72" t="str">
        <f>IFERROR(__xludf.DUMMYFUNCTION("""COMPUTED_VALUE"""),"6-10")</f>
        <v>6-10</v>
      </c>
      <c r="E13" s="2" t="str">
        <f>IFERROR(__xludf.DUMMYFUNCTION("""COMPUTED_VALUE"""),"Hardened Ice Sickle")</f>
        <v>Hardened Ice Sickle</v>
      </c>
      <c r="F13" s="72" t="str">
        <f>IFERROR(__xludf.DUMMYFUNCTION("""COMPUTED_VALUE"""),"11-15")</f>
        <v>11-15</v>
      </c>
      <c r="G13" s="2" t="str">
        <f>IFERROR(__xludf.DUMMYFUNCTION("""COMPUTED_VALUE"""),"Crown Of Ice Spears")</f>
        <v>Crown Of Ice Spears</v>
      </c>
      <c r="H13" s="72" t="str">
        <f>IFERROR(__xludf.DUMMYFUNCTION("""COMPUTED_VALUE"""),"16-20")</f>
        <v>16-20</v>
      </c>
      <c r="I13" s="2" t="str">
        <f>IFERROR(__xludf.DUMMYFUNCTION("""COMPUTED_VALUE"""),"Soul")</f>
        <v>Soul</v>
      </c>
      <c r="J13" s="72" t="str">
        <f>IFERROR(__xludf.DUMMYFUNCTION("""COMPUTED_VALUE"""),"21-25")</f>
        <v>21-25</v>
      </c>
      <c r="K13" s="2" t="str">
        <f>IFERROR(__xludf.DUMMYFUNCTION("""COMPUTED_VALUE"""),"Frost Kings Map")</f>
        <v>Frost Kings Map</v>
      </c>
      <c r="L13" s="1"/>
      <c r="M13" s="1"/>
      <c r="N13" s="1"/>
      <c r="O13" s="1"/>
      <c r="P13" s="1"/>
      <c r="Q13" s="1"/>
      <c r="R13" s="1"/>
      <c r="S13" s="1"/>
      <c r="T13" s="1"/>
      <c r="U13" s="1"/>
      <c r="V13" s="1"/>
      <c r="W13" s="1"/>
      <c r="X13" s="1"/>
    </row>
    <row r="14" ht="15.75" customHeight="1">
      <c r="A14" s="2" t="str">
        <f>IFERROR(__xludf.DUMMYFUNCTION("""COMPUTED_VALUE"""),"Frost Queen")</f>
        <v>Frost Queen</v>
      </c>
      <c r="B14" s="72" t="str">
        <f>IFERROR(__xludf.DUMMYFUNCTION("""COMPUTED_VALUE"""),"1-5")</f>
        <v>1-5</v>
      </c>
      <c r="C14" s="2" t="str">
        <f>IFERROR(__xludf.DUMMYFUNCTION("""COMPUTED_VALUE"""),"Frost Cloak")</f>
        <v>Frost Cloak</v>
      </c>
      <c r="D14" s="72" t="str">
        <f>IFERROR(__xludf.DUMMYFUNCTION("""COMPUTED_VALUE"""),"6-10")</f>
        <v>6-10</v>
      </c>
      <c r="E14" s="2" t="str">
        <f>IFERROR(__xludf.DUMMYFUNCTION("""COMPUTED_VALUE"""),"Soul")</f>
        <v>Soul</v>
      </c>
      <c r="F14" s="72" t="str">
        <f>IFERROR(__xludf.DUMMYFUNCTION("""COMPUTED_VALUE"""),"11-15")</f>
        <v>11-15</v>
      </c>
      <c r="G14" s="2" t="str">
        <f>IFERROR(__xludf.DUMMYFUNCTION("""COMPUTED_VALUE"""),"Giant Frost diamond")</f>
        <v>Giant Frost diamond</v>
      </c>
      <c r="H14" s="72" t="str">
        <f>IFERROR(__xludf.DUMMYFUNCTION("""COMPUTED_VALUE"""),"16-20")</f>
        <v>16-20</v>
      </c>
      <c r="I14" s="2" t="str">
        <f>IFERROR(__xludf.DUMMYFUNCTION("""COMPUTED_VALUE"""),"100,000,000G-500,000,000G")</f>
        <v>100,000,000G-500,000,000G</v>
      </c>
      <c r="J14" s="72" t="str">
        <f>IFERROR(__xludf.DUMMYFUNCTION("""COMPUTED_VALUE"""),"21-25")</f>
        <v>21-25</v>
      </c>
      <c r="K14" s="2" t="str">
        <f>IFERROR(__xludf.DUMMYFUNCTION("""COMPUTED_VALUE"""),"Nothing")</f>
        <v>Nothing</v>
      </c>
      <c r="L14" s="1"/>
      <c r="M14" s="1"/>
      <c r="N14" s="1"/>
      <c r="O14" s="1"/>
      <c r="P14" s="1"/>
      <c r="Q14" s="1"/>
      <c r="R14" s="1"/>
      <c r="S14" s="1"/>
      <c r="T14" s="1"/>
      <c r="U14" s="1"/>
      <c r="V14" s="1"/>
      <c r="W14" s="1"/>
      <c r="X14" s="1"/>
    </row>
    <row r="15" ht="15.75" customHeight="1">
      <c r="A15" s="2" t="str">
        <f>IFERROR(__xludf.DUMMYFUNCTION("""COMPUTED_VALUE"""),"Sea Dinosaur (WD)")</f>
        <v>Sea Dinosaur (WD)</v>
      </c>
      <c r="B15" s="72" t="str">
        <f>IFERROR(__xludf.DUMMYFUNCTION("""COMPUTED_VALUE"""),"1-5")</f>
        <v>1-5</v>
      </c>
      <c r="C15" s="2" t="str">
        <f>IFERROR(__xludf.DUMMYFUNCTION("""COMPUTED_VALUE"""),"500,000SC-1,000,000SC")</f>
        <v>500,000SC-1,000,000SC</v>
      </c>
      <c r="D15" s="72" t="str">
        <f>IFERROR(__xludf.DUMMYFUNCTION("""COMPUTED_VALUE"""),"6-10")</f>
        <v>6-10</v>
      </c>
      <c r="E15" s="2" t="str">
        <f>IFERROR(__xludf.DUMMYFUNCTION("""COMPUTED_VALUE"""),"Sea Dinosaur Bones")</f>
        <v>Sea Dinosaur Bones</v>
      </c>
      <c r="F15" s="72" t="str">
        <f>IFERROR(__xludf.DUMMYFUNCTION("""COMPUTED_VALUE"""),"11-15")</f>
        <v>11-15</v>
      </c>
      <c r="G15" s="2" t="str">
        <f>IFERROR(__xludf.DUMMYFUNCTION("""COMPUTED_VALUE"""),"Egg")</f>
        <v>Egg</v>
      </c>
      <c r="H15" s="72" t="str">
        <f>IFERROR(__xludf.DUMMYFUNCTION("""COMPUTED_VALUE"""),"16-20")</f>
        <v>16-20</v>
      </c>
      <c r="I15" s="2" t="str">
        <f>IFERROR(__xludf.DUMMYFUNCTION("""COMPUTED_VALUE"""),"Soul")</f>
        <v>Soul</v>
      </c>
      <c r="J15" s="72" t="str">
        <f>IFERROR(__xludf.DUMMYFUNCTION("""COMPUTED_VALUE"""),"21-25")</f>
        <v>21-25</v>
      </c>
      <c r="K15" s="2" t="str">
        <f>IFERROR(__xludf.DUMMYFUNCTION("""COMPUTED_VALUE"""),"Water Abyss Key")</f>
        <v>Water Abyss Key</v>
      </c>
      <c r="L15" s="1"/>
      <c r="M15" s="1"/>
      <c r="N15" s="1"/>
      <c r="O15" s="1"/>
      <c r="P15" s="1"/>
      <c r="Q15" s="1"/>
      <c r="R15" s="1"/>
      <c r="S15" s="1"/>
      <c r="T15" s="1"/>
      <c r="U15" s="1"/>
      <c r="V15" s="1"/>
      <c r="W15" s="1"/>
      <c r="X15" s="1"/>
    </row>
    <row r="16" ht="15.75" customHeight="1">
      <c r="A16" s="2" t="str">
        <f>IFERROR(__xludf.DUMMYFUNCTION("""COMPUTED_VALUE"""),"Sea Dinosaur (WD) (Enhanced)")</f>
        <v>Sea Dinosaur (WD) (Enhanced)</v>
      </c>
      <c r="B16" s="72" t="str">
        <f>IFERROR(__xludf.DUMMYFUNCTION("""COMPUTED_VALUE"""),"1-5")</f>
        <v>1-5</v>
      </c>
      <c r="C16" s="2" t="str">
        <f>IFERROR(__xludf.DUMMYFUNCTION("""COMPUTED_VALUE"""),"500,000SC-1,000,000SC")</f>
        <v>500,000SC-1,000,000SC</v>
      </c>
      <c r="D16" s="72" t="str">
        <f>IFERROR(__xludf.DUMMYFUNCTION("""COMPUTED_VALUE"""),"6-10")</f>
        <v>6-10</v>
      </c>
      <c r="E16" s="2" t="str">
        <f>IFERROR(__xludf.DUMMYFUNCTION("""COMPUTED_VALUE"""),"Sea Dinosaur Bones")</f>
        <v>Sea Dinosaur Bones</v>
      </c>
      <c r="F16" s="72" t="str">
        <f>IFERROR(__xludf.DUMMYFUNCTION("""COMPUTED_VALUE"""),"11-15")</f>
        <v>11-15</v>
      </c>
      <c r="G16" s="2" t="str">
        <f>IFERROR(__xludf.DUMMYFUNCTION("""COMPUTED_VALUE"""),"Egg")</f>
        <v>Egg</v>
      </c>
      <c r="H16" s="72" t="str">
        <f>IFERROR(__xludf.DUMMYFUNCTION("""COMPUTED_VALUE"""),"16-20")</f>
        <v>16-20</v>
      </c>
      <c r="I16" s="2" t="str">
        <f>IFERROR(__xludf.DUMMYFUNCTION("""COMPUTED_VALUE"""),"Soul")</f>
        <v>Soul</v>
      </c>
      <c r="J16" s="72" t="str">
        <f>IFERROR(__xludf.DUMMYFUNCTION("""COMPUTED_VALUE"""),"21-25")</f>
        <v>21-25</v>
      </c>
      <c r="K16" s="2" t="str">
        <f>IFERROR(__xludf.DUMMYFUNCTION("""COMPUTED_VALUE"""),"Water Abyss Key")</f>
        <v>Water Abyss Key</v>
      </c>
      <c r="L16" s="1"/>
      <c r="M16" s="1"/>
      <c r="N16" s="1"/>
      <c r="O16" s="1"/>
      <c r="P16" s="1"/>
      <c r="Q16" s="1"/>
      <c r="R16" s="1"/>
      <c r="S16" s="1"/>
      <c r="T16" s="1"/>
      <c r="U16" s="1"/>
      <c r="V16" s="1"/>
      <c r="W16" s="1"/>
      <c r="X16" s="1"/>
    </row>
    <row r="17" ht="15.75" customHeight="1">
      <c r="A17" s="2" t="str">
        <f>IFERROR(__xludf.DUMMYFUNCTION("""COMPUTED_VALUE"""),"Ancient Skeleton Colossus")</f>
        <v>Ancient Skeleton Colossus</v>
      </c>
      <c r="B17" s="72" t="str">
        <f>IFERROR(__xludf.DUMMYFUNCTION("""COMPUTED_VALUE"""),"1-5")</f>
        <v>1-5</v>
      </c>
      <c r="C17" s="2" t="str">
        <f>IFERROR(__xludf.DUMMYFUNCTION("""COMPUTED_VALUE"""),"Soul")</f>
        <v>Soul</v>
      </c>
      <c r="D17" s="72" t="str">
        <f>IFERROR(__xludf.DUMMYFUNCTION("""COMPUTED_VALUE"""),"6-10")</f>
        <v>6-10</v>
      </c>
      <c r="E17" s="2" t="str">
        <f>IFERROR(__xludf.DUMMYFUNCTION("""COMPUTED_VALUE"""),"Nothing")</f>
        <v>Nothing</v>
      </c>
      <c r="F17" s="72" t="str">
        <f>IFERROR(__xludf.DUMMYFUNCTION("""COMPUTED_VALUE"""),"11-15")</f>
        <v>11-15</v>
      </c>
      <c r="G17" s="2" t="str">
        <f>IFERROR(__xludf.DUMMYFUNCTION("""COMPUTED_VALUE"""),"Colossus Bone Sword")</f>
        <v>Colossus Bone Sword</v>
      </c>
      <c r="H17" s="72" t="str">
        <f>IFERROR(__xludf.DUMMYFUNCTION("""COMPUTED_VALUE"""),"16-20")</f>
        <v>16-20</v>
      </c>
      <c r="I17" s="2" t="str">
        <f>IFERROR(__xludf.DUMMYFUNCTION("""COMPUTED_VALUE"""),"100,000,000G-500,000,000G")</f>
        <v>100,000,000G-500,000,000G</v>
      </c>
      <c r="J17" s="72" t="str">
        <f>IFERROR(__xludf.DUMMYFUNCTION("""COMPUTED_VALUE"""),"21-25")</f>
        <v>21-25</v>
      </c>
      <c r="K17" s="2" t="str">
        <f>IFERROR(__xludf.DUMMYFUNCTION("""COMPUTED_VALUE"""),"Nothing")</f>
        <v>Nothing</v>
      </c>
      <c r="L17" s="1"/>
      <c r="M17" s="1"/>
      <c r="N17" s="1"/>
      <c r="O17" s="1"/>
      <c r="P17" s="1"/>
      <c r="Q17" s="1"/>
      <c r="R17" s="1"/>
      <c r="S17" s="1"/>
      <c r="T17" s="1"/>
      <c r="U17" s="1"/>
      <c r="V17" s="1"/>
      <c r="W17" s="1"/>
      <c r="X17" s="1"/>
    </row>
    <row r="18" ht="15.75" customHeight="1">
      <c r="A18" s="2" t="str">
        <f>IFERROR(__xludf.DUMMYFUNCTION("""COMPUTED_VALUE"""),"Ancient Stone Guard")</f>
        <v>Ancient Stone Guard</v>
      </c>
      <c r="B18" s="72" t="str">
        <f>IFERROR(__xludf.DUMMYFUNCTION("""COMPUTED_VALUE"""),"1-5")</f>
        <v>1-5</v>
      </c>
      <c r="C18" s="2" t="str">
        <f>IFERROR(__xludf.DUMMYFUNCTION("""COMPUTED_VALUE"""),"Stonewall Shield")</f>
        <v>Stonewall Shield</v>
      </c>
      <c r="D18" s="72" t="str">
        <f>IFERROR(__xludf.DUMMYFUNCTION("""COMPUTED_VALUE"""),"6-10")</f>
        <v>6-10</v>
      </c>
      <c r="E18" s="2" t="str">
        <f>IFERROR(__xludf.DUMMYFUNCTION("""COMPUTED_VALUE"""),"Nothing")</f>
        <v>Nothing</v>
      </c>
      <c r="F18" s="72" t="str">
        <f>IFERROR(__xludf.DUMMYFUNCTION("""COMPUTED_VALUE"""),"11-15")</f>
        <v>11-15</v>
      </c>
      <c r="G18" s="2" t="str">
        <f>IFERROR(__xludf.DUMMYFUNCTION("""COMPUTED_VALUE"""),"Egg")</f>
        <v>Egg</v>
      </c>
      <c r="H18" s="72" t="str">
        <f>IFERROR(__xludf.DUMMYFUNCTION("""COMPUTED_VALUE"""),"16-20")</f>
        <v>16-20</v>
      </c>
      <c r="I18" s="2" t="str">
        <f>IFERROR(__xludf.DUMMYFUNCTION("""COMPUTED_VALUE"""),"500,000G-1,000,000G")</f>
        <v>500,000G-1,000,000G</v>
      </c>
      <c r="J18" s="72" t="str">
        <f>IFERROR(__xludf.DUMMYFUNCTION("""COMPUTED_VALUE"""),"21-25")</f>
        <v>21-25</v>
      </c>
      <c r="K18" s="2" t="str">
        <f>IFERROR(__xludf.DUMMYFUNCTION("""COMPUTED_VALUE"""),"Ancient Stone Guardians Sword")</f>
        <v>Ancient Stone Guardians Sword</v>
      </c>
      <c r="L18" s="1"/>
      <c r="M18" s="1"/>
      <c r="N18" s="1"/>
      <c r="O18" s="1"/>
      <c r="P18" s="1"/>
      <c r="Q18" s="1"/>
      <c r="R18" s="1"/>
      <c r="S18" s="1"/>
      <c r="T18" s="1"/>
      <c r="U18" s="1"/>
      <c r="V18" s="1"/>
      <c r="W18" s="1"/>
      <c r="X18" s="1"/>
    </row>
    <row r="19" ht="15.75" customHeight="1">
      <c r="A19" s="2" t="str">
        <f>IFERROR(__xludf.DUMMYFUNCTION("""COMPUTED_VALUE"""),"Ancient Tree Of Flames")</f>
        <v>Ancient Tree Of Flames</v>
      </c>
      <c r="B19" s="72" t="str">
        <f>IFERROR(__xludf.DUMMYFUNCTION("""COMPUTED_VALUE"""),"1-5")</f>
        <v>1-5</v>
      </c>
      <c r="C19" s="2" t="str">
        <f>IFERROR(__xludf.DUMMYFUNCTION("""COMPUTED_VALUE"""),"Leaf Of The Ancient Tree Of Flames")</f>
        <v>Leaf Of The Ancient Tree Of Flames</v>
      </c>
      <c r="D19" s="72" t="str">
        <f>IFERROR(__xludf.DUMMYFUNCTION("""COMPUTED_VALUE"""),"6-10")</f>
        <v>6-10</v>
      </c>
      <c r="E19" s="2" t="str">
        <f>IFERROR(__xludf.DUMMYFUNCTION("""COMPUTED_VALUE"""),"Nothing")</f>
        <v>Nothing</v>
      </c>
      <c r="F19" s="72" t="str">
        <f>IFERROR(__xludf.DUMMYFUNCTION("""COMPUTED_VALUE"""),"11-15")</f>
        <v>11-15</v>
      </c>
      <c r="G19" s="2" t="str">
        <f>IFERROR(__xludf.DUMMYFUNCTION("""COMPUTED_VALUE"""),"Egg")</f>
        <v>Egg</v>
      </c>
      <c r="H19" s="72" t="str">
        <f>IFERROR(__xludf.DUMMYFUNCTION("""COMPUTED_VALUE"""),"16-20")</f>
        <v>16-20</v>
      </c>
      <c r="I19" s="2" t="str">
        <f>IFERROR(__xludf.DUMMYFUNCTION("""COMPUTED_VALUE"""),"Nothing")</f>
        <v>Nothing</v>
      </c>
      <c r="J19" s="72" t="str">
        <f>IFERROR(__xludf.DUMMYFUNCTION("""COMPUTED_VALUE"""),"21-25")</f>
        <v>21-25</v>
      </c>
      <c r="K19" s="2" t="str">
        <f>IFERROR(__xludf.DUMMYFUNCTION("""COMPUTED_VALUE"""),"Nothing")</f>
        <v>Nothing</v>
      </c>
      <c r="L19" s="1"/>
      <c r="M19" s="1"/>
      <c r="N19" s="1"/>
      <c r="O19" s="1"/>
      <c r="P19" s="1"/>
      <c r="Q19" s="1"/>
      <c r="R19" s="1"/>
      <c r="S19" s="1"/>
      <c r="T19" s="1"/>
      <c r="U19" s="1"/>
      <c r="V19" s="1"/>
      <c r="W19" s="1"/>
      <c r="X19" s="1"/>
    </row>
    <row r="20" ht="15.75" customHeight="1">
      <c r="A20" s="2" t="str">
        <f>IFERROR(__xludf.DUMMYFUNCTION("""COMPUTED_VALUE"""),"Volcanic Worm")</f>
        <v>Volcanic Worm</v>
      </c>
      <c r="B20" s="72" t="str">
        <f>IFERROR(__xludf.DUMMYFUNCTION("""COMPUTED_VALUE"""),"1-5")</f>
        <v>1-5</v>
      </c>
      <c r="C20" s="2" t="str">
        <f>IFERROR(__xludf.DUMMYFUNCTION("""COMPUTED_VALUE"""),"Nothing")</f>
        <v>Nothing</v>
      </c>
      <c r="D20" s="72" t="str">
        <f>IFERROR(__xludf.DUMMYFUNCTION("""COMPUTED_VALUE"""),"6-10")</f>
        <v>6-10</v>
      </c>
      <c r="E20" s="2" t="str">
        <f>IFERROR(__xludf.DUMMYFUNCTION("""COMPUTED_VALUE"""),"fire diamonds")</f>
        <v>fire diamonds</v>
      </c>
      <c r="F20" s="72" t="str">
        <f>IFERROR(__xludf.DUMMYFUNCTION("""COMPUTED_VALUE"""),"11-15")</f>
        <v>11-15</v>
      </c>
      <c r="G20" s="2" t="str">
        <f>IFERROR(__xludf.DUMMYFUNCTION("""COMPUTED_VALUE"""),"Giant Fire Diamond")</f>
        <v>Giant Fire Diamond</v>
      </c>
      <c r="H20" s="72" t="str">
        <f>IFERROR(__xludf.DUMMYFUNCTION("""COMPUTED_VALUE"""),"16-20")</f>
        <v>16-20</v>
      </c>
      <c r="I20" s="2" t="str">
        <f>IFERROR(__xludf.DUMMYFUNCTION("""COMPUTED_VALUE"""),"Ancient Volcanic Worm Core")</f>
        <v>Ancient Volcanic Worm Core</v>
      </c>
      <c r="J20" s="72" t="str">
        <f>IFERROR(__xludf.DUMMYFUNCTION("""COMPUTED_VALUE"""),"21-25")</f>
        <v>21-25</v>
      </c>
      <c r="K20" s="2" t="str">
        <f>IFERROR(__xludf.DUMMYFUNCTION("""COMPUTED_VALUE"""),"Nothing")</f>
        <v>Nothing</v>
      </c>
      <c r="L20" s="1"/>
      <c r="M20" s="1"/>
      <c r="N20" s="1"/>
      <c r="O20" s="1"/>
      <c r="P20" s="1"/>
      <c r="Q20" s="1"/>
      <c r="R20" s="1"/>
      <c r="S20" s="1"/>
      <c r="T20" s="1"/>
      <c r="U20" s="1"/>
      <c r="V20" s="1"/>
      <c r="W20" s="1"/>
      <c r="X20" s="1"/>
    </row>
    <row r="21" ht="15.75" customHeight="1">
      <c r="A21" s="2"/>
      <c r="B21" s="72" t="str">
        <f>IFERROR(__xludf.DUMMYFUNCTION("""COMPUTED_VALUE"""),"1-5")</f>
        <v>1-5</v>
      </c>
      <c r="C21" s="2" t="str">
        <f>IFERROR(__xludf.DUMMYFUNCTION("""COMPUTED_VALUE"""),"Egg")</f>
        <v>Egg</v>
      </c>
      <c r="D21" s="72" t="str">
        <f>IFERROR(__xludf.DUMMYFUNCTION("""COMPUTED_VALUE"""),"6-10")</f>
        <v>6-10</v>
      </c>
      <c r="E21" s="2" t="str">
        <f>IFERROR(__xludf.DUMMYFUNCTION("""COMPUTED_VALUE"""),"500,000SC-1,000,000SC")</f>
        <v>500,000SC-1,000,000SC</v>
      </c>
      <c r="F21" s="72" t="str">
        <f>IFERROR(__xludf.DUMMYFUNCTION("""COMPUTED_VALUE"""),"11-15")</f>
        <v>11-15</v>
      </c>
      <c r="G21" s="2" t="str">
        <f>IFERROR(__xludf.DUMMYFUNCTION("""COMPUTED_VALUE"""),"1,000,000G-20,000,000G")</f>
        <v>1,000,000G-20,000,000G</v>
      </c>
      <c r="H21" s="72" t="str">
        <f>IFERROR(__xludf.DUMMYFUNCTION("""COMPUTED_VALUE"""),"16-20")</f>
        <v>16-20</v>
      </c>
      <c r="I21" s="2" t="str">
        <f>IFERROR(__xludf.DUMMYFUNCTION("""COMPUTED_VALUE"""),"Soul")</f>
        <v>Soul</v>
      </c>
      <c r="J21" s="72" t="str">
        <f>IFERROR(__xludf.DUMMYFUNCTION("""COMPUTED_VALUE"""),"21-25")</f>
        <v>21-25</v>
      </c>
      <c r="K21" s="2" t="str">
        <f>IFERROR(__xludf.DUMMYFUNCTION("""COMPUTED_VALUE"""),"Nothing")</f>
        <v>Nothing</v>
      </c>
      <c r="L21" s="1"/>
      <c r="M21" s="1"/>
      <c r="N21" s="1"/>
      <c r="O21" s="1"/>
      <c r="P21" s="1"/>
      <c r="Q21" s="1"/>
      <c r="R21" s="1"/>
      <c r="S21" s="1"/>
      <c r="T21" s="1"/>
      <c r="U21" s="1"/>
      <c r="V21" s="1"/>
      <c r="W21" s="1"/>
      <c r="X21" s="1"/>
    </row>
    <row r="22" ht="15.75" customHeight="1">
      <c r="A22" s="2"/>
      <c r="B22" s="72" t="str">
        <f>IFERROR(__xludf.DUMMYFUNCTION("""COMPUTED_VALUE"""),"1-5")</f>
        <v>1-5</v>
      </c>
      <c r="C22" s="2" t="str">
        <f>IFERROR(__xludf.DUMMYFUNCTION("""COMPUTED_VALUE"""),"Egg")</f>
        <v>Egg</v>
      </c>
      <c r="D22" s="72" t="str">
        <f>IFERROR(__xludf.DUMMYFUNCTION("""COMPUTED_VALUE"""),"6-10")</f>
        <v>6-10</v>
      </c>
      <c r="E22" s="2" t="str">
        <f>IFERROR(__xludf.DUMMYFUNCTION("""COMPUTED_VALUE"""),"500,000SC-1,000,000SC")</f>
        <v>500,000SC-1,000,000SC</v>
      </c>
      <c r="F22" s="72" t="str">
        <f>IFERROR(__xludf.DUMMYFUNCTION("""COMPUTED_VALUE"""),"11-15")</f>
        <v>11-15</v>
      </c>
      <c r="G22" s="2" t="str">
        <f>IFERROR(__xludf.DUMMYFUNCTION("""COMPUTED_VALUE"""),"1,000,000G-20,000,000G")</f>
        <v>1,000,000G-20,000,000G</v>
      </c>
      <c r="H22" s="72" t="str">
        <f>IFERROR(__xludf.DUMMYFUNCTION("""COMPUTED_VALUE"""),"16-20")</f>
        <v>16-20</v>
      </c>
      <c r="I22" s="2" t="str">
        <f>IFERROR(__xludf.DUMMYFUNCTION("""COMPUTED_VALUE"""),"Soul")</f>
        <v>Soul</v>
      </c>
      <c r="J22" s="72" t="str">
        <f>IFERROR(__xludf.DUMMYFUNCTION("""COMPUTED_VALUE"""),"21-25")</f>
        <v>21-25</v>
      </c>
      <c r="K22" s="2" t="str">
        <f>IFERROR(__xludf.DUMMYFUNCTION("""COMPUTED_VALUE"""),"Nothing")</f>
        <v>Nothing</v>
      </c>
      <c r="L22" s="1"/>
      <c r="M22" s="1"/>
      <c r="N22" s="1"/>
      <c r="O22" s="1"/>
      <c r="P22" s="1"/>
      <c r="Q22" s="1"/>
      <c r="R22" s="1"/>
      <c r="S22" s="1"/>
      <c r="T22" s="1"/>
      <c r="U22" s="1"/>
      <c r="V22" s="1"/>
      <c r="W22" s="1"/>
      <c r="X22" s="1"/>
    </row>
    <row r="23" ht="15.75" customHeight="1">
      <c r="A23" s="2" t="str">
        <f>IFERROR(__xludf.DUMMYFUNCTION("""COMPUTED_VALUE"""),"Aonbharr of Manannán")</f>
        <v>Aonbharr of Manannán</v>
      </c>
      <c r="B23" s="72" t="str">
        <f>IFERROR(__xludf.DUMMYFUNCTION("""COMPUTED_VALUE"""),"1-5")</f>
        <v>1-5</v>
      </c>
      <c r="C23" s="2"/>
      <c r="D23" s="72" t="str">
        <f>IFERROR(__xludf.DUMMYFUNCTION("""COMPUTED_VALUE"""),"6-10")</f>
        <v>6-10</v>
      </c>
      <c r="E23" s="2"/>
      <c r="F23" s="72" t="str">
        <f>IFERROR(__xludf.DUMMYFUNCTION("""COMPUTED_VALUE"""),"11-15")</f>
        <v>11-15</v>
      </c>
      <c r="G23" s="2"/>
      <c r="H23" s="72" t="str">
        <f>IFERROR(__xludf.DUMMYFUNCTION("""COMPUTED_VALUE"""),"16-20")</f>
        <v>16-20</v>
      </c>
      <c r="I23" s="2"/>
      <c r="J23" s="72" t="str">
        <f>IFERROR(__xludf.DUMMYFUNCTION("""COMPUTED_VALUE"""),"21-25")</f>
        <v>21-25</v>
      </c>
      <c r="K23" s="2"/>
      <c r="L23" s="1"/>
      <c r="M23" s="1"/>
      <c r="N23" s="1"/>
      <c r="O23" s="1"/>
      <c r="P23" s="1"/>
      <c r="Q23" s="1"/>
      <c r="R23" s="1"/>
      <c r="S23" s="1"/>
      <c r="T23" s="1"/>
      <c r="U23" s="1"/>
      <c r="V23" s="1"/>
      <c r="W23" s="1"/>
      <c r="X23" s="1"/>
    </row>
    <row r="24" ht="15.75" customHeight="1">
      <c r="A24" s="2" t="str">
        <f>IFERROR(__xludf.DUMMYFUNCTION("""COMPUTED_VALUE"""),"Aquatic Serpent")</f>
        <v>Aquatic Serpent</v>
      </c>
      <c r="B24" s="72" t="str">
        <f>IFERROR(__xludf.DUMMYFUNCTION("""COMPUTED_VALUE"""),"1-5")</f>
        <v>1-5</v>
      </c>
      <c r="C24" s="2" t="str">
        <f>IFERROR(__xludf.DUMMYFUNCTION("""COMPUTED_VALUE"""),"Soul")</f>
        <v>Soul</v>
      </c>
      <c r="D24" s="72" t="str">
        <f>IFERROR(__xludf.DUMMYFUNCTION("""COMPUTED_VALUE"""),"6-10")</f>
        <v>6-10</v>
      </c>
      <c r="E24" s="2" t="str">
        <f>IFERROR(__xludf.DUMMYFUNCTION("""COMPUTED_VALUE"""),"The Wand Of Aquatic beasts")</f>
        <v>The Wand Of Aquatic beasts</v>
      </c>
      <c r="F24" s="72" t="str">
        <f>IFERROR(__xludf.DUMMYFUNCTION("""COMPUTED_VALUE"""),"11-15")</f>
        <v>11-15</v>
      </c>
      <c r="G24" s="2" t="str">
        <f>IFERROR(__xludf.DUMMYFUNCTION("""COMPUTED_VALUE"""),"Aquatic Diamond")</f>
        <v>Aquatic Diamond</v>
      </c>
      <c r="H24" s="72" t="str">
        <f>IFERROR(__xludf.DUMMYFUNCTION("""COMPUTED_VALUE"""),"16-20")</f>
        <v>16-20</v>
      </c>
      <c r="I24" s="2" t="str">
        <f>IFERROR(__xludf.DUMMYFUNCTION("""COMPUTED_VALUE"""),"60,000G-80,000G")</f>
        <v>60,000G-80,000G</v>
      </c>
      <c r="J24" s="72" t="str">
        <f>IFERROR(__xludf.DUMMYFUNCTION("""COMPUTED_VALUE"""),"21-25")</f>
        <v>21-25</v>
      </c>
      <c r="K24" s="2" t="str">
        <f>IFERROR(__xludf.DUMMYFUNCTION("""COMPUTED_VALUE"""),"Egg")</f>
        <v>Egg</v>
      </c>
      <c r="L24" s="1"/>
      <c r="M24" s="1"/>
      <c r="N24" s="1"/>
      <c r="O24" s="1"/>
      <c r="P24" s="1"/>
      <c r="Q24" s="1"/>
      <c r="R24" s="1"/>
      <c r="S24" s="1"/>
      <c r="T24" s="1"/>
      <c r="U24" s="1"/>
      <c r="V24" s="1"/>
      <c r="W24" s="1"/>
      <c r="X24" s="1"/>
    </row>
    <row r="25" ht="15.75" customHeight="1">
      <c r="A25" s="2" t="str">
        <f>IFERROR(__xludf.DUMMYFUNCTION("""COMPUTED_VALUE"""),"Assassin Doll")</f>
        <v>Assassin Doll</v>
      </c>
      <c r="B25" s="72" t="str">
        <f>IFERROR(__xludf.DUMMYFUNCTION("""COMPUTED_VALUE"""),"1-5")</f>
        <v>1-5</v>
      </c>
      <c r="C25" s="2" t="str">
        <f>IFERROR(__xludf.DUMMYFUNCTION("""COMPUTED_VALUE"""),"Silver Knife")</f>
        <v>Silver Knife</v>
      </c>
      <c r="D25" s="72" t="str">
        <f>IFERROR(__xludf.DUMMYFUNCTION("""COMPUTED_VALUE"""),"6-10")</f>
        <v>6-10</v>
      </c>
      <c r="E25" s="2" t="str">
        <f>IFERROR(__xludf.DUMMYFUNCTION("""COMPUTED_VALUE"""),"Dagger")</f>
        <v>Dagger</v>
      </c>
      <c r="F25" s="72" t="str">
        <f>IFERROR(__xludf.DUMMYFUNCTION("""COMPUTED_VALUE"""),"11-15")</f>
        <v>11-15</v>
      </c>
      <c r="G25" s="2" t="str">
        <f>IFERROR(__xludf.DUMMYFUNCTION("""COMPUTED_VALUE"""),"60,000G-80,000G")</f>
        <v>60,000G-80,000G</v>
      </c>
      <c r="H25" s="72" t="str">
        <f>IFERROR(__xludf.DUMMYFUNCTION("""COMPUTED_VALUE"""),"16-20")</f>
        <v>16-20</v>
      </c>
      <c r="I25" s="2" t="str">
        <f>IFERROR(__xludf.DUMMYFUNCTION("""COMPUTED_VALUE"""),"Egg")</f>
        <v>Egg</v>
      </c>
      <c r="J25" s="72" t="str">
        <f>IFERROR(__xludf.DUMMYFUNCTION("""COMPUTED_VALUE"""),"21-25")</f>
        <v>21-25</v>
      </c>
      <c r="K25" s="2" t="str">
        <f>IFERROR(__xludf.DUMMYFUNCTION("""COMPUTED_VALUE"""),"Ring o' Villainy and Voodoo")</f>
        <v>Ring o' Villainy and Voodoo</v>
      </c>
      <c r="L25" s="1"/>
      <c r="M25" s="1"/>
      <c r="N25" s="1"/>
      <c r="O25" s="1"/>
      <c r="P25" s="1"/>
      <c r="Q25" s="1"/>
      <c r="R25" s="1"/>
      <c r="S25" s="1"/>
      <c r="T25" s="1"/>
      <c r="U25" s="1"/>
      <c r="V25" s="1"/>
      <c r="W25" s="1"/>
      <c r="X25" s="1"/>
    </row>
    <row r="26" ht="15.75" customHeight="1">
      <c r="A26" s="2" t="str">
        <f>IFERROR(__xludf.DUMMYFUNCTION("""COMPUTED_VALUE"""),"Astral Dragon")</f>
        <v>Astral Dragon</v>
      </c>
      <c r="B26" s="72" t="str">
        <f>IFERROR(__xludf.DUMMYFUNCTION("""COMPUTED_VALUE"""),"1-5")</f>
        <v>1-5</v>
      </c>
      <c r="C26" s="2" t="str">
        <f>IFERROR(__xludf.DUMMYFUNCTION("""COMPUTED_VALUE"""),"Soul")</f>
        <v>Soul</v>
      </c>
      <c r="D26" s="72" t="str">
        <f>IFERROR(__xludf.DUMMYFUNCTION("""COMPUTED_VALUE"""),"6-10")</f>
        <v>6-10</v>
      </c>
      <c r="E26" s="2" t="str">
        <f>IFERROR(__xludf.DUMMYFUNCTION("""COMPUTED_VALUE"""),"40,000,000G-60,000,000G")</f>
        <v>40,000,000G-60,000,000G</v>
      </c>
      <c r="F26" s="72" t="str">
        <f>IFERROR(__xludf.DUMMYFUNCTION("""COMPUTED_VALUE"""),"11-15")</f>
        <v>11-15</v>
      </c>
      <c r="G26" s="2" t="str">
        <f>IFERROR(__xludf.DUMMYFUNCTION("""COMPUTED_VALUE"""),"Nothing")</f>
        <v>Nothing</v>
      </c>
      <c r="H26" s="72" t="str">
        <f>IFERROR(__xludf.DUMMYFUNCTION("""COMPUTED_VALUE"""),"16-20")</f>
        <v>16-20</v>
      </c>
      <c r="I26" s="2" t="str">
        <f>IFERROR(__xludf.DUMMYFUNCTION("""COMPUTED_VALUE"""),"Nothing")</f>
        <v>Nothing</v>
      </c>
      <c r="J26" s="72" t="str">
        <f>IFERROR(__xludf.DUMMYFUNCTION("""COMPUTED_VALUE"""),"21-25")</f>
        <v>21-25</v>
      </c>
      <c r="K26" s="2" t="str">
        <f>IFERROR(__xludf.DUMMYFUNCTION("""COMPUTED_VALUE"""),"Egg")</f>
        <v>Egg</v>
      </c>
      <c r="L26" s="1"/>
      <c r="M26" s="1"/>
      <c r="N26" s="1"/>
      <c r="O26" s="1"/>
      <c r="P26" s="1"/>
      <c r="Q26" s="1"/>
      <c r="R26" s="1"/>
      <c r="S26" s="1"/>
      <c r="T26" s="1"/>
      <c r="U26" s="1"/>
      <c r="V26" s="1"/>
      <c r="W26" s="1"/>
      <c r="X26" s="1"/>
    </row>
    <row r="27" ht="15.75" customHeight="1">
      <c r="A27" s="2" t="str">
        <f>IFERROR(__xludf.DUMMYFUNCTION("""COMPUTED_VALUE"""),"Baboon")</f>
        <v>Baboon</v>
      </c>
      <c r="B27" s="72" t="str">
        <f>IFERROR(__xludf.DUMMYFUNCTION("""COMPUTED_VALUE"""),"1-5")</f>
        <v>1-5</v>
      </c>
      <c r="C27" s="2" t="str">
        <f>IFERROR(__xludf.DUMMYFUNCTION("""COMPUTED_VALUE"""),"Baboon meat")</f>
        <v>Baboon meat</v>
      </c>
      <c r="D27" s="72" t="str">
        <f>IFERROR(__xludf.DUMMYFUNCTION("""COMPUTED_VALUE"""),"6-10")</f>
        <v>6-10</v>
      </c>
      <c r="E27" s="2" t="str">
        <f>IFERROR(__xludf.DUMMYFUNCTION("""COMPUTED_VALUE"""),"Soul")</f>
        <v>Soul</v>
      </c>
      <c r="F27" s="72" t="str">
        <f>IFERROR(__xludf.DUMMYFUNCTION("""COMPUTED_VALUE"""),"11-15")</f>
        <v>11-15</v>
      </c>
      <c r="G27" s="2" t="str">
        <f>IFERROR(__xludf.DUMMYFUNCTION("""COMPUTED_VALUE"""),"Egg")</f>
        <v>Egg</v>
      </c>
      <c r="H27" s="72" t="str">
        <f>IFERROR(__xludf.DUMMYFUNCTION("""COMPUTED_VALUE"""),"16-20")</f>
        <v>16-20</v>
      </c>
      <c r="I27" s="2" t="str">
        <f>IFERROR(__xludf.DUMMYFUNCTION("""COMPUTED_VALUE"""),"Nothing")</f>
        <v>Nothing</v>
      </c>
      <c r="J27" s="72" t="str">
        <f>IFERROR(__xludf.DUMMYFUNCTION("""COMPUTED_VALUE"""),"21-25")</f>
        <v>21-25</v>
      </c>
      <c r="K27" s="2" t="str">
        <f>IFERROR(__xludf.DUMMYFUNCTION("""COMPUTED_VALUE"""),"80,000G-100,000G")</f>
        <v>80,000G-100,000G</v>
      </c>
      <c r="L27" s="1"/>
      <c r="M27" s="1"/>
      <c r="N27" s="1"/>
      <c r="O27" s="1"/>
      <c r="P27" s="1"/>
      <c r="Q27" s="1"/>
      <c r="R27" s="1"/>
      <c r="S27" s="1"/>
      <c r="T27" s="1"/>
      <c r="U27" s="1"/>
      <c r="V27" s="1"/>
      <c r="W27" s="1"/>
      <c r="X27" s="1"/>
    </row>
    <row r="28" ht="15.75" customHeight="1">
      <c r="A28" s="2" t="str">
        <f>IFERROR(__xludf.DUMMYFUNCTION("""COMPUTED_VALUE"""),"Bandit")</f>
        <v>Bandit</v>
      </c>
      <c r="B28" s="72" t="str">
        <f>IFERROR(__xludf.DUMMYFUNCTION("""COMPUTED_VALUE"""),"1-5")</f>
        <v>1-5</v>
      </c>
      <c r="C28" s="2" t="str">
        <f>IFERROR(__xludf.DUMMYFUNCTION("""COMPUTED_VALUE"""),"Knife")</f>
        <v>Knife</v>
      </c>
      <c r="D28" s="72" t="str">
        <f>IFERROR(__xludf.DUMMYFUNCTION("""COMPUTED_VALUE"""),"6-10")</f>
        <v>6-10</v>
      </c>
      <c r="E28" s="2" t="str">
        <f>IFERROR(__xludf.DUMMYFUNCTION("""COMPUTED_VALUE"""),"1,000G-20,000G")</f>
        <v>1,000G-20,000G</v>
      </c>
      <c r="F28" s="72" t="str">
        <f>IFERROR(__xludf.DUMMYFUNCTION("""COMPUTED_VALUE"""),"11-15")</f>
        <v>11-15</v>
      </c>
      <c r="G28" s="2" t="str">
        <f>IFERROR(__xludf.DUMMYFUNCTION("""COMPUTED_VALUE"""),"Egg")</f>
        <v>Egg</v>
      </c>
      <c r="H28" s="72" t="str">
        <f>IFERROR(__xludf.DUMMYFUNCTION("""COMPUTED_VALUE"""),"16-20")</f>
        <v>16-20</v>
      </c>
      <c r="I28" s="2" t="str">
        <f>IFERROR(__xludf.DUMMYFUNCTION("""COMPUTED_VALUE"""),"Soul")</f>
        <v>Soul</v>
      </c>
      <c r="J28" s="72" t="str">
        <f>IFERROR(__xludf.DUMMYFUNCTION("""COMPUTED_VALUE"""),"21-25")</f>
        <v>21-25</v>
      </c>
      <c r="K28" s="2" t="str">
        <f>IFERROR(__xludf.DUMMYFUNCTION("""COMPUTED_VALUE"""),"Nothing")</f>
        <v>Nothing</v>
      </c>
      <c r="L28" s="1"/>
      <c r="M28" s="1"/>
      <c r="N28" s="1"/>
      <c r="O28" s="1"/>
      <c r="P28" s="1"/>
      <c r="Q28" s="1"/>
      <c r="R28" s="1"/>
      <c r="S28" s="1"/>
      <c r="T28" s="1"/>
      <c r="U28" s="1"/>
      <c r="V28" s="1"/>
      <c r="W28" s="1"/>
      <c r="X28" s="1"/>
    </row>
    <row r="29" ht="15.75" customHeight="1">
      <c r="A29" s="2" t="str">
        <f>IFERROR(__xludf.DUMMYFUNCTION("""COMPUTED_VALUE"""),"Bees")</f>
        <v>Bees</v>
      </c>
      <c r="B29" s="72" t="str">
        <f>IFERROR(__xludf.DUMMYFUNCTION("""COMPUTED_VALUE"""),"1-5")</f>
        <v>1-5</v>
      </c>
      <c r="C29" s="2" t="str">
        <f>IFERROR(__xludf.DUMMYFUNCTION("""COMPUTED_VALUE"""),"Bee Stinger ")</f>
        <v>Bee Stinger </v>
      </c>
      <c r="D29" s="72" t="str">
        <f>IFERROR(__xludf.DUMMYFUNCTION("""COMPUTED_VALUE"""),"6-10")</f>
        <v>6-10</v>
      </c>
      <c r="E29" s="2" t="str">
        <f>IFERROR(__xludf.DUMMYFUNCTION("""COMPUTED_VALUE"""),"Egg")</f>
        <v>Egg</v>
      </c>
      <c r="F29" s="72" t="str">
        <f>IFERROR(__xludf.DUMMYFUNCTION("""COMPUTED_VALUE"""),"11-15")</f>
        <v>11-15</v>
      </c>
      <c r="G29" s="2" t="str">
        <f>IFERROR(__xludf.DUMMYFUNCTION("""COMPUTED_VALUE"""),"Nothing")</f>
        <v>Nothing</v>
      </c>
      <c r="H29" s="72" t="str">
        <f>IFERROR(__xludf.DUMMYFUNCTION("""COMPUTED_VALUE"""),"16-20")</f>
        <v>16-20</v>
      </c>
      <c r="I29" s="2" t="str">
        <f>IFERROR(__xludf.DUMMYFUNCTION("""COMPUTED_VALUE"""),"Nothing")</f>
        <v>Nothing</v>
      </c>
      <c r="J29" s="72" t="str">
        <f>IFERROR(__xludf.DUMMYFUNCTION("""COMPUTED_VALUE"""),"21-25")</f>
        <v>21-25</v>
      </c>
      <c r="K29" s="2" t="str">
        <f>IFERROR(__xludf.DUMMYFUNCTION("""COMPUTED_VALUE"""),"Nothing")</f>
        <v>Nothing</v>
      </c>
      <c r="L29" s="1"/>
      <c r="M29" s="1"/>
      <c r="N29" s="1"/>
      <c r="O29" s="1"/>
      <c r="P29" s="1"/>
      <c r="Q29" s="1"/>
      <c r="R29" s="1"/>
      <c r="S29" s="1"/>
      <c r="T29" s="1"/>
      <c r="U29" s="1"/>
      <c r="V29" s="1"/>
      <c r="W29" s="1"/>
      <c r="X29" s="1"/>
    </row>
    <row r="30" ht="15.75" customHeight="1">
      <c r="A30" s="2" t="str">
        <f>IFERROR(__xludf.DUMMYFUNCTION("""COMPUTED_VALUE"""),"Big Frost Owl")</f>
        <v>Big Frost Owl</v>
      </c>
      <c r="B30" s="72" t="str">
        <f>IFERROR(__xludf.DUMMYFUNCTION("""COMPUTED_VALUE"""),"1-5")</f>
        <v>1-5</v>
      </c>
      <c r="C30" s="2" t="str">
        <f>IFERROR(__xludf.DUMMYFUNCTION("""COMPUTED_VALUE"""),"Egg")</f>
        <v>Egg</v>
      </c>
      <c r="D30" s="72" t="str">
        <f>IFERROR(__xludf.DUMMYFUNCTION("""COMPUTED_VALUE"""),"6-10")</f>
        <v>6-10</v>
      </c>
      <c r="E30" s="2" t="str">
        <f>IFERROR(__xludf.DUMMYFUNCTION("""COMPUTED_VALUE"""),"20,000G-40,000G")</f>
        <v>20,000G-40,000G</v>
      </c>
      <c r="F30" s="72" t="str">
        <f>IFERROR(__xludf.DUMMYFUNCTION("""COMPUTED_VALUE"""),"11-15")</f>
        <v>11-15</v>
      </c>
      <c r="G30" s="2" t="str">
        <f>IFERROR(__xludf.DUMMYFUNCTION("""COMPUTED_VALUE"""),"Soul")</f>
        <v>Soul</v>
      </c>
      <c r="H30" s="72" t="str">
        <f>IFERROR(__xludf.DUMMYFUNCTION("""COMPUTED_VALUE"""),"16-20")</f>
        <v>16-20</v>
      </c>
      <c r="I30" s="2" t="str">
        <f>IFERROR(__xludf.DUMMYFUNCTION("""COMPUTED_VALUE"""),"big Frost owl feathers")</f>
        <v>big Frost owl feathers</v>
      </c>
      <c r="J30" s="72" t="str">
        <f>IFERROR(__xludf.DUMMYFUNCTION("""COMPUTED_VALUE"""),"21-25")</f>
        <v>21-25</v>
      </c>
      <c r="K30" s="2" t="str">
        <f>IFERROR(__xludf.DUMMYFUNCTION("""COMPUTED_VALUE"""),"Big Frost Owl egg")</f>
        <v>Big Frost Owl egg</v>
      </c>
      <c r="L30" s="1"/>
      <c r="M30" s="1"/>
      <c r="N30" s="1"/>
      <c r="O30" s="1"/>
      <c r="P30" s="1"/>
      <c r="Q30" s="1"/>
      <c r="R30" s="1"/>
      <c r="S30" s="1"/>
      <c r="T30" s="1"/>
      <c r="U30" s="1"/>
      <c r="V30" s="1"/>
      <c r="W30" s="1"/>
      <c r="X30" s="1"/>
    </row>
    <row r="31" ht="15.75" customHeight="1">
      <c r="A31" s="2" t="str">
        <f>IFERROR(__xludf.DUMMYFUNCTION("""COMPUTED_VALUE"""),"Blood Monk")</f>
        <v>Blood Monk</v>
      </c>
      <c r="B31" s="73" t="str">
        <f>IFERROR(__xludf.DUMMYFUNCTION("""COMPUTED_VALUE"""),"1-5")</f>
        <v>1-5</v>
      </c>
      <c r="C31" s="2" t="str">
        <f>IFERROR(__xludf.DUMMYFUNCTION("""COMPUTED_VALUE"""),"Blood Katana")</f>
        <v>Blood Katana</v>
      </c>
      <c r="D31" s="73" t="str">
        <f>IFERROR(__xludf.DUMMYFUNCTION("""COMPUTED_VALUE"""),"6-10")</f>
        <v>6-10</v>
      </c>
      <c r="E31" s="2" t="str">
        <f>IFERROR(__xludf.DUMMYFUNCTION("""COMPUTED_VALUE"""),"Soul")</f>
        <v>Soul</v>
      </c>
      <c r="F31" s="73" t="str">
        <f>IFERROR(__xludf.DUMMYFUNCTION("""COMPUTED_VALUE"""),"11-15")</f>
        <v>11-15</v>
      </c>
      <c r="G31" s="2" t="str">
        <f>IFERROR(__xludf.DUMMYFUNCTION("""COMPUTED_VALUE"""),"Egg")</f>
        <v>Egg</v>
      </c>
      <c r="H31" s="73" t="str">
        <f>IFERROR(__xludf.DUMMYFUNCTION("""COMPUTED_VALUE"""),"16-20")</f>
        <v>16-20</v>
      </c>
      <c r="I31" s="2" t="str">
        <f>IFERROR(__xludf.DUMMYFUNCTION("""COMPUTED_VALUE"""),"1,000G-20,000G")</f>
        <v>1,000G-20,000G</v>
      </c>
      <c r="J31" s="73" t="str">
        <f>IFERROR(__xludf.DUMMYFUNCTION("""COMPUTED_VALUE"""),"21-25")</f>
        <v>21-25</v>
      </c>
      <c r="K31" s="2" t="str">
        <f>IFERROR(__xludf.DUMMYFUNCTION("""COMPUTED_VALUE"""),"Nothing")</f>
        <v>Nothing</v>
      </c>
      <c r="L31" s="1"/>
      <c r="M31" s="1"/>
      <c r="N31" s="1"/>
      <c r="O31" s="1"/>
      <c r="P31" s="1"/>
      <c r="Q31" s="1"/>
      <c r="R31" s="1"/>
      <c r="S31" s="1"/>
      <c r="T31" s="1"/>
      <c r="U31" s="1"/>
      <c r="V31" s="1"/>
      <c r="W31" s="1"/>
      <c r="X31" s="1"/>
    </row>
    <row r="32" ht="15.75" customHeight="1">
      <c r="A32" s="2" t="str">
        <f>IFERROR(__xludf.DUMMYFUNCTION("""COMPUTED_VALUE"""),"Boar")</f>
        <v>Boar</v>
      </c>
      <c r="B32" s="73" t="str">
        <f>IFERROR(__xludf.DUMMYFUNCTION("""COMPUTED_VALUE"""),"1-5")</f>
        <v>1-5</v>
      </c>
      <c r="C32" s="2" t="str">
        <f>IFERROR(__xludf.DUMMYFUNCTION("""COMPUTED_VALUE"""),"Egg")</f>
        <v>Egg</v>
      </c>
      <c r="D32" s="73" t="str">
        <f>IFERROR(__xludf.DUMMYFUNCTION("""COMPUTED_VALUE"""),"6-10")</f>
        <v>6-10</v>
      </c>
      <c r="E32" s="2" t="str">
        <f>IFERROR(__xludf.DUMMYFUNCTION("""COMPUTED_VALUE"""),"Boar Hide")</f>
        <v>Boar Hide</v>
      </c>
      <c r="F32" s="73" t="str">
        <f>IFERROR(__xludf.DUMMYFUNCTION("""COMPUTED_VALUE"""),"11-15")</f>
        <v>11-15</v>
      </c>
      <c r="G32" s="2" t="str">
        <f>IFERROR(__xludf.DUMMYFUNCTION("""COMPUTED_VALUE"""),"1,000G-20,000G")</f>
        <v>1,000G-20,000G</v>
      </c>
      <c r="H32" s="73" t="str">
        <f>IFERROR(__xludf.DUMMYFUNCTION("""COMPUTED_VALUE"""),"16-20")</f>
        <v>16-20</v>
      </c>
      <c r="I32" s="2" t="str">
        <f>IFERROR(__xludf.DUMMYFUNCTION("""COMPUTED_VALUE"""),"Soul")</f>
        <v>Soul</v>
      </c>
      <c r="J32" s="73" t="str">
        <f>IFERROR(__xludf.DUMMYFUNCTION("""COMPUTED_VALUE"""),"21-25")</f>
        <v>21-25</v>
      </c>
      <c r="K32" s="2" t="str">
        <f>IFERROR(__xludf.DUMMYFUNCTION("""COMPUTED_VALUE"""),"Nothing")</f>
        <v>Nothing</v>
      </c>
      <c r="L32" s="1"/>
      <c r="M32" s="1"/>
      <c r="N32" s="1"/>
      <c r="O32" s="1"/>
      <c r="P32" s="1"/>
      <c r="Q32" s="1"/>
      <c r="R32" s="1"/>
      <c r="S32" s="1"/>
      <c r="T32" s="1"/>
      <c r="U32" s="1"/>
      <c r="V32" s="1"/>
      <c r="W32" s="1"/>
      <c r="X32" s="1"/>
    </row>
    <row r="33" ht="15.75" customHeight="1">
      <c r="A33" s="2" t="str">
        <f>IFERROR(__xludf.DUMMYFUNCTION("""COMPUTED_VALUE"""),"Bounty Hunter")</f>
        <v>Bounty Hunter</v>
      </c>
      <c r="B33" s="1"/>
      <c r="C33" s="2"/>
      <c r="D33" s="1"/>
      <c r="E33" s="2"/>
      <c r="F33" s="1"/>
      <c r="G33" s="2"/>
      <c r="H33" s="1"/>
      <c r="I33" s="2"/>
      <c r="J33" s="1"/>
      <c r="K33" s="2"/>
      <c r="L33" s="1"/>
      <c r="M33" s="1"/>
      <c r="N33" s="1"/>
      <c r="O33" s="1"/>
      <c r="P33" s="1"/>
      <c r="Q33" s="1"/>
      <c r="R33" s="1"/>
      <c r="S33" s="1"/>
      <c r="T33" s="1"/>
      <c r="U33" s="1"/>
      <c r="V33" s="1"/>
      <c r="W33" s="1"/>
      <c r="X33" s="1"/>
    </row>
    <row r="34" ht="15.75" customHeight="1">
      <c r="A34" s="2" t="str">
        <f>IFERROR(__xludf.DUMMYFUNCTION("""COMPUTED_VALUE"""),"Bull")</f>
        <v>Bull</v>
      </c>
      <c r="B34" s="73" t="str">
        <f>IFERROR(__xludf.DUMMYFUNCTION("""COMPUTED_VALUE"""),"1-5")</f>
        <v>1-5</v>
      </c>
      <c r="C34" s="2" t="str">
        <f>IFERROR(__xludf.DUMMYFUNCTION("""COMPUTED_VALUE"""),"Potion of Mana")</f>
        <v>Potion of Mana</v>
      </c>
      <c r="D34" s="73" t="str">
        <f>IFERROR(__xludf.DUMMYFUNCTION("""COMPUTED_VALUE"""),"6-10")</f>
        <v>6-10</v>
      </c>
      <c r="E34" s="2" t="str">
        <f>IFERROR(__xludf.DUMMYFUNCTION("""COMPUTED_VALUE"""),"Egg")</f>
        <v>Egg</v>
      </c>
      <c r="F34" s="73" t="str">
        <f>IFERROR(__xludf.DUMMYFUNCTION("""COMPUTED_VALUE"""),"11-15")</f>
        <v>11-15</v>
      </c>
      <c r="G34" s="2" t="str">
        <f>IFERROR(__xludf.DUMMYFUNCTION("""COMPUTED_VALUE"""),"1,000G-20,000G")</f>
        <v>1,000G-20,000G</v>
      </c>
      <c r="H34" s="73" t="str">
        <f>IFERROR(__xludf.DUMMYFUNCTION("""COMPUTED_VALUE"""),"16-20")</f>
        <v>16-20</v>
      </c>
      <c r="I34" s="2" t="str">
        <f>IFERROR(__xludf.DUMMYFUNCTION("""COMPUTED_VALUE"""),"Raw Meat")</f>
        <v>Raw Meat</v>
      </c>
      <c r="J34" s="73" t="str">
        <f>IFERROR(__xludf.DUMMYFUNCTION("""COMPUTED_VALUE"""),"21-25")</f>
        <v>21-25</v>
      </c>
      <c r="K34" s="2" t="str">
        <f>IFERROR(__xludf.DUMMYFUNCTION("""COMPUTED_VALUE"""),"Soul")</f>
        <v>Soul</v>
      </c>
      <c r="L34" s="1"/>
      <c r="M34" s="1"/>
      <c r="N34" s="1"/>
      <c r="O34" s="1"/>
      <c r="P34" s="1"/>
      <c r="Q34" s="1"/>
      <c r="R34" s="1"/>
      <c r="S34" s="1"/>
      <c r="T34" s="1"/>
      <c r="U34" s="1"/>
      <c r="V34" s="1"/>
      <c r="W34" s="1"/>
      <c r="X34" s="1"/>
    </row>
    <row r="35" ht="15.75" customHeight="1">
      <c r="A35" s="2" t="str">
        <f>IFERROR(__xludf.DUMMYFUNCTION("""COMPUTED_VALUE"""),"Celestial Dragon")</f>
        <v>Celestial Dragon</v>
      </c>
      <c r="B35" s="73" t="str">
        <f>IFERROR(__xludf.DUMMYFUNCTION("""COMPUTED_VALUE"""),"1-5")</f>
        <v>1-5</v>
      </c>
      <c r="C35" s="2" t="str">
        <f>IFERROR(__xludf.DUMMYFUNCTION("""COMPUTED_VALUE"""),"Soul")</f>
        <v>Soul</v>
      </c>
      <c r="D35" s="73" t="str">
        <f>IFERROR(__xludf.DUMMYFUNCTION("""COMPUTED_VALUE"""),"6-10")</f>
        <v>6-10</v>
      </c>
      <c r="E35" s="2" t="str">
        <f>IFERROR(__xludf.DUMMYFUNCTION("""COMPUTED_VALUE"""),"500,000G-1,000,000G")</f>
        <v>500,000G-1,000,000G</v>
      </c>
      <c r="F35" s="73" t="str">
        <f>IFERROR(__xludf.DUMMYFUNCTION("""COMPUTED_VALUE"""),"11-15")</f>
        <v>11-15</v>
      </c>
      <c r="G35" s="2" t="str">
        <f>IFERROR(__xludf.DUMMYFUNCTION("""COMPUTED_VALUE"""),"Nothing")</f>
        <v>Nothing</v>
      </c>
      <c r="H35" s="73" t="str">
        <f>IFERROR(__xludf.DUMMYFUNCTION("""COMPUTED_VALUE"""),"16-20")</f>
        <v>16-20</v>
      </c>
      <c r="I35" s="2" t="str">
        <f>IFERROR(__xludf.DUMMYFUNCTION("""COMPUTED_VALUE"""),"Nothing")</f>
        <v>Nothing</v>
      </c>
      <c r="J35" s="73" t="str">
        <f>IFERROR(__xludf.DUMMYFUNCTION("""COMPUTED_VALUE"""),"21-25")</f>
        <v>21-25</v>
      </c>
      <c r="K35" s="2" t="str">
        <f>IFERROR(__xludf.DUMMYFUNCTION("""COMPUTED_VALUE"""),"Egg")</f>
        <v>Egg</v>
      </c>
      <c r="L35" s="1"/>
      <c r="M35" s="1"/>
      <c r="N35" s="1"/>
      <c r="O35" s="1"/>
      <c r="P35" s="1"/>
      <c r="Q35" s="1"/>
      <c r="R35" s="1"/>
      <c r="S35" s="1"/>
      <c r="T35" s="1"/>
      <c r="U35" s="1"/>
      <c r="V35" s="1"/>
      <c r="W35" s="1"/>
      <c r="X35" s="1"/>
    </row>
    <row r="36" ht="15.75" customHeight="1">
      <c r="A36" s="2" t="str">
        <f>IFERROR(__xludf.DUMMYFUNCTION("""COMPUTED_VALUE"""),"Chaos Dragon")</f>
        <v>Chaos Dragon</v>
      </c>
      <c r="B36" s="73" t="str">
        <f>IFERROR(__xludf.DUMMYFUNCTION("""COMPUTED_VALUE"""),"1-5")</f>
        <v>1-5</v>
      </c>
      <c r="C36" s="2" t="str">
        <f>IFERROR(__xludf.DUMMYFUNCTION("""COMPUTED_VALUE"""),"Egg")</f>
        <v>Egg</v>
      </c>
      <c r="D36" s="73" t="str">
        <f>IFERROR(__xludf.DUMMYFUNCTION("""COMPUTED_VALUE"""),"6-10")</f>
        <v>6-10</v>
      </c>
      <c r="E36" s="2" t="str">
        <f>IFERROR(__xludf.DUMMYFUNCTION("""COMPUTED_VALUE"""),"Chaos Sword")</f>
        <v>Chaos Sword</v>
      </c>
      <c r="F36" s="73" t="str">
        <f>IFERROR(__xludf.DUMMYFUNCTION("""COMPUTED_VALUE"""),"11-15")</f>
        <v>11-15</v>
      </c>
      <c r="G36" s="2" t="str">
        <f>IFERROR(__xludf.DUMMYFUNCTION("""COMPUTED_VALUE"""),"Soul")</f>
        <v>Soul</v>
      </c>
      <c r="H36" s="73" t="str">
        <f>IFERROR(__xludf.DUMMYFUNCTION("""COMPUTED_VALUE"""),"16-20")</f>
        <v>16-20</v>
      </c>
      <c r="I36" s="2" t="str">
        <f>IFERROR(__xludf.DUMMYFUNCTION("""COMPUTED_VALUE"""),"Nothing")</f>
        <v>Nothing</v>
      </c>
      <c r="J36" s="73" t="str">
        <f>IFERROR(__xludf.DUMMYFUNCTION("""COMPUTED_VALUE"""),"21-25")</f>
        <v>21-25</v>
      </c>
      <c r="K36" s="2" t="str">
        <f>IFERROR(__xludf.DUMMYFUNCTION("""COMPUTED_VALUE"""),"500,000G-1,000,000G")</f>
        <v>500,000G-1,000,000G</v>
      </c>
      <c r="L36" s="1"/>
      <c r="M36" s="1"/>
      <c r="N36" s="1"/>
      <c r="O36" s="1"/>
      <c r="P36" s="1"/>
      <c r="Q36" s="1"/>
      <c r="R36" s="1"/>
      <c r="S36" s="1"/>
      <c r="T36" s="1"/>
      <c r="U36" s="1"/>
      <c r="V36" s="1"/>
      <c r="W36" s="1"/>
      <c r="X36" s="1"/>
    </row>
    <row r="37" ht="15.75" customHeight="1">
      <c r="A37" s="2" t="str">
        <f>IFERROR(__xludf.DUMMYFUNCTION("""COMPUTED_VALUE"""),"Chaotic Shadow Gnome")</f>
        <v>Chaotic Shadow Gnome</v>
      </c>
      <c r="B37" s="73" t="str">
        <f>IFERROR(__xludf.DUMMYFUNCTION("""COMPUTED_VALUE"""),"1-5")</f>
        <v>1-5</v>
      </c>
      <c r="C37" s="2" t="str">
        <f>IFERROR(__xludf.DUMMYFUNCTION("""COMPUTED_VALUE"""),"500,000G-1,000,000G")</f>
        <v>500,000G-1,000,000G</v>
      </c>
      <c r="D37" s="73" t="str">
        <f>IFERROR(__xludf.DUMMYFUNCTION("""COMPUTED_VALUE"""),"6-10")</f>
        <v>6-10</v>
      </c>
      <c r="E37" s="2" t="str">
        <f>IFERROR(__xludf.DUMMYFUNCTION("""COMPUTED_VALUE"""),"Soul")</f>
        <v>Soul</v>
      </c>
      <c r="F37" s="73" t="str">
        <f>IFERROR(__xludf.DUMMYFUNCTION("""COMPUTED_VALUE"""),"11-15")</f>
        <v>11-15</v>
      </c>
      <c r="G37" s="2" t="str">
        <f>IFERROR(__xludf.DUMMYFUNCTION("""COMPUTED_VALUE"""),"Shadow Flute")</f>
        <v>Shadow Flute</v>
      </c>
      <c r="H37" s="73" t="str">
        <f>IFERROR(__xludf.DUMMYFUNCTION("""COMPUTED_VALUE"""),"16-20")</f>
        <v>16-20</v>
      </c>
      <c r="I37" s="2" t="str">
        <f>IFERROR(__xludf.DUMMYFUNCTION("""COMPUTED_VALUE"""),"Egg")</f>
        <v>Egg</v>
      </c>
      <c r="J37" s="73" t="str">
        <f>IFERROR(__xludf.DUMMYFUNCTION("""COMPUTED_VALUE"""),"21-25")</f>
        <v>21-25</v>
      </c>
      <c r="K37" s="2" t="str">
        <f>IFERROR(__xludf.DUMMYFUNCTION("""COMPUTED_VALUE"""),"Chaotic Shadow Life Orb")</f>
        <v>Chaotic Shadow Life Orb</v>
      </c>
      <c r="L37" s="1"/>
      <c r="M37" s="1"/>
      <c r="N37" s="1"/>
      <c r="O37" s="1"/>
      <c r="P37" s="1"/>
      <c r="Q37" s="1"/>
      <c r="R37" s="1"/>
      <c r="S37" s="1"/>
      <c r="T37" s="1"/>
      <c r="U37" s="1"/>
      <c r="V37" s="1"/>
      <c r="W37" s="1"/>
      <c r="X37" s="1"/>
    </row>
    <row r="38" ht="15.75" customHeight="1">
      <c r="A38" s="2" t="str">
        <f>IFERROR(__xludf.DUMMYFUNCTION("""COMPUTED_VALUE"""),"Chaotic Shadow Golem")</f>
        <v>Chaotic Shadow Golem</v>
      </c>
      <c r="B38" s="73" t="str">
        <f>IFERROR(__xludf.DUMMYFUNCTION("""COMPUTED_VALUE"""),"1-5")</f>
        <v>1-5</v>
      </c>
      <c r="C38" s="2" t="str">
        <f>IFERROR(__xludf.DUMMYFUNCTION("""COMPUTED_VALUE"""),"500,000G-1,000,000G")</f>
        <v>500,000G-1,000,000G</v>
      </c>
      <c r="D38" s="73" t="str">
        <f>IFERROR(__xludf.DUMMYFUNCTION("""COMPUTED_VALUE"""),"6-10")</f>
        <v>6-10</v>
      </c>
      <c r="E38" s="2" t="str">
        <f>IFERROR(__xludf.DUMMYFUNCTION("""COMPUTED_VALUE"""),"Nothing")</f>
        <v>Nothing</v>
      </c>
      <c r="F38" s="73" t="str">
        <f>IFERROR(__xludf.DUMMYFUNCTION("""COMPUTED_VALUE"""),"11-15")</f>
        <v>11-15</v>
      </c>
      <c r="G38" s="2" t="str">
        <f>IFERROR(__xludf.DUMMYFUNCTION("""COMPUTED_VALUE"""),"Chaotic Shadow Life Orb")</f>
        <v>Chaotic Shadow Life Orb</v>
      </c>
      <c r="H38" s="73" t="str">
        <f>IFERROR(__xludf.DUMMYFUNCTION("""COMPUTED_VALUE"""),"16-20")</f>
        <v>16-20</v>
      </c>
      <c r="I38" s="2" t="str">
        <f>IFERROR(__xludf.DUMMYFUNCTION("""COMPUTED_VALUE"""),"Hammer of Chaotic Shadows")</f>
        <v>Hammer of Chaotic Shadows</v>
      </c>
      <c r="J38" s="73" t="str">
        <f>IFERROR(__xludf.DUMMYFUNCTION("""COMPUTED_VALUE"""),"21-25")</f>
        <v>21-25</v>
      </c>
      <c r="K38" s="2" t="str">
        <f>IFERROR(__xludf.DUMMYFUNCTION("""COMPUTED_VALUE"""),"Nothing")</f>
        <v>Nothing</v>
      </c>
      <c r="L38" s="1"/>
      <c r="M38" s="1"/>
      <c r="N38" s="1"/>
      <c r="O38" s="1"/>
      <c r="P38" s="1"/>
      <c r="Q38" s="1"/>
      <c r="R38" s="1"/>
      <c r="S38" s="1"/>
      <c r="T38" s="1"/>
      <c r="U38" s="1"/>
      <c r="V38" s="1"/>
      <c r="W38" s="1"/>
      <c r="X38" s="1"/>
    </row>
    <row r="39" ht="15.75" customHeight="1">
      <c r="A39" s="2" t="str">
        <f>IFERROR(__xludf.DUMMYFUNCTION("""COMPUTED_VALUE"""),"Chaotic Shadow Phantom")</f>
        <v>Chaotic Shadow Phantom</v>
      </c>
      <c r="B39" s="73" t="str">
        <f>IFERROR(__xludf.DUMMYFUNCTION("""COMPUTED_VALUE"""),"1-5")</f>
        <v>1-5</v>
      </c>
      <c r="C39" s="2" t="str">
        <f>IFERROR(__xludf.DUMMYFUNCTION("""COMPUTED_VALUE"""),"Nothing")</f>
        <v>Nothing</v>
      </c>
      <c r="D39" s="73" t="str">
        <f>IFERROR(__xludf.DUMMYFUNCTION("""COMPUTED_VALUE"""),"6-10")</f>
        <v>6-10</v>
      </c>
      <c r="E39" s="2" t="str">
        <f>IFERROR(__xludf.DUMMYFUNCTION("""COMPUTED_VALUE"""),"Egg")</f>
        <v>Egg</v>
      </c>
      <c r="F39" s="73" t="str">
        <f>IFERROR(__xludf.DUMMYFUNCTION("""COMPUTED_VALUE"""),"11-15")</f>
        <v>11-15</v>
      </c>
      <c r="G39" s="2" t="str">
        <f>IFERROR(__xludf.DUMMYFUNCTION("""COMPUTED_VALUE"""),"Nothing")</f>
        <v>Nothing</v>
      </c>
      <c r="H39" s="73" t="str">
        <f>IFERROR(__xludf.DUMMYFUNCTION("""COMPUTED_VALUE"""),"16-20")</f>
        <v>16-20</v>
      </c>
      <c r="I39" s="2" t="str">
        <f>IFERROR(__xludf.DUMMYFUNCTION("""COMPUTED_VALUE"""),"Soul")</f>
        <v>Soul</v>
      </c>
      <c r="J39" s="73" t="str">
        <f>IFERROR(__xludf.DUMMYFUNCTION("""COMPUTED_VALUE"""),"21-25")</f>
        <v>21-25</v>
      </c>
      <c r="K39" s="2" t="str">
        <f>IFERROR(__xludf.DUMMYFUNCTION("""COMPUTED_VALUE"""),"Nothing")</f>
        <v>Nothing</v>
      </c>
      <c r="L39" s="1"/>
      <c r="M39" s="1"/>
      <c r="N39" s="1"/>
      <c r="O39" s="1"/>
      <c r="P39" s="1"/>
      <c r="Q39" s="1"/>
      <c r="R39" s="1"/>
      <c r="S39" s="1"/>
      <c r="T39" s="1"/>
      <c r="U39" s="1"/>
      <c r="V39" s="1"/>
      <c r="W39" s="1"/>
      <c r="X39" s="1"/>
    </row>
    <row r="40" ht="15.75" customHeight="1">
      <c r="A40" s="2" t="str">
        <f>IFERROR(__xludf.DUMMYFUNCTION("""COMPUTED_VALUE"""),"Chaotic Shadow Royal Knight")</f>
        <v>Chaotic Shadow Royal Knight</v>
      </c>
      <c r="B40" s="73" t="str">
        <f>IFERROR(__xludf.DUMMYFUNCTION("""COMPUTED_VALUE"""),"1-5")</f>
        <v>1-5</v>
      </c>
      <c r="C40" s="2" t="str">
        <f>IFERROR(__xludf.DUMMYFUNCTION("""COMPUTED_VALUE"""),"500,000G-1,000,000G")</f>
        <v>500,000G-1,000,000G</v>
      </c>
      <c r="D40" s="73" t="str">
        <f>IFERROR(__xludf.DUMMYFUNCTION("""COMPUTED_VALUE"""),"6-10")</f>
        <v>6-10</v>
      </c>
      <c r="E40" s="2" t="str">
        <f>IFERROR(__xludf.DUMMYFUNCTION("""COMPUTED_VALUE"""),"Soul")</f>
        <v>Soul</v>
      </c>
      <c r="F40" s="73" t="str">
        <f>IFERROR(__xludf.DUMMYFUNCTION("""COMPUTED_VALUE"""),"11-15")</f>
        <v>11-15</v>
      </c>
      <c r="G40" s="2" t="str">
        <f>IFERROR(__xludf.DUMMYFUNCTION("""COMPUTED_VALUE"""),"Egg")</f>
        <v>Egg</v>
      </c>
      <c r="H40" s="73" t="str">
        <f>IFERROR(__xludf.DUMMYFUNCTION("""COMPUTED_VALUE"""),"16-20")</f>
        <v>16-20</v>
      </c>
      <c r="I40" s="2" t="str">
        <f>IFERROR(__xludf.DUMMYFUNCTION("""COMPUTED_VALUE"""),"Staff of Chaotic Shadows")</f>
        <v>Staff of Chaotic Shadows</v>
      </c>
      <c r="J40" s="73" t="str">
        <f>IFERROR(__xludf.DUMMYFUNCTION("""COMPUTED_VALUE"""),"21-25")</f>
        <v>21-25</v>
      </c>
      <c r="K40" s="2" t="str">
        <f>IFERROR(__xludf.DUMMYFUNCTION("""COMPUTED_VALUE"""),"Chaotic Shadow Life Orb")</f>
        <v>Chaotic Shadow Life Orb</v>
      </c>
      <c r="L40" s="1"/>
      <c r="M40" s="1"/>
      <c r="N40" s="1"/>
      <c r="O40" s="1"/>
      <c r="P40" s="1"/>
      <c r="Q40" s="1"/>
      <c r="R40" s="1"/>
      <c r="S40" s="1"/>
      <c r="T40" s="1"/>
      <c r="U40" s="1"/>
      <c r="V40" s="1"/>
      <c r="W40" s="1"/>
      <c r="X40" s="1"/>
    </row>
    <row r="41" ht="15.75" customHeight="1">
      <c r="A41" s="2" t="str">
        <f>IFERROR(__xludf.DUMMYFUNCTION("""COMPUTED_VALUE"""),"colossus suit of armor")</f>
        <v>colossus suit of armor</v>
      </c>
      <c r="B41" s="73" t="str">
        <f>IFERROR(__xludf.DUMMYFUNCTION("""COMPUTED_VALUE"""),"1-5")</f>
        <v>1-5</v>
      </c>
      <c r="C41" s="2" t="str">
        <f>IFERROR(__xludf.DUMMYFUNCTION("""COMPUTED_VALUE"""),"Chain Link Armor")</f>
        <v>Chain Link Armor</v>
      </c>
      <c r="D41" s="73" t="str">
        <f>IFERROR(__xludf.DUMMYFUNCTION("""COMPUTED_VALUE"""),"6-10")</f>
        <v>6-10</v>
      </c>
      <c r="E41" s="2" t="str">
        <f>IFERROR(__xludf.DUMMYFUNCTION("""COMPUTED_VALUE"""),"Nothing")</f>
        <v>Nothing</v>
      </c>
      <c r="F41" s="73" t="str">
        <f>IFERROR(__xludf.DUMMYFUNCTION("""COMPUTED_VALUE"""),"11-15")</f>
        <v>11-15</v>
      </c>
      <c r="G41" s="2" t="str">
        <f>IFERROR(__xludf.DUMMYFUNCTION("""COMPUTED_VALUE"""),"500,000G-1,000,000G")</f>
        <v>500,000G-1,000,000G</v>
      </c>
      <c r="H41" s="73" t="str">
        <f>IFERROR(__xludf.DUMMYFUNCTION("""COMPUTED_VALUE"""),"16-20")</f>
        <v>16-20</v>
      </c>
      <c r="I41" s="2" t="str">
        <f>IFERROR(__xludf.DUMMYFUNCTION("""COMPUTED_VALUE"""),"Nothing")</f>
        <v>Nothing</v>
      </c>
      <c r="J41" s="73" t="str">
        <f>IFERROR(__xludf.DUMMYFUNCTION("""COMPUTED_VALUE"""),"21-25")</f>
        <v>21-25</v>
      </c>
      <c r="K41" s="2" t="str">
        <f>IFERROR(__xludf.DUMMYFUNCTION("""COMPUTED_VALUE"""),"Nothing")</f>
        <v>Nothing</v>
      </c>
      <c r="L41" s="1"/>
      <c r="M41" s="1"/>
      <c r="N41" s="1"/>
      <c r="O41" s="1"/>
      <c r="P41" s="1"/>
      <c r="Q41" s="1"/>
      <c r="R41" s="1"/>
      <c r="S41" s="1"/>
      <c r="T41" s="1"/>
      <c r="U41" s="1"/>
      <c r="V41" s="1"/>
      <c r="W41" s="1"/>
      <c r="X41" s="1"/>
    </row>
    <row r="42" ht="15.75" customHeight="1">
      <c r="A42" s="2" t="str">
        <f>IFERROR(__xludf.DUMMYFUNCTION("""COMPUTED_VALUE"""),"Corrupted Twilight Knight")</f>
        <v>Corrupted Twilight Knight</v>
      </c>
      <c r="B42" s="73" t="str">
        <f>IFERROR(__xludf.DUMMYFUNCTION("""COMPUTED_VALUE"""),"1-5")</f>
        <v>1-5</v>
      </c>
      <c r="C42" s="2" t="str">
        <f>IFERROR(__xludf.DUMMYFUNCTION("""COMPUTED_VALUE"""),"Twilight Bow")</f>
        <v>Twilight Bow</v>
      </c>
      <c r="D42" s="73" t="str">
        <f>IFERROR(__xludf.DUMMYFUNCTION("""COMPUTED_VALUE"""),"6-10")</f>
        <v>6-10</v>
      </c>
      <c r="E42" s="2" t="str">
        <f>IFERROR(__xludf.DUMMYFUNCTION("""COMPUTED_VALUE"""),"Twilight Sword")</f>
        <v>Twilight Sword</v>
      </c>
      <c r="F42" s="73" t="str">
        <f>IFERROR(__xludf.DUMMYFUNCTION("""COMPUTED_VALUE"""),"11-15")</f>
        <v>11-15</v>
      </c>
      <c r="G42" s="2" t="str">
        <f>IFERROR(__xludf.DUMMYFUNCTION("""COMPUTED_VALUE"""),"Egg")</f>
        <v>Egg</v>
      </c>
      <c r="H42" s="73" t="str">
        <f>IFERROR(__xludf.DUMMYFUNCTION("""COMPUTED_VALUE"""),"16-20")</f>
        <v>16-20</v>
      </c>
      <c r="I42" s="2" t="str">
        <f>IFERROR(__xludf.DUMMYFUNCTION("""COMPUTED_VALUE"""),"Soul")</f>
        <v>Soul</v>
      </c>
      <c r="J42" s="73" t="str">
        <f>IFERROR(__xludf.DUMMYFUNCTION("""COMPUTED_VALUE"""),"21-25")</f>
        <v>21-25</v>
      </c>
      <c r="K42" s="2" t="str">
        <f>IFERROR(__xludf.DUMMYFUNCTION("""COMPUTED_VALUE"""),"Rank 9 Twilight Tome")</f>
        <v>Rank 9 Twilight Tome</v>
      </c>
      <c r="L42" s="1"/>
      <c r="M42" s="1"/>
      <c r="N42" s="1"/>
      <c r="O42" s="1"/>
      <c r="P42" s="1"/>
      <c r="Q42" s="1"/>
      <c r="R42" s="1"/>
      <c r="S42" s="1"/>
      <c r="T42" s="1"/>
      <c r="U42" s="1"/>
      <c r="V42" s="1"/>
      <c r="W42" s="1"/>
      <c r="X42" s="1"/>
    </row>
    <row r="43" ht="15.75" customHeight="1">
      <c r="A43" s="2" t="str">
        <f>IFERROR(__xludf.DUMMYFUNCTION("""COMPUTED_VALUE"""),"Cremagetion")</f>
        <v>Cremagetion</v>
      </c>
      <c r="B43" s="73" t="str">
        <f>IFERROR(__xludf.DUMMYFUNCTION("""COMPUTED_VALUE"""),"1-5")</f>
        <v>1-5</v>
      </c>
      <c r="C43" s="2" t="str">
        <f>IFERROR(__xludf.DUMMYFUNCTION("""COMPUTED_VALUE"""),"Dreading Wand Of Fire")</f>
        <v>Dreading Wand Of Fire</v>
      </c>
      <c r="D43" s="73" t="str">
        <f>IFERROR(__xludf.DUMMYFUNCTION("""COMPUTED_VALUE"""),"6-10")</f>
        <v>6-10</v>
      </c>
      <c r="E43" s="2" t="str">
        <f>IFERROR(__xludf.DUMMYFUNCTION("""COMPUTED_VALUE"""),"Fire Arrow")</f>
        <v>Fire Arrow</v>
      </c>
      <c r="F43" s="73" t="str">
        <f>IFERROR(__xludf.DUMMYFUNCTION("""COMPUTED_VALUE"""),"11-15")</f>
        <v>11-15</v>
      </c>
      <c r="G43" s="2" t="str">
        <f>IFERROR(__xludf.DUMMYFUNCTION("""COMPUTED_VALUE"""),"Fire Gem")</f>
        <v>Fire Gem</v>
      </c>
      <c r="H43" s="73" t="str">
        <f>IFERROR(__xludf.DUMMYFUNCTION("""COMPUTED_VALUE"""),"16-20")</f>
        <v>16-20</v>
      </c>
      <c r="I43" s="2" t="str">
        <f>IFERROR(__xludf.DUMMYFUNCTION("""COMPUTED_VALUE"""),"Soul")</f>
        <v>Soul</v>
      </c>
      <c r="J43" s="73" t="str">
        <f>IFERROR(__xludf.DUMMYFUNCTION("""COMPUTED_VALUE"""),"21-25")</f>
        <v>21-25</v>
      </c>
      <c r="K43" s="2" t="str">
        <f>IFERROR(__xludf.DUMMYFUNCTION("""COMPUTED_VALUE"""),"Nothing")</f>
        <v>Nothing</v>
      </c>
      <c r="L43" s="1"/>
      <c r="M43" s="1"/>
      <c r="N43" s="1"/>
      <c r="O43" s="1"/>
      <c r="P43" s="1"/>
      <c r="Q43" s="1"/>
      <c r="R43" s="1"/>
      <c r="S43" s="1"/>
      <c r="T43" s="1"/>
      <c r="U43" s="1"/>
      <c r="V43" s="1"/>
      <c r="W43" s="1"/>
      <c r="X43" s="1"/>
    </row>
    <row r="44" ht="15.75" customHeight="1">
      <c r="A44" s="2" t="str">
        <f>IFERROR(__xludf.DUMMYFUNCTION("""COMPUTED_VALUE"""),"Crow")</f>
        <v>Crow</v>
      </c>
      <c r="B44" s="73" t="str">
        <f>IFERROR(__xludf.DUMMYFUNCTION("""COMPUTED_VALUE"""),"1-5")</f>
        <v>1-5</v>
      </c>
      <c r="C44" s="2" t="str">
        <f>IFERROR(__xludf.DUMMYFUNCTION("""COMPUTED_VALUE"""),"Soul")</f>
        <v>Soul</v>
      </c>
      <c r="D44" s="73" t="str">
        <f>IFERROR(__xludf.DUMMYFUNCTION("""COMPUTED_VALUE"""),"6-10")</f>
        <v>6-10</v>
      </c>
      <c r="E44" s="2" t="str">
        <f>IFERROR(__xludf.DUMMYFUNCTION("""COMPUTED_VALUE"""),"Egg")</f>
        <v>Egg</v>
      </c>
      <c r="F44" s="73" t="str">
        <f>IFERROR(__xludf.DUMMYFUNCTION("""COMPUTED_VALUE"""),"11-15")</f>
        <v>11-15</v>
      </c>
      <c r="G44" s="2" t="str">
        <f>IFERROR(__xludf.DUMMYFUNCTION("""COMPUTED_VALUE"""),"Feather")</f>
        <v>Feather</v>
      </c>
      <c r="H44" s="73" t="str">
        <f>IFERROR(__xludf.DUMMYFUNCTION("""COMPUTED_VALUE"""),"16-20")</f>
        <v>16-20</v>
      </c>
      <c r="I44" s="2" t="str">
        <f>IFERROR(__xludf.DUMMYFUNCTION("""COMPUTED_VALUE"""),"Nothing")</f>
        <v>Nothing</v>
      </c>
      <c r="J44" s="73" t="str">
        <f>IFERROR(__xludf.DUMMYFUNCTION("""COMPUTED_VALUE"""),"21-25")</f>
        <v>21-25</v>
      </c>
      <c r="K44" s="2" t="str">
        <f>IFERROR(__xludf.DUMMYFUNCTION("""COMPUTED_VALUE"""),"Crow Staff")</f>
        <v>Crow Staff</v>
      </c>
      <c r="L44" s="1"/>
      <c r="M44" s="1"/>
      <c r="N44" s="1"/>
      <c r="O44" s="1"/>
      <c r="P44" s="1"/>
      <c r="Q44" s="1"/>
      <c r="R44" s="1"/>
      <c r="S44" s="1"/>
      <c r="T44" s="1"/>
      <c r="U44" s="1"/>
      <c r="V44" s="1"/>
      <c r="W44" s="1"/>
      <c r="X44" s="1"/>
    </row>
    <row r="45" ht="15.75" customHeight="1">
      <c r="A45" s="2" t="str">
        <f>IFERROR(__xludf.DUMMYFUNCTION("""COMPUTED_VALUE"""),"Crystal Colossus")</f>
        <v>Crystal Colossus</v>
      </c>
      <c r="B45" s="73" t="str">
        <f>IFERROR(__xludf.DUMMYFUNCTION("""COMPUTED_VALUE"""),"1-5")</f>
        <v>1-5</v>
      </c>
      <c r="C45" s="2" t="str">
        <f>IFERROR(__xludf.DUMMYFUNCTION("""COMPUTED_VALUE"""),"Crystal Longsword")</f>
        <v>Crystal Longsword</v>
      </c>
      <c r="D45" s="73" t="str">
        <f>IFERROR(__xludf.DUMMYFUNCTION("""COMPUTED_VALUE"""),"6-10")</f>
        <v>6-10</v>
      </c>
      <c r="E45" s="2" t="str">
        <f>IFERROR(__xludf.DUMMYFUNCTION("""COMPUTED_VALUE"""),"Crystal Apple")</f>
        <v>Crystal Apple</v>
      </c>
      <c r="F45" s="73" t="str">
        <f>IFERROR(__xludf.DUMMYFUNCTION("""COMPUTED_VALUE"""),"11-15")</f>
        <v>11-15</v>
      </c>
      <c r="G45" s="2" t="str">
        <f>IFERROR(__xludf.DUMMYFUNCTION("""COMPUTED_VALUE"""),"Soul")</f>
        <v>Soul</v>
      </c>
      <c r="H45" s="73" t="str">
        <f>IFERROR(__xludf.DUMMYFUNCTION("""COMPUTED_VALUE"""),"16-20")</f>
        <v>16-20</v>
      </c>
      <c r="I45" s="2" t="str">
        <f>IFERROR(__xludf.DUMMYFUNCTION("""COMPUTED_VALUE"""),"Elemental Crystal")</f>
        <v>Elemental Crystal</v>
      </c>
      <c r="J45" s="73" t="str">
        <f>IFERROR(__xludf.DUMMYFUNCTION("""COMPUTED_VALUE"""),"21-25")</f>
        <v>21-25</v>
      </c>
      <c r="K45" s="2" t="str">
        <f>IFERROR(__xludf.DUMMYFUNCTION("""COMPUTED_VALUE"""),"Black Crystal Necklace of Luck")</f>
        <v>Black Crystal Necklace of Luck</v>
      </c>
      <c r="L45" s="1"/>
      <c r="M45" s="1"/>
      <c r="N45" s="1"/>
      <c r="O45" s="1"/>
      <c r="P45" s="1"/>
      <c r="Q45" s="1"/>
      <c r="R45" s="1"/>
      <c r="S45" s="1"/>
      <c r="T45" s="1"/>
      <c r="U45" s="1"/>
      <c r="V45" s="1"/>
      <c r="W45" s="1"/>
      <c r="X45" s="1"/>
    </row>
    <row r="46" ht="15.75" customHeight="1">
      <c r="A46" s="2" t="str">
        <f>IFERROR(__xludf.DUMMYFUNCTION("""COMPUTED_VALUE"""),"Crystal Dragon")</f>
        <v>Crystal Dragon</v>
      </c>
      <c r="B46" s="73" t="str">
        <f>IFERROR(__xludf.DUMMYFUNCTION("""COMPUTED_VALUE"""),"1-5")</f>
        <v>1-5</v>
      </c>
      <c r="C46" s="2" t="str">
        <f>IFERROR(__xludf.DUMMYFUNCTION("""COMPUTED_VALUE"""),"Soul")</f>
        <v>Soul</v>
      </c>
      <c r="D46" s="73" t="str">
        <f>IFERROR(__xludf.DUMMYFUNCTION("""COMPUTED_VALUE"""),"6-10")</f>
        <v>6-10</v>
      </c>
      <c r="E46" s="2" t="str">
        <f>IFERROR(__xludf.DUMMYFUNCTION("""COMPUTED_VALUE"""),"Black Crystal Necklace of Luck")</f>
        <v>Black Crystal Necklace of Luck</v>
      </c>
      <c r="F46" s="73" t="str">
        <f>IFERROR(__xludf.DUMMYFUNCTION("""COMPUTED_VALUE"""),"11-15")</f>
        <v>11-15</v>
      </c>
      <c r="G46" s="2" t="str">
        <f>IFERROR(__xludf.DUMMYFUNCTION("""COMPUTED_VALUE"""),"20,000,000G-40,000,000G")</f>
        <v>20,000,000G-40,000,000G</v>
      </c>
      <c r="H46" s="73" t="str">
        <f>IFERROR(__xludf.DUMMYFUNCTION("""COMPUTED_VALUE"""),"16-20")</f>
        <v>16-20</v>
      </c>
      <c r="I46" s="2" t="str">
        <f>IFERROR(__xludf.DUMMYFUNCTION("""COMPUTED_VALUE"""),"Crystal")</f>
        <v>Crystal</v>
      </c>
      <c r="J46" s="73" t="str">
        <f>IFERROR(__xludf.DUMMYFUNCTION("""COMPUTED_VALUE"""),"21-25")</f>
        <v>21-25</v>
      </c>
      <c r="K46" s="2" t="str">
        <f>IFERROR(__xludf.DUMMYFUNCTION("""COMPUTED_VALUE"""),"Egg")</f>
        <v>Egg</v>
      </c>
      <c r="L46" s="1"/>
      <c r="M46" s="1"/>
      <c r="N46" s="1"/>
      <c r="O46" s="1"/>
      <c r="P46" s="1"/>
      <c r="Q46" s="1"/>
      <c r="R46" s="1"/>
      <c r="S46" s="1"/>
      <c r="T46" s="1"/>
      <c r="U46" s="1"/>
      <c r="V46" s="1"/>
      <c r="W46" s="1"/>
      <c r="X46" s="1"/>
    </row>
    <row r="47" ht="15.75" customHeight="1">
      <c r="A47" s="2" t="str">
        <f>IFERROR(__xludf.DUMMYFUNCTION("""COMPUTED_VALUE"""),"Crystal Guardian")</f>
        <v>Crystal Guardian</v>
      </c>
      <c r="B47" s="73" t="str">
        <f>IFERROR(__xludf.DUMMYFUNCTION("""COMPUTED_VALUE"""),"1-5")</f>
        <v>1-5</v>
      </c>
      <c r="C47" s="2" t="str">
        <f>IFERROR(__xludf.DUMMYFUNCTION("""COMPUTED_VALUE"""),"Crystal Apple")</f>
        <v>Crystal Apple</v>
      </c>
      <c r="D47" s="73" t="str">
        <f>IFERROR(__xludf.DUMMYFUNCTION("""COMPUTED_VALUE"""),"6-10")</f>
        <v>6-10</v>
      </c>
      <c r="E47" s="2" t="str">
        <f>IFERROR(__xludf.DUMMYFUNCTION("""COMPUTED_VALUE"""),"Elemental Crystal")</f>
        <v>Elemental Crystal</v>
      </c>
      <c r="F47" s="73" t="str">
        <f>IFERROR(__xludf.DUMMYFUNCTION("""COMPUTED_VALUE"""),"11-15")</f>
        <v>11-15</v>
      </c>
      <c r="G47" s="2" t="str">
        <f>IFERROR(__xludf.DUMMYFUNCTION("""COMPUTED_VALUE"""),"Nothing")</f>
        <v>Nothing</v>
      </c>
      <c r="H47" s="73" t="str">
        <f>IFERROR(__xludf.DUMMYFUNCTION("""COMPUTED_VALUE"""),"16-20")</f>
        <v>16-20</v>
      </c>
      <c r="I47" s="2" t="str">
        <f>IFERROR(__xludf.DUMMYFUNCTION("""COMPUTED_VALUE"""),"Crystal Forged Axe")</f>
        <v>Crystal Forged Axe</v>
      </c>
      <c r="J47" s="73" t="str">
        <f>IFERROR(__xludf.DUMMYFUNCTION("""COMPUTED_VALUE"""),"21-25")</f>
        <v>21-25</v>
      </c>
      <c r="K47" s="2" t="str">
        <f>IFERROR(__xludf.DUMMYFUNCTION("""COMPUTED_VALUE"""),"Crystal Ring")</f>
        <v>Crystal Ring</v>
      </c>
      <c r="L47" s="1"/>
      <c r="M47" s="1"/>
      <c r="N47" s="1"/>
      <c r="O47" s="1"/>
      <c r="P47" s="1"/>
      <c r="Q47" s="1"/>
      <c r="R47" s="1"/>
      <c r="S47" s="1"/>
      <c r="T47" s="1"/>
      <c r="U47" s="1"/>
      <c r="V47" s="1"/>
      <c r="W47" s="1"/>
      <c r="X47" s="1"/>
    </row>
    <row r="48" ht="15.75" customHeight="1">
      <c r="A48" s="2" t="str">
        <f>IFERROR(__xludf.DUMMYFUNCTION("""COMPUTED_VALUE"""),"Cthulhu")</f>
        <v>Cthulhu</v>
      </c>
      <c r="B48" s="73" t="str">
        <f>IFERROR(__xludf.DUMMYFUNCTION("""COMPUTED_VALUE"""),"1-5")</f>
        <v>1-5</v>
      </c>
      <c r="C48" s="2" t="str">
        <f>IFERROR(__xludf.DUMMYFUNCTION("""COMPUTED_VALUE"""),"500,000SC-1,000,000SC")</f>
        <v>500,000SC-1,000,000SC</v>
      </c>
      <c r="D48" s="73" t="str">
        <f>IFERROR(__xludf.DUMMYFUNCTION("""COMPUTED_VALUE"""),"6-10")</f>
        <v>6-10</v>
      </c>
      <c r="E48" s="2" t="str">
        <f>IFERROR(__xludf.DUMMYFUNCTION("""COMPUTED_VALUE"""),"Armor Of Cthulhu")</f>
        <v>Armor Of Cthulhu</v>
      </c>
      <c r="F48" s="73" t="str">
        <f>IFERROR(__xludf.DUMMYFUNCTION("""COMPUTED_VALUE"""),"11-15")</f>
        <v>11-15</v>
      </c>
      <c r="G48" s="2" t="str">
        <f>IFERROR(__xludf.DUMMYFUNCTION("""COMPUTED_VALUE"""),"Dark Wand")</f>
        <v>Dark Wand</v>
      </c>
      <c r="H48" s="73" t="str">
        <f>IFERROR(__xludf.DUMMYFUNCTION("""COMPUTED_VALUE"""),"16-20")</f>
        <v>16-20</v>
      </c>
      <c r="I48" s="2" t="str">
        <f>IFERROR(__xludf.DUMMYFUNCTION("""COMPUTED_VALUE"""),"Nothing")</f>
        <v>Nothing</v>
      </c>
      <c r="J48" s="73" t="str">
        <f>IFERROR(__xludf.DUMMYFUNCTION("""COMPUTED_VALUE"""),"21-25")</f>
        <v>21-25</v>
      </c>
      <c r="K48" s="2" t="str">
        <f>IFERROR(__xludf.DUMMYFUNCTION("""COMPUTED_VALUE"""),"Soul")</f>
        <v>Soul</v>
      </c>
      <c r="L48" s="1"/>
      <c r="M48" s="1"/>
      <c r="N48" s="1"/>
      <c r="O48" s="1"/>
      <c r="P48" s="1"/>
      <c r="Q48" s="1"/>
      <c r="R48" s="1"/>
      <c r="S48" s="1"/>
      <c r="T48" s="1"/>
      <c r="U48" s="1"/>
      <c r="V48" s="1"/>
      <c r="W48" s="1"/>
      <c r="X48" s="1"/>
    </row>
    <row r="49" ht="15.75" customHeight="1">
      <c r="A49" s="2" t="str">
        <f>IFERROR(__xludf.DUMMYFUNCTION("""COMPUTED_VALUE"""),"Cultist of Dreadful")</f>
        <v>Cultist of Dreadful</v>
      </c>
      <c r="B49" s="73" t="str">
        <f>IFERROR(__xludf.DUMMYFUNCTION("""COMPUTED_VALUE"""),"1-5")</f>
        <v>1-5</v>
      </c>
      <c r="C49" s="2" t="str">
        <f>IFERROR(__xludf.DUMMYFUNCTION("""COMPUTED_VALUE"""),"Robe of the cultist")</f>
        <v>Robe of the cultist</v>
      </c>
      <c r="D49" s="73" t="str">
        <f>IFERROR(__xludf.DUMMYFUNCTION("""COMPUTED_VALUE"""),"6-10")</f>
        <v>6-10</v>
      </c>
      <c r="E49" s="2" t="str">
        <f>IFERROR(__xludf.DUMMYFUNCTION("""COMPUTED_VALUE"""),"Robe of the cultist")</f>
        <v>Robe of the cultist</v>
      </c>
      <c r="F49" s="73" t="str">
        <f>IFERROR(__xludf.DUMMYFUNCTION("""COMPUTED_VALUE"""),"11-15")</f>
        <v>11-15</v>
      </c>
      <c r="G49" s="2" t="str">
        <f>IFERROR(__xludf.DUMMYFUNCTION("""COMPUTED_VALUE"""),"Soul")</f>
        <v>Soul</v>
      </c>
      <c r="H49" s="73" t="str">
        <f>IFERROR(__xludf.DUMMYFUNCTION("""COMPUTED_VALUE"""),"16-20")</f>
        <v>16-20</v>
      </c>
      <c r="I49" s="2" t="str">
        <f>IFERROR(__xludf.DUMMYFUNCTION("""COMPUTED_VALUE"""),"Dagger of The Cultist")</f>
        <v>Dagger of The Cultist</v>
      </c>
      <c r="J49" s="73" t="str">
        <f>IFERROR(__xludf.DUMMYFUNCTION("""COMPUTED_VALUE"""),"21-25")</f>
        <v>21-25</v>
      </c>
      <c r="K49" s="2" t="str">
        <f>IFERROR(__xludf.DUMMYFUNCTION("""COMPUTED_VALUE"""),"Egg")</f>
        <v>Egg</v>
      </c>
      <c r="L49" s="1"/>
      <c r="M49" s="1"/>
      <c r="N49" s="1"/>
      <c r="O49" s="1"/>
      <c r="P49" s="1"/>
      <c r="Q49" s="1"/>
      <c r="R49" s="1"/>
      <c r="S49" s="1"/>
      <c r="T49" s="1"/>
      <c r="U49" s="1"/>
      <c r="V49" s="1"/>
      <c r="W49" s="1"/>
      <c r="X49" s="1"/>
    </row>
    <row r="50" ht="15.75" customHeight="1">
      <c r="A50" s="2" t="str">
        <f>IFERROR(__xludf.DUMMYFUNCTION("""COMPUTED_VALUE"""),"Cultist Leader")</f>
        <v>Cultist Leader</v>
      </c>
      <c r="B50" s="73" t="str">
        <f>IFERROR(__xludf.DUMMYFUNCTION("""COMPUTED_VALUE"""),"1-5")</f>
        <v>1-5</v>
      </c>
      <c r="C50" s="2" t="str">
        <f>IFERROR(__xludf.DUMMYFUNCTION("""COMPUTED_VALUE"""),"Dagger of the cultist")</f>
        <v>Dagger of the cultist</v>
      </c>
      <c r="D50" s="73" t="str">
        <f>IFERROR(__xludf.DUMMYFUNCTION("""COMPUTED_VALUE"""),"6-10")</f>
        <v>6-10</v>
      </c>
      <c r="E50" s="2" t="str">
        <f>IFERROR(__xludf.DUMMYFUNCTION("""COMPUTED_VALUE"""),"Robe of the cultist")</f>
        <v>Robe of the cultist</v>
      </c>
      <c r="F50" s="73" t="str">
        <f>IFERROR(__xludf.DUMMYFUNCTION("""COMPUTED_VALUE"""),"11-15")</f>
        <v>11-15</v>
      </c>
      <c r="G50" s="2" t="str">
        <f>IFERROR(__xludf.DUMMYFUNCTION("""COMPUTED_VALUE"""),"Soul")</f>
        <v>Soul</v>
      </c>
      <c r="H50" s="73" t="str">
        <f>IFERROR(__xludf.DUMMYFUNCTION("""COMPUTED_VALUE"""),"16-20")</f>
        <v>16-20</v>
      </c>
      <c r="I50" s="2" t="str">
        <f>IFERROR(__xludf.DUMMYFUNCTION("""COMPUTED_VALUE"""),"Dagger of The Cultist")</f>
        <v>Dagger of The Cultist</v>
      </c>
      <c r="J50" s="73" t="str">
        <f>IFERROR(__xludf.DUMMYFUNCTION("""COMPUTED_VALUE"""),"21-25")</f>
        <v>21-25</v>
      </c>
      <c r="K50" s="2" t="str">
        <f>IFERROR(__xludf.DUMMYFUNCTION("""COMPUTED_VALUE"""),"500,000G-1,000,000G")</f>
        <v>500,000G-1,000,000G</v>
      </c>
      <c r="L50" s="1"/>
      <c r="M50" s="1"/>
      <c r="N50" s="1"/>
      <c r="O50" s="1"/>
      <c r="P50" s="1"/>
      <c r="Q50" s="1"/>
      <c r="R50" s="1"/>
      <c r="S50" s="1"/>
      <c r="T50" s="1"/>
      <c r="U50" s="1"/>
      <c r="V50" s="1"/>
      <c r="W50" s="1"/>
      <c r="X50" s="1"/>
    </row>
    <row r="51" ht="15.75" customHeight="1">
      <c r="A51" s="2" t="str">
        <f>IFERROR(__xludf.DUMMYFUNCTION("""COMPUTED_VALUE"""),"Cursed Ronin")</f>
        <v>Cursed Ronin</v>
      </c>
      <c r="B51" s="73" t="str">
        <f>IFERROR(__xludf.DUMMYFUNCTION("""COMPUTED_VALUE"""),"1-5")</f>
        <v>1-5</v>
      </c>
      <c r="C51" s="2" t="str">
        <f>IFERROR(__xludf.DUMMYFUNCTION("""COMPUTED_VALUE"""),"Nothing")</f>
        <v>Nothing</v>
      </c>
      <c r="D51" s="73" t="str">
        <f>IFERROR(__xludf.DUMMYFUNCTION("""COMPUTED_VALUE"""),"6-10")</f>
        <v>6-10</v>
      </c>
      <c r="E51" s="2" t="str">
        <f>IFERROR(__xludf.DUMMYFUNCTION("""COMPUTED_VALUE"""),"Egg")</f>
        <v>Egg</v>
      </c>
      <c r="F51" s="73" t="str">
        <f>IFERROR(__xludf.DUMMYFUNCTION("""COMPUTED_VALUE"""),"11-15")</f>
        <v>11-15</v>
      </c>
      <c r="G51" s="2" t="str">
        <f>IFERROR(__xludf.DUMMYFUNCTION("""COMPUTED_VALUE"""),"Cursed Blade")</f>
        <v>Cursed Blade</v>
      </c>
      <c r="H51" s="73" t="str">
        <f>IFERROR(__xludf.DUMMYFUNCTION("""COMPUTED_VALUE"""),"16-20")</f>
        <v>16-20</v>
      </c>
      <c r="I51" s="2" t="str">
        <f>IFERROR(__xludf.DUMMYFUNCTION("""COMPUTED_VALUE"""),"20,000G-40,000G")</f>
        <v>20,000G-40,000G</v>
      </c>
      <c r="J51" s="73" t="str">
        <f>IFERROR(__xludf.DUMMYFUNCTION("""COMPUTED_VALUE"""),"21-25")</f>
        <v>21-25</v>
      </c>
      <c r="K51" s="2" t="str">
        <f>IFERROR(__xludf.DUMMYFUNCTION("""COMPUTED_VALUE"""),"Soul")</f>
        <v>Soul</v>
      </c>
      <c r="L51" s="1"/>
      <c r="M51" s="1"/>
      <c r="N51" s="1"/>
      <c r="O51" s="1"/>
      <c r="P51" s="1"/>
      <c r="Q51" s="1"/>
      <c r="R51" s="1"/>
      <c r="S51" s="1"/>
      <c r="T51" s="1"/>
      <c r="U51" s="1"/>
      <c r="V51" s="1"/>
      <c r="W51" s="1"/>
      <c r="X51" s="1"/>
    </row>
    <row r="52" ht="15.75" customHeight="1">
      <c r="A52" s="2" t="str">
        <f>IFERROR(__xludf.DUMMYFUNCTION("""COMPUTED_VALUE"""),"Cursed Samurai")</f>
        <v>Cursed Samurai</v>
      </c>
      <c r="B52" s="73" t="str">
        <f>IFERROR(__xludf.DUMMYFUNCTION("""COMPUTED_VALUE"""),"1-5")</f>
        <v>1-5</v>
      </c>
      <c r="C52" s="2" t="str">
        <f>IFERROR(__xludf.DUMMYFUNCTION("""COMPUTED_VALUE"""),"20,000,000G-40,000,000G")</f>
        <v>20,000,000G-40,000,000G</v>
      </c>
      <c r="D52" s="73" t="str">
        <f>IFERROR(__xludf.DUMMYFUNCTION("""COMPUTED_VALUE"""),"6-10")</f>
        <v>6-10</v>
      </c>
      <c r="E52" s="2" t="str">
        <f>IFERROR(__xludf.DUMMYFUNCTION("""COMPUTED_VALUE"""),"1,000,000G-20,000,000G")</f>
        <v>1,000,000G-20,000,000G</v>
      </c>
      <c r="F52" s="73" t="str">
        <f>IFERROR(__xludf.DUMMYFUNCTION("""COMPUTED_VALUE"""),"11-15")</f>
        <v>11-15</v>
      </c>
      <c r="G52" s="2" t="str">
        <f>IFERROR(__xludf.DUMMYFUNCTION("""COMPUTED_VALUE"""),"Cursed Blade")</f>
        <v>Cursed Blade</v>
      </c>
      <c r="H52" s="73" t="str">
        <f>IFERROR(__xludf.DUMMYFUNCTION("""COMPUTED_VALUE"""),"16-20")</f>
        <v>16-20</v>
      </c>
      <c r="I52" s="2" t="str">
        <f>IFERROR(__xludf.DUMMYFUNCTION("""COMPUTED_VALUE"""),"Soul")</f>
        <v>Soul</v>
      </c>
      <c r="J52" s="73" t="str">
        <f>IFERROR(__xludf.DUMMYFUNCTION("""COMPUTED_VALUE"""),"21-25")</f>
        <v>21-25</v>
      </c>
      <c r="K52" s="2" t="str">
        <f>IFERROR(__xludf.DUMMYFUNCTION("""COMPUTED_VALUE"""),"Egg")</f>
        <v>Egg</v>
      </c>
      <c r="L52" s="1"/>
      <c r="M52" s="1"/>
      <c r="N52" s="1"/>
      <c r="O52" s="1"/>
      <c r="P52" s="1"/>
      <c r="Q52" s="1"/>
      <c r="R52" s="1"/>
      <c r="S52" s="1"/>
      <c r="T52" s="1"/>
      <c r="U52" s="1"/>
      <c r="V52" s="1"/>
      <c r="W52" s="1"/>
      <c r="X52" s="1"/>
    </row>
    <row r="53" ht="15.75" customHeight="1">
      <c r="A53" s="2" t="str">
        <f>IFERROR(__xludf.DUMMYFUNCTION("""COMPUTED_VALUE"""),"Cyclops")</f>
        <v>Cyclops</v>
      </c>
      <c r="B53" s="73" t="str">
        <f>IFERROR(__xludf.DUMMYFUNCTION("""COMPUTED_VALUE"""),"1-5")</f>
        <v>1-5</v>
      </c>
      <c r="C53" s="2" t="str">
        <f>IFERROR(__xludf.DUMMYFUNCTION("""COMPUTED_VALUE"""),"Steel Sword")</f>
        <v>Steel Sword</v>
      </c>
      <c r="D53" s="73" t="str">
        <f>IFERROR(__xludf.DUMMYFUNCTION("""COMPUTED_VALUE"""),"6-10")</f>
        <v>6-10</v>
      </c>
      <c r="E53" s="2" t="str">
        <f>IFERROR(__xludf.DUMMYFUNCTION("""COMPUTED_VALUE"""),"20,000G-40,000G")</f>
        <v>20,000G-40,000G</v>
      </c>
      <c r="F53" s="73" t="str">
        <f>IFERROR(__xludf.DUMMYFUNCTION("""COMPUTED_VALUE"""),"11-15")</f>
        <v>11-15</v>
      </c>
      <c r="G53" s="2" t="str">
        <f>IFERROR(__xludf.DUMMYFUNCTION("""COMPUTED_VALUE"""),"Steel Armor")</f>
        <v>Steel Armor</v>
      </c>
      <c r="H53" s="73" t="str">
        <f>IFERROR(__xludf.DUMMYFUNCTION("""COMPUTED_VALUE"""),"16-20")</f>
        <v>16-20</v>
      </c>
      <c r="I53" s="2" t="str">
        <f>IFERROR(__xludf.DUMMYFUNCTION("""COMPUTED_VALUE"""),"Soul")</f>
        <v>Soul</v>
      </c>
      <c r="J53" s="73" t="str">
        <f>IFERROR(__xludf.DUMMYFUNCTION("""COMPUTED_VALUE"""),"21-25")</f>
        <v>21-25</v>
      </c>
      <c r="K53" s="2" t="str">
        <f>IFERROR(__xludf.DUMMYFUNCTION("""COMPUTED_VALUE"""),"Egg")</f>
        <v>Egg</v>
      </c>
      <c r="L53" s="1"/>
      <c r="M53" s="1"/>
      <c r="N53" s="1"/>
      <c r="O53" s="1"/>
      <c r="P53" s="1"/>
      <c r="Q53" s="1"/>
      <c r="R53" s="1"/>
      <c r="S53" s="1"/>
      <c r="T53" s="1"/>
      <c r="U53" s="1"/>
      <c r="V53" s="1"/>
      <c r="W53" s="1"/>
      <c r="X53" s="1"/>
    </row>
    <row r="54" ht="15.75" customHeight="1">
      <c r="A54" s="2" t="str">
        <f>IFERROR(__xludf.DUMMYFUNCTION("""COMPUTED_VALUE"""),"Dark Dragon")</f>
        <v>Dark Dragon</v>
      </c>
      <c r="B54" s="73" t="str">
        <f>IFERROR(__xludf.DUMMYFUNCTION("""COMPUTED_VALUE"""),"1-5")</f>
        <v>1-5</v>
      </c>
      <c r="C54" s="2" t="str">
        <f>IFERROR(__xludf.DUMMYFUNCTION("""COMPUTED_VALUE"""),"500,000G-1,000,000G")</f>
        <v>500,000G-1,000,000G</v>
      </c>
      <c r="D54" s="73" t="str">
        <f>IFERROR(__xludf.DUMMYFUNCTION("""COMPUTED_VALUE"""),"6-10")</f>
        <v>6-10</v>
      </c>
      <c r="E54" s="2" t="str">
        <f>IFERROR(__xludf.DUMMYFUNCTION("""COMPUTED_VALUE"""),"Soul")</f>
        <v>Soul</v>
      </c>
      <c r="F54" s="73" t="str">
        <f>IFERROR(__xludf.DUMMYFUNCTION("""COMPUTED_VALUE"""),"11-15")</f>
        <v>11-15</v>
      </c>
      <c r="G54" s="2" t="str">
        <f>IFERROR(__xludf.DUMMYFUNCTION("""COMPUTED_VALUE"""),"Nothing")</f>
        <v>Nothing</v>
      </c>
      <c r="H54" s="73" t="str">
        <f>IFERROR(__xludf.DUMMYFUNCTION("""COMPUTED_VALUE"""),"16-20")</f>
        <v>16-20</v>
      </c>
      <c r="I54" s="2" t="str">
        <f>IFERROR(__xludf.DUMMYFUNCTION("""COMPUTED_VALUE"""),"Tome of Chaotic Darkness")</f>
        <v>Tome of Chaotic Darkness</v>
      </c>
      <c r="J54" s="73" t="str">
        <f>IFERROR(__xludf.DUMMYFUNCTION("""COMPUTED_VALUE"""),"21-25")</f>
        <v>21-25</v>
      </c>
      <c r="K54" s="2" t="str">
        <f>IFERROR(__xludf.DUMMYFUNCTION("""COMPUTED_VALUE"""),"Egg")</f>
        <v>Egg</v>
      </c>
      <c r="L54" s="1"/>
      <c r="M54" s="1"/>
      <c r="N54" s="1"/>
      <c r="O54" s="1"/>
      <c r="P54" s="1"/>
      <c r="Q54" s="1"/>
      <c r="R54" s="1"/>
      <c r="S54" s="1"/>
      <c r="T54" s="1"/>
      <c r="U54" s="1"/>
      <c r="V54" s="1"/>
      <c r="W54" s="1"/>
      <c r="X54" s="1"/>
    </row>
    <row r="55" ht="15.75" customHeight="1">
      <c r="A55" s="2" t="str">
        <f>IFERROR(__xludf.DUMMYFUNCTION("""COMPUTED_VALUE"""),"Dark Snow Warrior")</f>
        <v>Dark Snow Warrior</v>
      </c>
      <c r="B55" s="73" t="str">
        <f>IFERROR(__xludf.DUMMYFUNCTION("""COMPUTED_VALUE"""),"1-5")</f>
        <v>1-5</v>
      </c>
      <c r="C55" s="2" t="str">
        <f>IFERROR(__xludf.DUMMYFUNCTION("""COMPUTED_VALUE"""),"Nothing")</f>
        <v>Nothing</v>
      </c>
      <c r="D55" s="73" t="str">
        <f>IFERROR(__xludf.DUMMYFUNCTION("""COMPUTED_VALUE"""),"6-10")</f>
        <v>6-10</v>
      </c>
      <c r="E55" s="2" t="str">
        <f>IFERROR(__xludf.DUMMYFUNCTION("""COMPUTED_VALUE"""),"Nothing")</f>
        <v>Nothing</v>
      </c>
      <c r="F55" s="73" t="str">
        <f>IFERROR(__xludf.DUMMYFUNCTION("""COMPUTED_VALUE"""),"11-15")</f>
        <v>11-15</v>
      </c>
      <c r="G55" s="2" t="str">
        <f>IFERROR(__xludf.DUMMYFUNCTION("""COMPUTED_VALUE"""),"Nothing")</f>
        <v>Nothing</v>
      </c>
      <c r="H55" s="73" t="str">
        <f>IFERROR(__xludf.DUMMYFUNCTION("""COMPUTED_VALUE"""),"16-20")</f>
        <v>16-20</v>
      </c>
      <c r="I55" s="2" t="str">
        <f>IFERROR(__xludf.DUMMYFUNCTION("""COMPUTED_VALUE"""),"Nothing")</f>
        <v>Nothing</v>
      </c>
      <c r="J55" s="73" t="str">
        <f>IFERROR(__xludf.DUMMYFUNCTION("""COMPUTED_VALUE"""),"21-25")</f>
        <v>21-25</v>
      </c>
      <c r="K55" s="2" t="str">
        <f>IFERROR(__xludf.DUMMYFUNCTION("""COMPUTED_VALUE"""),"Soul")</f>
        <v>Soul</v>
      </c>
      <c r="L55" s="1"/>
      <c r="M55" s="1"/>
      <c r="N55" s="1"/>
      <c r="O55" s="1"/>
      <c r="P55" s="1"/>
      <c r="Q55" s="1"/>
      <c r="R55" s="1"/>
      <c r="S55" s="1"/>
      <c r="T55" s="1"/>
      <c r="U55" s="1"/>
      <c r="V55" s="1"/>
      <c r="W55" s="1"/>
      <c r="X55" s="1"/>
    </row>
    <row r="56" ht="15.75" customHeight="1">
      <c r="A56" s="2" t="str">
        <f>IFERROR(__xludf.DUMMYFUNCTION("""COMPUTED_VALUE"""),"Dark Wizard")</f>
        <v>Dark Wizard</v>
      </c>
      <c r="B56" s="73" t="str">
        <f>IFERROR(__xludf.DUMMYFUNCTION("""COMPUTED_VALUE"""),"1-5")</f>
        <v>1-5</v>
      </c>
      <c r="C56" s="2" t="str">
        <f>IFERROR(__xludf.DUMMYFUNCTION("""COMPUTED_VALUE"""),"Dark Wand")</f>
        <v>Dark Wand</v>
      </c>
      <c r="D56" s="73" t="str">
        <f>IFERROR(__xludf.DUMMYFUNCTION("""COMPUTED_VALUE"""),"6-10")</f>
        <v>6-10</v>
      </c>
      <c r="E56" s="2" t="str">
        <f>IFERROR(__xludf.DUMMYFUNCTION("""COMPUTED_VALUE"""),"1,000G-20,000G")</f>
        <v>1,000G-20,000G</v>
      </c>
      <c r="F56" s="73" t="str">
        <f>IFERROR(__xludf.DUMMYFUNCTION("""COMPUTED_VALUE"""),"11-15")</f>
        <v>11-15</v>
      </c>
      <c r="G56" s="2" t="str">
        <f>IFERROR(__xludf.DUMMYFUNCTION("""COMPUTED_VALUE"""),"Nothing")</f>
        <v>Nothing</v>
      </c>
      <c r="H56" s="73" t="str">
        <f>IFERROR(__xludf.DUMMYFUNCTION("""COMPUTED_VALUE"""),"16-20")</f>
        <v>16-20</v>
      </c>
      <c r="I56" s="2" t="str">
        <f>IFERROR(__xludf.DUMMYFUNCTION("""COMPUTED_VALUE"""),"Soul")</f>
        <v>Soul</v>
      </c>
      <c r="J56" s="73" t="str">
        <f>IFERROR(__xludf.DUMMYFUNCTION("""COMPUTED_VALUE"""),"21-25")</f>
        <v>21-25</v>
      </c>
      <c r="K56" s="2" t="str">
        <f>IFERROR(__xludf.DUMMYFUNCTION("""COMPUTED_VALUE"""),"Nothing")</f>
        <v>Nothing</v>
      </c>
      <c r="L56" s="1"/>
      <c r="M56" s="1"/>
      <c r="N56" s="1"/>
      <c r="O56" s="1"/>
      <c r="P56" s="1"/>
      <c r="Q56" s="1"/>
      <c r="R56" s="1"/>
      <c r="S56" s="1"/>
      <c r="T56" s="1"/>
      <c r="U56" s="1"/>
      <c r="V56" s="1"/>
      <c r="W56" s="1"/>
      <c r="X56" s="1"/>
    </row>
    <row r="57" ht="15.75" customHeight="1">
      <c r="A57" s="2" t="str">
        <f>IFERROR(__xludf.DUMMYFUNCTION("""COMPUTED_VALUE"""),"Death's Royal Guard")</f>
        <v>Death's Royal Guard</v>
      </c>
      <c r="B57" s="73" t="str">
        <f>IFERROR(__xludf.DUMMYFUNCTION("""COMPUTED_VALUE"""),"1-5")</f>
        <v>1-5</v>
      </c>
      <c r="C57" s="2" t="str">
        <f>IFERROR(__xludf.DUMMYFUNCTION("""COMPUTED_VALUE"""),"Nothing")</f>
        <v>Nothing</v>
      </c>
      <c r="D57" s="73" t="str">
        <f>IFERROR(__xludf.DUMMYFUNCTION("""COMPUTED_VALUE"""),"6-10")</f>
        <v>6-10</v>
      </c>
      <c r="E57" s="2" t="str">
        <f>IFERROR(__xludf.DUMMYFUNCTION("""COMPUTED_VALUE"""),"Nothing")</f>
        <v>Nothing</v>
      </c>
      <c r="F57" s="73" t="str">
        <f>IFERROR(__xludf.DUMMYFUNCTION("""COMPUTED_VALUE"""),"11-15")</f>
        <v>11-15</v>
      </c>
      <c r="G57" s="2" t="str">
        <f>IFERROR(__xludf.DUMMYFUNCTION("""COMPUTED_VALUE"""),"Soul")</f>
        <v>Soul</v>
      </c>
      <c r="H57" s="73" t="str">
        <f>IFERROR(__xludf.DUMMYFUNCTION("""COMPUTED_VALUE"""),"16-20")</f>
        <v>16-20</v>
      </c>
      <c r="I57" s="2" t="str">
        <f>IFERROR(__xludf.DUMMYFUNCTION("""COMPUTED_VALUE"""),"Nothing")</f>
        <v>Nothing</v>
      </c>
      <c r="J57" s="73" t="str">
        <f>IFERROR(__xludf.DUMMYFUNCTION("""COMPUTED_VALUE"""),"21-25")</f>
        <v>21-25</v>
      </c>
      <c r="K57" s="2" t="str">
        <f>IFERROR(__xludf.DUMMYFUNCTION("""COMPUTED_VALUE"""),"500,000G-1,000,000G")</f>
        <v>500,000G-1,000,000G</v>
      </c>
      <c r="L57" s="1"/>
      <c r="M57" s="1"/>
      <c r="N57" s="1"/>
      <c r="O57" s="1"/>
      <c r="P57" s="1"/>
      <c r="Q57" s="1"/>
      <c r="R57" s="1"/>
      <c r="S57" s="1"/>
      <c r="T57" s="1"/>
      <c r="U57" s="1"/>
      <c r="V57" s="1"/>
      <c r="W57" s="1"/>
      <c r="X57" s="1"/>
    </row>
    <row r="58" ht="15.75" customHeight="1">
      <c r="A58" s="2" t="str">
        <f>IFERROR(__xludf.DUMMYFUNCTION("""COMPUTED_VALUE"""),"DeathBlade The Dragon Hunter")</f>
        <v>DeathBlade The Dragon Hunter</v>
      </c>
      <c r="B58" s="73" t="str">
        <f>IFERROR(__xludf.DUMMYFUNCTION("""COMPUTED_VALUE"""),"1-5")</f>
        <v>1-5</v>
      </c>
      <c r="C58" s="2" t="str">
        <f>IFERROR(__xludf.DUMMYFUNCTION("""COMPUTED_VALUE"""),"Dragon Orb")</f>
        <v>Dragon Orb</v>
      </c>
      <c r="D58" s="73" t="str">
        <f>IFERROR(__xludf.DUMMYFUNCTION("""COMPUTED_VALUE"""),"6-10")</f>
        <v>6-10</v>
      </c>
      <c r="E58" s="2" t="str">
        <f>IFERROR(__xludf.DUMMYFUNCTION("""COMPUTED_VALUE"""),"500,000,000G-1,000,000,000G")</f>
        <v>500,000,000G-1,000,000,000G</v>
      </c>
      <c r="F58" s="73" t="str">
        <f>IFERROR(__xludf.DUMMYFUNCTION("""COMPUTED_VALUE"""),"11-15")</f>
        <v>11-15</v>
      </c>
      <c r="G58" s="2" t="str">
        <f>IFERROR(__xludf.DUMMYFUNCTION("""COMPUTED_VALUE"""),"Soul")</f>
        <v>Soul</v>
      </c>
      <c r="H58" s="73" t="str">
        <f>IFERROR(__xludf.DUMMYFUNCTION("""COMPUTED_VALUE"""),"16-20")</f>
        <v>16-20</v>
      </c>
      <c r="I58" s="2" t="str">
        <f>IFERROR(__xludf.DUMMYFUNCTION("""COMPUTED_VALUE"""),"Nothing")</f>
        <v>Nothing</v>
      </c>
      <c r="J58" s="73" t="str">
        <f>IFERROR(__xludf.DUMMYFUNCTION("""COMPUTED_VALUE"""),"21-25")</f>
        <v>21-25</v>
      </c>
      <c r="K58" s="2" t="str">
        <f>IFERROR(__xludf.DUMMYFUNCTION("""COMPUTED_VALUE"""),"Nothing")</f>
        <v>Nothing</v>
      </c>
      <c r="L58" s="1"/>
      <c r="M58" s="1"/>
      <c r="N58" s="1"/>
      <c r="O58" s="1"/>
      <c r="P58" s="1"/>
      <c r="Q58" s="1"/>
      <c r="R58" s="1"/>
      <c r="S58" s="1"/>
      <c r="T58" s="1"/>
      <c r="U58" s="1"/>
      <c r="V58" s="1"/>
      <c r="W58" s="1"/>
      <c r="X58" s="1"/>
    </row>
    <row r="59" ht="15.75" customHeight="1">
      <c r="A59" s="2" t="str">
        <f>IFERROR(__xludf.DUMMYFUNCTION("""COMPUTED_VALUE"""),"Defensive Rock Giant")</f>
        <v>Defensive Rock Giant</v>
      </c>
      <c r="B59" s="73" t="str">
        <f>IFERROR(__xludf.DUMMYFUNCTION("""COMPUTED_VALUE"""),"1-5")</f>
        <v>1-5</v>
      </c>
      <c r="C59" s="2" t="str">
        <f>IFERROR(__xludf.DUMMYFUNCTION("""COMPUTED_VALUE"""),"Steel Sword")</f>
        <v>Steel Sword</v>
      </c>
      <c r="D59" s="73" t="str">
        <f>IFERROR(__xludf.DUMMYFUNCTION("""COMPUTED_VALUE"""),"6-10")</f>
        <v>6-10</v>
      </c>
      <c r="E59" s="2" t="str">
        <f>IFERROR(__xludf.DUMMYFUNCTION("""COMPUTED_VALUE"""),"20,000G-40,000G")</f>
        <v>20,000G-40,000G</v>
      </c>
      <c r="F59" s="73" t="str">
        <f>IFERROR(__xludf.DUMMYFUNCTION("""COMPUTED_VALUE"""),"11-15")</f>
        <v>11-15</v>
      </c>
      <c r="G59" s="2" t="str">
        <f>IFERROR(__xludf.DUMMYFUNCTION("""COMPUTED_VALUE"""),"Egg")</f>
        <v>Egg</v>
      </c>
      <c r="H59" s="73" t="str">
        <f>IFERROR(__xludf.DUMMYFUNCTION("""COMPUTED_VALUE"""),"16-20")</f>
        <v>16-20</v>
      </c>
      <c r="I59" s="2" t="str">
        <f>IFERROR(__xludf.DUMMYFUNCTION("""COMPUTED_VALUE"""),"Soul")</f>
        <v>Soul</v>
      </c>
      <c r="J59" s="73" t="str">
        <f>IFERROR(__xludf.DUMMYFUNCTION("""COMPUTED_VALUE"""),"21-25")</f>
        <v>21-25</v>
      </c>
      <c r="K59" s="2" t="str">
        <f>IFERROR(__xludf.DUMMYFUNCTION("""COMPUTED_VALUE"""),"Nothing")</f>
        <v>Nothing</v>
      </c>
      <c r="L59" s="1"/>
      <c r="M59" s="1"/>
      <c r="N59" s="1"/>
      <c r="O59" s="1"/>
      <c r="P59" s="1"/>
      <c r="Q59" s="1"/>
      <c r="R59" s="1"/>
      <c r="S59" s="1"/>
      <c r="T59" s="1"/>
      <c r="U59" s="1"/>
      <c r="V59" s="1"/>
      <c r="W59" s="1"/>
      <c r="X59" s="1"/>
    </row>
    <row r="60" ht="15.75" customHeight="1">
      <c r="A60" s="2" t="str">
        <f>IFERROR(__xludf.DUMMYFUNCTION("""COMPUTED_VALUE"""),"Delta Dragon")</f>
        <v>Delta Dragon</v>
      </c>
      <c r="B60" s="73" t="str">
        <f>IFERROR(__xludf.DUMMYFUNCTION("""COMPUTED_VALUE"""),"1-5")</f>
        <v>1-5</v>
      </c>
      <c r="C60" s="2" t="str">
        <f>IFERROR(__xludf.DUMMYFUNCTION("""COMPUTED_VALUE"""),"80,000,000G-100,000,000G")</f>
        <v>80,000,000G-100,000,000G</v>
      </c>
      <c r="D60" s="73" t="str">
        <f>IFERROR(__xludf.DUMMYFUNCTION("""COMPUTED_VALUE"""),"6-10")</f>
        <v>6-10</v>
      </c>
      <c r="E60" s="2" t="str">
        <f>IFERROR(__xludf.DUMMYFUNCTION("""COMPUTED_VALUE"""),"Egg")</f>
        <v>Egg</v>
      </c>
      <c r="F60" s="73" t="str">
        <f>IFERROR(__xludf.DUMMYFUNCTION("""COMPUTED_VALUE"""),"11-15")</f>
        <v>11-15</v>
      </c>
      <c r="G60" s="2" t="str">
        <f>IFERROR(__xludf.DUMMYFUNCTION("""COMPUTED_VALUE"""),"Soul")</f>
        <v>Soul</v>
      </c>
      <c r="H60" s="73" t="str">
        <f>IFERROR(__xludf.DUMMYFUNCTION("""COMPUTED_VALUE"""),"16-20")</f>
        <v>16-20</v>
      </c>
      <c r="I60" s="2" t="str">
        <f>IFERROR(__xludf.DUMMYFUNCTION("""COMPUTED_VALUE"""),"Dragon's Skull")</f>
        <v>Dragon's Skull</v>
      </c>
      <c r="J60" s="73" t="str">
        <f>IFERROR(__xludf.DUMMYFUNCTION("""COMPUTED_VALUE"""),"21-25")</f>
        <v>21-25</v>
      </c>
      <c r="K60" s="2" t="str">
        <f>IFERROR(__xludf.DUMMYFUNCTION("""COMPUTED_VALUE"""),"Delta Gems")</f>
        <v>Delta Gems</v>
      </c>
      <c r="L60" s="1"/>
      <c r="M60" s="1"/>
      <c r="N60" s="1"/>
      <c r="O60" s="1"/>
      <c r="P60" s="1"/>
      <c r="Q60" s="1"/>
      <c r="R60" s="1"/>
      <c r="S60" s="1"/>
      <c r="T60" s="1"/>
      <c r="U60" s="1"/>
      <c r="V60" s="1"/>
      <c r="W60" s="1"/>
      <c r="X60" s="1"/>
    </row>
    <row r="61" ht="15.75" customHeight="1">
      <c r="A61" s="2" t="str">
        <f>IFERROR(__xludf.DUMMYFUNCTION("""COMPUTED_VALUE"""),"Demon Of Heatmore")</f>
        <v>Demon Of Heatmore</v>
      </c>
      <c r="B61" s="73" t="str">
        <f>IFERROR(__xludf.DUMMYFUNCTION("""COMPUTED_VALUE"""),"1-5")</f>
        <v>1-5</v>
      </c>
      <c r="C61" s="2" t="str">
        <f>IFERROR(__xludf.DUMMYFUNCTION("""COMPUTED_VALUE"""),"Demons Eye")</f>
        <v>Demons Eye</v>
      </c>
      <c r="D61" s="73" t="str">
        <f>IFERROR(__xludf.DUMMYFUNCTION("""COMPUTED_VALUE"""),"6-10")</f>
        <v>6-10</v>
      </c>
      <c r="E61" s="2" t="str">
        <f>IFERROR(__xludf.DUMMYFUNCTION("""COMPUTED_VALUE"""),"Demon Core")</f>
        <v>Demon Core</v>
      </c>
      <c r="F61" s="73" t="str">
        <f>IFERROR(__xludf.DUMMYFUNCTION("""COMPUTED_VALUE"""),"11-15")</f>
        <v>11-15</v>
      </c>
      <c r="G61" s="2" t="str">
        <f>IFERROR(__xludf.DUMMYFUNCTION("""COMPUTED_VALUE"""),"Nothing")</f>
        <v>Nothing</v>
      </c>
      <c r="H61" s="73" t="str">
        <f>IFERROR(__xludf.DUMMYFUNCTION("""COMPUTED_VALUE"""),"16-20")</f>
        <v>16-20</v>
      </c>
      <c r="I61" s="2" t="str">
        <f>IFERROR(__xludf.DUMMYFUNCTION("""COMPUTED_VALUE"""),"Egg")</f>
        <v>Egg</v>
      </c>
      <c r="J61" s="73" t="str">
        <f>IFERROR(__xludf.DUMMYFUNCTION("""COMPUTED_VALUE"""),"21-25")</f>
        <v>21-25</v>
      </c>
      <c r="K61" s="2" t="str">
        <f>IFERROR(__xludf.DUMMYFUNCTION("""COMPUTED_VALUE"""),"Soul")</f>
        <v>Soul</v>
      </c>
      <c r="L61" s="1"/>
      <c r="M61" s="1"/>
      <c r="N61" s="1"/>
      <c r="O61" s="1"/>
      <c r="P61" s="1"/>
      <c r="Q61" s="1"/>
      <c r="R61" s="1"/>
      <c r="S61" s="1"/>
      <c r="T61" s="1"/>
      <c r="U61" s="1"/>
      <c r="V61" s="1"/>
      <c r="W61" s="1"/>
      <c r="X61" s="1"/>
    </row>
    <row r="62" ht="15.75" customHeight="1">
      <c r="A62" s="2" t="str">
        <f>IFERROR(__xludf.DUMMYFUNCTION("""COMPUTED_VALUE"""),"Desert Demon")</f>
        <v>Desert Demon</v>
      </c>
      <c r="B62" s="73" t="str">
        <f>IFERROR(__xludf.DUMMYFUNCTION("""COMPUTED_VALUE"""),"1-5")</f>
        <v>1-5</v>
      </c>
      <c r="C62" s="2" t="str">
        <f>IFERROR(__xludf.DUMMYFUNCTION("""COMPUTED_VALUE"""),"Heart of the Demon")</f>
        <v>Heart of the Demon</v>
      </c>
      <c r="D62" s="73" t="str">
        <f>IFERROR(__xludf.DUMMYFUNCTION("""COMPUTED_VALUE"""),"6-10")</f>
        <v>6-10</v>
      </c>
      <c r="E62" s="2" t="str">
        <f>IFERROR(__xludf.DUMMYFUNCTION("""COMPUTED_VALUE"""),"Egg")</f>
        <v>Egg</v>
      </c>
      <c r="F62" s="73" t="str">
        <f>IFERROR(__xludf.DUMMYFUNCTION("""COMPUTED_VALUE"""),"11-15")</f>
        <v>11-15</v>
      </c>
      <c r="G62" s="2" t="str">
        <f>IFERROR(__xludf.DUMMYFUNCTION("""COMPUTED_VALUE"""),"Soul")</f>
        <v>Soul</v>
      </c>
      <c r="H62" s="73" t="str">
        <f>IFERROR(__xludf.DUMMYFUNCTION("""COMPUTED_VALUE"""),"16-20")</f>
        <v>16-20</v>
      </c>
      <c r="I62" s="2" t="str">
        <f>IFERROR(__xludf.DUMMYFUNCTION("""COMPUTED_VALUE"""),"Desert Ruby")</f>
        <v>Desert Ruby</v>
      </c>
      <c r="J62" s="73" t="str">
        <f>IFERROR(__xludf.DUMMYFUNCTION("""COMPUTED_VALUE"""),"21-25")</f>
        <v>21-25</v>
      </c>
      <c r="K62" s="2" t="str">
        <f>IFERROR(__xludf.DUMMYFUNCTION("""COMPUTED_VALUE"""),"500,000G-1,000,000G")</f>
        <v>500,000G-1,000,000G</v>
      </c>
      <c r="L62" s="1"/>
      <c r="M62" s="1"/>
      <c r="N62" s="1"/>
      <c r="O62" s="1"/>
      <c r="P62" s="1"/>
      <c r="Q62" s="1"/>
      <c r="R62" s="1"/>
      <c r="S62" s="1"/>
      <c r="T62" s="1"/>
      <c r="U62" s="1"/>
      <c r="V62" s="1"/>
      <c r="W62" s="1"/>
      <c r="X62" s="1"/>
    </row>
    <row r="63" ht="15.75" customHeight="1">
      <c r="A63" s="2" t="str">
        <f>IFERROR(__xludf.DUMMYFUNCTION("""COMPUTED_VALUE"""),"Desert Hunter")</f>
        <v>Desert Hunter</v>
      </c>
      <c r="B63" s="73" t="str">
        <f>IFERROR(__xludf.DUMMYFUNCTION("""COMPUTED_VALUE"""),"1-5")</f>
        <v>1-5</v>
      </c>
      <c r="C63" s="2" t="str">
        <f>IFERROR(__xludf.DUMMYFUNCTION("""COMPUTED_VALUE"""),"Egg")</f>
        <v>Egg</v>
      </c>
      <c r="D63" s="73" t="str">
        <f>IFERROR(__xludf.DUMMYFUNCTION("""COMPUTED_VALUE"""),"6-10")</f>
        <v>6-10</v>
      </c>
      <c r="E63" s="2" t="str">
        <f>IFERROR(__xludf.DUMMYFUNCTION("""COMPUTED_VALUE"""),"Nothing")</f>
        <v>Nothing</v>
      </c>
      <c r="F63" s="73" t="str">
        <f>IFERROR(__xludf.DUMMYFUNCTION("""COMPUTED_VALUE"""),"11-15")</f>
        <v>11-15</v>
      </c>
      <c r="G63" s="2" t="str">
        <f>IFERROR(__xludf.DUMMYFUNCTION("""COMPUTED_VALUE"""),"Desert Emerald")</f>
        <v>Desert Emerald</v>
      </c>
      <c r="H63" s="73" t="str">
        <f>IFERROR(__xludf.DUMMYFUNCTION("""COMPUTED_VALUE"""),"16-20")</f>
        <v>16-20</v>
      </c>
      <c r="I63" s="2" t="str">
        <f>IFERROR(__xludf.DUMMYFUNCTION("""COMPUTED_VALUE"""),"Desert Ruby")</f>
        <v>Desert Ruby</v>
      </c>
      <c r="J63" s="73" t="str">
        <f>IFERROR(__xludf.DUMMYFUNCTION("""COMPUTED_VALUE"""),"21-25")</f>
        <v>21-25</v>
      </c>
      <c r="K63" s="2" t="str">
        <f>IFERROR(__xludf.DUMMYFUNCTION("""COMPUTED_VALUE"""),"Soul")</f>
        <v>Soul</v>
      </c>
      <c r="L63" s="1"/>
      <c r="M63" s="1"/>
      <c r="N63" s="1"/>
      <c r="O63" s="1"/>
      <c r="P63" s="1"/>
      <c r="Q63" s="1"/>
      <c r="R63" s="1"/>
      <c r="S63" s="1"/>
      <c r="T63" s="1"/>
      <c r="U63" s="1"/>
      <c r="V63" s="1"/>
      <c r="W63" s="1"/>
      <c r="X63" s="1"/>
    </row>
    <row r="64" ht="15.75" customHeight="1">
      <c r="A64" s="2" t="str">
        <f>IFERROR(__xludf.DUMMYFUNCTION("""COMPUTED_VALUE"""),"Desert Titan")</f>
        <v>Desert Titan</v>
      </c>
      <c r="B64" s="73" t="str">
        <f>IFERROR(__xludf.DUMMYFUNCTION("""COMPUTED_VALUE"""),"1-5")</f>
        <v>1-5</v>
      </c>
      <c r="C64" s="2" t="str">
        <f>IFERROR(__xludf.DUMMYFUNCTION("""COMPUTED_VALUE"""),"1,000G-20,000G")</f>
        <v>1,000G-20,000G</v>
      </c>
      <c r="D64" s="73" t="str">
        <f>IFERROR(__xludf.DUMMYFUNCTION("""COMPUTED_VALUE"""),"6-10")</f>
        <v>6-10</v>
      </c>
      <c r="E64" s="2" t="str">
        <f>IFERROR(__xludf.DUMMYFUNCTION("""COMPUTED_VALUE"""),"Soul")</f>
        <v>Soul</v>
      </c>
      <c r="F64" s="73" t="str">
        <f>IFERROR(__xludf.DUMMYFUNCTION("""COMPUTED_VALUE"""),"11-15")</f>
        <v>11-15</v>
      </c>
      <c r="G64" s="2" t="str">
        <f>IFERROR(__xludf.DUMMYFUNCTION("""COMPUTED_VALUE"""),"Desert Ruby")</f>
        <v>Desert Ruby</v>
      </c>
      <c r="H64" s="73" t="str">
        <f>IFERROR(__xludf.DUMMYFUNCTION("""COMPUTED_VALUE"""),"16-20")</f>
        <v>16-20</v>
      </c>
      <c r="I64" s="2" t="str">
        <f>IFERROR(__xludf.DUMMYFUNCTION("""COMPUTED_VALUE"""),"Titanic Two Hander")</f>
        <v>Titanic Two Hander</v>
      </c>
      <c r="J64" s="73" t="str">
        <f>IFERROR(__xludf.DUMMYFUNCTION("""COMPUTED_VALUE"""),"21-25")</f>
        <v>21-25</v>
      </c>
      <c r="K64" s="2" t="str">
        <f>IFERROR(__xludf.DUMMYFUNCTION("""COMPUTED_VALUE"""),"Egg")</f>
        <v>Egg</v>
      </c>
      <c r="L64" s="1"/>
      <c r="M64" s="1"/>
      <c r="N64" s="1"/>
      <c r="O64" s="1"/>
      <c r="P64" s="1"/>
      <c r="Q64" s="1"/>
      <c r="R64" s="1"/>
      <c r="S64" s="1"/>
      <c r="T64" s="1"/>
      <c r="U64" s="1"/>
      <c r="V64" s="1"/>
      <c r="W64" s="1"/>
      <c r="X64" s="1"/>
    </row>
    <row r="65" ht="15.75" customHeight="1">
      <c r="A65" s="2" t="str">
        <f>IFERROR(__xludf.DUMMYFUNCTION("""COMPUTED_VALUE"""),"Divine Dragon Of The Flames")</f>
        <v>Divine Dragon Of The Flames</v>
      </c>
      <c r="B65" s="73" t="str">
        <f>IFERROR(__xludf.DUMMYFUNCTION("""COMPUTED_VALUE"""),"1-5")</f>
        <v>1-5</v>
      </c>
      <c r="C65" s="2" t="str">
        <f>IFERROR(__xludf.DUMMYFUNCTION("""COMPUTED_VALUE"""),"Sword Of Divine Flames")</f>
        <v>Sword Of Divine Flames</v>
      </c>
      <c r="D65" s="73" t="str">
        <f>IFERROR(__xludf.DUMMYFUNCTION("""COMPUTED_VALUE"""),"6-10")</f>
        <v>6-10</v>
      </c>
      <c r="E65" s="2" t="str">
        <f>IFERROR(__xludf.DUMMYFUNCTION("""COMPUTED_VALUE"""),"fire diamonds")</f>
        <v>fire diamonds</v>
      </c>
      <c r="F65" s="73" t="str">
        <f>IFERROR(__xludf.DUMMYFUNCTION("""COMPUTED_VALUE"""),"11-15")</f>
        <v>11-15</v>
      </c>
      <c r="G65" s="2" t="str">
        <f>IFERROR(__xludf.DUMMYFUNCTION("""COMPUTED_VALUE"""),"fire diamonds")</f>
        <v>fire diamonds</v>
      </c>
      <c r="H65" s="73" t="str">
        <f>IFERROR(__xludf.DUMMYFUNCTION("""COMPUTED_VALUE"""),"16-20")</f>
        <v>16-20</v>
      </c>
      <c r="I65" s="2" t="str">
        <f>IFERROR(__xludf.DUMMYFUNCTION("""COMPUTED_VALUE"""),"Soul")</f>
        <v>Soul</v>
      </c>
      <c r="J65" s="73" t="str">
        <f>IFERROR(__xludf.DUMMYFUNCTION("""COMPUTED_VALUE"""),"21-25")</f>
        <v>21-25</v>
      </c>
      <c r="K65" s="2" t="str">
        <f>IFERROR(__xludf.DUMMYFUNCTION("""COMPUTED_VALUE"""),"Nothing")</f>
        <v>Nothing</v>
      </c>
      <c r="L65" s="1"/>
      <c r="M65" s="1"/>
      <c r="N65" s="1"/>
      <c r="O65" s="1"/>
      <c r="P65" s="1"/>
      <c r="Q65" s="1"/>
      <c r="R65" s="1"/>
      <c r="S65" s="1"/>
      <c r="T65" s="1"/>
      <c r="U65" s="1"/>
      <c r="V65" s="1"/>
      <c r="W65" s="1"/>
      <c r="X65" s="1"/>
    </row>
    <row r="66" ht="15.75" customHeight="1">
      <c r="A66" s="2" t="str">
        <f>IFERROR(__xludf.DUMMYFUNCTION("""COMPUTED_VALUE"""),"Donkey")</f>
        <v>Donkey</v>
      </c>
      <c r="B66" s="73" t="str">
        <f>IFERROR(__xludf.DUMMYFUNCTION("""COMPUTED_VALUE"""),"1-5")</f>
        <v>1-5</v>
      </c>
      <c r="C66" s="2" t="str">
        <f>IFERROR(__xludf.DUMMYFUNCTION("""COMPUTED_VALUE"""),"Soul")</f>
        <v>Soul</v>
      </c>
      <c r="D66" s="73" t="str">
        <f>IFERROR(__xludf.DUMMYFUNCTION("""COMPUTED_VALUE"""),"6-10")</f>
        <v>6-10</v>
      </c>
      <c r="E66" s="2" t="str">
        <f>IFERROR(__xludf.DUMMYFUNCTION("""COMPUTED_VALUE"""),"Melomel (Mead w/ fruit added)")</f>
        <v>Melomel (Mead w/ fruit added)</v>
      </c>
      <c r="F66" s="73" t="str">
        <f>IFERROR(__xludf.DUMMYFUNCTION("""COMPUTED_VALUE"""),"11-15")</f>
        <v>11-15</v>
      </c>
      <c r="G66" s="2" t="str">
        <f>IFERROR(__xludf.DUMMYFUNCTION("""COMPUTED_VALUE"""),"Egg")</f>
        <v>Egg</v>
      </c>
      <c r="H66" s="73" t="str">
        <f>IFERROR(__xludf.DUMMYFUNCTION("""COMPUTED_VALUE"""),"16-20")</f>
        <v>16-20</v>
      </c>
      <c r="I66" s="2" t="str">
        <f>IFERROR(__xludf.DUMMYFUNCTION("""COMPUTED_VALUE"""),"80,000G-100,000G")</f>
        <v>80,000G-100,000G</v>
      </c>
      <c r="J66" s="73" t="str">
        <f>IFERROR(__xludf.DUMMYFUNCTION("""COMPUTED_VALUE"""),"21-25")</f>
        <v>21-25</v>
      </c>
      <c r="K66" s="2" t="str">
        <f>IFERROR(__xludf.DUMMYFUNCTION("""COMPUTED_VALUE"""),"Nothing")</f>
        <v>Nothing</v>
      </c>
      <c r="L66" s="1"/>
      <c r="M66" s="1"/>
      <c r="N66" s="1"/>
      <c r="O66" s="1"/>
      <c r="P66" s="1"/>
      <c r="Q66" s="1"/>
      <c r="R66" s="1"/>
      <c r="S66" s="1"/>
      <c r="T66" s="1"/>
      <c r="U66" s="1"/>
      <c r="V66" s="1"/>
      <c r="W66" s="1"/>
      <c r="X66" s="1"/>
    </row>
    <row r="67" ht="15.75" customHeight="1">
      <c r="A67" s="2" t="str">
        <f>IFERROR(__xludf.DUMMYFUNCTION("""COMPUTED_VALUE"""),"Dragon Summoner")</f>
        <v>Dragon Summoner</v>
      </c>
      <c r="B67" s="73" t="str">
        <f>IFERROR(__xludf.DUMMYFUNCTION("""COMPUTED_VALUE"""),"1-5")</f>
        <v>1-5</v>
      </c>
      <c r="C67" s="2" t="str">
        <f>IFERROR(__xludf.DUMMYFUNCTION("""COMPUTED_VALUE"""),"Dragon Jerky")</f>
        <v>Dragon Jerky</v>
      </c>
      <c r="D67" s="73" t="str">
        <f>IFERROR(__xludf.DUMMYFUNCTION("""COMPUTED_VALUE"""),"6-10")</f>
        <v>6-10</v>
      </c>
      <c r="E67" s="2" t="str">
        <f>IFERROR(__xludf.DUMMYFUNCTION("""COMPUTED_VALUE"""),"20,000G-40,000G")</f>
        <v>20,000G-40,000G</v>
      </c>
      <c r="F67" s="73" t="str">
        <f>IFERROR(__xludf.DUMMYFUNCTION("""COMPUTED_VALUE"""),"11-15")</f>
        <v>11-15</v>
      </c>
      <c r="G67" s="2" t="str">
        <f>IFERROR(__xludf.DUMMYFUNCTION("""COMPUTED_VALUE"""),"Dragon Flute")</f>
        <v>Dragon Flute</v>
      </c>
      <c r="H67" s="73" t="str">
        <f>IFERROR(__xludf.DUMMYFUNCTION("""COMPUTED_VALUE"""),"16-20")</f>
        <v>16-20</v>
      </c>
      <c r="I67" s="2" t="str">
        <f>IFERROR(__xludf.DUMMYFUNCTION("""COMPUTED_VALUE"""),"Soul")</f>
        <v>Soul</v>
      </c>
      <c r="J67" s="73" t="str">
        <f>IFERROR(__xludf.DUMMYFUNCTION("""COMPUTED_VALUE"""),"21-25")</f>
        <v>21-25</v>
      </c>
      <c r="K67" s="2" t="str">
        <f>IFERROR(__xludf.DUMMYFUNCTION("""COMPUTED_VALUE"""),"Nothing")</f>
        <v>Nothing</v>
      </c>
      <c r="L67" s="1"/>
      <c r="M67" s="1"/>
      <c r="N67" s="1"/>
      <c r="O67" s="1"/>
      <c r="P67" s="1"/>
      <c r="Q67" s="1"/>
      <c r="R67" s="1"/>
      <c r="S67" s="1"/>
      <c r="T67" s="1"/>
      <c r="U67" s="1"/>
      <c r="V67" s="1"/>
      <c r="W67" s="1"/>
      <c r="X67" s="1"/>
    </row>
    <row r="68" ht="15.75" customHeight="1">
      <c r="A68" s="2" t="str">
        <f>IFERROR(__xludf.DUMMYFUNCTION("""COMPUTED_VALUE"""),"Dreading Fire Lich")</f>
        <v>Dreading Fire Lich</v>
      </c>
      <c r="B68" s="73" t="str">
        <f>IFERROR(__xludf.DUMMYFUNCTION("""COMPUTED_VALUE"""),"1-5")</f>
        <v>1-5</v>
      </c>
      <c r="C68" s="2" t="str">
        <f>IFERROR(__xludf.DUMMYFUNCTION("""COMPUTED_VALUE"""),"Liches Eye")</f>
        <v>Liches Eye</v>
      </c>
      <c r="D68" s="73" t="str">
        <f>IFERROR(__xludf.DUMMYFUNCTION("""COMPUTED_VALUE"""),"6-10")</f>
        <v>6-10</v>
      </c>
      <c r="E68" s="2" t="str">
        <f>IFERROR(__xludf.DUMMYFUNCTION("""COMPUTED_VALUE"""),"Rank 9 Fire Tome")</f>
        <v>Rank 9 Fire Tome</v>
      </c>
      <c r="F68" s="73" t="str">
        <f>IFERROR(__xludf.DUMMYFUNCTION("""COMPUTED_VALUE"""),"11-15")</f>
        <v>11-15</v>
      </c>
      <c r="G68" s="2" t="str">
        <f>IFERROR(__xludf.DUMMYFUNCTION("""COMPUTED_VALUE"""),"Nothing")</f>
        <v>Nothing</v>
      </c>
      <c r="H68" s="73" t="str">
        <f>IFERROR(__xludf.DUMMYFUNCTION("""COMPUTED_VALUE"""),"16-20")</f>
        <v>16-20</v>
      </c>
      <c r="I68" s="2" t="str">
        <f>IFERROR(__xludf.DUMMYFUNCTION("""COMPUTED_VALUE"""),"Nothing")</f>
        <v>Nothing</v>
      </c>
      <c r="J68" s="73" t="str">
        <f>IFERROR(__xludf.DUMMYFUNCTION("""COMPUTED_VALUE"""),"21-25")</f>
        <v>21-25</v>
      </c>
      <c r="K68" s="2" t="str">
        <f>IFERROR(__xludf.DUMMYFUNCTION("""COMPUTED_VALUE"""),"Soul")</f>
        <v>Soul</v>
      </c>
      <c r="L68" s="1"/>
      <c r="M68" s="1"/>
      <c r="N68" s="1"/>
      <c r="O68" s="1"/>
      <c r="P68" s="1"/>
      <c r="Q68" s="1"/>
      <c r="R68" s="1"/>
      <c r="S68" s="1"/>
      <c r="T68" s="1"/>
      <c r="U68" s="1"/>
      <c r="V68" s="1"/>
      <c r="W68" s="1"/>
      <c r="X68" s="1"/>
    </row>
    <row r="69" ht="15.75" customHeight="1">
      <c r="A69" s="2" t="str">
        <f>IFERROR(__xludf.DUMMYFUNCTION("""COMPUTED_VALUE"""),"Dweller Of The Abyss ")</f>
        <v>Dweller Of The Abyss </v>
      </c>
      <c r="B69" s="73" t="str">
        <f>IFERROR(__xludf.DUMMYFUNCTION("""COMPUTED_VALUE"""),"1-5")</f>
        <v>1-5</v>
      </c>
      <c r="C69" s="2" t="str">
        <f>IFERROR(__xludf.DUMMYFUNCTION("""COMPUTED_VALUE"""),"Ring Of Dwelling Waters")</f>
        <v>Ring Of Dwelling Waters</v>
      </c>
      <c r="D69" s="73" t="str">
        <f>IFERROR(__xludf.DUMMYFUNCTION("""COMPUTED_VALUE"""),"6-10")</f>
        <v>6-10</v>
      </c>
      <c r="E69" s="2" t="str">
        <f>IFERROR(__xludf.DUMMYFUNCTION("""COMPUTED_VALUE"""),"500,000SC-1,000,000SC")</f>
        <v>500,000SC-1,000,000SC</v>
      </c>
      <c r="F69" s="73" t="str">
        <f>IFERROR(__xludf.DUMMYFUNCTION("""COMPUTED_VALUE"""),"11-15")</f>
        <v>11-15</v>
      </c>
      <c r="G69" s="2" t="str">
        <f>IFERROR(__xludf.DUMMYFUNCTION("""COMPUTED_VALUE"""),"Nothing")</f>
        <v>Nothing</v>
      </c>
      <c r="H69" s="73" t="str">
        <f>IFERROR(__xludf.DUMMYFUNCTION("""COMPUTED_VALUE"""),"16-20")</f>
        <v>16-20</v>
      </c>
      <c r="I69" s="2" t="str">
        <f>IFERROR(__xludf.DUMMYFUNCTION("""COMPUTED_VALUE"""),"Sword Of The Abyss")</f>
        <v>Sword Of The Abyss</v>
      </c>
      <c r="J69" s="73" t="str">
        <f>IFERROR(__xludf.DUMMYFUNCTION("""COMPUTED_VALUE"""),"21-25")</f>
        <v>21-25</v>
      </c>
      <c r="K69" s="2" t="str">
        <f>IFERROR(__xludf.DUMMYFUNCTION("""COMPUTED_VALUE"""),"100,000,000G-500,000,000G")</f>
        <v>100,000,000G-500,000,000G</v>
      </c>
      <c r="L69" s="1"/>
      <c r="M69" s="1"/>
      <c r="N69" s="1"/>
      <c r="O69" s="1"/>
      <c r="P69" s="1"/>
      <c r="Q69" s="1"/>
      <c r="R69" s="1"/>
      <c r="S69" s="1"/>
      <c r="T69" s="1"/>
      <c r="U69" s="1"/>
      <c r="V69" s="1"/>
      <c r="W69" s="1"/>
      <c r="X69" s="1"/>
    </row>
    <row r="70" ht="15.75" customHeight="1">
      <c r="A70" s="2" t="str">
        <f>IFERROR(__xludf.DUMMYFUNCTION("""COMPUTED_VALUE"""),"Eagle")</f>
        <v>Eagle</v>
      </c>
      <c r="B70" s="73" t="str">
        <f>IFERROR(__xludf.DUMMYFUNCTION("""COMPUTED_VALUE"""),"1-5")</f>
        <v>1-5</v>
      </c>
      <c r="C70" s="2" t="str">
        <f>IFERROR(__xludf.DUMMYFUNCTION("""COMPUTED_VALUE"""),"Eagle Feathers")</f>
        <v>Eagle Feathers</v>
      </c>
      <c r="D70" s="73" t="str">
        <f>IFERROR(__xludf.DUMMYFUNCTION("""COMPUTED_VALUE"""),"6-10")</f>
        <v>6-10</v>
      </c>
      <c r="E70" s="2" t="str">
        <f>IFERROR(__xludf.DUMMYFUNCTION("""COMPUTED_VALUE"""),"Talon")</f>
        <v>Talon</v>
      </c>
      <c r="F70" s="73" t="str">
        <f>IFERROR(__xludf.DUMMYFUNCTION("""COMPUTED_VALUE"""),"11-15")</f>
        <v>11-15</v>
      </c>
      <c r="G70" s="2" t="str">
        <f>IFERROR(__xludf.DUMMYFUNCTION("""COMPUTED_VALUE"""),"Egg")</f>
        <v>Egg</v>
      </c>
      <c r="H70" s="73" t="str">
        <f>IFERROR(__xludf.DUMMYFUNCTION("""COMPUTED_VALUE"""),"16-20")</f>
        <v>16-20</v>
      </c>
      <c r="I70" s="2" t="str">
        <f>IFERROR(__xludf.DUMMYFUNCTION("""COMPUTED_VALUE"""),"Soul")</f>
        <v>Soul</v>
      </c>
      <c r="J70" s="73" t="str">
        <f>IFERROR(__xludf.DUMMYFUNCTION("""COMPUTED_VALUE"""),"21-25")</f>
        <v>21-25</v>
      </c>
      <c r="K70" s="2" t="str">
        <f>IFERROR(__xludf.DUMMYFUNCTION("""COMPUTED_VALUE"""),"Nothing")</f>
        <v>Nothing</v>
      </c>
      <c r="L70" s="1"/>
      <c r="M70" s="1"/>
      <c r="N70" s="1"/>
      <c r="O70" s="1"/>
      <c r="P70" s="1"/>
      <c r="Q70" s="1"/>
      <c r="R70" s="1"/>
      <c r="S70" s="1"/>
      <c r="T70" s="1"/>
      <c r="U70" s="1"/>
      <c r="V70" s="1"/>
      <c r="W70" s="1"/>
      <c r="X70" s="1"/>
    </row>
    <row r="71" ht="15.75" customHeight="1">
      <c r="A71" s="2" t="str">
        <f>IFERROR(__xludf.DUMMYFUNCTION("""COMPUTED_VALUE"""),"Eagle (Enhanced)")</f>
        <v>Eagle (Enhanced)</v>
      </c>
      <c r="B71" s="73" t="str">
        <f>IFERROR(__xludf.DUMMYFUNCTION("""COMPUTED_VALUE"""),"1-5")</f>
        <v>1-5</v>
      </c>
      <c r="C71" s="2" t="str">
        <f>IFERROR(__xludf.DUMMYFUNCTION("""COMPUTED_VALUE"""),"Soul")</f>
        <v>Soul</v>
      </c>
      <c r="D71" s="73" t="str">
        <f>IFERROR(__xludf.DUMMYFUNCTION("""COMPUTED_VALUE"""),"6-10")</f>
        <v>6-10</v>
      </c>
      <c r="E71" s="2" t="str">
        <f>IFERROR(__xludf.DUMMYFUNCTION("""COMPUTED_VALUE"""),"Nothing")</f>
        <v>Nothing</v>
      </c>
      <c r="F71" s="73" t="str">
        <f>IFERROR(__xludf.DUMMYFUNCTION("""COMPUTED_VALUE"""),"11-15")</f>
        <v>11-15</v>
      </c>
      <c r="G71" s="2" t="str">
        <f>IFERROR(__xludf.DUMMYFUNCTION("""COMPUTED_VALUE"""),"Nothing")</f>
        <v>Nothing</v>
      </c>
      <c r="H71" s="73" t="str">
        <f>IFERROR(__xludf.DUMMYFUNCTION("""COMPUTED_VALUE"""),"16-20")</f>
        <v>16-20</v>
      </c>
      <c r="I71" s="2" t="str">
        <f>IFERROR(__xludf.DUMMYFUNCTION("""COMPUTED_VALUE"""),"1,000G-20,000G")</f>
        <v>1,000G-20,000G</v>
      </c>
      <c r="J71" s="73" t="str">
        <f>IFERROR(__xludf.DUMMYFUNCTION("""COMPUTED_VALUE"""),"21-25")</f>
        <v>21-25</v>
      </c>
      <c r="K71" s="2" t="str">
        <f>IFERROR(__xludf.DUMMYFUNCTION("""COMPUTED_VALUE"""),"Eagle Feathers")</f>
        <v>Eagle Feathers</v>
      </c>
      <c r="L71" s="1"/>
      <c r="M71" s="1"/>
      <c r="N71" s="1"/>
      <c r="O71" s="1"/>
      <c r="P71" s="1"/>
      <c r="Q71" s="1"/>
      <c r="R71" s="1"/>
      <c r="S71" s="1"/>
      <c r="T71" s="1"/>
      <c r="U71" s="1"/>
      <c r="V71" s="1"/>
      <c r="W71" s="1"/>
      <c r="X71" s="1"/>
    </row>
    <row r="72" ht="15.75" customHeight="1">
      <c r="A72" s="2" t="str">
        <f>IFERROR(__xludf.DUMMYFUNCTION("""COMPUTED_VALUE"""),"Elder Monk Kenyu")</f>
        <v>Elder Monk Kenyu</v>
      </c>
      <c r="B72" s="73" t="str">
        <f>IFERROR(__xludf.DUMMYFUNCTION("""COMPUTED_VALUE"""),"1-5")</f>
        <v>1-5</v>
      </c>
      <c r="C72" s="2" t="str">
        <f>IFERROR(__xludf.DUMMYFUNCTION("""COMPUTED_VALUE"""),"Bo Staff Of Zhenmay")</f>
        <v>Bo Staff Of Zhenmay</v>
      </c>
      <c r="D72" s="73" t="str">
        <f>IFERROR(__xludf.DUMMYFUNCTION("""COMPUTED_VALUE"""),"6-10")</f>
        <v>6-10</v>
      </c>
      <c r="E72" s="2" t="str">
        <f>IFERROR(__xludf.DUMMYFUNCTION("""COMPUTED_VALUE"""),"Soul")</f>
        <v>Soul</v>
      </c>
      <c r="F72" s="73" t="str">
        <f>IFERROR(__xludf.DUMMYFUNCTION("""COMPUTED_VALUE"""),"11-15")</f>
        <v>11-15</v>
      </c>
      <c r="G72" s="2" t="str">
        <f>IFERROR(__xludf.DUMMYFUNCTION("""COMPUTED_VALUE"""),"Nothing")</f>
        <v>Nothing</v>
      </c>
      <c r="H72" s="73" t="str">
        <f>IFERROR(__xludf.DUMMYFUNCTION("""COMPUTED_VALUE"""),"16-20")</f>
        <v>16-20</v>
      </c>
      <c r="I72" s="2" t="str">
        <f>IFERROR(__xludf.DUMMYFUNCTION("""COMPUTED_VALUE"""),"Soul")</f>
        <v>Soul</v>
      </c>
      <c r="J72" s="73" t="str">
        <f>IFERROR(__xludf.DUMMYFUNCTION("""COMPUTED_VALUE"""),"21-25")</f>
        <v>21-25</v>
      </c>
      <c r="K72" s="2" t="str">
        <f>IFERROR(__xludf.DUMMYFUNCTION("""COMPUTED_VALUE"""),"40,000,000G-60,000,000G")</f>
        <v>40,000,000G-60,000,000G</v>
      </c>
      <c r="L72" s="1"/>
      <c r="M72" s="1"/>
      <c r="N72" s="1"/>
      <c r="O72" s="1"/>
      <c r="P72" s="1"/>
      <c r="Q72" s="1"/>
      <c r="R72" s="1"/>
      <c r="S72" s="1"/>
      <c r="T72" s="1"/>
      <c r="U72" s="1"/>
      <c r="V72" s="1"/>
      <c r="W72" s="1"/>
      <c r="X72" s="1"/>
    </row>
    <row r="73" ht="15.75" customHeight="1">
      <c r="A73" s="2" t="str">
        <f>IFERROR(__xludf.DUMMYFUNCTION("""COMPUTED_VALUE"""),"Evil Clown")</f>
        <v>Evil Clown</v>
      </c>
      <c r="B73" s="73" t="str">
        <f>IFERROR(__xludf.DUMMYFUNCTION("""COMPUTED_VALUE"""),"1-5")</f>
        <v>1-5</v>
      </c>
      <c r="C73" s="2" t="str">
        <f>IFERROR(__xludf.DUMMYFUNCTION("""COMPUTED_VALUE"""),"Soul")</f>
        <v>Soul</v>
      </c>
      <c r="D73" s="73" t="str">
        <f>IFERROR(__xludf.DUMMYFUNCTION("""COMPUTED_VALUE"""),"6-10")</f>
        <v>6-10</v>
      </c>
      <c r="E73" s="2" t="str">
        <f>IFERROR(__xludf.DUMMYFUNCTION("""COMPUTED_VALUE"""),"Egg")</f>
        <v>Egg</v>
      </c>
      <c r="F73" s="73" t="str">
        <f>IFERROR(__xludf.DUMMYFUNCTION("""COMPUTED_VALUE"""),"11-15")</f>
        <v>11-15</v>
      </c>
      <c r="G73" s="2" t="str">
        <f>IFERROR(__xludf.DUMMYFUNCTION("""COMPUTED_VALUE"""),"Nothing")</f>
        <v>Nothing</v>
      </c>
      <c r="H73" s="73" t="str">
        <f>IFERROR(__xludf.DUMMYFUNCTION("""COMPUTED_VALUE"""),"16-20")</f>
        <v>16-20</v>
      </c>
      <c r="I73" s="2" t="str">
        <f>IFERROR(__xludf.DUMMYFUNCTION("""COMPUTED_VALUE"""),"Nothing")</f>
        <v>Nothing</v>
      </c>
      <c r="J73" s="73" t="str">
        <f>IFERROR(__xludf.DUMMYFUNCTION("""COMPUTED_VALUE"""),"21-25")</f>
        <v>21-25</v>
      </c>
      <c r="K73" s="2" t="str">
        <f>IFERROR(__xludf.DUMMYFUNCTION("""COMPUTED_VALUE"""),"Ring o' Insanity and Chaos")</f>
        <v>Ring o' Insanity and Chaos</v>
      </c>
      <c r="L73" s="1"/>
      <c r="M73" s="1"/>
      <c r="N73" s="1"/>
      <c r="O73" s="1"/>
      <c r="P73" s="1"/>
      <c r="Q73" s="1"/>
      <c r="R73" s="1"/>
      <c r="S73" s="1"/>
      <c r="T73" s="1"/>
      <c r="U73" s="1"/>
      <c r="V73" s="1"/>
      <c r="W73" s="1"/>
      <c r="X73" s="1"/>
    </row>
    <row r="74" ht="15.75" customHeight="1">
      <c r="A74" s="2" t="str">
        <f>IFERROR(__xludf.DUMMYFUNCTION("""COMPUTED_VALUE"""),"Evil Moth")</f>
        <v>Evil Moth</v>
      </c>
      <c r="B74" s="73" t="str">
        <f>IFERROR(__xludf.DUMMYFUNCTION("""COMPUTED_VALUE"""),"1-5")</f>
        <v>1-5</v>
      </c>
      <c r="C74" s="2" t="str">
        <f>IFERROR(__xludf.DUMMYFUNCTION("""COMPUTED_VALUE"""),"Scale")</f>
        <v>Scale</v>
      </c>
      <c r="D74" s="73" t="str">
        <f>IFERROR(__xludf.DUMMYFUNCTION("""COMPUTED_VALUE"""),"6-10")</f>
        <v>6-10</v>
      </c>
      <c r="E74" s="2" t="str">
        <f>IFERROR(__xludf.DUMMYFUNCTION("""COMPUTED_VALUE"""),"1,000G-20,000G")</f>
        <v>1,000G-20,000G</v>
      </c>
      <c r="F74" s="73" t="str">
        <f>IFERROR(__xludf.DUMMYFUNCTION("""COMPUTED_VALUE"""),"11-15")</f>
        <v>11-15</v>
      </c>
      <c r="G74" s="2" t="str">
        <f>IFERROR(__xludf.DUMMYFUNCTION("""COMPUTED_VALUE"""),"Nothing")</f>
        <v>Nothing</v>
      </c>
      <c r="H74" s="73" t="str">
        <f>IFERROR(__xludf.DUMMYFUNCTION("""COMPUTED_VALUE"""),"16-20")</f>
        <v>16-20</v>
      </c>
      <c r="I74" s="2" t="str">
        <f>IFERROR(__xludf.DUMMYFUNCTION("""COMPUTED_VALUE"""),"Soul")</f>
        <v>Soul</v>
      </c>
      <c r="J74" s="73" t="str">
        <f>IFERROR(__xludf.DUMMYFUNCTION("""COMPUTED_VALUE"""),"21-25")</f>
        <v>21-25</v>
      </c>
      <c r="K74" s="2" t="str">
        <f>IFERROR(__xludf.DUMMYFUNCTION("""COMPUTED_VALUE"""),"Egg")</f>
        <v>Egg</v>
      </c>
      <c r="L74" s="1"/>
      <c r="M74" s="1"/>
      <c r="N74" s="1"/>
      <c r="O74" s="1"/>
      <c r="P74" s="1"/>
      <c r="Q74" s="1"/>
      <c r="R74" s="1"/>
      <c r="S74" s="1"/>
      <c r="T74" s="1"/>
      <c r="U74" s="1"/>
      <c r="V74" s="1"/>
      <c r="W74" s="1"/>
      <c r="X74" s="1"/>
    </row>
    <row r="75" ht="15.75" customHeight="1">
      <c r="A75" s="2" t="str">
        <f>IFERROR(__xludf.DUMMYFUNCTION("""COMPUTED_VALUE"""),"Failinis")</f>
        <v>Failinis</v>
      </c>
      <c r="B75" s="73" t="str">
        <f>IFERROR(__xludf.DUMMYFUNCTION("""COMPUTED_VALUE"""),"1-5")</f>
        <v>1-5</v>
      </c>
      <c r="C75" s="2"/>
      <c r="D75" s="73" t="str">
        <f>IFERROR(__xludf.DUMMYFUNCTION("""COMPUTED_VALUE"""),"6-10")</f>
        <v>6-10</v>
      </c>
      <c r="E75" s="2"/>
      <c r="F75" s="73" t="str">
        <f>IFERROR(__xludf.DUMMYFUNCTION("""COMPUTED_VALUE"""),"11-15")</f>
        <v>11-15</v>
      </c>
      <c r="G75" s="2"/>
      <c r="H75" s="73" t="str">
        <f>IFERROR(__xludf.DUMMYFUNCTION("""COMPUTED_VALUE"""),"16-20")</f>
        <v>16-20</v>
      </c>
      <c r="I75" s="2"/>
      <c r="J75" s="73" t="str">
        <f>IFERROR(__xludf.DUMMYFUNCTION("""COMPUTED_VALUE"""),"21-25")</f>
        <v>21-25</v>
      </c>
      <c r="K75" s="2"/>
      <c r="L75" s="1"/>
      <c r="M75" s="1"/>
      <c r="N75" s="1"/>
      <c r="O75" s="1"/>
      <c r="P75" s="1"/>
      <c r="Q75" s="1"/>
      <c r="R75" s="1"/>
      <c r="S75" s="1"/>
      <c r="T75" s="1"/>
      <c r="U75" s="1"/>
      <c r="V75" s="1"/>
      <c r="W75" s="1"/>
      <c r="X75" s="1"/>
    </row>
    <row r="76" ht="15.75" customHeight="1">
      <c r="A76" s="2" t="str">
        <f>IFERROR(__xludf.DUMMYFUNCTION("""COMPUTED_VALUE"""),"Fire Dragon")</f>
        <v>Fire Dragon</v>
      </c>
      <c r="B76" s="73" t="str">
        <f>IFERROR(__xludf.DUMMYFUNCTION("""COMPUTED_VALUE"""),"1-5")</f>
        <v>1-5</v>
      </c>
      <c r="C76" s="2" t="str">
        <f>IFERROR(__xludf.DUMMYFUNCTION("""COMPUTED_VALUE"""),"Soul")</f>
        <v>Soul</v>
      </c>
      <c r="D76" s="73" t="str">
        <f>IFERROR(__xludf.DUMMYFUNCTION("""COMPUTED_VALUE"""),"6-10")</f>
        <v>6-10</v>
      </c>
      <c r="E76" s="2" t="str">
        <f>IFERROR(__xludf.DUMMYFUNCTION("""COMPUTED_VALUE"""),"1,000,000G-20,000,000G")</f>
        <v>1,000,000G-20,000,000G</v>
      </c>
      <c r="F76" s="73" t="str">
        <f>IFERROR(__xludf.DUMMYFUNCTION("""COMPUTED_VALUE"""),"11-15")</f>
        <v>11-15</v>
      </c>
      <c r="G76" s="2" t="str">
        <f>IFERROR(__xludf.DUMMYFUNCTION("""COMPUTED_VALUE"""),"Wig of Temper Fire")</f>
        <v>Wig of Temper Fire</v>
      </c>
      <c r="H76" s="73" t="str">
        <f>IFERROR(__xludf.DUMMYFUNCTION("""COMPUTED_VALUE"""),"16-20")</f>
        <v>16-20</v>
      </c>
      <c r="I76" s="2" t="str">
        <f>IFERROR(__xludf.DUMMYFUNCTION("""COMPUTED_VALUE"""),"Nothing")</f>
        <v>Nothing</v>
      </c>
      <c r="J76" s="73" t="str">
        <f>IFERROR(__xludf.DUMMYFUNCTION("""COMPUTED_VALUE"""),"21-25")</f>
        <v>21-25</v>
      </c>
      <c r="K76" s="2" t="str">
        <f>IFERROR(__xludf.DUMMYFUNCTION("""COMPUTED_VALUE"""),"Egg")</f>
        <v>Egg</v>
      </c>
      <c r="L76" s="1"/>
      <c r="M76" s="1"/>
      <c r="N76" s="1"/>
      <c r="O76" s="1"/>
      <c r="P76" s="1"/>
      <c r="Q76" s="1"/>
      <c r="R76" s="1"/>
      <c r="S76" s="1"/>
      <c r="T76" s="1"/>
      <c r="U76" s="1"/>
      <c r="V76" s="1"/>
      <c r="W76" s="1"/>
      <c r="X76" s="1"/>
    </row>
    <row r="77" ht="15.75" customHeight="1">
      <c r="A77" s="2" t="str">
        <f>IFERROR(__xludf.DUMMYFUNCTION("""COMPUTED_VALUE"""),"Fire Mage")</f>
        <v>Fire Mage</v>
      </c>
      <c r="B77" s="73" t="str">
        <f>IFERROR(__xludf.DUMMYFUNCTION("""COMPUTED_VALUE"""),"1-5")</f>
        <v>1-5</v>
      </c>
      <c r="C77" s="2" t="str">
        <f>IFERROR(__xludf.DUMMYFUNCTION("""COMPUTED_VALUE"""),"Rank 9 Fire Tome")</f>
        <v>Rank 9 Fire Tome</v>
      </c>
      <c r="D77" s="73" t="str">
        <f>IFERROR(__xludf.DUMMYFUNCTION("""COMPUTED_VALUE"""),"6-10")</f>
        <v>6-10</v>
      </c>
      <c r="E77" s="2" t="str">
        <f>IFERROR(__xludf.DUMMYFUNCTION("""COMPUTED_VALUE"""),"Fire ring")</f>
        <v>Fire ring</v>
      </c>
      <c r="F77" s="73" t="str">
        <f>IFERROR(__xludf.DUMMYFUNCTION("""COMPUTED_VALUE"""),"11-15")</f>
        <v>11-15</v>
      </c>
      <c r="G77" s="2" t="str">
        <f>IFERROR(__xludf.DUMMYFUNCTION("""COMPUTED_VALUE"""),"Soul")</f>
        <v>Soul</v>
      </c>
      <c r="H77" s="73" t="str">
        <f>IFERROR(__xludf.DUMMYFUNCTION("""COMPUTED_VALUE"""),"16-20")</f>
        <v>16-20</v>
      </c>
      <c r="I77" s="2" t="str">
        <f>IFERROR(__xludf.DUMMYFUNCTION("""COMPUTED_VALUE"""),"20,000G-40,000G")</f>
        <v>20,000G-40,000G</v>
      </c>
      <c r="J77" s="73" t="str">
        <f>IFERROR(__xludf.DUMMYFUNCTION("""COMPUTED_VALUE"""),"21-25")</f>
        <v>21-25</v>
      </c>
      <c r="K77" s="2" t="str">
        <f>IFERROR(__xludf.DUMMYFUNCTION("""COMPUTED_VALUE"""),"Egg")</f>
        <v>Egg</v>
      </c>
      <c r="L77" s="1"/>
      <c r="M77" s="1"/>
      <c r="N77" s="1"/>
      <c r="O77" s="1"/>
      <c r="P77" s="1"/>
      <c r="Q77" s="1"/>
      <c r="R77" s="1"/>
      <c r="S77" s="1"/>
      <c r="T77" s="1"/>
      <c r="U77" s="1"/>
      <c r="V77" s="1"/>
      <c r="W77" s="1"/>
      <c r="X77" s="1"/>
    </row>
    <row r="78" ht="15.75" customHeight="1">
      <c r="A78" s="2" t="str">
        <f>IFERROR(__xludf.DUMMYFUNCTION("""COMPUTED_VALUE"""),"Fire Soldier")</f>
        <v>Fire Soldier</v>
      </c>
      <c r="B78" s="73" t="str">
        <f>IFERROR(__xludf.DUMMYFUNCTION("""COMPUTED_VALUE"""),"1-5")</f>
        <v>1-5</v>
      </c>
      <c r="C78" s="2" t="str">
        <f>IFERROR(__xludf.DUMMYFUNCTION("""COMPUTED_VALUE"""),"Egg")</f>
        <v>Egg</v>
      </c>
      <c r="D78" s="73" t="str">
        <f>IFERROR(__xludf.DUMMYFUNCTION("""COMPUTED_VALUE"""),"6-10")</f>
        <v>6-10</v>
      </c>
      <c r="E78" s="2" t="str">
        <f>IFERROR(__xludf.DUMMYFUNCTION("""COMPUTED_VALUE"""),"Soul")</f>
        <v>Soul</v>
      </c>
      <c r="F78" s="73" t="str">
        <f>IFERROR(__xludf.DUMMYFUNCTION("""COMPUTED_VALUE"""),"11-15")</f>
        <v>11-15</v>
      </c>
      <c r="G78" s="2" t="str">
        <f>IFERROR(__xludf.DUMMYFUNCTION("""COMPUTED_VALUE"""),"Fire Resistant Boots")</f>
        <v>Fire Resistant Boots</v>
      </c>
      <c r="H78" s="73" t="str">
        <f>IFERROR(__xludf.DUMMYFUNCTION("""COMPUTED_VALUE"""),"16-20")</f>
        <v>16-20</v>
      </c>
      <c r="I78" s="2" t="str">
        <f>IFERROR(__xludf.DUMMYFUNCTION("""COMPUTED_VALUE"""),"Fireproof Suit")</f>
        <v>Fireproof Suit</v>
      </c>
      <c r="J78" s="73" t="str">
        <f>IFERROR(__xludf.DUMMYFUNCTION("""COMPUTED_VALUE"""),"21-25")</f>
        <v>21-25</v>
      </c>
      <c r="K78" s="2" t="str">
        <f>IFERROR(__xludf.DUMMYFUNCTION("""COMPUTED_VALUE"""),"80,000G-100,000G")</f>
        <v>80,000G-100,000G</v>
      </c>
      <c r="L78" s="1"/>
      <c r="M78" s="1"/>
      <c r="N78" s="1"/>
      <c r="O78" s="1"/>
      <c r="P78" s="1"/>
      <c r="Q78" s="1"/>
      <c r="R78" s="1"/>
      <c r="S78" s="1"/>
      <c r="T78" s="1"/>
      <c r="U78" s="1"/>
      <c r="V78" s="1"/>
      <c r="W78" s="1"/>
      <c r="X78" s="1"/>
    </row>
    <row r="79" ht="15.75" customHeight="1">
      <c r="A79" s="2" t="str">
        <f>IFERROR(__xludf.DUMMYFUNCTION("""COMPUTED_VALUE"""),"Fire Warrior")</f>
        <v>Fire Warrior</v>
      </c>
      <c r="B79" s="73" t="str">
        <f>IFERROR(__xludf.DUMMYFUNCTION("""COMPUTED_VALUE"""),"1-5")</f>
        <v>1-5</v>
      </c>
      <c r="C79" s="2" t="str">
        <f>IFERROR(__xludf.DUMMYFUNCTION("""COMPUTED_VALUE"""),"Fire Sword")</f>
        <v>Fire Sword</v>
      </c>
      <c r="D79" s="73" t="str">
        <f>IFERROR(__xludf.DUMMYFUNCTION("""COMPUTED_VALUE"""),"6-10")</f>
        <v>6-10</v>
      </c>
      <c r="E79" s="2" t="str">
        <f>IFERROR(__xludf.DUMMYFUNCTION("""COMPUTED_VALUE"""),"Soul")</f>
        <v>Soul</v>
      </c>
      <c r="F79" s="73" t="str">
        <f>IFERROR(__xludf.DUMMYFUNCTION("""COMPUTED_VALUE"""),"11-15")</f>
        <v>11-15</v>
      </c>
      <c r="G79" s="2" t="str">
        <f>IFERROR(__xludf.DUMMYFUNCTION("""COMPUTED_VALUE"""),"Fire Shield")</f>
        <v>Fire Shield</v>
      </c>
      <c r="H79" s="73" t="str">
        <f>IFERROR(__xludf.DUMMYFUNCTION("""COMPUTED_VALUE"""),"16-20")</f>
        <v>16-20</v>
      </c>
      <c r="I79" s="2" t="str">
        <f>IFERROR(__xludf.DUMMYFUNCTION("""COMPUTED_VALUE"""),"Egg")</f>
        <v>Egg</v>
      </c>
      <c r="J79" s="73" t="str">
        <f>IFERROR(__xludf.DUMMYFUNCTION("""COMPUTED_VALUE"""),"21-25")</f>
        <v>21-25</v>
      </c>
      <c r="K79" s="2" t="str">
        <f>IFERROR(__xludf.DUMMYFUNCTION("""COMPUTED_VALUE"""),"1,000,000G-20,000,000G")</f>
        <v>1,000,000G-20,000,000G</v>
      </c>
      <c r="L79" s="1"/>
      <c r="M79" s="1"/>
      <c r="N79" s="1"/>
      <c r="O79" s="1"/>
      <c r="P79" s="1"/>
      <c r="Q79" s="1"/>
      <c r="R79" s="1"/>
      <c r="S79" s="1"/>
      <c r="T79" s="1"/>
      <c r="U79" s="1"/>
      <c r="V79" s="1"/>
      <c r="W79" s="1"/>
      <c r="X79" s="1"/>
    </row>
    <row r="80" ht="15.75" customHeight="1">
      <c r="A80" s="2" t="str">
        <f>IFERROR(__xludf.DUMMYFUNCTION("""COMPUTED_VALUE"""),"Fireflies")</f>
        <v>Fireflies</v>
      </c>
      <c r="B80" s="73" t="str">
        <f>IFERROR(__xludf.DUMMYFUNCTION("""COMPUTED_VALUE"""),"1-5")</f>
        <v>1-5</v>
      </c>
      <c r="C80" s="2" t="str">
        <f>IFERROR(__xludf.DUMMYFUNCTION("""COMPUTED_VALUE"""),"Fire Ring")</f>
        <v>Fire Ring</v>
      </c>
      <c r="D80" s="73" t="str">
        <f>IFERROR(__xludf.DUMMYFUNCTION("""COMPUTED_VALUE"""),"6-10")</f>
        <v>6-10</v>
      </c>
      <c r="E80" s="2" t="str">
        <f>IFERROR(__xludf.DUMMYFUNCTION("""COMPUTED_VALUE"""),"Fire Arrow")</f>
        <v>Fire Arrow</v>
      </c>
      <c r="F80" s="73" t="str">
        <f>IFERROR(__xludf.DUMMYFUNCTION("""COMPUTED_VALUE"""),"11-15")</f>
        <v>11-15</v>
      </c>
      <c r="G80" s="2" t="str">
        <f>IFERROR(__xludf.DUMMYFUNCTION("""COMPUTED_VALUE"""),"Fire Gem")</f>
        <v>Fire Gem</v>
      </c>
      <c r="H80" s="73" t="str">
        <f>IFERROR(__xludf.DUMMYFUNCTION("""COMPUTED_VALUE"""),"16-20")</f>
        <v>16-20</v>
      </c>
      <c r="I80" s="2" t="str">
        <f>IFERROR(__xludf.DUMMYFUNCTION("""COMPUTED_VALUE"""),"Egg")</f>
        <v>Egg</v>
      </c>
      <c r="J80" s="73" t="str">
        <f>IFERROR(__xludf.DUMMYFUNCTION("""COMPUTED_VALUE"""),"21-25")</f>
        <v>21-25</v>
      </c>
      <c r="K80" s="2" t="str">
        <f>IFERROR(__xludf.DUMMYFUNCTION("""COMPUTED_VALUE"""),"Soul")</f>
        <v>Soul</v>
      </c>
      <c r="L80" s="1"/>
      <c r="M80" s="1"/>
      <c r="N80" s="1"/>
      <c r="O80" s="1"/>
      <c r="P80" s="1"/>
      <c r="Q80" s="1"/>
      <c r="R80" s="1"/>
      <c r="S80" s="1"/>
      <c r="T80" s="1"/>
      <c r="U80" s="1"/>
      <c r="V80" s="1"/>
      <c r="W80" s="1"/>
      <c r="X80" s="1"/>
    </row>
    <row r="81" ht="15.75" customHeight="1">
      <c r="A81" s="2" t="str">
        <f>IFERROR(__xludf.DUMMYFUNCTION("""COMPUTED_VALUE"""),"Flamethrower Corpse")</f>
        <v>Flamethrower Corpse</v>
      </c>
      <c r="B81" s="73" t="str">
        <f>IFERROR(__xludf.DUMMYFUNCTION("""COMPUTED_VALUE"""),"1-5")</f>
        <v>1-5</v>
      </c>
      <c r="C81" s="2" t="str">
        <f>IFERROR(__xludf.DUMMYFUNCTION("""COMPUTED_VALUE"""),"Flamethrower")</f>
        <v>Flamethrower</v>
      </c>
      <c r="D81" s="73" t="str">
        <f>IFERROR(__xludf.DUMMYFUNCTION("""COMPUTED_VALUE"""),"6-10")</f>
        <v>6-10</v>
      </c>
      <c r="E81" s="2" t="str">
        <f>IFERROR(__xludf.DUMMYFUNCTION("""COMPUTED_VALUE"""),"Fire Resistant Boots")</f>
        <v>Fire Resistant Boots</v>
      </c>
      <c r="F81" s="73" t="str">
        <f>IFERROR(__xludf.DUMMYFUNCTION("""COMPUTED_VALUE"""),"11-15")</f>
        <v>11-15</v>
      </c>
      <c r="G81" s="2" t="str">
        <f>IFERROR(__xludf.DUMMYFUNCTION("""COMPUTED_VALUE"""),"Flame Band")</f>
        <v>Flame Band</v>
      </c>
      <c r="H81" s="73" t="str">
        <f>IFERROR(__xludf.DUMMYFUNCTION("""COMPUTED_VALUE"""),"16-20")</f>
        <v>16-20</v>
      </c>
      <c r="I81" s="2" t="str">
        <f>IFERROR(__xludf.DUMMYFUNCTION("""COMPUTED_VALUE"""),"Soul")</f>
        <v>Soul</v>
      </c>
      <c r="J81" s="73" t="str">
        <f>IFERROR(__xludf.DUMMYFUNCTION("""COMPUTED_VALUE"""),"21-25")</f>
        <v>21-25</v>
      </c>
      <c r="K81" s="2" t="str">
        <f>IFERROR(__xludf.DUMMYFUNCTION("""COMPUTED_VALUE"""),"500,000G-1,000,000G")</f>
        <v>500,000G-1,000,000G</v>
      </c>
      <c r="L81" s="1"/>
      <c r="M81" s="1"/>
      <c r="N81" s="1"/>
      <c r="O81" s="1"/>
      <c r="P81" s="1"/>
      <c r="Q81" s="1"/>
      <c r="R81" s="1"/>
      <c r="S81" s="1"/>
      <c r="T81" s="1"/>
      <c r="U81" s="1"/>
      <c r="V81" s="1"/>
      <c r="W81" s="1"/>
      <c r="X81" s="1"/>
    </row>
    <row r="82" ht="15.75" customHeight="1">
      <c r="A82" s="2" t="str">
        <f>IFERROR(__xludf.DUMMYFUNCTION("""COMPUTED_VALUE"""),"flaming dragon Knight")</f>
        <v>flaming dragon Knight</v>
      </c>
      <c r="B82" s="73" t="str">
        <f>IFERROR(__xludf.DUMMYFUNCTION("""COMPUTED_VALUE"""),"1-5")</f>
        <v>1-5</v>
      </c>
      <c r="C82" s="2" t="str">
        <f>IFERROR(__xludf.DUMMYFUNCTION("""COMPUTED_VALUE"""),"Bright Flame Sword")</f>
        <v>Bright Flame Sword</v>
      </c>
      <c r="D82" s="73" t="str">
        <f>IFERROR(__xludf.DUMMYFUNCTION("""COMPUTED_VALUE"""),"6-10")</f>
        <v>6-10</v>
      </c>
      <c r="E82" s="2" t="str">
        <f>IFERROR(__xludf.DUMMYFUNCTION("""COMPUTED_VALUE"""),"Dark Knight Helm")</f>
        <v>Dark Knight Helm</v>
      </c>
      <c r="F82" s="73" t="str">
        <f>IFERROR(__xludf.DUMMYFUNCTION("""COMPUTED_VALUE"""),"11-15")</f>
        <v>11-15</v>
      </c>
      <c r="G82" s="2" t="str">
        <f>IFERROR(__xludf.DUMMYFUNCTION("""COMPUTED_VALUE"""),"Soul")</f>
        <v>Soul</v>
      </c>
      <c r="H82" s="73" t="str">
        <f>IFERROR(__xludf.DUMMYFUNCTION("""COMPUTED_VALUE"""),"16-20")</f>
        <v>16-20</v>
      </c>
      <c r="I82" s="2" t="str">
        <f>IFERROR(__xludf.DUMMYFUNCTION("""COMPUTED_VALUE"""),"Nothing")</f>
        <v>Nothing</v>
      </c>
      <c r="J82" s="73" t="str">
        <f>IFERROR(__xludf.DUMMYFUNCTION("""COMPUTED_VALUE"""),"21-25")</f>
        <v>21-25</v>
      </c>
      <c r="K82" s="2" t="str">
        <f>IFERROR(__xludf.DUMMYFUNCTION("""COMPUTED_VALUE"""),"Nothing")</f>
        <v>Nothing</v>
      </c>
      <c r="L82" s="1"/>
      <c r="M82" s="1"/>
      <c r="N82" s="1"/>
      <c r="O82" s="1"/>
      <c r="P82" s="1"/>
      <c r="Q82" s="1"/>
      <c r="R82" s="1"/>
      <c r="S82" s="1"/>
      <c r="T82" s="1"/>
      <c r="U82" s="1"/>
      <c r="V82" s="1"/>
      <c r="W82" s="1"/>
      <c r="X82" s="1"/>
    </row>
    <row r="83" ht="15.75" customHeight="1">
      <c r="A83" s="2" t="str">
        <f>IFERROR(__xludf.DUMMYFUNCTION("""COMPUTED_VALUE"""),"Flaming Yak")</f>
        <v>Flaming Yak</v>
      </c>
      <c r="B83" s="73" t="str">
        <f>IFERROR(__xludf.DUMMYFUNCTION("""COMPUTED_VALUE"""),"1-5")</f>
        <v>1-5</v>
      </c>
      <c r="C83" s="2" t="str">
        <f>IFERROR(__xludf.DUMMYFUNCTION("""COMPUTED_VALUE"""),"Flaming Horns")</f>
        <v>Flaming Horns</v>
      </c>
      <c r="D83" s="73" t="str">
        <f>IFERROR(__xludf.DUMMYFUNCTION("""COMPUTED_VALUE"""),"6-10")</f>
        <v>6-10</v>
      </c>
      <c r="E83" s="2" t="str">
        <f>IFERROR(__xludf.DUMMYFUNCTION("""COMPUTED_VALUE"""),"Cooked Yak Meat")</f>
        <v>Cooked Yak Meat</v>
      </c>
      <c r="F83" s="73" t="str">
        <f>IFERROR(__xludf.DUMMYFUNCTION("""COMPUTED_VALUE"""),"11-15")</f>
        <v>11-15</v>
      </c>
      <c r="G83" s="2" t="str">
        <f>IFERROR(__xludf.DUMMYFUNCTION("""COMPUTED_VALUE"""),"Soul")</f>
        <v>Soul</v>
      </c>
      <c r="H83" s="73" t="str">
        <f>IFERROR(__xludf.DUMMYFUNCTION("""COMPUTED_VALUE"""),"16-20")</f>
        <v>16-20</v>
      </c>
      <c r="I83" s="2" t="str">
        <f>IFERROR(__xludf.DUMMYFUNCTION("""COMPUTED_VALUE"""),"Nothing")</f>
        <v>Nothing</v>
      </c>
      <c r="J83" s="73" t="str">
        <f>IFERROR(__xludf.DUMMYFUNCTION("""COMPUTED_VALUE"""),"21-25")</f>
        <v>21-25</v>
      </c>
      <c r="K83" s="2" t="str">
        <f>IFERROR(__xludf.DUMMYFUNCTION("""COMPUTED_VALUE"""),"Egg")</f>
        <v>Egg</v>
      </c>
      <c r="L83" s="1"/>
      <c r="M83" s="1"/>
      <c r="N83" s="1"/>
      <c r="O83" s="1"/>
      <c r="P83" s="1"/>
      <c r="Q83" s="1"/>
      <c r="R83" s="1"/>
      <c r="S83" s="1"/>
      <c r="T83" s="1"/>
      <c r="U83" s="1"/>
      <c r="V83" s="1"/>
      <c r="W83" s="1"/>
      <c r="X83" s="1"/>
    </row>
    <row r="84" ht="15.75" customHeight="1">
      <c r="A84" s="2" t="str">
        <f>IFERROR(__xludf.DUMMYFUNCTION("""COMPUTED_VALUE"""),"Floating Skull")</f>
        <v>Floating Skull</v>
      </c>
      <c r="B84" s="73" t="str">
        <f>IFERROR(__xludf.DUMMYFUNCTION("""COMPUTED_VALUE"""),"1-5")</f>
        <v>1-5</v>
      </c>
      <c r="C84" s="2" t="str">
        <f>IFERROR(__xludf.DUMMYFUNCTION("""COMPUTED_VALUE"""),"skull")</f>
        <v>skull</v>
      </c>
      <c r="D84" s="73" t="str">
        <f>IFERROR(__xludf.DUMMYFUNCTION("""COMPUTED_VALUE"""),"6-10")</f>
        <v>6-10</v>
      </c>
      <c r="E84" s="2" t="str">
        <f>IFERROR(__xludf.DUMMYFUNCTION("""COMPUTED_VALUE"""),"1,000G-20,000G")</f>
        <v>1,000G-20,000G</v>
      </c>
      <c r="F84" s="73" t="str">
        <f>IFERROR(__xludf.DUMMYFUNCTION("""COMPUTED_VALUE"""),"11-15")</f>
        <v>11-15</v>
      </c>
      <c r="G84" s="2" t="str">
        <f>IFERROR(__xludf.DUMMYFUNCTION("""COMPUTED_VALUE"""),"Nothing")</f>
        <v>Nothing</v>
      </c>
      <c r="H84" s="73" t="str">
        <f>IFERROR(__xludf.DUMMYFUNCTION("""COMPUTED_VALUE"""),"16-20")</f>
        <v>16-20</v>
      </c>
      <c r="I84" s="2" t="str">
        <f>IFERROR(__xludf.DUMMYFUNCTION("""COMPUTED_VALUE"""),"Nothing")</f>
        <v>Nothing</v>
      </c>
      <c r="J84" s="73" t="str">
        <f>IFERROR(__xludf.DUMMYFUNCTION("""COMPUTED_VALUE"""),"21-25")</f>
        <v>21-25</v>
      </c>
      <c r="K84" s="2" t="str">
        <f>IFERROR(__xludf.DUMMYFUNCTION("""COMPUTED_VALUE"""),"Nothing")</f>
        <v>Nothing</v>
      </c>
      <c r="L84" s="1"/>
      <c r="M84" s="1"/>
      <c r="N84" s="1"/>
      <c r="O84" s="1"/>
      <c r="P84" s="1"/>
      <c r="Q84" s="1"/>
      <c r="R84" s="1"/>
      <c r="S84" s="1"/>
      <c r="T84" s="1"/>
      <c r="U84" s="1"/>
      <c r="V84" s="1"/>
      <c r="W84" s="1"/>
      <c r="X84" s="1"/>
    </row>
    <row r="85" ht="15.75" customHeight="1">
      <c r="A85" s="3" t="str">
        <f>IFERROR(__xludf.DUMMYFUNCTION("""COMPUTED_VALUE"""),"Forest Dragon")</f>
        <v>Forest Dragon</v>
      </c>
      <c r="B85" s="73" t="str">
        <f>IFERROR(__xludf.DUMMYFUNCTION("""COMPUTED_VALUE"""),"1-5")</f>
        <v>1-5</v>
      </c>
      <c r="C85" s="2" t="str">
        <f>IFERROR(__xludf.DUMMYFUNCTION("""COMPUTED_VALUE"""),"Soul")</f>
        <v>Soul</v>
      </c>
      <c r="D85" s="73" t="str">
        <f>IFERROR(__xludf.DUMMYFUNCTION("""COMPUTED_VALUE"""),"6-10")</f>
        <v>6-10</v>
      </c>
      <c r="E85" s="2" t="str">
        <f>IFERROR(__xludf.DUMMYFUNCTION("""COMPUTED_VALUE"""),"Uncommon tree branch")</f>
        <v>Uncommon tree branch</v>
      </c>
      <c r="F85" s="73" t="str">
        <f>IFERROR(__xludf.DUMMYFUNCTION("""COMPUTED_VALUE"""),"11-15")</f>
        <v>11-15</v>
      </c>
      <c r="G85" s="2" t="str">
        <f>IFERROR(__xludf.DUMMYFUNCTION("""COMPUTED_VALUE"""),"Common Tree Branch")</f>
        <v>Common Tree Branch</v>
      </c>
      <c r="H85" s="73" t="str">
        <f>IFERROR(__xludf.DUMMYFUNCTION("""COMPUTED_VALUE"""),"16-20")</f>
        <v>16-20</v>
      </c>
      <c r="I85" s="2" t="str">
        <f>IFERROR(__xludf.DUMMYFUNCTION("""COMPUTED_VALUE"""),"Nothing")</f>
        <v>Nothing</v>
      </c>
      <c r="J85" s="73" t="str">
        <f>IFERROR(__xludf.DUMMYFUNCTION("""COMPUTED_VALUE"""),"21-25")</f>
        <v>21-25</v>
      </c>
      <c r="K85" s="2" t="str">
        <f>IFERROR(__xludf.DUMMYFUNCTION("""COMPUTED_VALUE"""),"Egg")</f>
        <v>Egg</v>
      </c>
      <c r="L85" s="1"/>
      <c r="M85" s="1"/>
      <c r="N85" s="1"/>
      <c r="O85" s="1"/>
      <c r="P85" s="1"/>
      <c r="Q85" s="1"/>
      <c r="R85" s="1"/>
      <c r="S85" s="1"/>
      <c r="T85" s="1"/>
      <c r="U85" s="1"/>
      <c r="V85" s="1"/>
      <c r="W85" s="1"/>
      <c r="X85" s="1"/>
    </row>
    <row r="86" ht="15.75" customHeight="1">
      <c r="A86" s="2" t="str">
        <f>IFERROR(__xludf.DUMMYFUNCTION("""COMPUTED_VALUE"""),"Forest Elf")</f>
        <v>Forest Elf</v>
      </c>
      <c r="B86" s="73" t="str">
        <f>IFERROR(__xludf.DUMMYFUNCTION("""COMPUTED_VALUE"""),"1-2")</f>
        <v>1-2</v>
      </c>
      <c r="C86" s="2" t="str">
        <f>IFERROR(__xludf.DUMMYFUNCTION("""COMPUTED_VALUE"""),"Common tree branch")</f>
        <v>Common tree branch</v>
      </c>
      <c r="D86" s="73" t="str">
        <f>IFERROR(__xludf.DUMMYFUNCTION("""COMPUTED_VALUE"""),"6-10")</f>
        <v>6-10</v>
      </c>
      <c r="E86" s="2" t="str">
        <f>IFERROR(__xludf.DUMMYFUNCTION("""COMPUTED_VALUE"""),"20,000G-40,000G")</f>
        <v>20,000G-40,000G</v>
      </c>
      <c r="F86" s="73" t="str">
        <f>IFERROR(__xludf.DUMMYFUNCTION("""COMPUTED_VALUE"""),"11-15")</f>
        <v>11-15</v>
      </c>
      <c r="G86" s="2" t="str">
        <f>IFERROR(__xludf.DUMMYFUNCTION("""COMPUTED_VALUE"""),"Egg")</f>
        <v>Egg</v>
      </c>
      <c r="H86" s="73" t="str">
        <f>IFERROR(__xludf.DUMMYFUNCTION("""COMPUTED_VALUE"""),"16-20")</f>
        <v>16-20</v>
      </c>
      <c r="I86" s="2" t="str">
        <f>IFERROR(__xludf.DUMMYFUNCTION("""COMPUTED_VALUE"""),"Soul")</f>
        <v>Soul</v>
      </c>
      <c r="J86" s="73" t="str">
        <f>IFERROR(__xludf.DUMMYFUNCTION("""COMPUTED_VALUE"""),"21-25")</f>
        <v>21-25</v>
      </c>
      <c r="K86" s="2" t="str">
        <f>IFERROR(__xludf.DUMMYFUNCTION("""COMPUTED_VALUE"""),"Bow Of The Sacred Druids")</f>
        <v>Bow Of The Sacred Druids</v>
      </c>
      <c r="L86" s="1"/>
      <c r="M86" s="1"/>
      <c r="N86" s="1"/>
      <c r="O86" s="1"/>
      <c r="P86" s="1"/>
      <c r="Q86" s="1"/>
      <c r="R86" s="1"/>
      <c r="S86" s="1"/>
      <c r="T86" s="1"/>
      <c r="U86" s="1"/>
      <c r="V86" s="1"/>
      <c r="W86" s="1"/>
      <c r="X86" s="1"/>
    </row>
    <row r="87" ht="15.75" customHeight="1">
      <c r="A87" s="2" t="str">
        <f>IFERROR(__xludf.DUMMYFUNCTION("""COMPUTED_VALUE"""),"Forest Guardian")</f>
        <v>Forest Guardian</v>
      </c>
      <c r="B87" s="73" t="str">
        <f>IFERROR(__xludf.DUMMYFUNCTION("""COMPUTED_VALUE"""),"1-5")</f>
        <v>1-5</v>
      </c>
      <c r="C87" s="2" t="str">
        <f>IFERROR(__xludf.DUMMYFUNCTION("""COMPUTED_VALUE"""),"Nothing")</f>
        <v>Nothing</v>
      </c>
      <c r="D87" s="73" t="str">
        <f>IFERROR(__xludf.DUMMYFUNCTION("""COMPUTED_VALUE"""),"6-10")</f>
        <v>6-10</v>
      </c>
      <c r="E87" s="2" t="str">
        <f>IFERROR(__xludf.DUMMYFUNCTION("""COMPUTED_VALUE"""),"Soul")</f>
        <v>Soul</v>
      </c>
      <c r="F87" s="73" t="str">
        <f>IFERROR(__xludf.DUMMYFUNCTION("""COMPUTED_VALUE"""),"11-15")</f>
        <v>11-15</v>
      </c>
      <c r="G87" s="2" t="str">
        <f>IFERROR(__xludf.DUMMYFUNCTION("""COMPUTED_VALUE"""),"Nothing")</f>
        <v>Nothing</v>
      </c>
      <c r="H87" s="73" t="str">
        <f>IFERROR(__xludf.DUMMYFUNCTION("""COMPUTED_VALUE"""),"16-20")</f>
        <v>16-20</v>
      </c>
      <c r="I87" s="2" t="str">
        <f>IFERROR(__xludf.DUMMYFUNCTION("""COMPUTED_VALUE"""),"500,000G-1,000,000G")</f>
        <v>500,000G-1,000,000G</v>
      </c>
      <c r="J87" s="73" t="str">
        <f>IFERROR(__xludf.DUMMYFUNCTION("""COMPUTED_VALUE"""),"21-25")</f>
        <v>21-25</v>
      </c>
      <c r="K87" s="2" t="str">
        <f>IFERROR(__xludf.DUMMYFUNCTION("""COMPUTED_VALUE"""),"Egg")</f>
        <v>Egg</v>
      </c>
      <c r="L87" s="1"/>
      <c r="M87" s="1"/>
      <c r="N87" s="1"/>
      <c r="O87" s="1"/>
      <c r="P87" s="1"/>
      <c r="Q87" s="1"/>
      <c r="R87" s="1"/>
      <c r="S87" s="1"/>
      <c r="T87" s="1"/>
      <c r="U87" s="1"/>
      <c r="V87" s="1"/>
      <c r="W87" s="1"/>
      <c r="X87" s="1"/>
    </row>
    <row r="88" ht="15.75" customHeight="1">
      <c r="A88" s="2" t="str">
        <f>IFERROR(__xludf.DUMMYFUNCTION("""COMPUTED_VALUE"""),"Frost Dragon")</f>
        <v>Frost Dragon</v>
      </c>
      <c r="B88" s="73" t="str">
        <f>IFERROR(__xludf.DUMMYFUNCTION("""COMPUTED_VALUE"""),"1-5")</f>
        <v>1-5</v>
      </c>
      <c r="C88" s="2" t="str">
        <f>IFERROR(__xludf.DUMMYFUNCTION("""COMPUTED_VALUE"""),"Soul")</f>
        <v>Soul</v>
      </c>
      <c r="D88" s="73" t="str">
        <f>IFERROR(__xludf.DUMMYFUNCTION("""COMPUTED_VALUE"""),"6-10")</f>
        <v>6-10</v>
      </c>
      <c r="E88" s="2" t="str">
        <f>IFERROR(__xludf.DUMMYFUNCTION("""COMPUTED_VALUE"""),"Nothing")</f>
        <v>Nothing</v>
      </c>
      <c r="F88" s="73" t="str">
        <f>IFERROR(__xludf.DUMMYFUNCTION("""COMPUTED_VALUE"""),"11-15")</f>
        <v>11-15</v>
      </c>
      <c r="G88" s="2" t="str">
        <f>IFERROR(__xludf.DUMMYFUNCTION("""COMPUTED_VALUE"""),"80,000G-100,000G")</f>
        <v>80,000G-100,000G</v>
      </c>
      <c r="H88" s="73" t="str">
        <f>IFERROR(__xludf.DUMMYFUNCTION("""COMPUTED_VALUE"""),"16-20")</f>
        <v>16-20</v>
      </c>
      <c r="I88" s="2" t="str">
        <f>IFERROR(__xludf.DUMMYFUNCTION("""COMPUTED_VALUE"""),"Giant Frost diamond")</f>
        <v>Giant Frost diamond</v>
      </c>
      <c r="J88" s="73" t="str">
        <f>IFERROR(__xludf.DUMMYFUNCTION("""COMPUTED_VALUE"""),"21-25")</f>
        <v>21-25</v>
      </c>
      <c r="K88" s="2" t="str">
        <f>IFERROR(__xludf.DUMMYFUNCTION("""COMPUTED_VALUE"""),"Egg")</f>
        <v>Egg</v>
      </c>
      <c r="L88" s="1"/>
      <c r="M88" s="1"/>
      <c r="N88" s="1"/>
      <c r="O88" s="1"/>
      <c r="P88" s="1"/>
      <c r="Q88" s="1"/>
      <c r="R88" s="1"/>
      <c r="S88" s="1"/>
      <c r="T88" s="1"/>
      <c r="U88" s="1"/>
      <c r="V88" s="1"/>
      <c r="W88" s="1"/>
      <c r="X88" s="1"/>
    </row>
    <row r="89" ht="15.75" customHeight="1">
      <c r="A89" s="2" t="str">
        <f>IFERROR(__xludf.DUMMYFUNCTION("""COMPUTED_VALUE"""),"Frost Knight")</f>
        <v>Frost Knight</v>
      </c>
      <c r="B89" s="73" t="str">
        <f>IFERROR(__xludf.DUMMYFUNCTION("""COMPUTED_VALUE"""),"1-5")</f>
        <v>1-5</v>
      </c>
      <c r="C89" s="2" t="str">
        <f>IFERROR(__xludf.DUMMYFUNCTION("""COMPUTED_VALUE"""),"Frozen Falchion")</f>
        <v>Frozen Falchion</v>
      </c>
      <c r="D89" s="73" t="str">
        <f>IFERROR(__xludf.DUMMYFUNCTION("""COMPUTED_VALUE"""),"6-10")</f>
        <v>6-10</v>
      </c>
      <c r="E89" s="2" t="str">
        <f>IFERROR(__xludf.DUMMYFUNCTION("""COMPUTED_VALUE"""),"Soul")</f>
        <v>Soul</v>
      </c>
      <c r="F89" s="73" t="str">
        <f>IFERROR(__xludf.DUMMYFUNCTION("""COMPUTED_VALUE"""),"11-15")</f>
        <v>11-15</v>
      </c>
      <c r="G89" s="2" t="str">
        <f>IFERROR(__xludf.DUMMYFUNCTION("""COMPUTED_VALUE"""),"Frost Spear")</f>
        <v>Frost Spear</v>
      </c>
      <c r="H89" s="73" t="str">
        <f>IFERROR(__xludf.DUMMYFUNCTION("""COMPUTED_VALUE"""),"16-20")</f>
        <v>16-20</v>
      </c>
      <c r="I89" s="2" t="str">
        <f>IFERROR(__xludf.DUMMYFUNCTION("""COMPUTED_VALUE"""),"Frost Cloak")</f>
        <v>Frost Cloak</v>
      </c>
      <c r="J89" s="73" t="str">
        <f>IFERROR(__xludf.DUMMYFUNCTION("""COMPUTED_VALUE"""),"21-25")</f>
        <v>21-25</v>
      </c>
      <c r="K89" s="2" t="str">
        <f>IFERROR(__xludf.DUMMYFUNCTION("""COMPUTED_VALUE"""),"Egg")</f>
        <v>Egg</v>
      </c>
      <c r="L89" s="1"/>
      <c r="M89" s="1"/>
      <c r="N89" s="1"/>
      <c r="O89" s="1"/>
      <c r="P89" s="1"/>
      <c r="Q89" s="1"/>
      <c r="R89" s="1"/>
      <c r="S89" s="1"/>
      <c r="T89" s="1"/>
      <c r="U89" s="1"/>
      <c r="V89" s="1"/>
      <c r="W89" s="1"/>
      <c r="X89" s="1"/>
    </row>
    <row r="90" ht="15.75" customHeight="1">
      <c r="A90" s="2" t="str">
        <f>IFERROR(__xludf.DUMMYFUNCTION("""COMPUTED_VALUE"""),"Giant")</f>
        <v>Giant</v>
      </c>
      <c r="B90" s="73" t="str">
        <f>IFERROR(__xludf.DUMMYFUNCTION("""COMPUTED_VALUE"""),"1-5")</f>
        <v>1-5</v>
      </c>
      <c r="C90" s="2" t="str">
        <f>IFERROR(__xludf.DUMMYFUNCTION("""COMPUTED_VALUE"""),"Steel Sword")</f>
        <v>Steel Sword</v>
      </c>
      <c r="D90" s="73" t="str">
        <f>IFERROR(__xludf.DUMMYFUNCTION("""COMPUTED_VALUE"""),"6-10")</f>
        <v>6-10</v>
      </c>
      <c r="E90" s="2" t="str">
        <f>IFERROR(__xludf.DUMMYFUNCTION("""COMPUTED_VALUE"""),"20,000G-40,000G")</f>
        <v>20,000G-40,000G</v>
      </c>
      <c r="F90" s="73" t="str">
        <f>IFERROR(__xludf.DUMMYFUNCTION("""COMPUTED_VALUE"""),"11-15")</f>
        <v>11-15</v>
      </c>
      <c r="G90" s="2" t="str">
        <f>IFERROR(__xludf.DUMMYFUNCTION("""COMPUTED_VALUE"""),"Nothing")</f>
        <v>Nothing</v>
      </c>
      <c r="H90" s="73" t="str">
        <f>IFERROR(__xludf.DUMMYFUNCTION("""COMPUTED_VALUE"""),"16-20")</f>
        <v>16-20</v>
      </c>
      <c r="I90" s="2" t="str">
        <f>IFERROR(__xludf.DUMMYFUNCTION("""COMPUTED_VALUE"""),"Soul")</f>
        <v>Soul</v>
      </c>
      <c r="J90" s="73" t="str">
        <f>IFERROR(__xludf.DUMMYFUNCTION("""COMPUTED_VALUE"""),"21-25")</f>
        <v>21-25</v>
      </c>
      <c r="K90" s="2" t="str">
        <f>IFERROR(__xludf.DUMMYFUNCTION("""COMPUTED_VALUE"""),"Egg")</f>
        <v>Egg</v>
      </c>
      <c r="L90" s="1"/>
      <c r="M90" s="1"/>
      <c r="N90" s="1"/>
      <c r="O90" s="1"/>
      <c r="P90" s="1"/>
      <c r="Q90" s="1"/>
      <c r="R90" s="1"/>
      <c r="S90" s="1"/>
      <c r="T90" s="1"/>
      <c r="U90" s="1"/>
      <c r="V90" s="1"/>
      <c r="W90" s="1"/>
      <c r="X90" s="1"/>
    </row>
    <row r="91" ht="15.75" customHeight="1">
      <c r="A91" s="2" t="str">
        <f>IFERROR(__xludf.DUMMYFUNCTION("""COMPUTED_VALUE"""),"Giant Alligator (WD)")</f>
        <v>Giant Alligator (WD)</v>
      </c>
      <c r="B91" s="73" t="str">
        <f>IFERROR(__xludf.DUMMYFUNCTION("""COMPUTED_VALUE"""),"1-5")</f>
        <v>1-5</v>
      </c>
      <c r="C91" s="2" t="str">
        <f>IFERROR(__xludf.DUMMYFUNCTION("""COMPUTED_VALUE"""),"Potion of Water Breathing")</f>
        <v>Potion of Water Breathing</v>
      </c>
      <c r="D91" s="73" t="str">
        <f>IFERROR(__xludf.DUMMYFUNCTION("""COMPUTED_VALUE"""),"6-10")</f>
        <v>6-10</v>
      </c>
      <c r="E91" s="2" t="str">
        <f>IFERROR(__xludf.DUMMYFUNCTION("""COMPUTED_VALUE"""),"Enchanted Teeth")</f>
        <v>Enchanted Teeth</v>
      </c>
      <c r="F91" s="73" t="str">
        <f>IFERROR(__xludf.DUMMYFUNCTION("""COMPUTED_VALUE"""),"11-15")</f>
        <v>11-15</v>
      </c>
      <c r="G91" s="2" t="str">
        <f>IFERROR(__xludf.DUMMYFUNCTION("""COMPUTED_VALUE"""),"Nothing")</f>
        <v>Nothing</v>
      </c>
      <c r="H91" s="73" t="str">
        <f>IFERROR(__xludf.DUMMYFUNCTION("""COMPUTED_VALUE"""),"16-20")</f>
        <v>16-20</v>
      </c>
      <c r="I91" s="2" t="str">
        <f>IFERROR(__xludf.DUMMYFUNCTION("""COMPUTED_VALUE"""),"Nothing")</f>
        <v>Nothing</v>
      </c>
      <c r="J91" s="73" t="str">
        <f>IFERROR(__xludf.DUMMYFUNCTION("""COMPUTED_VALUE"""),"21-25")</f>
        <v>21-25</v>
      </c>
      <c r="K91" s="2" t="str">
        <f>IFERROR(__xludf.DUMMYFUNCTION("""COMPUTED_VALUE"""),"Egg")</f>
        <v>Egg</v>
      </c>
      <c r="L91" s="1"/>
      <c r="M91" s="1"/>
      <c r="N91" s="1"/>
      <c r="O91" s="1"/>
      <c r="P91" s="1"/>
      <c r="Q91" s="1"/>
      <c r="R91" s="1"/>
      <c r="S91" s="1"/>
      <c r="T91" s="1"/>
      <c r="U91" s="1"/>
      <c r="V91" s="1"/>
      <c r="W91" s="1"/>
      <c r="X91" s="1"/>
    </row>
    <row r="92" ht="15.75" customHeight="1">
      <c r="A92" s="2" t="str">
        <f>IFERROR(__xludf.DUMMYFUNCTION("""COMPUTED_VALUE"""),"Giant Alligator (WD) (Enhanced)")</f>
        <v>Giant Alligator (WD) (Enhanced)</v>
      </c>
      <c r="B92" s="73" t="str">
        <f>IFERROR(__xludf.DUMMYFUNCTION("""COMPUTED_VALUE"""),"1-5")</f>
        <v>1-5</v>
      </c>
      <c r="C92" s="2" t="str">
        <f>IFERROR(__xludf.DUMMYFUNCTION("""COMPUTED_VALUE"""),"Potion of Water Breathing")</f>
        <v>Potion of Water Breathing</v>
      </c>
      <c r="D92" s="73" t="str">
        <f>IFERROR(__xludf.DUMMYFUNCTION("""COMPUTED_VALUE"""),"6-10")</f>
        <v>6-10</v>
      </c>
      <c r="E92" s="2" t="str">
        <f>IFERROR(__xludf.DUMMYFUNCTION("""COMPUTED_VALUE"""),"Enchanted Teeth")</f>
        <v>Enchanted Teeth</v>
      </c>
      <c r="F92" s="73" t="str">
        <f>IFERROR(__xludf.DUMMYFUNCTION("""COMPUTED_VALUE"""),"11-15")</f>
        <v>11-15</v>
      </c>
      <c r="G92" s="2" t="str">
        <f>IFERROR(__xludf.DUMMYFUNCTION("""COMPUTED_VALUE"""),"Nothing")</f>
        <v>Nothing</v>
      </c>
      <c r="H92" s="73" t="str">
        <f>IFERROR(__xludf.DUMMYFUNCTION("""COMPUTED_VALUE"""),"16-20")</f>
        <v>16-20</v>
      </c>
      <c r="I92" s="2" t="str">
        <f>IFERROR(__xludf.DUMMYFUNCTION("""COMPUTED_VALUE"""),"Nothing")</f>
        <v>Nothing</v>
      </c>
      <c r="J92" s="73" t="str">
        <f>IFERROR(__xludf.DUMMYFUNCTION("""COMPUTED_VALUE"""),"21-25")</f>
        <v>21-25</v>
      </c>
      <c r="K92" s="2" t="str">
        <f>IFERROR(__xludf.DUMMYFUNCTION("""COMPUTED_VALUE"""),"Egg")</f>
        <v>Egg</v>
      </c>
      <c r="L92" s="1"/>
      <c r="M92" s="1"/>
      <c r="N92" s="1"/>
      <c r="O92" s="1"/>
      <c r="P92" s="1"/>
      <c r="Q92" s="1"/>
      <c r="R92" s="1"/>
      <c r="S92" s="1"/>
      <c r="T92" s="1"/>
      <c r="U92" s="1"/>
      <c r="V92" s="1"/>
      <c r="W92" s="1"/>
      <c r="X92" s="1"/>
    </row>
    <row r="93" ht="15.75" customHeight="1">
      <c r="A93" s="2" t="str">
        <f>IFERROR(__xludf.DUMMYFUNCTION("""COMPUTED_VALUE"""),"Giant Ancient Frost Troll")</f>
        <v>Giant Ancient Frost Troll</v>
      </c>
      <c r="B93" s="73" t="str">
        <f>IFERROR(__xludf.DUMMYFUNCTION("""COMPUTED_VALUE"""),"1-5")</f>
        <v>1-5</v>
      </c>
      <c r="C93" s="2" t="str">
        <f>IFERROR(__xludf.DUMMYFUNCTION("""COMPUTED_VALUE"""),"Soul")</f>
        <v>Soul</v>
      </c>
      <c r="D93" s="73" t="str">
        <f>IFERROR(__xludf.DUMMYFUNCTION("""COMPUTED_VALUE"""),"6-10")</f>
        <v>6-10</v>
      </c>
      <c r="E93" s="2" t="str">
        <f>IFERROR(__xludf.DUMMYFUNCTION("""COMPUTED_VALUE"""),"Nothing")</f>
        <v>Nothing</v>
      </c>
      <c r="F93" s="73" t="str">
        <f>IFERROR(__xludf.DUMMYFUNCTION("""COMPUTED_VALUE"""),"11-15")</f>
        <v>11-15</v>
      </c>
      <c r="G93" s="2" t="str">
        <f>IFERROR(__xludf.DUMMYFUNCTION("""COMPUTED_VALUE"""),"1,000,000G-20,000,000G")</f>
        <v>1,000,000G-20,000,000G</v>
      </c>
      <c r="H93" s="73" t="str">
        <f>IFERROR(__xludf.DUMMYFUNCTION("""COMPUTED_VALUE"""),"16-20")</f>
        <v>16-20</v>
      </c>
      <c r="I93" s="2" t="str">
        <f>IFERROR(__xludf.DUMMYFUNCTION("""COMPUTED_VALUE"""),"Nothing")</f>
        <v>Nothing</v>
      </c>
      <c r="J93" s="73" t="str">
        <f>IFERROR(__xludf.DUMMYFUNCTION("""COMPUTED_VALUE"""),"21-25")</f>
        <v>21-25</v>
      </c>
      <c r="K93" s="2" t="str">
        <f>IFERROR(__xludf.DUMMYFUNCTION("""COMPUTED_VALUE"""),"Egg")</f>
        <v>Egg</v>
      </c>
      <c r="L93" s="1"/>
      <c r="M93" s="1"/>
      <c r="N93" s="1"/>
      <c r="O93" s="1"/>
      <c r="P93" s="1"/>
      <c r="Q93" s="1"/>
      <c r="R93" s="1"/>
      <c r="S93" s="1"/>
      <c r="T93" s="1"/>
      <c r="U93" s="1"/>
      <c r="V93" s="1"/>
      <c r="W93" s="1"/>
      <c r="X93" s="1"/>
    </row>
    <row r="94" ht="15.75" customHeight="1">
      <c r="A94" s="2" t="str">
        <f>IFERROR(__xludf.DUMMYFUNCTION("""COMPUTED_VALUE"""),"Giant Chaotic Shadow Spider")</f>
        <v>Giant Chaotic Shadow Spider</v>
      </c>
      <c r="B94" s="73" t="str">
        <f>IFERROR(__xludf.DUMMYFUNCTION("""COMPUTED_VALUE"""),"1-5")</f>
        <v>1-5</v>
      </c>
      <c r="C94" s="2" t="str">
        <f>IFERROR(__xludf.DUMMYFUNCTION("""COMPUTED_VALUE"""),"Max Health Potion")</f>
        <v>Max Health Potion</v>
      </c>
      <c r="D94" s="73" t="str">
        <f>IFERROR(__xludf.DUMMYFUNCTION("""COMPUTED_VALUE"""),"6-10")</f>
        <v>6-10</v>
      </c>
      <c r="E94" s="2" t="str">
        <f>IFERROR(__xludf.DUMMYFUNCTION("""COMPUTED_VALUE"""),"Nothing")</f>
        <v>Nothing</v>
      </c>
      <c r="F94" s="73" t="str">
        <f>IFERROR(__xludf.DUMMYFUNCTION("""COMPUTED_VALUE"""),"11-15")</f>
        <v>11-15</v>
      </c>
      <c r="G94" s="2" t="str">
        <f>IFERROR(__xludf.DUMMYFUNCTION("""COMPUTED_VALUE"""),"500,000G-1,000,000G")</f>
        <v>500,000G-1,000,000G</v>
      </c>
      <c r="H94" s="73" t="str">
        <f>IFERROR(__xludf.DUMMYFUNCTION("""COMPUTED_VALUE"""),"16-20")</f>
        <v>16-20</v>
      </c>
      <c r="I94" s="2" t="str">
        <f>IFERROR(__xludf.DUMMYFUNCTION("""COMPUTED_VALUE"""),"Soul")</f>
        <v>Soul</v>
      </c>
      <c r="J94" s="73" t="str">
        <f>IFERROR(__xludf.DUMMYFUNCTION("""COMPUTED_VALUE"""),"21-25")</f>
        <v>21-25</v>
      </c>
      <c r="K94" s="2" t="str">
        <f>IFERROR(__xludf.DUMMYFUNCTION("""COMPUTED_VALUE"""),"Egg")</f>
        <v>Egg</v>
      </c>
      <c r="L94" s="1"/>
      <c r="M94" s="1"/>
      <c r="N94" s="1"/>
      <c r="O94" s="1"/>
      <c r="P94" s="1"/>
      <c r="Q94" s="1"/>
      <c r="R94" s="1"/>
      <c r="S94" s="1"/>
      <c r="T94" s="1"/>
      <c r="U94" s="1"/>
      <c r="V94" s="1"/>
      <c r="W94" s="1"/>
      <c r="X94" s="1"/>
    </row>
    <row r="95" ht="15.75" customHeight="1">
      <c r="A95" s="2" t="str">
        <f>IFERROR(__xludf.DUMMYFUNCTION("""COMPUTED_VALUE"""),"Giant Eagle")</f>
        <v>Giant Eagle</v>
      </c>
      <c r="B95" s="73" t="str">
        <f>IFERROR(__xludf.DUMMYFUNCTION("""COMPUTED_VALUE"""),"1-5")</f>
        <v>1-5</v>
      </c>
      <c r="C95" s="2" t="str">
        <f>IFERROR(__xludf.DUMMYFUNCTION("""COMPUTED_VALUE"""),"Eagle Feathers")</f>
        <v>Eagle Feathers</v>
      </c>
      <c r="D95" s="73" t="str">
        <f>IFERROR(__xludf.DUMMYFUNCTION("""COMPUTED_VALUE"""),"6-10")</f>
        <v>6-10</v>
      </c>
      <c r="E95" s="2" t="str">
        <f>IFERROR(__xludf.DUMMYFUNCTION("""COMPUTED_VALUE"""),"Eagle Feathers")</f>
        <v>Eagle Feathers</v>
      </c>
      <c r="F95" s="73" t="str">
        <f>IFERROR(__xludf.DUMMYFUNCTION("""COMPUTED_VALUE"""),"11-15")</f>
        <v>11-15</v>
      </c>
      <c r="G95" s="2" t="str">
        <f>IFERROR(__xludf.DUMMYFUNCTION("""COMPUTED_VALUE"""),"Soul")</f>
        <v>Soul</v>
      </c>
      <c r="H95" s="73" t="str">
        <f>IFERROR(__xludf.DUMMYFUNCTION("""COMPUTED_VALUE"""),"16-20")</f>
        <v>16-20</v>
      </c>
      <c r="I95" s="2" t="str">
        <f>IFERROR(__xludf.DUMMYFUNCTION("""COMPUTED_VALUE"""),"Eagle Feathers")</f>
        <v>Eagle Feathers</v>
      </c>
      <c r="J95" s="73" t="str">
        <f>IFERROR(__xludf.DUMMYFUNCTION("""COMPUTED_VALUE"""),"21-25")</f>
        <v>21-25</v>
      </c>
      <c r="K95" s="2" t="str">
        <f>IFERROR(__xludf.DUMMYFUNCTION("""COMPUTED_VALUE"""),"Egg")</f>
        <v>Egg</v>
      </c>
      <c r="L95" s="1"/>
      <c r="M95" s="1"/>
      <c r="N95" s="1"/>
      <c r="O95" s="1"/>
      <c r="P95" s="1"/>
      <c r="Q95" s="1"/>
      <c r="R95" s="1"/>
      <c r="S95" s="1"/>
      <c r="T95" s="1"/>
      <c r="U95" s="1"/>
      <c r="V95" s="1"/>
      <c r="W95" s="1"/>
      <c r="X95" s="1"/>
    </row>
    <row r="96" ht="15.75" customHeight="1">
      <c r="A96" s="2" t="str">
        <f>IFERROR(__xludf.DUMMYFUNCTION("""COMPUTED_VALUE"""),"Giant Mutated Eel Shark")</f>
        <v>Giant Mutated Eel Shark</v>
      </c>
      <c r="B96" s="73" t="str">
        <f>IFERROR(__xludf.DUMMYFUNCTION("""COMPUTED_VALUE"""),"1-5")</f>
        <v>1-5</v>
      </c>
      <c r="C96" s="2" t="str">
        <f>IFERROR(__xludf.DUMMYFUNCTION("""COMPUTED_VALUE"""),"Egg")</f>
        <v>Egg</v>
      </c>
      <c r="D96" s="73" t="str">
        <f>IFERROR(__xludf.DUMMYFUNCTION("""COMPUTED_VALUE"""),"6-10")</f>
        <v>6-10</v>
      </c>
      <c r="E96" s="2" t="str">
        <f>IFERROR(__xludf.DUMMYFUNCTION("""COMPUTED_VALUE"""),"Shark Teeth")</f>
        <v>Shark Teeth</v>
      </c>
      <c r="F96" s="73" t="str">
        <f>IFERROR(__xludf.DUMMYFUNCTION("""COMPUTED_VALUE"""),"11-15")</f>
        <v>11-15</v>
      </c>
      <c r="G96" s="2" t="str">
        <f>IFERROR(__xludf.DUMMYFUNCTION("""COMPUTED_VALUE"""),"Soul")</f>
        <v>Soul</v>
      </c>
      <c r="H96" s="73" t="str">
        <f>IFERROR(__xludf.DUMMYFUNCTION("""COMPUTED_VALUE"""),"16-20")</f>
        <v>16-20</v>
      </c>
      <c r="I96" s="2" t="str">
        <f>IFERROR(__xludf.DUMMYFUNCTION("""COMPUTED_VALUE"""),"40,000G-60,000G")</f>
        <v>40,000G-60,000G</v>
      </c>
      <c r="J96" s="73" t="str">
        <f>IFERROR(__xludf.DUMMYFUNCTION("""COMPUTED_VALUE"""),"21-25")</f>
        <v>21-25</v>
      </c>
      <c r="K96" s="2" t="str">
        <f>IFERROR(__xludf.DUMMYFUNCTION("""COMPUTED_VALUE"""),"Poison water")</f>
        <v>Poison water</v>
      </c>
      <c r="L96" s="1"/>
      <c r="M96" s="1"/>
      <c r="N96" s="1"/>
      <c r="O96" s="1"/>
      <c r="P96" s="1"/>
      <c r="Q96" s="1"/>
      <c r="R96" s="1"/>
      <c r="S96" s="1"/>
      <c r="T96" s="1"/>
      <c r="U96" s="1"/>
      <c r="V96" s="1"/>
      <c r="W96" s="1"/>
      <c r="X96" s="1"/>
    </row>
    <row r="97" ht="15.75" customHeight="1">
      <c r="A97" s="2" t="str">
        <f>IFERROR(__xludf.DUMMYFUNCTION("""COMPUTED_VALUE"""),"Giant Scorpion")</f>
        <v>Giant Scorpion</v>
      </c>
      <c r="B97" s="73" t="str">
        <f>IFERROR(__xludf.DUMMYFUNCTION("""COMPUTED_VALUE"""),"1-5")</f>
        <v>1-5</v>
      </c>
      <c r="C97" s="2" t="str">
        <f>IFERROR(__xludf.DUMMYFUNCTION("""COMPUTED_VALUE"""),"1,000G-20,000G")</f>
        <v>1,000G-20,000G</v>
      </c>
      <c r="D97" s="73" t="str">
        <f>IFERROR(__xludf.DUMMYFUNCTION("""COMPUTED_VALUE"""),"6-10")</f>
        <v>6-10</v>
      </c>
      <c r="E97" s="2" t="str">
        <f>IFERROR(__xludf.DUMMYFUNCTION("""COMPUTED_VALUE"""),"Poison Vine Sword")</f>
        <v>Poison Vine Sword</v>
      </c>
      <c r="F97" s="73" t="str">
        <f>IFERROR(__xludf.DUMMYFUNCTION("""COMPUTED_VALUE"""),"11-15")</f>
        <v>11-15</v>
      </c>
      <c r="G97" s="2" t="str">
        <f>IFERROR(__xludf.DUMMYFUNCTION("""COMPUTED_VALUE"""),"Poison Gem")</f>
        <v>Poison Gem</v>
      </c>
      <c r="H97" s="73" t="str">
        <f>IFERROR(__xludf.DUMMYFUNCTION("""COMPUTED_VALUE"""),"16-20")</f>
        <v>16-20</v>
      </c>
      <c r="I97" s="2" t="str">
        <f>IFERROR(__xludf.DUMMYFUNCTION("""COMPUTED_VALUE"""),"Soul")</f>
        <v>Soul</v>
      </c>
      <c r="J97" s="73" t="str">
        <f>IFERROR(__xludf.DUMMYFUNCTION("""COMPUTED_VALUE"""),"21-25")</f>
        <v>21-25</v>
      </c>
      <c r="K97" s="2" t="str">
        <f>IFERROR(__xludf.DUMMYFUNCTION("""COMPUTED_VALUE"""),"Egg")</f>
        <v>Egg</v>
      </c>
      <c r="L97" s="1"/>
      <c r="M97" s="1"/>
      <c r="N97" s="1"/>
      <c r="O97" s="1"/>
      <c r="P97" s="1"/>
      <c r="Q97" s="1"/>
      <c r="R97" s="1"/>
      <c r="S97" s="1"/>
      <c r="T97" s="1"/>
      <c r="U97" s="1"/>
      <c r="V97" s="1"/>
      <c r="W97" s="1"/>
      <c r="X97" s="1"/>
    </row>
    <row r="98" ht="15.75" customHeight="1">
      <c r="A98" s="2" t="str">
        <f>IFERROR(__xludf.DUMMYFUNCTION("""COMPUTED_VALUE"""),"Giant Snow Spider")</f>
        <v>Giant Snow Spider</v>
      </c>
      <c r="B98" s="73" t="str">
        <f>IFERROR(__xludf.DUMMYFUNCTION("""COMPUTED_VALUE"""),"1-5")</f>
        <v>1-5</v>
      </c>
      <c r="C98" s="2" t="str">
        <f>IFERROR(__xludf.DUMMYFUNCTION("""COMPUTED_VALUE"""),"100,000,000G-500,000,000G")</f>
        <v>100,000,000G-500,000,000G</v>
      </c>
      <c r="D98" s="73" t="str">
        <f>IFERROR(__xludf.DUMMYFUNCTION("""COMPUTED_VALUE"""),"6-10")</f>
        <v>6-10</v>
      </c>
      <c r="E98" s="2" t="str">
        <f>IFERROR(__xludf.DUMMYFUNCTION("""COMPUTED_VALUE"""),"Giant Spider Exoskeleton")</f>
        <v>Giant Spider Exoskeleton</v>
      </c>
      <c r="F98" s="73" t="str">
        <f>IFERROR(__xludf.DUMMYFUNCTION("""COMPUTED_VALUE"""),"11-15")</f>
        <v>11-15</v>
      </c>
      <c r="G98" s="2" t="str">
        <f>IFERROR(__xludf.DUMMYFUNCTION("""COMPUTED_VALUE"""),"Soul")</f>
        <v>Soul</v>
      </c>
      <c r="H98" s="73" t="str">
        <f>IFERROR(__xludf.DUMMYFUNCTION("""COMPUTED_VALUE"""),"16-20")</f>
        <v>16-20</v>
      </c>
      <c r="I98" s="2" t="str">
        <f>IFERROR(__xludf.DUMMYFUNCTION("""COMPUTED_VALUE"""),"Egg")</f>
        <v>Egg</v>
      </c>
      <c r="J98" s="73" t="str">
        <f>IFERROR(__xludf.DUMMYFUNCTION("""COMPUTED_VALUE"""),"21-25")</f>
        <v>21-25</v>
      </c>
      <c r="K98" s="2" t="str">
        <f>IFERROR(__xludf.DUMMYFUNCTION("""COMPUTED_VALUE"""),"Giant Spider Leg")</f>
        <v>Giant Spider Leg</v>
      </c>
      <c r="L98" s="1"/>
      <c r="M98" s="1"/>
      <c r="N98" s="1"/>
      <c r="O98" s="1"/>
      <c r="P98" s="1"/>
      <c r="Q98" s="1"/>
      <c r="R98" s="1"/>
      <c r="S98" s="1"/>
      <c r="T98" s="1"/>
      <c r="U98" s="1"/>
      <c r="V98" s="1"/>
      <c r="W98" s="1"/>
      <c r="X98" s="1"/>
    </row>
    <row r="99" ht="15.75" customHeight="1">
      <c r="A99" s="2" t="str">
        <f>IFERROR(__xludf.DUMMYFUNCTION("""COMPUTED_VALUE"""),"Giant Spider")</f>
        <v>Giant Spider</v>
      </c>
      <c r="B99" s="73" t="str">
        <f>IFERROR(__xludf.DUMMYFUNCTION("""COMPUTED_VALUE"""),"1-5")</f>
        <v>1-5</v>
      </c>
      <c r="C99" s="2" t="str">
        <f>IFERROR(__xludf.DUMMYFUNCTION("""COMPUTED_VALUE"""),"Giant Spider Leg")</f>
        <v>Giant Spider Leg</v>
      </c>
      <c r="D99" s="73" t="str">
        <f>IFERROR(__xludf.DUMMYFUNCTION("""COMPUTED_VALUE"""),"6-10")</f>
        <v>6-10</v>
      </c>
      <c r="E99" s="2" t="str">
        <f>IFERROR(__xludf.DUMMYFUNCTION("""COMPUTED_VALUE"""),"Giant Spider Exoskeleton")</f>
        <v>Giant Spider Exoskeleton</v>
      </c>
      <c r="F99" s="73" t="str">
        <f>IFERROR(__xludf.DUMMYFUNCTION("""COMPUTED_VALUE"""),"11-15")</f>
        <v>11-15</v>
      </c>
      <c r="G99" s="2" t="str">
        <f>IFERROR(__xludf.DUMMYFUNCTION("""COMPUTED_VALUE"""),"Egg")</f>
        <v>Egg</v>
      </c>
      <c r="H99" s="73" t="str">
        <f>IFERROR(__xludf.DUMMYFUNCTION("""COMPUTED_VALUE"""),"16-20")</f>
        <v>16-20</v>
      </c>
      <c r="I99" s="2" t="str">
        <f>IFERROR(__xludf.DUMMYFUNCTION("""COMPUTED_VALUE"""),"Poison Gem")</f>
        <v>Poison Gem</v>
      </c>
      <c r="J99" s="73" t="str">
        <f>IFERROR(__xludf.DUMMYFUNCTION("""COMPUTED_VALUE"""),"21-25")</f>
        <v>21-25</v>
      </c>
      <c r="K99" s="2" t="str">
        <f>IFERROR(__xludf.DUMMYFUNCTION("""COMPUTED_VALUE"""),"Soul")</f>
        <v>Soul</v>
      </c>
      <c r="L99" s="1"/>
      <c r="M99" s="1"/>
      <c r="N99" s="1"/>
      <c r="O99" s="1"/>
      <c r="P99" s="1"/>
      <c r="Q99" s="1"/>
      <c r="R99" s="1"/>
      <c r="S99" s="1"/>
      <c r="T99" s="1"/>
      <c r="U99" s="1"/>
      <c r="V99" s="1"/>
      <c r="W99" s="1"/>
      <c r="X99" s="1"/>
    </row>
    <row r="100" ht="15.75" customHeight="1">
      <c r="A100" s="2" t="str">
        <f>IFERROR(__xludf.DUMMYFUNCTION("""COMPUTED_VALUE"""),"Giant Volcanic Spider")</f>
        <v>Giant Volcanic Spider</v>
      </c>
      <c r="B100" s="73" t="str">
        <f>IFERROR(__xludf.DUMMYFUNCTION("""COMPUTED_VALUE"""),"1-5")</f>
        <v>1-5</v>
      </c>
      <c r="C100" s="2" t="str">
        <f>IFERROR(__xludf.DUMMYFUNCTION("""COMPUTED_VALUE"""),"Egg")</f>
        <v>Egg</v>
      </c>
      <c r="D100" s="73" t="str">
        <f>IFERROR(__xludf.DUMMYFUNCTION("""COMPUTED_VALUE"""),"6-10")</f>
        <v>6-10</v>
      </c>
      <c r="E100" s="2" t="str">
        <f>IFERROR(__xludf.DUMMYFUNCTION("""COMPUTED_VALUE"""),"Giant Fire Diamond")</f>
        <v>Giant Fire Diamond</v>
      </c>
      <c r="F100" s="73" t="str">
        <f>IFERROR(__xludf.DUMMYFUNCTION("""COMPUTED_VALUE"""),"11-15")</f>
        <v>11-15</v>
      </c>
      <c r="G100" s="2" t="str">
        <f>IFERROR(__xludf.DUMMYFUNCTION("""COMPUTED_VALUE"""),"1,000,000G-20,000,000G")</f>
        <v>1,000,000G-20,000,000G</v>
      </c>
      <c r="H100" s="73" t="str">
        <f>IFERROR(__xludf.DUMMYFUNCTION("""COMPUTED_VALUE"""),"16-20")</f>
        <v>16-20</v>
      </c>
      <c r="I100" s="2" t="str">
        <f>IFERROR(__xludf.DUMMYFUNCTION("""COMPUTED_VALUE"""),"Soul")</f>
        <v>Soul</v>
      </c>
      <c r="J100" s="73" t="str">
        <f>IFERROR(__xludf.DUMMYFUNCTION("""COMPUTED_VALUE"""),"21-25")</f>
        <v>21-25</v>
      </c>
      <c r="K100" s="2" t="str">
        <f>IFERROR(__xludf.DUMMYFUNCTION("""COMPUTED_VALUE"""),"Nothing")</f>
        <v>Nothing</v>
      </c>
      <c r="L100" s="1"/>
      <c r="M100" s="1"/>
      <c r="N100" s="1"/>
      <c r="O100" s="1"/>
      <c r="P100" s="1"/>
      <c r="Q100" s="1"/>
      <c r="R100" s="1"/>
      <c r="S100" s="1"/>
      <c r="T100" s="1"/>
      <c r="U100" s="1"/>
      <c r="V100" s="1"/>
      <c r="W100" s="1"/>
      <c r="X100" s="1"/>
    </row>
    <row r="101" ht="15.75" customHeight="1">
      <c r="A101" s="2" t="str">
        <f>IFERROR(__xludf.DUMMYFUNCTION("""COMPUTED_VALUE"""),"Girl of The Crow")</f>
        <v>Girl of The Crow</v>
      </c>
      <c r="B101" s="73" t="str">
        <f>IFERROR(__xludf.DUMMYFUNCTION("""COMPUTED_VALUE"""),"1-5")</f>
        <v>1-5</v>
      </c>
      <c r="C101" s="2" t="str">
        <f>IFERROR(__xludf.DUMMYFUNCTION("""COMPUTED_VALUE"""),"Soul")</f>
        <v>Soul</v>
      </c>
      <c r="D101" s="73" t="str">
        <f>IFERROR(__xludf.DUMMYFUNCTION("""COMPUTED_VALUE"""),"6-10")</f>
        <v>6-10</v>
      </c>
      <c r="E101" s="2" t="str">
        <f>IFERROR(__xludf.DUMMYFUNCTION("""COMPUTED_VALUE"""),"Crow Staff")</f>
        <v>Crow Staff</v>
      </c>
      <c r="F101" s="73" t="str">
        <f>IFERROR(__xludf.DUMMYFUNCTION("""COMPUTED_VALUE"""),"11-15")</f>
        <v>11-15</v>
      </c>
      <c r="G101" s="2" t="str">
        <f>IFERROR(__xludf.DUMMYFUNCTION("""COMPUTED_VALUE"""),"500,000G-1,000,000G")</f>
        <v>500,000G-1,000,000G</v>
      </c>
      <c r="H101" s="73" t="str">
        <f>IFERROR(__xludf.DUMMYFUNCTION("""COMPUTED_VALUE"""),"16-20")</f>
        <v>16-20</v>
      </c>
      <c r="I101" s="2" t="str">
        <f>IFERROR(__xludf.DUMMYFUNCTION("""COMPUTED_VALUE"""),"Nothing")</f>
        <v>Nothing</v>
      </c>
      <c r="J101" s="73" t="str">
        <f>IFERROR(__xludf.DUMMYFUNCTION("""COMPUTED_VALUE"""),"21-25")</f>
        <v>21-25</v>
      </c>
      <c r="K101" s="2" t="str">
        <f>IFERROR(__xludf.DUMMYFUNCTION("""COMPUTED_VALUE"""),"Nothing")</f>
        <v>Nothing</v>
      </c>
      <c r="L101" s="1"/>
      <c r="M101" s="1"/>
      <c r="N101" s="1"/>
      <c r="O101" s="1"/>
      <c r="P101" s="1"/>
      <c r="Q101" s="1"/>
      <c r="R101" s="1"/>
      <c r="S101" s="1"/>
      <c r="T101" s="1"/>
      <c r="U101" s="1"/>
      <c r="V101" s="1"/>
      <c r="W101" s="1"/>
      <c r="X101" s="1"/>
    </row>
    <row r="102" ht="15.75" customHeight="1">
      <c r="A102" s="2" t="str">
        <f>IFERROR(__xludf.DUMMYFUNCTION("""COMPUTED_VALUE"""),"Goblin")</f>
        <v>Goblin</v>
      </c>
      <c r="B102" s="73" t="str">
        <f>IFERROR(__xludf.DUMMYFUNCTION("""COMPUTED_VALUE"""),"1-5")</f>
        <v>1-5</v>
      </c>
      <c r="C102" s="2" t="str">
        <f>IFERROR(__xludf.DUMMYFUNCTION("""COMPUTED_VALUE"""),"Long Spear")</f>
        <v>Long Spear</v>
      </c>
      <c r="D102" s="73" t="str">
        <f>IFERROR(__xludf.DUMMYFUNCTION("""COMPUTED_VALUE"""),"6-10")</f>
        <v>6-10</v>
      </c>
      <c r="E102" s="2" t="str">
        <f>IFERROR(__xludf.DUMMYFUNCTION("""COMPUTED_VALUE"""),"1,000G-20,000G")</f>
        <v>1,000G-20,000G</v>
      </c>
      <c r="F102" s="73" t="str">
        <f>IFERROR(__xludf.DUMMYFUNCTION("""COMPUTED_VALUE"""),"11-15")</f>
        <v>11-15</v>
      </c>
      <c r="G102" s="2" t="str">
        <f>IFERROR(__xludf.DUMMYFUNCTION("""COMPUTED_VALUE"""),"Egg")</f>
        <v>Egg</v>
      </c>
      <c r="H102" s="73" t="str">
        <f>IFERROR(__xludf.DUMMYFUNCTION("""COMPUTED_VALUE"""),"16-20")</f>
        <v>16-20</v>
      </c>
      <c r="I102" s="2" t="str">
        <f>IFERROR(__xludf.DUMMYFUNCTION("""COMPUTED_VALUE"""),"Soul")</f>
        <v>Soul</v>
      </c>
      <c r="J102" s="73" t="str">
        <f>IFERROR(__xludf.DUMMYFUNCTION("""COMPUTED_VALUE"""),"21-25")</f>
        <v>21-25</v>
      </c>
      <c r="K102" s="2" t="str">
        <f>IFERROR(__xludf.DUMMYFUNCTION("""COMPUTED_VALUE"""),"Nothing")</f>
        <v>Nothing</v>
      </c>
      <c r="L102" s="1"/>
      <c r="M102" s="1"/>
      <c r="N102" s="1"/>
      <c r="O102" s="1"/>
      <c r="P102" s="1"/>
      <c r="Q102" s="1"/>
      <c r="R102" s="1"/>
      <c r="S102" s="1"/>
      <c r="T102" s="1"/>
      <c r="U102" s="1"/>
      <c r="V102" s="1"/>
      <c r="W102" s="1"/>
      <c r="X102" s="1"/>
    </row>
    <row r="103" ht="15.75" customHeight="1">
      <c r="A103" s="2" t="str">
        <f>IFERROR(__xludf.DUMMYFUNCTION("""COMPUTED_VALUE"""),"Griffin")</f>
        <v>Griffin</v>
      </c>
      <c r="B103" s="73" t="str">
        <f>IFERROR(__xludf.DUMMYFUNCTION("""COMPUTED_VALUE"""),"1-5")</f>
        <v>1-5</v>
      </c>
      <c r="C103" s="2" t="str">
        <f>IFERROR(__xludf.DUMMYFUNCTION("""COMPUTED_VALUE"""),"Egg")</f>
        <v>Egg</v>
      </c>
      <c r="D103" s="73" t="str">
        <f>IFERROR(__xludf.DUMMYFUNCTION("""COMPUTED_VALUE"""),"6-10")</f>
        <v>6-10</v>
      </c>
      <c r="E103" s="2" t="str">
        <f>IFERROR(__xludf.DUMMYFUNCTION("""COMPUTED_VALUE"""),"Feather")</f>
        <v>Feather</v>
      </c>
      <c r="F103" s="73" t="str">
        <f>IFERROR(__xludf.DUMMYFUNCTION("""COMPUTED_VALUE"""),"11-15")</f>
        <v>11-15</v>
      </c>
      <c r="G103" s="2" t="str">
        <f>IFERROR(__xludf.DUMMYFUNCTION("""COMPUTED_VALUE"""),"40,000G-60,000G")</f>
        <v>40,000G-60,000G</v>
      </c>
      <c r="H103" s="73" t="str">
        <f>IFERROR(__xludf.DUMMYFUNCTION("""COMPUTED_VALUE"""),"16-20")</f>
        <v>16-20</v>
      </c>
      <c r="I103" s="2" t="str">
        <f>IFERROR(__xludf.DUMMYFUNCTION("""COMPUTED_VALUE"""),"Soul")</f>
        <v>Soul</v>
      </c>
      <c r="J103" s="73" t="str">
        <f>IFERROR(__xludf.DUMMYFUNCTION("""COMPUTED_VALUE"""),"21-25")</f>
        <v>21-25</v>
      </c>
      <c r="K103" s="2" t="str">
        <f>IFERROR(__xludf.DUMMYFUNCTION("""COMPUTED_VALUE"""),"80,000G-100,000G")</f>
        <v>80,000G-100,000G</v>
      </c>
      <c r="L103" s="1"/>
      <c r="M103" s="1"/>
      <c r="N103" s="1"/>
      <c r="O103" s="1"/>
      <c r="P103" s="1"/>
      <c r="Q103" s="1"/>
      <c r="R103" s="1"/>
      <c r="S103" s="1"/>
      <c r="T103" s="1"/>
      <c r="U103" s="1"/>
      <c r="V103" s="1"/>
      <c r="W103" s="1"/>
      <c r="X103" s="1"/>
    </row>
    <row r="104" ht="15.75" customHeight="1">
      <c r="A104" s="2" t="str">
        <f>IFERROR(__xludf.DUMMYFUNCTION("""COMPUTED_VALUE"""),"Ground Tiger")</f>
        <v>Ground Tiger</v>
      </c>
      <c r="B104" s="73" t="str">
        <f>IFERROR(__xludf.DUMMYFUNCTION("""COMPUTED_VALUE"""),"1-5")</f>
        <v>1-5</v>
      </c>
      <c r="C104" s="2" t="str">
        <f>IFERROR(__xludf.DUMMYFUNCTION("""COMPUTED_VALUE"""),"Dried Meat")</f>
        <v>Dried Meat</v>
      </c>
      <c r="D104" s="73" t="str">
        <f>IFERROR(__xludf.DUMMYFUNCTION("""COMPUTED_VALUE"""),"6-10")</f>
        <v>6-10</v>
      </c>
      <c r="E104" s="2" t="str">
        <f>IFERROR(__xludf.DUMMYFUNCTION("""COMPUTED_VALUE"""),"Soul")</f>
        <v>Soul</v>
      </c>
      <c r="F104" s="73" t="str">
        <f>IFERROR(__xludf.DUMMYFUNCTION("""COMPUTED_VALUE"""),"11-15")</f>
        <v>11-15</v>
      </c>
      <c r="G104" s="2" t="str">
        <f>IFERROR(__xludf.DUMMYFUNCTION("""COMPUTED_VALUE"""),"40,000G-60,000G")</f>
        <v>40,000G-60,000G</v>
      </c>
      <c r="H104" s="73" t="str">
        <f>IFERROR(__xludf.DUMMYFUNCTION("""COMPUTED_VALUE"""),"16-20")</f>
        <v>16-20</v>
      </c>
      <c r="I104" s="2" t="str">
        <f>IFERROR(__xludf.DUMMYFUNCTION("""COMPUTED_VALUE"""),"Egg")</f>
        <v>Egg</v>
      </c>
      <c r="J104" s="73" t="str">
        <f>IFERROR(__xludf.DUMMYFUNCTION("""COMPUTED_VALUE"""),"21-25")</f>
        <v>21-25</v>
      </c>
      <c r="K104" s="2" t="str">
        <f>IFERROR(__xludf.DUMMYFUNCTION("""COMPUTED_VALUE"""),"Nothing")</f>
        <v>Nothing</v>
      </c>
      <c r="L104" s="1"/>
      <c r="M104" s="1"/>
      <c r="N104" s="1"/>
      <c r="O104" s="1"/>
      <c r="P104" s="1"/>
      <c r="Q104" s="1"/>
      <c r="R104" s="1"/>
      <c r="S104" s="1"/>
      <c r="T104" s="1"/>
      <c r="U104" s="1"/>
      <c r="V104" s="1"/>
      <c r="W104" s="1"/>
      <c r="X104" s="1"/>
    </row>
    <row r="105" ht="15.75" customHeight="1">
      <c r="A105" s="2" t="str">
        <f>IFERROR(__xludf.DUMMYFUNCTION("""COMPUTED_VALUE"""),"Guardian Of Nature")</f>
        <v>Guardian Of Nature</v>
      </c>
      <c r="B105" s="73" t="str">
        <f>IFERROR(__xludf.DUMMYFUNCTION("""COMPUTED_VALUE"""),"1-5")</f>
        <v>1-5</v>
      </c>
      <c r="C105" s="2" t="str">
        <f>IFERROR(__xludf.DUMMYFUNCTION("""COMPUTED_VALUE"""),"Nothing")</f>
        <v>Nothing</v>
      </c>
      <c r="D105" s="73" t="str">
        <f>IFERROR(__xludf.DUMMYFUNCTION("""COMPUTED_VALUE"""),"6-10")</f>
        <v>6-10</v>
      </c>
      <c r="E105" s="2" t="str">
        <f>IFERROR(__xludf.DUMMYFUNCTION("""COMPUTED_VALUE"""),"Soul")</f>
        <v>Soul</v>
      </c>
      <c r="F105" s="73" t="str">
        <f>IFERROR(__xludf.DUMMYFUNCTION("""COMPUTED_VALUE"""),"11-15")</f>
        <v>11-15</v>
      </c>
      <c r="G105" s="2" t="str">
        <f>IFERROR(__xludf.DUMMYFUNCTION("""COMPUTED_VALUE"""),"Ring o’ Luck and Nature")</f>
        <v>Ring o’ Luck and Nature</v>
      </c>
      <c r="H105" s="73" t="str">
        <f>IFERROR(__xludf.DUMMYFUNCTION("""COMPUTED_VALUE"""),"16-20")</f>
        <v>16-20</v>
      </c>
      <c r="I105" s="2" t="str">
        <f>IFERROR(__xludf.DUMMYFUNCTION("""COMPUTED_VALUE"""),"The Root Of Nature")</f>
        <v>The Root Of Nature</v>
      </c>
      <c r="J105" s="73" t="str">
        <f>IFERROR(__xludf.DUMMYFUNCTION("""COMPUTED_VALUE"""),"21-25")</f>
        <v>21-25</v>
      </c>
      <c r="K105" s="2" t="str">
        <f>IFERROR(__xludf.DUMMYFUNCTION("""COMPUTED_VALUE"""),"Nature's Sword")</f>
        <v>Nature's Sword</v>
      </c>
      <c r="L105" s="1"/>
      <c r="M105" s="1"/>
      <c r="N105" s="1"/>
      <c r="O105" s="1"/>
      <c r="P105" s="1"/>
      <c r="Q105" s="1"/>
      <c r="R105" s="1"/>
      <c r="S105" s="1"/>
      <c r="T105" s="1"/>
      <c r="U105" s="1"/>
      <c r="V105" s="1"/>
      <c r="W105" s="1"/>
      <c r="X105" s="1"/>
    </row>
    <row r="106" ht="15.75" customHeight="1">
      <c r="A106" s="2" t="str">
        <f>IFERROR(__xludf.DUMMYFUNCTION("""COMPUTED_VALUE"""),"Gytras: The Lord Of Jellyfish")</f>
        <v>Gytras: The Lord Of Jellyfish</v>
      </c>
      <c r="B106" s="73" t="str">
        <f>IFERROR(__xludf.DUMMYFUNCTION("""COMPUTED_VALUE"""),"1-5")</f>
        <v>1-5</v>
      </c>
      <c r="C106" s="2" t="str">
        <f>IFERROR(__xludf.DUMMYFUNCTION("""COMPUTED_VALUE"""),"Glowing Blue Jelly")</f>
        <v>Glowing Blue Jelly</v>
      </c>
      <c r="D106" s="73" t="str">
        <f>IFERROR(__xludf.DUMMYFUNCTION("""COMPUTED_VALUE"""),"6-10")</f>
        <v>6-10</v>
      </c>
      <c r="E106" s="2" t="str">
        <f>IFERROR(__xludf.DUMMYFUNCTION("""COMPUTED_VALUE"""),"80,000G-100,000G")</f>
        <v>80,000G-100,000G</v>
      </c>
      <c r="F106" s="73" t="str">
        <f>IFERROR(__xludf.DUMMYFUNCTION("""COMPUTED_VALUE"""),"11-15")</f>
        <v>11-15</v>
      </c>
      <c r="G106" s="2" t="str">
        <f>IFERROR(__xludf.DUMMYFUNCTION("""COMPUTED_VALUE"""),"500,000G-1,000,000G")</f>
        <v>500,000G-1,000,000G</v>
      </c>
      <c r="H106" s="73" t="str">
        <f>IFERROR(__xludf.DUMMYFUNCTION("""COMPUTED_VALUE"""),"16-20")</f>
        <v>16-20</v>
      </c>
      <c r="I106" s="2" t="str">
        <f>IFERROR(__xludf.DUMMYFUNCTION("""COMPUTED_VALUE"""),"Soul")</f>
        <v>Soul</v>
      </c>
      <c r="J106" s="73" t="str">
        <f>IFERROR(__xludf.DUMMYFUNCTION("""COMPUTED_VALUE"""),"21-25")</f>
        <v>21-25</v>
      </c>
      <c r="K106" s="2" t="str">
        <f>IFERROR(__xludf.DUMMYFUNCTION("""COMPUTED_VALUE"""),"Nothing")</f>
        <v>Nothing</v>
      </c>
      <c r="L106" s="1"/>
      <c r="M106" s="1"/>
      <c r="N106" s="1"/>
      <c r="O106" s="1"/>
      <c r="P106" s="1"/>
      <c r="Q106" s="1"/>
      <c r="R106" s="1"/>
      <c r="S106" s="1"/>
      <c r="T106" s="1"/>
      <c r="U106" s="1"/>
      <c r="V106" s="1"/>
      <c r="W106" s="1"/>
      <c r="X106" s="1"/>
    </row>
    <row r="107" ht="15.75" customHeight="1">
      <c r="A107" s="2" t="str">
        <f>IFERROR(__xludf.DUMMYFUNCTION("""COMPUTED_VALUE"""),"Haunted Scarecrow")</f>
        <v>Haunted Scarecrow</v>
      </c>
      <c r="B107" s="73" t="str">
        <f>IFERROR(__xludf.DUMMYFUNCTION("""COMPUTED_VALUE"""),"1-5")</f>
        <v>1-5</v>
      </c>
      <c r="C107" s="2" t="str">
        <f>IFERROR(__xludf.DUMMYFUNCTION("""COMPUTED_VALUE"""),"Common Tree Branch")</f>
        <v>Common Tree Branch</v>
      </c>
      <c r="D107" s="73" t="str">
        <f>IFERROR(__xludf.DUMMYFUNCTION("""COMPUTED_VALUE"""),"6-10")</f>
        <v>6-10</v>
      </c>
      <c r="E107" s="2" t="str">
        <f>IFERROR(__xludf.DUMMYFUNCTION("""COMPUTED_VALUE"""),"Uncommon Tree branch")</f>
        <v>Uncommon Tree branch</v>
      </c>
      <c r="F107" s="73" t="str">
        <f>IFERROR(__xludf.DUMMYFUNCTION("""COMPUTED_VALUE"""),"11-15")</f>
        <v>11-15</v>
      </c>
      <c r="G107" s="2" t="str">
        <f>IFERROR(__xludf.DUMMYFUNCTION("""COMPUTED_VALUE"""),"Dead Forest Branch")</f>
        <v>Dead Forest Branch</v>
      </c>
      <c r="H107" s="73" t="str">
        <f>IFERROR(__xludf.DUMMYFUNCTION("""COMPUTED_VALUE"""),"16-20")</f>
        <v>16-20</v>
      </c>
      <c r="I107" s="2" t="str">
        <f>IFERROR(__xludf.DUMMYFUNCTION("""COMPUTED_VALUE"""),"Nothing")</f>
        <v>Nothing</v>
      </c>
      <c r="J107" s="73" t="str">
        <f>IFERROR(__xludf.DUMMYFUNCTION("""COMPUTED_VALUE"""),"21-25")</f>
        <v>21-25</v>
      </c>
      <c r="K107" s="2" t="str">
        <f>IFERROR(__xludf.DUMMYFUNCTION("""COMPUTED_VALUE"""),"Nothing")</f>
        <v>Nothing</v>
      </c>
      <c r="L107" s="1"/>
      <c r="M107" s="1"/>
      <c r="N107" s="1"/>
      <c r="O107" s="1"/>
      <c r="P107" s="1"/>
      <c r="Q107" s="1"/>
      <c r="R107" s="1"/>
      <c r="S107" s="1"/>
      <c r="T107" s="1"/>
      <c r="U107" s="1"/>
      <c r="V107" s="1"/>
      <c r="W107" s="1"/>
      <c r="X107" s="1"/>
    </row>
    <row r="108" ht="15.75" customHeight="1">
      <c r="A108" s="2" t="str">
        <f>IFERROR(__xludf.DUMMYFUNCTION("""COMPUTED_VALUE"""),"Headless Horseman ")</f>
        <v>Headless Horseman </v>
      </c>
      <c r="B108" s="73" t="str">
        <f>IFERROR(__xludf.DUMMYFUNCTION("""COMPUTED_VALUE"""),"1-5")</f>
        <v>1-5</v>
      </c>
      <c r="C108" s="2" t="str">
        <f>IFERROR(__xludf.DUMMYFUNCTION("""COMPUTED_VALUE"""),"Nothing")</f>
        <v>Nothing</v>
      </c>
      <c r="D108" s="73" t="str">
        <f>IFERROR(__xludf.DUMMYFUNCTION("""COMPUTED_VALUE"""),"6-10")</f>
        <v>6-10</v>
      </c>
      <c r="E108" s="2" t="str">
        <f>IFERROR(__xludf.DUMMYFUNCTION("""COMPUTED_VALUE"""),"Soul")</f>
        <v>Soul</v>
      </c>
      <c r="F108" s="73" t="str">
        <f>IFERROR(__xludf.DUMMYFUNCTION("""COMPUTED_VALUE"""),"11-15")</f>
        <v>11-15</v>
      </c>
      <c r="G108" s="2" t="str">
        <f>IFERROR(__xludf.DUMMYFUNCTION("""COMPUTED_VALUE"""),"Poison Vine Sword")</f>
        <v>Poison Vine Sword</v>
      </c>
      <c r="H108" s="73" t="str">
        <f>IFERROR(__xludf.DUMMYFUNCTION("""COMPUTED_VALUE"""),"16-20")</f>
        <v>16-20</v>
      </c>
      <c r="I108" s="2" t="str">
        <f>IFERROR(__xludf.DUMMYFUNCTION("""COMPUTED_VALUE"""),"20,000,000G-40,000,000G")</f>
        <v>20,000,000G-40,000,000G</v>
      </c>
      <c r="J108" s="73" t="str">
        <f>IFERROR(__xludf.DUMMYFUNCTION("""COMPUTED_VALUE"""),"21-25")</f>
        <v>21-25</v>
      </c>
      <c r="K108" s="2" t="str">
        <f>IFERROR(__xludf.DUMMYFUNCTION("""COMPUTED_VALUE"""),"Nothing")</f>
        <v>Nothing</v>
      </c>
      <c r="L108" s="1"/>
      <c r="M108" s="1"/>
      <c r="N108" s="1"/>
      <c r="O108" s="1"/>
      <c r="P108" s="1"/>
      <c r="Q108" s="1"/>
      <c r="R108" s="1"/>
      <c r="S108" s="1"/>
      <c r="T108" s="1"/>
      <c r="U108" s="1"/>
      <c r="V108" s="1"/>
      <c r="W108" s="1"/>
      <c r="X108" s="1"/>
    </row>
    <row r="109" ht="15.75" customHeight="1">
      <c r="A109" s="2" t="str">
        <f>IFERROR(__xludf.DUMMYFUNCTION("""COMPUTED_VALUE"""),"Heatmore Flame Golem")</f>
        <v>Heatmore Flame Golem</v>
      </c>
      <c r="B109" s="73" t="str">
        <f>IFERROR(__xludf.DUMMYFUNCTION("""COMPUTED_VALUE"""),"1-5")</f>
        <v>1-5</v>
      </c>
      <c r="C109" s="2" t="str">
        <f>IFERROR(__xludf.DUMMYFUNCTION("""COMPUTED_VALUE"""),"1,000,000G-20,000,000G")</f>
        <v>1,000,000G-20,000,000G</v>
      </c>
      <c r="D109" s="73" t="str">
        <f>IFERROR(__xludf.DUMMYFUNCTION("""COMPUTED_VALUE"""),"6-10")</f>
        <v>6-10</v>
      </c>
      <c r="E109" s="2" t="str">
        <f>IFERROR(__xludf.DUMMYFUNCTION("""COMPUTED_VALUE"""),"Lava Longsword")</f>
        <v>Lava Longsword</v>
      </c>
      <c r="F109" s="73" t="str">
        <f>IFERROR(__xludf.DUMMYFUNCTION("""COMPUTED_VALUE"""),"11-15")</f>
        <v>11-15</v>
      </c>
      <c r="G109" s="2" t="str">
        <f>IFERROR(__xludf.DUMMYFUNCTION("""COMPUTED_VALUE"""),"Giant Fire Diamond")</f>
        <v>Giant Fire Diamond</v>
      </c>
      <c r="H109" s="73" t="str">
        <f>IFERROR(__xludf.DUMMYFUNCTION("""COMPUTED_VALUE"""),"16-20")</f>
        <v>16-20</v>
      </c>
      <c r="I109" s="2" t="str">
        <f>IFERROR(__xludf.DUMMYFUNCTION("""COMPUTED_VALUE"""),"Heatmore Flame Golem Head")</f>
        <v>Heatmore Flame Golem Head</v>
      </c>
      <c r="J109" s="73" t="str">
        <f>IFERROR(__xludf.DUMMYFUNCTION("""COMPUTED_VALUE"""),"21-25")</f>
        <v>21-25</v>
      </c>
      <c r="K109" s="2" t="str">
        <f>IFERROR(__xludf.DUMMYFUNCTION("""COMPUTED_VALUE"""),"Nothing")</f>
        <v>Nothing</v>
      </c>
      <c r="L109" s="1"/>
      <c r="M109" s="1"/>
      <c r="N109" s="1"/>
      <c r="O109" s="1"/>
      <c r="P109" s="1"/>
      <c r="Q109" s="1"/>
      <c r="R109" s="1"/>
      <c r="S109" s="1"/>
      <c r="T109" s="1"/>
      <c r="U109" s="1"/>
      <c r="V109" s="1"/>
      <c r="W109" s="1"/>
      <c r="X109" s="1"/>
    </row>
    <row r="110" ht="15.75" customHeight="1">
      <c r="A110" s="2" t="str">
        <f>IFERROR(__xludf.DUMMYFUNCTION("""COMPUTED_VALUE"""),"Heatmore Royal Keeper")</f>
        <v>Heatmore Royal Keeper</v>
      </c>
      <c r="B110" s="73" t="str">
        <f>IFERROR(__xludf.DUMMYFUNCTION("""COMPUTED_VALUE"""),"1-5")</f>
        <v>1-5</v>
      </c>
      <c r="C110" s="2" t="str">
        <f>IFERROR(__xludf.DUMMYFUNCTION("""COMPUTED_VALUE"""),"500,000G-1,000,000G")</f>
        <v>500,000G-1,000,000G</v>
      </c>
      <c r="D110" s="73" t="str">
        <f>IFERROR(__xludf.DUMMYFUNCTION("""COMPUTED_VALUE"""),"6-10")</f>
        <v>6-10</v>
      </c>
      <c r="E110" s="2" t="str">
        <f>IFERROR(__xludf.DUMMYFUNCTION("""COMPUTED_VALUE"""),"Giant Fire Diamond")</f>
        <v>Giant Fire Diamond</v>
      </c>
      <c r="F110" s="73" t="str">
        <f>IFERROR(__xludf.DUMMYFUNCTION("""COMPUTED_VALUE"""),"11-15")</f>
        <v>11-15</v>
      </c>
      <c r="G110" s="2" t="str">
        <f>IFERROR(__xludf.DUMMYFUNCTION("""COMPUTED_VALUE"""),"Fire Diamonds")</f>
        <v>Fire Diamonds</v>
      </c>
      <c r="H110" s="73" t="str">
        <f>IFERROR(__xludf.DUMMYFUNCTION("""COMPUTED_VALUE"""),"16-20")</f>
        <v>16-20</v>
      </c>
      <c r="I110" s="2" t="str">
        <f>IFERROR(__xludf.DUMMYFUNCTION("""COMPUTED_VALUE"""),"Royal Keeper Spear")</f>
        <v>Royal Keeper Spear</v>
      </c>
      <c r="J110" s="73" t="str">
        <f>IFERROR(__xludf.DUMMYFUNCTION("""COMPUTED_VALUE"""),"21-25")</f>
        <v>21-25</v>
      </c>
      <c r="K110" s="2" t="str">
        <f>IFERROR(__xludf.DUMMYFUNCTION("""COMPUTED_VALUE"""),"Nothing")</f>
        <v>Nothing</v>
      </c>
      <c r="L110" s="1"/>
      <c r="M110" s="1"/>
      <c r="N110" s="1"/>
      <c r="O110" s="1"/>
      <c r="P110" s="1"/>
      <c r="Q110" s="1"/>
      <c r="R110" s="1"/>
      <c r="S110" s="1"/>
      <c r="T110" s="1"/>
      <c r="U110" s="1"/>
      <c r="V110" s="1"/>
      <c r="W110" s="1"/>
      <c r="X110" s="1"/>
    </row>
    <row r="111" ht="15.75" customHeight="1">
      <c r="A111" s="2" t="str">
        <f>IFERROR(__xludf.DUMMYFUNCTION("""COMPUTED_VALUE"""),"Heatmore Underling")</f>
        <v>Heatmore Underling</v>
      </c>
      <c r="B111" s="73" t="str">
        <f>IFERROR(__xludf.DUMMYFUNCTION("""COMPUTED_VALUE"""),"1-5")</f>
        <v>1-5</v>
      </c>
      <c r="C111" s="2" t="str">
        <f>IFERROR(__xludf.DUMMYFUNCTION("""COMPUTED_VALUE"""),"fire diamonds")</f>
        <v>fire diamonds</v>
      </c>
      <c r="D111" s="73" t="str">
        <f>IFERROR(__xludf.DUMMYFUNCTION("""COMPUTED_VALUE"""),"6-10")</f>
        <v>6-10</v>
      </c>
      <c r="E111" s="2" t="str">
        <f>IFERROR(__xludf.DUMMYFUNCTION("""COMPUTED_VALUE"""),"Giant Fire Diamond")</f>
        <v>Giant Fire Diamond</v>
      </c>
      <c r="F111" s="73" t="str">
        <f>IFERROR(__xludf.DUMMYFUNCTION("""COMPUTED_VALUE"""),"11-15")</f>
        <v>11-15</v>
      </c>
      <c r="G111" s="2" t="str">
        <f>IFERROR(__xludf.DUMMYFUNCTION("""COMPUTED_VALUE"""),"500,000G-1,000,000G")</f>
        <v>500,000G-1,000,000G</v>
      </c>
      <c r="H111" s="73" t="str">
        <f>IFERROR(__xludf.DUMMYFUNCTION("""COMPUTED_VALUE"""),"16-20")</f>
        <v>16-20</v>
      </c>
      <c r="I111" s="2" t="str">
        <f>IFERROR(__xludf.DUMMYFUNCTION("""COMPUTED_VALUE"""),"Soul")</f>
        <v>Soul</v>
      </c>
      <c r="J111" s="73" t="str">
        <f>IFERROR(__xludf.DUMMYFUNCTION("""COMPUTED_VALUE"""),"21-25")</f>
        <v>21-25</v>
      </c>
      <c r="K111" s="2" t="str">
        <f>IFERROR(__xludf.DUMMYFUNCTION("""COMPUTED_VALUE"""),"Egg")</f>
        <v>Egg</v>
      </c>
      <c r="L111" s="1"/>
      <c r="M111" s="1"/>
      <c r="N111" s="1"/>
      <c r="O111" s="1"/>
      <c r="P111" s="1"/>
      <c r="Q111" s="1"/>
      <c r="R111" s="1"/>
      <c r="S111" s="1"/>
      <c r="T111" s="1"/>
      <c r="U111" s="1"/>
      <c r="V111" s="1"/>
      <c r="W111" s="1"/>
      <c r="X111" s="1"/>
    </row>
    <row r="112" ht="15.75" customHeight="1">
      <c r="A112" s="2" t="str">
        <f>IFERROR(__xludf.DUMMYFUNCTION("""COMPUTED_VALUE"""),"Hydra Cobra")</f>
        <v>Hydra Cobra</v>
      </c>
      <c r="B112" s="73" t="str">
        <f>IFERROR(__xludf.DUMMYFUNCTION("""COMPUTED_VALUE"""),"1-5")</f>
        <v>1-5</v>
      </c>
      <c r="C112" s="2" t="str">
        <f>IFERROR(__xludf.DUMMYFUNCTION("""COMPUTED_VALUE"""),"Soul")</f>
        <v>Soul</v>
      </c>
      <c r="D112" s="73" t="str">
        <f>IFERROR(__xludf.DUMMYFUNCTION("""COMPUTED_VALUE"""),"6-10")</f>
        <v>6-10</v>
      </c>
      <c r="E112" s="2" t="str">
        <f>IFERROR(__xludf.DUMMYFUNCTION("""COMPUTED_VALUE"""),"Sword Of The Cursed Naga")</f>
        <v>Sword Of The Cursed Naga</v>
      </c>
      <c r="F112" s="73" t="str">
        <f>IFERROR(__xludf.DUMMYFUNCTION("""COMPUTED_VALUE"""),"11-15")</f>
        <v>11-15</v>
      </c>
      <c r="G112" s="2" t="str">
        <f>IFERROR(__xludf.DUMMYFUNCTION("""COMPUTED_VALUE"""),"500,000,000G-1,000,000,000G")</f>
        <v>500,000,000G-1,000,000,000G</v>
      </c>
      <c r="H112" s="73" t="str">
        <f>IFERROR(__xludf.DUMMYFUNCTION("""COMPUTED_VALUE"""),"16-20")</f>
        <v>16-20</v>
      </c>
      <c r="I112" s="2" t="str">
        <f>IFERROR(__xludf.DUMMYFUNCTION("""COMPUTED_VALUE"""),"Egg")</f>
        <v>Egg</v>
      </c>
      <c r="J112" s="73" t="str">
        <f>IFERROR(__xludf.DUMMYFUNCTION("""COMPUTED_VALUE"""),"21-25")</f>
        <v>21-25</v>
      </c>
      <c r="K112" s="2" t="str">
        <f>IFERROR(__xludf.DUMMYFUNCTION("""COMPUTED_VALUE"""),"Nothing")</f>
        <v>Nothing</v>
      </c>
      <c r="L112" s="1"/>
      <c r="M112" s="1"/>
      <c r="N112" s="1"/>
      <c r="O112" s="1"/>
      <c r="P112" s="1"/>
      <c r="Q112" s="1"/>
      <c r="R112" s="1"/>
      <c r="S112" s="1"/>
      <c r="T112" s="1"/>
      <c r="U112" s="1"/>
      <c r="V112" s="1"/>
      <c r="W112" s="1"/>
      <c r="X112" s="1"/>
    </row>
    <row r="113" ht="15.75" customHeight="1">
      <c r="A113" s="2" t="str">
        <f>IFERROR(__xludf.DUMMYFUNCTION("""COMPUTED_VALUE"""),"Hyena")</f>
        <v>Hyena</v>
      </c>
      <c r="B113" s="73" t="str">
        <f>IFERROR(__xludf.DUMMYFUNCTION("""COMPUTED_VALUE"""),"1-5")</f>
        <v>1-5</v>
      </c>
      <c r="C113" s="2" t="str">
        <f>IFERROR(__xludf.DUMMYFUNCTION("""COMPUTED_VALUE"""),"Raw Meat")</f>
        <v>Raw Meat</v>
      </c>
      <c r="D113" s="73" t="str">
        <f>IFERROR(__xludf.DUMMYFUNCTION("""COMPUTED_VALUE"""),"6-10")</f>
        <v>6-10</v>
      </c>
      <c r="E113" s="2" t="str">
        <f>IFERROR(__xludf.DUMMYFUNCTION("""COMPUTED_VALUE"""),"Soul")</f>
        <v>Soul</v>
      </c>
      <c r="F113" s="73" t="str">
        <f>IFERROR(__xludf.DUMMYFUNCTION("""COMPUTED_VALUE"""),"11-15")</f>
        <v>11-15</v>
      </c>
      <c r="G113" s="2" t="str">
        <f>IFERROR(__xludf.DUMMYFUNCTION("""COMPUTED_VALUE"""),"Nothing")</f>
        <v>Nothing</v>
      </c>
      <c r="H113" s="73" t="str">
        <f>IFERROR(__xludf.DUMMYFUNCTION("""COMPUTED_VALUE"""),"16-20")</f>
        <v>16-20</v>
      </c>
      <c r="I113" s="2" t="str">
        <f>IFERROR(__xludf.DUMMYFUNCTION("""COMPUTED_VALUE"""),"Egg")</f>
        <v>Egg</v>
      </c>
      <c r="J113" s="73" t="str">
        <f>IFERROR(__xludf.DUMMYFUNCTION("""COMPUTED_VALUE"""),"21-25")</f>
        <v>21-25</v>
      </c>
      <c r="K113" s="2" t="str">
        <f>IFERROR(__xludf.DUMMYFUNCTION("""COMPUTED_VALUE"""),"Nothing")</f>
        <v>Nothing</v>
      </c>
      <c r="L113" s="1"/>
      <c r="M113" s="1"/>
      <c r="N113" s="1"/>
      <c r="O113" s="1"/>
      <c r="P113" s="1"/>
      <c r="Q113" s="1"/>
      <c r="R113" s="1"/>
      <c r="S113" s="1"/>
      <c r="T113" s="1"/>
      <c r="U113" s="1"/>
      <c r="V113" s="1"/>
      <c r="W113" s="1"/>
      <c r="X113" s="1"/>
    </row>
    <row r="114" ht="15.75" customHeight="1">
      <c r="A114" s="3" t="str">
        <f>IFERROR(__xludf.DUMMYFUNCTION("""COMPUTED_VALUE"""),"Ice Golem")</f>
        <v>Ice Golem</v>
      </c>
      <c r="B114" s="73" t="str">
        <f>IFERROR(__xludf.DUMMYFUNCTION("""COMPUTED_VALUE"""),"1-5")</f>
        <v>1-5</v>
      </c>
      <c r="C114" s="2" t="str">
        <f>IFERROR(__xludf.DUMMYFUNCTION("""COMPUTED_VALUE"""),"Frost Cloak")</f>
        <v>Frost Cloak</v>
      </c>
      <c r="D114" s="73" t="str">
        <f>IFERROR(__xludf.DUMMYFUNCTION("""COMPUTED_VALUE"""),"6-10")</f>
        <v>6-10</v>
      </c>
      <c r="E114" s="2" t="str">
        <f>IFERROR(__xludf.DUMMYFUNCTION("""COMPUTED_VALUE"""),"Frozen Falchion")</f>
        <v>Frozen Falchion</v>
      </c>
      <c r="F114" s="73" t="str">
        <f>IFERROR(__xludf.DUMMYFUNCTION("""COMPUTED_VALUE"""),"11-15")</f>
        <v>11-15</v>
      </c>
      <c r="G114" s="2" t="str">
        <f>IFERROR(__xludf.DUMMYFUNCTION("""COMPUTED_VALUE"""),"Egg")</f>
        <v>Egg</v>
      </c>
      <c r="H114" s="73" t="str">
        <f>IFERROR(__xludf.DUMMYFUNCTION("""COMPUTED_VALUE"""),"16-20")</f>
        <v>16-20</v>
      </c>
      <c r="I114" s="2" t="str">
        <f>IFERROR(__xludf.DUMMYFUNCTION("""COMPUTED_VALUE"""),"Frost diamond")</f>
        <v>Frost diamond</v>
      </c>
      <c r="J114" s="73" t="str">
        <f>IFERROR(__xludf.DUMMYFUNCTION("""COMPUTED_VALUE"""),"21-25")</f>
        <v>21-25</v>
      </c>
      <c r="K114" s="2" t="str">
        <f>IFERROR(__xludf.DUMMYFUNCTION("""COMPUTED_VALUE"""),"Freezing Chains")</f>
        <v>Freezing Chains</v>
      </c>
      <c r="L114" s="1"/>
      <c r="M114" s="1"/>
      <c r="N114" s="1"/>
      <c r="O114" s="1"/>
      <c r="P114" s="1"/>
      <c r="Q114" s="1"/>
      <c r="R114" s="1"/>
      <c r="S114" s="1"/>
      <c r="T114" s="1"/>
      <c r="U114" s="1"/>
      <c r="V114" s="1"/>
      <c r="W114" s="1"/>
      <c r="X114" s="1"/>
    </row>
    <row r="115" ht="15.75" customHeight="1">
      <c r="A115" s="1" t="str">
        <f>IFERROR(__xludf.DUMMYFUNCTION("""COMPUTED_VALUE"""),"Ice Slime")</f>
        <v>Ice Slime</v>
      </c>
      <c r="B115" s="73" t="str">
        <f>IFERROR(__xludf.DUMMYFUNCTION("""COMPUTED_VALUE"""),"1-5")</f>
        <v>1-5</v>
      </c>
      <c r="C115" s="2" t="str">
        <f>IFERROR(__xludf.DUMMYFUNCTION("""COMPUTED_VALUE"""),"Dark Ice Sword")</f>
        <v>Dark Ice Sword</v>
      </c>
      <c r="D115" s="73" t="str">
        <f>IFERROR(__xludf.DUMMYFUNCTION("""COMPUTED_VALUE"""),"6-10")</f>
        <v>6-10</v>
      </c>
      <c r="E115" s="2" t="str">
        <f>IFERROR(__xludf.DUMMYFUNCTION("""COMPUTED_VALUE"""),"Ice Blade")</f>
        <v>Ice Blade</v>
      </c>
      <c r="F115" s="73" t="str">
        <f>IFERROR(__xludf.DUMMYFUNCTION("""COMPUTED_VALUE"""),"11-15")</f>
        <v>11-15</v>
      </c>
      <c r="G115" s="2" t="str">
        <f>IFERROR(__xludf.DUMMYFUNCTION("""COMPUTED_VALUE"""),"Soul")</f>
        <v>Soul</v>
      </c>
      <c r="H115" s="73" t="str">
        <f>IFERROR(__xludf.DUMMYFUNCTION("""COMPUTED_VALUE"""),"16-20")</f>
        <v>16-20</v>
      </c>
      <c r="I115" s="2" t="str">
        <f>IFERROR(__xludf.DUMMYFUNCTION("""COMPUTED_VALUE"""),"Enchanted Ice Gem")</f>
        <v>Enchanted Ice Gem</v>
      </c>
      <c r="J115" s="73" t="str">
        <f>IFERROR(__xludf.DUMMYFUNCTION("""COMPUTED_VALUE"""),"21-25")</f>
        <v>21-25</v>
      </c>
      <c r="K115" s="2" t="str">
        <f>IFERROR(__xludf.DUMMYFUNCTION("""COMPUTED_VALUE"""),"Dark Ice Sword")</f>
        <v>Dark Ice Sword</v>
      </c>
      <c r="L115" s="1"/>
      <c r="M115" s="1"/>
      <c r="N115" s="1"/>
      <c r="O115" s="1"/>
      <c r="P115" s="1"/>
      <c r="Q115" s="1"/>
      <c r="R115" s="1"/>
      <c r="S115" s="1"/>
      <c r="T115" s="1"/>
      <c r="U115" s="1"/>
      <c r="V115" s="1"/>
      <c r="W115" s="1"/>
      <c r="X115" s="1"/>
    </row>
    <row r="116" ht="15.75" customHeight="1">
      <c r="A116" s="1" t="str">
        <f>IFERROR(__xludf.DUMMYFUNCTION("""COMPUTED_VALUE"""),"Ice Yak")</f>
        <v>Ice Yak</v>
      </c>
      <c r="B116" s="73" t="str">
        <f>IFERROR(__xludf.DUMMYFUNCTION("""COMPUTED_VALUE"""),"1-5")</f>
        <v>1-5</v>
      </c>
      <c r="C116" s="2" t="str">
        <f>IFERROR(__xludf.DUMMYFUNCTION("""COMPUTED_VALUE"""),"Block Of Ice")</f>
        <v>Block Of Ice</v>
      </c>
      <c r="D116" s="73" t="str">
        <f>IFERROR(__xludf.DUMMYFUNCTION("""COMPUTED_VALUE"""),"6-10")</f>
        <v>6-10</v>
      </c>
      <c r="E116" s="2" t="str">
        <f>IFERROR(__xludf.DUMMYFUNCTION("""COMPUTED_VALUE"""),"Cooked Yak Meat")</f>
        <v>Cooked Yak Meat</v>
      </c>
      <c r="F116" s="73" t="str">
        <f>IFERROR(__xludf.DUMMYFUNCTION("""COMPUTED_VALUE"""),"11-15")</f>
        <v>11-15</v>
      </c>
      <c r="G116" s="2" t="str">
        <f>IFERROR(__xludf.DUMMYFUNCTION("""COMPUTED_VALUE"""),"Egg")</f>
        <v>Egg</v>
      </c>
      <c r="H116" s="73" t="str">
        <f>IFERROR(__xludf.DUMMYFUNCTION("""COMPUTED_VALUE"""),"16-20")</f>
        <v>16-20</v>
      </c>
      <c r="I116" s="2" t="str">
        <f>IFERROR(__xludf.DUMMYFUNCTION("""COMPUTED_VALUE"""),"Soul")</f>
        <v>Soul</v>
      </c>
      <c r="J116" s="73" t="str">
        <f>IFERROR(__xludf.DUMMYFUNCTION("""COMPUTED_VALUE"""),"21-25")</f>
        <v>21-25</v>
      </c>
      <c r="K116" s="2" t="str">
        <f>IFERROR(__xludf.DUMMYFUNCTION("""COMPUTED_VALUE"""),"Nothing")</f>
        <v>Nothing</v>
      </c>
      <c r="L116" s="1"/>
      <c r="M116" s="1"/>
      <c r="N116" s="1"/>
      <c r="O116" s="1"/>
      <c r="P116" s="1"/>
      <c r="Q116" s="1"/>
      <c r="R116" s="1"/>
      <c r="S116" s="1"/>
      <c r="T116" s="1"/>
      <c r="U116" s="1"/>
      <c r="V116" s="1"/>
      <c r="W116" s="1"/>
      <c r="X116" s="1"/>
    </row>
    <row r="117" ht="15.75" customHeight="1">
      <c r="A117" s="1" t="str">
        <f>IFERROR(__xludf.DUMMYFUNCTION("""COMPUTED_VALUE"""),"Imperial Judge")</f>
        <v>Imperial Judge</v>
      </c>
      <c r="B117" s="1"/>
      <c r="C117" s="2"/>
      <c r="D117" s="1"/>
      <c r="E117" s="2"/>
      <c r="F117" s="1"/>
      <c r="G117" s="2"/>
      <c r="H117" s="1"/>
      <c r="I117" s="2"/>
      <c r="J117" s="1"/>
      <c r="K117" s="2"/>
      <c r="L117" s="1"/>
      <c r="M117" s="1"/>
      <c r="N117" s="1"/>
      <c r="O117" s="1"/>
      <c r="P117" s="1"/>
      <c r="Q117" s="1"/>
      <c r="R117" s="1"/>
      <c r="S117" s="1"/>
      <c r="T117" s="1"/>
      <c r="U117" s="1"/>
      <c r="V117" s="1"/>
      <c r="W117" s="1"/>
      <c r="X117" s="1"/>
    </row>
    <row r="118" ht="15.75" customHeight="1">
      <c r="A118" s="1" t="str">
        <f>IFERROR(__xludf.DUMMYFUNCTION("""COMPUTED_VALUE"""),"Jack Haggerson")</f>
        <v>Jack Haggerson</v>
      </c>
      <c r="B118" s="73" t="str">
        <f>IFERROR(__xludf.DUMMYFUNCTION("""COMPUTED_VALUE"""),"1-5")</f>
        <v>1-5</v>
      </c>
      <c r="C118" s="2" t="str">
        <f>IFERROR(__xludf.DUMMYFUNCTION("""COMPUTED_VALUE"""),"500,000,000G-1,000,000,000G")</f>
        <v>500,000,000G-1,000,000,000G</v>
      </c>
      <c r="D118" s="73" t="str">
        <f>IFERROR(__xludf.DUMMYFUNCTION("""COMPUTED_VALUE"""),"6-10")</f>
        <v>6-10</v>
      </c>
      <c r="E118" s="2" t="str">
        <f>IFERROR(__xludf.DUMMYFUNCTION("""COMPUTED_VALUE"""),"Candy Corn Necklace")</f>
        <v>Candy Corn Necklace</v>
      </c>
      <c r="F118" s="73" t="str">
        <f>IFERROR(__xludf.DUMMYFUNCTION("""COMPUTED_VALUE"""),"11-15")</f>
        <v>11-15</v>
      </c>
      <c r="G118" s="2" t="str">
        <f>IFERROR(__xludf.DUMMYFUNCTION("""COMPUTED_VALUE"""),"Ancient Oni Mask")</f>
        <v>Ancient Oni Mask</v>
      </c>
      <c r="H118" s="73" t="str">
        <f>IFERROR(__xludf.DUMMYFUNCTION("""COMPUTED_VALUE"""),"16-20")</f>
        <v>16-20</v>
      </c>
      <c r="I118" s="2" t="str">
        <f>IFERROR(__xludf.DUMMYFUNCTION("""COMPUTED_VALUE"""),"Candy Corn Rifle")</f>
        <v>Candy Corn Rifle</v>
      </c>
      <c r="J118" s="73" t="str">
        <f>IFERROR(__xludf.DUMMYFUNCTION("""COMPUTED_VALUE"""),"21-25")</f>
        <v>21-25</v>
      </c>
      <c r="K118" s="2" t="str">
        <f>IFERROR(__xludf.DUMMYFUNCTION("""COMPUTED_VALUE"""),"500,000,000G-1,000,000,000G")</f>
        <v>500,000,000G-1,000,000,000G</v>
      </c>
      <c r="L118" s="1"/>
      <c r="M118" s="1"/>
      <c r="N118" s="1"/>
      <c r="O118" s="1"/>
      <c r="P118" s="1"/>
      <c r="Q118" s="1"/>
      <c r="R118" s="1"/>
      <c r="S118" s="1"/>
      <c r="T118" s="1"/>
      <c r="U118" s="1"/>
      <c r="V118" s="1"/>
      <c r="W118" s="1"/>
      <c r="X118" s="1"/>
    </row>
    <row r="119" ht="15.75" customHeight="1">
      <c r="A119" s="1" t="str">
        <f>IFERROR(__xludf.DUMMYFUNCTION("""COMPUTED_VALUE"""),"Jelly Fish (WD)")</f>
        <v>Jelly Fish (WD)</v>
      </c>
      <c r="B119" s="73" t="str">
        <f>IFERROR(__xludf.DUMMYFUNCTION("""COMPUTED_VALUE"""),"1-5")</f>
        <v>1-5</v>
      </c>
      <c r="C119" s="2" t="str">
        <f>IFERROR(__xludf.DUMMYFUNCTION("""COMPUTED_VALUE"""),"Soul")</f>
        <v>Soul</v>
      </c>
      <c r="D119" s="73" t="str">
        <f>IFERROR(__xludf.DUMMYFUNCTION("""COMPUTED_VALUE"""),"6-10")</f>
        <v>6-10</v>
      </c>
      <c r="E119" s="2" t="str">
        <f>IFERROR(__xludf.DUMMYFUNCTION("""COMPUTED_VALUE"""),"Water potion")</f>
        <v>Water potion</v>
      </c>
      <c r="F119" s="73" t="str">
        <f>IFERROR(__xludf.DUMMYFUNCTION("""COMPUTED_VALUE"""),"11-15")</f>
        <v>11-15</v>
      </c>
      <c r="G119" s="2" t="str">
        <f>IFERROR(__xludf.DUMMYFUNCTION("""COMPUTED_VALUE"""),"Jellyfish Stinger")</f>
        <v>Jellyfish Stinger</v>
      </c>
      <c r="H119" s="73" t="str">
        <f>IFERROR(__xludf.DUMMYFUNCTION("""COMPUTED_VALUE"""),"16-20")</f>
        <v>16-20</v>
      </c>
      <c r="I119" s="2" t="str">
        <f>IFERROR(__xludf.DUMMYFUNCTION("""COMPUTED_VALUE"""),"Egg")</f>
        <v>Egg</v>
      </c>
      <c r="J119" s="73" t="str">
        <f>IFERROR(__xludf.DUMMYFUNCTION("""COMPUTED_VALUE"""),"21-25")</f>
        <v>21-25</v>
      </c>
      <c r="K119" s="2" t="str">
        <f>IFERROR(__xludf.DUMMYFUNCTION("""COMPUTED_VALUE"""),"Nothing")</f>
        <v>Nothing</v>
      </c>
      <c r="L119" s="1"/>
      <c r="M119" s="1"/>
      <c r="N119" s="1"/>
      <c r="O119" s="1"/>
      <c r="P119" s="1"/>
      <c r="Q119" s="1"/>
      <c r="R119" s="1"/>
      <c r="S119" s="1"/>
      <c r="T119" s="1"/>
      <c r="U119" s="1"/>
      <c r="V119" s="1"/>
      <c r="W119" s="1"/>
      <c r="X119" s="1"/>
    </row>
    <row r="120" ht="15.75" customHeight="1">
      <c r="A120" s="1" t="str">
        <f>IFERROR(__xludf.DUMMYFUNCTION("""COMPUTED_VALUE"""),"Jelly Fish (WD) (Enhanced)")</f>
        <v>Jelly Fish (WD) (Enhanced)</v>
      </c>
      <c r="B120" s="73" t="str">
        <f>IFERROR(__xludf.DUMMYFUNCTION("""COMPUTED_VALUE"""),"1-5")</f>
        <v>1-5</v>
      </c>
      <c r="C120" s="2" t="str">
        <f>IFERROR(__xludf.DUMMYFUNCTION("""COMPUTED_VALUE"""),"Soul")</f>
        <v>Soul</v>
      </c>
      <c r="D120" s="73" t="str">
        <f>IFERROR(__xludf.DUMMYFUNCTION("""COMPUTED_VALUE"""),"6-10")</f>
        <v>6-10</v>
      </c>
      <c r="E120" s="2" t="str">
        <f>IFERROR(__xludf.DUMMYFUNCTION("""COMPUTED_VALUE"""),"Water potion")</f>
        <v>Water potion</v>
      </c>
      <c r="F120" s="73" t="str">
        <f>IFERROR(__xludf.DUMMYFUNCTION("""COMPUTED_VALUE"""),"11-15")</f>
        <v>11-15</v>
      </c>
      <c r="G120" s="2" t="str">
        <f>IFERROR(__xludf.DUMMYFUNCTION("""COMPUTED_VALUE"""),"Jellyfish Stinger")</f>
        <v>Jellyfish Stinger</v>
      </c>
      <c r="H120" s="73" t="str">
        <f>IFERROR(__xludf.DUMMYFUNCTION("""COMPUTED_VALUE"""),"16-20")</f>
        <v>16-20</v>
      </c>
      <c r="I120" s="2" t="str">
        <f>IFERROR(__xludf.DUMMYFUNCTION("""COMPUTED_VALUE"""),"Egg")</f>
        <v>Egg</v>
      </c>
      <c r="J120" s="73" t="str">
        <f>IFERROR(__xludf.DUMMYFUNCTION("""COMPUTED_VALUE"""),"21-25")</f>
        <v>21-25</v>
      </c>
      <c r="K120" s="2" t="str">
        <f>IFERROR(__xludf.DUMMYFUNCTION("""COMPUTED_VALUE"""),"Nothing")</f>
        <v>Nothing</v>
      </c>
      <c r="L120" s="1"/>
      <c r="M120" s="1"/>
      <c r="N120" s="1"/>
      <c r="O120" s="1"/>
      <c r="P120" s="1"/>
      <c r="Q120" s="1"/>
      <c r="R120" s="1"/>
      <c r="S120" s="1"/>
      <c r="T120" s="1"/>
      <c r="U120" s="1"/>
      <c r="V120" s="1"/>
      <c r="W120" s="1"/>
      <c r="X120" s="1"/>
    </row>
    <row r="121" ht="15.75" customHeight="1">
      <c r="A121" s="1" t="str">
        <f>IFERROR(__xludf.DUMMYFUNCTION("""COMPUTED_VALUE"""),"King Goose")</f>
        <v>King Goose</v>
      </c>
      <c r="B121" s="73" t="str">
        <f>IFERROR(__xludf.DUMMYFUNCTION("""COMPUTED_VALUE"""),"1-18")</f>
        <v>1-18</v>
      </c>
      <c r="C121" s="2" t="str">
        <f>IFERROR(__xludf.DUMMYFUNCTION("""COMPUTED_VALUE"""),"goose meat")</f>
        <v>goose meat</v>
      </c>
      <c r="D121" s="73" t="str">
        <f>IFERROR(__xludf.DUMMYFUNCTION("""COMPUTED_VALUE"""),"6-10")</f>
        <v>6-10</v>
      </c>
      <c r="E121" s="2" t="str">
        <f>IFERROR(__xludf.DUMMYFUNCTION("""COMPUTED_VALUE"""),"Goose staff")</f>
        <v>Goose staff</v>
      </c>
      <c r="F121" s="73" t="str">
        <f>IFERROR(__xludf.DUMMYFUNCTION("""COMPUTED_VALUE"""),"11-15")</f>
        <v>11-15</v>
      </c>
      <c r="G121" s="2" t="str">
        <f>IFERROR(__xludf.DUMMYFUNCTION("""COMPUTED_VALUE"""),"Nothing")</f>
        <v>Nothing</v>
      </c>
      <c r="H121" s="73" t="str">
        <f>IFERROR(__xludf.DUMMYFUNCTION("""COMPUTED_VALUE"""),"16-20")</f>
        <v>16-20</v>
      </c>
      <c r="I121" s="2" t="str">
        <f>IFERROR(__xludf.DUMMYFUNCTION("""COMPUTED_VALUE"""),"20,000,000G-40,000,000G")</f>
        <v>20,000,000G-40,000,000G</v>
      </c>
      <c r="J121" s="73" t="str">
        <f>IFERROR(__xludf.DUMMYFUNCTION("""COMPUTED_VALUE"""),"21-25")</f>
        <v>21-25</v>
      </c>
      <c r="K121" s="2" t="str">
        <f>IFERROR(__xludf.DUMMYFUNCTION("""COMPUTED_VALUE"""),"Soul")</f>
        <v>Soul</v>
      </c>
      <c r="L121" s="1"/>
      <c r="M121" s="1"/>
      <c r="N121" s="1"/>
      <c r="O121" s="1"/>
      <c r="P121" s="1"/>
      <c r="Q121" s="1"/>
      <c r="R121" s="1"/>
      <c r="S121" s="1"/>
      <c r="T121" s="1"/>
      <c r="U121" s="1"/>
      <c r="V121" s="1"/>
      <c r="W121" s="1"/>
      <c r="X121" s="1"/>
    </row>
    <row r="122" ht="15.75" customHeight="1">
      <c r="A122" s="1" t="str">
        <f>IFERROR(__xludf.DUMMYFUNCTION("""COMPUTED_VALUE"""),"King Of Mekana (Robotic Guardian of the 5th, No. 5)")</f>
        <v>King Of Mekana (Robotic Guardian of the 5th, No. 5)</v>
      </c>
      <c r="B122" s="73" t="str">
        <f>IFERROR(__xludf.DUMMYFUNCTION("""COMPUTED_VALUE"""),"1-5")</f>
        <v>1-5</v>
      </c>
      <c r="C122" s="2" t="str">
        <f>IFERROR(__xludf.DUMMYFUNCTION("""COMPUTED_VALUE"""),"Nothing")</f>
        <v>Nothing</v>
      </c>
      <c r="D122" s="73" t="str">
        <f>IFERROR(__xludf.DUMMYFUNCTION("""COMPUTED_VALUE"""),"6-10")</f>
        <v>6-10</v>
      </c>
      <c r="E122" s="2" t="str">
        <f>IFERROR(__xludf.DUMMYFUNCTION("""COMPUTED_VALUE"""),"King Of Mekanas Sword")</f>
        <v>King Of Mekanas Sword</v>
      </c>
      <c r="F122" s="73" t="str">
        <f>IFERROR(__xludf.DUMMYFUNCTION("""COMPUTED_VALUE"""),"11-15")</f>
        <v>11-15</v>
      </c>
      <c r="G122" s="2" t="str">
        <f>IFERROR(__xludf.DUMMYFUNCTION("""COMPUTED_VALUE"""),"Nothing")</f>
        <v>Nothing</v>
      </c>
      <c r="H122" s="73" t="str">
        <f>IFERROR(__xludf.DUMMYFUNCTION("""COMPUTED_VALUE"""),"16-20")</f>
        <v>16-20</v>
      </c>
      <c r="I122" s="2" t="str">
        <f>IFERROR(__xludf.DUMMYFUNCTION("""COMPUTED_VALUE"""),"Nothing")</f>
        <v>Nothing</v>
      </c>
      <c r="J122" s="73" t="str">
        <f>IFERROR(__xludf.DUMMYFUNCTION("""COMPUTED_VALUE"""),"21-25")</f>
        <v>21-25</v>
      </c>
      <c r="K122" s="2" t="str">
        <f>IFERROR(__xludf.DUMMYFUNCTION("""COMPUTED_VALUE"""),"Nothing")</f>
        <v>Nothing</v>
      </c>
      <c r="L122" s="1"/>
      <c r="M122" s="1"/>
      <c r="N122" s="1"/>
      <c r="O122" s="1"/>
      <c r="P122" s="1"/>
      <c r="Q122" s="1"/>
      <c r="R122" s="1"/>
      <c r="S122" s="1"/>
      <c r="T122" s="1"/>
      <c r="U122" s="1"/>
      <c r="V122" s="1"/>
      <c r="W122" s="1"/>
      <c r="X122" s="1"/>
    </row>
    <row r="123" ht="15.75" customHeight="1">
      <c r="A123" s="1" t="str">
        <f>IFERROR(__xludf.DUMMYFUNCTION("""COMPUTED_VALUE"""),"Knight Of Chaotic Shadows")</f>
        <v>Knight Of Chaotic Shadows</v>
      </c>
      <c r="B123" s="73" t="str">
        <f>IFERROR(__xludf.DUMMYFUNCTION("""COMPUTED_VALUE"""),"1-5")</f>
        <v>1-5</v>
      </c>
      <c r="C123" s="2" t="str">
        <f>IFERROR(__xludf.DUMMYFUNCTION("""COMPUTED_VALUE"""),"Sword of Chaotic Shadows")</f>
        <v>Sword of Chaotic Shadows</v>
      </c>
      <c r="D123" s="73" t="str">
        <f>IFERROR(__xludf.DUMMYFUNCTION("""COMPUTED_VALUE"""),"6-10")</f>
        <v>6-10</v>
      </c>
      <c r="E123" s="2" t="str">
        <f>IFERROR(__xludf.DUMMYFUNCTION("""COMPUTED_VALUE"""),"Soul")</f>
        <v>Soul</v>
      </c>
      <c r="F123" s="73" t="str">
        <f>IFERROR(__xludf.DUMMYFUNCTION("""COMPUTED_VALUE"""),"11-15")</f>
        <v>11-15</v>
      </c>
      <c r="G123" s="2" t="str">
        <f>IFERROR(__xludf.DUMMYFUNCTION("""COMPUTED_VALUE"""),"Nothing")</f>
        <v>Nothing</v>
      </c>
      <c r="H123" s="73" t="str">
        <f>IFERROR(__xludf.DUMMYFUNCTION("""COMPUTED_VALUE"""),"16-20")</f>
        <v>16-20</v>
      </c>
      <c r="I123" s="2" t="str">
        <f>IFERROR(__xludf.DUMMYFUNCTION("""COMPUTED_VALUE"""),"500,000G-1,000,000G")</f>
        <v>500,000G-1,000,000G</v>
      </c>
      <c r="J123" s="73" t="str">
        <f>IFERROR(__xludf.DUMMYFUNCTION("""COMPUTED_VALUE"""),"21-25")</f>
        <v>21-25</v>
      </c>
      <c r="K123" s="2" t="str">
        <f>IFERROR(__xludf.DUMMYFUNCTION("""COMPUTED_VALUE"""),"Nothing")</f>
        <v>Nothing</v>
      </c>
      <c r="L123" s="1"/>
      <c r="M123" s="1"/>
      <c r="N123" s="1"/>
      <c r="O123" s="1"/>
      <c r="P123" s="1"/>
      <c r="Q123" s="1"/>
      <c r="R123" s="1"/>
      <c r="S123" s="1"/>
      <c r="T123" s="1"/>
      <c r="U123" s="1"/>
      <c r="V123" s="1"/>
      <c r="W123" s="1"/>
      <c r="X123" s="1"/>
    </row>
    <row r="124" ht="15.75" customHeight="1">
      <c r="A124" s="1" t="str">
        <f>IFERROR(__xludf.DUMMYFUNCTION("""COMPUTED_VALUE"""),"Lamia ")</f>
        <v>Lamia </v>
      </c>
      <c r="B124" s="73" t="str">
        <f>IFERROR(__xludf.DUMMYFUNCTION("""COMPUTED_VALUE"""),"1-5")</f>
        <v>1-5</v>
      </c>
      <c r="C124" s="2" t="str">
        <f>IFERROR(__xludf.DUMMYFUNCTION("""COMPUTED_VALUE"""),"Scale")</f>
        <v>Scale</v>
      </c>
      <c r="D124" s="73" t="str">
        <f>IFERROR(__xludf.DUMMYFUNCTION("""COMPUTED_VALUE"""),"6-10")</f>
        <v>6-10</v>
      </c>
      <c r="E124" s="2" t="str">
        <f>IFERROR(__xludf.DUMMYFUNCTION("""COMPUTED_VALUE"""),"Enchanted Dagger")</f>
        <v>Enchanted Dagger</v>
      </c>
      <c r="F124" s="73" t="str">
        <f>IFERROR(__xludf.DUMMYFUNCTION("""COMPUTED_VALUE"""),"11-15")</f>
        <v>11-15</v>
      </c>
      <c r="G124" s="2" t="str">
        <f>IFERROR(__xludf.DUMMYFUNCTION("""COMPUTED_VALUE"""),"Soul")</f>
        <v>Soul</v>
      </c>
      <c r="H124" s="73" t="str">
        <f>IFERROR(__xludf.DUMMYFUNCTION("""COMPUTED_VALUE"""),"16-20")</f>
        <v>16-20</v>
      </c>
      <c r="I124" s="2" t="str">
        <f>IFERROR(__xludf.DUMMYFUNCTION("""COMPUTED_VALUE"""),"Egg")</f>
        <v>Egg</v>
      </c>
      <c r="J124" s="73" t="str">
        <f>IFERROR(__xludf.DUMMYFUNCTION("""COMPUTED_VALUE"""),"21-25")</f>
        <v>21-25</v>
      </c>
      <c r="K124" s="2" t="str">
        <f>IFERROR(__xludf.DUMMYFUNCTION("""COMPUTED_VALUE"""),"Nothing")</f>
        <v>Nothing</v>
      </c>
      <c r="L124" s="1"/>
      <c r="M124" s="1"/>
      <c r="N124" s="1"/>
      <c r="O124" s="1"/>
      <c r="P124" s="1"/>
      <c r="Q124" s="1"/>
      <c r="R124" s="1"/>
      <c r="S124" s="1"/>
      <c r="T124" s="1"/>
      <c r="U124" s="1"/>
      <c r="V124" s="1"/>
      <c r="W124" s="1"/>
      <c r="X124" s="1"/>
    </row>
    <row r="125" ht="15.75" customHeight="1">
      <c r="A125" s="1" t="str">
        <f>IFERROR(__xludf.DUMMYFUNCTION("""COMPUTED_VALUE"""),"Lava Tiger")</f>
        <v>Lava Tiger</v>
      </c>
      <c r="B125" s="73" t="str">
        <f>IFERROR(__xludf.DUMMYFUNCTION("""COMPUTED_VALUE"""),"1-5")</f>
        <v>1-5</v>
      </c>
      <c r="C125" s="2" t="str">
        <f>IFERROR(__xludf.DUMMYFUNCTION("""COMPUTED_VALUE"""),"Lava Tiger Skin")</f>
        <v>Lava Tiger Skin</v>
      </c>
      <c r="D125" s="73" t="str">
        <f>IFERROR(__xludf.DUMMYFUNCTION("""COMPUTED_VALUE"""),"6-10")</f>
        <v>6-10</v>
      </c>
      <c r="E125" s="2" t="str">
        <f>IFERROR(__xludf.DUMMYFUNCTION("""COMPUTED_VALUE"""),"Cooked Tiger Meat")</f>
        <v>Cooked Tiger Meat</v>
      </c>
      <c r="F125" s="73" t="str">
        <f>IFERROR(__xludf.DUMMYFUNCTION("""COMPUTED_VALUE"""),"11-15")</f>
        <v>11-15</v>
      </c>
      <c r="G125" s="2" t="str">
        <f>IFERROR(__xludf.DUMMYFUNCTION("""COMPUTED_VALUE"""),"Egg")</f>
        <v>Egg</v>
      </c>
      <c r="H125" s="73" t="str">
        <f>IFERROR(__xludf.DUMMYFUNCTION("""COMPUTED_VALUE"""),"16-20")</f>
        <v>16-20</v>
      </c>
      <c r="I125" s="2" t="str">
        <f>IFERROR(__xludf.DUMMYFUNCTION("""COMPUTED_VALUE"""),"Soul")</f>
        <v>Soul</v>
      </c>
      <c r="J125" s="73" t="str">
        <f>IFERROR(__xludf.DUMMYFUNCTION("""COMPUTED_VALUE"""),"21-25")</f>
        <v>21-25</v>
      </c>
      <c r="K125" s="2" t="str">
        <f>IFERROR(__xludf.DUMMYFUNCTION("""COMPUTED_VALUE"""),"Nothing")</f>
        <v>Nothing</v>
      </c>
      <c r="L125" s="1"/>
      <c r="M125" s="1"/>
      <c r="N125" s="1"/>
      <c r="O125" s="1"/>
      <c r="P125" s="1"/>
      <c r="Q125" s="1"/>
      <c r="R125" s="1"/>
      <c r="S125" s="1"/>
      <c r="T125" s="1"/>
      <c r="U125" s="1"/>
      <c r="V125" s="1"/>
      <c r="W125" s="1"/>
      <c r="X125" s="1"/>
    </row>
    <row r="126" ht="15.75" customHeight="1">
      <c r="A126" s="1" t="str">
        <f>IFERROR(__xludf.DUMMYFUNCTION("""COMPUTED_VALUE"""),"Legendary Treant")</f>
        <v>Legendary Treant</v>
      </c>
      <c r="B126" s="73" t="str">
        <f>IFERROR(__xludf.DUMMYFUNCTION("""COMPUTED_VALUE"""),"1-5")</f>
        <v>1-5</v>
      </c>
      <c r="C126" s="2" t="str">
        <f>IFERROR(__xludf.DUMMYFUNCTION("""COMPUTED_VALUE"""),"Wood")</f>
        <v>Wood</v>
      </c>
      <c r="D126" s="73" t="str">
        <f>IFERROR(__xludf.DUMMYFUNCTION("""COMPUTED_VALUE"""),"6-10")</f>
        <v>6-10</v>
      </c>
      <c r="E126" s="2" t="str">
        <f>IFERROR(__xludf.DUMMYFUNCTION("""COMPUTED_VALUE"""),"a random stick")</f>
        <v>a random stick</v>
      </c>
      <c r="F126" s="73" t="str">
        <f>IFERROR(__xludf.DUMMYFUNCTION("""COMPUTED_VALUE"""),"11-15")</f>
        <v>11-15</v>
      </c>
      <c r="G126" s="2" t="str">
        <f>IFERROR(__xludf.DUMMYFUNCTION("""COMPUTED_VALUE"""),"80,000G-100,000G")</f>
        <v>80,000G-100,000G</v>
      </c>
      <c r="H126" s="73" t="str">
        <f>IFERROR(__xludf.DUMMYFUNCTION("""COMPUTED_VALUE"""),"16-20")</f>
        <v>16-20</v>
      </c>
      <c r="I126" s="2" t="str">
        <f>IFERROR(__xludf.DUMMYFUNCTION("""COMPUTED_VALUE"""),"Soul")</f>
        <v>Soul</v>
      </c>
      <c r="J126" s="73" t="str">
        <f>IFERROR(__xludf.DUMMYFUNCTION("""COMPUTED_VALUE"""),"21-25")</f>
        <v>21-25</v>
      </c>
      <c r="K126" s="2" t="str">
        <f>IFERROR(__xludf.DUMMYFUNCTION("""COMPUTED_VALUE"""),"Egg")</f>
        <v>Egg</v>
      </c>
      <c r="L126" s="1"/>
      <c r="M126" s="1"/>
      <c r="N126" s="1"/>
      <c r="O126" s="1"/>
      <c r="P126" s="1"/>
      <c r="Q126" s="1"/>
      <c r="R126" s="1"/>
      <c r="S126" s="1"/>
      <c r="T126" s="1"/>
      <c r="U126" s="1"/>
      <c r="V126" s="1"/>
      <c r="W126" s="1"/>
      <c r="X126" s="1"/>
    </row>
    <row r="127" ht="15.75" customHeight="1">
      <c r="A127" s="1" t="str">
        <f>IFERROR(__xludf.DUMMYFUNCTION("""COMPUTED_VALUE"""),"Locust Swarm")</f>
        <v>Locust Swarm</v>
      </c>
      <c r="B127" s="73" t="str">
        <f>IFERROR(__xludf.DUMMYFUNCTION("""COMPUTED_VALUE"""),"1-5")</f>
        <v>1-5</v>
      </c>
      <c r="C127" s="2" t="str">
        <f>IFERROR(__xludf.DUMMYFUNCTION("""COMPUTED_VALUE"""),"Egg")</f>
        <v>Egg</v>
      </c>
      <c r="D127" s="73" t="str">
        <f>IFERROR(__xludf.DUMMYFUNCTION("""COMPUTED_VALUE"""),"6-10")</f>
        <v>6-10</v>
      </c>
      <c r="E127" s="2" t="str">
        <f>IFERROR(__xludf.DUMMYFUNCTION("""COMPUTED_VALUE"""),"1,000G-20,000G")</f>
        <v>1,000G-20,000G</v>
      </c>
      <c r="F127" s="73" t="str">
        <f>IFERROR(__xludf.DUMMYFUNCTION("""COMPUTED_VALUE"""),"11-15")</f>
        <v>11-15</v>
      </c>
      <c r="G127" s="2" t="str">
        <f>IFERROR(__xludf.DUMMYFUNCTION("""COMPUTED_VALUE"""),"Nothing")</f>
        <v>Nothing</v>
      </c>
      <c r="H127" s="73" t="str">
        <f>IFERROR(__xludf.DUMMYFUNCTION("""COMPUTED_VALUE"""),"16-20")</f>
        <v>16-20</v>
      </c>
      <c r="I127" s="2" t="str">
        <f>IFERROR(__xludf.DUMMYFUNCTION("""COMPUTED_VALUE"""),"Soul")</f>
        <v>Soul</v>
      </c>
      <c r="J127" s="73" t="str">
        <f>IFERROR(__xludf.DUMMYFUNCTION("""COMPUTED_VALUE"""),"21-25")</f>
        <v>21-25</v>
      </c>
      <c r="K127" s="2" t="str">
        <f>IFERROR(__xludf.DUMMYFUNCTION("""COMPUTED_VALUE"""),"Nothing")</f>
        <v>Nothing</v>
      </c>
      <c r="L127" s="1"/>
      <c r="M127" s="1"/>
      <c r="N127" s="1"/>
      <c r="O127" s="1"/>
      <c r="P127" s="1"/>
      <c r="Q127" s="1"/>
      <c r="R127" s="1"/>
      <c r="S127" s="1"/>
      <c r="T127" s="1"/>
      <c r="U127" s="1"/>
      <c r="V127" s="1"/>
      <c r="W127" s="1"/>
      <c r="X127" s="1"/>
    </row>
    <row r="128" ht="15.75" customHeight="1">
      <c r="A128" s="1" t="str">
        <f>IFERROR(__xludf.DUMMYFUNCTION("""COMPUTED_VALUE"""),"Lord Dreadful (Form 1)")</f>
        <v>Lord Dreadful (Form 1)</v>
      </c>
      <c r="B128" s="73" t="str">
        <f>IFERROR(__xludf.DUMMYFUNCTION("""COMPUTED_VALUE"""),"1-5")</f>
        <v>1-5</v>
      </c>
      <c r="C128" s="2"/>
      <c r="D128" s="1"/>
      <c r="E128" s="2"/>
      <c r="F128" s="1"/>
      <c r="G128" s="2"/>
      <c r="H128" s="1"/>
      <c r="I128" s="2"/>
      <c r="J128" s="1"/>
      <c r="K128" s="2"/>
      <c r="L128" s="1"/>
      <c r="M128" s="1"/>
      <c r="N128" s="1"/>
      <c r="O128" s="1"/>
      <c r="P128" s="1"/>
      <c r="Q128" s="1"/>
      <c r="R128" s="1"/>
      <c r="S128" s="1"/>
      <c r="T128" s="1"/>
      <c r="U128" s="1"/>
      <c r="V128" s="1"/>
      <c r="W128" s="1"/>
      <c r="X128" s="1"/>
    </row>
    <row r="129" ht="15.75" customHeight="1">
      <c r="A129" s="1" t="str">
        <f>IFERROR(__xludf.DUMMYFUNCTION("""COMPUTED_VALUE"""),"Lord Dreadful (Lord Zude) (Form 2)")</f>
        <v>Lord Dreadful (Lord Zude) (Form 2)</v>
      </c>
      <c r="B129" s="73" t="str">
        <f>IFERROR(__xludf.DUMMYFUNCTION("""COMPUTED_VALUE"""),"1-5")</f>
        <v>1-5</v>
      </c>
      <c r="C129" s="2"/>
      <c r="D129" s="1"/>
      <c r="E129" s="2"/>
      <c r="F129" s="1"/>
      <c r="G129" s="2"/>
      <c r="H129" s="1"/>
      <c r="I129" s="2"/>
      <c r="J129" s="1"/>
      <c r="K129" s="2"/>
      <c r="L129" s="1"/>
      <c r="M129" s="1"/>
      <c r="N129" s="1"/>
      <c r="O129" s="1"/>
      <c r="P129" s="1"/>
      <c r="Q129" s="1"/>
      <c r="R129" s="1"/>
      <c r="S129" s="1"/>
      <c r="T129" s="1"/>
      <c r="U129" s="1"/>
      <c r="V129" s="1"/>
      <c r="W129" s="1"/>
      <c r="X129" s="1"/>
    </row>
    <row r="130" ht="15.75" customHeight="1">
      <c r="A130" s="1" t="str">
        <f>IFERROR(__xludf.DUMMYFUNCTION("""COMPUTED_VALUE"""),"Lord Goose")</f>
        <v>Lord Goose</v>
      </c>
      <c r="B130" s="73" t="str">
        <f>IFERROR(__xludf.DUMMYFUNCTION("""COMPUTED_VALUE"""),"1-5")</f>
        <v>1-5</v>
      </c>
      <c r="C130" s="2" t="str">
        <f>IFERROR(__xludf.DUMMYFUNCTION("""COMPUTED_VALUE"""),"goose meat")</f>
        <v>goose meat</v>
      </c>
      <c r="D130" s="73" t="str">
        <f>IFERROR(__xludf.DUMMYFUNCTION("""COMPUTED_VALUE"""),"6-10")</f>
        <v>6-10</v>
      </c>
      <c r="E130" s="2" t="str">
        <f>IFERROR(__xludf.DUMMYFUNCTION("""COMPUTED_VALUE"""),"Goose staff")</f>
        <v>Goose staff</v>
      </c>
      <c r="F130" s="73" t="str">
        <f>IFERROR(__xludf.DUMMYFUNCTION("""COMPUTED_VALUE"""),"11-15")</f>
        <v>11-15</v>
      </c>
      <c r="G130" s="2" t="str">
        <f>IFERROR(__xludf.DUMMYFUNCTION("""COMPUTED_VALUE"""),"Nothing")</f>
        <v>Nothing</v>
      </c>
      <c r="H130" s="73" t="str">
        <f>IFERROR(__xludf.DUMMYFUNCTION("""COMPUTED_VALUE"""),"16-20")</f>
        <v>16-20</v>
      </c>
      <c r="I130" s="2" t="str">
        <f>IFERROR(__xludf.DUMMYFUNCTION("""COMPUTED_VALUE"""),"80,000,000G-100,000,000G")</f>
        <v>80,000,000G-100,000,000G</v>
      </c>
      <c r="J130" s="73" t="str">
        <f>IFERROR(__xludf.DUMMYFUNCTION("""COMPUTED_VALUE"""),"21-25")</f>
        <v>21-25</v>
      </c>
      <c r="K130" s="2" t="str">
        <f>IFERROR(__xludf.DUMMYFUNCTION("""COMPUTED_VALUE"""),"Soul")</f>
        <v>Soul</v>
      </c>
      <c r="L130" s="1"/>
      <c r="M130" s="1"/>
      <c r="N130" s="1"/>
      <c r="O130" s="1"/>
      <c r="P130" s="1"/>
      <c r="Q130" s="1"/>
      <c r="R130" s="1"/>
      <c r="S130" s="1"/>
      <c r="T130" s="1"/>
      <c r="U130" s="1"/>
      <c r="V130" s="1"/>
      <c r="W130" s="1"/>
      <c r="X130" s="1"/>
    </row>
    <row r="131" ht="15.75" customHeight="1">
      <c r="A131" s="1" t="str">
        <f>IFERROR(__xludf.DUMMYFUNCTION("""COMPUTED_VALUE"""),"Lord Of The Bandits")</f>
        <v>Lord Of The Bandits</v>
      </c>
      <c r="B131" s="73" t="str">
        <f>IFERROR(__xludf.DUMMYFUNCTION("""COMPUTED_VALUE"""),"1-5")</f>
        <v>1-5</v>
      </c>
      <c r="C131" s="2" t="str">
        <f>IFERROR(__xludf.DUMMYFUNCTION("""COMPUTED_VALUE"""),"Sword of Bad Luck")</f>
        <v>Sword of Bad Luck</v>
      </c>
      <c r="D131" s="73" t="str">
        <f>IFERROR(__xludf.DUMMYFUNCTION("""COMPUTED_VALUE"""),"6-10")</f>
        <v>6-10</v>
      </c>
      <c r="E131" s="2" t="str">
        <f>IFERROR(__xludf.DUMMYFUNCTION("""COMPUTED_VALUE"""),"Nothing")</f>
        <v>Nothing</v>
      </c>
      <c r="F131" s="73" t="str">
        <f>IFERROR(__xludf.DUMMYFUNCTION("""COMPUTED_VALUE"""),"11-15")</f>
        <v>11-15</v>
      </c>
      <c r="G131" s="2" t="str">
        <f>IFERROR(__xludf.DUMMYFUNCTION("""COMPUTED_VALUE"""),"Soul")</f>
        <v>Soul</v>
      </c>
      <c r="H131" s="73" t="str">
        <f>IFERROR(__xludf.DUMMYFUNCTION("""COMPUTED_VALUE"""),"16-20")</f>
        <v>16-20</v>
      </c>
      <c r="I131" s="2" t="str">
        <f>IFERROR(__xludf.DUMMYFUNCTION("""COMPUTED_VALUE"""),"Nothing")</f>
        <v>Nothing</v>
      </c>
      <c r="J131" s="73" t="str">
        <f>IFERROR(__xludf.DUMMYFUNCTION("""COMPUTED_VALUE"""),"21-25")</f>
        <v>21-25</v>
      </c>
      <c r="K131" s="2" t="str">
        <f>IFERROR(__xludf.DUMMYFUNCTION("""COMPUTED_VALUE"""),"80,000,000G-100,000,000G")</f>
        <v>80,000,000G-100,000,000G</v>
      </c>
      <c r="L131" s="1"/>
      <c r="M131" s="1"/>
      <c r="N131" s="1"/>
      <c r="O131" s="1"/>
      <c r="P131" s="1"/>
      <c r="Q131" s="1"/>
      <c r="R131" s="1"/>
      <c r="S131" s="1"/>
      <c r="T131" s="1"/>
      <c r="U131" s="1"/>
      <c r="V131" s="1"/>
      <c r="W131" s="1"/>
      <c r="X131" s="1"/>
    </row>
    <row r="132" ht="15.75" customHeight="1">
      <c r="A132" s="1" t="str">
        <f>IFERROR(__xludf.DUMMYFUNCTION("""COMPUTED_VALUE"""),"Chaotic Shadow Servant")</f>
        <v>Chaotic Shadow Servant</v>
      </c>
      <c r="B132" s="73" t="str">
        <f>IFERROR(__xludf.DUMMYFUNCTION("""COMPUTED_VALUE"""),"1-5")</f>
        <v>1-5</v>
      </c>
      <c r="C132" s="2" t="str">
        <f>IFERROR(__xludf.DUMMYFUNCTION("""COMPUTED_VALUE"""),"The Servants Sword")</f>
        <v>The Servants Sword</v>
      </c>
      <c r="D132" s="73" t="str">
        <f>IFERROR(__xludf.DUMMYFUNCTION("""COMPUTED_VALUE"""),"6-10")</f>
        <v>6-10</v>
      </c>
      <c r="E132" s="2" t="str">
        <f>IFERROR(__xludf.DUMMYFUNCTION("""COMPUTED_VALUE"""),"Staff of Chaotic Shadows")</f>
        <v>Staff of Chaotic Shadows</v>
      </c>
      <c r="F132" s="73" t="str">
        <f>IFERROR(__xludf.DUMMYFUNCTION("""COMPUTED_VALUE"""),"11-15")</f>
        <v>11-15</v>
      </c>
      <c r="G132" s="2" t="str">
        <f>IFERROR(__xludf.DUMMYFUNCTION("""COMPUTED_VALUE"""),"Nothing")</f>
        <v>Nothing</v>
      </c>
      <c r="H132" s="73" t="str">
        <f>IFERROR(__xludf.DUMMYFUNCTION("""COMPUTED_VALUE"""),"16-20")</f>
        <v>16-20</v>
      </c>
      <c r="I132" s="2" t="str">
        <f>IFERROR(__xludf.DUMMYFUNCTION("""COMPUTED_VALUE"""),"Soul")</f>
        <v>Soul</v>
      </c>
      <c r="J132" s="73" t="str">
        <f>IFERROR(__xludf.DUMMYFUNCTION("""COMPUTED_VALUE"""),"21-25")</f>
        <v>21-25</v>
      </c>
      <c r="K132" s="2" t="str">
        <f>IFERROR(__xludf.DUMMYFUNCTION("""COMPUTED_VALUE"""),"Nothing")</f>
        <v>Nothing</v>
      </c>
      <c r="L132" s="1"/>
      <c r="M132" s="1"/>
      <c r="N132" s="1"/>
      <c r="O132" s="1"/>
      <c r="P132" s="1"/>
      <c r="Q132" s="1"/>
      <c r="R132" s="1"/>
      <c r="S132" s="1"/>
      <c r="T132" s="1"/>
      <c r="U132" s="1"/>
      <c r="V132" s="1"/>
      <c r="W132" s="1"/>
      <c r="X132" s="1"/>
    </row>
    <row r="133" ht="15.75" customHeight="1">
      <c r="A133" s="1" t="str">
        <f>IFERROR(__xludf.DUMMYFUNCTION("""COMPUTED_VALUE"""),"Lugh")</f>
        <v>Lugh</v>
      </c>
      <c r="B133" s="73" t="str">
        <f>IFERROR(__xludf.DUMMYFUNCTION("""COMPUTED_VALUE"""),"1-5")</f>
        <v>1-5</v>
      </c>
      <c r="C133" s="2"/>
      <c r="D133" s="73" t="str">
        <f>IFERROR(__xludf.DUMMYFUNCTION("""COMPUTED_VALUE"""),"6-10")</f>
        <v>6-10</v>
      </c>
      <c r="E133" s="2"/>
      <c r="F133" s="73" t="str">
        <f>IFERROR(__xludf.DUMMYFUNCTION("""COMPUTED_VALUE"""),"11-15")</f>
        <v>11-15</v>
      </c>
      <c r="G133" s="2"/>
      <c r="H133" s="73" t="str">
        <f>IFERROR(__xludf.DUMMYFUNCTION("""COMPUTED_VALUE"""),"16-20")</f>
        <v>16-20</v>
      </c>
      <c r="I133" s="2"/>
      <c r="J133" s="73" t="str">
        <f>IFERROR(__xludf.DUMMYFUNCTION("""COMPUTED_VALUE"""),"21-25")</f>
        <v>21-25</v>
      </c>
      <c r="K133" s="2"/>
      <c r="L133" s="1"/>
      <c r="M133" s="1"/>
      <c r="N133" s="1"/>
      <c r="O133" s="1"/>
      <c r="P133" s="1"/>
      <c r="Q133" s="1"/>
      <c r="R133" s="1"/>
      <c r="S133" s="1"/>
      <c r="T133" s="1"/>
      <c r="U133" s="1"/>
      <c r="V133" s="1"/>
      <c r="W133" s="1"/>
      <c r="X133" s="1"/>
    </row>
    <row r="134" ht="15.75" customHeight="1">
      <c r="A134" s="1" t="str">
        <f>IFERROR(__xludf.DUMMYFUNCTION("""COMPUTED_VALUE"""),"Madem Hagbottom")</f>
        <v>Madem Hagbottom</v>
      </c>
      <c r="B134" s="73" t="str">
        <f>IFERROR(__xludf.DUMMYFUNCTION("""COMPUTED_VALUE"""),"1-5")</f>
        <v>1-5</v>
      </c>
      <c r="C134" s="2" t="str">
        <f>IFERROR(__xludf.DUMMYFUNCTION("""COMPUTED_VALUE"""),"Dark Wand")</f>
        <v>Dark Wand</v>
      </c>
      <c r="D134" s="73" t="str">
        <f>IFERROR(__xludf.DUMMYFUNCTION("""COMPUTED_VALUE"""),"6-10")</f>
        <v>6-10</v>
      </c>
      <c r="E134" s="2" t="str">
        <f>IFERROR(__xludf.DUMMYFUNCTION("""COMPUTED_VALUE"""),"500,000,000G-1,000,000,000G")</f>
        <v>500,000,000G-1,000,000,000G</v>
      </c>
      <c r="F134" s="73" t="str">
        <f>IFERROR(__xludf.DUMMYFUNCTION("""COMPUTED_VALUE"""),"11-15")</f>
        <v>11-15</v>
      </c>
      <c r="G134" s="2" t="str">
        <f>IFERROR(__xludf.DUMMYFUNCTION("""COMPUTED_VALUE"""),"Bone Sword ")</f>
        <v>Bone Sword </v>
      </c>
      <c r="H134" s="73" t="str">
        <f>IFERROR(__xludf.DUMMYFUNCTION("""COMPUTED_VALUE"""),"16-20")</f>
        <v>16-20</v>
      </c>
      <c r="I134" s="2" t="str">
        <f>IFERROR(__xludf.DUMMYFUNCTION("""COMPUTED_VALUE"""),"Candy Corn")</f>
        <v>Candy Corn</v>
      </c>
      <c r="J134" s="73" t="str">
        <f>IFERROR(__xludf.DUMMYFUNCTION("""COMPUTED_VALUE"""),"21-25")</f>
        <v>21-25</v>
      </c>
      <c r="K134" s="2" t="str">
        <f>IFERROR(__xludf.DUMMYFUNCTION("""COMPUTED_VALUE"""),"Cloth Cap")</f>
        <v>Cloth Cap</v>
      </c>
      <c r="L134" s="1"/>
      <c r="M134" s="1"/>
      <c r="N134" s="1"/>
      <c r="O134" s="1"/>
      <c r="P134" s="1"/>
      <c r="Q134" s="1"/>
      <c r="R134" s="1"/>
      <c r="S134" s="1"/>
      <c r="T134" s="1"/>
      <c r="U134" s="1"/>
      <c r="V134" s="1"/>
      <c r="W134" s="1"/>
      <c r="X134" s="1"/>
    </row>
    <row r="135" ht="15.75" customHeight="1">
      <c r="A135" s="1" t="str">
        <f>IFERROR(__xludf.DUMMYFUNCTION("""COMPUTED_VALUE"""),"Manticore")</f>
        <v>Manticore</v>
      </c>
      <c r="B135" s="73" t="str">
        <f>IFERROR(__xludf.DUMMYFUNCTION("""COMPUTED_VALUE"""),"1-5")</f>
        <v>1-5</v>
      </c>
      <c r="C135" s="2" t="str">
        <f>IFERROR(__xludf.DUMMYFUNCTION("""COMPUTED_VALUE"""),"Egg")</f>
        <v>Egg</v>
      </c>
      <c r="D135" s="73" t="str">
        <f>IFERROR(__xludf.DUMMYFUNCTION("""COMPUTED_VALUE"""),"6-10")</f>
        <v>6-10</v>
      </c>
      <c r="E135" s="2" t="str">
        <f>IFERROR(__xludf.DUMMYFUNCTION("""COMPUTED_VALUE"""),"20,000G-40,000G")</f>
        <v>20,000G-40,000G</v>
      </c>
      <c r="F135" s="73" t="str">
        <f>IFERROR(__xludf.DUMMYFUNCTION("""COMPUTED_VALUE"""),"11-15")</f>
        <v>11-15</v>
      </c>
      <c r="G135" s="2" t="str">
        <f>IFERROR(__xludf.DUMMYFUNCTION("""COMPUTED_VALUE"""),"Hand Crossbow")</f>
        <v>Hand Crossbow</v>
      </c>
      <c r="H135" s="73" t="str">
        <f>IFERROR(__xludf.DUMMYFUNCTION("""COMPUTED_VALUE"""),"16-20")</f>
        <v>16-20</v>
      </c>
      <c r="I135" s="2" t="str">
        <f>IFERROR(__xludf.DUMMYFUNCTION("""COMPUTED_VALUE"""),"Soul")</f>
        <v>Soul</v>
      </c>
      <c r="J135" s="73" t="str">
        <f>IFERROR(__xludf.DUMMYFUNCTION("""COMPUTED_VALUE"""),"21-25")</f>
        <v>21-25</v>
      </c>
      <c r="K135" s="2" t="str">
        <f>IFERROR(__xludf.DUMMYFUNCTION("""COMPUTED_VALUE"""),"Nothing")</f>
        <v>Nothing</v>
      </c>
      <c r="L135" s="1"/>
      <c r="M135" s="1"/>
      <c r="N135" s="1"/>
      <c r="O135" s="1"/>
      <c r="P135" s="1"/>
      <c r="Q135" s="1"/>
      <c r="R135" s="1"/>
      <c r="S135" s="1"/>
      <c r="T135" s="1"/>
      <c r="U135" s="1"/>
      <c r="V135" s="1"/>
      <c r="W135" s="1"/>
      <c r="X135" s="1"/>
    </row>
    <row r="136" ht="15.75" customHeight="1">
      <c r="A136" s="1" t="str">
        <f>IFERROR(__xludf.DUMMYFUNCTION("""COMPUTED_VALUE"""),"Master Monk Warrior")</f>
        <v>Master Monk Warrior</v>
      </c>
      <c r="B136" s="73" t="str">
        <f>IFERROR(__xludf.DUMMYFUNCTION("""COMPUTED_VALUE"""),"1-5")</f>
        <v>1-5</v>
      </c>
      <c r="C136" s="2" t="str">
        <f>IFERROR(__xludf.DUMMYFUNCTION("""COMPUTED_VALUE"""),"Bo Staff Of Zhenmay")</f>
        <v>Bo Staff Of Zhenmay</v>
      </c>
      <c r="D136" s="73" t="str">
        <f>IFERROR(__xludf.DUMMYFUNCTION("""COMPUTED_VALUE"""),"6-10")</f>
        <v>6-10</v>
      </c>
      <c r="E136" s="2" t="str">
        <f>IFERROR(__xludf.DUMMYFUNCTION("""COMPUTED_VALUE"""),"Soul")</f>
        <v>Soul</v>
      </c>
      <c r="F136" s="73" t="str">
        <f>IFERROR(__xludf.DUMMYFUNCTION("""COMPUTED_VALUE"""),"11-15")</f>
        <v>11-15</v>
      </c>
      <c r="G136" s="2" t="str">
        <f>IFERROR(__xludf.DUMMYFUNCTION("""COMPUTED_VALUE"""),"Egg")</f>
        <v>Egg</v>
      </c>
      <c r="H136" s="73" t="str">
        <f>IFERROR(__xludf.DUMMYFUNCTION("""COMPUTED_VALUE"""),"16-20")</f>
        <v>16-20</v>
      </c>
      <c r="I136" s="2" t="str">
        <f>IFERROR(__xludf.DUMMYFUNCTION("""COMPUTED_VALUE"""),"Nothing")</f>
        <v>Nothing</v>
      </c>
      <c r="J136" s="73" t="str">
        <f>IFERROR(__xludf.DUMMYFUNCTION("""COMPUTED_VALUE"""),"21-25")</f>
        <v>21-25</v>
      </c>
      <c r="K136" s="2" t="str">
        <f>IFERROR(__xludf.DUMMYFUNCTION("""COMPUTED_VALUE"""),"Nothing")</f>
        <v>Nothing</v>
      </c>
      <c r="L136" s="1"/>
      <c r="M136" s="1"/>
      <c r="N136" s="1"/>
      <c r="O136" s="1"/>
      <c r="P136" s="1"/>
      <c r="Q136" s="1"/>
      <c r="R136" s="1"/>
      <c r="S136" s="1"/>
      <c r="T136" s="1"/>
      <c r="U136" s="1"/>
      <c r="V136" s="1"/>
      <c r="W136" s="1"/>
      <c r="X136" s="1"/>
    </row>
    <row r="137" ht="15.75" customHeight="1">
      <c r="A137" s="1" t="str">
        <f>IFERROR(__xludf.DUMMYFUNCTION("""COMPUTED_VALUE"""),"Master Sawoogo")</f>
        <v>Master Sawoogo</v>
      </c>
      <c r="B137" s="73" t="str">
        <f>IFERROR(__xludf.DUMMYFUNCTION("""COMPUTED_VALUE"""),"1-5")</f>
        <v>1-5</v>
      </c>
      <c r="C137" s="2" t="str">
        <f>IFERROR(__xludf.DUMMYFUNCTION("""COMPUTED_VALUE"""),"100,000,000G-500,000,000G")</f>
        <v>100,000,000G-500,000,000G</v>
      </c>
      <c r="D137" s="73" t="str">
        <f>IFERROR(__xludf.DUMMYFUNCTION("""COMPUTED_VALUE"""),"6-10")</f>
        <v>6-10</v>
      </c>
      <c r="E137" s="2" t="str">
        <f>IFERROR(__xludf.DUMMYFUNCTION("""COMPUTED_VALUE"""),"Aquatic Diamond")</f>
        <v>Aquatic Diamond</v>
      </c>
      <c r="F137" s="73" t="str">
        <f>IFERROR(__xludf.DUMMYFUNCTION("""COMPUTED_VALUE"""),"11-15")</f>
        <v>11-15</v>
      </c>
      <c r="G137" s="2" t="str">
        <f>IFERROR(__xludf.DUMMYFUNCTION("""COMPUTED_VALUE"""),"Soul")</f>
        <v>Soul</v>
      </c>
      <c r="H137" s="73" t="str">
        <f>IFERROR(__xludf.DUMMYFUNCTION("""COMPUTED_VALUE"""),"16-20")</f>
        <v>16-20</v>
      </c>
      <c r="I137" s="2" t="str">
        <f>IFERROR(__xludf.DUMMYFUNCTION("""COMPUTED_VALUE"""),"Giant Fire Diamond")</f>
        <v>Giant Fire Diamond</v>
      </c>
      <c r="J137" s="73" t="str">
        <f>IFERROR(__xludf.DUMMYFUNCTION("""COMPUTED_VALUE"""),"21-25")</f>
        <v>21-25</v>
      </c>
      <c r="K137" s="2" t="str">
        <f>IFERROR(__xludf.DUMMYFUNCTION("""COMPUTED_VALUE"""),"Royal Amulet Of Heatmore")</f>
        <v>Royal Amulet Of Heatmore</v>
      </c>
      <c r="L137" s="1"/>
      <c r="M137" s="1"/>
      <c r="N137" s="1"/>
      <c r="O137" s="1"/>
      <c r="P137" s="1"/>
      <c r="Q137" s="1"/>
      <c r="R137" s="1"/>
      <c r="S137" s="1"/>
      <c r="T137" s="1"/>
      <c r="U137" s="1"/>
      <c r="V137" s="1"/>
      <c r="W137" s="1"/>
      <c r="X137" s="1"/>
    </row>
    <row r="138" ht="15.75" customHeight="1">
      <c r="A138" s="1" t="str">
        <f>IFERROR(__xludf.DUMMYFUNCTION("""COMPUTED_VALUE"""),"Megalodon (WD)")</f>
        <v>Megalodon (WD)</v>
      </c>
      <c r="B138" s="73" t="str">
        <f>IFERROR(__xludf.DUMMYFUNCTION("""COMPUTED_VALUE"""),"1-5")</f>
        <v>1-5</v>
      </c>
      <c r="C138" s="2" t="str">
        <f>IFERROR(__xludf.DUMMYFUNCTION("""COMPUTED_VALUE"""),"Huge Teeth")</f>
        <v>Huge Teeth</v>
      </c>
      <c r="D138" s="73" t="str">
        <f>IFERROR(__xludf.DUMMYFUNCTION("""COMPUTED_VALUE"""),"6-10")</f>
        <v>6-10</v>
      </c>
      <c r="E138" s="2" t="str">
        <f>IFERROR(__xludf.DUMMYFUNCTION("""COMPUTED_VALUE"""),"Nothing")</f>
        <v>Nothing</v>
      </c>
      <c r="F138" s="73" t="str">
        <f>IFERROR(__xludf.DUMMYFUNCTION("""COMPUTED_VALUE"""),"11-15")</f>
        <v>11-15</v>
      </c>
      <c r="G138" s="2" t="str">
        <f>IFERROR(__xludf.DUMMYFUNCTION("""COMPUTED_VALUE"""),"Soul")</f>
        <v>Soul</v>
      </c>
      <c r="H138" s="73" t="str">
        <f>IFERROR(__xludf.DUMMYFUNCTION("""COMPUTED_VALUE"""),"16-20")</f>
        <v>16-20</v>
      </c>
      <c r="I138" s="2" t="str">
        <f>IFERROR(__xludf.DUMMYFUNCTION("""COMPUTED_VALUE"""),"Nothing")</f>
        <v>Nothing</v>
      </c>
      <c r="J138" s="73" t="str">
        <f>IFERROR(__xludf.DUMMYFUNCTION("""COMPUTED_VALUE"""),"21-25")</f>
        <v>21-25</v>
      </c>
      <c r="K138" s="2" t="str">
        <f>IFERROR(__xludf.DUMMYFUNCTION("""COMPUTED_VALUE"""),"Egg")</f>
        <v>Egg</v>
      </c>
      <c r="L138" s="1"/>
      <c r="M138" s="1"/>
      <c r="N138" s="1"/>
      <c r="O138" s="1"/>
      <c r="P138" s="1"/>
      <c r="Q138" s="1"/>
      <c r="R138" s="1"/>
      <c r="S138" s="1"/>
      <c r="T138" s="1"/>
      <c r="U138" s="1"/>
      <c r="V138" s="1"/>
      <c r="W138" s="1"/>
      <c r="X138" s="1"/>
    </row>
    <row r="139" ht="15.75" customHeight="1">
      <c r="A139" s="1" t="str">
        <f>IFERROR(__xludf.DUMMYFUNCTION("""COMPUTED_VALUE"""),"Megalodon (WD) (Enhanced)")</f>
        <v>Megalodon (WD) (Enhanced)</v>
      </c>
      <c r="B139" s="73" t="str">
        <f>IFERROR(__xludf.DUMMYFUNCTION("""COMPUTED_VALUE"""),"1-5")</f>
        <v>1-5</v>
      </c>
      <c r="C139" s="2" t="str">
        <f>IFERROR(__xludf.DUMMYFUNCTION("""COMPUTED_VALUE"""),"Huge Teeth")</f>
        <v>Huge Teeth</v>
      </c>
      <c r="D139" s="73" t="str">
        <f>IFERROR(__xludf.DUMMYFUNCTION("""COMPUTED_VALUE"""),"6-10")</f>
        <v>6-10</v>
      </c>
      <c r="E139" s="2" t="str">
        <f>IFERROR(__xludf.DUMMYFUNCTION("""COMPUTED_VALUE"""),"Nothing")</f>
        <v>Nothing</v>
      </c>
      <c r="F139" s="73" t="str">
        <f>IFERROR(__xludf.DUMMYFUNCTION("""COMPUTED_VALUE"""),"11-15")</f>
        <v>11-15</v>
      </c>
      <c r="G139" s="2" t="str">
        <f>IFERROR(__xludf.DUMMYFUNCTION("""COMPUTED_VALUE"""),"Soul")</f>
        <v>Soul</v>
      </c>
      <c r="H139" s="73" t="str">
        <f>IFERROR(__xludf.DUMMYFUNCTION("""COMPUTED_VALUE"""),"16-20")</f>
        <v>16-20</v>
      </c>
      <c r="I139" s="2" t="str">
        <f>IFERROR(__xludf.DUMMYFUNCTION("""COMPUTED_VALUE"""),"Nothing")</f>
        <v>Nothing</v>
      </c>
      <c r="J139" s="73" t="str">
        <f>IFERROR(__xludf.DUMMYFUNCTION("""COMPUTED_VALUE"""),"21-25")</f>
        <v>21-25</v>
      </c>
      <c r="K139" s="2" t="str">
        <f>IFERROR(__xludf.DUMMYFUNCTION("""COMPUTED_VALUE"""),"Egg")</f>
        <v>Egg</v>
      </c>
      <c r="L139" s="1"/>
      <c r="M139" s="1"/>
      <c r="N139" s="1"/>
      <c r="O139" s="1"/>
      <c r="P139" s="1"/>
      <c r="Q139" s="1"/>
      <c r="R139" s="1"/>
      <c r="S139" s="1"/>
      <c r="T139" s="1"/>
      <c r="U139" s="1"/>
      <c r="V139" s="1"/>
      <c r="W139" s="1"/>
      <c r="X139" s="1"/>
    </row>
    <row r="140" ht="15.75" customHeight="1">
      <c r="A140" s="1" t="str">
        <f>IFERROR(__xludf.DUMMYFUNCTION("""COMPUTED_VALUE"""),"Merk the undying sand Goblin")</f>
        <v>Merk the undying sand Goblin</v>
      </c>
      <c r="B140" s="73" t="str">
        <f>IFERROR(__xludf.DUMMYFUNCTION("""COMPUTED_VALUE"""),"1-5")</f>
        <v>1-5</v>
      </c>
      <c r="C140" s="2" t="str">
        <f>IFERROR(__xludf.DUMMYFUNCTION("""COMPUTED_VALUE"""),"Potion Of Regeneration")</f>
        <v>Potion Of Regeneration</v>
      </c>
      <c r="D140" s="73" t="str">
        <f>IFERROR(__xludf.DUMMYFUNCTION("""COMPUTED_VALUE"""),"6-10")</f>
        <v>6-10</v>
      </c>
      <c r="E140" s="2" t="str">
        <f>IFERROR(__xludf.DUMMYFUNCTION("""COMPUTED_VALUE"""),"Spear")</f>
        <v>Spear</v>
      </c>
      <c r="F140" s="73" t="str">
        <f>IFERROR(__xludf.DUMMYFUNCTION("""COMPUTED_VALUE"""),"11-15")</f>
        <v>11-15</v>
      </c>
      <c r="G140" s="2" t="str">
        <f>IFERROR(__xludf.DUMMYFUNCTION("""COMPUTED_VALUE"""),"1,000G-20,000G")</f>
        <v>1,000G-20,000G</v>
      </c>
      <c r="H140" s="73" t="str">
        <f>IFERROR(__xludf.DUMMYFUNCTION("""COMPUTED_VALUE"""),"16-20")</f>
        <v>16-20</v>
      </c>
      <c r="I140" s="2" t="str">
        <f>IFERROR(__xludf.DUMMYFUNCTION("""COMPUTED_VALUE"""),"Soul")</f>
        <v>Soul</v>
      </c>
      <c r="J140" s="73" t="str">
        <f>IFERROR(__xludf.DUMMYFUNCTION("""COMPUTED_VALUE"""),"21-25")</f>
        <v>21-25</v>
      </c>
      <c r="K140" s="2" t="str">
        <f>IFERROR(__xludf.DUMMYFUNCTION("""COMPUTED_VALUE"""),"Nothing")</f>
        <v>Nothing</v>
      </c>
      <c r="L140" s="1"/>
      <c r="M140" s="1"/>
      <c r="N140" s="1"/>
      <c r="O140" s="1"/>
      <c r="P140" s="1"/>
      <c r="Q140" s="1"/>
      <c r="R140" s="1"/>
      <c r="S140" s="1"/>
      <c r="T140" s="1"/>
      <c r="U140" s="1"/>
      <c r="V140" s="1"/>
      <c r="W140" s="1"/>
      <c r="X140" s="1"/>
    </row>
    <row r="141" ht="15.75" customHeight="1">
      <c r="A141" s="1" t="str">
        <f>IFERROR(__xludf.DUMMYFUNCTION("""COMPUTED_VALUE"""),"Mod ""The Evil Seahag From Hagstown""")</f>
        <v>Mod "The Evil Seahag From Hagstown"</v>
      </c>
      <c r="B141" s="73" t="str">
        <f>IFERROR(__xludf.DUMMYFUNCTION("""COMPUTED_VALUE"""),"1-5")</f>
        <v>1-5</v>
      </c>
      <c r="C141" s="2" t="str">
        <f>IFERROR(__xludf.DUMMYFUNCTION("""COMPUTED_VALUE"""),"500,000,000G-1,000,000,000G")</f>
        <v>500,000,000G-1,000,000,000G</v>
      </c>
      <c r="D141" s="73" t="str">
        <f>IFERROR(__xludf.DUMMYFUNCTION("""COMPUTED_VALUE"""),"6-10")</f>
        <v>6-10</v>
      </c>
      <c r="E141" s="2" t="str">
        <f>IFERROR(__xludf.DUMMYFUNCTION("""COMPUTED_VALUE"""),"Candy Corn")</f>
        <v>Candy Corn</v>
      </c>
      <c r="F141" s="73" t="str">
        <f>IFERROR(__xludf.DUMMYFUNCTION("""COMPUTED_VALUE"""),"11-15")</f>
        <v>11-15</v>
      </c>
      <c r="G141" s="2" t="str">
        <f>IFERROR(__xludf.DUMMYFUNCTION("""COMPUTED_VALUE"""),"Candy Corn Necklace")</f>
        <v>Candy Corn Necklace</v>
      </c>
      <c r="H141" s="73" t="str">
        <f>IFERROR(__xludf.DUMMYFUNCTION("""COMPUTED_VALUE"""),"16-20")</f>
        <v>16-20</v>
      </c>
      <c r="I141" s="2" t="str">
        <f>IFERROR(__xludf.DUMMYFUNCTION("""COMPUTED_VALUE"""),"Candy Corn Rifle")</f>
        <v>Candy Corn Rifle</v>
      </c>
      <c r="J141" s="73" t="str">
        <f>IFERROR(__xludf.DUMMYFUNCTION("""COMPUTED_VALUE"""),"21-25")</f>
        <v>21-25</v>
      </c>
      <c r="K141" s="2" t="str">
        <f>IFERROR(__xludf.DUMMYFUNCTION("""COMPUTED_VALUE"""),"Soul")</f>
        <v>Soul</v>
      </c>
      <c r="L141" s="1"/>
      <c r="M141" s="1"/>
      <c r="N141" s="1"/>
      <c r="O141" s="1"/>
      <c r="P141" s="1"/>
      <c r="Q141" s="1"/>
      <c r="R141" s="1"/>
      <c r="S141" s="1"/>
      <c r="T141" s="1"/>
      <c r="U141" s="1"/>
      <c r="V141" s="1"/>
      <c r="W141" s="1"/>
      <c r="X141" s="1"/>
    </row>
    <row r="142" ht="15.75" customHeight="1">
      <c r="A142" s="1" t="str">
        <f>IFERROR(__xludf.DUMMYFUNCTION("""COMPUTED_VALUE"""),"Moonlight Unicorn")</f>
        <v>Moonlight Unicorn</v>
      </c>
      <c r="B142" s="73" t="str">
        <f>IFERROR(__xludf.DUMMYFUNCTION("""COMPUTED_VALUE"""),"1-5")</f>
        <v>1-5</v>
      </c>
      <c r="C142" s="2" t="str">
        <f>IFERROR(__xludf.DUMMYFUNCTION("""COMPUTED_VALUE"""),"Nothing")</f>
        <v>Nothing</v>
      </c>
      <c r="D142" s="73" t="str">
        <f>IFERROR(__xludf.DUMMYFUNCTION("""COMPUTED_VALUE"""),"6-10")</f>
        <v>6-10</v>
      </c>
      <c r="E142" s="2" t="str">
        <f>IFERROR(__xludf.DUMMYFUNCTION("""COMPUTED_VALUE"""),"Soul")</f>
        <v>Soul</v>
      </c>
      <c r="F142" s="73" t="str">
        <f>IFERROR(__xludf.DUMMYFUNCTION("""COMPUTED_VALUE"""),"11-15")</f>
        <v>11-15</v>
      </c>
      <c r="G142" s="2" t="str">
        <f>IFERROR(__xludf.DUMMYFUNCTION("""COMPUTED_VALUE"""),"20,000G-40,000G")</f>
        <v>20,000G-40,000G</v>
      </c>
      <c r="H142" s="73" t="str">
        <f>IFERROR(__xludf.DUMMYFUNCTION("""COMPUTED_VALUE"""),"16-20")</f>
        <v>16-20</v>
      </c>
      <c r="I142" s="2" t="str">
        <f>IFERROR(__xludf.DUMMYFUNCTION("""COMPUTED_VALUE"""),"Egg")</f>
        <v>Egg</v>
      </c>
      <c r="J142" s="73" t="str">
        <f>IFERROR(__xludf.DUMMYFUNCTION("""COMPUTED_VALUE"""),"21-25")</f>
        <v>21-25</v>
      </c>
      <c r="K142" s="2" t="str">
        <f>IFERROR(__xludf.DUMMYFUNCTION("""COMPUTED_VALUE"""),"Nothing")</f>
        <v>Nothing</v>
      </c>
      <c r="L142" s="1"/>
      <c r="M142" s="1"/>
      <c r="N142" s="1"/>
      <c r="O142" s="1"/>
      <c r="P142" s="1"/>
      <c r="Q142" s="1"/>
      <c r="R142" s="1"/>
      <c r="S142" s="1"/>
      <c r="T142" s="1"/>
      <c r="U142" s="1"/>
      <c r="V142" s="1"/>
      <c r="W142" s="1"/>
      <c r="X142" s="1"/>
    </row>
    <row r="143" ht="15.75" customHeight="1">
      <c r="A143" s="1" t="str">
        <f>IFERROR(__xludf.DUMMYFUNCTION("""COMPUTED_VALUE"""),"Mournful Mother")</f>
        <v>Mournful Mother</v>
      </c>
      <c r="B143" s="73" t="str">
        <f>IFERROR(__xludf.DUMMYFUNCTION("""COMPUTED_VALUE"""),"1-5")</f>
        <v>1-5</v>
      </c>
      <c r="C143" s="2" t="str">
        <f>IFERROR(__xludf.DUMMYFUNCTION("""COMPUTED_VALUE"""),"1,000G-20,000G")</f>
        <v>1,000G-20,000G</v>
      </c>
      <c r="D143" s="73" t="str">
        <f>IFERROR(__xludf.DUMMYFUNCTION("""COMPUTED_VALUE"""),"6-10")</f>
        <v>6-10</v>
      </c>
      <c r="E143" s="2" t="str">
        <f>IFERROR(__xludf.DUMMYFUNCTION("""COMPUTED_VALUE"""),"Soul")</f>
        <v>Soul</v>
      </c>
      <c r="F143" s="73" t="str">
        <f>IFERROR(__xludf.DUMMYFUNCTION("""COMPUTED_VALUE"""),"11-15")</f>
        <v>11-15</v>
      </c>
      <c r="G143" s="2" t="str">
        <f>IFERROR(__xludf.DUMMYFUNCTION("""COMPUTED_VALUE"""),"Nothing")</f>
        <v>Nothing</v>
      </c>
      <c r="H143" s="73" t="str">
        <f>IFERROR(__xludf.DUMMYFUNCTION("""COMPUTED_VALUE"""),"16-20")</f>
        <v>16-20</v>
      </c>
      <c r="I143" s="2" t="str">
        <f>IFERROR(__xludf.DUMMYFUNCTION("""COMPUTED_VALUE"""),"Nothing")</f>
        <v>Nothing</v>
      </c>
      <c r="J143" s="73" t="str">
        <f>IFERROR(__xludf.DUMMYFUNCTION("""COMPUTED_VALUE"""),"21-25")</f>
        <v>21-25</v>
      </c>
      <c r="K143" s="2" t="str">
        <f>IFERROR(__xludf.DUMMYFUNCTION("""COMPUTED_VALUE"""),"Nothing")</f>
        <v>Nothing</v>
      </c>
      <c r="L143" s="1"/>
      <c r="M143" s="1"/>
      <c r="N143" s="1"/>
      <c r="O143" s="1"/>
      <c r="P143" s="1"/>
      <c r="Q143" s="1"/>
      <c r="R143" s="1"/>
      <c r="S143" s="1"/>
      <c r="T143" s="1"/>
      <c r="U143" s="1"/>
      <c r="V143" s="1"/>
      <c r="W143" s="1"/>
      <c r="X143" s="1"/>
    </row>
    <row r="144" ht="15.75" customHeight="1">
      <c r="A144" s="1" t="str">
        <f>IFERROR(__xludf.DUMMYFUNCTION("""COMPUTED_VALUE"""),"Multi Headed Chaotic Shadow Dragon")</f>
        <v>Multi Headed Chaotic Shadow Dragon</v>
      </c>
      <c r="B144" s="73" t="str">
        <f>IFERROR(__xludf.DUMMYFUNCTION("""COMPUTED_VALUE"""),"1-5")</f>
        <v>1-5</v>
      </c>
      <c r="C144" s="2" t="str">
        <f>IFERROR(__xludf.DUMMYFUNCTION("""COMPUTED_VALUE"""),"Chaotic Shadow Dragon Scales")</f>
        <v>Chaotic Shadow Dragon Scales</v>
      </c>
      <c r="D144" s="73" t="str">
        <f>IFERROR(__xludf.DUMMYFUNCTION("""COMPUTED_VALUE"""),"6-10")</f>
        <v>6-10</v>
      </c>
      <c r="E144" s="2" t="str">
        <f>IFERROR(__xludf.DUMMYFUNCTION("""COMPUTED_VALUE"""),"1,000,000G-20,000,000G")</f>
        <v>1,000,000G-20,000,000G</v>
      </c>
      <c r="F144" s="73" t="str">
        <f>IFERROR(__xludf.DUMMYFUNCTION("""COMPUTED_VALUE"""),"11-15")</f>
        <v>11-15</v>
      </c>
      <c r="G144" s="2" t="str">
        <f>IFERROR(__xludf.DUMMYFUNCTION("""COMPUTED_VALUE"""),"Chaotic Shadow Dragon Skull")</f>
        <v>Chaotic Shadow Dragon Skull</v>
      </c>
      <c r="H144" s="73" t="str">
        <f>IFERROR(__xludf.DUMMYFUNCTION("""COMPUTED_VALUE"""),"16-20")</f>
        <v>16-20</v>
      </c>
      <c r="I144" s="2" t="str">
        <f>IFERROR(__xludf.DUMMYFUNCTION("""COMPUTED_VALUE"""),"Nothing")</f>
        <v>Nothing</v>
      </c>
      <c r="J144" s="73" t="str">
        <f>IFERROR(__xludf.DUMMYFUNCTION("""COMPUTED_VALUE"""),"21-25")</f>
        <v>21-25</v>
      </c>
      <c r="K144" s="2" t="str">
        <f>IFERROR(__xludf.DUMMYFUNCTION("""COMPUTED_VALUE"""),"Soul")</f>
        <v>Soul</v>
      </c>
      <c r="L144" s="1"/>
      <c r="M144" s="1"/>
      <c r="N144" s="1"/>
      <c r="O144" s="1"/>
      <c r="P144" s="1"/>
      <c r="Q144" s="1"/>
      <c r="R144" s="1"/>
      <c r="S144" s="1"/>
      <c r="T144" s="1"/>
      <c r="U144" s="1"/>
      <c r="V144" s="1"/>
      <c r="W144" s="1"/>
      <c r="X144" s="1"/>
    </row>
    <row r="145" ht="15.75" customHeight="1">
      <c r="A145" s="1" t="str">
        <f>IFERROR(__xludf.DUMMYFUNCTION("""COMPUTED_VALUE"""),"Mummy Guardian")</f>
        <v>Mummy Guardian</v>
      </c>
      <c r="B145" s="73" t="str">
        <f>IFERROR(__xludf.DUMMYFUNCTION("""COMPUTED_VALUE"""),"1-5")</f>
        <v>1-5</v>
      </c>
      <c r="C145" s="2" t="str">
        <f>IFERROR(__xludf.DUMMYFUNCTION("""COMPUTED_VALUE"""),"Nothing")</f>
        <v>Nothing</v>
      </c>
      <c r="D145" s="73" t="str">
        <f>IFERROR(__xludf.DUMMYFUNCTION("""COMPUTED_VALUE"""),"6-10")</f>
        <v>6-10</v>
      </c>
      <c r="E145" s="2" t="str">
        <f>IFERROR(__xludf.DUMMYFUNCTION("""COMPUTED_VALUE"""),"Soul")</f>
        <v>Soul</v>
      </c>
      <c r="F145" s="73" t="str">
        <f>IFERROR(__xludf.DUMMYFUNCTION("""COMPUTED_VALUE"""),"11-15")</f>
        <v>11-15</v>
      </c>
      <c r="G145" s="2" t="str">
        <f>IFERROR(__xludf.DUMMYFUNCTION("""COMPUTED_VALUE"""),"Nothing")</f>
        <v>Nothing</v>
      </c>
      <c r="H145" s="73" t="str">
        <f>IFERROR(__xludf.DUMMYFUNCTION("""COMPUTED_VALUE"""),"16-20")</f>
        <v>16-20</v>
      </c>
      <c r="I145" s="2" t="str">
        <f>IFERROR(__xludf.DUMMYFUNCTION("""COMPUTED_VALUE"""),"Nothing")</f>
        <v>Nothing</v>
      </c>
      <c r="J145" s="73" t="str">
        <f>IFERROR(__xludf.DUMMYFUNCTION("""COMPUTED_VALUE"""),"21-25")</f>
        <v>21-25</v>
      </c>
      <c r="K145" s="2" t="str">
        <f>IFERROR(__xludf.DUMMYFUNCTION("""COMPUTED_VALUE"""),"80,000G-100,000G")</f>
        <v>80,000G-100,000G</v>
      </c>
      <c r="L145" s="1"/>
      <c r="M145" s="1"/>
      <c r="N145" s="1"/>
      <c r="O145" s="1"/>
      <c r="P145" s="1"/>
      <c r="Q145" s="1"/>
      <c r="R145" s="1"/>
      <c r="S145" s="1"/>
      <c r="T145" s="1"/>
      <c r="U145" s="1"/>
      <c r="V145" s="1"/>
      <c r="W145" s="1"/>
      <c r="X145" s="1"/>
    </row>
    <row r="146" ht="15.75" customHeight="1">
      <c r="A146" s="1" t="str">
        <f>IFERROR(__xludf.DUMMYFUNCTION("""COMPUTED_VALUE"""),"Mummy King")</f>
        <v>Mummy King</v>
      </c>
      <c r="B146" s="73" t="str">
        <f>IFERROR(__xludf.DUMMYFUNCTION("""COMPUTED_VALUE"""),"1-5")</f>
        <v>1-5</v>
      </c>
      <c r="C146" s="2" t="str">
        <f>IFERROR(__xludf.DUMMYFUNCTION("""COMPUTED_VALUE"""),"Void sword")</f>
        <v>Void sword</v>
      </c>
      <c r="D146" s="73" t="str">
        <f>IFERROR(__xludf.DUMMYFUNCTION("""COMPUTED_VALUE"""),"6-10")</f>
        <v>6-10</v>
      </c>
      <c r="E146" s="2" t="str">
        <f>IFERROR(__xludf.DUMMYFUNCTION("""COMPUTED_VALUE"""),"Soul")</f>
        <v>Soul</v>
      </c>
      <c r="F146" s="73" t="str">
        <f>IFERROR(__xludf.DUMMYFUNCTION("""COMPUTED_VALUE"""),"11-15")</f>
        <v>11-15</v>
      </c>
      <c r="G146" s="2" t="str">
        <f>IFERROR(__xludf.DUMMYFUNCTION("""COMPUTED_VALUE"""),"Nothing")</f>
        <v>Nothing</v>
      </c>
      <c r="H146" s="73" t="str">
        <f>IFERROR(__xludf.DUMMYFUNCTION("""COMPUTED_VALUE"""),"16-20")</f>
        <v>16-20</v>
      </c>
      <c r="I146" s="2" t="str">
        <f>IFERROR(__xludf.DUMMYFUNCTION("""COMPUTED_VALUE"""),"Nothing")</f>
        <v>Nothing</v>
      </c>
      <c r="J146" s="73" t="str">
        <f>IFERROR(__xludf.DUMMYFUNCTION("""COMPUTED_VALUE"""),"21-25")</f>
        <v>21-25</v>
      </c>
      <c r="K146" s="2" t="str">
        <f>IFERROR(__xludf.DUMMYFUNCTION("""COMPUTED_VALUE"""),"100,000,000G-500,000,000G")</f>
        <v>100,000,000G-500,000,000G</v>
      </c>
      <c r="L146" s="1"/>
      <c r="M146" s="1"/>
      <c r="N146" s="1"/>
      <c r="O146" s="1"/>
      <c r="P146" s="1"/>
      <c r="Q146" s="1"/>
      <c r="R146" s="1"/>
      <c r="S146" s="1"/>
      <c r="T146" s="1"/>
      <c r="U146" s="1"/>
      <c r="V146" s="1"/>
      <c r="W146" s="1"/>
      <c r="X146" s="1"/>
    </row>
    <row r="147" ht="15.75" customHeight="1">
      <c r="A147" s="1" t="str">
        <f>IFERROR(__xludf.DUMMYFUNCTION("""COMPUTED_VALUE"""),"Mummy Queen")</f>
        <v>Mummy Queen</v>
      </c>
      <c r="B147" s="73" t="str">
        <f>IFERROR(__xludf.DUMMYFUNCTION("""COMPUTED_VALUE"""),"1-5")</f>
        <v>1-5</v>
      </c>
      <c r="C147" s="2" t="str">
        <f>IFERROR(__xludf.DUMMYFUNCTION("""COMPUTED_VALUE"""),"Soul")</f>
        <v>Soul</v>
      </c>
      <c r="D147" s="73" t="str">
        <f>IFERROR(__xludf.DUMMYFUNCTION("""COMPUTED_VALUE"""),"6-10")</f>
        <v>6-10</v>
      </c>
      <c r="E147" s="2" t="str">
        <f>IFERROR(__xludf.DUMMYFUNCTION("""COMPUTED_VALUE"""),"Soul")</f>
        <v>Soul</v>
      </c>
      <c r="F147" s="73" t="str">
        <f>IFERROR(__xludf.DUMMYFUNCTION("""COMPUTED_VALUE"""),"11-15")</f>
        <v>11-15</v>
      </c>
      <c r="G147" s="2" t="str">
        <f>IFERROR(__xludf.DUMMYFUNCTION("""COMPUTED_VALUE"""),"Soul")</f>
        <v>Soul</v>
      </c>
      <c r="H147" s="73" t="str">
        <f>IFERROR(__xludf.DUMMYFUNCTION("""COMPUTED_VALUE"""),"16-20")</f>
        <v>16-20</v>
      </c>
      <c r="I147" s="2" t="str">
        <f>IFERROR(__xludf.DUMMYFUNCTION("""COMPUTED_VALUE"""),"Void sword")</f>
        <v>Void sword</v>
      </c>
      <c r="J147" s="73" t="str">
        <f>IFERROR(__xludf.DUMMYFUNCTION("""COMPUTED_VALUE"""),"21-25")</f>
        <v>21-25</v>
      </c>
      <c r="K147" s="2" t="str">
        <f>IFERROR(__xludf.DUMMYFUNCTION("""COMPUTED_VALUE"""),"1,000G-20,000G")</f>
        <v>1,000G-20,000G</v>
      </c>
      <c r="L147" s="1"/>
      <c r="M147" s="1"/>
      <c r="N147" s="1"/>
      <c r="O147" s="1"/>
      <c r="P147" s="1"/>
      <c r="Q147" s="1"/>
      <c r="R147" s="1"/>
      <c r="S147" s="1"/>
      <c r="T147" s="1"/>
      <c r="U147" s="1"/>
      <c r="V147" s="1"/>
      <c r="W147" s="1"/>
      <c r="X147" s="1"/>
    </row>
    <row r="148" ht="15.75" customHeight="1">
      <c r="A148" s="1" t="str">
        <f>IFERROR(__xludf.DUMMYFUNCTION("""COMPUTED_VALUE"""),"Mummy Soldier")</f>
        <v>Mummy Soldier</v>
      </c>
      <c r="B148" s="73" t="str">
        <f>IFERROR(__xludf.DUMMYFUNCTION("""COMPUTED_VALUE"""),"1-5")</f>
        <v>1-5</v>
      </c>
      <c r="C148" s="2" t="str">
        <f>IFERROR(__xludf.DUMMYFUNCTION("""COMPUTED_VALUE"""),"Soul")</f>
        <v>Soul</v>
      </c>
      <c r="D148" s="73" t="str">
        <f>IFERROR(__xludf.DUMMYFUNCTION("""COMPUTED_VALUE"""),"6-10")</f>
        <v>6-10</v>
      </c>
      <c r="E148" s="2" t="str">
        <f>IFERROR(__xludf.DUMMYFUNCTION("""COMPUTED_VALUE"""),"Soul")</f>
        <v>Soul</v>
      </c>
      <c r="F148" s="73" t="str">
        <f>IFERROR(__xludf.DUMMYFUNCTION("""COMPUTED_VALUE"""),"11-15")</f>
        <v>11-15</v>
      </c>
      <c r="G148" s="2" t="str">
        <f>IFERROR(__xludf.DUMMYFUNCTION("""COMPUTED_VALUE"""),"Egg")</f>
        <v>Egg</v>
      </c>
      <c r="H148" s="73" t="str">
        <f>IFERROR(__xludf.DUMMYFUNCTION("""COMPUTED_VALUE"""),"16-20")</f>
        <v>16-20</v>
      </c>
      <c r="I148" s="2" t="str">
        <f>IFERROR(__xludf.DUMMYFUNCTION("""COMPUTED_VALUE"""),"Soul")</f>
        <v>Soul</v>
      </c>
      <c r="J148" s="73" t="str">
        <f>IFERROR(__xludf.DUMMYFUNCTION("""COMPUTED_VALUE"""),"21-25")</f>
        <v>21-25</v>
      </c>
      <c r="K148" s="2" t="str">
        <f>IFERROR(__xludf.DUMMYFUNCTION("""COMPUTED_VALUE"""),"Nothing")</f>
        <v>Nothing</v>
      </c>
      <c r="L148" s="1"/>
      <c r="M148" s="1"/>
      <c r="N148" s="1"/>
      <c r="O148" s="1"/>
      <c r="P148" s="1"/>
      <c r="Q148" s="1"/>
      <c r="R148" s="1"/>
      <c r="S148" s="1"/>
      <c r="T148" s="1"/>
      <c r="U148" s="1"/>
      <c r="V148" s="1"/>
      <c r="W148" s="1"/>
      <c r="X148" s="1"/>
    </row>
    <row r="149" ht="15.75" customHeight="1">
      <c r="A149" s="1" t="str">
        <f>IFERROR(__xludf.DUMMYFUNCTION("""COMPUTED_VALUE"""),"Mummy Warrior")</f>
        <v>Mummy Warrior</v>
      </c>
      <c r="B149" s="73" t="str">
        <f>IFERROR(__xludf.DUMMYFUNCTION("""COMPUTED_VALUE"""),"1-5")</f>
        <v>1-5</v>
      </c>
      <c r="C149" s="2" t="str">
        <f>IFERROR(__xludf.DUMMYFUNCTION("""COMPUTED_VALUE"""),"Soul")</f>
        <v>Soul</v>
      </c>
      <c r="D149" s="73" t="str">
        <f>IFERROR(__xludf.DUMMYFUNCTION("""COMPUTED_VALUE"""),"6-10")</f>
        <v>6-10</v>
      </c>
      <c r="E149" s="2" t="str">
        <f>IFERROR(__xludf.DUMMYFUNCTION("""COMPUTED_VALUE"""),"Soul")</f>
        <v>Soul</v>
      </c>
      <c r="F149" s="73" t="str">
        <f>IFERROR(__xludf.DUMMYFUNCTION("""COMPUTED_VALUE"""),"11-15")</f>
        <v>11-15</v>
      </c>
      <c r="G149" s="2" t="str">
        <f>IFERROR(__xludf.DUMMYFUNCTION("""COMPUTED_VALUE"""),"Egg")</f>
        <v>Egg</v>
      </c>
      <c r="H149" s="73" t="str">
        <f>IFERROR(__xludf.DUMMYFUNCTION("""COMPUTED_VALUE"""),"16-20")</f>
        <v>16-20</v>
      </c>
      <c r="I149" s="2" t="str">
        <f>IFERROR(__xludf.DUMMYFUNCTION("""COMPUTED_VALUE"""),"Soul")</f>
        <v>Soul</v>
      </c>
      <c r="J149" s="73" t="str">
        <f>IFERROR(__xludf.DUMMYFUNCTION("""COMPUTED_VALUE"""),"21-25")</f>
        <v>21-25</v>
      </c>
      <c r="K149" s="2" t="str">
        <f>IFERROR(__xludf.DUMMYFUNCTION("""COMPUTED_VALUE"""),"Nothing")</f>
        <v>Nothing</v>
      </c>
      <c r="L149" s="1"/>
      <c r="M149" s="1"/>
      <c r="N149" s="1"/>
      <c r="O149" s="1"/>
      <c r="P149" s="1"/>
      <c r="Q149" s="1"/>
      <c r="R149" s="1"/>
      <c r="S149" s="1"/>
      <c r="T149" s="1"/>
      <c r="U149" s="1"/>
      <c r="V149" s="1"/>
      <c r="W149" s="1"/>
      <c r="X149" s="1"/>
    </row>
    <row r="150" ht="15.75" customHeight="1">
      <c r="A150" s="1" t="str">
        <f>IFERROR(__xludf.DUMMYFUNCTION("""COMPUTED_VALUE"""),"Octopi (WD)")</f>
        <v>Octopi (WD)</v>
      </c>
      <c r="B150" s="73" t="str">
        <f>IFERROR(__xludf.DUMMYFUNCTION("""COMPUTED_VALUE"""),"1-5")</f>
        <v>1-5</v>
      </c>
      <c r="C150" s="2" t="str">
        <f>IFERROR(__xludf.DUMMYFUNCTION("""COMPUTED_VALUE"""),"Egg")</f>
        <v>Egg</v>
      </c>
      <c r="D150" s="73" t="str">
        <f>IFERROR(__xludf.DUMMYFUNCTION("""COMPUTED_VALUE"""),"6-10")</f>
        <v>6-10</v>
      </c>
      <c r="E150" s="2" t="str">
        <f>IFERROR(__xludf.DUMMYFUNCTION("""COMPUTED_VALUE"""),"Tentacle")</f>
        <v>Tentacle</v>
      </c>
      <c r="F150" s="73" t="str">
        <f>IFERROR(__xludf.DUMMYFUNCTION("""COMPUTED_VALUE"""),"11-15")</f>
        <v>11-15</v>
      </c>
      <c r="G150" s="2" t="str">
        <f>IFERROR(__xludf.DUMMYFUNCTION("""COMPUTED_VALUE"""),"Potion of Water Breathing")</f>
        <v>Potion of Water Breathing</v>
      </c>
      <c r="H150" s="73" t="str">
        <f>IFERROR(__xludf.DUMMYFUNCTION("""COMPUTED_VALUE"""),"16-20")</f>
        <v>16-20</v>
      </c>
      <c r="I150" s="2" t="str">
        <f>IFERROR(__xludf.DUMMYFUNCTION("""COMPUTED_VALUE"""),"Soul")</f>
        <v>Soul</v>
      </c>
      <c r="J150" s="73" t="str">
        <f>IFERROR(__xludf.DUMMYFUNCTION("""COMPUTED_VALUE"""),"21-25")</f>
        <v>21-25</v>
      </c>
      <c r="K150" s="2" t="str">
        <f>IFERROR(__xludf.DUMMYFUNCTION("""COMPUTED_VALUE"""),"Nothing")</f>
        <v>Nothing</v>
      </c>
      <c r="L150" s="1"/>
      <c r="M150" s="1"/>
      <c r="N150" s="1"/>
      <c r="O150" s="1"/>
      <c r="P150" s="1"/>
      <c r="Q150" s="1"/>
      <c r="R150" s="1"/>
      <c r="S150" s="1"/>
      <c r="T150" s="1"/>
      <c r="U150" s="1"/>
      <c r="V150" s="1"/>
      <c r="W150" s="1"/>
      <c r="X150" s="1"/>
    </row>
    <row r="151" ht="15.75" customHeight="1">
      <c r="A151" s="1" t="str">
        <f>IFERROR(__xludf.DUMMYFUNCTION("""COMPUTED_VALUE"""),"Octopi (WD) (Enhanced)")</f>
        <v>Octopi (WD) (Enhanced)</v>
      </c>
      <c r="B151" s="73" t="str">
        <f>IFERROR(__xludf.DUMMYFUNCTION("""COMPUTED_VALUE"""),"1-5")</f>
        <v>1-5</v>
      </c>
      <c r="C151" s="2" t="str">
        <f>IFERROR(__xludf.DUMMYFUNCTION("""COMPUTED_VALUE"""),"Egg")</f>
        <v>Egg</v>
      </c>
      <c r="D151" s="73" t="str">
        <f>IFERROR(__xludf.DUMMYFUNCTION("""COMPUTED_VALUE"""),"6-10")</f>
        <v>6-10</v>
      </c>
      <c r="E151" s="2" t="str">
        <f>IFERROR(__xludf.DUMMYFUNCTION("""COMPUTED_VALUE"""),"Tentacle")</f>
        <v>Tentacle</v>
      </c>
      <c r="F151" s="73" t="str">
        <f>IFERROR(__xludf.DUMMYFUNCTION("""COMPUTED_VALUE"""),"11-15")</f>
        <v>11-15</v>
      </c>
      <c r="G151" s="2" t="str">
        <f>IFERROR(__xludf.DUMMYFUNCTION("""COMPUTED_VALUE"""),"Potion of Water Breathing")</f>
        <v>Potion of Water Breathing</v>
      </c>
      <c r="H151" s="73" t="str">
        <f>IFERROR(__xludf.DUMMYFUNCTION("""COMPUTED_VALUE"""),"16-20")</f>
        <v>16-20</v>
      </c>
      <c r="I151" s="2" t="str">
        <f>IFERROR(__xludf.DUMMYFUNCTION("""COMPUTED_VALUE"""),"Soul")</f>
        <v>Soul</v>
      </c>
      <c r="J151" s="73" t="str">
        <f>IFERROR(__xludf.DUMMYFUNCTION("""COMPUTED_VALUE"""),"21-25")</f>
        <v>21-25</v>
      </c>
      <c r="K151" s="2" t="str">
        <f>IFERROR(__xludf.DUMMYFUNCTION("""COMPUTED_VALUE"""),"Nothing")</f>
        <v>Nothing</v>
      </c>
      <c r="L151" s="1"/>
      <c r="M151" s="1"/>
      <c r="N151" s="1"/>
      <c r="O151" s="1"/>
      <c r="P151" s="1"/>
      <c r="Q151" s="1"/>
      <c r="R151" s="1"/>
      <c r="S151" s="1"/>
      <c r="T151" s="1"/>
      <c r="U151" s="1"/>
      <c r="V151" s="1"/>
      <c r="W151" s="1"/>
      <c r="X151" s="1"/>
    </row>
    <row r="152" ht="15.75" customHeight="1">
      <c r="A152" s="1" t="str">
        <f>IFERROR(__xludf.DUMMYFUNCTION("""COMPUTED_VALUE"""),"Ox")</f>
        <v>Ox</v>
      </c>
      <c r="B152" s="73" t="str">
        <f>IFERROR(__xludf.DUMMYFUNCTION("""COMPUTED_VALUE"""),"1-5")</f>
        <v>1-5</v>
      </c>
      <c r="C152" s="2" t="str">
        <f>IFERROR(__xludf.DUMMYFUNCTION("""COMPUTED_VALUE"""),"Egg")</f>
        <v>Egg</v>
      </c>
      <c r="D152" s="73" t="str">
        <f>IFERROR(__xludf.DUMMYFUNCTION("""COMPUTED_VALUE"""),"6-10")</f>
        <v>6-10</v>
      </c>
      <c r="E152" s="2" t="str">
        <f>IFERROR(__xludf.DUMMYFUNCTION("""COMPUTED_VALUE"""),"Soul")</f>
        <v>Soul</v>
      </c>
      <c r="F152" s="73" t="str">
        <f>IFERROR(__xludf.DUMMYFUNCTION("""COMPUTED_VALUE"""),"11-15")</f>
        <v>11-15</v>
      </c>
      <c r="G152" s="2" t="str">
        <f>IFERROR(__xludf.DUMMYFUNCTION("""COMPUTED_VALUE"""),"Raw Meat")</f>
        <v>Raw Meat</v>
      </c>
      <c r="H152" s="73" t="str">
        <f>IFERROR(__xludf.DUMMYFUNCTION("""COMPUTED_VALUE"""),"16-20")</f>
        <v>16-20</v>
      </c>
      <c r="I152" s="2" t="str">
        <f>IFERROR(__xludf.DUMMYFUNCTION("""COMPUTED_VALUE"""),"Nothing")</f>
        <v>Nothing</v>
      </c>
      <c r="J152" s="73" t="str">
        <f>IFERROR(__xludf.DUMMYFUNCTION("""COMPUTED_VALUE"""),"21-25")</f>
        <v>21-25</v>
      </c>
      <c r="K152" s="2" t="str">
        <f>IFERROR(__xludf.DUMMYFUNCTION("""COMPUTED_VALUE"""),"Nothing")</f>
        <v>Nothing</v>
      </c>
      <c r="L152" s="1"/>
      <c r="M152" s="1"/>
      <c r="N152" s="1"/>
      <c r="O152" s="1"/>
      <c r="P152" s="1"/>
      <c r="Q152" s="1"/>
      <c r="R152" s="1"/>
      <c r="S152" s="1"/>
      <c r="T152" s="1"/>
      <c r="U152" s="1"/>
      <c r="V152" s="1"/>
      <c r="W152" s="1"/>
      <c r="X152" s="1"/>
    </row>
    <row r="153" ht="15.75" customHeight="1">
      <c r="A153" s="1" t="str">
        <f>IFERROR(__xludf.DUMMYFUNCTION("""COMPUTED_VALUE"""),"Phantom")</f>
        <v>Phantom</v>
      </c>
      <c r="B153" s="73" t="str">
        <f>IFERROR(__xludf.DUMMYFUNCTION("""COMPUTED_VALUE"""),"1-5")</f>
        <v>1-5</v>
      </c>
      <c r="C153" s="2" t="str">
        <f>IFERROR(__xludf.DUMMYFUNCTION("""COMPUTED_VALUE"""),"Egg")</f>
        <v>Egg</v>
      </c>
      <c r="D153" s="73" t="str">
        <f>IFERROR(__xludf.DUMMYFUNCTION("""COMPUTED_VALUE"""),"6-10")</f>
        <v>6-10</v>
      </c>
      <c r="E153" s="2" t="str">
        <f>IFERROR(__xludf.DUMMYFUNCTION("""COMPUTED_VALUE"""),"Shadow Fluid")</f>
        <v>Shadow Fluid</v>
      </c>
      <c r="F153" s="73" t="str">
        <f>IFERROR(__xludf.DUMMYFUNCTION("""COMPUTED_VALUE"""),"11-15")</f>
        <v>11-15</v>
      </c>
      <c r="G153" s="2" t="str">
        <f>IFERROR(__xludf.DUMMYFUNCTION("""COMPUTED_VALUE"""),"1,000G-20,000G")</f>
        <v>1,000G-20,000G</v>
      </c>
      <c r="H153" s="73" t="str">
        <f>IFERROR(__xludf.DUMMYFUNCTION("""COMPUTED_VALUE"""),"16-20")</f>
        <v>16-20</v>
      </c>
      <c r="I153" s="2" t="str">
        <f>IFERROR(__xludf.DUMMYFUNCTION("""COMPUTED_VALUE"""),"Soul")</f>
        <v>Soul</v>
      </c>
      <c r="J153" s="73" t="str">
        <f>IFERROR(__xludf.DUMMYFUNCTION("""COMPUTED_VALUE"""),"21-25")</f>
        <v>21-25</v>
      </c>
      <c r="K153" s="2" t="str">
        <f>IFERROR(__xludf.DUMMYFUNCTION("""COMPUTED_VALUE"""),"Phantasmal Scythe")</f>
        <v>Phantasmal Scythe</v>
      </c>
      <c r="L153" s="1"/>
      <c r="M153" s="1"/>
      <c r="N153" s="1"/>
      <c r="O153" s="1"/>
      <c r="P153" s="1"/>
      <c r="Q153" s="1"/>
      <c r="R153" s="1"/>
      <c r="S153" s="1"/>
      <c r="T153" s="1"/>
      <c r="U153" s="1"/>
      <c r="V153" s="1"/>
      <c r="W153" s="1"/>
      <c r="X153" s="1"/>
    </row>
    <row r="154" ht="15.75" customHeight="1">
      <c r="A154" s="1" t="str">
        <f>IFERROR(__xludf.DUMMYFUNCTION("""COMPUTED_VALUE"""),"Phantom of Lord Dreadful")</f>
        <v>Phantom of Lord Dreadful</v>
      </c>
      <c r="B154" s="73" t="str">
        <f>IFERROR(__xludf.DUMMYFUNCTION("""COMPUTED_VALUE"""),"1-5")</f>
        <v>1-5</v>
      </c>
      <c r="C154" s="2" t="str">
        <f>IFERROR(__xludf.DUMMYFUNCTION("""COMPUTED_VALUE"""),"Rank 9 Twilight Tome")</f>
        <v>Rank 9 Twilight Tome</v>
      </c>
      <c r="D154" s="73" t="str">
        <f>IFERROR(__xludf.DUMMYFUNCTION("""COMPUTED_VALUE"""),"6-10")</f>
        <v>6-10</v>
      </c>
      <c r="E154" s="2" t="str">
        <f>IFERROR(__xludf.DUMMYFUNCTION("""COMPUTED_VALUE"""),"Nothing")</f>
        <v>Nothing</v>
      </c>
      <c r="F154" s="73" t="str">
        <f>IFERROR(__xludf.DUMMYFUNCTION("""COMPUTED_VALUE"""),"11-15")</f>
        <v>11-15</v>
      </c>
      <c r="G154" s="2" t="str">
        <f>IFERROR(__xludf.DUMMYFUNCTION("""COMPUTED_VALUE"""),"Soul")</f>
        <v>Soul</v>
      </c>
      <c r="H154" s="73" t="str">
        <f>IFERROR(__xludf.DUMMYFUNCTION("""COMPUTED_VALUE"""),"16-20")</f>
        <v>16-20</v>
      </c>
      <c r="I154" s="2" t="str">
        <f>IFERROR(__xludf.DUMMYFUNCTION("""COMPUTED_VALUE"""),"500,000,000G-1,000,000,000G")</f>
        <v>500,000,000G-1,000,000,000G</v>
      </c>
      <c r="J154" s="73" t="str">
        <f>IFERROR(__xludf.DUMMYFUNCTION("""COMPUTED_VALUE"""),"21-25")</f>
        <v>21-25</v>
      </c>
      <c r="K154" s="2" t="str">
        <f>IFERROR(__xludf.DUMMYFUNCTION("""COMPUTED_VALUE"""),"Nothing")</f>
        <v>Nothing</v>
      </c>
      <c r="L154" s="1"/>
      <c r="M154" s="1"/>
      <c r="N154" s="1"/>
      <c r="O154" s="1"/>
      <c r="P154" s="1"/>
      <c r="Q154" s="1"/>
      <c r="R154" s="1"/>
      <c r="S154" s="1"/>
      <c r="T154" s="1"/>
      <c r="U154" s="1"/>
      <c r="V154" s="1"/>
      <c r="W154" s="1"/>
      <c r="X154" s="1"/>
    </row>
    <row r="155" ht="15.75" customHeight="1">
      <c r="A155" s="1" t="str">
        <f>IFERROR(__xludf.DUMMYFUNCTION("""COMPUTED_VALUE"""),"Piranhas (WD)")</f>
        <v>Piranhas (WD)</v>
      </c>
      <c r="B155" s="73" t="str">
        <f>IFERROR(__xludf.DUMMYFUNCTION("""COMPUTED_VALUE"""),"1-5")</f>
        <v>1-5</v>
      </c>
      <c r="C155" s="2" t="str">
        <f>IFERROR(__xludf.DUMMYFUNCTION("""COMPUTED_VALUE"""),"Fish")</f>
        <v>Fish</v>
      </c>
      <c r="D155" s="73" t="str">
        <f>IFERROR(__xludf.DUMMYFUNCTION("""COMPUTED_VALUE"""),"6-10")</f>
        <v>6-10</v>
      </c>
      <c r="E155" s="2" t="str">
        <f>IFERROR(__xludf.DUMMYFUNCTION("""COMPUTED_VALUE"""),"Piranha Tooth Dagger")</f>
        <v>Piranha Tooth Dagger</v>
      </c>
      <c r="F155" s="73" t="str">
        <f>IFERROR(__xludf.DUMMYFUNCTION("""COMPUTED_VALUE"""),"11-15")</f>
        <v>11-15</v>
      </c>
      <c r="G155" s="2" t="str">
        <f>IFERROR(__xludf.DUMMYFUNCTION("""COMPUTED_VALUE"""),"Soul")</f>
        <v>Soul</v>
      </c>
      <c r="H155" s="73" t="str">
        <f>IFERROR(__xludf.DUMMYFUNCTION("""COMPUTED_VALUE"""),"16-20")</f>
        <v>16-20</v>
      </c>
      <c r="I155" s="2" t="str">
        <f>IFERROR(__xludf.DUMMYFUNCTION("""COMPUTED_VALUE"""),"Egg")</f>
        <v>Egg</v>
      </c>
      <c r="J155" s="73" t="str">
        <f>IFERROR(__xludf.DUMMYFUNCTION("""COMPUTED_VALUE"""),"21-25")</f>
        <v>21-25</v>
      </c>
      <c r="K155" s="2" t="str">
        <f>IFERROR(__xludf.DUMMYFUNCTION("""COMPUTED_VALUE"""),"Nothing")</f>
        <v>Nothing</v>
      </c>
      <c r="L155" s="1"/>
      <c r="M155" s="1"/>
      <c r="N155" s="1"/>
      <c r="O155" s="1"/>
      <c r="P155" s="1"/>
      <c r="Q155" s="1"/>
      <c r="R155" s="1"/>
      <c r="S155" s="1"/>
      <c r="T155" s="1"/>
      <c r="U155" s="1"/>
      <c r="V155" s="1"/>
      <c r="W155" s="1"/>
      <c r="X155" s="1"/>
    </row>
    <row r="156" ht="15.75" customHeight="1">
      <c r="A156" s="1" t="str">
        <f>IFERROR(__xludf.DUMMYFUNCTION("""COMPUTED_VALUE"""),"Piranhas (WD) (Enhanced)")</f>
        <v>Piranhas (WD) (Enhanced)</v>
      </c>
      <c r="B156" s="73" t="str">
        <f>IFERROR(__xludf.DUMMYFUNCTION("""COMPUTED_VALUE"""),"1-5")</f>
        <v>1-5</v>
      </c>
      <c r="C156" s="2" t="str">
        <f>IFERROR(__xludf.DUMMYFUNCTION("""COMPUTED_VALUE"""),"Fish")</f>
        <v>Fish</v>
      </c>
      <c r="D156" s="73" t="str">
        <f>IFERROR(__xludf.DUMMYFUNCTION("""COMPUTED_VALUE"""),"6-10")</f>
        <v>6-10</v>
      </c>
      <c r="E156" s="2" t="str">
        <f>IFERROR(__xludf.DUMMYFUNCTION("""COMPUTED_VALUE"""),"Piranha Tooth Dagger")</f>
        <v>Piranha Tooth Dagger</v>
      </c>
      <c r="F156" s="73" t="str">
        <f>IFERROR(__xludf.DUMMYFUNCTION("""COMPUTED_VALUE"""),"11-15")</f>
        <v>11-15</v>
      </c>
      <c r="G156" s="2" t="str">
        <f>IFERROR(__xludf.DUMMYFUNCTION("""COMPUTED_VALUE"""),"Soul")</f>
        <v>Soul</v>
      </c>
      <c r="H156" s="73" t="str">
        <f>IFERROR(__xludf.DUMMYFUNCTION("""COMPUTED_VALUE"""),"16-20")</f>
        <v>16-20</v>
      </c>
      <c r="I156" s="2" t="str">
        <f>IFERROR(__xludf.DUMMYFUNCTION("""COMPUTED_VALUE"""),"Egg")</f>
        <v>Egg</v>
      </c>
      <c r="J156" s="73" t="str">
        <f>IFERROR(__xludf.DUMMYFUNCTION("""COMPUTED_VALUE"""),"21-25")</f>
        <v>21-25</v>
      </c>
      <c r="K156" s="2" t="str">
        <f>IFERROR(__xludf.DUMMYFUNCTION("""COMPUTED_VALUE"""),"Nothing")</f>
        <v>Nothing</v>
      </c>
      <c r="L156" s="1"/>
      <c r="M156" s="1"/>
      <c r="N156" s="1"/>
      <c r="O156" s="1"/>
      <c r="P156" s="1"/>
      <c r="Q156" s="1"/>
      <c r="R156" s="1"/>
      <c r="S156" s="1"/>
      <c r="T156" s="1"/>
      <c r="U156" s="1"/>
      <c r="V156" s="1"/>
      <c r="W156" s="1"/>
      <c r="X156" s="1"/>
    </row>
    <row r="157" ht="15.75" customHeight="1">
      <c r="A157" s="1" t="str">
        <f>IFERROR(__xludf.DUMMYFUNCTION("""COMPUTED_VALUE"""),"Poison Warrior")</f>
        <v>Poison Warrior</v>
      </c>
      <c r="B157" s="73" t="str">
        <f>IFERROR(__xludf.DUMMYFUNCTION("""COMPUTED_VALUE"""),"1-5")</f>
        <v>1-5</v>
      </c>
      <c r="C157" s="2" t="str">
        <f>IFERROR(__xludf.DUMMYFUNCTION("""COMPUTED_VALUE"""),"Poison Vine Sword")</f>
        <v>Poison Vine Sword</v>
      </c>
      <c r="D157" s="73" t="str">
        <f>IFERROR(__xludf.DUMMYFUNCTION("""COMPUTED_VALUE"""),"6-10")</f>
        <v>6-10</v>
      </c>
      <c r="E157" s="2" t="str">
        <f>IFERROR(__xludf.DUMMYFUNCTION("""COMPUTED_VALUE"""),"20,000G-40,000G")</f>
        <v>20,000G-40,000G</v>
      </c>
      <c r="F157" s="73" t="str">
        <f>IFERROR(__xludf.DUMMYFUNCTION("""COMPUTED_VALUE"""),"11-15")</f>
        <v>11-15</v>
      </c>
      <c r="G157" s="2" t="str">
        <f>IFERROR(__xludf.DUMMYFUNCTION("""COMPUTED_VALUE"""),"Poison Vial")</f>
        <v>Poison Vial</v>
      </c>
      <c r="H157" s="73" t="str">
        <f>IFERROR(__xludf.DUMMYFUNCTION("""COMPUTED_VALUE"""),"16-20")</f>
        <v>16-20</v>
      </c>
      <c r="I157" s="2" t="str">
        <f>IFERROR(__xludf.DUMMYFUNCTION("""COMPUTED_VALUE"""),"Soul")</f>
        <v>Soul</v>
      </c>
      <c r="J157" s="73" t="str">
        <f>IFERROR(__xludf.DUMMYFUNCTION("""COMPUTED_VALUE"""),"21-25")</f>
        <v>21-25</v>
      </c>
      <c r="K157" s="2" t="str">
        <f>IFERROR(__xludf.DUMMYFUNCTION("""COMPUTED_VALUE"""),"Egg")</f>
        <v>Egg</v>
      </c>
      <c r="L157" s="1"/>
      <c r="M157" s="1"/>
      <c r="N157" s="1"/>
      <c r="O157" s="1"/>
      <c r="P157" s="1"/>
      <c r="Q157" s="1"/>
      <c r="R157" s="1"/>
      <c r="S157" s="1"/>
      <c r="T157" s="1"/>
      <c r="U157" s="1"/>
      <c r="V157" s="1"/>
      <c r="W157" s="1"/>
      <c r="X157" s="1"/>
    </row>
    <row r="158" ht="15.75" customHeight="1">
      <c r="A158" s="1" t="str">
        <f>IFERROR(__xludf.DUMMYFUNCTION("""COMPUTED_VALUE"""),"Possessed Pumpkin")</f>
        <v>Possessed Pumpkin</v>
      </c>
      <c r="B158" s="73" t="str">
        <f>IFERROR(__xludf.DUMMYFUNCTION("""COMPUTED_VALUE"""),"1-5")</f>
        <v>1-5</v>
      </c>
      <c r="C158" s="2" t="str">
        <f>IFERROR(__xludf.DUMMYFUNCTION("""COMPUTED_VALUE"""),"Premium Pumpkin")</f>
        <v>Premium Pumpkin</v>
      </c>
      <c r="D158" s="73" t="str">
        <f>IFERROR(__xludf.DUMMYFUNCTION("""COMPUTED_VALUE"""),"6-10")</f>
        <v>6-10</v>
      </c>
      <c r="E158" s="2" t="str">
        <f>IFERROR(__xludf.DUMMYFUNCTION("""COMPUTED_VALUE"""),"Pumpkin Diamond")</f>
        <v>Pumpkin Diamond</v>
      </c>
      <c r="F158" s="73" t="str">
        <f>IFERROR(__xludf.DUMMYFUNCTION("""COMPUTED_VALUE"""),"11-15")</f>
        <v>11-15</v>
      </c>
      <c r="G158" s="2" t="str">
        <f>IFERROR(__xludf.DUMMYFUNCTION("""COMPUTED_VALUE"""),"Pumpkin")</f>
        <v>Pumpkin</v>
      </c>
      <c r="H158" s="73" t="str">
        <f>IFERROR(__xludf.DUMMYFUNCTION("""COMPUTED_VALUE"""),"16-20")</f>
        <v>16-20</v>
      </c>
      <c r="I158" s="2" t="str">
        <f>IFERROR(__xludf.DUMMYFUNCTION("""COMPUTED_VALUE"""),"Pumpkin Arrow")</f>
        <v>Pumpkin Arrow</v>
      </c>
      <c r="J158" s="73" t="str">
        <f>IFERROR(__xludf.DUMMYFUNCTION("""COMPUTED_VALUE"""),"21-25")</f>
        <v>21-25</v>
      </c>
      <c r="K158" s="2" t="str">
        <f>IFERROR(__xludf.DUMMYFUNCTION("""COMPUTED_VALUE"""),"Soul")</f>
        <v>Soul</v>
      </c>
      <c r="L158" s="1"/>
      <c r="M158" s="1"/>
      <c r="N158" s="1"/>
      <c r="O158" s="1"/>
      <c r="P158" s="1"/>
      <c r="Q158" s="1"/>
      <c r="R158" s="1"/>
      <c r="S158" s="1"/>
      <c r="T158" s="1"/>
      <c r="U158" s="1"/>
      <c r="V158" s="1"/>
      <c r="W158" s="1"/>
      <c r="X158" s="1"/>
    </row>
    <row r="159" ht="15.75" customHeight="1">
      <c r="A159" s="1" t="str">
        <f>IFERROR(__xludf.DUMMYFUNCTION("""COMPUTED_VALUE"""),"Possesed Clown")</f>
        <v>Possesed Clown</v>
      </c>
      <c r="B159" s="73" t="str">
        <f>IFERROR(__xludf.DUMMYFUNCTION("""COMPUTED_VALUE"""),"1-5")</f>
        <v>1-5</v>
      </c>
      <c r="C159" s="2" t="str">
        <f>IFERROR(__xludf.DUMMYFUNCTION("""COMPUTED_VALUE"""),"Nothing")</f>
        <v>Nothing</v>
      </c>
      <c r="D159" s="73" t="str">
        <f>IFERROR(__xludf.DUMMYFUNCTION("""COMPUTED_VALUE"""),"6-10")</f>
        <v>6-10</v>
      </c>
      <c r="E159" s="2" t="str">
        <f>IFERROR(__xludf.DUMMYFUNCTION("""COMPUTED_VALUE"""),"Cursed Child's Hatchet")</f>
        <v>Cursed Child's Hatchet</v>
      </c>
      <c r="F159" s="73" t="str">
        <f>IFERROR(__xludf.DUMMYFUNCTION("""COMPUTED_VALUE"""),"11-15")</f>
        <v>11-15</v>
      </c>
      <c r="G159" s="2" t="str">
        <f>IFERROR(__xludf.DUMMYFUNCTION("""COMPUTED_VALUE"""),"Wig of Temper Fire")</f>
        <v>Wig of Temper Fire</v>
      </c>
      <c r="H159" s="73" t="str">
        <f>IFERROR(__xludf.DUMMYFUNCTION("""COMPUTED_VALUE"""),"16-20")</f>
        <v>16-20</v>
      </c>
      <c r="I159" s="2" t="str">
        <f>IFERROR(__xludf.DUMMYFUNCTION("""COMPUTED_VALUE"""),"Nothing")</f>
        <v>Nothing</v>
      </c>
      <c r="J159" s="73" t="str">
        <f>IFERROR(__xludf.DUMMYFUNCTION("""COMPUTED_VALUE"""),"21-25")</f>
        <v>21-25</v>
      </c>
      <c r="K159" s="2" t="str">
        <f>IFERROR(__xludf.DUMMYFUNCTION("""COMPUTED_VALUE"""),"60,000G-80,000G")</f>
        <v>60,000G-80,000G</v>
      </c>
      <c r="L159" s="1"/>
      <c r="M159" s="1"/>
      <c r="N159" s="1"/>
      <c r="O159" s="1"/>
      <c r="P159" s="1"/>
      <c r="Q159" s="1"/>
      <c r="R159" s="1"/>
      <c r="S159" s="1"/>
      <c r="T159" s="1"/>
      <c r="U159" s="1"/>
      <c r="V159" s="1"/>
      <c r="W159" s="1"/>
      <c r="X159" s="1"/>
    </row>
    <row r="160" ht="15.75" customHeight="1">
      <c r="A160" s="1" t="str">
        <f>IFERROR(__xludf.DUMMYFUNCTION("""COMPUTED_VALUE"""),"Pumpkin King")</f>
        <v>Pumpkin King</v>
      </c>
      <c r="B160" s="73" t="str">
        <f>IFERROR(__xludf.DUMMYFUNCTION("""COMPUTED_VALUE"""),"1-5")</f>
        <v>1-5</v>
      </c>
      <c r="C160" s="2" t="str">
        <f>IFERROR(__xludf.DUMMYFUNCTION("""COMPUTED_VALUE"""),"The Staff of The Pumpkin’s Curse")</f>
        <v>The Staff of The Pumpkin’s Curse</v>
      </c>
      <c r="D160" s="73" t="str">
        <f>IFERROR(__xludf.DUMMYFUNCTION("""COMPUTED_VALUE"""),"6-10")</f>
        <v>6-10</v>
      </c>
      <c r="E160" s="2" t="str">
        <f>IFERROR(__xludf.DUMMYFUNCTION("""COMPUTED_VALUE"""),"Pumpkin Diamond")</f>
        <v>Pumpkin Diamond</v>
      </c>
      <c r="F160" s="73" t="str">
        <f>IFERROR(__xludf.DUMMYFUNCTION("""COMPUTED_VALUE"""),"11-15")</f>
        <v>11-15</v>
      </c>
      <c r="G160" s="2" t="str">
        <f>IFERROR(__xludf.DUMMYFUNCTION("""COMPUTED_VALUE"""),"Premium Pumpkin Soup")</f>
        <v>Premium Pumpkin Soup</v>
      </c>
      <c r="H160" s="73" t="str">
        <f>IFERROR(__xludf.DUMMYFUNCTION("""COMPUTED_VALUE"""),"16-20")</f>
        <v>16-20</v>
      </c>
      <c r="I160" s="2" t="str">
        <f>IFERROR(__xludf.DUMMYFUNCTION("""COMPUTED_VALUE"""),"Soul")</f>
        <v>Soul</v>
      </c>
      <c r="J160" s="73" t="str">
        <f>IFERROR(__xludf.DUMMYFUNCTION("""COMPUTED_VALUE"""),"21-25")</f>
        <v>21-25</v>
      </c>
      <c r="K160" s="2" t="str">
        <f>IFERROR(__xludf.DUMMYFUNCTION("""COMPUTED_VALUE"""),"Necklace of the Pumpkin")</f>
        <v>Necklace of the Pumpkin</v>
      </c>
      <c r="L160" s="1"/>
      <c r="M160" s="1"/>
      <c r="N160" s="1"/>
      <c r="O160" s="1"/>
      <c r="P160" s="1"/>
      <c r="Q160" s="1"/>
      <c r="R160" s="1"/>
      <c r="S160" s="1"/>
      <c r="T160" s="1"/>
      <c r="U160" s="1"/>
      <c r="V160" s="1"/>
      <c r="W160" s="1"/>
      <c r="X160" s="1"/>
    </row>
    <row r="161" ht="15.75" customHeight="1">
      <c r="A161" s="1" t="str">
        <f>IFERROR(__xludf.DUMMYFUNCTION("""COMPUTED_VALUE"""),"Pumpkin Lord")</f>
        <v>Pumpkin Lord</v>
      </c>
      <c r="B161" s="73" t="str">
        <f>IFERROR(__xludf.DUMMYFUNCTION("""COMPUTED_VALUE"""),"1-5")</f>
        <v>1-5</v>
      </c>
      <c r="C161" s="2" t="str">
        <f>IFERROR(__xludf.DUMMYFUNCTION("""COMPUTED_VALUE"""),"The Staff of The Pumpkin’s Curse")</f>
        <v>The Staff of The Pumpkin’s Curse</v>
      </c>
      <c r="D161" s="73" t="str">
        <f>IFERROR(__xludf.DUMMYFUNCTION("""COMPUTED_VALUE"""),"6-11")</f>
        <v>6-11</v>
      </c>
      <c r="E161" s="2" t="str">
        <f>IFERROR(__xludf.DUMMYFUNCTION("""COMPUTED_VALUE"""),"Pumpkin Diamond")</f>
        <v>Pumpkin Diamond</v>
      </c>
      <c r="F161" s="73" t="str">
        <f>IFERROR(__xludf.DUMMYFUNCTION("""COMPUTED_VALUE"""),"11-16")</f>
        <v>11-16</v>
      </c>
      <c r="G161" s="2" t="str">
        <f>IFERROR(__xludf.DUMMYFUNCTION("""COMPUTED_VALUE"""),"Premium Pumpkin Soup")</f>
        <v>Premium Pumpkin Soup</v>
      </c>
      <c r="H161" s="73" t="str">
        <f>IFERROR(__xludf.DUMMYFUNCTION("""COMPUTED_VALUE"""),"16-21")</f>
        <v>16-21</v>
      </c>
      <c r="I161" s="2" t="str">
        <f>IFERROR(__xludf.DUMMYFUNCTION("""COMPUTED_VALUE"""),"Soul")</f>
        <v>Soul</v>
      </c>
      <c r="J161" s="73" t="str">
        <f>IFERROR(__xludf.DUMMYFUNCTION("""COMPUTED_VALUE"""),"21-26")</f>
        <v>21-26</v>
      </c>
      <c r="K161" s="2" t="str">
        <f>IFERROR(__xludf.DUMMYFUNCTION("""COMPUTED_VALUE"""),"Necklace of the Pumpkin")</f>
        <v>Necklace of the Pumpkin</v>
      </c>
      <c r="L161" s="1"/>
      <c r="M161" s="1"/>
      <c r="N161" s="1"/>
      <c r="O161" s="1"/>
      <c r="P161" s="1"/>
      <c r="Q161" s="1"/>
      <c r="R161" s="1"/>
      <c r="S161" s="1"/>
      <c r="T161" s="1"/>
      <c r="U161" s="1"/>
      <c r="V161" s="1"/>
      <c r="W161" s="1"/>
      <c r="X161" s="1"/>
    </row>
    <row r="162" ht="15.75" customHeight="1">
      <c r="A162" s="1" t="str">
        <f>IFERROR(__xludf.DUMMYFUNCTION("""COMPUTED_VALUE"""),"Puppet")</f>
        <v>Puppet</v>
      </c>
      <c r="B162" s="73" t="str">
        <f>IFERROR(__xludf.DUMMYFUNCTION("""COMPUTED_VALUE"""),"1-5")</f>
        <v>1-5</v>
      </c>
      <c r="C162" s="2" t="str">
        <f>IFERROR(__xludf.DUMMYFUNCTION("""COMPUTED_VALUE"""),"Ring")</f>
        <v>Ring</v>
      </c>
      <c r="D162" s="73" t="str">
        <f>IFERROR(__xludf.DUMMYFUNCTION("""COMPUTED_VALUE"""),"6-10")</f>
        <v>6-10</v>
      </c>
      <c r="E162" s="2" t="str">
        <f>IFERROR(__xludf.DUMMYFUNCTION("""COMPUTED_VALUE"""),"Broken Sword")</f>
        <v>Broken Sword</v>
      </c>
      <c r="F162" s="73" t="str">
        <f>IFERROR(__xludf.DUMMYFUNCTION("""COMPUTED_VALUE"""),"11-15")</f>
        <v>11-15</v>
      </c>
      <c r="G162" s="2" t="str">
        <f>IFERROR(__xludf.DUMMYFUNCTION("""COMPUTED_VALUE"""),"Charm of Awaken")</f>
        <v>Charm of Awaken</v>
      </c>
      <c r="H162" s="73" t="str">
        <f>IFERROR(__xludf.DUMMYFUNCTION("""COMPUTED_VALUE"""),"16-20")</f>
        <v>16-20</v>
      </c>
      <c r="I162" s="2" t="str">
        <f>IFERROR(__xludf.DUMMYFUNCTION("""COMPUTED_VALUE"""),"Nothing")</f>
        <v>Nothing</v>
      </c>
      <c r="J162" s="73" t="str">
        <f>IFERROR(__xludf.DUMMYFUNCTION("""COMPUTED_VALUE"""),"21-25")</f>
        <v>21-25</v>
      </c>
      <c r="K162" s="2" t="str">
        <f>IFERROR(__xludf.DUMMYFUNCTION("""COMPUTED_VALUE"""),"Nothing")</f>
        <v>Nothing</v>
      </c>
      <c r="L162" s="1"/>
      <c r="M162" s="1"/>
      <c r="N162" s="1"/>
      <c r="O162" s="1"/>
      <c r="P162" s="1"/>
      <c r="Q162" s="1"/>
      <c r="R162" s="1"/>
      <c r="S162" s="1"/>
      <c r="T162" s="1"/>
      <c r="U162" s="1"/>
      <c r="V162" s="1"/>
      <c r="W162" s="1"/>
      <c r="X162" s="1"/>
    </row>
    <row r="163" ht="15.75" customHeight="1">
      <c r="A163" s="1" t="str">
        <f>IFERROR(__xludf.DUMMYFUNCTION("""COMPUTED_VALUE"""),"Reaper Of Spira (25% chance of this enemy appearing when you complain about being targeted)")</f>
        <v>Reaper Of Spira (25% chance of this enemy appearing when you complain about being targeted)</v>
      </c>
      <c r="B163" s="73" t="str">
        <f>IFERROR(__xludf.DUMMYFUNCTION("""COMPUTED_VALUE"""),"1-5")</f>
        <v>1-5</v>
      </c>
      <c r="C163" s="2" t="str">
        <f>IFERROR(__xludf.DUMMYFUNCTION("""COMPUTED_VALUE"""),"Nothing")</f>
        <v>Nothing</v>
      </c>
      <c r="D163" s="73" t="str">
        <f>IFERROR(__xludf.DUMMYFUNCTION("""COMPUTED_VALUE"""),"6-10")</f>
        <v>6-10</v>
      </c>
      <c r="E163" s="2" t="str">
        <f>IFERROR(__xludf.DUMMYFUNCTION("""COMPUTED_VALUE"""),"Nothing")</f>
        <v>Nothing</v>
      </c>
      <c r="F163" s="73" t="str">
        <f>IFERROR(__xludf.DUMMYFUNCTION("""COMPUTED_VALUE"""),"11-15")</f>
        <v>11-15</v>
      </c>
      <c r="G163" s="2" t="str">
        <f>IFERROR(__xludf.DUMMYFUNCTION("""COMPUTED_VALUE"""),"Soul")</f>
        <v>Soul</v>
      </c>
      <c r="H163" s="73" t="str">
        <f>IFERROR(__xludf.DUMMYFUNCTION("""COMPUTED_VALUE"""),"16-20")</f>
        <v>16-20</v>
      </c>
      <c r="I163" s="2" t="str">
        <f>IFERROR(__xludf.DUMMYFUNCTION("""COMPUTED_VALUE"""),"Death's Scythe")</f>
        <v>Death's Scythe</v>
      </c>
      <c r="J163" s="73" t="str">
        <f>IFERROR(__xludf.DUMMYFUNCTION("""COMPUTED_VALUE"""),"21-25")</f>
        <v>21-25</v>
      </c>
      <c r="K163" s="2" t="str">
        <f>IFERROR(__xludf.DUMMYFUNCTION("""COMPUTED_VALUE"""),"Sword Of The Reaper")</f>
        <v>Sword Of The Reaper</v>
      </c>
      <c r="L163" s="1"/>
      <c r="M163" s="1"/>
      <c r="N163" s="1"/>
      <c r="O163" s="1"/>
      <c r="P163" s="1"/>
      <c r="Q163" s="1"/>
      <c r="R163" s="1"/>
      <c r="S163" s="1"/>
      <c r="T163" s="1"/>
      <c r="U163" s="1"/>
      <c r="V163" s="1"/>
      <c r="W163" s="1"/>
      <c r="X163" s="1"/>
    </row>
    <row r="164" ht="15.75" customHeight="1">
      <c r="A164" s="1" t="str">
        <f>IFERROR(__xludf.DUMMYFUNCTION("""COMPUTED_VALUE"""),"Red Footed Beast")</f>
        <v>Red Footed Beast</v>
      </c>
      <c r="B164" s="73" t="str">
        <f>IFERROR(__xludf.DUMMYFUNCTION("""COMPUTED_VALUE"""),"1-5")</f>
        <v>1-5</v>
      </c>
      <c r="C164" s="2" t="str">
        <f>IFERROR(__xludf.DUMMYFUNCTION("""COMPUTED_VALUE"""),"Glowing Red eye")</f>
        <v>Glowing Red eye</v>
      </c>
      <c r="D164" s="73" t="str">
        <f>IFERROR(__xludf.DUMMYFUNCTION("""COMPUTED_VALUE"""),"6-10")</f>
        <v>6-10</v>
      </c>
      <c r="E164" s="2" t="str">
        <f>IFERROR(__xludf.DUMMYFUNCTION("""COMPUTED_VALUE"""),"Soul")</f>
        <v>Soul</v>
      </c>
      <c r="F164" s="73" t="str">
        <f>IFERROR(__xludf.DUMMYFUNCTION("""COMPUTED_VALUE"""),"11-15")</f>
        <v>11-15</v>
      </c>
      <c r="G164" s="2" t="str">
        <f>IFERROR(__xludf.DUMMYFUNCTION("""COMPUTED_VALUE"""),"Egg")</f>
        <v>Egg</v>
      </c>
      <c r="H164" s="73" t="str">
        <f>IFERROR(__xludf.DUMMYFUNCTION("""COMPUTED_VALUE"""),"16-20")</f>
        <v>16-20</v>
      </c>
      <c r="I164" s="2" t="str">
        <f>IFERROR(__xludf.DUMMYFUNCTION("""COMPUTED_VALUE"""),"Raw Meat")</f>
        <v>Raw Meat</v>
      </c>
      <c r="J164" s="73" t="str">
        <f>IFERROR(__xludf.DUMMYFUNCTION("""COMPUTED_VALUE"""),"21-25")</f>
        <v>21-25</v>
      </c>
      <c r="K164" s="2" t="str">
        <f>IFERROR(__xludf.DUMMYFUNCTION("""COMPUTED_VALUE"""),"Raw Meat")</f>
        <v>Raw Meat</v>
      </c>
      <c r="L164" s="1"/>
      <c r="M164" s="1"/>
      <c r="N164" s="1"/>
      <c r="O164" s="1"/>
      <c r="P164" s="1"/>
      <c r="Q164" s="1"/>
      <c r="R164" s="1"/>
      <c r="S164" s="1"/>
      <c r="T164" s="1"/>
      <c r="U164" s="1"/>
      <c r="V164" s="1"/>
      <c r="W164" s="1"/>
      <c r="X164" s="1"/>
    </row>
    <row r="165" ht="15.75" customHeight="1">
      <c r="A165" s="1" t="str">
        <f>IFERROR(__xludf.DUMMYFUNCTION("""COMPUTED_VALUE"""),"Rhino")</f>
        <v>Rhino</v>
      </c>
      <c r="B165" s="73" t="str">
        <f>IFERROR(__xludf.DUMMYFUNCTION("""COMPUTED_VALUE"""),"1-5")</f>
        <v>1-5</v>
      </c>
      <c r="C165" s="2" t="str">
        <f>IFERROR(__xludf.DUMMYFUNCTION("""COMPUTED_VALUE"""),"Nothing")</f>
        <v>Nothing</v>
      </c>
      <c r="D165" s="73" t="str">
        <f>IFERROR(__xludf.DUMMYFUNCTION("""COMPUTED_VALUE"""),"6-10")</f>
        <v>6-10</v>
      </c>
      <c r="E165" s="2" t="str">
        <f>IFERROR(__xludf.DUMMYFUNCTION("""COMPUTED_VALUE"""),"Egg")</f>
        <v>Egg</v>
      </c>
      <c r="F165" s="73" t="str">
        <f>IFERROR(__xludf.DUMMYFUNCTION("""COMPUTED_VALUE"""),"11-15")</f>
        <v>11-15</v>
      </c>
      <c r="G165" s="2" t="str">
        <f>IFERROR(__xludf.DUMMYFUNCTION("""COMPUTED_VALUE"""),"Soul")</f>
        <v>Soul</v>
      </c>
      <c r="H165" s="73" t="str">
        <f>IFERROR(__xludf.DUMMYFUNCTION("""COMPUTED_VALUE"""),"16-20")</f>
        <v>16-20</v>
      </c>
      <c r="I165" s="2" t="str">
        <f>IFERROR(__xludf.DUMMYFUNCTION("""COMPUTED_VALUE"""),"Raw Meat")</f>
        <v>Raw Meat</v>
      </c>
      <c r="J165" s="73" t="str">
        <f>IFERROR(__xludf.DUMMYFUNCTION("""COMPUTED_VALUE"""),"21-25")</f>
        <v>21-25</v>
      </c>
      <c r="K165" s="2" t="str">
        <f>IFERROR(__xludf.DUMMYFUNCTION("""COMPUTED_VALUE"""),"Nothing")</f>
        <v>Nothing</v>
      </c>
      <c r="L165" s="1"/>
      <c r="M165" s="1"/>
      <c r="N165" s="1"/>
      <c r="O165" s="1"/>
      <c r="P165" s="1"/>
      <c r="Q165" s="1"/>
      <c r="R165" s="1"/>
      <c r="S165" s="1"/>
      <c r="T165" s="1"/>
      <c r="U165" s="1"/>
      <c r="V165" s="1"/>
      <c r="W165" s="1"/>
      <c r="X165" s="1"/>
    </row>
    <row r="166" ht="15.75" customHeight="1">
      <c r="A166" s="1" t="str">
        <f>IFERROR(__xludf.DUMMYFUNCTION("""COMPUTED_VALUE"""),"Robotic Guardian of the 5th, No. 1")</f>
        <v>Robotic Guardian of the 5th, No. 1</v>
      </c>
      <c r="B166" s="73" t="str">
        <f>IFERROR(__xludf.DUMMYFUNCTION("""COMPUTED_VALUE"""),"1-5")</f>
        <v>1-5</v>
      </c>
      <c r="C166" s="2" t="str">
        <f>IFERROR(__xludf.DUMMYFUNCTION("""COMPUTED_VALUE"""),"Nothing")</f>
        <v>Nothing</v>
      </c>
      <c r="D166" s="73" t="str">
        <f>IFERROR(__xludf.DUMMYFUNCTION("""COMPUTED_VALUE"""),"6-10")</f>
        <v>6-10</v>
      </c>
      <c r="E166" s="2" t="str">
        <f>IFERROR(__xludf.DUMMYFUNCTION("""COMPUTED_VALUE"""),"Energy Prong")</f>
        <v>Energy Prong</v>
      </c>
      <c r="F166" s="73" t="str">
        <f>IFERROR(__xludf.DUMMYFUNCTION("""COMPUTED_VALUE"""),"11-15")</f>
        <v>11-15</v>
      </c>
      <c r="G166" s="2" t="str">
        <f>IFERROR(__xludf.DUMMYFUNCTION("""COMPUTED_VALUE"""),"500,000G-1,000,000G")</f>
        <v>500,000G-1,000,000G</v>
      </c>
      <c r="H166" s="73" t="str">
        <f>IFERROR(__xludf.DUMMYFUNCTION("""COMPUTED_VALUE"""),"16-20")</f>
        <v>16-20</v>
      </c>
      <c r="I166" s="2" t="str">
        <f>IFERROR(__xludf.DUMMYFUNCTION("""COMPUTED_VALUE"""),"Nothing")</f>
        <v>Nothing</v>
      </c>
      <c r="J166" s="73" t="str">
        <f>IFERROR(__xludf.DUMMYFUNCTION("""COMPUTED_VALUE"""),"21-25")</f>
        <v>21-25</v>
      </c>
      <c r="K166" s="2" t="str">
        <f>IFERROR(__xludf.DUMMYFUNCTION("""COMPUTED_VALUE"""),"Nothing")</f>
        <v>Nothing</v>
      </c>
      <c r="L166" s="1"/>
      <c r="M166" s="1"/>
      <c r="N166" s="1"/>
      <c r="O166" s="1"/>
      <c r="P166" s="1"/>
      <c r="Q166" s="1"/>
      <c r="R166" s="1"/>
      <c r="S166" s="1"/>
      <c r="T166" s="1"/>
      <c r="U166" s="1"/>
      <c r="V166" s="1"/>
      <c r="W166" s="1"/>
      <c r="X166" s="1"/>
    </row>
    <row r="167" ht="15.75" customHeight="1">
      <c r="A167" s="1" t="str">
        <f>IFERROR(__xludf.DUMMYFUNCTION("""COMPUTED_VALUE"""),"Robotic Guardian of the 5th, No. 2")</f>
        <v>Robotic Guardian of the 5th, No. 2</v>
      </c>
      <c r="B167" s="73" t="str">
        <f>IFERROR(__xludf.DUMMYFUNCTION("""COMPUTED_VALUE"""),"1-5")</f>
        <v>1-5</v>
      </c>
      <c r="C167" s="2" t="str">
        <f>IFERROR(__xludf.DUMMYFUNCTION("""COMPUTED_VALUE"""),"Nothing")</f>
        <v>Nothing</v>
      </c>
      <c r="D167" s="73" t="str">
        <f>IFERROR(__xludf.DUMMYFUNCTION("""COMPUTED_VALUE"""),"6-10")</f>
        <v>6-10</v>
      </c>
      <c r="E167" s="2" t="str">
        <f>IFERROR(__xludf.DUMMYFUNCTION("""COMPUTED_VALUE"""),"80,000G-100,000G")</f>
        <v>80,000G-100,000G</v>
      </c>
      <c r="F167" s="73" t="str">
        <f>IFERROR(__xludf.DUMMYFUNCTION("""COMPUTED_VALUE"""),"11-15")</f>
        <v>11-15</v>
      </c>
      <c r="G167" s="2" t="str">
        <f>IFERROR(__xludf.DUMMYFUNCTION("""COMPUTED_VALUE"""),"Blade of Burning Energy")</f>
        <v>Blade of Burning Energy</v>
      </c>
      <c r="H167" s="73" t="str">
        <f>IFERROR(__xludf.DUMMYFUNCTION("""COMPUTED_VALUE"""),"16-20")</f>
        <v>16-20</v>
      </c>
      <c r="I167" s="2" t="str">
        <f>IFERROR(__xludf.DUMMYFUNCTION("""COMPUTED_VALUE"""),"Nothing")</f>
        <v>Nothing</v>
      </c>
      <c r="J167" s="73" t="str">
        <f>IFERROR(__xludf.DUMMYFUNCTION("""COMPUTED_VALUE"""),"21-25")</f>
        <v>21-25</v>
      </c>
      <c r="K167" s="2" t="str">
        <f>IFERROR(__xludf.DUMMYFUNCTION("""COMPUTED_VALUE"""),"Nothing")</f>
        <v>Nothing</v>
      </c>
      <c r="L167" s="1"/>
      <c r="M167" s="1"/>
      <c r="N167" s="1"/>
      <c r="O167" s="1"/>
      <c r="P167" s="1"/>
      <c r="Q167" s="1"/>
      <c r="R167" s="1"/>
      <c r="S167" s="1"/>
      <c r="T167" s="1"/>
      <c r="U167" s="1"/>
      <c r="V167" s="1"/>
      <c r="W167" s="1"/>
      <c r="X167" s="1"/>
    </row>
    <row r="168" ht="15.75" customHeight="1">
      <c r="A168" s="1" t="str">
        <f>IFERROR(__xludf.DUMMYFUNCTION("""COMPUTED_VALUE"""),"Robotic Guardian of the 5th, No. 3")</f>
        <v>Robotic Guardian of the 5th, No. 3</v>
      </c>
      <c r="B168" s="73" t="str">
        <f>IFERROR(__xludf.DUMMYFUNCTION("""COMPUTED_VALUE"""),"1-5")</f>
        <v>1-5</v>
      </c>
      <c r="C168" s="2" t="str">
        <f>IFERROR(__xludf.DUMMYFUNCTION("""COMPUTED_VALUE"""),"Nothing")</f>
        <v>Nothing</v>
      </c>
      <c r="D168" s="73" t="str">
        <f>IFERROR(__xludf.DUMMYFUNCTION("""COMPUTED_VALUE"""),"6-10")</f>
        <v>6-10</v>
      </c>
      <c r="E168" s="2" t="str">
        <f>IFERROR(__xludf.DUMMYFUNCTION("""COMPUTED_VALUE"""),"Frost Bow")</f>
        <v>Frost Bow</v>
      </c>
      <c r="F168" s="73" t="str">
        <f>IFERROR(__xludf.DUMMYFUNCTION("""COMPUTED_VALUE"""),"11-15")</f>
        <v>11-15</v>
      </c>
      <c r="G168" s="2" t="str">
        <f>IFERROR(__xludf.DUMMYFUNCTION("""COMPUTED_VALUE"""),"Soul")</f>
        <v>Soul</v>
      </c>
      <c r="H168" s="73" t="str">
        <f>IFERROR(__xludf.DUMMYFUNCTION("""COMPUTED_VALUE"""),"16-20")</f>
        <v>16-20</v>
      </c>
      <c r="I168" s="2" t="str">
        <f>IFERROR(__xludf.DUMMYFUNCTION("""COMPUTED_VALUE"""),"Nothing")</f>
        <v>Nothing</v>
      </c>
      <c r="J168" s="73" t="str">
        <f>IFERROR(__xludf.DUMMYFUNCTION("""COMPUTED_VALUE"""),"21-25")</f>
        <v>21-25</v>
      </c>
      <c r="K168" s="2" t="str">
        <f>IFERROR(__xludf.DUMMYFUNCTION("""COMPUTED_VALUE"""),"Nothing")</f>
        <v>Nothing</v>
      </c>
      <c r="L168" s="1"/>
      <c r="M168" s="1"/>
      <c r="N168" s="1"/>
      <c r="O168" s="1"/>
      <c r="P168" s="1"/>
      <c r="Q168" s="1"/>
      <c r="R168" s="1"/>
      <c r="S168" s="1"/>
      <c r="T168" s="1"/>
      <c r="U168" s="1"/>
      <c r="V168" s="1"/>
      <c r="W168" s="1"/>
      <c r="X168" s="1"/>
    </row>
    <row r="169" ht="15.75" customHeight="1">
      <c r="A169" s="1" t="str">
        <f>IFERROR(__xludf.DUMMYFUNCTION("""COMPUTED_VALUE"""),"Robotic Guardian of the 5th, No. 4")</f>
        <v>Robotic Guardian of the 5th, No. 4</v>
      </c>
      <c r="B169" s="73" t="str">
        <f>IFERROR(__xludf.DUMMYFUNCTION("""COMPUTED_VALUE"""),"1-5")</f>
        <v>1-5</v>
      </c>
      <c r="C169" s="2" t="str">
        <f>IFERROR(__xludf.DUMMYFUNCTION("""COMPUTED_VALUE"""),"Nothing")</f>
        <v>Nothing</v>
      </c>
      <c r="D169" s="73" t="str">
        <f>IFERROR(__xludf.DUMMYFUNCTION("""COMPUTED_VALUE"""),"6-10")</f>
        <v>6-10</v>
      </c>
      <c r="E169" s="2" t="str">
        <f>IFERROR(__xludf.DUMMYFUNCTION("""COMPUTED_VALUE"""),"Shuriken")</f>
        <v>Shuriken</v>
      </c>
      <c r="F169" s="73" t="str">
        <f>IFERROR(__xludf.DUMMYFUNCTION("""COMPUTED_VALUE"""),"11-15")</f>
        <v>11-15</v>
      </c>
      <c r="G169" s="2" t="str">
        <f>IFERROR(__xludf.DUMMYFUNCTION("""COMPUTED_VALUE"""),"500,000G-1,000,000G")</f>
        <v>500,000G-1,000,000G</v>
      </c>
      <c r="H169" s="73" t="str">
        <f>IFERROR(__xludf.DUMMYFUNCTION("""COMPUTED_VALUE"""),"16-20")</f>
        <v>16-20</v>
      </c>
      <c r="I169" s="2" t="str">
        <f>IFERROR(__xludf.DUMMYFUNCTION("""COMPUTED_VALUE"""),"Nothing")</f>
        <v>Nothing</v>
      </c>
      <c r="J169" s="73" t="str">
        <f>IFERROR(__xludf.DUMMYFUNCTION("""COMPUTED_VALUE"""),"21-25")</f>
        <v>21-25</v>
      </c>
      <c r="K169" s="2" t="str">
        <f>IFERROR(__xludf.DUMMYFUNCTION("""COMPUTED_VALUE"""),"Soul")</f>
        <v>Soul</v>
      </c>
      <c r="L169" s="1"/>
      <c r="M169" s="1"/>
      <c r="N169" s="1"/>
      <c r="O169" s="1"/>
      <c r="P169" s="1"/>
      <c r="Q169" s="1"/>
      <c r="R169" s="1"/>
      <c r="S169" s="1"/>
      <c r="T169" s="1"/>
      <c r="U169" s="1"/>
      <c r="V169" s="1"/>
      <c r="W169" s="1"/>
      <c r="X169" s="1"/>
    </row>
    <row r="170" ht="15.75" customHeight="1">
      <c r="A170" s="1" t="str">
        <f>IFERROR(__xludf.DUMMYFUNCTION("""COMPUTED_VALUE"""),"Rock Snake")</f>
        <v>Rock Snake</v>
      </c>
      <c r="B170" s="73" t="str">
        <f>IFERROR(__xludf.DUMMYFUNCTION("""COMPUTED_VALUE"""),"1-5")</f>
        <v>1-5</v>
      </c>
      <c r="C170" s="2" t="str">
        <f>IFERROR(__xludf.DUMMYFUNCTION("""COMPUTED_VALUE"""),"Rock Axe")</f>
        <v>Rock Axe</v>
      </c>
      <c r="D170" s="73" t="str">
        <f>IFERROR(__xludf.DUMMYFUNCTION("""COMPUTED_VALUE"""),"6-10")</f>
        <v>6-10</v>
      </c>
      <c r="E170" s="2" t="str">
        <f>IFERROR(__xludf.DUMMYFUNCTION("""COMPUTED_VALUE"""),"Glowing rocks")</f>
        <v>Glowing rocks</v>
      </c>
      <c r="F170" s="73" t="str">
        <f>IFERROR(__xludf.DUMMYFUNCTION("""COMPUTED_VALUE"""),"11-15")</f>
        <v>11-15</v>
      </c>
      <c r="G170" s="2" t="str">
        <f>IFERROR(__xludf.DUMMYFUNCTION("""COMPUTED_VALUE"""),"1,000G-20,000G")</f>
        <v>1,000G-20,000G</v>
      </c>
      <c r="H170" s="73" t="str">
        <f>IFERROR(__xludf.DUMMYFUNCTION("""COMPUTED_VALUE"""),"16-20")</f>
        <v>16-20</v>
      </c>
      <c r="I170" s="2" t="str">
        <f>IFERROR(__xludf.DUMMYFUNCTION("""COMPUTED_VALUE"""),"Soul")</f>
        <v>Soul</v>
      </c>
      <c r="J170" s="73" t="str">
        <f>IFERROR(__xludf.DUMMYFUNCTION("""COMPUTED_VALUE"""),"21-25")</f>
        <v>21-25</v>
      </c>
      <c r="K170" s="2" t="str">
        <f>IFERROR(__xludf.DUMMYFUNCTION("""COMPUTED_VALUE"""),"Egg")</f>
        <v>Egg</v>
      </c>
      <c r="L170" s="1"/>
      <c r="M170" s="1"/>
      <c r="N170" s="1"/>
      <c r="O170" s="1"/>
      <c r="P170" s="1"/>
      <c r="Q170" s="1"/>
      <c r="R170" s="1"/>
      <c r="S170" s="1"/>
      <c r="T170" s="1"/>
      <c r="U170" s="1"/>
      <c r="V170" s="1"/>
      <c r="W170" s="1"/>
      <c r="X170" s="1"/>
    </row>
    <row r="171" ht="15.75" customHeight="1">
      <c r="A171" s="1" t="str">
        <f>IFERROR(__xludf.DUMMYFUNCTION("""COMPUTED_VALUE"""),"Rooster")</f>
        <v>Rooster</v>
      </c>
      <c r="B171" s="73" t="str">
        <f>IFERROR(__xludf.DUMMYFUNCTION("""COMPUTED_VALUE"""),"1-5")</f>
        <v>1-5</v>
      </c>
      <c r="C171" s="2" t="str">
        <f>IFERROR(__xludf.DUMMYFUNCTION("""COMPUTED_VALUE"""),"Egg")</f>
        <v>Egg</v>
      </c>
      <c r="D171" s="73" t="str">
        <f>IFERROR(__xludf.DUMMYFUNCTION("""COMPUTED_VALUE"""),"6-10")</f>
        <v>6-10</v>
      </c>
      <c r="E171" s="2" t="str">
        <f>IFERROR(__xludf.DUMMYFUNCTION("""COMPUTED_VALUE"""),"Raw Meat")</f>
        <v>Raw Meat</v>
      </c>
      <c r="F171" s="73" t="str">
        <f>IFERROR(__xludf.DUMMYFUNCTION("""COMPUTED_VALUE"""),"11-15")</f>
        <v>11-15</v>
      </c>
      <c r="G171" s="2" t="str">
        <f>IFERROR(__xludf.DUMMYFUNCTION("""COMPUTED_VALUE"""),"Feather")</f>
        <v>Feather</v>
      </c>
      <c r="H171" s="73" t="str">
        <f>IFERROR(__xludf.DUMMYFUNCTION("""COMPUTED_VALUE"""),"16-20")</f>
        <v>16-20</v>
      </c>
      <c r="I171" s="2" t="str">
        <f>IFERROR(__xludf.DUMMYFUNCTION("""COMPUTED_VALUE"""),"Soul")</f>
        <v>Soul</v>
      </c>
      <c r="J171" s="73" t="str">
        <f>IFERROR(__xludf.DUMMYFUNCTION("""COMPUTED_VALUE"""),"21-25")</f>
        <v>21-25</v>
      </c>
      <c r="K171" s="2" t="str">
        <f>IFERROR(__xludf.DUMMYFUNCTION("""COMPUTED_VALUE"""),"Nothing")</f>
        <v>Nothing</v>
      </c>
      <c r="L171" s="1"/>
      <c r="M171" s="1"/>
      <c r="N171" s="1"/>
      <c r="O171" s="1"/>
      <c r="P171" s="1"/>
      <c r="Q171" s="1"/>
      <c r="R171" s="1"/>
      <c r="S171" s="1"/>
      <c r="T171" s="1"/>
      <c r="U171" s="1"/>
      <c r="V171" s="1"/>
      <c r="W171" s="1"/>
      <c r="X171" s="1"/>
    </row>
    <row r="172" ht="15.75" customHeight="1">
      <c r="A172" s="1" t="str">
        <f>IFERROR(__xludf.DUMMYFUNCTION("""COMPUTED_VALUE"""),"Rowboat")</f>
        <v>Rowboat</v>
      </c>
      <c r="B172" s="73" t="str">
        <f>IFERROR(__xludf.DUMMYFUNCTION("""COMPUTED_VALUE"""),"1-5")</f>
        <v>1-5</v>
      </c>
      <c r="C172" s="2" t="str">
        <f>IFERROR(__xludf.DUMMYFUNCTION("""COMPUTED_VALUE"""),"Wood")</f>
        <v>Wood</v>
      </c>
      <c r="D172" s="73" t="str">
        <f>IFERROR(__xludf.DUMMYFUNCTION("""COMPUTED_VALUE"""),"6-10")</f>
        <v>6-10</v>
      </c>
      <c r="E172" s="2" t="str">
        <f>IFERROR(__xludf.DUMMYFUNCTION("""COMPUTED_VALUE"""),"Nothing")</f>
        <v>Nothing</v>
      </c>
      <c r="F172" s="73" t="str">
        <f>IFERROR(__xludf.DUMMYFUNCTION("""COMPUTED_VALUE"""),"11-15")</f>
        <v>11-15</v>
      </c>
      <c r="G172" s="2" t="str">
        <f>IFERROR(__xludf.DUMMYFUNCTION("""COMPUTED_VALUE"""),"Nothing")</f>
        <v>Nothing</v>
      </c>
      <c r="H172" s="73" t="str">
        <f>IFERROR(__xludf.DUMMYFUNCTION("""COMPUTED_VALUE"""),"16-20")</f>
        <v>16-20</v>
      </c>
      <c r="I172" s="2" t="str">
        <f>IFERROR(__xludf.DUMMYFUNCTION("""COMPUTED_VALUE"""),"Nothing")</f>
        <v>Nothing</v>
      </c>
      <c r="J172" s="73" t="str">
        <f>IFERROR(__xludf.DUMMYFUNCTION("""COMPUTED_VALUE"""),"21-25")</f>
        <v>21-25</v>
      </c>
      <c r="K172" s="2" t="str">
        <f>IFERROR(__xludf.DUMMYFUNCTION("""COMPUTED_VALUE"""),"Nothing")</f>
        <v>Nothing</v>
      </c>
      <c r="L172" s="1"/>
      <c r="M172" s="1"/>
      <c r="N172" s="1"/>
      <c r="O172" s="1"/>
      <c r="P172" s="1"/>
      <c r="Q172" s="1"/>
      <c r="R172" s="1"/>
      <c r="S172" s="1"/>
      <c r="T172" s="1"/>
      <c r="U172" s="1"/>
      <c r="V172" s="1"/>
      <c r="W172" s="1"/>
      <c r="X172" s="1"/>
    </row>
    <row r="173" ht="15.75" customHeight="1">
      <c r="A173" s="1" t="str">
        <f>IFERROR(__xludf.DUMMYFUNCTION("""COMPUTED_VALUE"""),"Saber Toothed Cat")</f>
        <v>Saber Toothed Cat</v>
      </c>
      <c r="B173" s="73" t="str">
        <f>IFERROR(__xludf.DUMMYFUNCTION("""COMPUTED_VALUE"""),"1-5")</f>
        <v>1-5</v>
      </c>
      <c r="C173" s="2" t="str">
        <f>IFERROR(__xludf.DUMMYFUNCTION("""COMPUTED_VALUE"""),"Saber Tooth")</f>
        <v>Saber Tooth</v>
      </c>
      <c r="D173" s="73" t="str">
        <f>IFERROR(__xludf.DUMMYFUNCTION("""COMPUTED_VALUE"""),"6-10")</f>
        <v>6-10</v>
      </c>
      <c r="E173" s="2" t="str">
        <f>IFERROR(__xludf.DUMMYFUNCTION("""COMPUTED_VALUE"""),"Saber Toothed Sword")</f>
        <v>Saber Toothed Sword</v>
      </c>
      <c r="F173" s="73" t="str">
        <f>IFERROR(__xludf.DUMMYFUNCTION("""COMPUTED_VALUE"""),"11-15")</f>
        <v>11-15</v>
      </c>
      <c r="G173" s="2" t="str">
        <f>IFERROR(__xludf.DUMMYFUNCTION("""COMPUTED_VALUE"""),"Leather")</f>
        <v>Leather</v>
      </c>
      <c r="H173" s="73" t="str">
        <f>IFERROR(__xludf.DUMMYFUNCTION("""COMPUTED_VALUE"""),"16-20")</f>
        <v>16-20</v>
      </c>
      <c r="I173" s="2" t="str">
        <f>IFERROR(__xludf.DUMMYFUNCTION("""COMPUTED_VALUE"""),"Soul")</f>
        <v>Soul</v>
      </c>
      <c r="J173" s="73" t="str">
        <f>IFERROR(__xludf.DUMMYFUNCTION("""COMPUTED_VALUE"""),"21-25")</f>
        <v>21-25</v>
      </c>
      <c r="K173" s="2" t="str">
        <f>IFERROR(__xludf.DUMMYFUNCTION("""COMPUTED_VALUE"""),"Egg")</f>
        <v>Egg</v>
      </c>
      <c r="L173" s="1"/>
      <c r="M173" s="1"/>
      <c r="N173" s="1"/>
      <c r="O173" s="1"/>
      <c r="P173" s="1"/>
      <c r="Q173" s="1"/>
      <c r="R173" s="1"/>
      <c r="S173" s="1"/>
      <c r="T173" s="1"/>
      <c r="U173" s="1"/>
      <c r="V173" s="1"/>
      <c r="W173" s="1"/>
      <c r="X173" s="1"/>
    </row>
    <row r="174" ht="15.75" customHeight="1">
      <c r="A174" s="1" t="str">
        <f>IFERROR(__xludf.DUMMYFUNCTION("""COMPUTED_VALUE"""),"Sand Worm")</f>
        <v>Sand Worm</v>
      </c>
      <c r="B174" s="73" t="str">
        <f>IFERROR(__xludf.DUMMYFUNCTION("""COMPUTED_VALUE"""),"1-5")</f>
        <v>1-5</v>
      </c>
      <c r="C174" s="2" t="str">
        <f>IFERROR(__xludf.DUMMYFUNCTION("""COMPUTED_VALUE"""),"Sand")</f>
        <v>Sand</v>
      </c>
      <c r="D174" s="73" t="str">
        <f>IFERROR(__xludf.DUMMYFUNCTION("""COMPUTED_VALUE"""),"6-10")</f>
        <v>6-10</v>
      </c>
      <c r="E174" s="2" t="str">
        <f>IFERROR(__xludf.DUMMYFUNCTION("""COMPUTED_VALUE"""),"Bag of Sand")</f>
        <v>Bag of Sand</v>
      </c>
      <c r="F174" s="73" t="str">
        <f>IFERROR(__xludf.DUMMYFUNCTION("""COMPUTED_VALUE"""),"11-15")</f>
        <v>11-15</v>
      </c>
      <c r="G174" s="2" t="str">
        <f>IFERROR(__xludf.DUMMYFUNCTION("""COMPUTED_VALUE"""),"Glowing Red eye")</f>
        <v>Glowing Red eye</v>
      </c>
      <c r="H174" s="73" t="str">
        <f>IFERROR(__xludf.DUMMYFUNCTION("""COMPUTED_VALUE"""),"16-20")</f>
        <v>16-20</v>
      </c>
      <c r="I174" s="2" t="str">
        <f>IFERROR(__xludf.DUMMYFUNCTION("""COMPUTED_VALUE"""),"Sand Gem")</f>
        <v>Sand Gem</v>
      </c>
      <c r="J174" s="73" t="str">
        <f>IFERROR(__xludf.DUMMYFUNCTION("""COMPUTED_VALUE"""),"21-25")</f>
        <v>21-25</v>
      </c>
      <c r="K174" s="2" t="str">
        <f>IFERROR(__xludf.DUMMYFUNCTION("""COMPUTED_VALUE"""),"Soul")</f>
        <v>Soul</v>
      </c>
      <c r="L174" s="1"/>
      <c r="M174" s="1"/>
      <c r="N174" s="1"/>
      <c r="O174" s="1"/>
      <c r="P174" s="1"/>
      <c r="Q174" s="1"/>
      <c r="R174" s="1"/>
      <c r="S174" s="1"/>
      <c r="T174" s="1"/>
      <c r="U174" s="1"/>
      <c r="V174" s="1"/>
      <c r="W174" s="1"/>
      <c r="X174" s="1"/>
    </row>
    <row r="175" ht="15.75" customHeight="1">
      <c r="A175" s="1" t="str">
        <f>IFERROR(__xludf.DUMMYFUNCTION("""COMPUTED_VALUE"""),"Sandmite")</f>
        <v>Sandmite</v>
      </c>
      <c r="B175" s="73" t="str">
        <f>IFERROR(__xludf.DUMMYFUNCTION("""COMPUTED_VALUE"""),"1-5")</f>
        <v>1-5</v>
      </c>
      <c r="C175" s="2" t="str">
        <f>IFERROR(__xludf.DUMMYFUNCTION("""COMPUTED_VALUE"""),"Golden Bug")</f>
        <v>Golden Bug</v>
      </c>
      <c r="D175" s="73" t="str">
        <f>IFERROR(__xludf.DUMMYFUNCTION("""COMPUTED_VALUE"""),"6-10")</f>
        <v>6-10</v>
      </c>
      <c r="E175" s="2" t="str">
        <f>IFERROR(__xludf.DUMMYFUNCTION("""COMPUTED_VALUE"""),"1,000G-20,000G")</f>
        <v>1,000G-20,000G</v>
      </c>
      <c r="F175" s="73" t="str">
        <f>IFERROR(__xludf.DUMMYFUNCTION("""COMPUTED_VALUE"""),"11-15")</f>
        <v>11-15</v>
      </c>
      <c r="G175" s="2" t="str">
        <f>IFERROR(__xludf.DUMMYFUNCTION("""COMPUTED_VALUE"""),"Egg")</f>
        <v>Egg</v>
      </c>
      <c r="H175" s="73" t="str">
        <f>IFERROR(__xludf.DUMMYFUNCTION("""COMPUTED_VALUE"""),"16-20")</f>
        <v>16-20</v>
      </c>
      <c r="I175" s="2" t="str">
        <f>IFERROR(__xludf.DUMMYFUNCTION("""COMPUTED_VALUE"""),"Soul")</f>
        <v>Soul</v>
      </c>
      <c r="J175" s="73" t="str">
        <f>IFERROR(__xludf.DUMMYFUNCTION("""COMPUTED_VALUE"""),"21-25")</f>
        <v>21-25</v>
      </c>
      <c r="K175" s="2" t="str">
        <f>IFERROR(__xludf.DUMMYFUNCTION("""COMPUTED_VALUE"""),"Nothing")</f>
        <v>Nothing</v>
      </c>
      <c r="L175" s="1"/>
      <c r="M175" s="1"/>
      <c r="N175" s="1"/>
      <c r="O175" s="1"/>
      <c r="P175" s="1"/>
      <c r="Q175" s="1"/>
      <c r="R175" s="1"/>
      <c r="S175" s="1"/>
      <c r="T175" s="1"/>
      <c r="U175" s="1"/>
      <c r="V175" s="1"/>
      <c r="W175" s="1"/>
      <c r="X175" s="1"/>
    </row>
    <row r="176" ht="15.75" customHeight="1">
      <c r="A176" s="1" t="str">
        <f>IFERROR(__xludf.DUMMYFUNCTION("""COMPUTED_VALUE"""),"Sea Serpent (WD)")</f>
        <v>Sea Serpent (WD)</v>
      </c>
      <c r="B176" s="73" t="str">
        <f>IFERROR(__xludf.DUMMYFUNCTION("""COMPUTED_VALUE"""),"1-5")</f>
        <v>1-5</v>
      </c>
      <c r="C176" s="2" t="str">
        <f>IFERROR(__xludf.DUMMYFUNCTION("""COMPUTED_VALUE"""),"1,000,000G-20,000,000G")</f>
        <v>1,000,000G-20,000,000G</v>
      </c>
      <c r="D176" s="73" t="str">
        <f>IFERROR(__xludf.DUMMYFUNCTION("""COMPUTED_VALUE"""),"6-10")</f>
        <v>6-10</v>
      </c>
      <c r="E176" s="2" t="str">
        <f>IFERROR(__xludf.DUMMYFUNCTION("""COMPUTED_VALUE"""),"Sword Of The Sea Serpent")</f>
        <v>Sword Of The Sea Serpent</v>
      </c>
      <c r="F176" s="73" t="str">
        <f>IFERROR(__xludf.DUMMYFUNCTION("""COMPUTED_VALUE"""),"11-15")</f>
        <v>11-15</v>
      </c>
      <c r="G176" s="2" t="str">
        <f>IFERROR(__xludf.DUMMYFUNCTION("""COMPUTED_VALUE"""),"Crown Of The Sea Serpent")</f>
        <v>Crown Of The Sea Serpent</v>
      </c>
      <c r="H176" s="73" t="str">
        <f>IFERROR(__xludf.DUMMYFUNCTION("""COMPUTED_VALUE"""),"16-20")</f>
        <v>16-20</v>
      </c>
      <c r="I176" s="2" t="str">
        <f>IFERROR(__xludf.DUMMYFUNCTION("""COMPUTED_VALUE"""),"Soul")</f>
        <v>Soul</v>
      </c>
      <c r="J176" s="73" t="str">
        <f>IFERROR(__xludf.DUMMYFUNCTION("""COMPUTED_VALUE"""),"21-25")</f>
        <v>21-25</v>
      </c>
      <c r="K176" s="2" t="str">
        <f>IFERROR(__xludf.DUMMYFUNCTION("""COMPUTED_VALUE"""),"Egg")</f>
        <v>Egg</v>
      </c>
      <c r="L176" s="1"/>
      <c r="M176" s="1"/>
      <c r="N176" s="1"/>
      <c r="O176" s="1"/>
      <c r="P176" s="1"/>
      <c r="Q176" s="1"/>
      <c r="R176" s="1"/>
      <c r="S176" s="1"/>
      <c r="T176" s="1"/>
      <c r="U176" s="1"/>
      <c r="V176" s="1"/>
      <c r="W176" s="1"/>
      <c r="X176" s="1"/>
    </row>
    <row r="177" ht="15.75" customHeight="1">
      <c r="A177" s="1" t="str">
        <f>IFERROR(__xludf.DUMMYFUNCTION("""COMPUTED_VALUE"""),"Sea Serpent (WD) (Enhanced)")</f>
        <v>Sea Serpent (WD) (Enhanced)</v>
      </c>
      <c r="B177" s="73" t="str">
        <f>IFERROR(__xludf.DUMMYFUNCTION("""COMPUTED_VALUE"""),"1-5")</f>
        <v>1-5</v>
      </c>
      <c r="C177" s="2" t="str">
        <f>IFERROR(__xludf.DUMMYFUNCTION("""COMPUTED_VALUE"""),"1,000,000G-20,000,000G")</f>
        <v>1,000,000G-20,000,000G</v>
      </c>
      <c r="D177" s="73" t="str">
        <f>IFERROR(__xludf.DUMMYFUNCTION("""COMPUTED_VALUE"""),"6-10")</f>
        <v>6-10</v>
      </c>
      <c r="E177" s="2" t="str">
        <f>IFERROR(__xludf.DUMMYFUNCTION("""COMPUTED_VALUE"""),"Sword Of The Sea Serpent")</f>
        <v>Sword Of The Sea Serpent</v>
      </c>
      <c r="F177" s="73" t="str">
        <f>IFERROR(__xludf.DUMMYFUNCTION("""COMPUTED_VALUE"""),"11-15")</f>
        <v>11-15</v>
      </c>
      <c r="G177" s="2" t="str">
        <f>IFERROR(__xludf.DUMMYFUNCTION("""COMPUTED_VALUE"""),"Crown Of The Sea Serpent")</f>
        <v>Crown Of The Sea Serpent</v>
      </c>
      <c r="H177" s="73" t="str">
        <f>IFERROR(__xludf.DUMMYFUNCTION("""COMPUTED_VALUE"""),"16-20")</f>
        <v>16-20</v>
      </c>
      <c r="I177" s="2" t="str">
        <f>IFERROR(__xludf.DUMMYFUNCTION("""COMPUTED_VALUE"""),"Soul")</f>
        <v>Soul</v>
      </c>
      <c r="J177" s="73" t="str">
        <f>IFERROR(__xludf.DUMMYFUNCTION("""COMPUTED_VALUE"""),"21-25")</f>
        <v>21-25</v>
      </c>
      <c r="K177" s="2" t="str">
        <f>IFERROR(__xludf.DUMMYFUNCTION("""COMPUTED_VALUE"""),"Egg")</f>
        <v>Egg</v>
      </c>
      <c r="L177" s="1"/>
      <c r="M177" s="1"/>
      <c r="N177" s="1"/>
      <c r="O177" s="1"/>
      <c r="P177" s="1"/>
      <c r="Q177" s="1"/>
      <c r="R177" s="1"/>
      <c r="S177" s="1"/>
      <c r="T177" s="1"/>
      <c r="U177" s="1"/>
      <c r="V177" s="1"/>
      <c r="W177" s="1"/>
      <c r="X177" s="1"/>
    </row>
    <row r="178" ht="15.75" customHeight="1">
      <c r="A178" s="1" t="str">
        <f>IFERROR(__xludf.DUMMYFUNCTION("""COMPUTED_VALUE"""),"Sea Worm (WD)")</f>
        <v>Sea Worm (WD)</v>
      </c>
      <c r="B178" s="73" t="str">
        <f>IFERROR(__xludf.DUMMYFUNCTION("""COMPUTED_VALUE"""),"1-5")</f>
        <v>1-5</v>
      </c>
      <c r="C178" s="2" t="str">
        <f>IFERROR(__xludf.DUMMYFUNCTION("""COMPUTED_VALUE"""),"500,000SC-1,000,000SC")</f>
        <v>500,000SC-1,000,000SC</v>
      </c>
      <c r="D178" s="73" t="str">
        <f>IFERROR(__xludf.DUMMYFUNCTION("""COMPUTED_VALUE"""),"6-10")</f>
        <v>6-10</v>
      </c>
      <c r="E178" s="2" t="str">
        <f>IFERROR(__xludf.DUMMYFUNCTION("""COMPUTED_VALUE"""),"Soul")</f>
        <v>Soul</v>
      </c>
      <c r="F178" s="73" t="str">
        <f>IFERROR(__xludf.DUMMYFUNCTION("""COMPUTED_VALUE"""),"11-15")</f>
        <v>11-15</v>
      </c>
      <c r="G178" s="2" t="str">
        <f>IFERROR(__xludf.DUMMYFUNCTION("""COMPUTED_VALUE"""),"Nothing")</f>
        <v>Nothing</v>
      </c>
      <c r="H178" s="73" t="str">
        <f>IFERROR(__xludf.DUMMYFUNCTION("""COMPUTED_VALUE"""),"16-20")</f>
        <v>16-20</v>
      </c>
      <c r="I178" s="2" t="str">
        <f>IFERROR(__xludf.DUMMYFUNCTION("""COMPUTED_VALUE"""),"Nothing")</f>
        <v>Nothing</v>
      </c>
      <c r="J178" s="73" t="str">
        <f>IFERROR(__xludf.DUMMYFUNCTION("""COMPUTED_VALUE"""),"21-25")</f>
        <v>21-25</v>
      </c>
      <c r="K178" s="2" t="str">
        <f>IFERROR(__xludf.DUMMYFUNCTION("""COMPUTED_VALUE"""),"Worm Tooth Chainsaw")</f>
        <v>Worm Tooth Chainsaw</v>
      </c>
      <c r="L178" s="1"/>
      <c r="M178" s="1"/>
      <c r="N178" s="1"/>
      <c r="O178" s="1"/>
      <c r="P178" s="1"/>
      <c r="Q178" s="1"/>
      <c r="R178" s="1"/>
      <c r="S178" s="1"/>
      <c r="T178" s="1"/>
      <c r="U178" s="1"/>
      <c r="V178" s="1"/>
      <c r="W178" s="1"/>
      <c r="X178" s="1"/>
    </row>
    <row r="179" ht="15.75" customHeight="1">
      <c r="A179" s="1" t="str">
        <f>IFERROR(__xludf.DUMMYFUNCTION("""COMPUTED_VALUE"""),"Sea Worm (WD) (Enhanced)")</f>
        <v>Sea Worm (WD) (Enhanced)</v>
      </c>
      <c r="B179" s="73" t="str">
        <f>IFERROR(__xludf.DUMMYFUNCTION("""COMPUTED_VALUE"""),"1-5")</f>
        <v>1-5</v>
      </c>
      <c r="C179" s="2" t="str">
        <f>IFERROR(__xludf.DUMMYFUNCTION("""COMPUTED_VALUE"""),"500,000SC-1,000,000SC")</f>
        <v>500,000SC-1,000,000SC</v>
      </c>
      <c r="D179" s="73" t="str">
        <f>IFERROR(__xludf.DUMMYFUNCTION("""COMPUTED_VALUE"""),"6-10")</f>
        <v>6-10</v>
      </c>
      <c r="E179" s="2" t="str">
        <f>IFERROR(__xludf.DUMMYFUNCTION("""COMPUTED_VALUE"""),"Nothing")</f>
        <v>Nothing</v>
      </c>
      <c r="F179" s="73" t="str">
        <f>IFERROR(__xludf.DUMMYFUNCTION("""COMPUTED_VALUE"""),"11-15")</f>
        <v>11-15</v>
      </c>
      <c r="G179" s="2" t="str">
        <f>IFERROR(__xludf.DUMMYFUNCTION("""COMPUTED_VALUE"""),"Soul")</f>
        <v>Soul</v>
      </c>
      <c r="H179" s="73" t="str">
        <f>IFERROR(__xludf.DUMMYFUNCTION("""COMPUTED_VALUE"""),"16-20")</f>
        <v>16-20</v>
      </c>
      <c r="I179" s="2" t="str">
        <f>IFERROR(__xludf.DUMMYFUNCTION("""COMPUTED_VALUE"""),"Nothing")</f>
        <v>Nothing</v>
      </c>
      <c r="J179" s="73" t="str">
        <f>IFERROR(__xludf.DUMMYFUNCTION("""COMPUTED_VALUE"""),"21-25")</f>
        <v>21-25</v>
      </c>
      <c r="K179" s="2" t="str">
        <f>IFERROR(__xludf.DUMMYFUNCTION("""COMPUTED_VALUE"""),"Worm Tooth Chainsaw")</f>
        <v>Worm Tooth Chainsaw</v>
      </c>
      <c r="L179" s="1"/>
      <c r="M179" s="1"/>
      <c r="N179" s="1"/>
      <c r="O179" s="1"/>
      <c r="P179" s="1"/>
      <c r="Q179" s="1"/>
      <c r="R179" s="1"/>
      <c r="S179" s="1"/>
      <c r="T179" s="1"/>
      <c r="U179" s="1"/>
      <c r="V179" s="1"/>
      <c r="W179" s="1"/>
      <c r="X179" s="1"/>
    </row>
    <row r="180" ht="15.75" customHeight="1">
      <c r="A180" s="1" t="str">
        <f>IFERROR(__xludf.DUMMYFUNCTION("""COMPUTED_VALUE"""),"Shadow King")</f>
        <v>Shadow King</v>
      </c>
      <c r="B180" s="73" t="str">
        <f>IFERROR(__xludf.DUMMYFUNCTION("""COMPUTED_VALUE"""),"1-5")</f>
        <v>1-5</v>
      </c>
      <c r="C180" s="2" t="str">
        <f>IFERROR(__xludf.DUMMYFUNCTION("""COMPUTED_VALUE"""),"Soul")</f>
        <v>Soul</v>
      </c>
      <c r="D180" s="73" t="str">
        <f>IFERROR(__xludf.DUMMYFUNCTION("""COMPUTED_VALUE"""),"6-10")</f>
        <v>6-10</v>
      </c>
      <c r="E180" s="2" t="str">
        <f>IFERROR(__xludf.DUMMYFUNCTION("""COMPUTED_VALUE"""),"Shadow Kings Sword")</f>
        <v>Shadow Kings Sword</v>
      </c>
      <c r="F180" s="73" t="str">
        <f>IFERROR(__xludf.DUMMYFUNCTION("""COMPUTED_VALUE"""),"11-15")</f>
        <v>11-15</v>
      </c>
      <c r="G180" s="2" t="str">
        <f>IFERROR(__xludf.DUMMYFUNCTION("""COMPUTED_VALUE"""),"Nothing")</f>
        <v>Nothing</v>
      </c>
      <c r="H180" s="73" t="str">
        <f>IFERROR(__xludf.DUMMYFUNCTION("""COMPUTED_VALUE"""),"16-20")</f>
        <v>16-20</v>
      </c>
      <c r="I180" s="2" t="str">
        <f>IFERROR(__xludf.DUMMYFUNCTION("""COMPUTED_VALUE"""),"100,000,000G-500,000,000G")</f>
        <v>100,000,000G-500,000,000G</v>
      </c>
      <c r="J180" s="73" t="str">
        <f>IFERROR(__xludf.DUMMYFUNCTION("""COMPUTED_VALUE"""),"21-25")</f>
        <v>21-25</v>
      </c>
      <c r="K180" s="2" t="str">
        <f>IFERROR(__xludf.DUMMYFUNCTION("""COMPUTED_VALUE"""),"Nothing")</f>
        <v>Nothing</v>
      </c>
      <c r="L180" s="1"/>
      <c r="M180" s="1"/>
      <c r="N180" s="1"/>
      <c r="O180" s="1"/>
      <c r="P180" s="1"/>
      <c r="Q180" s="1"/>
      <c r="R180" s="1"/>
      <c r="S180" s="1"/>
      <c r="T180" s="1"/>
      <c r="U180" s="1"/>
      <c r="V180" s="1"/>
      <c r="W180" s="1"/>
      <c r="X180" s="1"/>
    </row>
    <row r="181" ht="15.75" customHeight="1">
      <c r="A181" s="1" t="str">
        <f>IFERROR(__xludf.DUMMYFUNCTION("""COMPUTED_VALUE"""),"Shadow Suit of armor")</f>
        <v>Shadow Suit of armor</v>
      </c>
      <c r="B181" s="73" t="str">
        <f>IFERROR(__xludf.DUMMYFUNCTION("""COMPUTED_VALUE"""),"1-5")</f>
        <v>1-5</v>
      </c>
      <c r="C181" s="2" t="str">
        <f>IFERROR(__xludf.DUMMYFUNCTION("""COMPUTED_VALUE"""),"Dark Knight Helm")</f>
        <v>Dark Knight Helm</v>
      </c>
      <c r="D181" s="73" t="str">
        <f>IFERROR(__xludf.DUMMYFUNCTION("""COMPUTED_VALUE"""),"6-10")</f>
        <v>6-10</v>
      </c>
      <c r="E181" s="2" t="str">
        <f>IFERROR(__xludf.DUMMYFUNCTION("""COMPUTED_VALUE"""),"Dark Wand")</f>
        <v>Dark Wand</v>
      </c>
      <c r="F181" s="73" t="str">
        <f>IFERROR(__xludf.DUMMYFUNCTION("""COMPUTED_VALUE"""),"11-15")</f>
        <v>11-15</v>
      </c>
      <c r="G181" s="2" t="str">
        <f>IFERROR(__xludf.DUMMYFUNCTION("""COMPUTED_VALUE"""),"Egg")</f>
        <v>Egg</v>
      </c>
      <c r="H181" s="73" t="str">
        <f>IFERROR(__xludf.DUMMYFUNCTION("""COMPUTED_VALUE"""),"16-20")</f>
        <v>16-20</v>
      </c>
      <c r="I181" s="2" t="str">
        <f>IFERROR(__xludf.DUMMYFUNCTION("""COMPUTED_VALUE"""),"Dark rum")</f>
        <v>Dark rum</v>
      </c>
      <c r="J181" s="73" t="str">
        <f>IFERROR(__xludf.DUMMYFUNCTION("""COMPUTED_VALUE"""),"21-25")</f>
        <v>21-25</v>
      </c>
      <c r="K181" s="2" t="str">
        <f>IFERROR(__xludf.DUMMYFUNCTION("""COMPUTED_VALUE"""),"Soul")</f>
        <v>Soul</v>
      </c>
      <c r="L181" s="1"/>
      <c r="M181" s="1"/>
      <c r="N181" s="1"/>
      <c r="O181" s="1"/>
      <c r="P181" s="1"/>
      <c r="Q181" s="1"/>
      <c r="R181" s="1"/>
      <c r="S181" s="1"/>
      <c r="T181" s="1"/>
      <c r="U181" s="1"/>
      <c r="V181" s="1"/>
      <c r="W181" s="1"/>
      <c r="X181" s="1"/>
    </row>
    <row r="182" ht="15.75" customHeight="1">
      <c r="A182" s="1" t="str">
        <f>IFERROR(__xludf.DUMMYFUNCTION("""COMPUTED_VALUE"""),"Shark (WD)")</f>
        <v>Shark (WD)</v>
      </c>
      <c r="B182" s="73" t="str">
        <f>IFERROR(__xludf.DUMMYFUNCTION("""COMPUTED_VALUE"""),"1-5")</f>
        <v>1-5</v>
      </c>
      <c r="C182" s="2" t="str">
        <f>IFERROR(__xludf.DUMMYFUNCTION("""COMPUTED_VALUE"""),"Shark Fin")</f>
        <v>Shark Fin</v>
      </c>
      <c r="D182" s="73" t="str">
        <f>IFERROR(__xludf.DUMMYFUNCTION("""COMPUTED_VALUE"""),"6-10")</f>
        <v>6-10</v>
      </c>
      <c r="E182" s="2" t="str">
        <f>IFERROR(__xludf.DUMMYFUNCTION("""COMPUTED_VALUE"""),"Sharp Teeth")</f>
        <v>Sharp Teeth</v>
      </c>
      <c r="F182" s="73" t="str">
        <f>IFERROR(__xludf.DUMMYFUNCTION("""COMPUTED_VALUE"""),"11-15")</f>
        <v>11-15</v>
      </c>
      <c r="G182" s="2" t="str">
        <f>IFERROR(__xludf.DUMMYFUNCTION("""COMPUTED_VALUE"""),"Soul")</f>
        <v>Soul</v>
      </c>
      <c r="H182" s="73" t="str">
        <f>IFERROR(__xludf.DUMMYFUNCTION("""COMPUTED_VALUE"""),"16-20")</f>
        <v>16-20</v>
      </c>
      <c r="I182" s="2" t="str">
        <f>IFERROR(__xludf.DUMMYFUNCTION("""COMPUTED_VALUE"""),"Nothing")</f>
        <v>Nothing</v>
      </c>
      <c r="J182" s="73" t="str">
        <f>IFERROR(__xludf.DUMMYFUNCTION("""COMPUTED_VALUE"""),"21-25")</f>
        <v>21-25</v>
      </c>
      <c r="K182" s="2" t="str">
        <f>IFERROR(__xludf.DUMMYFUNCTION("""COMPUTED_VALUE"""),"Egg")</f>
        <v>Egg</v>
      </c>
      <c r="L182" s="1"/>
      <c r="M182" s="1"/>
      <c r="N182" s="1"/>
      <c r="O182" s="1"/>
      <c r="P182" s="1"/>
      <c r="Q182" s="1"/>
      <c r="R182" s="1"/>
      <c r="S182" s="1"/>
      <c r="T182" s="1"/>
      <c r="U182" s="1"/>
      <c r="V182" s="1"/>
      <c r="W182" s="1"/>
      <c r="X182" s="1"/>
    </row>
    <row r="183" ht="15.75" customHeight="1">
      <c r="A183" s="1" t="str">
        <f>IFERROR(__xludf.DUMMYFUNCTION("""COMPUTED_VALUE"""),"Shark (WD) (Enhanced0")</f>
        <v>Shark (WD) (Enhanced0</v>
      </c>
      <c r="B183" s="73" t="str">
        <f>IFERROR(__xludf.DUMMYFUNCTION("""COMPUTED_VALUE"""),"1-5")</f>
        <v>1-5</v>
      </c>
      <c r="C183" s="2" t="str">
        <f>IFERROR(__xludf.DUMMYFUNCTION("""COMPUTED_VALUE"""),"Shark Fin")</f>
        <v>Shark Fin</v>
      </c>
      <c r="D183" s="73" t="str">
        <f>IFERROR(__xludf.DUMMYFUNCTION("""COMPUTED_VALUE"""),"6-10")</f>
        <v>6-10</v>
      </c>
      <c r="E183" s="2" t="str">
        <f>IFERROR(__xludf.DUMMYFUNCTION("""COMPUTED_VALUE"""),"Sharp Teeth")</f>
        <v>Sharp Teeth</v>
      </c>
      <c r="F183" s="73" t="str">
        <f>IFERROR(__xludf.DUMMYFUNCTION("""COMPUTED_VALUE"""),"11-15")</f>
        <v>11-15</v>
      </c>
      <c r="G183" s="2" t="str">
        <f>IFERROR(__xludf.DUMMYFUNCTION("""COMPUTED_VALUE"""),"Nothing")</f>
        <v>Nothing</v>
      </c>
      <c r="H183" s="73" t="str">
        <f>IFERROR(__xludf.DUMMYFUNCTION("""COMPUTED_VALUE"""),"16-20")</f>
        <v>16-20</v>
      </c>
      <c r="I183" s="2" t="str">
        <f>IFERROR(__xludf.DUMMYFUNCTION("""COMPUTED_VALUE"""),"Nothing")</f>
        <v>Nothing</v>
      </c>
      <c r="J183" s="73" t="str">
        <f>IFERROR(__xludf.DUMMYFUNCTION("""COMPUTED_VALUE"""),"21-25")</f>
        <v>21-25</v>
      </c>
      <c r="K183" s="2" t="str">
        <f>IFERROR(__xludf.DUMMYFUNCTION("""COMPUTED_VALUE"""),"Egg")</f>
        <v>Egg</v>
      </c>
      <c r="L183" s="1"/>
      <c r="M183" s="1"/>
      <c r="N183" s="1"/>
      <c r="O183" s="1"/>
      <c r="P183" s="1"/>
      <c r="Q183" s="1"/>
      <c r="R183" s="1"/>
      <c r="S183" s="1"/>
      <c r="T183" s="1"/>
      <c r="U183" s="1"/>
      <c r="V183" s="1"/>
      <c r="W183" s="1"/>
      <c r="X183" s="1"/>
    </row>
    <row r="184" ht="15.75" customHeight="1">
      <c r="A184" s="1" t="str">
        <f>IFERROR(__xludf.DUMMYFUNCTION("""COMPUTED_VALUE"""),"Skeletal Warrior")</f>
        <v>Skeletal Warrior</v>
      </c>
      <c r="B184" s="73" t="str">
        <f>IFERROR(__xludf.DUMMYFUNCTION("""COMPUTED_VALUE"""),"1-5")</f>
        <v>1-5</v>
      </c>
      <c r="C184" s="2" t="str">
        <f>IFERROR(__xludf.DUMMYFUNCTION("""COMPUTED_VALUE"""),"Bone Sword ")</f>
        <v>Bone Sword </v>
      </c>
      <c r="D184" s="73" t="str">
        <f>IFERROR(__xludf.DUMMYFUNCTION("""COMPUTED_VALUE"""),"6-10")</f>
        <v>6-10</v>
      </c>
      <c r="E184" s="2" t="str">
        <f>IFERROR(__xludf.DUMMYFUNCTION("""COMPUTED_VALUE"""),"20,000G-40,000G")</f>
        <v>20,000G-40,000G</v>
      </c>
      <c r="F184" s="73" t="str">
        <f>IFERROR(__xludf.DUMMYFUNCTION("""COMPUTED_VALUE"""),"11-15")</f>
        <v>11-15</v>
      </c>
      <c r="G184" s="2" t="str">
        <f>IFERROR(__xludf.DUMMYFUNCTION("""COMPUTED_VALUE"""),"Soul")</f>
        <v>Soul</v>
      </c>
      <c r="H184" s="73" t="str">
        <f>IFERROR(__xludf.DUMMYFUNCTION("""COMPUTED_VALUE"""),"16-20")</f>
        <v>16-20</v>
      </c>
      <c r="I184" s="2" t="str">
        <f>IFERROR(__xludf.DUMMYFUNCTION("""COMPUTED_VALUE"""),"Nothing")</f>
        <v>Nothing</v>
      </c>
      <c r="J184" s="73" t="str">
        <f>IFERROR(__xludf.DUMMYFUNCTION("""COMPUTED_VALUE"""),"21-25")</f>
        <v>21-25</v>
      </c>
      <c r="K184" s="2" t="str">
        <f>IFERROR(__xludf.DUMMYFUNCTION("""COMPUTED_VALUE"""),"Egg")</f>
        <v>Egg</v>
      </c>
      <c r="L184" s="1"/>
      <c r="M184" s="1"/>
      <c r="N184" s="1"/>
      <c r="O184" s="1"/>
      <c r="P184" s="1"/>
      <c r="Q184" s="1"/>
      <c r="R184" s="1"/>
      <c r="S184" s="1"/>
      <c r="T184" s="1"/>
      <c r="U184" s="1"/>
      <c r="V184" s="1"/>
      <c r="W184" s="1"/>
      <c r="X184" s="1"/>
    </row>
    <row r="185" ht="15.75" customHeight="1">
      <c r="A185" s="1" t="str">
        <f>IFERROR(__xludf.DUMMYFUNCTION("""COMPUTED_VALUE"""),"Skeleton Lord")</f>
        <v>Skeleton Lord</v>
      </c>
      <c r="B185" s="73" t="str">
        <f>IFERROR(__xludf.DUMMYFUNCTION("""COMPUTED_VALUE"""),"1-5")</f>
        <v>1-5</v>
      </c>
      <c r="C185" s="2" t="str">
        <f>IFERROR(__xludf.DUMMYFUNCTION("""COMPUTED_VALUE"""),"skull")</f>
        <v>skull</v>
      </c>
      <c r="D185" s="73" t="str">
        <f>IFERROR(__xludf.DUMMYFUNCTION("""COMPUTED_VALUE"""),"6-10")</f>
        <v>6-10</v>
      </c>
      <c r="E185" s="2" t="str">
        <f>IFERROR(__xludf.DUMMYFUNCTION("""COMPUTED_VALUE"""),"1,000G-20,000G")</f>
        <v>1,000G-20,000G</v>
      </c>
      <c r="F185" s="73" t="str">
        <f>IFERROR(__xludf.DUMMYFUNCTION("""COMPUTED_VALUE"""),"11-15")</f>
        <v>11-15</v>
      </c>
      <c r="G185" s="2" t="str">
        <f>IFERROR(__xludf.DUMMYFUNCTION("""COMPUTED_VALUE"""),"Bone Sword ")</f>
        <v>Bone Sword </v>
      </c>
      <c r="H185" s="73" t="str">
        <f>IFERROR(__xludf.DUMMYFUNCTION("""COMPUTED_VALUE"""),"16-20")</f>
        <v>16-20</v>
      </c>
      <c r="I185" s="2" t="str">
        <f>IFERROR(__xludf.DUMMYFUNCTION("""COMPUTED_VALUE"""),"Soul")</f>
        <v>Soul</v>
      </c>
      <c r="J185" s="73" t="str">
        <f>IFERROR(__xludf.DUMMYFUNCTION("""COMPUTED_VALUE"""),"21-25")</f>
        <v>21-25</v>
      </c>
      <c r="K185" s="2" t="str">
        <f>IFERROR(__xludf.DUMMYFUNCTION("""COMPUTED_VALUE"""),"Nothing")</f>
        <v>Nothing</v>
      </c>
      <c r="L185" s="1"/>
      <c r="M185" s="1"/>
      <c r="N185" s="1"/>
      <c r="O185" s="1"/>
      <c r="P185" s="1"/>
      <c r="Q185" s="1"/>
      <c r="R185" s="1"/>
      <c r="S185" s="1"/>
      <c r="T185" s="1"/>
      <c r="U185" s="1"/>
      <c r="V185" s="1"/>
      <c r="W185" s="1"/>
      <c r="X185" s="1"/>
    </row>
    <row r="186" ht="15.75" customHeight="1">
      <c r="A186" s="1" t="str">
        <f>IFERROR(__xludf.DUMMYFUNCTION("""COMPUTED_VALUE"""),"Skilled Robot Soldier (King Of Mekanas Companion)")</f>
        <v>Skilled Robot Soldier (King Of Mekanas Companion)</v>
      </c>
      <c r="B186" s="73" t="str">
        <f>IFERROR(__xludf.DUMMYFUNCTION("""COMPUTED_VALUE"""),"1-5")</f>
        <v>1-5</v>
      </c>
      <c r="C186" s="2" t="str">
        <f>IFERROR(__xludf.DUMMYFUNCTION("""COMPUTED_VALUE"""),"Nothing")</f>
        <v>Nothing</v>
      </c>
      <c r="D186" s="73" t="str">
        <f>IFERROR(__xludf.DUMMYFUNCTION("""COMPUTED_VALUE"""),"6-10")</f>
        <v>6-10</v>
      </c>
      <c r="E186" s="2" t="str">
        <f>IFERROR(__xludf.DUMMYFUNCTION("""COMPUTED_VALUE"""),"Lazer Infused Sword")</f>
        <v>Lazer Infused Sword</v>
      </c>
      <c r="F186" s="73" t="str">
        <f>IFERROR(__xludf.DUMMYFUNCTION("""COMPUTED_VALUE"""),"11-15")</f>
        <v>11-15</v>
      </c>
      <c r="G186" s="2" t="str">
        <f>IFERROR(__xludf.DUMMYFUNCTION("""COMPUTED_VALUE"""),"Nothing")</f>
        <v>Nothing</v>
      </c>
      <c r="H186" s="73" t="str">
        <f>IFERROR(__xludf.DUMMYFUNCTION("""COMPUTED_VALUE"""),"16-20")</f>
        <v>16-20</v>
      </c>
      <c r="I186" s="2" t="str">
        <f>IFERROR(__xludf.DUMMYFUNCTION("""COMPUTED_VALUE"""),"Nothing")</f>
        <v>Nothing</v>
      </c>
      <c r="J186" s="73" t="str">
        <f>IFERROR(__xludf.DUMMYFUNCTION("""COMPUTED_VALUE"""),"21-25")</f>
        <v>21-25</v>
      </c>
      <c r="K186" s="2" t="str">
        <f>IFERROR(__xludf.DUMMYFUNCTION("""COMPUTED_VALUE"""),"Nothing")</f>
        <v>Nothing</v>
      </c>
      <c r="L186" s="1"/>
      <c r="M186" s="1"/>
      <c r="N186" s="1"/>
      <c r="O186" s="1"/>
      <c r="P186" s="1"/>
      <c r="Q186" s="1"/>
      <c r="R186" s="1"/>
      <c r="S186" s="1"/>
      <c r="T186" s="1"/>
      <c r="U186" s="1"/>
      <c r="V186" s="1"/>
      <c r="W186" s="1"/>
      <c r="X186" s="1"/>
    </row>
    <row r="187" ht="15.75" customHeight="1">
      <c r="A187" s="1" t="str">
        <f>IFERROR(__xludf.DUMMYFUNCTION("""COMPUTED_VALUE"""),"Slime")</f>
        <v>Slime</v>
      </c>
      <c r="B187" s="73" t="str">
        <f>IFERROR(__xludf.DUMMYFUNCTION("""COMPUTED_VALUE"""),"1-5")</f>
        <v>1-5</v>
      </c>
      <c r="C187" s="2" t="str">
        <f>IFERROR(__xludf.DUMMYFUNCTION("""COMPUTED_VALUE"""),"Slime core")</f>
        <v>Slime core</v>
      </c>
      <c r="D187" s="73" t="str">
        <f>IFERROR(__xludf.DUMMYFUNCTION("""COMPUTED_VALUE"""),"6-10")</f>
        <v>6-10</v>
      </c>
      <c r="E187" s="2" t="str">
        <f>IFERROR(__xludf.DUMMYFUNCTION("""COMPUTED_VALUE"""),"1,000G-20,000G")</f>
        <v>1,000G-20,000G</v>
      </c>
      <c r="F187" s="73" t="str">
        <f>IFERROR(__xludf.DUMMYFUNCTION("""COMPUTED_VALUE"""),"11-15")</f>
        <v>11-15</v>
      </c>
      <c r="G187" s="2" t="str">
        <f>IFERROR(__xludf.DUMMYFUNCTION("""COMPUTED_VALUE"""),"Soul")</f>
        <v>Soul</v>
      </c>
      <c r="H187" s="73" t="str">
        <f>IFERROR(__xludf.DUMMYFUNCTION("""COMPUTED_VALUE"""),"16-20")</f>
        <v>16-20</v>
      </c>
      <c r="I187" s="2" t="str">
        <f>IFERROR(__xludf.DUMMYFUNCTION("""COMPUTED_VALUE"""),"Nothing")</f>
        <v>Nothing</v>
      </c>
      <c r="J187" s="73" t="str">
        <f>IFERROR(__xludf.DUMMYFUNCTION("""COMPUTED_VALUE"""),"21-25")</f>
        <v>21-25</v>
      </c>
      <c r="K187" s="2" t="str">
        <f>IFERROR(__xludf.DUMMYFUNCTION("""COMPUTED_VALUE"""),"Sticky Slime Guantlets")</f>
        <v>Sticky Slime Guantlets</v>
      </c>
      <c r="L187" s="1"/>
      <c r="M187" s="1"/>
      <c r="N187" s="1"/>
      <c r="O187" s="1"/>
      <c r="P187" s="1"/>
      <c r="Q187" s="1"/>
      <c r="R187" s="1"/>
      <c r="S187" s="1"/>
      <c r="T187" s="1"/>
      <c r="U187" s="1"/>
      <c r="V187" s="1"/>
      <c r="W187" s="1"/>
      <c r="X187" s="1"/>
    </row>
    <row r="188" ht="15.75" customHeight="1">
      <c r="A188" s="1" t="str">
        <f>IFERROR(__xludf.DUMMYFUNCTION("""COMPUTED_VALUE"""),"Sorana- Demon Of The Cycle")</f>
        <v>Sorana- Demon Of The Cycle</v>
      </c>
      <c r="B188" s="73" t="str">
        <f>IFERROR(__xludf.DUMMYFUNCTION("""COMPUTED_VALUE"""),"1-5")</f>
        <v>1-5</v>
      </c>
      <c r="C188" s="2" t="str">
        <f>IFERROR(__xludf.DUMMYFUNCTION("""COMPUTED_VALUE"""),"Demon Core")</f>
        <v>Demon Core</v>
      </c>
      <c r="D188" s="73" t="str">
        <f>IFERROR(__xludf.DUMMYFUNCTION("""COMPUTED_VALUE"""),"6-10")</f>
        <v>6-10</v>
      </c>
      <c r="E188" s="2" t="str">
        <f>IFERROR(__xludf.DUMMYFUNCTION("""COMPUTED_VALUE"""),"Demons Eye")</f>
        <v>Demons Eye</v>
      </c>
      <c r="F188" s="73" t="str">
        <f>IFERROR(__xludf.DUMMYFUNCTION("""COMPUTED_VALUE"""),"11-15")</f>
        <v>11-15</v>
      </c>
      <c r="G188" s="2" t="str">
        <f>IFERROR(__xludf.DUMMYFUNCTION("""COMPUTED_VALUE"""),"Soul")</f>
        <v>Soul</v>
      </c>
      <c r="H188" s="73" t="str">
        <f>IFERROR(__xludf.DUMMYFUNCTION("""COMPUTED_VALUE"""),"16-20")</f>
        <v>16-20</v>
      </c>
      <c r="I188" s="2" t="str">
        <f>IFERROR(__xludf.DUMMYFUNCTION("""COMPUTED_VALUE"""),"20,000G-40,000G")</f>
        <v>20,000G-40,000G</v>
      </c>
      <c r="J188" s="73" t="str">
        <f>IFERROR(__xludf.DUMMYFUNCTION("""COMPUTED_VALUE"""),"21-25")</f>
        <v>21-25</v>
      </c>
      <c r="K188" s="2" t="str">
        <f>IFERROR(__xludf.DUMMYFUNCTION("""COMPUTED_VALUE"""),"Nothing")</f>
        <v>Nothing</v>
      </c>
      <c r="L188" s="1"/>
      <c r="M188" s="1"/>
      <c r="N188" s="1"/>
      <c r="O188" s="1"/>
      <c r="P188" s="1"/>
      <c r="Q188" s="1"/>
      <c r="R188" s="1"/>
      <c r="S188" s="1"/>
      <c r="T188" s="1"/>
      <c r="U188" s="1"/>
      <c r="V188" s="1"/>
      <c r="W188" s="1"/>
      <c r="X188" s="1"/>
    </row>
    <row r="189" ht="15.75" customHeight="1">
      <c r="A189" s="1" t="str">
        <f>IFERROR(__xludf.DUMMYFUNCTION("""COMPUTED_VALUE"""),"Soul Dragon")</f>
        <v>Soul Dragon</v>
      </c>
      <c r="B189" s="73" t="str">
        <f>IFERROR(__xludf.DUMMYFUNCTION("""COMPUTED_VALUE"""),"1-5")</f>
        <v>1-5</v>
      </c>
      <c r="C189" s="2" t="str">
        <f>IFERROR(__xludf.DUMMYFUNCTION("""COMPUTED_VALUE"""),"Soul")</f>
        <v>Soul</v>
      </c>
      <c r="D189" s="73" t="str">
        <f>IFERROR(__xludf.DUMMYFUNCTION("""COMPUTED_VALUE"""),"6-10")</f>
        <v>6-10</v>
      </c>
      <c r="E189" s="2" t="str">
        <f>IFERROR(__xludf.DUMMYFUNCTION("""COMPUTED_VALUE"""),"Draconic Scythe")</f>
        <v>Draconic Scythe</v>
      </c>
      <c r="F189" s="73" t="str">
        <f>IFERROR(__xludf.DUMMYFUNCTION("""COMPUTED_VALUE"""),"11-15")</f>
        <v>11-15</v>
      </c>
      <c r="G189" s="2" t="str">
        <f>IFERROR(__xludf.DUMMYFUNCTION("""COMPUTED_VALUE"""),"Soul")</f>
        <v>Soul</v>
      </c>
      <c r="H189" s="73" t="str">
        <f>IFERROR(__xludf.DUMMYFUNCTION("""COMPUTED_VALUE"""),"16-20")</f>
        <v>16-20</v>
      </c>
      <c r="I189" s="2" t="str">
        <f>IFERROR(__xludf.DUMMYFUNCTION("""COMPUTED_VALUE"""),"1,000,000G-20,000,000G")</f>
        <v>1,000,000G-20,000,000G</v>
      </c>
      <c r="J189" s="73" t="str">
        <f>IFERROR(__xludf.DUMMYFUNCTION("""COMPUTED_VALUE"""),"21-25")</f>
        <v>21-25</v>
      </c>
      <c r="K189" s="2" t="str">
        <f>IFERROR(__xludf.DUMMYFUNCTION("""COMPUTED_VALUE"""),"Egg")</f>
        <v>Egg</v>
      </c>
      <c r="L189" s="1"/>
      <c r="M189" s="1"/>
      <c r="N189" s="1"/>
      <c r="O189" s="1"/>
      <c r="P189" s="1"/>
      <c r="Q189" s="1"/>
      <c r="R189" s="1"/>
      <c r="S189" s="1"/>
      <c r="T189" s="1"/>
      <c r="U189" s="1"/>
      <c r="V189" s="1"/>
      <c r="W189" s="1"/>
      <c r="X189" s="1"/>
    </row>
    <row r="190" ht="15.75" customHeight="1">
      <c r="A190" s="1" t="str">
        <f>IFERROR(__xludf.DUMMYFUNCTION("""COMPUTED_VALUE"""),"Spirit Dragon")</f>
        <v>Spirit Dragon</v>
      </c>
      <c r="B190" s="73" t="str">
        <f>IFERROR(__xludf.DUMMYFUNCTION("""COMPUTED_VALUE"""),"1-5")</f>
        <v>1-5</v>
      </c>
      <c r="C190" s="2" t="str">
        <f>IFERROR(__xludf.DUMMYFUNCTION("""COMPUTED_VALUE"""),"Soul")</f>
        <v>Soul</v>
      </c>
      <c r="D190" s="73" t="str">
        <f>IFERROR(__xludf.DUMMYFUNCTION("""COMPUTED_VALUE"""),"6-10")</f>
        <v>6-10</v>
      </c>
      <c r="E190" s="2" t="str">
        <f>IFERROR(__xludf.DUMMYFUNCTION("""COMPUTED_VALUE"""),"Spirits")</f>
        <v>Spirits</v>
      </c>
      <c r="F190" s="73" t="str">
        <f>IFERROR(__xludf.DUMMYFUNCTION("""COMPUTED_VALUE"""),"11-15")</f>
        <v>11-15</v>
      </c>
      <c r="G190" s="2" t="str">
        <f>IFERROR(__xludf.DUMMYFUNCTION("""COMPUTED_VALUE"""),"Draconic Scythe")</f>
        <v>Draconic Scythe</v>
      </c>
      <c r="H190" s="73" t="str">
        <f>IFERROR(__xludf.DUMMYFUNCTION("""COMPUTED_VALUE"""),"16-20")</f>
        <v>16-20</v>
      </c>
      <c r="I190" s="2" t="str">
        <f>IFERROR(__xludf.DUMMYFUNCTION("""COMPUTED_VALUE"""),"40,000,000G-60,000,000G")</f>
        <v>40,000,000G-60,000,000G</v>
      </c>
      <c r="J190" s="73" t="str">
        <f>IFERROR(__xludf.DUMMYFUNCTION("""COMPUTED_VALUE"""),"21-25")</f>
        <v>21-25</v>
      </c>
      <c r="K190" s="2" t="str">
        <f>IFERROR(__xludf.DUMMYFUNCTION("""COMPUTED_VALUE"""),"Egg")</f>
        <v>Egg</v>
      </c>
      <c r="L190" s="1"/>
      <c r="M190" s="1"/>
      <c r="N190" s="1"/>
      <c r="O190" s="1"/>
      <c r="P190" s="1"/>
      <c r="Q190" s="1"/>
      <c r="R190" s="1"/>
      <c r="S190" s="1"/>
      <c r="T190" s="1"/>
      <c r="U190" s="1"/>
      <c r="V190" s="1"/>
      <c r="W190" s="1"/>
      <c r="X190" s="1"/>
    </row>
    <row r="191" ht="15.75" customHeight="1">
      <c r="A191" s="1" t="str">
        <f>IFERROR(__xludf.DUMMYFUNCTION("""COMPUTED_VALUE"""),"Spirit Warrior")</f>
        <v>Spirit Warrior</v>
      </c>
      <c r="B191" s="73" t="str">
        <f>IFERROR(__xludf.DUMMYFUNCTION("""COMPUTED_VALUE"""),"1-5")</f>
        <v>1-5</v>
      </c>
      <c r="C191" s="2" t="str">
        <f>IFERROR(__xludf.DUMMYFUNCTION("""COMPUTED_VALUE"""),"Spirits")</f>
        <v>Spirits</v>
      </c>
      <c r="D191" s="73" t="str">
        <f>IFERROR(__xludf.DUMMYFUNCTION("""COMPUTED_VALUE"""),"6-10")</f>
        <v>6-10</v>
      </c>
      <c r="E191" s="2" t="str">
        <f>IFERROR(__xludf.DUMMYFUNCTION("""COMPUTED_VALUE"""),"False Helmet")</f>
        <v>False Helmet</v>
      </c>
      <c r="F191" s="73" t="str">
        <f>IFERROR(__xludf.DUMMYFUNCTION("""COMPUTED_VALUE"""),"11-15")</f>
        <v>11-15</v>
      </c>
      <c r="G191" s="2" t="str">
        <f>IFERROR(__xludf.DUMMYFUNCTION("""COMPUTED_VALUE"""),"20,000G-40,000G")</f>
        <v>20,000G-40,000G</v>
      </c>
      <c r="H191" s="73" t="str">
        <f>IFERROR(__xludf.DUMMYFUNCTION("""COMPUTED_VALUE"""),"16-20")</f>
        <v>16-20</v>
      </c>
      <c r="I191" s="2" t="str">
        <f>IFERROR(__xludf.DUMMYFUNCTION("""COMPUTED_VALUE"""),"Soul")</f>
        <v>Soul</v>
      </c>
      <c r="J191" s="73" t="str">
        <f>IFERROR(__xludf.DUMMYFUNCTION("""COMPUTED_VALUE"""),"21-25")</f>
        <v>21-25</v>
      </c>
      <c r="K191" s="2" t="str">
        <f>IFERROR(__xludf.DUMMYFUNCTION("""COMPUTED_VALUE"""),"Ring o' Neurodivergence and Spirit")</f>
        <v>Ring o' Neurodivergence and Spirit</v>
      </c>
      <c r="L191" s="1"/>
      <c r="M191" s="1"/>
      <c r="N191" s="1"/>
      <c r="O191" s="1"/>
      <c r="P191" s="1"/>
      <c r="Q191" s="1"/>
      <c r="R191" s="1"/>
      <c r="S191" s="1"/>
      <c r="T191" s="1"/>
      <c r="U191" s="1"/>
      <c r="V191" s="1"/>
      <c r="W191" s="1"/>
      <c r="X191" s="1"/>
    </row>
    <row r="192" ht="15.75" customHeight="1">
      <c r="A192" s="1" t="str">
        <f>IFERROR(__xludf.DUMMYFUNCTION("""COMPUTED_VALUE"""),"Squid (WD)")</f>
        <v>Squid (WD)</v>
      </c>
      <c r="B192" s="73" t="str">
        <f>IFERROR(__xludf.DUMMYFUNCTION("""COMPUTED_VALUE"""),"1-5")</f>
        <v>1-5</v>
      </c>
      <c r="C192" s="2" t="str">
        <f>IFERROR(__xludf.DUMMYFUNCTION("""COMPUTED_VALUE"""),"Squid Ink")</f>
        <v>Squid Ink</v>
      </c>
      <c r="D192" s="73" t="str">
        <f>IFERROR(__xludf.DUMMYFUNCTION("""COMPUTED_VALUE"""),"6-10")</f>
        <v>6-10</v>
      </c>
      <c r="E192" s="2" t="str">
        <f>IFERROR(__xludf.DUMMYFUNCTION("""COMPUTED_VALUE"""),"Potion of Water Breathing")</f>
        <v>Potion of Water Breathing</v>
      </c>
      <c r="F192" s="73" t="str">
        <f>IFERROR(__xludf.DUMMYFUNCTION("""COMPUTED_VALUE"""),"11-15")</f>
        <v>11-15</v>
      </c>
      <c r="G192" s="2" t="str">
        <f>IFERROR(__xludf.DUMMYFUNCTION("""COMPUTED_VALUE"""),"Soul")</f>
        <v>Soul</v>
      </c>
      <c r="H192" s="73" t="str">
        <f>IFERROR(__xludf.DUMMYFUNCTION("""COMPUTED_VALUE"""),"16-20")</f>
        <v>16-20</v>
      </c>
      <c r="I192" s="2" t="str">
        <f>IFERROR(__xludf.DUMMYFUNCTION("""COMPUTED_VALUE"""),"Egg")</f>
        <v>Egg</v>
      </c>
      <c r="J192" s="73" t="str">
        <f>IFERROR(__xludf.DUMMYFUNCTION("""COMPUTED_VALUE"""),"21-25")</f>
        <v>21-25</v>
      </c>
      <c r="K192" s="2" t="str">
        <f>IFERROR(__xludf.DUMMYFUNCTION("""COMPUTED_VALUE"""),"Nothing")</f>
        <v>Nothing</v>
      </c>
      <c r="L192" s="1"/>
      <c r="M192" s="1"/>
      <c r="N192" s="1"/>
      <c r="O192" s="1"/>
      <c r="P192" s="1"/>
      <c r="Q192" s="1"/>
      <c r="R192" s="1"/>
      <c r="S192" s="1"/>
      <c r="T192" s="1"/>
      <c r="U192" s="1"/>
      <c r="V192" s="1"/>
      <c r="W192" s="1"/>
      <c r="X192" s="1"/>
    </row>
    <row r="193" ht="15.75" customHeight="1">
      <c r="A193" s="1" t="str">
        <f>IFERROR(__xludf.DUMMYFUNCTION("""COMPUTED_VALUE"""),"Squid (WD) (Enhanced)")</f>
        <v>Squid (WD) (Enhanced)</v>
      </c>
      <c r="B193" s="73" t="str">
        <f>IFERROR(__xludf.DUMMYFUNCTION("""COMPUTED_VALUE"""),"1-5")</f>
        <v>1-5</v>
      </c>
      <c r="C193" s="2" t="str">
        <f>IFERROR(__xludf.DUMMYFUNCTION("""COMPUTED_VALUE"""),"Squid Ink")</f>
        <v>Squid Ink</v>
      </c>
      <c r="D193" s="73" t="str">
        <f>IFERROR(__xludf.DUMMYFUNCTION("""COMPUTED_VALUE"""),"6-10")</f>
        <v>6-10</v>
      </c>
      <c r="E193" s="2" t="str">
        <f>IFERROR(__xludf.DUMMYFUNCTION("""COMPUTED_VALUE"""),"Potion of Water Breathing")</f>
        <v>Potion of Water Breathing</v>
      </c>
      <c r="F193" s="73" t="str">
        <f>IFERROR(__xludf.DUMMYFUNCTION("""COMPUTED_VALUE"""),"11-15")</f>
        <v>11-15</v>
      </c>
      <c r="G193" s="2" t="str">
        <f>IFERROR(__xludf.DUMMYFUNCTION("""COMPUTED_VALUE"""),"Soul")</f>
        <v>Soul</v>
      </c>
      <c r="H193" s="73" t="str">
        <f>IFERROR(__xludf.DUMMYFUNCTION("""COMPUTED_VALUE"""),"16-20")</f>
        <v>16-20</v>
      </c>
      <c r="I193" s="2" t="str">
        <f>IFERROR(__xludf.DUMMYFUNCTION("""COMPUTED_VALUE"""),"Egg")</f>
        <v>Egg</v>
      </c>
      <c r="J193" s="73" t="str">
        <f>IFERROR(__xludf.DUMMYFUNCTION("""COMPUTED_VALUE"""),"21-25")</f>
        <v>21-25</v>
      </c>
      <c r="K193" s="2" t="str">
        <f>IFERROR(__xludf.DUMMYFUNCTION("""COMPUTED_VALUE"""),"Nothing")</f>
        <v>Nothing</v>
      </c>
      <c r="L193" s="1"/>
      <c r="M193" s="1"/>
      <c r="N193" s="1"/>
      <c r="O193" s="1"/>
      <c r="P193" s="1"/>
      <c r="Q193" s="1"/>
      <c r="R193" s="1"/>
      <c r="S193" s="1"/>
      <c r="T193" s="1"/>
      <c r="U193" s="1"/>
      <c r="V193" s="1"/>
      <c r="W193" s="1"/>
      <c r="X193" s="1"/>
    </row>
    <row r="194" ht="15.75" customHeight="1">
      <c r="A194" s="1" t="str">
        <f>IFERROR(__xludf.DUMMYFUNCTION("""COMPUTED_VALUE"""),"Stag")</f>
        <v>Stag</v>
      </c>
      <c r="B194" s="73" t="str">
        <f>IFERROR(__xludf.DUMMYFUNCTION("""COMPUTED_VALUE"""),"1-5")</f>
        <v>1-5</v>
      </c>
      <c r="C194" s="2" t="str">
        <f>IFERROR(__xludf.DUMMYFUNCTION("""COMPUTED_VALUE"""),"Stag Meat")</f>
        <v>Stag Meat</v>
      </c>
      <c r="D194" s="73" t="str">
        <f>IFERROR(__xludf.DUMMYFUNCTION("""COMPUTED_VALUE"""),"6-10")</f>
        <v>6-10</v>
      </c>
      <c r="E194" s="2" t="str">
        <f>IFERROR(__xludf.DUMMYFUNCTION("""COMPUTED_VALUE"""),"Nothing")</f>
        <v>Nothing</v>
      </c>
      <c r="F194" s="73" t="str">
        <f>IFERROR(__xludf.DUMMYFUNCTION("""COMPUTED_VALUE"""),"11-15")</f>
        <v>11-15</v>
      </c>
      <c r="G194" s="2" t="str">
        <f>IFERROR(__xludf.DUMMYFUNCTION("""COMPUTED_VALUE"""),"Stag Meat")</f>
        <v>Stag Meat</v>
      </c>
      <c r="H194" s="73" t="str">
        <f>IFERROR(__xludf.DUMMYFUNCTION("""COMPUTED_VALUE"""),"16-20")</f>
        <v>16-20</v>
      </c>
      <c r="I194" s="2" t="str">
        <f>IFERROR(__xludf.DUMMYFUNCTION("""COMPUTED_VALUE"""),"Soul")</f>
        <v>Soul</v>
      </c>
      <c r="J194" s="73" t="str">
        <f>IFERROR(__xludf.DUMMYFUNCTION("""COMPUTED_VALUE"""),"21-25")</f>
        <v>21-25</v>
      </c>
      <c r="K194" s="2" t="str">
        <f>IFERROR(__xludf.DUMMYFUNCTION("""COMPUTED_VALUE"""),"Nothing")</f>
        <v>Nothing</v>
      </c>
      <c r="L194" s="1"/>
      <c r="M194" s="1"/>
      <c r="N194" s="1"/>
      <c r="O194" s="1"/>
      <c r="P194" s="1"/>
      <c r="Q194" s="1"/>
      <c r="R194" s="1"/>
      <c r="S194" s="1"/>
      <c r="T194" s="1"/>
      <c r="U194" s="1"/>
      <c r="V194" s="1"/>
      <c r="W194" s="1"/>
      <c r="X194" s="1"/>
    </row>
    <row r="195" ht="15.75" customHeight="1">
      <c r="A195" s="1" t="str">
        <f>IFERROR(__xludf.DUMMYFUNCTION("""COMPUTED_VALUE"""),"Steed")</f>
        <v>Steed</v>
      </c>
      <c r="B195" s="73" t="str">
        <f>IFERROR(__xludf.DUMMYFUNCTION("""COMPUTED_VALUE"""),"1-5")</f>
        <v>1-5</v>
      </c>
      <c r="C195" s="2" t="str">
        <f>IFERROR(__xludf.DUMMYFUNCTION("""COMPUTED_VALUE"""),"Steed Meat")</f>
        <v>Steed Meat</v>
      </c>
      <c r="D195" s="73" t="str">
        <f>IFERROR(__xludf.DUMMYFUNCTION("""COMPUTED_VALUE"""),"6-10")</f>
        <v>6-10</v>
      </c>
      <c r="E195" s="2" t="str">
        <f>IFERROR(__xludf.DUMMYFUNCTION("""COMPUTED_VALUE"""),"Nothing")</f>
        <v>Nothing</v>
      </c>
      <c r="F195" s="73" t="str">
        <f>IFERROR(__xludf.DUMMYFUNCTION("""COMPUTED_VALUE"""),"11-15")</f>
        <v>11-15</v>
      </c>
      <c r="G195" s="2" t="str">
        <f>IFERROR(__xludf.DUMMYFUNCTION("""COMPUTED_VALUE"""),"Steed Meat")</f>
        <v>Steed Meat</v>
      </c>
      <c r="H195" s="73" t="str">
        <f>IFERROR(__xludf.DUMMYFUNCTION("""COMPUTED_VALUE"""),"16-20")</f>
        <v>16-20</v>
      </c>
      <c r="I195" s="2" t="str">
        <f>IFERROR(__xludf.DUMMYFUNCTION("""COMPUTED_VALUE"""),"Soul")</f>
        <v>Soul</v>
      </c>
      <c r="J195" s="73" t="str">
        <f>IFERROR(__xludf.DUMMYFUNCTION("""COMPUTED_VALUE"""),"21-25")</f>
        <v>21-25</v>
      </c>
      <c r="K195" s="2" t="str">
        <f>IFERROR(__xludf.DUMMYFUNCTION("""COMPUTED_VALUE"""),"Nothing")</f>
        <v>Nothing</v>
      </c>
      <c r="L195" s="1"/>
      <c r="M195" s="1"/>
      <c r="N195" s="1"/>
      <c r="O195" s="1"/>
      <c r="P195" s="1"/>
      <c r="Q195" s="1"/>
      <c r="R195" s="1"/>
      <c r="S195" s="1"/>
      <c r="T195" s="1"/>
      <c r="U195" s="1"/>
      <c r="V195" s="1"/>
      <c r="W195" s="1"/>
      <c r="X195" s="1"/>
    </row>
    <row r="196" ht="15.75" customHeight="1">
      <c r="A196" s="1" t="str">
        <f>IFERROR(__xludf.DUMMYFUNCTION("""COMPUTED_VALUE"""),"Stone Dragon")</f>
        <v>Stone Dragon</v>
      </c>
      <c r="B196" s="73" t="str">
        <f>IFERROR(__xludf.DUMMYFUNCTION("""COMPUTED_VALUE"""),"1-5")</f>
        <v>1-5</v>
      </c>
      <c r="C196" s="2" t="str">
        <f>IFERROR(__xludf.DUMMYFUNCTION("""COMPUTED_VALUE"""),"Soul")</f>
        <v>Soul</v>
      </c>
      <c r="D196" s="73" t="str">
        <f>IFERROR(__xludf.DUMMYFUNCTION("""COMPUTED_VALUE"""),"6-10")</f>
        <v>6-10</v>
      </c>
      <c r="E196" s="2" t="str">
        <f>IFERROR(__xludf.DUMMYFUNCTION("""COMPUTED_VALUE"""),"Stone Small Shield")</f>
        <v>Stone Small Shield</v>
      </c>
      <c r="F196" s="73" t="str">
        <f>IFERROR(__xludf.DUMMYFUNCTION("""COMPUTED_VALUE"""),"11-15")</f>
        <v>11-15</v>
      </c>
      <c r="G196" s="2" t="str">
        <f>IFERROR(__xludf.DUMMYFUNCTION("""COMPUTED_VALUE"""),"Nothing")</f>
        <v>Nothing</v>
      </c>
      <c r="H196" s="73" t="str">
        <f>IFERROR(__xludf.DUMMYFUNCTION("""COMPUTED_VALUE"""),"16-20")</f>
        <v>16-20</v>
      </c>
      <c r="I196" s="2" t="str">
        <f>IFERROR(__xludf.DUMMYFUNCTION("""COMPUTED_VALUE"""),"Nothing")</f>
        <v>Nothing</v>
      </c>
      <c r="J196" s="73" t="str">
        <f>IFERROR(__xludf.DUMMYFUNCTION("""COMPUTED_VALUE"""),"21-25")</f>
        <v>21-25</v>
      </c>
      <c r="K196" s="2" t="str">
        <f>IFERROR(__xludf.DUMMYFUNCTION("""COMPUTED_VALUE"""),"Egg")</f>
        <v>Egg</v>
      </c>
      <c r="L196" s="1"/>
      <c r="M196" s="1"/>
      <c r="N196" s="1"/>
      <c r="O196" s="1"/>
      <c r="P196" s="1"/>
      <c r="Q196" s="1"/>
      <c r="R196" s="1"/>
      <c r="S196" s="1"/>
      <c r="T196" s="1"/>
      <c r="U196" s="1"/>
      <c r="V196" s="1"/>
      <c r="W196" s="1"/>
      <c r="X196" s="1"/>
    </row>
    <row r="197" ht="15.75" customHeight="1">
      <c r="A197" s="1" t="str">
        <f>IFERROR(__xludf.DUMMYFUNCTION("""COMPUTED_VALUE"""),"Storm Dragon")</f>
        <v>Storm Dragon</v>
      </c>
      <c r="B197" s="73" t="str">
        <f>IFERROR(__xludf.DUMMYFUNCTION("""COMPUTED_VALUE"""),"1-5")</f>
        <v>1-5</v>
      </c>
      <c r="C197" s="2" t="str">
        <f>IFERROR(__xludf.DUMMYFUNCTION("""COMPUTED_VALUE"""),"Soul")</f>
        <v>Soul</v>
      </c>
      <c r="D197" s="73" t="str">
        <f>IFERROR(__xludf.DUMMYFUNCTION("""COMPUTED_VALUE"""),"6-10")</f>
        <v>6-10</v>
      </c>
      <c r="E197" s="2" t="str">
        <f>IFERROR(__xludf.DUMMYFUNCTION("""COMPUTED_VALUE"""),"1,000G-20,000G")</f>
        <v>1,000G-20,000G</v>
      </c>
      <c r="F197" s="73" t="str">
        <f>IFERROR(__xludf.DUMMYFUNCTION("""COMPUTED_VALUE"""),"11-15")</f>
        <v>11-15</v>
      </c>
      <c r="G197" s="2" t="str">
        <f>IFERROR(__xludf.DUMMYFUNCTION("""COMPUTED_VALUE"""),"Nothing")</f>
        <v>Nothing</v>
      </c>
      <c r="H197" s="73" t="str">
        <f>IFERROR(__xludf.DUMMYFUNCTION("""COMPUTED_VALUE"""),"16-20")</f>
        <v>16-20</v>
      </c>
      <c r="I197" s="2" t="str">
        <f>IFERROR(__xludf.DUMMYFUNCTION("""COMPUTED_VALUE"""),"Rank 9 Storm Tome")</f>
        <v>Rank 9 Storm Tome</v>
      </c>
      <c r="J197" s="73" t="str">
        <f>IFERROR(__xludf.DUMMYFUNCTION("""COMPUTED_VALUE"""),"21-25")</f>
        <v>21-25</v>
      </c>
      <c r="K197" s="2" t="str">
        <f>IFERROR(__xludf.DUMMYFUNCTION("""COMPUTED_VALUE"""),"Egg")</f>
        <v>Egg</v>
      </c>
      <c r="L197" s="1"/>
      <c r="M197" s="1"/>
      <c r="N197" s="1"/>
      <c r="O197" s="1"/>
      <c r="P197" s="1"/>
      <c r="Q197" s="1"/>
      <c r="R197" s="1"/>
      <c r="S197" s="1"/>
      <c r="T197" s="1"/>
      <c r="U197" s="1"/>
      <c r="V197" s="1"/>
      <c r="W197" s="1"/>
      <c r="X197" s="1"/>
    </row>
    <row r="198" ht="15.75" customHeight="1">
      <c r="A198" s="1" t="str">
        <f>IFERROR(__xludf.DUMMYFUNCTION("""COMPUTED_VALUE"""),"Swamp Dragon")</f>
        <v>Swamp Dragon</v>
      </c>
      <c r="B198" s="73" t="str">
        <f>IFERROR(__xludf.DUMMYFUNCTION("""COMPUTED_VALUE"""),"1-5")</f>
        <v>1-5</v>
      </c>
      <c r="C198" s="2" t="str">
        <f>IFERROR(__xludf.DUMMYFUNCTION("""COMPUTED_VALUE"""),"Soul")</f>
        <v>Soul</v>
      </c>
      <c r="D198" s="73" t="str">
        <f>IFERROR(__xludf.DUMMYFUNCTION("""COMPUTED_VALUE"""),"6-10")</f>
        <v>6-10</v>
      </c>
      <c r="E198" s="2" t="str">
        <f>IFERROR(__xludf.DUMMYFUNCTION("""COMPUTED_VALUE"""),"Swampy Seaweed")</f>
        <v>Swampy Seaweed</v>
      </c>
      <c r="F198" s="73" t="str">
        <f>IFERROR(__xludf.DUMMYFUNCTION("""COMPUTED_VALUE"""),"11-15")</f>
        <v>11-15</v>
      </c>
      <c r="G198" s="2" t="str">
        <f>IFERROR(__xludf.DUMMYFUNCTION("""COMPUTED_VALUE"""),"40,000,000G-60,000,000G")</f>
        <v>40,000,000G-60,000,000G</v>
      </c>
      <c r="H198" s="73" t="str">
        <f>IFERROR(__xludf.DUMMYFUNCTION("""COMPUTED_VALUE"""),"16-20")</f>
        <v>16-20</v>
      </c>
      <c r="I198" s="2" t="str">
        <f>IFERROR(__xludf.DUMMYFUNCTION("""COMPUTED_VALUE"""),"Nothing")</f>
        <v>Nothing</v>
      </c>
      <c r="J198" s="73" t="str">
        <f>IFERROR(__xludf.DUMMYFUNCTION("""COMPUTED_VALUE"""),"21-25")</f>
        <v>21-25</v>
      </c>
      <c r="K198" s="2" t="str">
        <f>IFERROR(__xludf.DUMMYFUNCTION("""COMPUTED_VALUE"""),"Egg")</f>
        <v>Egg</v>
      </c>
      <c r="L198" s="1"/>
      <c r="M198" s="1"/>
      <c r="N198" s="1"/>
      <c r="O198" s="1"/>
      <c r="P198" s="1"/>
      <c r="Q198" s="1"/>
      <c r="R198" s="1"/>
      <c r="S198" s="1"/>
      <c r="T198" s="1"/>
      <c r="U198" s="1"/>
      <c r="V198" s="1"/>
      <c r="W198" s="1"/>
      <c r="X198" s="1"/>
    </row>
    <row r="199" ht="15.75" customHeight="1">
      <c r="A199" s="1" t="str">
        <f>IFERROR(__xludf.DUMMYFUNCTION("""COMPUTED_VALUE"""),"Swamp Portal Guard")</f>
        <v>Swamp Portal Guard</v>
      </c>
      <c r="B199" s="73" t="str">
        <f>IFERROR(__xludf.DUMMYFUNCTION("""COMPUTED_VALUE"""),"1-5")</f>
        <v>1-5</v>
      </c>
      <c r="C199" s="2" t="str">
        <f>IFERROR(__xludf.DUMMYFUNCTION("""COMPUTED_VALUE"""),"Poison Vine Sword")</f>
        <v>Poison Vine Sword</v>
      </c>
      <c r="D199" s="73" t="str">
        <f>IFERROR(__xludf.DUMMYFUNCTION("""COMPUTED_VALUE"""),"6-10")</f>
        <v>6-10</v>
      </c>
      <c r="E199" s="2" t="str">
        <f>IFERROR(__xludf.DUMMYFUNCTION("""COMPUTED_VALUE"""),"Nothing")</f>
        <v>Nothing</v>
      </c>
      <c r="F199" s="73" t="str">
        <f>IFERROR(__xludf.DUMMYFUNCTION("""COMPUTED_VALUE"""),"11-15")</f>
        <v>11-15</v>
      </c>
      <c r="G199" s="2" t="str">
        <f>IFERROR(__xludf.DUMMYFUNCTION("""COMPUTED_VALUE"""),"Poison mushroom")</f>
        <v>Poison mushroom</v>
      </c>
      <c r="H199" s="73" t="str">
        <f>IFERROR(__xludf.DUMMYFUNCTION("""COMPUTED_VALUE"""),"16-20")</f>
        <v>16-20</v>
      </c>
      <c r="I199" s="2" t="str">
        <f>IFERROR(__xludf.DUMMYFUNCTION("""COMPUTED_VALUE"""),"Poison Gem")</f>
        <v>Poison Gem</v>
      </c>
      <c r="J199" s="73" t="str">
        <f>IFERROR(__xludf.DUMMYFUNCTION("""COMPUTED_VALUE"""),"21-25")</f>
        <v>21-25</v>
      </c>
      <c r="K199" s="2" t="str">
        <f>IFERROR(__xludf.DUMMYFUNCTION("""COMPUTED_VALUE"""),"Soul")</f>
        <v>Soul</v>
      </c>
      <c r="L199" s="1"/>
      <c r="M199" s="1"/>
      <c r="N199" s="1"/>
      <c r="O199" s="1"/>
      <c r="P199" s="1"/>
      <c r="Q199" s="1"/>
      <c r="R199" s="1"/>
      <c r="S199" s="1"/>
      <c r="T199" s="1"/>
      <c r="U199" s="1"/>
      <c r="V199" s="1"/>
      <c r="W199" s="1"/>
      <c r="X199" s="1"/>
    </row>
    <row r="200" ht="15.75" customHeight="1">
      <c r="A200" s="1" t="str">
        <f>IFERROR(__xludf.DUMMYFUNCTION("""COMPUTED_VALUE"""),"The Ancient Colossal Dragon of Spira")</f>
        <v>The Ancient Colossal Dragon of Spira</v>
      </c>
      <c r="B200" s="73" t="str">
        <f>IFERROR(__xludf.DUMMYFUNCTION("""COMPUTED_VALUE"""),"1-5")</f>
        <v>1-5</v>
      </c>
      <c r="C200" s="2" t="str">
        <f>IFERROR(__xludf.DUMMYFUNCTION("""COMPUTED_VALUE"""),"Soul")</f>
        <v>Soul</v>
      </c>
      <c r="D200" s="73" t="str">
        <f>IFERROR(__xludf.DUMMYFUNCTION("""COMPUTED_VALUE"""),"6-10")</f>
        <v>6-10</v>
      </c>
      <c r="E200" s="2" t="str">
        <f>IFERROR(__xludf.DUMMYFUNCTION("""COMPUTED_VALUE"""),"100,000,000G-500,000,000G")</f>
        <v>100,000,000G-500,000,000G</v>
      </c>
      <c r="F200" s="73" t="str">
        <f>IFERROR(__xludf.DUMMYFUNCTION("""COMPUTED_VALUE"""),"11-15")</f>
        <v>11-15</v>
      </c>
      <c r="G200" s="2" t="str">
        <f>IFERROR(__xludf.DUMMYFUNCTION("""COMPUTED_VALUE"""),"Dragon Orb")</f>
        <v>Dragon Orb</v>
      </c>
      <c r="H200" s="73" t="str">
        <f>IFERROR(__xludf.DUMMYFUNCTION("""COMPUTED_VALUE"""),"16-20")</f>
        <v>16-20</v>
      </c>
      <c r="I200" s="2" t="str">
        <f>IFERROR(__xludf.DUMMYFUNCTION("""COMPUTED_VALUE"""),"Nothing")</f>
        <v>Nothing</v>
      </c>
      <c r="J200" s="73" t="str">
        <f>IFERROR(__xludf.DUMMYFUNCTION("""COMPUTED_VALUE"""),"21-25")</f>
        <v>21-25</v>
      </c>
      <c r="K200" s="2" t="str">
        <f>IFERROR(__xludf.DUMMYFUNCTION("""COMPUTED_VALUE"""),"Nothing")</f>
        <v>Nothing</v>
      </c>
      <c r="L200" s="1"/>
      <c r="M200" s="1"/>
      <c r="N200" s="1"/>
      <c r="O200" s="1"/>
      <c r="P200" s="1"/>
      <c r="Q200" s="1"/>
      <c r="R200" s="1"/>
      <c r="S200" s="1"/>
      <c r="T200" s="1"/>
      <c r="U200" s="1"/>
      <c r="V200" s="1"/>
      <c r="W200" s="1"/>
      <c r="X200" s="1"/>
    </row>
    <row r="201" ht="15.75" customHeight="1">
      <c r="A201" s="1" t="str">
        <f>IFERROR(__xludf.DUMMYFUNCTION("""COMPUTED_VALUE"""),"The Black Demon")</f>
        <v>The Black Demon</v>
      </c>
      <c r="B201" s="73" t="str">
        <f>IFERROR(__xludf.DUMMYFUNCTION("""COMPUTED_VALUE"""),"1-5")</f>
        <v>1-5</v>
      </c>
      <c r="C201" s="2" t="str">
        <f>IFERROR(__xludf.DUMMYFUNCTION("""COMPUTED_VALUE"""),"Black Sludge")</f>
        <v>Black Sludge</v>
      </c>
      <c r="D201" s="73" t="str">
        <f>IFERROR(__xludf.DUMMYFUNCTION("""COMPUTED_VALUE"""),"6-10")</f>
        <v>6-10</v>
      </c>
      <c r="E201" s="2" t="str">
        <f>IFERROR(__xludf.DUMMYFUNCTION("""COMPUTED_VALUE"""),"Soul")</f>
        <v>Soul</v>
      </c>
      <c r="F201" s="73" t="str">
        <f>IFERROR(__xludf.DUMMYFUNCTION("""COMPUTED_VALUE"""),"11-15")</f>
        <v>11-15</v>
      </c>
      <c r="G201" s="2" t="str">
        <f>IFERROR(__xludf.DUMMYFUNCTION("""COMPUTED_VALUE"""),"Demon Core")</f>
        <v>Demon Core</v>
      </c>
      <c r="H201" s="73" t="str">
        <f>IFERROR(__xludf.DUMMYFUNCTION("""COMPUTED_VALUE"""),"16-20")</f>
        <v>16-20</v>
      </c>
      <c r="I201" s="2" t="str">
        <f>IFERROR(__xludf.DUMMYFUNCTION("""COMPUTED_VALUE"""),"Nothing")</f>
        <v>Nothing</v>
      </c>
      <c r="J201" s="73" t="str">
        <f>IFERROR(__xludf.DUMMYFUNCTION("""COMPUTED_VALUE"""),"21-25")</f>
        <v>21-25</v>
      </c>
      <c r="K201" s="2" t="str">
        <f>IFERROR(__xludf.DUMMYFUNCTION("""COMPUTED_VALUE"""),"Nothing")</f>
        <v>Nothing</v>
      </c>
      <c r="L201" s="1"/>
      <c r="M201" s="1"/>
      <c r="N201" s="1"/>
      <c r="O201" s="1"/>
      <c r="P201" s="1"/>
      <c r="Q201" s="1"/>
      <c r="R201" s="1"/>
      <c r="S201" s="1"/>
      <c r="T201" s="1"/>
      <c r="U201" s="1"/>
      <c r="V201" s="1"/>
      <c r="W201" s="1"/>
      <c r="X201" s="1"/>
    </row>
    <row r="202" ht="15.75" customHeight="1">
      <c r="A202" s="1" t="str">
        <f>IFERROR(__xludf.DUMMYFUNCTION("""COMPUTED_VALUE"""),"The Clown King")</f>
        <v>The Clown King</v>
      </c>
      <c r="B202" s="73" t="str">
        <f>IFERROR(__xludf.DUMMYFUNCTION("""COMPUTED_VALUE"""),"1-5")</f>
        <v>1-5</v>
      </c>
      <c r="C202" s="2"/>
      <c r="D202" s="73" t="str">
        <f>IFERROR(__xludf.DUMMYFUNCTION("""COMPUTED_VALUE"""),"6-10")</f>
        <v>6-10</v>
      </c>
      <c r="E202" s="2"/>
      <c r="F202" s="73" t="str">
        <f>IFERROR(__xludf.DUMMYFUNCTION("""COMPUTED_VALUE"""),"11-15")</f>
        <v>11-15</v>
      </c>
      <c r="G202" s="2"/>
      <c r="H202" s="73" t="str">
        <f>IFERROR(__xludf.DUMMYFUNCTION("""COMPUTED_VALUE"""),"16-20")</f>
        <v>16-20</v>
      </c>
      <c r="I202" s="2"/>
      <c r="J202" s="73" t="str">
        <f>IFERROR(__xludf.DUMMYFUNCTION("""COMPUTED_VALUE"""),"21-25")</f>
        <v>21-25</v>
      </c>
      <c r="K202" s="2" t="str">
        <f>IFERROR(__xludf.DUMMYFUNCTION("""COMPUTED_VALUE"""),"Soul")</f>
        <v>Soul</v>
      </c>
      <c r="L202" s="1"/>
      <c r="M202" s="1"/>
      <c r="N202" s="1"/>
      <c r="O202" s="1"/>
      <c r="P202" s="1"/>
      <c r="Q202" s="1"/>
      <c r="R202" s="1"/>
      <c r="S202" s="1"/>
      <c r="T202" s="1"/>
      <c r="U202" s="1"/>
      <c r="V202" s="1"/>
      <c r="W202" s="1"/>
      <c r="X202" s="1"/>
    </row>
    <row r="203" ht="15.75" customHeight="1">
      <c r="A203" s="1" t="str">
        <f>IFERROR(__xludf.DUMMYFUNCTION("""COMPUTED_VALUE"""),"The Cursed Kraken")</f>
        <v>The Cursed Kraken</v>
      </c>
      <c r="B203" s="73" t="str">
        <f>IFERROR(__xludf.DUMMYFUNCTION("""COMPUTED_VALUE"""),"1-5")</f>
        <v>1-5</v>
      </c>
      <c r="C203" s="2" t="str">
        <f>IFERROR(__xludf.DUMMYFUNCTION("""COMPUTED_VALUE"""),"Krakens Power Ring")</f>
        <v>Krakens Power Ring</v>
      </c>
      <c r="D203" s="73" t="str">
        <f>IFERROR(__xludf.DUMMYFUNCTION("""COMPUTED_VALUE"""),"6-10")</f>
        <v>6-10</v>
      </c>
      <c r="E203" s="2" t="str">
        <f>IFERROR(__xludf.DUMMYFUNCTION("""COMPUTED_VALUE"""),"Aqua Robe")</f>
        <v>Aqua Robe</v>
      </c>
      <c r="F203" s="73" t="str">
        <f>IFERROR(__xludf.DUMMYFUNCTION("""COMPUTED_VALUE"""),"11-15")</f>
        <v>11-15</v>
      </c>
      <c r="G203" s="2" t="str">
        <f>IFERROR(__xludf.DUMMYFUNCTION("""COMPUTED_VALUE"""),"Nothing")</f>
        <v>Nothing</v>
      </c>
      <c r="H203" s="73" t="str">
        <f>IFERROR(__xludf.DUMMYFUNCTION("""COMPUTED_VALUE"""),"16-20")</f>
        <v>16-20</v>
      </c>
      <c r="I203" s="2" t="str">
        <f>IFERROR(__xludf.DUMMYFUNCTION("""COMPUTED_VALUE"""),"Nothing")</f>
        <v>Nothing</v>
      </c>
      <c r="J203" s="73" t="str">
        <f>IFERROR(__xludf.DUMMYFUNCTION("""COMPUTED_VALUE"""),"21-25")</f>
        <v>21-25</v>
      </c>
      <c r="K203" s="2" t="str">
        <f>IFERROR(__xludf.DUMMYFUNCTION("""COMPUTED_VALUE"""),"Soul")</f>
        <v>Soul</v>
      </c>
      <c r="L203" s="1"/>
      <c r="M203" s="1"/>
      <c r="N203" s="1"/>
      <c r="O203" s="1"/>
      <c r="P203" s="1"/>
      <c r="Q203" s="1"/>
      <c r="R203" s="1"/>
      <c r="S203" s="1"/>
      <c r="T203" s="1"/>
      <c r="U203" s="1"/>
      <c r="V203" s="1"/>
      <c r="W203" s="1"/>
      <c r="X203" s="1"/>
    </row>
    <row r="204" ht="15.75" customHeight="1">
      <c r="A204" s="1" t="str">
        <f>IFERROR(__xludf.DUMMYFUNCTION("""COMPUTED_VALUE"""),"The God Of Birch")</f>
        <v>The God Of Birch</v>
      </c>
      <c r="B204" s="73" t="str">
        <f>IFERROR(__xludf.DUMMYFUNCTION("""COMPUTED_VALUE"""),"1-5")</f>
        <v>1-5</v>
      </c>
      <c r="C204" s="2" t="str">
        <f>IFERROR(__xludf.DUMMYFUNCTION("""COMPUTED_VALUE"""),"Sturdy wooden shield")</f>
        <v>Sturdy wooden shield</v>
      </c>
      <c r="D204" s="73" t="str">
        <f>IFERROR(__xludf.DUMMYFUNCTION("""COMPUTED_VALUE"""),"6-10")</f>
        <v>6-10</v>
      </c>
      <c r="E204" s="2" t="str">
        <f>IFERROR(__xludf.DUMMYFUNCTION("""COMPUTED_VALUE"""),"Soul")</f>
        <v>Soul</v>
      </c>
      <c r="F204" s="73" t="str">
        <f>IFERROR(__xludf.DUMMYFUNCTION("""COMPUTED_VALUE"""),"11-15")</f>
        <v>11-15</v>
      </c>
      <c r="G204" s="2" t="str">
        <f>IFERROR(__xludf.DUMMYFUNCTION("""COMPUTED_VALUE"""),"Nothing")</f>
        <v>Nothing</v>
      </c>
      <c r="H204" s="73" t="str">
        <f>IFERROR(__xludf.DUMMYFUNCTION("""COMPUTED_VALUE"""),"16-20")</f>
        <v>16-20</v>
      </c>
      <c r="I204" s="2" t="str">
        <f>IFERROR(__xludf.DUMMYFUNCTION("""COMPUTED_VALUE"""),"100,000,000G-500,000,000G")</f>
        <v>100,000,000G-500,000,000G</v>
      </c>
      <c r="J204" s="73" t="str">
        <f>IFERROR(__xludf.DUMMYFUNCTION("""COMPUTED_VALUE"""),"21-25")</f>
        <v>21-25</v>
      </c>
      <c r="K204" s="2" t="str">
        <f>IFERROR(__xludf.DUMMYFUNCTION("""COMPUTED_VALUE"""),"Nothing")</f>
        <v>Nothing</v>
      </c>
      <c r="L204" s="1"/>
      <c r="M204" s="1"/>
      <c r="N204" s="1"/>
      <c r="O204" s="1"/>
      <c r="P204" s="1"/>
      <c r="Q204" s="1"/>
      <c r="R204" s="1"/>
      <c r="S204" s="1"/>
      <c r="T204" s="1"/>
      <c r="U204" s="1"/>
      <c r="V204" s="1"/>
      <c r="W204" s="1"/>
      <c r="X204" s="1"/>
    </row>
    <row r="205" ht="15.75" customHeight="1">
      <c r="A205" s="1" t="str">
        <f>IFERROR(__xludf.DUMMYFUNCTION("""COMPUTED_VALUE"""),"The Grim Reaper")</f>
        <v>The Grim Reaper</v>
      </c>
      <c r="B205" s="73" t="str">
        <f>IFERROR(__xludf.DUMMYFUNCTION("""COMPUTED_VALUE"""),"1-5")</f>
        <v>1-5</v>
      </c>
      <c r="C205" s="2" t="str">
        <f>IFERROR(__xludf.DUMMYFUNCTION("""COMPUTED_VALUE"""),"Soul")</f>
        <v>Soul</v>
      </c>
      <c r="D205" s="73" t="str">
        <f>IFERROR(__xludf.DUMMYFUNCTION("""COMPUTED_VALUE"""),"6-10")</f>
        <v>6-10</v>
      </c>
      <c r="E205" s="2" t="str">
        <f>IFERROR(__xludf.DUMMYFUNCTION("""COMPUTED_VALUE"""),"Soul")</f>
        <v>Soul</v>
      </c>
      <c r="F205" s="73" t="str">
        <f>IFERROR(__xludf.DUMMYFUNCTION("""COMPUTED_VALUE"""),"11-15")</f>
        <v>11-15</v>
      </c>
      <c r="G205" s="2" t="str">
        <f>IFERROR(__xludf.DUMMYFUNCTION("""COMPUTED_VALUE"""),"Death's Scythe")</f>
        <v>Death's Scythe</v>
      </c>
      <c r="H205" s="73" t="str">
        <f>IFERROR(__xludf.DUMMYFUNCTION("""COMPUTED_VALUE"""),"16-20")</f>
        <v>16-20</v>
      </c>
      <c r="I205" s="2" t="str">
        <f>IFERROR(__xludf.DUMMYFUNCTION("""COMPUTED_VALUE"""),"Soul")</f>
        <v>Soul</v>
      </c>
      <c r="J205" s="73" t="str">
        <f>IFERROR(__xludf.DUMMYFUNCTION("""COMPUTED_VALUE"""),"21-25")</f>
        <v>21-25</v>
      </c>
      <c r="K205" s="2" t="str">
        <f>IFERROR(__xludf.DUMMYFUNCTION("""COMPUTED_VALUE"""),"Soul")</f>
        <v>Soul</v>
      </c>
      <c r="L205" s="1"/>
      <c r="M205" s="1"/>
      <c r="N205" s="1"/>
      <c r="O205" s="1"/>
      <c r="P205" s="1"/>
      <c r="Q205" s="1"/>
      <c r="R205" s="1"/>
      <c r="S205" s="1"/>
      <c r="T205" s="1"/>
      <c r="U205" s="1"/>
      <c r="V205" s="1"/>
      <c r="W205" s="1"/>
      <c r="X205" s="1"/>
    </row>
    <row r="206" ht="15.75" customHeight="1">
      <c r="A206" s="1" t="str">
        <f>IFERROR(__xludf.DUMMYFUNCTION("""COMPUTED_VALUE"""),"The Guardian Of Death")</f>
        <v>The Guardian Of Death</v>
      </c>
      <c r="B206" s="73" t="str">
        <f>IFERROR(__xludf.DUMMYFUNCTION("""COMPUTED_VALUE"""),"1-5")</f>
        <v>1-5</v>
      </c>
      <c r="C206" s="2" t="str">
        <f>IFERROR(__xludf.DUMMYFUNCTION("""COMPUTED_VALUE"""),"The Sword Of Death")</f>
        <v>The Sword Of Death</v>
      </c>
      <c r="D206" s="73" t="str">
        <f>IFERROR(__xludf.DUMMYFUNCTION("""COMPUTED_VALUE"""),"6-10")</f>
        <v>6-10</v>
      </c>
      <c r="E206" s="2" t="str">
        <f>IFERROR(__xludf.DUMMYFUNCTION("""COMPUTED_VALUE"""),"Soul")</f>
        <v>Soul</v>
      </c>
      <c r="F206" s="73" t="str">
        <f>IFERROR(__xludf.DUMMYFUNCTION("""COMPUTED_VALUE"""),"11-15")</f>
        <v>11-15</v>
      </c>
      <c r="G206" s="2" t="str">
        <f>IFERROR(__xludf.DUMMYFUNCTION("""COMPUTED_VALUE"""),"Void sword")</f>
        <v>Void sword</v>
      </c>
      <c r="H206" s="73" t="str">
        <f>IFERROR(__xludf.DUMMYFUNCTION("""COMPUTED_VALUE"""),"16-20")</f>
        <v>16-20</v>
      </c>
      <c r="I206" s="2" t="str">
        <f>IFERROR(__xludf.DUMMYFUNCTION("""COMPUTED_VALUE"""),"Nothing")</f>
        <v>Nothing</v>
      </c>
      <c r="J206" s="73" t="str">
        <f>IFERROR(__xludf.DUMMYFUNCTION("""COMPUTED_VALUE"""),"21-25")</f>
        <v>21-25</v>
      </c>
      <c r="K206" s="2" t="str">
        <f>IFERROR(__xludf.DUMMYFUNCTION("""COMPUTED_VALUE"""),"Nothing")</f>
        <v>Nothing</v>
      </c>
      <c r="L206" s="1"/>
      <c r="M206" s="1"/>
      <c r="N206" s="1"/>
      <c r="O206" s="1"/>
      <c r="P206" s="1"/>
      <c r="Q206" s="1"/>
      <c r="R206" s="1"/>
      <c r="S206" s="1"/>
      <c r="T206" s="1"/>
      <c r="U206" s="1"/>
      <c r="V206" s="1"/>
      <c r="W206" s="1"/>
      <c r="X206" s="1"/>
    </row>
    <row r="207" ht="15.75" customHeight="1">
      <c r="A207" s="1" t="str">
        <f>IFERROR(__xludf.DUMMYFUNCTION("""COMPUTED_VALUE"""),"The Guardian Of The Mystic Well")</f>
        <v>The Guardian Of The Mystic Well</v>
      </c>
      <c r="B207" s="73" t="str">
        <f>IFERROR(__xludf.DUMMYFUNCTION("""COMPUTED_VALUE"""),"1-15")</f>
        <v>1-15</v>
      </c>
      <c r="C207" s="2" t="str">
        <f>IFERROR(__xludf.DUMMYFUNCTION("""COMPUTED_VALUE"""),"Water Tome Rank 9")</f>
        <v>Water Tome Rank 9</v>
      </c>
      <c r="D207" s="73" t="str">
        <f>IFERROR(__xludf.DUMMYFUNCTION("""COMPUTED_VALUE"""),"6-10")</f>
        <v>6-10</v>
      </c>
      <c r="E207" s="2" t="str">
        <f>IFERROR(__xludf.DUMMYFUNCTION("""COMPUTED_VALUE"""),"Nothing")</f>
        <v>Nothing</v>
      </c>
      <c r="F207" s="73" t="str">
        <f>IFERROR(__xludf.DUMMYFUNCTION("""COMPUTED_VALUE"""),"11-15")</f>
        <v>11-15</v>
      </c>
      <c r="G207" s="2" t="str">
        <f>IFERROR(__xludf.DUMMYFUNCTION("""COMPUTED_VALUE"""),"Nothing")</f>
        <v>Nothing</v>
      </c>
      <c r="H207" s="73" t="str">
        <f>IFERROR(__xludf.DUMMYFUNCTION("""COMPUTED_VALUE"""),"16-20")</f>
        <v>16-20</v>
      </c>
      <c r="I207" s="2" t="str">
        <f>IFERROR(__xludf.DUMMYFUNCTION("""COMPUTED_VALUE"""),"20,000G-40,000G")</f>
        <v>20,000G-40,000G</v>
      </c>
      <c r="J207" s="73" t="str">
        <f>IFERROR(__xludf.DUMMYFUNCTION("""COMPUTED_VALUE"""),"21-25")</f>
        <v>21-25</v>
      </c>
      <c r="K207" s="2" t="str">
        <f>IFERROR(__xludf.DUMMYFUNCTION("""COMPUTED_VALUE"""),"Soul")</f>
        <v>Soul</v>
      </c>
      <c r="L207" s="1"/>
      <c r="M207" s="1"/>
      <c r="N207" s="1"/>
      <c r="O207" s="1"/>
      <c r="P207" s="1"/>
      <c r="Q207" s="1"/>
      <c r="R207" s="1"/>
      <c r="S207" s="1"/>
      <c r="T207" s="1"/>
      <c r="U207" s="1"/>
      <c r="V207" s="1"/>
      <c r="W207" s="1"/>
      <c r="X207" s="1"/>
    </row>
    <row r="208" ht="15.75" customHeight="1">
      <c r="A208" s="1"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208" s="73" t="str">
        <f>IFERROR(__xludf.DUMMYFUNCTION("""COMPUTED_VALUE"""),"1-5")</f>
        <v>1-5</v>
      </c>
      <c r="C208" s="2" t="str">
        <f>IFERROR(__xludf.DUMMYFUNCTION("""COMPUTED_VALUE"""),"Nothing")</f>
        <v>Nothing</v>
      </c>
      <c r="D208" s="73" t="str">
        <f>IFERROR(__xludf.DUMMYFUNCTION("""COMPUTED_VALUE"""),"6-10")</f>
        <v>6-10</v>
      </c>
      <c r="E208" s="2" t="str">
        <f>IFERROR(__xludf.DUMMYFUNCTION("""COMPUTED_VALUE"""),"Nothing")</f>
        <v>Nothing</v>
      </c>
      <c r="F208" s="73" t="str">
        <f>IFERROR(__xludf.DUMMYFUNCTION("""COMPUTED_VALUE"""),"11-15")</f>
        <v>11-15</v>
      </c>
      <c r="G208" s="2" t="str">
        <f>IFERROR(__xludf.DUMMYFUNCTION("""COMPUTED_VALUE"""),"Soul")</f>
        <v>Soul</v>
      </c>
      <c r="H208" s="73" t="str">
        <f>IFERROR(__xludf.DUMMYFUNCTION("""COMPUTED_VALUE"""),"16-20")</f>
        <v>16-20</v>
      </c>
      <c r="I208" s="2" t="str">
        <f>IFERROR(__xludf.DUMMYFUNCTION("""COMPUTED_VALUE"""),"Nothing")</f>
        <v>Nothing</v>
      </c>
      <c r="J208" s="73" t="str">
        <f>IFERROR(__xludf.DUMMYFUNCTION("""COMPUTED_VALUE"""),"21-25")</f>
        <v>21-25</v>
      </c>
      <c r="K208" s="2" t="str">
        <f>IFERROR(__xludf.DUMMYFUNCTION("""COMPUTED_VALUE"""),"Nothing")</f>
        <v>Nothing</v>
      </c>
      <c r="L208" s="1"/>
      <c r="M208" s="1"/>
      <c r="N208" s="1"/>
      <c r="O208" s="1"/>
      <c r="P208" s="1"/>
      <c r="Q208" s="1"/>
      <c r="R208" s="1"/>
      <c r="S208" s="1"/>
      <c r="T208" s="1"/>
      <c r="U208" s="1"/>
      <c r="V208" s="1"/>
      <c r="W208" s="1"/>
      <c r="X208" s="1"/>
    </row>
    <row r="209" ht="15.75" customHeight="1">
      <c r="A209" s="1" t="str">
        <f>IFERROR(__xludf.DUMMYFUNCTION("""COMPUTED_VALUE"""),"The Horseman Of Lord Dreadful No. 2 This enemy will appear alongside The Horseman Of Lord Dreadful No. 1")</f>
        <v>The Horseman Of Lord Dreadful No. 2 This enemy will appear alongside The Horseman Of Lord Dreadful No. 1</v>
      </c>
      <c r="B209" s="73" t="str">
        <f>IFERROR(__xludf.DUMMYFUNCTION("""COMPUTED_VALUE"""),"1-5")</f>
        <v>1-5</v>
      </c>
      <c r="C209" s="2" t="str">
        <f>IFERROR(__xludf.DUMMYFUNCTION("""COMPUTED_VALUE"""),"Nothing")</f>
        <v>Nothing</v>
      </c>
      <c r="D209" s="73" t="str">
        <f>IFERROR(__xludf.DUMMYFUNCTION("""COMPUTED_VALUE"""),"6-10")</f>
        <v>6-10</v>
      </c>
      <c r="E209" s="2" t="str">
        <f>IFERROR(__xludf.DUMMYFUNCTION("""COMPUTED_VALUE"""),"Nothing")</f>
        <v>Nothing</v>
      </c>
      <c r="F209" s="73" t="str">
        <f>IFERROR(__xludf.DUMMYFUNCTION("""COMPUTED_VALUE"""),"11-15")</f>
        <v>11-15</v>
      </c>
      <c r="G209" s="2" t="str">
        <f>IFERROR(__xludf.DUMMYFUNCTION("""COMPUTED_VALUE"""),"Soul")</f>
        <v>Soul</v>
      </c>
      <c r="H209" s="73" t="str">
        <f>IFERROR(__xludf.DUMMYFUNCTION("""COMPUTED_VALUE"""),"16-20")</f>
        <v>16-20</v>
      </c>
      <c r="I209" s="2" t="str">
        <f>IFERROR(__xludf.DUMMYFUNCTION("""COMPUTED_VALUE"""),"Nothing")</f>
        <v>Nothing</v>
      </c>
      <c r="J209" s="73" t="str">
        <f>IFERROR(__xludf.DUMMYFUNCTION("""COMPUTED_VALUE"""),"21-25")</f>
        <v>21-25</v>
      </c>
      <c r="K209" s="2" t="str">
        <f>IFERROR(__xludf.DUMMYFUNCTION("""COMPUTED_VALUE"""),"Nothing")</f>
        <v>Nothing</v>
      </c>
      <c r="L209" s="1"/>
      <c r="M209" s="1"/>
      <c r="N209" s="1"/>
      <c r="O209" s="1"/>
      <c r="P209" s="1"/>
      <c r="Q209" s="1"/>
      <c r="R209" s="1"/>
      <c r="S209" s="1"/>
      <c r="T209" s="1"/>
      <c r="U209" s="1"/>
      <c r="V209" s="1"/>
      <c r="W209" s="1"/>
      <c r="X209" s="1"/>
    </row>
    <row r="210" ht="15.75" customHeight="1">
      <c r="A210" s="1" t="str">
        <f>IFERROR(__xludf.DUMMYFUNCTION("""COMPUTED_VALUE"""),"The Kraken")</f>
        <v>The Kraken</v>
      </c>
      <c r="B210" s="73" t="str">
        <f>IFERROR(__xludf.DUMMYFUNCTION("""COMPUTED_VALUE"""),"1-5")</f>
        <v>1-5</v>
      </c>
      <c r="C210" s="1" t="str">
        <f>IFERROR(__xludf.DUMMYFUNCTION("""COMPUTED_VALUE"""),"Nothing")</f>
        <v>Nothing</v>
      </c>
      <c r="D210" s="73" t="str">
        <f>IFERROR(__xludf.DUMMYFUNCTION("""COMPUTED_VALUE"""),"6-10")</f>
        <v>6-10</v>
      </c>
      <c r="E210" s="1" t="str">
        <f>IFERROR(__xludf.DUMMYFUNCTION("""COMPUTED_VALUE"""),"80,000G-100,000G")</f>
        <v>80,000G-100,000G</v>
      </c>
      <c r="F210" s="73" t="str">
        <f>IFERROR(__xludf.DUMMYFUNCTION("""COMPUTED_VALUE"""),"11-15")</f>
        <v>11-15</v>
      </c>
      <c r="G210" s="1" t="str">
        <f>IFERROR(__xludf.DUMMYFUNCTION("""COMPUTED_VALUE"""),"Soul")</f>
        <v>Soul</v>
      </c>
      <c r="H210" s="73" t="str">
        <f>IFERROR(__xludf.DUMMYFUNCTION("""COMPUTED_VALUE"""),"16-20")</f>
        <v>16-20</v>
      </c>
      <c r="I210" s="1" t="str">
        <f>IFERROR(__xludf.DUMMYFUNCTION("""COMPUTED_VALUE"""),"kraken's power ring")</f>
        <v>kraken's power ring</v>
      </c>
      <c r="J210" s="73" t="str">
        <f>IFERROR(__xludf.DUMMYFUNCTION("""COMPUTED_VALUE"""),"21-25")</f>
        <v>21-25</v>
      </c>
      <c r="K210" s="1" t="str">
        <f>IFERROR(__xludf.DUMMYFUNCTION("""COMPUTED_VALUE"""),"Nothing")</f>
        <v>Nothing</v>
      </c>
      <c r="L210" s="1"/>
      <c r="M210" s="1"/>
      <c r="N210" s="1"/>
      <c r="O210" s="1"/>
      <c r="P210" s="1"/>
      <c r="Q210" s="1"/>
      <c r="R210" s="1"/>
      <c r="S210" s="1"/>
      <c r="T210" s="1"/>
      <c r="U210" s="1"/>
      <c r="V210" s="1"/>
      <c r="W210" s="1"/>
      <c r="X210" s="1"/>
    </row>
    <row r="211" ht="15.75" customHeight="1">
      <c r="A211" s="1" t="str">
        <f>IFERROR(__xludf.DUMMYFUNCTION("""COMPUTED_VALUE"""),"The Puppet Master")</f>
        <v>The Puppet Master</v>
      </c>
      <c r="B211" s="73" t="str">
        <f>IFERROR(__xludf.DUMMYFUNCTION("""COMPUTED_VALUE"""),"1-5")</f>
        <v>1-5</v>
      </c>
      <c r="C211" s="1"/>
      <c r="D211" s="73" t="str">
        <f>IFERROR(__xludf.DUMMYFUNCTION("""COMPUTED_VALUE"""),"6-10")</f>
        <v>6-10</v>
      </c>
      <c r="E211" s="1"/>
      <c r="F211" s="73" t="str">
        <f>IFERROR(__xludf.DUMMYFUNCTION("""COMPUTED_VALUE"""),"11-15")</f>
        <v>11-15</v>
      </c>
      <c r="G211" s="1"/>
      <c r="H211" s="73" t="str">
        <f>IFERROR(__xludf.DUMMYFUNCTION("""COMPUTED_VALUE"""),"16-20")</f>
        <v>16-20</v>
      </c>
      <c r="I211" s="1"/>
      <c r="J211" s="73" t="str">
        <f>IFERROR(__xludf.DUMMYFUNCTION("""COMPUTED_VALUE"""),"21-25")</f>
        <v>21-25</v>
      </c>
      <c r="K211" s="1" t="str">
        <f>IFERROR(__xludf.DUMMYFUNCTION("""COMPUTED_VALUE"""),"Soul")</f>
        <v>Soul</v>
      </c>
      <c r="L211" s="1"/>
      <c r="M211" s="1"/>
      <c r="N211" s="1"/>
      <c r="O211" s="1"/>
      <c r="P211" s="1"/>
      <c r="Q211" s="1"/>
      <c r="R211" s="1"/>
      <c r="S211" s="1"/>
      <c r="T211" s="1"/>
      <c r="U211" s="1"/>
      <c r="V211" s="1"/>
      <c r="W211" s="1"/>
      <c r="X211" s="1"/>
    </row>
    <row r="212" ht="15.75" customHeight="1">
      <c r="A212" s="1" t="str">
        <f>IFERROR(__xludf.DUMMYFUNCTION("""COMPUTED_VALUE"""),"The Ring King")</f>
        <v>The Ring King</v>
      </c>
      <c r="B212" s="73" t="str">
        <f>IFERROR(__xludf.DUMMYFUNCTION("""COMPUTED_VALUE"""),"1-5")</f>
        <v>1-5</v>
      </c>
      <c r="C212" s="1" t="str">
        <f>IFERROR(__xludf.DUMMYFUNCTION("""COMPUTED_VALUE"""),"Ring of darkness")</f>
        <v>Ring of darkness</v>
      </c>
      <c r="D212" s="73" t="str">
        <f>IFERROR(__xludf.DUMMYFUNCTION("""COMPUTED_VALUE"""),"6-10")</f>
        <v>6-10</v>
      </c>
      <c r="E212" s="1" t="str">
        <f>IFERROR(__xludf.DUMMYFUNCTION("""COMPUTED_VALUE"""),"Ring of Death")</f>
        <v>Ring of Death</v>
      </c>
      <c r="F212" s="73" t="str">
        <f>IFERROR(__xludf.DUMMYFUNCTION("""COMPUTED_VALUE"""),"11-15")</f>
        <v>11-15</v>
      </c>
      <c r="G212" s="1" t="str">
        <f>IFERROR(__xludf.DUMMYFUNCTION("""COMPUTED_VALUE"""),"Ring of Pure Defense")</f>
        <v>Ring of Pure Defense</v>
      </c>
      <c r="H212" s="73" t="str">
        <f>IFERROR(__xludf.DUMMYFUNCTION("""COMPUTED_VALUE"""),"16-20")</f>
        <v>16-20</v>
      </c>
      <c r="I212" s="1" t="str">
        <f>IFERROR(__xludf.DUMMYFUNCTION("""COMPUTED_VALUE"""),"Ring of Reflect")</f>
        <v>Ring of Reflect</v>
      </c>
      <c r="J212" s="73" t="str">
        <f>IFERROR(__xludf.DUMMYFUNCTION("""COMPUTED_VALUE"""),"21-25")</f>
        <v>21-25</v>
      </c>
      <c r="K212" s="1" t="str">
        <f>IFERROR(__xludf.DUMMYFUNCTION("""COMPUTED_VALUE"""),"Ring of Invulnerability ")</f>
        <v>Ring of Invulnerability </v>
      </c>
      <c r="L212" s="1"/>
      <c r="M212" s="1"/>
      <c r="N212" s="1"/>
      <c r="O212" s="1"/>
      <c r="P212" s="1"/>
      <c r="Q212" s="1"/>
      <c r="R212" s="1"/>
      <c r="S212" s="1"/>
      <c r="T212" s="1"/>
      <c r="U212" s="1"/>
      <c r="V212" s="1"/>
      <c r="W212" s="1"/>
      <c r="X212" s="1"/>
    </row>
    <row r="213" ht="15.75" customHeight="1">
      <c r="A213" s="1" t="str">
        <f>IFERROR(__xludf.DUMMYFUNCTION("""COMPUTED_VALUE"""),"The Undead King")</f>
        <v>The Undead King</v>
      </c>
      <c r="B213" s="73" t="str">
        <f>IFERROR(__xludf.DUMMYFUNCTION("""COMPUTED_VALUE"""),"1-5")</f>
        <v>1-5</v>
      </c>
      <c r="C213" s="1" t="str">
        <f>IFERROR(__xludf.DUMMYFUNCTION("""COMPUTED_VALUE"""),"Nothing")</f>
        <v>Nothing</v>
      </c>
      <c r="D213" s="73" t="str">
        <f>IFERROR(__xludf.DUMMYFUNCTION("""COMPUTED_VALUE"""),"6-10")</f>
        <v>6-10</v>
      </c>
      <c r="E213" s="1" t="str">
        <f>IFERROR(__xludf.DUMMYFUNCTION("""COMPUTED_VALUE"""),"Nothing")</f>
        <v>Nothing</v>
      </c>
      <c r="F213" s="73" t="str">
        <f>IFERROR(__xludf.DUMMYFUNCTION("""COMPUTED_VALUE"""),"11-15")</f>
        <v>11-15</v>
      </c>
      <c r="G213" s="1" t="str">
        <f>IFERROR(__xludf.DUMMYFUNCTION("""COMPUTED_VALUE"""),"Black Crystal Necklace of luck")</f>
        <v>Black Crystal Necklace of luck</v>
      </c>
      <c r="H213" s="73" t="str">
        <f>IFERROR(__xludf.DUMMYFUNCTION("""COMPUTED_VALUE"""),"16-20")</f>
        <v>16-20</v>
      </c>
      <c r="I213" s="1" t="str">
        <f>IFERROR(__xludf.DUMMYFUNCTION("""COMPUTED_VALUE"""),"500,000G-1,000,000G")</f>
        <v>500,000G-1,000,000G</v>
      </c>
      <c r="J213" s="73" t="str">
        <f>IFERROR(__xludf.DUMMYFUNCTION("""COMPUTED_VALUE"""),"21-25")</f>
        <v>21-25</v>
      </c>
      <c r="K213" s="1" t="str">
        <f>IFERROR(__xludf.DUMMYFUNCTION("""COMPUTED_VALUE"""),"Soul")</f>
        <v>Soul</v>
      </c>
      <c r="L213" s="1"/>
      <c r="M213" s="1"/>
      <c r="N213" s="1"/>
      <c r="O213" s="1"/>
      <c r="P213" s="1"/>
      <c r="Q213" s="1"/>
      <c r="R213" s="1"/>
      <c r="S213" s="1"/>
      <c r="T213" s="1"/>
      <c r="U213" s="1"/>
      <c r="V213" s="1"/>
      <c r="W213" s="1"/>
      <c r="X213" s="1"/>
    </row>
    <row r="214" ht="15.75" customHeight="1">
      <c r="A214" s="1" t="str">
        <f>IFERROR(__xludf.DUMMYFUNCTION("""COMPUTED_VALUE"""),"Titonium The Destroyer")</f>
        <v>Titonium The Destroyer</v>
      </c>
      <c r="B214" s="73" t="str">
        <f>IFERROR(__xludf.DUMMYFUNCTION("""COMPUTED_VALUE"""),"1-5")</f>
        <v>1-5</v>
      </c>
      <c r="C214" s="1"/>
      <c r="D214" s="73" t="str">
        <f>IFERROR(__xludf.DUMMYFUNCTION("""COMPUTED_VALUE"""),"6-10")</f>
        <v>6-10</v>
      </c>
      <c r="E214" s="1"/>
      <c r="F214" s="73" t="str">
        <f>IFERROR(__xludf.DUMMYFUNCTION("""COMPUTED_VALUE"""),"11-15")</f>
        <v>11-15</v>
      </c>
      <c r="G214" s="1"/>
      <c r="H214" s="73" t="str">
        <f>IFERROR(__xludf.DUMMYFUNCTION("""COMPUTED_VALUE"""),"16-20")</f>
        <v>16-20</v>
      </c>
      <c r="I214" s="1"/>
      <c r="J214" s="73" t="str">
        <f>IFERROR(__xludf.DUMMYFUNCTION("""COMPUTED_VALUE"""),"21-25")</f>
        <v>21-25</v>
      </c>
      <c r="K214" s="1" t="str">
        <f>IFERROR(__xludf.DUMMYFUNCTION("""COMPUTED_VALUE"""),"Soul")</f>
        <v>Soul</v>
      </c>
      <c r="L214" s="1"/>
      <c r="M214" s="1"/>
      <c r="N214" s="1"/>
      <c r="O214" s="1"/>
      <c r="P214" s="1"/>
      <c r="Q214" s="1"/>
      <c r="R214" s="1"/>
      <c r="S214" s="1"/>
      <c r="T214" s="1"/>
      <c r="U214" s="1"/>
      <c r="V214" s="1"/>
      <c r="W214" s="1"/>
      <c r="X214" s="1"/>
    </row>
    <row r="215" ht="15.75" customHeight="1">
      <c r="A215" s="1" t="str">
        <f>IFERROR(__xludf.DUMMYFUNCTION("""COMPUTED_VALUE"""),"Turkey Hydra")</f>
        <v>Turkey Hydra</v>
      </c>
      <c r="B215" s="73" t="str">
        <f>IFERROR(__xludf.DUMMYFUNCTION("""COMPUTED_VALUE"""),"1-5")</f>
        <v>1-5</v>
      </c>
      <c r="C215" s="1" t="str">
        <f>IFERROR(__xludf.DUMMYFUNCTION("""COMPUTED_VALUE"""),"Pilgrim's Hat")</f>
        <v>Pilgrim's Hat</v>
      </c>
      <c r="D215" s="73" t="str">
        <f>IFERROR(__xludf.DUMMYFUNCTION("""COMPUTED_VALUE"""),"6-10")</f>
        <v>6-10</v>
      </c>
      <c r="E215" s="1" t="str">
        <f>IFERROR(__xludf.DUMMYFUNCTION("""COMPUTED_VALUE"""),"Amulet of Giving")</f>
        <v>Amulet of Giving</v>
      </c>
      <c r="F215" s="73" t="str">
        <f>IFERROR(__xludf.DUMMYFUNCTION("""COMPUTED_VALUE"""),"11-15")</f>
        <v>11-15</v>
      </c>
      <c r="G215" s="1" t="str">
        <f>IFERROR(__xludf.DUMMYFUNCTION("""COMPUTED_VALUE"""),"Golden Coin")</f>
        <v>Golden Coin</v>
      </c>
      <c r="H215" s="73" t="str">
        <f>IFERROR(__xludf.DUMMYFUNCTION("""COMPUTED_VALUE"""),"16-20")</f>
        <v>16-20</v>
      </c>
      <c r="I215" s="1" t="str">
        <f>IFERROR(__xludf.DUMMYFUNCTION("""COMPUTED_VALUE"""),"Soul")</f>
        <v>Soul</v>
      </c>
      <c r="J215" s="73" t="str">
        <f>IFERROR(__xludf.DUMMYFUNCTION("""COMPUTED_VALUE"""),"21-25")</f>
        <v>21-25</v>
      </c>
      <c r="K215" s="1" t="str">
        <f>IFERROR(__xludf.DUMMYFUNCTION("""COMPUTED_VALUE"""),"500,000,000G-1,000,000,000G")</f>
        <v>500,000,000G-1,000,000,000G</v>
      </c>
      <c r="L215" s="1"/>
      <c r="M215" s="1"/>
      <c r="N215" s="1"/>
      <c r="O215" s="1"/>
      <c r="P215" s="1"/>
      <c r="Q215" s="1"/>
      <c r="R215" s="1"/>
      <c r="S215" s="1"/>
      <c r="T215" s="1"/>
      <c r="U215" s="1"/>
      <c r="V215" s="1"/>
      <c r="W215" s="1"/>
      <c r="X215" s="1"/>
    </row>
    <row r="216" ht="15.75" customHeight="1">
      <c r="A216" s="1" t="str">
        <f>IFERROR(__xludf.DUMMYFUNCTION("""COMPUTED_VALUE"""),"Twilight Cultist")</f>
        <v>Twilight Cultist</v>
      </c>
      <c r="B216" s="73" t="str">
        <f>IFERROR(__xludf.DUMMYFUNCTION("""COMPUTED_VALUE"""),"1-5")</f>
        <v>1-5</v>
      </c>
      <c r="C216" s="1" t="str">
        <f>IFERROR(__xludf.DUMMYFUNCTION("""COMPUTED_VALUE"""),"Twilight Bow")</f>
        <v>Twilight Bow</v>
      </c>
      <c r="D216" s="73" t="str">
        <f>IFERROR(__xludf.DUMMYFUNCTION("""COMPUTED_VALUE"""),"6-11")</f>
        <v>6-11</v>
      </c>
      <c r="E216" s="1" t="str">
        <f>IFERROR(__xludf.DUMMYFUNCTION("""COMPUTED_VALUE"""),"Twilight Sword")</f>
        <v>Twilight Sword</v>
      </c>
      <c r="F216" s="73" t="str">
        <f>IFERROR(__xludf.DUMMYFUNCTION("""COMPUTED_VALUE"""),"11-16")</f>
        <v>11-16</v>
      </c>
      <c r="G216" s="1" t="str">
        <f>IFERROR(__xludf.DUMMYFUNCTION("""COMPUTED_VALUE"""),"80,000G-100,000G")</f>
        <v>80,000G-100,000G</v>
      </c>
      <c r="H216" s="73" t="str">
        <f>IFERROR(__xludf.DUMMYFUNCTION("""COMPUTED_VALUE"""),"16-21")</f>
        <v>16-21</v>
      </c>
      <c r="I216" s="1" t="str">
        <f>IFERROR(__xludf.DUMMYFUNCTION("""COMPUTED_VALUE"""),"Soul")</f>
        <v>Soul</v>
      </c>
      <c r="J216" s="73" t="str">
        <f>IFERROR(__xludf.DUMMYFUNCTION("""COMPUTED_VALUE"""),"21-26")</f>
        <v>21-26</v>
      </c>
      <c r="K216" s="1" t="str">
        <f>IFERROR(__xludf.DUMMYFUNCTION("""COMPUTED_VALUE"""),"Rank 9 Twilight Tome")</f>
        <v>Rank 9 Twilight Tome</v>
      </c>
      <c r="L216" s="1"/>
      <c r="M216" s="1"/>
      <c r="N216" s="1"/>
      <c r="O216" s="1"/>
      <c r="P216" s="1"/>
      <c r="Q216" s="1"/>
      <c r="R216" s="1"/>
      <c r="S216" s="1"/>
      <c r="T216" s="1"/>
      <c r="U216" s="1"/>
      <c r="V216" s="1"/>
      <c r="W216" s="1"/>
      <c r="X216" s="1"/>
    </row>
    <row r="217" ht="15.75" customHeight="1">
      <c r="A217" s="1" t="str">
        <f>IFERROR(__xludf.DUMMYFUNCTION("""COMPUTED_VALUE"""),"Twilight Lord")</f>
        <v>Twilight Lord</v>
      </c>
      <c r="B217" s="73" t="str">
        <f>IFERROR(__xludf.DUMMYFUNCTION("""COMPUTED_VALUE"""),"1-5")</f>
        <v>1-5</v>
      </c>
      <c r="C217" s="1" t="str">
        <f>IFERROR(__xludf.DUMMYFUNCTION("""COMPUTED_VALUE"""),"Rank 9 Twilight Tome")</f>
        <v>Rank 9 Twilight Tome</v>
      </c>
      <c r="D217" s="73" t="str">
        <f>IFERROR(__xludf.DUMMYFUNCTION("""COMPUTED_VALUE"""),"6-10")</f>
        <v>6-10</v>
      </c>
      <c r="E217" s="1" t="str">
        <f>IFERROR(__xludf.DUMMYFUNCTION("""COMPUTED_VALUE"""),"Twilight Sword")</f>
        <v>Twilight Sword</v>
      </c>
      <c r="F217" s="73" t="str">
        <f>IFERROR(__xludf.DUMMYFUNCTION("""COMPUTED_VALUE"""),"11-15")</f>
        <v>11-15</v>
      </c>
      <c r="G217" s="1" t="str">
        <f>IFERROR(__xludf.DUMMYFUNCTION("""COMPUTED_VALUE"""),"Soul")</f>
        <v>Soul</v>
      </c>
      <c r="H217" s="73" t="str">
        <f>IFERROR(__xludf.DUMMYFUNCTION("""COMPUTED_VALUE"""),"16-20")</f>
        <v>16-20</v>
      </c>
      <c r="I217" s="1" t="str">
        <f>IFERROR(__xludf.DUMMYFUNCTION("""COMPUTED_VALUE"""),"Nothing")</f>
        <v>Nothing</v>
      </c>
      <c r="J217" s="73" t="str">
        <f>IFERROR(__xludf.DUMMYFUNCTION("""COMPUTED_VALUE"""),"21-25")</f>
        <v>21-25</v>
      </c>
      <c r="K217" s="1" t="str">
        <f>IFERROR(__xludf.DUMMYFUNCTION("""COMPUTED_VALUE"""),"Nothing")</f>
        <v>Nothing</v>
      </c>
      <c r="L217" s="1"/>
      <c r="M217" s="1"/>
      <c r="N217" s="1"/>
      <c r="O217" s="1"/>
      <c r="P217" s="1"/>
      <c r="Q217" s="1"/>
      <c r="R217" s="1"/>
      <c r="S217" s="1"/>
      <c r="T217" s="1"/>
      <c r="U217" s="1"/>
      <c r="V217" s="1"/>
      <c r="W217" s="1"/>
      <c r="X217" s="1"/>
    </row>
    <row r="218" ht="15.75" customHeight="1">
      <c r="A218" s="1" t="str">
        <f>IFERROR(__xludf.DUMMYFUNCTION("""COMPUTED_VALUE"""),"Twilight Priest")</f>
        <v>Twilight Priest</v>
      </c>
      <c r="B218" s="73" t="str">
        <f>IFERROR(__xludf.DUMMYFUNCTION("""COMPUTED_VALUE"""),"1-5")</f>
        <v>1-5</v>
      </c>
      <c r="C218" s="1" t="str">
        <f>IFERROR(__xludf.DUMMYFUNCTION("""COMPUTED_VALUE"""),"Egg")</f>
        <v>Egg</v>
      </c>
      <c r="D218" s="73" t="str">
        <f>IFERROR(__xludf.DUMMYFUNCTION("""COMPUTED_VALUE"""),"6-10")</f>
        <v>6-10</v>
      </c>
      <c r="E218" s="1" t="str">
        <f>IFERROR(__xludf.DUMMYFUNCTION("""COMPUTED_VALUE"""),"Twilight Bow")</f>
        <v>Twilight Bow</v>
      </c>
      <c r="F218" s="73" t="str">
        <f>IFERROR(__xludf.DUMMYFUNCTION("""COMPUTED_VALUE"""),"11-15")</f>
        <v>11-15</v>
      </c>
      <c r="G218" s="1" t="str">
        <f>IFERROR(__xludf.DUMMYFUNCTION("""COMPUTED_VALUE"""),"Soul")</f>
        <v>Soul</v>
      </c>
      <c r="H218" s="73" t="str">
        <f>IFERROR(__xludf.DUMMYFUNCTION("""COMPUTED_VALUE"""),"16-20")</f>
        <v>16-20</v>
      </c>
      <c r="I218" s="1" t="str">
        <f>IFERROR(__xludf.DUMMYFUNCTION("""COMPUTED_VALUE"""),"Rank 9 Twilight Tome")</f>
        <v>Rank 9 Twilight Tome</v>
      </c>
      <c r="J218" s="73" t="str">
        <f>IFERROR(__xludf.DUMMYFUNCTION("""COMPUTED_VALUE"""),"21-25")</f>
        <v>21-25</v>
      </c>
      <c r="K218" s="1" t="str">
        <f>IFERROR(__xludf.DUMMYFUNCTION("""COMPUTED_VALUE"""),"100,000,000G-500,000,000G")</f>
        <v>100,000,000G-500,000,000G</v>
      </c>
      <c r="L218" s="1"/>
      <c r="M218" s="1"/>
      <c r="N218" s="1"/>
      <c r="O218" s="1"/>
      <c r="P218" s="1"/>
      <c r="Q218" s="1"/>
      <c r="R218" s="1"/>
      <c r="S218" s="1"/>
      <c r="T218" s="1"/>
      <c r="U218" s="1"/>
      <c r="V218" s="1"/>
      <c r="W218" s="1"/>
      <c r="X218" s="1"/>
    </row>
    <row r="219" ht="15.75" customHeight="1">
      <c r="A219" s="1" t="str">
        <f>IFERROR(__xludf.DUMMYFUNCTION("""COMPUTED_VALUE"""),"Twilight Shadow")</f>
        <v>Twilight Shadow</v>
      </c>
      <c r="B219" s="73" t="str">
        <f>IFERROR(__xludf.DUMMYFUNCTION("""COMPUTED_VALUE"""),"1-5")</f>
        <v>1-5</v>
      </c>
      <c r="C219" s="1" t="str">
        <f>IFERROR(__xludf.DUMMYFUNCTION("""COMPUTED_VALUE"""),"Egg")</f>
        <v>Egg</v>
      </c>
      <c r="D219" s="73" t="str">
        <f>IFERROR(__xludf.DUMMYFUNCTION("""COMPUTED_VALUE"""),"6-10")</f>
        <v>6-10</v>
      </c>
      <c r="E219" s="1" t="str">
        <f>IFERROR(__xludf.DUMMYFUNCTION("""COMPUTED_VALUE"""),"Nothing")</f>
        <v>Nothing</v>
      </c>
      <c r="F219" s="73" t="str">
        <f>IFERROR(__xludf.DUMMYFUNCTION("""COMPUTED_VALUE"""),"11-15")</f>
        <v>11-15</v>
      </c>
      <c r="G219" s="1" t="str">
        <f>IFERROR(__xludf.DUMMYFUNCTION("""COMPUTED_VALUE"""),"Egg")</f>
        <v>Egg</v>
      </c>
      <c r="H219" s="73" t="str">
        <f>IFERROR(__xludf.DUMMYFUNCTION("""COMPUTED_VALUE"""),"16-20")</f>
        <v>16-20</v>
      </c>
      <c r="I219" s="1" t="str">
        <f>IFERROR(__xludf.DUMMYFUNCTION("""COMPUTED_VALUE"""),"Staff Of Shadows")</f>
        <v>Staff Of Shadows</v>
      </c>
      <c r="J219" s="73" t="str">
        <f>IFERROR(__xludf.DUMMYFUNCTION("""COMPUTED_VALUE"""),"21-25")</f>
        <v>21-25</v>
      </c>
      <c r="K219" s="1" t="str">
        <f>IFERROR(__xludf.DUMMYFUNCTION("""COMPUTED_VALUE"""),"Soul")</f>
        <v>Soul</v>
      </c>
      <c r="L219" s="1"/>
      <c r="M219" s="1"/>
      <c r="N219" s="1"/>
      <c r="O219" s="1"/>
      <c r="P219" s="1"/>
      <c r="Q219" s="1"/>
      <c r="R219" s="1"/>
      <c r="S219" s="1"/>
      <c r="T219" s="1"/>
      <c r="U219" s="1"/>
      <c r="V219" s="1"/>
      <c r="W219" s="1"/>
      <c r="X219" s="1"/>
    </row>
    <row r="220" ht="15.75" customHeight="1">
      <c r="A220" s="1" t="str">
        <f>IFERROR(__xludf.DUMMYFUNCTION("""COMPUTED_VALUE"""),"Twilight Soldier")</f>
        <v>Twilight Soldier</v>
      </c>
      <c r="B220" s="73" t="str">
        <f>IFERROR(__xludf.DUMMYFUNCTION("""COMPUTED_VALUE"""),"1-5")</f>
        <v>1-5</v>
      </c>
      <c r="C220" s="1" t="str">
        <f>IFERROR(__xludf.DUMMYFUNCTION("""COMPUTED_VALUE"""),"Twilight Sword")</f>
        <v>Twilight Sword</v>
      </c>
      <c r="D220" s="73" t="str">
        <f>IFERROR(__xludf.DUMMYFUNCTION("""COMPUTED_VALUE"""),"6-10")</f>
        <v>6-10</v>
      </c>
      <c r="E220" s="1" t="str">
        <f>IFERROR(__xludf.DUMMYFUNCTION("""COMPUTED_VALUE"""),"Egg")</f>
        <v>Egg</v>
      </c>
      <c r="F220" s="73" t="str">
        <f>IFERROR(__xludf.DUMMYFUNCTION("""COMPUTED_VALUE"""),"11-15")</f>
        <v>11-15</v>
      </c>
      <c r="G220" s="1" t="str">
        <f>IFERROR(__xludf.DUMMYFUNCTION("""COMPUTED_VALUE"""),"Soul")</f>
        <v>Soul</v>
      </c>
      <c r="H220" s="73" t="str">
        <f>IFERROR(__xludf.DUMMYFUNCTION("""COMPUTED_VALUE"""),"16-20")</f>
        <v>16-20</v>
      </c>
      <c r="I220" s="1" t="str">
        <f>IFERROR(__xludf.DUMMYFUNCTION("""COMPUTED_VALUE"""),"40,000G-60,000G")</f>
        <v>40,000G-60,000G</v>
      </c>
      <c r="J220" s="73" t="str">
        <f>IFERROR(__xludf.DUMMYFUNCTION("""COMPUTED_VALUE"""),"21-25")</f>
        <v>21-25</v>
      </c>
      <c r="K220" s="1" t="str">
        <f>IFERROR(__xludf.DUMMYFUNCTION("""COMPUTED_VALUE"""),"Nothing")</f>
        <v>Nothing</v>
      </c>
      <c r="L220" s="1"/>
      <c r="M220" s="1"/>
      <c r="N220" s="1"/>
      <c r="O220" s="1"/>
      <c r="P220" s="1"/>
      <c r="Q220" s="1"/>
      <c r="R220" s="1"/>
      <c r="S220" s="1"/>
      <c r="T220" s="1"/>
      <c r="U220" s="1"/>
      <c r="V220" s="1"/>
      <c r="W220" s="1"/>
      <c r="X220" s="1"/>
    </row>
    <row r="221" ht="15.75" customHeight="1">
      <c r="A221" s="1" t="str">
        <f>IFERROR(__xludf.DUMMYFUNCTION("""COMPUTED_VALUE"""),"Undead Dragon")</f>
        <v>Undead Dragon</v>
      </c>
      <c r="B221" s="73" t="str">
        <f>IFERROR(__xludf.DUMMYFUNCTION("""COMPUTED_VALUE"""),"1-5")</f>
        <v>1-5</v>
      </c>
      <c r="C221" s="1" t="str">
        <f>IFERROR(__xludf.DUMMYFUNCTION("""COMPUTED_VALUE"""),"Egg")</f>
        <v>Egg</v>
      </c>
      <c r="D221" s="73" t="str">
        <f>IFERROR(__xludf.DUMMYFUNCTION("""COMPUTED_VALUE"""),"6-10")</f>
        <v>6-10</v>
      </c>
      <c r="E221" s="1" t="str">
        <f>IFERROR(__xludf.DUMMYFUNCTION("""COMPUTED_VALUE"""),"Ring of the Bonded Undead")</f>
        <v>Ring of the Bonded Undead</v>
      </c>
      <c r="F221" s="73" t="str">
        <f>IFERROR(__xludf.DUMMYFUNCTION("""COMPUTED_VALUE"""),"11-15")</f>
        <v>11-15</v>
      </c>
      <c r="G221" s="1" t="str">
        <f>IFERROR(__xludf.DUMMYFUNCTION("""COMPUTED_VALUE"""),"Soul")</f>
        <v>Soul</v>
      </c>
      <c r="H221" s="73" t="str">
        <f>IFERROR(__xludf.DUMMYFUNCTION("""COMPUTED_VALUE"""),"16-20")</f>
        <v>16-20</v>
      </c>
      <c r="I221" s="1" t="str">
        <f>IFERROR(__xludf.DUMMYFUNCTION("""COMPUTED_VALUE"""),"Staff Of Shadows")</f>
        <v>Staff Of Shadows</v>
      </c>
      <c r="J221" s="73" t="str">
        <f>IFERROR(__xludf.DUMMYFUNCTION("""COMPUTED_VALUE"""),"21-25")</f>
        <v>21-25</v>
      </c>
      <c r="K221" s="1" t="str">
        <f>IFERROR(__xludf.DUMMYFUNCTION("""COMPUTED_VALUE"""),"100,000,000G-500,000,000G")</f>
        <v>100,000,000G-500,000,000G</v>
      </c>
      <c r="L221" s="1"/>
      <c r="M221" s="1"/>
      <c r="N221" s="1"/>
      <c r="O221" s="1"/>
      <c r="P221" s="1"/>
      <c r="Q221" s="1"/>
      <c r="R221" s="1"/>
      <c r="S221" s="1"/>
      <c r="T221" s="1"/>
      <c r="U221" s="1"/>
      <c r="V221" s="1"/>
      <c r="W221" s="1"/>
      <c r="X221" s="1"/>
    </row>
    <row r="222" ht="15.75" customHeight="1">
      <c r="A222" s="1" t="str">
        <f>IFERROR(__xludf.DUMMYFUNCTION("""COMPUTED_VALUE"""),"Vampire")</f>
        <v>Vampire</v>
      </c>
      <c r="B222" s="73" t="str">
        <f>IFERROR(__xludf.DUMMYFUNCTION("""COMPUTED_VALUE"""),"1-5")</f>
        <v>1-5</v>
      </c>
      <c r="C222" s="1" t="str">
        <f>IFERROR(__xludf.DUMMYFUNCTION("""COMPUTED_VALUE"""),"Egg")</f>
        <v>Egg</v>
      </c>
      <c r="D222" s="73" t="str">
        <f>IFERROR(__xludf.DUMMYFUNCTION("""COMPUTED_VALUE"""),"6-10")</f>
        <v>6-10</v>
      </c>
      <c r="E222" s="1" t="str">
        <f>IFERROR(__xludf.DUMMYFUNCTION("""COMPUTED_VALUE"""),"vampires tooth")</f>
        <v>vampires tooth</v>
      </c>
      <c r="F222" s="73" t="str">
        <f>IFERROR(__xludf.DUMMYFUNCTION("""COMPUTED_VALUE"""),"11-15")</f>
        <v>11-15</v>
      </c>
      <c r="G222" s="1" t="str">
        <f>IFERROR(__xludf.DUMMYFUNCTION("""COMPUTED_VALUE"""),"Ring of the Bonded Undead")</f>
        <v>Ring of the Bonded Undead</v>
      </c>
      <c r="H222" s="73" t="str">
        <f>IFERROR(__xludf.DUMMYFUNCTION("""COMPUTED_VALUE"""),"16-20")</f>
        <v>16-20</v>
      </c>
      <c r="I222" s="1" t="str">
        <f>IFERROR(__xludf.DUMMYFUNCTION("""COMPUTED_VALUE"""),"Soul")</f>
        <v>Soul</v>
      </c>
      <c r="J222" s="73" t="str">
        <f>IFERROR(__xludf.DUMMYFUNCTION("""COMPUTED_VALUE"""),"21-25")</f>
        <v>21-25</v>
      </c>
      <c r="K222" s="1" t="str">
        <f>IFERROR(__xludf.DUMMYFUNCTION("""COMPUTED_VALUE"""),"Nothing")</f>
        <v>Nothing</v>
      </c>
      <c r="L222" s="1"/>
      <c r="M222" s="1"/>
      <c r="N222" s="1"/>
      <c r="O222" s="1"/>
      <c r="P222" s="1"/>
      <c r="Q222" s="1"/>
      <c r="R222" s="1"/>
      <c r="S222" s="1"/>
      <c r="T222" s="1"/>
      <c r="U222" s="1"/>
      <c r="V222" s="1"/>
      <c r="W222" s="1"/>
      <c r="X222" s="1"/>
    </row>
    <row r="223" ht="15.75" customHeight="1">
      <c r="A223" s="1" t="str">
        <f>IFERROR(__xludf.DUMMYFUNCTION("""COMPUTED_VALUE"""),"Vampire King")</f>
        <v>Vampire King</v>
      </c>
      <c r="B223" s="73" t="str">
        <f>IFERROR(__xludf.DUMMYFUNCTION("""COMPUTED_VALUE"""),"1-5")</f>
        <v>1-5</v>
      </c>
      <c r="C223" s="1" t="str">
        <f>IFERROR(__xludf.DUMMYFUNCTION("""COMPUTED_VALUE"""),"Soul")</f>
        <v>Soul</v>
      </c>
      <c r="D223" s="73" t="str">
        <f>IFERROR(__xludf.DUMMYFUNCTION("""COMPUTED_VALUE"""),"6-10")</f>
        <v>6-10</v>
      </c>
      <c r="E223" s="1" t="str">
        <f>IFERROR(__xludf.DUMMYFUNCTION("""COMPUTED_VALUE"""),"Sword of the Vampire’s Lust")</f>
        <v>Sword of the Vampire’s Lust</v>
      </c>
      <c r="F223" s="73" t="str">
        <f>IFERROR(__xludf.DUMMYFUNCTION("""COMPUTED_VALUE"""),"11-15")</f>
        <v>11-15</v>
      </c>
      <c r="G223" s="1" t="str">
        <f>IFERROR(__xludf.DUMMYFUNCTION("""COMPUTED_VALUE"""),"vampires tooth")</f>
        <v>vampires tooth</v>
      </c>
      <c r="H223" s="73" t="str">
        <f>IFERROR(__xludf.DUMMYFUNCTION("""COMPUTED_VALUE"""),"16-20")</f>
        <v>16-20</v>
      </c>
      <c r="I223" s="1" t="str">
        <f>IFERROR(__xludf.DUMMYFUNCTION("""COMPUTED_VALUE"""),"100,000,000G-500,000,000G")</f>
        <v>100,000,000G-500,000,000G</v>
      </c>
      <c r="J223" s="73" t="str">
        <f>IFERROR(__xludf.DUMMYFUNCTION("""COMPUTED_VALUE"""),"21-25")</f>
        <v>21-25</v>
      </c>
      <c r="K223" s="1" t="str">
        <f>IFERROR(__xludf.DUMMYFUNCTION("""COMPUTED_VALUE"""),"Nothing")</f>
        <v>Nothing</v>
      </c>
      <c r="L223" s="1"/>
      <c r="M223" s="1"/>
      <c r="N223" s="1"/>
      <c r="O223" s="1"/>
      <c r="P223" s="1"/>
      <c r="Q223" s="1"/>
      <c r="R223" s="1"/>
      <c r="S223" s="1"/>
      <c r="T223" s="1"/>
      <c r="U223" s="1"/>
      <c r="V223" s="1"/>
      <c r="W223" s="1"/>
      <c r="X223" s="1"/>
    </row>
    <row r="224" ht="15.75" customHeight="1">
      <c r="A224" s="1" t="str">
        <f>IFERROR(__xludf.DUMMYFUNCTION("""COMPUTED_VALUE"""),"Vampire Lord")</f>
        <v>Vampire Lord</v>
      </c>
      <c r="B224" s="73" t="str">
        <f>IFERROR(__xludf.DUMMYFUNCTION("""COMPUTED_VALUE"""),"1-5")</f>
        <v>1-5</v>
      </c>
      <c r="C224" s="1" t="str">
        <f>IFERROR(__xludf.DUMMYFUNCTION("""COMPUTED_VALUE"""),"Soul")</f>
        <v>Soul</v>
      </c>
      <c r="D224" s="73" t="str">
        <f>IFERROR(__xludf.DUMMYFUNCTION("""COMPUTED_VALUE"""),"6-10")</f>
        <v>6-10</v>
      </c>
      <c r="E224" s="1" t="str">
        <f>IFERROR(__xludf.DUMMYFUNCTION("""COMPUTED_VALUE"""),"vampires tooth")</f>
        <v>vampires tooth</v>
      </c>
      <c r="F224" s="73" t="str">
        <f>IFERROR(__xludf.DUMMYFUNCTION("""COMPUTED_VALUE"""),"11-15")</f>
        <v>11-15</v>
      </c>
      <c r="G224" s="1" t="str">
        <f>IFERROR(__xludf.DUMMYFUNCTION("""COMPUTED_VALUE"""),"Nothing")</f>
        <v>Nothing</v>
      </c>
      <c r="H224" s="73" t="str">
        <f>IFERROR(__xludf.DUMMYFUNCTION("""COMPUTED_VALUE"""),"16-20")</f>
        <v>16-20</v>
      </c>
      <c r="I224" s="1" t="str">
        <f>IFERROR(__xludf.DUMMYFUNCTION("""COMPUTED_VALUE"""),"80,000,000G-100,000,000G")</f>
        <v>80,000,000G-100,000,000G</v>
      </c>
      <c r="J224" s="73" t="str">
        <f>IFERROR(__xludf.DUMMYFUNCTION("""COMPUTED_VALUE"""),"21-25")</f>
        <v>21-25</v>
      </c>
      <c r="K224" s="1" t="str">
        <f>IFERROR(__xludf.DUMMYFUNCTION("""COMPUTED_VALUE"""),"Nothing")</f>
        <v>Nothing</v>
      </c>
      <c r="L224" s="1"/>
      <c r="M224" s="1"/>
      <c r="N224" s="1"/>
      <c r="O224" s="1"/>
      <c r="P224" s="1"/>
      <c r="Q224" s="1"/>
      <c r="R224" s="1"/>
      <c r="S224" s="1"/>
      <c r="T224" s="1"/>
      <c r="U224" s="1"/>
      <c r="V224" s="1"/>
      <c r="W224" s="1"/>
      <c r="X224" s="1"/>
    </row>
    <row r="225" ht="15.75" customHeight="1">
      <c r="A225" s="1" t="str">
        <f>IFERROR(__xludf.DUMMYFUNCTION("""COMPUTED_VALUE"""),"Volcanic Void Dragon")</f>
        <v>Volcanic Void Dragon</v>
      </c>
      <c r="B225" s="73" t="str">
        <f>IFERROR(__xludf.DUMMYFUNCTION("""COMPUTED_VALUE"""),"1-5")</f>
        <v>1-5</v>
      </c>
      <c r="C225" s="1" t="str">
        <f>IFERROR(__xludf.DUMMYFUNCTION("""COMPUTED_VALUE"""),"Soul")</f>
        <v>Soul</v>
      </c>
      <c r="D225" s="73" t="str">
        <f>IFERROR(__xludf.DUMMYFUNCTION("""COMPUTED_VALUE"""),"6-10")</f>
        <v>6-10</v>
      </c>
      <c r="E225" s="1" t="str">
        <f>IFERROR(__xludf.DUMMYFUNCTION("""COMPUTED_VALUE"""),"Void sword")</f>
        <v>Void sword</v>
      </c>
      <c r="F225" s="73" t="str">
        <f>IFERROR(__xludf.DUMMYFUNCTION("""COMPUTED_VALUE"""),"11-15")</f>
        <v>11-15</v>
      </c>
      <c r="G225" s="1" t="str">
        <f>IFERROR(__xludf.DUMMYFUNCTION("""COMPUTED_VALUE"""),"Ashen Pole Axe")</f>
        <v>Ashen Pole Axe</v>
      </c>
      <c r="H225" s="73" t="str">
        <f>IFERROR(__xludf.DUMMYFUNCTION("""COMPUTED_VALUE"""),"16-20")</f>
        <v>16-20</v>
      </c>
      <c r="I225" s="1" t="str">
        <f>IFERROR(__xludf.DUMMYFUNCTION("""COMPUTED_VALUE"""),"Nothing")</f>
        <v>Nothing</v>
      </c>
      <c r="J225" s="73" t="str">
        <f>IFERROR(__xludf.DUMMYFUNCTION("""COMPUTED_VALUE"""),"21-25")</f>
        <v>21-25</v>
      </c>
      <c r="K225" s="1" t="str">
        <f>IFERROR(__xludf.DUMMYFUNCTION("""COMPUTED_VALUE"""),"Egg")</f>
        <v>Egg</v>
      </c>
      <c r="L225" s="1"/>
      <c r="M225" s="1"/>
      <c r="N225" s="1"/>
      <c r="O225" s="1"/>
      <c r="P225" s="1"/>
      <c r="Q225" s="1"/>
      <c r="R225" s="1"/>
      <c r="S225" s="1"/>
      <c r="T225" s="1"/>
      <c r="U225" s="1"/>
      <c r="V225" s="1"/>
      <c r="W225" s="1"/>
      <c r="X225" s="1"/>
    </row>
    <row r="226" ht="15.75" customHeight="1">
      <c r="A226" s="1" t="str">
        <f>IFERROR(__xludf.DUMMYFUNCTION("""COMPUTED_VALUE"""),"Voodoo Shameness")</f>
        <v>Voodoo Shameness</v>
      </c>
      <c r="B226" s="73" t="str">
        <f>IFERROR(__xludf.DUMMYFUNCTION("""COMPUTED_VALUE"""),"1-5")</f>
        <v>1-5</v>
      </c>
      <c r="C226" s="1" t="str">
        <f>IFERROR(__xludf.DUMMYFUNCTION("""COMPUTED_VALUE"""),"Nothing")</f>
        <v>Nothing</v>
      </c>
      <c r="D226" s="73" t="str">
        <f>IFERROR(__xludf.DUMMYFUNCTION("""COMPUTED_VALUE"""),"6-10")</f>
        <v>6-10</v>
      </c>
      <c r="E226" s="1" t="str">
        <f>IFERROR(__xludf.DUMMYFUNCTION("""COMPUTED_VALUE"""),"1,000G-20,000G")</f>
        <v>1,000G-20,000G</v>
      </c>
      <c r="F226" s="73" t="str">
        <f>IFERROR(__xludf.DUMMYFUNCTION("""COMPUTED_VALUE"""),"11-15")</f>
        <v>11-15</v>
      </c>
      <c r="G226" s="1" t="str">
        <f>IFERROR(__xludf.DUMMYFUNCTION("""COMPUTED_VALUE"""),"Nothing")</f>
        <v>Nothing</v>
      </c>
      <c r="H226" s="73" t="str">
        <f>IFERROR(__xludf.DUMMYFUNCTION("""COMPUTED_VALUE"""),"16-20")</f>
        <v>16-20</v>
      </c>
      <c r="I226" s="1" t="str">
        <f>IFERROR(__xludf.DUMMYFUNCTION("""COMPUTED_VALUE"""),"Soul")</f>
        <v>Soul</v>
      </c>
      <c r="J226" s="73" t="str">
        <f>IFERROR(__xludf.DUMMYFUNCTION("""COMPUTED_VALUE"""),"21-25")</f>
        <v>21-25</v>
      </c>
      <c r="K226" s="1" t="str">
        <f>IFERROR(__xludf.DUMMYFUNCTION("""COMPUTED_VALUE"""),"Nothing")</f>
        <v>Nothing</v>
      </c>
      <c r="L226" s="1"/>
      <c r="M226" s="1"/>
      <c r="N226" s="1"/>
      <c r="O226" s="1"/>
      <c r="P226" s="1"/>
      <c r="Q226" s="1"/>
      <c r="R226" s="1"/>
      <c r="S226" s="1"/>
      <c r="T226" s="1"/>
      <c r="U226" s="1"/>
      <c r="V226" s="1"/>
      <c r="W226" s="1"/>
      <c r="X226" s="1"/>
    </row>
    <row r="227" ht="15.75" customHeight="1">
      <c r="A227" s="1" t="str">
        <f>IFERROR(__xludf.DUMMYFUNCTION("""COMPUTED_VALUE"""),"Wandering Pumpkin")</f>
        <v>Wandering Pumpkin</v>
      </c>
      <c r="B227" s="73" t="str">
        <f>IFERROR(__xludf.DUMMYFUNCTION("""COMPUTED_VALUE"""),"1-5")</f>
        <v>1-5</v>
      </c>
      <c r="C227" s="1" t="str">
        <f>IFERROR(__xludf.DUMMYFUNCTION("""COMPUTED_VALUE"""),"Premium Pumpkin")</f>
        <v>Premium Pumpkin</v>
      </c>
      <c r="D227" s="73" t="str">
        <f>IFERROR(__xludf.DUMMYFUNCTION("""COMPUTED_VALUE"""),"6-10")</f>
        <v>6-10</v>
      </c>
      <c r="E227" s="1" t="str">
        <f>IFERROR(__xludf.DUMMYFUNCTION("""COMPUTED_VALUE"""),"Pumpkin")</f>
        <v>Pumpkin</v>
      </c>
      <c r="F227" s="73" t="str">
        <f>IFERROR(__xludf.DUMMYFUNCTION("""COMPUTED_VALUE"""),"11-15")</f>
        <v>11-15</v>
      </c>
      <c r="G227" s="1" t="str">
        <f>IFERROR(__xludf.DUMMYFUNCTION("""COMPUTED_VALUE"""),"Pumpkin Soup")</f>
        <v>Pumpkin Soup</v>
      </c>
      <c r="H227" s="73" t="str">
        <f>IFERROR(__xludf.DUMMYFUNCTION("""COMPUTED_VALUE"""),"16-20")</f>
        <v>16-20</v>
      </c>
      <c r="I227" s="1" t="str">
        <f>IFERROR(__xludf.DUMMYFUNCTION("""COMPUTED_VALUE"""),"Pumpkin Diamond")</f>
        <v>Pumpkin Diamond</v>
      </c>
      <c r="J227" s="73" t="str">
        <f>IFERROR(__xludf.DUMMYFUNCTION("""COMPUTED_VALUE"""),"21-25")</f>
        <v>21-25</v>
      </c>
      <c r="K227" s="1" t="str">
        <f>IFERROR(__xludf.DUMMYFUNCTION("""COMPUTED_VALUE"""),"Premium Pumpkin Soup")</f>
        <v>Premium Pumpkin Soup</v>
      </c>
      <c r="L227" s="1"/>
      <c r="M227" s="1"/>
      <c r="N227" s="1"/>
      <c r="O227" s="1"/>
      <c r="P227" s="1"/>
      <c r="Q227" s="1"/>
      <c r="R227" s="1"/>
      <c r="S227" s="1"/>
      <c r="T227" s="1"/>
      <c r="U227" s="1"/>
      <c r="V227" s="1"/>
      <c r="W227" s="1"/>
      <c r="X227" s="1"/>
    </row>
    <row r="228" ht="15.75" customHeight="1">
      <c r="A228" s="1" t="str">
        <f>IFERROR(__xludf.DUMMYFUNCTION("""COMPUTED_VALUE"""),"Werewolf")</f>
        <v>Werewolf</v>
      </c>
      <c r="B228" s="73" t="str">
        <f>IFERROR(__xludf.DUMMYFUNCTION("""COMPUTED_VALUE"""),"1-5")</f>
        <v>1-5</v>
      </c>
      <c r="C228" s="1" t="str">
        <f>IFERROR(__xludf.DUMMYFUNCTION("""COMPUTED_VALUE"""),"Egg")</f>
        <v>Egg</v>
      </c>
      <c r="D228" s="73" t="str">
        <f>IFERROR(__xludf.DUMMYFUNCTION("""COMPUTED_VALUE"""),"6-10")</f>
        <v>6-10</v>
      </c>
      <c r="E228" s="1" t="str">
        <f>IFERROR(__xludf.DUMMYFUNCTION("""COMPUTED_VALUE"""),"werewolf pelt")</f>
        <v>werewolf pelt</v>
      </c>
      <c r="F228" s="73" t="str">
        <f>IFERROR(__xludf.DUMMYFUNCTION("""COMPUTED_VALUE"""),"11-15")</f>
        <v>11-15</v>
      </c>
      <c r="G228" s="1" t="str">
        <f>IFERROR(__xludf.DUMMYFUNCTION("""COMPUTED_VALUE"""),"Soul")</f>
        <v>Soul</v>
      </c>
      <c r="H228" s="73" t="str">
        <f>IFERROR(__xludf.DUMMYFUNCTION("""COMPUTED_VALUE"""),"16-20")</f>
        <v>16-20</v>
      </c>
      <c r="I228" s="1" t="str">
        <f>IFERROR(__xludf.DUMMYFUNCTION("""COMPUTED_VALUE"""),"20,000G-40,000G")</f>
        <v>20,000G-40,000G</v>
      </c>
      <c r="J228" s="73" t="str">
        <f>IFERROR(__xludf.DUMMYFUNCTION("""COMPUTED_VALUE"""),"21-25")</f>
        <v>21-25</v>
      </c>
      <c r="K228" s="1" t="str">
        <f>IFERROR(__xludf.DUMMYFUNCTION("""COMPUTED_VALUE"""),"Nothing")</f>
        <v>Nothing</v>
      </c>
      <c r="L228" s="1"/>
      <c r="M228" s="1"/>
      <c r="N228" s="1"/>
      <c r="O228" s="1"/>
      <c r="P228" s="1"/>
      <c r="Q228" s="1"/>
      <c r="R228" s="1"/>
      <c r="S228" s="1"/>
      <c r="T228" s="1"/>
      <c r="U228" s="1"/>
      <c r="V228" s="1"/>
      <c r="W228" s="1"/>
      <c r="X228" s="1"/>
    </row>
    <row r="229" ht="15.75" customHeight="1">
      <c r="A229" s="1" t="str">
        <f>IFERROR(__xludf.DUMMYFUNCTION("""COMPUTED_VALUE"""),"Werewolf King")</f>
        <v>Werewolf King</v>
      </c>
      <c r="B229" s="73" t="str">
        <f>IFERROR(__xludf.DUMMYFUNCTION("""COMPUTED_VALUE"""),"1-5")</f>
        <v>1-5</v>
      </c>
      <c r="C229" s="1" t="str">
        <f>IFERROR(__xludf.DUMMYFUNCTION("""COMPUTED_VALUE"""),"Soul")</f>
        <v>Soul</v>
      </c>
      <c r="D229" s="73" t="str">
        <f>IFERROR(__xludf.DUMMYFUNCTION("""COMPUTED_VALUE"""),"6-10")</f>
        <v>6-10</v>
      </c>
      <c r="E229" s="1" t="str">
        <f>IFERROR(__xludf.DUMMYFUNCTION("""COMPUTED_VALUE"""),"Soul")</f>
        <v>Soul</v>
      </c>
      <c r="F229" s="73" t="str">
        <f>IFERROR(__xludf.DUMMYFUNCTION("""COMPUTED_VALUE"""),"11-15")</f>
        <v>11-15</v>
      </c>
      <c r="G229" s="1" t="str">
        <f>IFERROR(__xludf.DUMMYFUNCTION("""COMPUTED_VALUE"""),"1,000,000G-20,000,000G")</f>
        <v>1,000,000G-20,000,000G</v>
      </c>
      <c r="H229" s="73" t="str">
        <f>IFERROR(__xludf.DUMMYFUNCTION("""COMPUTED_VALUE"""),"16-20")</f>
        <v>16-20</v>
      </c>
      <c r="I229" s="1" t="str">
        <f>IFERROR(__xludf.DUMMYFUNCTION("""COMPUTED_VALUE"""),"Nothing")</f>
        <v>Nothing</v>
      </c>
      <c r="J229" s="73" t="str">
        <f>IFERROR(__xludf.DUMMYFUNCTION("""COMPUTED_VALUE"""),"21-25")</f>
        <v>21-25</v>
      </c>
      <c r="K229" s="1" t="str">
        <f>IFERROR(__xludf.DUMMYFUNCTION("""COMPUTED_VALUE"""),"werewolf pelt")</f>
        <v>werewolf pelt</v>
      </c>
      <c r="L229" s="1"/>
      <c r="M229" s="1"/>
      <c r="N229" s="1"/>
      <c r="O229" s="1"/>
      <c r="P229" s="1"/>
      <c r="Q229" s="1"/>
      <c r="R229" s="1"/>
      <c r="S229" s="1"/>
      <c r="T229" s="1"/>
      <c r="U229" s="1"/>
      <c r="V229" s="1"/>
      <c r="W229" s="1"/>
      <c r="X229" s="1"/>
    </row>
    <row r="230" ht="15.75" customHeight="1">
      <c r="A230" s="1" t="str">
        <f>IFERROR(__xludf.DUMMYFUNCTION("""COMPUTED_VALUE"""),"Witch")</f>
        <v>Witch</v>
      </c>
      <c r="B230" s="73" t="str">
        <f>IFERROR(__xludf.DUMMYFUNCTION("""COMPUTED_VALUE"""),"1-5")</f>
        <v>1-5</v>
      </c>
      <c r="C230" s="1" t="str">
        <f>IFERROR(__xludf.DUMMYFUNCTION("""COMPUTED_VALUE"""),"Potion of Mana")</f>
        <v>Potion of Mana</v>
      </c>
      <c r="D230" s="73" t="str">
        <f>IFERROR(__xludf.DUMMYFUNCTION("""COMPUTED_VALUE"""),"6-10")</f>
        <v>6-10</v>
      </c>
      <c r="E230" s="1" t="str">
        <f>IFERROR(__xludf.DUMMYFUNCTION("""COMPUTED_VALUE"""),"1,000G-20,000G")</f>
        <v>1,000G-20,000G</v>
      </c>
      <c r="F230" s="73" t="str">
        <f>IFERROR(__xludf.DUMMYFUNCTION("""COMPUTED_VALUE"""),"11-15")</f>
        <v>11-15</v>
      </c>
      <c r="G230" s="1" t="str">
        <f>IFERROR(__xludf.DUMMYFUNCTION("""COMPUTED_VALUE"""),"Soul")</f>
        <v>Soul</v>
      </c>
      <c r="H230" s="73" t="str">
        <f>IFERROR(__xludf.DUMMYFUNCTION("""COMPUTED_VALUE"""),"16-20")</f>
        <v>16-20</v>
      </c>
      <c r="I230" s="1" t="str">
        <f>IFERROR(__xludf.DUMMYFUNCTION("""COMPUTED_VALUE"""),"Egg")</f>
        <v>Egg</v>
      </c>
      <c r="J230" s="73" t="str">
        <f>IFERROR(__xludf.DUMMYFUNCTION("""COMPUTED_VALUE"""),"21-25")</f>
        <v>21-25</v>
      </c>
      <c r="K230" s="1" t="str">
        <f>IFERROR(__xludf.DUMMYFUNCTION("""COMPUTED_VALUE"""),"Nothing")</f>
        <v>Nothing</v>
      </c>
      <c r="L230" s="1"/>
      <c r="M230" s="1"/>
      <c r="N230" s="1"/>
      <c r="O230" s="1"/>
      <c r="P230" s="1"/>
      <c r="Q230" s="1"/>
      <c r="R230" s="1"/>
      <c r="S230" s="1"/>
      <c r="T230" s="1"/>
      <c r="U230" s="1"/>
      <c r="V230" s="1"/>
      <c r="W230" s="1"/>
      <c r="X230" s="1"/>
    </row>
    <row r="231" ht="15.75" customHeight="1">
      <c r="A231" s="1" t="str">
        <f>IFERROR(__xludf.DUMMYFUNCTION("""COMPUTED_VALUE"""),"Zombie")</f>
        <v>Zombie</v>
      </c>
      <c r="B231" s="73" t="str">
        <f>IFERROR(__xludf.DUMMYFUNCTION("""COMPUTED_VALUE"""),"1-5")</f>
        <v>1-5</v>
      </c>
      <c r="C231" s="1" t="str">
        <f>IFERROR(__xludf.DUMMYFUNCTION("""COMPUTED_VALUE"""),"Rotton Flesh")</f>
        <v>Rotton Flesh</v>
      </c>
      <c r="D231" s="73" t="str">
        <f>IFERROR(__xludf.DUMMYFUNCTION("""COMPUTED_VALUE"""),"6-10")</f>
        <v>6-10</v>
      </c>
      <c r="E231" s="1" t="str">
        <f>IFERROR(__xludf.DUMMYFUNCTION("""COMPUTED_VALUE"""),"Rusted Halberd")</f>
        <v>Rusted Halberd</v>
      </c>
      <c r="F231" s="73" t="str">
        <f>IFERROR(__xludf.DUMMYFUNCTION("""COMPUTED_VALUE"""),"11-15")</f>
        <v>11-15</v>
      </c>
      <c r="G231" s="1" t="str">
        <f>IFERROR(__xludf.DUMMYFUNCTION("""COMPUTED_VALUE"""),"Soul")</f>
        <v>Soul</v>
      </c>
      <c r="H231" s="73" t="str">
        <f>IFERROR(__xludf.DUMMYFUNCTION("""COMPUTED_VALUE"""),"16-20")</f>
        <v>16-20</v>
      </c>
      <c r="I231" s="1" t="str">
        <f>IFERROR(__xludf.DUMMYFUNCTION("""COMPUTED_VALUE"""),"Egg")</f>
        <v>Egg</v>
      </c>
      <c r="J231" s="73" t="str">
        <f>IFERROR(__xludf.DUMMYFUNCTION("""COMPUTED_VALUE"""),"21-25")</f>
        <v>21-25</v>
      </c>
      <c r="K231" s="1" t="str">
        <f>IFERROR(__xludf.DUMMYFUNCTION("""COMPUTED_VALUE"""),"Diseased Rapier")</f>
        <v>Diseased Rapier</v>
      </c>
      <c r="L231" s="1"/>
      <c r="M231" s="1"/>
      <c r="N231" s="1"/>
      <c r="O231" s="1"/>
      <c r="P231" s="1"/>
      <c r="Q231" s="1"/>
      <c r="R231" s="1"/>
      <c r="S231" s="1"/>
      <c r="T231" s="1"/>
      <c r="U231" s="1"/>
      <c r="V231" s="1"/>
      <c r="W231" s="1"/>
      <c r="X231" s="1"/>
    </row>
    <row r="232" ht="15.75" customHeight="1">
      <c r="A232" s="1" t="str">
        <f>IFERROR(__xludf.DUMMYFUNCTION("""COMPUTED_VALUE"""),"Zombie Whale Shark")</f>
        <v>Zombie Whale Shark</v>
      </c>
      <c r="B232" s="73" t="str">
        <f>IFERROR(__xludf.DUMMYFUNCTION("""COMPUTED_VALUE"""),"1-5")</f>
        <v>1-5</v>
      </c>
      <c r="C232" s="1" t="str">
        <f>IFERROR(__xludf.DUMMYFUNCTION("""COMPUTED_VALUE"""),"Rotton Flesh")</f>
        <v>Rotton Flesh</v>
      </c>
      <c r="D232" s="73" t="str">
        <f>IFERROR(__xludf.DUMMYFUNCTION("""COMPUTED_VALUE"""),"6-10")</f>
        <v>6-10</v>
      </c>
      <c r="E232" s="1" t="str">
        <f>IFERROR(__xludf.DUMMYFUNCTION("""COMPUTED_VALUE"""),"Shark Fin")</f>
        <v>Shark Fin</v>
      </c>
      <c r="F232" s="73" t="str">
        <f>IFERROR(__xludf.DUMMYFUNCTION("""COMPUTED_VALUE"""),"11-15")</f>
        <v>11-15</v>
      </c>
      <c r="G232" s="1" t="str">
        <f>IFERROR(__xludf.DUMMYFUNCTION("""COMPUTED_VALUE"""),"Soul")</f>
        <v>Soul</v>
      </c>
      <c r="H232" s="73" t="str">
        <f>IFERROR(__xludf.DUMMYFUNCTION("""COMPUTED_VALUE"""),"16-20")</f>
        <v>16-20</v>
      </c>
      <c r="I232" s="1" t="str">
        <f>IFERROR(__xludf.DUMMYFUNCTION("""COMPUTED_VALUE"""),"500,000G-1,000,000G")</f>
        <v>500,000G-1,000,000G</v>
      </c>
      <c r="J232" s="73" t="str">
        <f>IFERROR(__xludf.DUMMYFUNCTION("""COMPUTED_VALUE"""),"21-25")</f>
        <v>21-25</v>
      </c>
      <c r="K232" s="1" t="str">
        <f>IFERROR(__xludf.DUMMYFUNCTION("""COMPUTED_VALUE"""),"Egg")</f>
        <v>Egg</v>
      </c>
      <c r="L232" s="1"/>
      <c r="M232" s="1"/>
      <c r="N232" s="1"/>
      <c r="O232" s="1"/>
      <c r="P232" s="1"/>
      <c r="Q232" s="1"/>
      <c r="R232" s="1"/>
      <c r="S232" s="1"/>
      <c r="T232" s="1"/>
      <c r="U232" s="1"/>
      <c r="V232" s="1"/>
      <c r="W232" s="1"/>
      <c r="X232" s="1"/>
    </row>
    <row r="233" ht="15.75" customHeight="1">
      <c r="A233" s="1"/>
      <c r="B233" s="73" t="str">
        <f>IFERROR(__xludf.DUMMYFUNCTION("""COMPUTED_VALUE"""),"1-5")</f>
        <v>1-5</v>
      </c>
      <c r="C233" s="1" t="str">
        <f>IFERROR(__xludf.DUMMYFUNCTION("""COMPUTED_VALUE"""),"Emerald")</f>
        <v>Emerald</v>
      </c>
      <c r="D233" s="73" t="str">
        <f>IFERROR(__xludf.DUMMYFUNCTION("""COMPUTED_VALUE"""),"6-10")</f>
        <v>6-10</v>
      </c>
      <c r="E233" s="1" t="str">
        <f>IFERROR(__xludf.DUMMYFUNCTION("""COMPUTED_VALUE"""),"Emerald")</f>
        <v>Emerald</v>
      </c>
      <c r="F233" s="73" t="str">
        <f>IFERROR(__xludf.DUMMYFUNCTION("""COMPUTED_VALUE"""),"11-15")</f>
        <v>11-15</v>
      </c>
      <c r="G233" s="1" t="str">
        <f>IFERROR(__xludf.DUMMYFUNCTION("""COMPUTED_VALUE"""),"1,000,000G-20,000,000G")</f>
        <v>1,000,000G-20,000,000G</v>
      </c>
      <c r="H233" s="73" t="str">
        <f>IFERROR(__xludf.DUMMYFUNCTION("""COMPUTED_VALUE"""),"16-20")</f>
        <v>16-20</v>
      </c>
      <c r="I233" s="1" t="str">
        <f>IFERROR(__xludf.DUMMYFUNCTION("""COMPUTED_VALUE"""),"Soul")</f>
        <v>Soul</v>
      </c>
      <c r="J233" s="73" t="str">
        <f>IFERROR(__xludf.DUMMYFUNCTION("""COMPUTED_VALUE"""),"21-25")</f>
        <v>21-25</v>
      </c>
      <c r="K233" s="1" t="str">
        <f>IFERROR(__xludf.DUMMYFUNCTION("""COMPUTED_VALUE"""),"Egg")</f>
        <v>Egg</v>
      </c>
      <c r="L233" s="1"/>
      <c r="M233" s="1"/>
      <c r="N233" s="1"/>
      <c r="O233" s="1"/>
      <c r="P233" s="1"/>
      <c r="Q233" s="1"/>
      <c r="R233" s="1"/>
      <c r="S233" s="1"/>
      <c r="T233" s="1"/>
      <c r="U233" s="1"/>
      <c r="V233" s="1"/>
      <c r="W233" s="1"/>
      <c r="X233" s="1"/>
    </row>
    <row r="234" ht="15.75" customHeight="1">
      <c r="A234" s="1"/>
      <c r="B234" s="73" t="str">
        <f>IFERROR(__xludf.DUMMYFUNCTION("""COMPUTED_VALUE"""),"1-5")</f>
        <v>1-5</v>
      </c>
      <c r="C234" s="1"/>
      <c r="D234" s="73" t="str">
        <f>IFERROR(__xludf.DUMMYFUNCTION("""COMPUTED_VALUE"""),"6-10")</f>
        <v>6-10</v>
      </c>
      <c r="E234" s="1"/>
      <c r="F234" s="73" t="str">
        <f>IFERROR(__xludf.DUMMYFUNCTION("""COMPUTED_VALUE"""),"11-15")</f>
        <v>11-15</v>
      </c>
      <c r="G234" s="1"/>
      <c r="H234" s="73" t="str">
        <f>IFERROR(__xludf.DUMMYFUNCTION("""COMPUTED_VALUE"""),"16-20")</f>
        <v>16-20</v>
      </c>
      <c r="I234" s="1"/>
      <c r="J234" s="73" t="str">
        <f>IFERROR(__xludf.DUMMYFUNCTION("""COMPUTED_VALUE"""),"21-25")</f>
        <v>21-25</v>
      </c>
      <c r="K234" s="1"/>
      <c r="L234" s="1"/>
      <c r="M234" s="1"/>
      <c r="N234" s="1"/>
      <c r="O234" s="1"/>
      <c r="P234" s="1"/>
      <c r="Q234" s="1"/>
      <c r="R234" s="1"/>
      <c r="S234" s="1"/>
      <c r="T234" s="1"/>
      <c r="U234" s="1"/>
      <c r="V234" s="1"/>
      <c r="W234" s="1"/>
      <c r="X234" s="1"/>
    </row>
    <row r="235" ht="15.75" customHeight="1">
      <c r="A235" s="1"/>
      <c r="B235" s="73" t="str">
        <f>IFERROR(__xludf.DUMMYFUNCTION("""COMPUTED_VALUE"""),"1-5")</f>
        <v>1-5</v>
      </c>
      <c r="C235" s="1"/>
      <c r="D235" s="73" t="str">
        <f>IFERROR(__xludf.DUMMYFUNCTION("""COMPUTED_VALUE"""),"6-10")</f>
        <v>6-10</v>
      </c>
      <c r="E235" s="1"/>
      <c r="F235" s="73" t="str">
        <f>IFERROR(__xludf.DUMMYFUNCTION("""COMPUTED_VALUE"""),"11-15")</f>
        <v>11-15</v>
      </c>
      <c r="G235" s="1"/>
      <c r="H235" s="73" t="str">
        <f>IFERROR(__xludf.DUMMYFUNCTION("""COMPUTED_VALUE"""),"16-20")</f>
        <v>16-20</v>
      </c>
      <c r="I235" s="1"/>
      <c r="J235" s="73" t="str">
        <f>IFERROR(__xludf.DUMMYFUNCTION("""COMPUTED_VALUE"""),"21-25")</f>
        <v>21-25</v>
      </c>
      <c r="K235" s="1"/>
      <c r="L235" s="1"/>
      <c r="M235" s="1"/>
      <c r="N235" s="1"/>
      <c r="O235" s="1"/>
      <c r="P235" s="1"/>
      <c r="Q235" s="1"/>
      <c r="R235" s="1"/>
      <c r="S235" s="1"/>
      <c r="T235" s="1"/>
      <c r="U235" s="1"/>
      <c r="V235" s="1"/>
      <c r="W235" s="1"/>
      <c r="X235" s="1"/>
    </row>
    <row r="236" ht="15.75" customHeight="1">
      <c r="A236" s="1" t="str">
        <f>IFERROR(__xludf.DUMMYFUNCTION("""COMPUTED_VALUE"""),"Diamond Dragon")</f>
        <v>Diamond Dragon</v>
      </c>
      <c r="B236" s="73" t="str">
        <f>IFERROR(__xludf.DUMMYFUNCTION("""COMPUTED_VALUE"""),"1-5")</f>
        <v>1-5</v>
      </c>
      <c r="C236" s="1" t="str">
        <f>IFERROR(__xludf.DUMMYFUNCTION("""COMPUTED_VALUE"""),"Diamond")</f>
        <v>Diamond</v>
      </c>
      <c r="D236" s="73" t="str">
        <f>IFERROR(__xludf.DUMMYFUNCTION("""COMPUTED_VALUE"""),"6-10")</f>
        <v>6-10</v>
      </c>
      <c r="E236" s="1" t="str">
        <f>IFERROR(__xludf.DUMMYFUNCTION("""COMPUTED_VALUE"""),"Diamond")</f>
        <v>Diamond</v>
      </c>
      <c r="F236" s="73" t="str">
        <f>IFERROR(__xludf.DUMMYFUNCTION("""COMPUTED_VALUE"""),"11-15")</f>
        <v>11-15</v>
      </c>
      <c r="G236" s="1" t="str">
        <f>IFERROR(__xludf.DUMMYFUNCTION("""COMPUTED_VALUE"""),"1,000,000G-20,000,000G")</f>
        <v>1,000,000G-20,000,000G</v>
      </c>
      <c r="H236" s="73" t="str">
        <f>IFERROR(__xludf.DUMMYFUNCTION("""COMPUTED_VALUE"""),"16-20")</f>
        <v>16-20</v>
      </c>
      <c r="I236" s="1" t="str">
        <f>IFERROR(__xludf.DUMMYFUNCTION("""COMPUTED_VALUE"""),"Soul")</f>
        <v>Soul</v>
      </c>
      <c r="J236" s="73" t="str">
        <f>IFERROR(__xludf.DUMMYFUNCTION("""COMPUTED_VALUE"""),"21-25")</f>
        <v>21-25</v>
      </c>
      <c r="K236" s="1" t="str">
        <f>IFERROR(__xludf.DUMMYFUNCTION("""COMPUTED_VALUE"""),"Egg")</f>
        <v>Egg</v>
      </c>
      <c r="L236" s="1"/>
      <c r="M236" s="1"/>
      <c r="N236" s="1"/>
      <c r="O236" s="1"/>
      <c r="P236" s="1"/>
      <c r="Q236" s="1"/>
      <c r="R236" s="1"/>
      <c r="S236" s="1"/>
      <c r="T236" s="1"/>
      <c r="U236" s="1"/>
      <c r="V236" s="1"/>
      <c r="W236" s="1"/>
      <c r="X236" s="1"/>
    </row>
    <row r="237" ht="15.75" customHeight="1">
      <c r="A237" s="1" t="str">
        <f>IFERROR(__xludf.DUMMYFUNCTION("""COMPUTED_VALUE"""),"Moonstone Dragon")</f>
        <v>Moonstone Dragon</v>
      </c>
      <c r="B237" s="73" t="str">
        <f>IFERROR(__xludf.DUMMYFUNCTION("""COMPUTED_VALUE"""),"1-5")</f>
        <v>1-5</v>
      </c>
      <c r="C237" s="1" t="str">
        <f>IFERROR(__xludf.DUMMYFUNCTION("""COMPUTED_VALUE"""),"Moonstone")</f>
        <v>Moonstone</v>
      </c>
      <c r="D237" s="73" t="str">
        <f>IFERROR(__xludf.DUMMYFUNCTION("""COMPUTED_VALUE"""),"6-10")</f>
        <v>6-10</v>
      </c>
      <c r="E237" s="1" t="str">
        <f>IFERROR(__xludf.DUMMYFUNCTION("""COMPUTED_VALUE"""),"Moonstone")</f>
        <v>Moonstone</v>
      </c>
      <c r="F237" s="73" t="str">
        <f>IFERROR(__xludf.DUMMYFUNCTION("""COMPUTED_VALUE"""),"11-15")</f>
        <v>11-15</v>
      </c>
      <c r="G237" s="1" t="str">
        <f>IFERROR(__xludf.DUMMYFUNCTION("""COMPUTED_VALUE"""),"1,000,000G-20,000,000G")</f>
        <v>1,000,000G-20,000,000G</v>
      </c>
      <c r="H237" s="73" t="str">
        <f>IFERROR(__xludf.DUMMYFUNCTION("""COMPUTED_VALUE"""),"16-20")</f>
        <v>16-20</v>
      </c>
      <c r="I237" s="1" t="str">
        <f>IFERROR(__xludf.DUMMYFUNCTION("""COMPUTED_VALUE"""),"Soul")</f>
        <v>Soul</v>
      </c>
      <c r="J237" s="73" t="str">
        <f>IFERROR(__xludf.DUMMYFUNCTION("""COMPUTED_VALUE"""),"21-25")</f>
        <v>21-25</v>
      </c>
      <c r="K237" s="1" t="str">
        <f>IFERROR(__xludf.DUMMYFUNCTION("""COMPUTED_VALUE"""),"Egg")</f>
        <v>Egg</v>
      </c>
      <c r="L237" s="1"/>
      <c r="M237" s="1"/>
      <c r="N237" s="1"/>
      <c r="O237" s="1"/>
      <c r="P237" s="1"/>
      <c r="Q237" s="1"/>
      <c r="R237" s="1"/>
      <c r="S237" s="1"/>
      <c r="T237" s="1"/>
      <c r="U237" s="1"/>
      <c r="V237" s="1"/>
      <c r="W237" s="1"/>
      <c r="X237" s="1"/>
    </row>
    <row r="238" ht="15.75" customHeight="1">
      <c r="A238" s="1" t="str">
        <f>IFERROR(__xludf.DUMMYFUNCTION("""COMPUTED_VALUE"""),"Sunstone Dragon")</f>
        <v>Sunstone Dragon</v>
      </c>
      <c r="B238" s="73" t="str">
        <f>IFERROR(__xludf.DUMMYFUNCTION("""COMPUTED_VALUE"""),"1-5")</f>
        <v>1-5</v>
      </c>
      <c r="C238" s="1" t="str">
        <f>IFERROR(__xludf.DUMMYFUNCTION("""COMPUTED_VALUE"""),"Sunstone")</f>
        <v>Sunstone</v>
      </c>
      <c r="D238" s="73" t="str">
        <f>IFERROR(__xludf.DUMMYFUNCTION("""COMPUTED_VALUE"""),"6-10")</f>
        <v>6-10</v>
      </c>
      <c r="E238" s="1" t="str">
        <f>IFERROR(__xludf.DUMMYFUNCTION("""COMPUTED_VALUE"""),"Sunstone")</f>
        <v>Sunstone</v>
      </c>
      <c r="F238" s="73" t="str">
        <f>IFERROR(__xludf.DUMMYFUNCTION("""COMPUTED_VALUE"""),"11-15")</f>
        <v>11-15</v>
      </c>
      <c r="G238" s="1" t="str">
        <f>IFERROR(__xludf.DUMMYFUNCTION("""COMPUTED_VALUE"""),"1,000,000G-20,000,000G")</f>
        <v>1,000,000G-20,000,000G</v>
      </c>
      <c r="H238" s="73" t="str">
        <f>IFERROR(__xludf.DUMMYFUNCTION("""COMPUTED_VALUE"""),"16-20")</f>
        <v>16-20</v>
      </c>
      <c r="I238" s="1" t="str">
        <f>IFERROR(__xludf.DUMMYFUNCTION("""COMPUTED_VALUE"""),"Soul")</f>
        <v>Soul</v>
      </c>
      <c r="J238" s="73" t="str">
        <f>IFERROR(__xludf.DUMMYFUNCTION("""COMPUTED_VALUE"""),"21-25")</f>
        <v>21-25</v>
      </c>
      <c r="K238" s="1" t="str">
        <f>IFERROR(__xludf.DUMMYFUNCTION("""COMPUTED_VALUE"""),"Egg")</f>
        <v>Egg</v>
      </c>
      <c r="L238" s="1"/>
      <c r="M238" s="1"/>
      <c r="N238" s="1"/>
      <c r="O238" s="1"/>
      <c r="P238" s="1"/>
      <c r="Q238" s="1"/>
      <c r="R238" s="1"/>
      <c r="S238" s="1"/>
      <c r="T238" s="1"/>
      <c r="U238" s="1"/>
      <c r="V238" s="1"/>
      <c r="W238" s="1"/>
      <c r="X238" s="1"/>
    </row>
    <row r="239" ht="15.75" customHeight="1">
      <c r="A239" s="1" t="str">
        <f>IFERROR(__xludf.DUMMYFUNCTION("""COMPUTED_VALUE"""),"Pirate")</f>
        <v>Pirate</v>
      </c>
      <c r="B239" s="73" t="str">
        <f>IFERROR(__xludf.DUMMYFUNCTION("""COMPUTED_VALUE"""),"1-5")</f>
        <v>1-5</v>
      </c>
      <c r="C239" s="1" t="str">
        <f>IFERROR(__xludf.DUMMYFUNCTION("""COMPUTED_VALUE"""),"Cannon Ball")</f>
        <v>Cannon Ball</v>
      </c>
      <c r="D239" s="73" t="str">
        <f>IFERROR(__xludf.DUMMYFUNCTION("""COMPUTED_VALUE"""),"6-10")</f>
        <v>6-10</v>
      </c>
      <c r="E239" s="1" t="str">
        <f>IFERROR(__xludf.DUMMYFUNCTION("""COMPUTED_VALUE"""),"1,000G-20,000G")</f>
        <v>1,000G-20,000G</v>
      </c>
      <c r="F239" s="73" t="str">
        <f>IFERROR(__xludf.DUMMYFUNCTION("""COMPUTED_VALUE"""),"11-15")</f>
        <v>11-15</v>
      </c>
      <c r="G239" s="1" t="str">
        <f>IFERROR(__xludf.DUMMYFUNCTION("""COMPUTED_VALUE"""),"Bullet")</f>
        <v>Bullet</v>
      </c>
      <c r="H239" s="73" t="str">
        <f>IFERROR(__xludf.DUMMYFUNCTION("""COMPUTED_VALUE"""),"16-20")</f>
        <v>16-20</v>
      </c>
      <c r="I239" s="1" t="str">
        <f>IFERROR(__xludf.DUMMYFUNCTION("""COMPUTED_VALUE"""),"Soul")</f>
        <v>Soul</v>
      </c>
      <c r="J239" s="73" t="str">
        <f>IFERROR(__xludf.DUMMYFUNCTION("""COMPUTED_VALUE"""),"21-25")</f>
        <v>21-25</v>
      </c>
      <c r="K239" s="1" t="str">
        <f>IFERROR(__xludf.DUMMYFUNCTION("""COMPUTED_VALUE"""),"Egg")</f>
        <v>Egg</v>
      </c>
      <c r="L239" s="1"/>
      <c r="M239" s="1"/>
      <c r="N239" s="1"/>
      <c r="O239" s="1"/>
      <c r="P239" s="1"/>
      <c r="Q239" s="1"/>
      <c r="R239" s="1"/>
      <c r="S239" s="1"/>
      <c r="T239" s="1"/>
      <c r="U239" s="1"/>
      <c r="V239" s="1"/>
      <c r="W239" s="1"/>
      <c r="X239" s="1"/>
    </row>
    <row r="240" ht="15.75" customHeight="1">
      <c r="A240" s="1" t="str">
        <f>IFERROR(__xludf.DUMMYFUNCTION("""COMPUTED_VALUE"""),"Pirate Captain")</f>
        <v>Pirate Captain</v>
      </c>
      <c r="B240" s="73" t="str">
        <f>IFERROR(__xludf.DUMMYFUNCTION("""COMPUTED_VALUE"""),"1-5")</f>
        <v>1-5</v>
      </c>
      <c r="C240" s="1" t="str">
        <f>IFERROR(__xludf.DUMMYFUNCTION("""COMPUTED_VALUE"""),"Doublet of Debauchery")</f>
        <v>Doublet of Debauchery</v>
      </c>
      <c r="D240" s="73" t="str">
        <f>IFERROR(__xludf.DUMMYFUNCTION("""COMPUTED_VALUE"""),"6-10")</f>
        <v>6-10</v>
      </c>
      <c r="E240" s="1" t="str">
        <f>IFERROR(__xludf.DUMMYFUNCTION("""COMPUTED_VALUE"""),"Bracers of Dastardly Deflection")</f>
        <v>Bracers of Dastardly Deflection</v>
      </c>
      <c r="F240" s="73" t="str">
        <f>IFERROR(__xludf.DUMMYFUNCTION("""COMPUTED_VALUE"""),"11-15")</f>
        <v>11-15</v>
      </c>
      <c r="G240" s="1" t="str">
        <f>IFERROR(__xludf.DUMMYFUNCTION("""COMPUTED_VALUE"""),"Tights of Fabulous Thievery")</f>
        <v>Tights of Fabulous Thievery</v>
      </c>
      <c r="H240" s="73" t="str">
        <f>IFERROR(__xludf.DUMMYFUNCTION("""COMPUTED_VALUE"""),"16-20")</f>
        <v>16-20</v>
      </c>
      <c r="I240" s="1" t="str">
        <f>IFERROR(__xludf.DUMMYFUNCTION("""COMPUTED_VALUE"""),"Cape of Misdeed")</f>
        <v>Cape of Misdeed</v>
      </c>
      <c r="J240" s="73" t="str">
        <f>IFERROR(__xludf.DUMMYFUNCTION("""COMPUTED_VALUE"""),"21-25")</f>
        <v>21-25</v>
      </c>
      <c r="K240" s="1" t="str">
        <f>IFERROR(__xludf.DUMMYFUNCTION("""COMPUTED_VALUE"""),"Feathered Hat of Roguish ""Justice""")</f>
        <v>Feathered Hat of Roguish "Justice"</v>
      </c>
      <c r="L240" s="1"/>
      <c r="M240" s="1"/>
      <c r="N240" s="1"/>
      <c r="O240" s="1"/>
      <c r="P240" s="1"/>
      <c r="Q240" s="1"/>
      <c r="R240" s="1"/>
      <c r="S240" s="1"/>
      <c r="T240" s="1"/>
      <c r="U240" s="1"/>
      <c r="V240" s="1"/>
      <c r="W240" s="1"/>
      <c r="X240" s="1"/>
    </row>
    <row r="241" ht="15.75" customHeight="1">
      <c r="A241" s="1" t="str">
        <f>IFERROR(__xludf.DUMMYFUNCTION("""COMPUTED_VALUE"""),"The Crystal King")</f>
        <v>The Crystal King</v>
      </c>
      <c r="B241" s="73" t="str">
        <f>IFERROR(__xludf.DUMMYFUNCTION("""COMPUTED_VALUE"""),"1-5")</f>
        <v>1-5</v>
      </c>
      <c r="C241" s="1" t="str">
        <f>IFERROR(__xludf.DUMMYFUNCTION("""COMPUTED_VALUE"""),"Black Crystal Necklace of Luck")</f>
        <v>Black Crystal Necklace of Luck</v>
      </c>
      <c r="D241" s="73" t="str">
        <f>IFERROR(__xludf.DUMMYFUNCTION("""COMPUTED_VALUE"""),"6-10")</f>
        <v>6-10</v>
      </c>
      <c r="E241" s="1" t="str">
        <f>IFERROR(__xludf.DUMMYFUNCTION("""COMPUTED_VALUE"""),"Crystal Longsword")</f>
        <v>Crystal Longsword</v>
      </c>
      <c r="F241" s="73" t="str">
        <f>IFERROR(__xludf.DUMMYFUNCTION("""COMPUTED_VALUE"""),"11-15")</f>
        <v>11-15</v>
      </c>
      <c r="G241" s="1" t="str">
        <f>IFERROR(__xludf.DUMMYFUNCTION("""COMPUTED_VALUE"""),"Crystal Ring")</f>
        <v>Crystal Ring</v>
      </c>
      <c r="H241" s="73" t="str">
        <f>IFERROR(__xludf.DUMMYFUNCTION("""COMPUTED_VALUE"""),"16-20")</f>
        <v>16-20</v>
      </c>
      <c r="I241" s="1" t="str">
        <f>IFERROR(__xludf.DUMMYFUNCTION("""COMPUTED_VALUE"""),"Crystal Forged Axe")</f>
        <v>Crystal Forged Axe</v>
      </c>
      <c r="J241" s="73" t="str">
        <f>IFERROR(__xludf.DUMMYFUNCTION("""COMPUTED_VALUE"""),"21-25")</f>
        <v>21-25</v>
      </c>
      <c r="K241" s="1" t="str">
        <f>IFERROR(__xludf.DUMMYFUNCTION("""COMPUTED_VALUE"""),"Crystal Healing Amulet")</f>
        <v>Crystal Healing Amulet</v>
      </c>
      <c r="L241" s="1"/>
      <c r="M241" s="1"/>
      <c r="N241" s="1"/>
      <c r="O241" s="1"/>
      <c r="P241" s="1"/>
      <c r="Q241" s="1"/>
      <c r="R241" s="1"/>
      <c r="S241" s="1"/>
      <c r="T241" s="1"/>
      <c r="U241" s="1"/>
      <c r="V241" s="1"/>
      <c r="W241" s="1"/>
      <c r="X241" s="1"/>
    </row>
    <row r="242" ht="15.75" customHeight="1">
      <c r="A242" s="1" t="str">
        <f>IFERROR(__xludf.DUMMYFUNCTION("""COMPUTED_VALUE"""),"Scarecrow Lord")</f>
        <v>Scarecrow Lord</v>
      </c>
      <c r="B242" s="73" t="str">
        <f>IFERROR(__xludf.DUMMYFUNCTION("""COMPUTED_VALUE"""),"1-5")</f>
        <v>1-5</v>
      </c>
      <c r="C242" s="1" t="str">
        <f>IFERROR(__xludf.DUMMYFUNCTION("""COMPUTED_VALUE"""),"Nothing")</f>
        <v>Nothing</v>
      </c>
      <c r="D242" s="73" t="str">
        <f>IFERROR(__xludf.DUMMYFUNCTION("""COMPUTED_VALUE"""),"6-10")</f>
        <v>6-10</v>
      </c>
      <c r="E242" s="1" t="str">
        <f>IFERROR(__xludf.DUMMYFUNCTION("""COMPUTED_VALUE"""),"Nothing")</f>
        <v>Nothing</v>
      </c>
      <c r="F242" s="73" t="str">
        <f>IFERROR(__xludf.DUMMYFUNCTION("""COMPUTED_VALUE"""),"11-15")</f>
        <v>11-15</v>
      </c>
      <c r="G242" s="1" t="str">
        <f>IFERROR(__xludf.DUMMYFUNCTION("""COMPUTED_VALUE"""),"Nothing")</f>
        <v>Nothing</v>
      </c>
      <c r="H242" s="73" t="str">
        <f>IFERROR(__xludf.DUMMYFUNCTION("""COMPUTED_VALUE"""),"16-20")</f>
        <v>16-20</v>
      </c>
      <c r="I242" s="1" t="str">
        <f>IFERROR(__xludf.DUMMYFUNCTION("""COMPUTED_VALUE"""),"Nothing")</f>
        <v>Nothing</v>
      </c>
      <c r="J242" s="73" t="str">
        <f>IFERROR(__xludf.DUMMYFUNCTION("""COMPUTED_VALUE"""),"21-25")</f>
        <v>21-25</v>
      </c>
      <c r="K242" s="1" t="str">
        <f>IFERROR(__xludf.DUMMYFUNCTION("""COMPUTED_VALUE"""),"Soul")</f>
        <v>Soul</v>
      </c>
      <c r="L242" s="1"/>
      <c r="M242" s="1"/>
      <c r="N242" s="1"/>
      <c r="O242" s="1"/>
      <c r="P242" s="1"/>
      <c r="Q242" s="1"/>
      <c r="R242" s="1"/>
      <c r="S242" s="1"/>
      <c r="T242" s="1"/>
      <c r="U242" s="1"/>
      <c r="V242" s="1"/>
      <c r="W242" s="1"/>
      <c r="X242" s="1"/>
    </row>
    <row r="243" ht="15.75" customHeight="1">
      <c r="A243" s="1" t="str">
        <f>IFERROR(__xludf.DUMMYFUNCTION("""COMPUTED_VALUE"""),"Corrupted King Zorgod")</f>
        <v>Corrupted King Zorgod</v>
      </c>
      <c r="B243" s="73" t="str">
        <f>IFERROR(__xludf.DUMMYFUNCTION("""COMPUTED_VALUE"""),"1-5")</f>
        <v>1-5</v>
      </c>
      <c r="C243" s="1" t="str">
        <f>IFERROR(__xludf.DUMMYFUNCTION("""COMPUTED_VALUE"""),"Nothing")</f>
        <v>Nothing</v>
      </c>
      <c r="D243" s="73" t="str">
        <f>IFERROR(__xludf.DUMMYFUNCTION("""COMPUTED_VALUE"""),"6-10")</f>
        <v>6-10</v>
      </c>
      <c r="E243" s="1" t="str">
        <f>IFERROR(__xludf.DUMMYFUNCTION("""COMPUTED_VALUE"""),"Nothing")</f>
        <v>Nothing</v>
      </c>
      <c r="F243" s="73" t="str">
        <f>IFERROR(__xludf.DUMMYFUNCTION("""COMPUTED_VALUE"""),"11-15")</f>
        <v>11-15</v>
      </c>
      <c r="G243" s="1" t="str">
        <f>IFERROR(__xludf.DUMMYFUNCTION("""COMPUTED_VALUE"""),"Nothing")</f>
        <v>Nothing</v>
      </c>
      <c r="H243" s="73" t="str">
        <f>IFERROR(__xludf.DUMMYFUNCTION("""COMPUTED_VALUE"""),"16-20")</f>
        <v>16-20</v>
      </c>
      <c r="I243" s="1" t="str">
        <f>IFERROR(__xludf.DUMMYFUNCTION("""COMPUTED_VALUE"""),"Nothing")</f>
        <v>Nothing</v>
      </c>
      <c r="J243" s="73" t="str">
        <f>IFERROR(__xludf.DUMMYFUNCTION("""COMPUTED_VALUE"""),"21-25")</f>
        <v>21-25</v>
      </c>
      <c r="K243" s="1" t="str">
        <f>IFERROR(__xludf.DUMMYFUNCTION("""COMPUTED_VALUE"""),"Soul")</f>
        <v>Soul</v>
      </c>
      <c r="L243" s="1"/>
      <c r="M243" s="1"/>
      <c r="N243" s="1"/>
      <c r="O243" s="1"/>
      <c r="P243" s="1"/>
      <c r="Q243" s="1"/>
      <c r="R243" s="1"/>
      <c r="S243" s="1"/>
      <c r="T243" s="1"/>
      <c r="U243" s="1"/>
      <c r="V243" s="1"/>
      <c r="W243" s="1"/>
      <c r="X243" s="1"/>
    </row>
    <row r="244" ht="15.75" customHeight="1">
      <c r="A244" s="1" t="str">
        <f>IFERROR(__xludf.DUMMYFUNCTION("""COMPUTED_VALUE"""),"Mekanian Soldier")</f>
        <v>Mekanian Soldier</v>
      </c>
      <c r="B244" s="73" t="str">
        <f>IFERROR(__xludf.DUMMYFUNCTION("""COMPUTED_VALUE"""),"1-5")</f>
        <v>1-5</v>
      </c>
      <c r="C244" s="1" t="str">
        <f>IFERROR(__xludf.DUMMYFUNCTION("""COMPUTED_VALUE"""),"Nothing")</f>
        <v>Nothing</v>
      </c>
      <c r="D244" s="73" t="str">
        <f>IFERROR(__xludf.DUMMYFUNCTION("""COMPUTED_VALUE"""),"6-10")</f>
        <v>6-10</v>
      </c>
      <c r="E244" s="1" t="str">
        <f>IFERROR(__xludf.DUMMYFUNCTION("""COMPUTED_VALUE"""),"Scrap Ring")</f>
        <v>Scrap Ring</v>
      </c>
      <c r="F244" s="73" t="str">
        <f>IFERROR(__xludf.DUMMYFUNCTION("""COMPUTED_VALUE"""),"11-15")</f>
        <v>11-15</v>
      </c>
      <c r="G244" s="1" t="str">
        <f>IFERROR(__xludf.DUMMYFUNCTION("""COMPUTED_VALUE"""),"Iron Pickaxe")</f>
        <v>Iron Pickaxe</v>
      </c>
      <c r="H244" s="73" t="str">
        <f>IFERROR(__xludf.DUMMYFUNCTION("""COMPUTED_VALUE"""),"16-20")</f>
        <v>16-20</v>
      </c>
      <c r="I244" s="1" t="str">
        <f>IFERROR(__xludf.DUMMYFUNCTION("""COMPUTED_VALUE"""),"Lazer Infused Sword")</f>
        <v>Lazer Infused Sword</v>
      </c>
      <c r="J244" s="73" t="str">
        <f>IFERROR(__xludf.DUMMYFUNCTION("""COMPUTED_VALUE"""),"21-25")</f>
        <v>21-25</v>
      </c>
      <c r="K244" s="1" t="str">
        <f>IFERROR(__xludf.DUMMYFUNCTION("""COMPUTED_VALUE"""),"Egg")</f>
        <v>Egg</v>
      </c>
      <c r="L244" s="1"/>
      <c r="M244" s="1"/>
      <c r="N244" s="1"/>
      <c r="O244" s="1"/>
      <c r="P244" s="1"/>
      <c r="Q244" s="1"/>
      <c r="R244" s="1"/>
      <c r="S244" s="1"/>
      <c r="T244" s="1"/>
      <c r="U244" s="1"/>
      <c r="V244" s="1"/>
      <c r="W244" s="1"/>
      <c r="X244" s="1"/>
    </row>
    <row r="245" ht="15.75" customHeight="1">
      <c r="A245" s="1" t="str">
        <f>IFERROR(__xludf.DUMMYFUNCTION("""COMPUTED_VALUE"""),"Mekanian Knight")</f>
        <v>Mekanian Knight</v>
      </c>
      <c r="B245" s="73" t="str">
        <f>IFERROR(__xludf.DUMMYFUNCTION("""COMPUTED_VALUE"""),"1-5")</f>
        <v>1-5</v>
      </c>
      <c r="C245" s="1" t="str">
        <f>IFERROR(__xludf.DUMMYFUNCTION("""COMPUTED_VALUE"""),"Nothing")</f>
        <v>Nothing</v>
      </c>
      <c r="D245" s="73" t="str">
        <f>IFERROR(__xludf.DUMMYFUNCTION("""COMPUTED_VALUE"""),"6-10")</f>
        <v>6-10</v>
      </c>
      <c r="E245" s="1" t="str">
        <f>IFERROR(__xludf.DUMMYFUNCTION("""COMPUTED_VALUE"""),"Nothing")</f>
        <v>Nothing</v>
      </c>
      <c r="F245" s="73" t="str">
        <f>IFERROR(__xludf.DUMMYFUNCTION("""COMPUTED_VALUE"""),"11-15")</f>
        <v>11-15</v>
      </c>
      <c r="G245" s="1"/>
      <c r="H245" s="73" t="str">
        <f>IFERROR(__xludf.DUMMYFUNCTION("""COMPUTED_VALUE"""),"16-20")</f>
        <v>16-20</v>
      </c>
      <c r="I245" s="1" t="str">
        <f>IFERROR(__xludf.DUMMYFUNCTION("""COMPUTED_VALUE"""),"Revolver")</f>
        <v>Revolver</v>
      </c>
      <c r="J245" s="73" t="str">
        <f>IFERROR(__xludf.DUMMYFUNCTION("""COMPUTED_VALUE"""),"21-25")</f>
        <v>21-25</v>
      </c>
      <c r="K245" s="1" t="str">
        <f>IFERROR(__xludf.DUMMYFUNCTION("""COMPUTED_VALUE"""),"Egg")</f>
        <v>Egg</v>
      </c>
      <c r="L245" s="1"/>
      <c r="M245" s="1"/>
      <c r="N245" s="1"/>
      <c r="O245" s="1"/>
      <c r="P245" s="1"/>
      <c r="Q245" s="1"/>
      <c r="R245" s="1"/>
      <c r="S245" s="1"/>
      <c r="T245" s="1"/>
      <c r="U245" s="1"/>
      <c r="V245" s="1"/>
      <c r="W245" s="1"/>
      <c r="X245" s="1"/>
    </row>
    <row r="246" ht="15.75" customHeight="1">
      <c r="A246" s="1" t="str">
        <f>IFERROR(__xludf.DUMMYFUNCTION("""COMPUTED_VALUE"""),"Mekanian ")</f>
        <v>Mekanian </v>
      </c>
      <c r="B246" s="73" t="str">
        <f>IFERROR(__xludf.DUMMYFUNCTION("""COMPUTED_VALUE"""),"1-5")</f>
        <v>1-5</v>
      </c>
      <c r="C246" s="1" t="str">
        <f>IFERROR(__xludf.DUMMYFUNCTION("""COMPUTED_VALUE"""),"Nothing")</f>
        <v>Nothing</v>
      </c>
      <c r="D246" s="73" t="str">
        <f>IFERROR(__xludf.DUMMYFUNCTION("""COMPUTED_VALUE"""),"6-10")</f>
        <v>6-10</v>
      </c>
      <c r="E246" s="1" t="str">
        <f>IFERROR(__xludf.DUMMYFUNCTION("""COMPUTED_VALUE"""),"Nothing")</f>
        <v>Nothing</v>
      </c>
      <c r="F246" s="73" t="str">
        <f>IFERROR(__xludf.DUMMYFUNCTION("""COMPUTED_VALUE"""),"11-15")</f>
        <v>11-15</v>
      </c>
      <c r="G246" s="1" t="str">
        <f>IFERROR(__xludf.DUMMYFUNCTION("""COMPUTED_VALUE"""),"Steel")</f>
        <v>Steel</v>
      </c>
      <c r="H246" s="73" t="str">
        <f>IFERROR(__xludf.DUMMYFUNCTION("""COMPUTED_VALUE"""),"16-20")</f>
        <v>16-20</v>
      </c>
      <c r="I246" s="1" t="str">
        <f>IFERROR(__xludf.DUMMYFUNCTION("""COMPUTED_VALUE"""),"Steel Armor")</f>
        <v>Steel Armor</v>
      </c>
      <c r="J246" s="73" t="str">
        <f>IFERROR(__xludf.DUMMYFUNCTION("""COMPUTED_VALUE"""),"21-25")</f>
        <v>21-25</v>
      </c>
      <c r="K246" s="1" t="str">
        <f>IFERROR(__xludf.DUMMYFUNCTION("""COMPUTED_VALUE"""),"Egg")</f>
        <v>Egg</v>
      </c>
      <c r="L246" s="1"/>
      <c r="M246" s="1"/>
      <c r="N246" s="1"/>
      <c r="O246" s="1"/>
      <c r="P246" s="1"/>
      <c r="Q246" s="1"/>
      <c r="R246" s="1"/>
      <c r="S246" s="1"/>
      <c r="T246" s="1"/>
      <c r="U246" s="1"/>
      <c r="V246" s="1"/>
      <c r="W246" s="1"/>
      <c r="X246" s="1"/>
    </row>
    <row r="247" ht="15.75" customHeight="1">
      <c r="A247" s="1" t="str">
        <f>IFERROR(__xludf.DUMMYFUNCTION("""COMPUTED_VALUE"""),"Water Elemental")</f>
        <v>Water Elemental</v>
      </c>
      <c r="B247" s="73" t="str">
        <f>IFERROR(__xludf.DUMMYFUNCTION("""COMPUTED_VALUE"""),"1-5")</f>
        <v>1-5</v>
      </c>
      <c r="C247" s="1" t="str">
        <f>IFERROR(__xludf.DUMMYFUNCTION("""COMPUTED_VALUE"""),"Nothing")</f>
        <v>Nothing</v>
      </c>
      <c r="D247" s="73" t="str">
        <f>IFERROR(__xludf.DUMMYFUNCTION("""COMPUTED_VALUE"""),"6-10")</f>
        <v>6-10</v>
      </c>
      <c r="E247" s="1" t="str">
        <f>IFERROR(__xludf.DUMMYFUNCTION("""COMPUTED_VALUE"""),"Ring o' Agility and Water")</f>
        <v>Ring o' Agility and Water</v>
      </c>
      <c r="F247" s="73" t="str">
        <f>IFERROR(__xludf.DUMMYFUNCTION("""COMPUTED_VALUE"""),"11-15")</f>
        <v>11-15</v>
      </c>
      <c r="G247" s="1" t="str">
        <f>IFERROR(__xludf.DUMMYFUNCTION("""COMPUTED_VALUE"""),"Nothing")</f>
        <v>Nothing</v>
      </c>
      <c r="H247" s="73" t="str">
        <f>IFERROR(__xludf.DUMMYFUNCTION("""COMPUTED_VALUE"""),"16-20")</f>
        <v>16-20</v>
      </c>
      <c r="I247" s="1" t="str">
        <f>IFERROR(__xludf.DUMMYFUNCTION("""COMPUTED_VALUE"""),"Soul")</f>
        <v>Soul</v>
      </c>
      <c r="J247" s="73" t="str">
        <f>IFERROR(__xludf.DUMMYFUNCTION("""COMPUTED_VALUE"""),"21-25")</f>
        <v>21-25</v>
      </c>
      <c r="K247" s="1" t="str">
        <f>IFERROR(__xludf.DUMMYFUNCTION("""COMPUTED_VALUE"""),"Staff of the Elemental King of Water")</f>
        <v>Staff of the Elemental King of Water</v>
      </c>
      <c r="L247" s="1"/>
      <c r="M247" s="1"/>
      <c r="N247" s="1"/>
      <c r="O247" s="1"/>
      <c r="P247" s="1"/>
      <c r="Q247" s="1"/>
      <c r="R247" s="1"/>
      <c r="S247" s="1"/>
      <c r="T247" s="1"/>
      <c r="U247" s="1"/>
      <c r="V247" s="1"/>
      <c r="W247" s="1"/>
      <c r="X247" s="1"/>
    </row>
    <row r="248" ht="15.75" customHeight="1">
      <c r="A248" s="1" t="str">
        <f>IFERROR(__xludf.DUMMYFUNCTION("""COMPUTED_VALUE"""),"Armored Car")</f>
        <v>Armored Car</v>
      </c>
      <c r="B248" s="73" t="str">
        <f>IFERROR(__xludf.DUMMYFUNCTION("""COMPUTED_VALUE"""),"1-5")</f>
        <v>1-5</v>
      </c>
      <c r="C248" s="1" t="str">
        <f>IFERROR(__xludf.DUMMYFUNCTION("""COMPUTED_VALUE"""),"Revolver")</f>
        <v>Revolver</v>
      </c>
      <c r="D248" s="73" t="str">
        <f>IFERROR(__xludf.DUMMYFUNCTION("""COMPUTED_VALUE"""),"6-10")</f>
        <v>6-10</v>
      </c>
      <c r="E248" s="1" t="str">
        <f>IFERROR(__xludf.DUMMYFUNCTION("""COMPUTED_VALUE"""),"Fire Bullet")</f>
        <v>Fire Bullet</v>
      </c>
      <c r="F248" s="73" t="str">
        <f>IFERROR(__xludf.DUMMYFUNCTION("""COMPUTED_VALUE"""),"11-15")</f>
        <v>11-15</v>
      </c>
      <c r="G248" s="1" t="str">
        <f>IFERROR(__xludf.DUMMYFUNCTION("""COMPUTED_VALUE"""),"Steel")</f>
        <v>Steel</v>
      </c>
      <c r="H248" s="73" t="str">
        <f>IFERROR(__xludf.DUMMYFUNCTION("""COMPUTED_VALUE"""),"16-20")</f>
        <v>16-20</v>
      </c>
      <c r="I248" s="1" t="str">
        <f>IFERROR(__xludf.DUMMYFUNCTION("""COMPUTED_VALUE"""),"80,000G-100,000G")</f>
        <v>80,000G-100,000G</v>
      </c>
      <c r="J248" s="73" t="str">
        <f>IFERROR(__xludf.DUMMYFUNCTION("""COMPUTED_VALUE"""),"21-25")</f>
        <v>21-25</v>
      </c>
      <c r="K248" s="1" t="str">
        <f>IFERROR(__xludf.DUMMYFUNCTION("""COMPUTED_VALUE"""),"Stunning Bullet")</f>
        <v>Stunning Bullet</v>
      </c>
      <c r="L248" s="1"/>
      <c r="M248" s="1"/>
      <c r="N248" s="1"/>
      <c r="O248" s="1"/>
      <c r="P248" s="1"/>
      <c r="Q248" s="1"/>
      <c r="R248" s="1"/>
      <c r="S248" s="1"/>
      <c r="T248" s="1"/>
      <c r="U248" s="1"/>
      <c r="V248" s="1"/>
      <c r="W248" s="1"/>
      <c r="X248" s="1"/>
    </row>
    <row r="249" ht="15.75" customHeight="1">
      <c r="A249" s="1" t="str">
        <f>IFERROR(__xludf.DUMMYFUNCTION("""COMPUTED_VALUE"""),"Tank")</f>
        <v>Tank</v>
      </c>
      <c r="B249" s="73" t="str">
        <f>IFERROR(__xludf.DUMMYFUNCTION("""COMPUTED_VALUE"""),"1-5")</f>
        <v>1-5</v>
      </c>
      <c r="C249" s="1" t="str">
        <f>IFERROR(__xludf.DUMMYFUNCTION("""COMPUTED_VALUE"""),"Standard Missile")</f>
        <v>Standard Missile</v>
      </c>
      <c r="D249" s="73" t="str">
        <f>IFERROR(__xludf.DUMMYFUNCTION("""COMPUTED_VALUE"""),"6-10")</f>
        <v>6-10</v>
      </c>
      <c r="E249" s="1" t="str">
        <f>IFERROR(__xludf.DUMMYFUNCTION("""COMPUTED_VALUE"""),"Missile Turret (car)")</f>
        <v>Missile Turret (car)</v>
      </c>
      <c r="F249" s="73" t="str">
        <f>IFERROR(__xludf.DUMMYFUNCTION("""COMPUTED_VALUE"""),"11-15")</f>
        <v>11-15</v>
      </c>
      <c r="G249" s="1" t="str">
        <f>IFERROR(__xludf.DUMMYFUNCTION("""COMPUTED_VALUE"""),"Steel")</f>
        <v>Steel</v>
      </c>
      <c r="H249" s="73" t="str">
        <f>IFERROR(__xludf.DUMMYFUNCTION("""COMPUTED_VALUE"""),"16-20")</f>
        <v>16-20</v>
      </c>
      <c r="I249" s="1" t="str">
        <f>IFERROR(__xludf.DUMMYFUNCTION("""COMPUTED_VALUE"""),"Bullet")</f>
        <v>Bullet</v>
      </c>
      <c r="J249" s="73" t="str">
        <f>IFERROR(__xludf.DUMMYFUNCTION("""COMPUTED_VALUE"""),"21-25")</f>
        <v>21-25</v>
      </c>
      <c r="K249" s="1" t="str">
        <f>IFERROR(__xludf.DUMMYFUNCTION("""COMPUTED_VALUE"""),"Celestial Bullet")</f>
        <v>Celestial Bullet</v>
      </c>
      <c r="L249" s="1"/>
      <c r="M249" s="1"/>
      <c r="N249" s="1"/>
      <c r="O249" s="1"/>
      <c r="P249" s="1"/>
      <c r="Q249" s="1"/>
      <c r="R249" s="1"/>
      <c r="S249" s="1"/>
      <c r="T249" s="1"/>
      <c r="U249" s="1"/>
      <c r="V249" s="1"/>
      <c r="W249" s="1"/>
      <c r="X249" s="1"/>
    </row>
    <row r="250" ht="15.75" customHeight="1">
      <c r="A250" s="1" t="str">
        <f>IFERROR(__xludf.DUMMYFUNCTION("""COMPUTED_VALUE"""),"ATV")</f>
        <v>ATV</v>
      </c>
      <c r="B250" s="73" t="str">
        <f>IFERROR(__xludf.DUMMYFUNCTION("""COMPUTED_VALUE"""),"1-5")</f>
        <v>1-5</v>
      </c>
      <c r="C250" s="1" t="str">
        <f>IFERROR(__xludf.DUMMYFUNCTION("""COMPUTED_VALUE"""),"Steel")</f>
        <v>Steel</v>
      </c>
      <c r="D250" s="73" t="str">
        <f>IFERROR(__xludf.DUMMYFUNCTION("""COMPUTED_VALUE"""),"6-10")</f>
        <v>6-10</v>
      </c>
      <c r="E250" s="1" t="str">
        <f>IFERROR(__xludf.DUMMYFUNCTION("""COMPUTED_VALUE"""),"Nothing")</f>
        <v>Nothing</v>
      </c>
      <c r="F250" s="73" t="str">
        <f>IFERROR(__xludf.DUMMYFUNCTION("""COMPUTED_VALUE"""),"11-15")</f>
        <v>11-15</v>
      </c>
      <c r="G250" s="1" t="str">
        <f>IFERROR(__xludf.DUMMYFUNCTION("""COMPUTED_VALUE"""),"Nothing")</f>
        <v>Nothing</v>
      </c>
      <c r="H250" s="73" t="str">
        <f>IFERROR(__xludf.DUMMYFUNCTION("""COMPUTED_VALUE"""),"16-20")</f>
        <v>16-20</v>
      </c>
      <c r="I250" s="1" t="str">
        <f>IFERROR(__xludf.DUMMYFUNCTION("""COMPUTED_VALUE"""),"Nothing")</f>
        <v>Nothing</v>
      </c>
      <c r="J250" s="73" t="str">
        <f>IFERROR(__xludf.DUMMYFUNCTION("""COMPUTED_VALUE"""),"21-25")</f>
        <v>21-25</v>
      </c>
      <c r="K250" s="1" t="str">
        <f>IFERROR(__xludf.DUMMYFUNCTION("""COMPUTED_VALUE"""),"Nothing")</f>
        <v>Nothing</v>
      </c>
      <c r="L250" s="1"/>
      <c r="M250" s="1"/>
      <c r="N250" s="1"/>
      <c r="O250" s="1"/>
      <c r="P250" s="1"/>
      <c r="Q250" s="1"/>
      <c r="R250" s="1"/>
      <c r="S250" s="1"/>
      <c r="T250" s="1"/>
      <c r="U250" s="1"/>
      <c r="V250" s="1"/>
      <c r="W250" s="1"/>
      <c r="X250" s="1"/>
    </row>
    <row r="251" ht="15.75" customHeight="1">
      <c r="A251" s="1" t="str">
        <f>IFERROR(__xludf.DUMMYFUNCTION("""COMPUTED_VALUE"""),"Battleship")</f>
        <v>Battleship</v>
      </c>
      <c r="B251" s="73" t="str">
        <f>IFERROR(__xludf.DUMMYFUNCTION("""COMPUTED_VALUE"""),"1-5")</f>
        <v>1-5</v>
      </c>
      <c r="C251" s="1" t="str">
        <f>IFERROR(__xludf.DUMMYFUNCTION("""COMPUTED_VALUE"""),"EMP Missile")</f>
        <v>EMP Missile</v>
      </c>
      <c r="D251" s="73" t="str">
        <f>IFERROR(__xludf.DUMMYFUNCTION("""COMPUTED_VALUE"""),"6-10")</f>
        <v>6-10</v>
      </c>
      <c r="E251" s="1" t="str">
        <f>IFERROR(__xludf.DUMMYFUNCTION("""COMPUTED_VALUE"""),"Steel")</f>
        <v>Steel</v>
      </c>
      <c r="F251" s="73" t="str">
        <f>IFERROR(__xludf.DUMMYFUNCTION("""COMPUTED_VALUE"""),"11-15")</f>
        <v>11-15</v>
      </c>
      <c r="G251" s="1" t="str">
        <f>IFERROR(__xludf.DUMMYFUNCTION("""COMPUTED_VALUE"""),"Standard Missile")</f>
        <v>Standard Missile</v>
      </c>
      <c r="H251" s="73" t="str">
        <f>IFERROR(__xludf.DUMMYFUNCTION("""COMPUTED_VALUE"""),"16-20")</f>
        <v>16-20</v>
      </c>
      <c r="I251" s="1" t="str">
        <f>IFERROR(__xludf.DUMMYFUNCTION("""COMPUTED_VALUE"""),"Treasure Chest Key (Non-Magical)")</f>
        <v>Treasure Chest Key (Non-Magical)</v>
      </c>
      <c r="J251" s="73" t="str">
        <f>IFERROR(__xludf.DUMMYFUNCTION("""COMPUTED_VALUE"""),"21-25")</f>
        <v>21-25</v>
      </c>
      <c r="K251" s="1" t="str">
        <f>IFERROR(__xludf.DUMMYFUNCTION("""COMPUTED_VALUE"""),"Tier 3 Treasure Chest (Non-Magical)")</f>
        <v>Tier 3 Treasure Chest (Non-Magical)</v>
      </c>
      <c r="L251" s="1"/>
      <c r="M251" s="1"/>
      <c r="N251" s="1"/>
      <c r="O251" s="1"/>
      <c r="P251" s="1"/>
      <c r="Q251" s="1"/>
      <c r="R251" s="1"/>
      <c r="S251" s="1"/>
      <c r="T251" s="1"/>
      <c r="U251" s="1"/>
      <c r="V251" s="1"/>
      <c r="W251" s="1"/>
      <c r="X251" s="1"/>
    </row>
    <row r="252" ht="15.75" customHeight="1">
      <c r="A252" s="1" t="str">
        <f>IFERROR(__xludf.DUMMYFUNCTION("""COMPUTED_VALUE"""),"Galleon")</f>
        <v>Galleon</v>
      </c>
      <c r="B252" s="73" t="str">
        <f>IFERROR(__xludf.DUMMYFUNCTION("""COMPUTED_VALUE"""),"1-5")</f>
        <v>1-5</v>
      </c>
      <c r="C252" s="1" t="str">
        <f>IFERROR(__xludf.DUMMYFUNCTION("""COMPUTED_VALUE"""),"Tier 3 Treasure Chest (Non-Magical)")</f>
        <v>Tier 3 Treasure Chest (Non-Magical)</v>
      </c>
      <c r="D252" s="73" t="str">
        <f>IFERROR(__xludf.DUMMYFUNCTION("""COMPUTED_VALUE"""),"6-10")</f>
        <v>6-10</v>
      </c>
      <c r="E252" s="1" t="str">
        <f>IFERROR(__xludf.DUMMYFUNCTION("""COMPUTED_VALUE"""),"Treasure Chest Key (Non-Magical)")</f>
        <v>Treasure Chest Key (Non-Magical)</v>
      </c>
      <c r="F252" s="73" t="str">
        <f>IFERROR(__xludf.DUMMYFUNCTION("""COMPUTED_VALUE"""),"11-15")</f>
        <v>11-15</v>
      </c>
      <c r="G252" s="1" t="str">
        <f>IFERROR(__xludf.DUMMYFUNCTION("""COMPUTED_VALUE"""),"Fire Cannon Ball")</f>
        <v>Fire Cannon Ball</v>
      </c>
      <c r="H252" s="73" t="str">
        <f>IFERROR(__xludf.DUMMYFUNCTION("""COMPUTED_VALUE"""),"16-20")</f>
        <v>16-20</v>
      </c>
      <c r="I252" s="1" t="str">
        <f>IFERROR(__xludf.DUMMYFUNCTION("""COMPUTED_VALUE"""),"Cannon Ball")</f>
        <v>Cannon Ball</v>
      </c>
      <c r="J252" s="73" t="str">
        <f>IFERROR(__xludf.DUMMYFUNCTION("""COMPUTED_VALUE"""),"21-25")</f>
        <v>21-25</v>
      </c>
      <c r="K252" s="1" t="str">
        <f>IFERROR(__xludf.DUMMYFUNCTION("""COMPUTED_VALUE"""),"Nothing")</f>
        <v>Nothing</v>
      </c>
      <c r="L252" s="1"/>
      <c r="M252" s="1"/>
      <c r="N252" s="1"/>
      <c r="O252" s="1"/>
      <c r="P252" s="1"/>
      <c r="Q252" s="1"/>
      <c r="R252" s="1"/>
      <c r="S252" s="1"/>
      <c r="T252" s="1"/>
      <c r="U252" s="1"/>
      <c r="V252" s="1"/>
      <c r="W252" s="1"/>
      <c r="X252" s="1"/>
    </row>
    <row r="253" ht="15.75" customHeight="1">
      <c r="A253" s="1" t="str">
        <f>IFERROR(__xludf.DUMMYFUNCTION("""COMPUTED_VALUE"""),"Submarine")</f>
        <v>Submarine</v>
      </c>
      <c r="B253" s="73" t="str">
        <f>IFERROR(__xludf.DUMMYFUNCTION("""COMPUTED_VALUE"""),"1-5")</f>
        <v>1-5</v>
      </c>
      <c r="C253" s="1" t="str">
        <f>IFERROR(__xludf.DUMMYFUNCTION("""COMPUTED_VALUE"""),"Steel")</f>
        <v>Steel</v>
      </c>
      <c r="D253" s="73" t="str">
        <f>IFERROR(__xludf.DUMMYFUNCTION("""COMPUTED_VALUE"""),"6-10")</f>
        <v>6-10</v>
      </c>
      <c r="E253" s="1" t="str">
        <f>IFERROR(__xludf.DUMMYFUNCTION("""COMPUTED_VALUE"""),"Torpedo")</f>
        <v>Torpedo</v>
      </c>
      <c r="F253" s="73" t="str">
        <f>IFERROR(__xludf.DUMMYFUNCTION("""COMPUTED_VALUE"""),"11-15")</f>
        <v>11-15</v>
      </c>
      <c r="G253" s="1" t="str">
        <f>IFERROR(__xludf.DUMMYFUNCTION("""COMPUTED_VALUE"""),"Torpedo Launcher")</f>
        <v>Torpedo Launcher</v>
      </c>
      <c r="H253" s="73" t="str">
        <f>IFERROR(__xludf.DUMMYFUNCTION("""COMPUTED_VALUE"""),"16-20")</f>
        <v>16-20</v>
      </c>
      <c r="I253" s="1" t="str">
        <f>IFERROR(__xludf.DUMMYFUNCTION("""COMPUTED_VALUE"""),"Treasure Chest Key (Non-Magical)")</f>
        <v>Treasure Chest Key (Non-Magical)</v>
      </c>
      <c r="J253" s="73" t="str">
        <f>IFERROR(__xludf.DUMMYFUNCTION("""COMPUTED_VALUE"""),"21-25")</f>
        <v>21-25</v>
      </c>
      <c r="K253" s="1" t="str">
        <f>IFERROR(__xludf.DUMMYFUNCTION("""COMPUTED_VALUE"""),"Tier 2 Treasure Chest (Non-Magical)")</f>
        <v>Tier 2 Treasure Chest (Non-Magical)</v>
      </c>
      <c r="L253" s="1"/>
      <c r="M253" s="1"/>
      <c r="N253" s="1"/>
      <c r="O253" s="1"/>
      <c r="P253" s="1"/>
      <c r="Q253" s="1"/>
      <c r="R253" s="1"/>
      <c r="S253" s="1"/>
      <c r="T253" s="1"/>
      <c r="U253" s="1"/>
      <c r="V253" s="1"/>
      <c r="W253" s="1"/>
      <c r="X253" s="1"/>
    </row>
    <row r="254" ht="15.75" customHeight="1">
      <c r="A254" s="1" t="str">
        <f>IFERROR(__xludf.DUMMYFUNCTION("""COMPUTED_VALUE"""),"Vampire Soldier")</f>
        <v>Vampire Soldier</v>
      </c>
      <c r="B254" s="73" t="str">
        <f>IFERROR(__xludf.DUMMYFUNCTION("""COMPUTED_VALUE"""),"1-5")</f>
        <v>1-5</v>
      </c>
      <c r="C254" s="1" t="str">
        <f>IFERROR(__xludf.DUMMYFUNCTION("""COMPUTED_VALUE"""),"A Jar of Blood")</f>
        <v>A Jar of Blood</v>
      </c>
      <c r="D254" s="73" t="str">
        <f>IFERROR(__xludf.DUMMYFUNCTION("""COMPUTED_VALUE"""),"6-10")</f>
        <v>6-10</v>
      </c>
      <c r="E254" s="1" t="str">
        <f>IFERROR(__xludf.DUMMYFUNCTION("""COMPUTED_VALUE"""),"Vampires Tooth")</f>
        <v>Vampires Tooth</v>
      </c>
      <c r="F254" s="73" t="str">
        <f>IFERROR(__xludf.DUMMYFUNCTION("""COMPUTED_VALUE"""),"11-15")</f>
        <v>11-15</v>
      </c>
      <c r="G254" s="1" t="str">
        <f>IFERROR(__xludf.DUMMYFUNCTION("""COMPUTED_VALUE"""),"Sword of the Vampire’s Lust")</f>
        <v>Sword of the Vampire’s Lust</v>
      </c>
      <c r="H254" s="73" t="str">
        <f>IFERROR(__xludf.DUMMYFUNCTION("""COMPUTED_VALUE"""),"16-20")</f>
        <v>16-20</v>
      </c>
      <c r="I254" s="1" t="str">
        <f>IFERROR(__xludf.DUMMYFUNCTION("""COMPUTED_VALUE"""),"Soul")</f>
        <v>Soul</v>
      </c>
      <c r="J254" s="73" t="str">
        <f>IFERROR(__xludf.DUMMYFUNCTION("""COMPUTED_VALUE"""),"21-25")</f>
        <v>21-25</v>
      </c>
      <c r="K254" s="1" t="str">
        <f>IFERROR(__xludf.DUMMYFUNCTION("""COMPUTED_VALUE"""),"1,000,000UC-20,000,000UC")</f>
        <v>1,000,000UC-20,000,000UC</v>
      </c>
      <c r="L254" s="1"/>
      <c r="M254" s="1"/>
      <c r="N254" s="1"/>
      <c r="O254" s="1"/>
      <c r="P254" s="1"/>
      <c r="Q254" s="1"/>
      <c r="R254" s="1"/>
      <c r="S254" s="1"/>
      <c r="T254" s="1"/>
      <c r="U254" s="1"/>
      <c r="V254" s="1"/>
      <c r="W254" s="1"/>
      <c r="X254" s="1"/>
    </row>
    <row r="255" ht="15.75" customHeight="1">
      <c r="A255" s="1" t="str">
        <f>IFERROR(__xludf.DUMMYFUNCTION("""COMPUTED_VALUE"""),"Demon ")</f>
        <v>Demon </v>
      </c>
      <c r="B255" s="73" t="str">
        <f>IFERROR(__xludf.DUMMYFUNCTION("""COMPUTED_VALUE"""),"1-5")</f>
        <v>1-5</v>
      </c>
      <c r="C255" s="1" t="str">
        <f>IFERROR(__xludf.DUMMYFUNCTION("""COMPUTED_VALUE"""),"Egg")</f>
        <v>Egg</v>
      </c>
      <c r="D255" s="73" t="str">
        <f>IFERROR(__xludf.DUMMYFUNCTION("""COMPUTED_VALUE"""),"6-10")</f>
        <v>6-10</v>
      </c>
      <c r="E255" s="1" t="str">
        <f>IFERROR(__xludf.DUMMYFUNCTION("""COMPUTED_VALUE"""),"Heart of the Demon")</f>
        <v>Heart of the Demon</v>
      </c>
      <c r="F255" s="73" t="str">
        <f>IFERROR(__xludf.DUMMYFUNCTION("""COMPUTED_VALUE"""),"11-15")</f>
        <v>11-15</v>
      </c>
      <c r="G255" s="1" t="str">
        <f>IFERROR(__xludf.DUMMYFUNCTION("""COMPUTED_VALUE"""),"Demon Claw")</f>
        <v>Demon Claw</v>
      </c>
      <c r="H255" s="73" t="str">
        <f>IFERROR(__xludf.DUMMYFUNCTION("""COMPUTED_VALUE"""),"16-20")</f>
        <v>16-20</v>
      </c>
      <c r="I255" s="1" t="str">
        <f>IFERROR(__xludf.DUMMYFUNCTION("""COMPUTED_VALUE"""),"Demons Eye")</f>
        <v>Demons Eye</v>
      </c>
      <c r="J255" s="73" t="str">
        <f>IFERROR(__xludf.DUMMYFUNCTION("""COMPUTED_VALUE"""),"21-25")</f>
        <v>21-25</v>
      </c>
      <c r="K255" s="1" t="str">
        <f>IFERROR(__xludf.DUMMYFUNCTION("""COMPUTED_VALUE"""),"Soul")</f>
        <v>Soul</v>
      </c>
      <c r="L255" s="1"/>
      <c r="M255" s="1"/>
      <c r="N255" s="1"/>
      <c r="O255" s="1"/>
      <c r="P255" s="1"/>
      <c r="Q255" s="1"/>
      <c r="R255" s="1"/>
      <c r="S255" s="1"/>
      <c r="T255" s="1"/>
      <c r="U255" s="1"/>
      <c r="V255" s="1"/>
      <c r="W255" s="1"/>
      <c r="X255" s="1"/>
    </row>
    <row r="256" ht="15.75" customHeight="1">
      <c r="A256" s="1" t="str">
        <f>IFERROR(__xludf.DUMMYFUNCTION("""COMPUTED_VALUE"""),"Deimos")</f>
        <v>Deimos</v>
      </c>
      <c r="B256" s="73" t="str">
        <f>IFERROR(__xludf.DUMMYFUNCTION("""COMPUTED_VALUE"""),"1-5")</f>
        <v>1-5</v>
      </c>
      <c r="C256" s="1" t="str">
        <f>IFERROR(__xludf.DUMMYFUNCTION("""COMPUTED_VALUE"""),"Demon Blood")</f>
        <v>Demon Blood</v>
      </c>
      <c r="D256" s="73" t="str">
        <f>IFERROR(__xludf.DUMMYFUNCTION("""COMPUTED_VALUE"""),"6-10")</f>
        <v>6-10</v>
      </c>
      <c r="E256" s="1" t="str">
        <f>IFERROR(__xludf.DUMMYFUNCTION("""COMPUTED_VALUE"""),"Demon Skull")</f>
        <v>Demon Skull</v>
      </c>
      <c r="F256" s="73" t="str">
        <f>IFERROR(__xludf.DUMMYFUNCTION("""COMPUTED_VALUE"""),"11-15")</f>
        <v>11-15</v>
      </c>
      <c r="G256" s="1" t="str">
        <f>IFERROR(__xludf.DUMMYFUNCTION("""COMPUTED_VALUE"""),"Demons Eye")</f>
        <v>Demons Eye</v>
      </c>
      <c r="H256" s="73" t="str">
        <f>IFERROR(__xludf.DUMMYFUNCTION("""COMPUTED_VALUE"""),"16-20")</f>
        <v>16-20</v>
      </c>
      <c r="I256" s="1" t="str">
        <f>IFERROR(__xludf.DUMMYFUNCTION("""COMPUTED_VALUE"""),"Demon Core")</f>
        <v>Demon Core</v>
      </c>
      <c r="J256" s="73" t="str">
        <f>IFERROR(__xludf.DUMMYFUNCTION("""COMPUTED_VALUE"""),"21-25")</f>
        <v>21-25</v>
      </c>
      <c r="K256" s="1" t="str">
        <f>IFERROR(__xludf.DUMMYFUNCTION("""COMPUTED_VALUE"""),"Soul")</f>
        <v>Soul</v>
      </c>
      <c r="L256" s="1"/>
      <c r="M256" s="1"/>
      <c r="N256" s="1"/>
      <c r="O256" s="1"/>
      <c r="P256" s="1"/>
      <c r="Q256" s="1"/>
      <c r="R256" s="1"/>
      <c r="S256" s="1"/>
      <c r="T256" s="1"/>
      <c r="U256" s="1"/>
      <c r="V256" s="1"/>
      <c r="W256" s="1"/>
      <c r="X256" s="1"/>
    </row>
    <row r="257" ht="15.75" customHeight="1">
      <c r="A257" s="1" t="str">
        <f>IFERROR(__xludf.DUMMYFUNCTION("""COMPUTED_VALUE"""),"Hellmore The Soul Keeper")</f>
        <v>Hellmore The Soul Keeper</v>
      </c>
      <c r="B257" s="73" t="str">
        <f>IFERROR(__xludf.DUMMYFUNCTION("""COMPUTED_VALUE"""),"1-5")</f>
        <v>1-5</v>
      </c>
      <c r="C257" s="1" t="str">
        <f>IFERROR(__xludf.DUMMYFUNCTION("""COMPUTED_VALUE"""),"100,000,000UC-500,000,000UC")</f>
        <v>100,000,000UC-500,000,000UC</v>
      </c>
      <c r="D257" s="73" t="str">
        <f>IFERROR(__xludf.DUMMYFUNCTION("""COMPUTED_VALUE"""),"6-10")</f>
        <v>6-10</v>
      </c>
      <c r="E257" s="1" t="str">
        <f>IFERROR(__xludf.DUMMYFUNCTION("""COMPUTED_VALUE"""),"Fire Ring")</f>
        <v>Fire Ring</v>
      </c>
      <c r="F257" s="73" t="str">
        <f>IFERROR(__xludf.DUMMYFUNCTION("""COMPUTED_VALUE"""),"11-15")</f>
        <v>11-15</v>
      </c>
      <c r="G257" s="1" t="str">
        <f>IFERROR(__xludf.DUMMYFUNCTION("""COMPUTED_VALUE"""),"Flaming Sword")</f>
        <v>Flaming Sword</v>
      </c>
      <c r="H257" s="73" t="str">
        <f>IFERROR(__xludf.DUMMYFUNCTION("""COMPUTED_VALUE"""),"16-20")</f>
        <v>16-20</v>
      </c>
      <c r="I257" s="1" t="str">
        <f>IFERROR(__xludf.DUMMYFUNCTION("""COMPUTED_VALUE"""),"Soul")</f>
        <v>Soul</v>
      </c>
      <c r="J257" s="73" t="str">
        <f>IFERROR(__xludf.DUMMYFUNCTION("""COMPUTED_VALUE"""),"21-25")</f>
        <v>21-25</v>
      </c>
      <c r="K257" s="1" t="str">
        <f>IFERROR(__xludf.DUMMYFUNCTION("""COMPUTED_VALUE"""),"Nothing")</f>
        <v>Nothing</v>
      </c>
      <c r="L257" s="1"/>
      <c r="M257" s="1"/>
      <c r="N257" s="1"/>
      <c r="O257" s="1"/>
      <c r="P257" s="1"/>
      <c r="Q257" s="1"/>
      <c r="R257" s="1"/>
      <c r="S257" s="1"/>
      <c r="T257" s="1"/>
      <c r="U257" s="1"/>
      <c r="V257" s="1"/>
      <c r="W257" s="1"/>
      <c r="X257" s="1"/>
    </row>
    <row r="258" ht="15.75" customHeight="1">
      <c r="A258" s="1" t="str">
        <f>IFERROR(__xludf.DUMMYFUNCTION("""COMPUTED_VALUE"""),"Lava Lizard")</f>
        <v>Lava Lizard</v>
      </c>
      <c r="B258" s="73" t="str">
        <f>IFERROR(__xludf.DUMMYFUNCTION("""COMPUTED_VALUE"""),"1-5")</f>
        <v>1-5</v>
      </c>
      <c r="C258" s="1" t="str">
        <f>IFERROR(__xludf.DUMMYFUNCTION("""COMPUTED_VALUE"""),"Volcanic Teeth")</f>
        <v>Volcanic Teeth</v>
      </c>
      <c r="D258" s="73" t="str">
        <f>IFERROR(__xludf.DUMMYFUNCTION("""COMPUTED_VALUE"""),"6-10")</f>
        <v>6-10</v>
      </c>
      <c r="E258" s="1" t="str">
        <f>IFERROR(__xludf.DUMMYFUNCTION("""COMPUTED_VALUE"""),"1,000,000UC-20,000,000UC")</f>
        <v>1,000,000UC-20,000,000UC</v>
      </c>
      <c r="F258" s="73" t="str">
        <f>IFERROR(__xludf.DUMMYFUNCTION("""COMPUTED_VALUE"""),"11-15")</f>
        <v>11-15</v>
      </c>
      <c r="G258" s="1" t="str">
        <f>IFERROR(__xludf.DUMMYFUNCTION("""COMPUTED_VALUE"""),"Fire Diamond")</f>
        <v>Fire Diamond</v>
      </c>
      <c r="H258" s="73" t="str">
        <f>IFERROR(__xludf.DUMMYFUNCTION("""COMPUTED_VALUE"""),"16-20")</f>
        <v>16-20</v>
      </c>
      <c r="I258" s="1" t="str">
        <f>IFERROR(__xludf.DUMMYFUNCTION("""COMPUTED_VALUE"""),"Soul")</f>
        <v>Soul</v>
      </c>
      <c r="J258" s="73" t="str">
        <f>IFERROR(__xludf.DUMMYFUNCTION("""COMPUTED_VALUE"""),"21-25")</f>
        <v>21-25</v>
      </c>
      <c r="K258" s="1" t="str">
        <f>IFERROR(__xludf.DUMMYFUNCTION("""COMPUTED_VALUE"""),"Egg")</f>
        <v>Egg</v>
      </c>
      <c r="L258" s="1"/>
      <c r="M258" s="1"/>
      <c r="N258" s="1"/>
      <c r="O258" s="1"/>
      <c r="P258" s="1"/>
      <c r="Q258" s="1"/>
      <c r="R258" s="1"/>
      <c r="S258" s="1"/>
      <c r="T258" s="1"/>
      <c r="U258" s="1"/>
      <c r="V258" s="1"/>
      <c r="W258" s="1"/>
      <c r="X258" s="1"/>
    </row>
    <row r="259" ht="15.75" customHeight="1">
      <c r="A259" s="1" t="str">
        <f>IFERROR(__xludf.DUMMYFUNCTION("""COMPUTED_VALUE"""),"Volcanic Lava Dragon")</f>
        <v>Volcanic Lava Dragon</v>
      </c>
      <c r="B259" s="73" t="str">
        <f>IFERROR(__xludf.DUMMYFUNCTION("""COMPUTED_VALUE"""),"1-5")</f>
        <v>1-5</v>
      </c>
      <c r="C259" s="1" t="str">
        <f>IFERROR(__xludf.DUMMYFUNCTION("""COMPUTED_VALUE"""),"Dragon Orb")</f>
        <v>Dragon Orb</v>
      </c>
      <c r="D259" s="73" t="str">
        <f>IFERROR(__xludf.DUMMYFUNCTION("""COMPUTED_VALUE"""),"6-10")</f>
        <v>6-10</v>
      </c>
      <c r="E259" s="1" t="str">
        <f>IFERROR(__xludf.DUMMYFUNCTION("""COMPUTED_VALUE"""),"Dragon's Skull")</f>
        <v>Dragon's Skull</v>
      </c>
      <c r="F259" s="73" t="str">
        <f>IFERROR(__xludf.DUMMYFUNCTION("""COMPUTED_VALUE"""),"11-15")</f>
        <v>11-15</v>
      </c>
      <c r="G259" s="1" t="str">
        <f>IFERROR(__xludf.DUMMYFUNCTION("""COMPUTED_VALUE"""),"100,000,000UC-500,000,000UC")</f>
        <v>100,000,000UC-500,000,000UC</v>
      </c>
      <c r="H259" s="73" t="str">
        <f>IFERROR(__xludf.DUMMYFUNCTION("""COMPUTED_VALUE"""),"16-20")</f>
        <v>16-20</v>
      </c>
      <c r="I259" s="1" t="str">
        <f>IFERROR(__xludf.DUMMYFUNCTION("""COMPUTED_VALUE"""),"Soul")</f>
        <v>Soul</v>
      </c>
      <c r="J259" s="73" t="str">
        <f>IFERROR(__xludf.DUMMYFUNCTION("""COMPUTED_VALUE"""),"21-25")</f>
        <v>21-25</v>
      </c>
      <c r="K259" s="1" t="str">
        <f>IFERROR(__xludf.DUMMYFUNCTION("""COMPUTED_VALUE"""),"Egg")</f>
        <v>Egg</v>
      </c>
      <c r="L259" s="1"/>
      <c r="M259" s="1"/>
      <c r="N259" s="1"/>
      <c r="O259" s="1"/>
      <c r="P259" s="1"/>
      <c r="Q259" s="1"/>
      <c r="R259" s="1"/>
      <c r="S259" s="1"/>
      <c r="T259" s="1"/>
      <c r="U259" s="1"/>
      <c r="V259" s="1"/>
      <c r="W259" s="1"/>
      <c r="X259" s="1"/>
    </row>
    <row r="260" ht="15.75" customHeight="1">
      <c r="A260" s="1" t="str">
        <f>IFERROR(__xludf.DUMMYFUNCTION("""COMPUTED_VALUE"""),"Volcanic Serpent")</f>
        <v>Volcanic Serpent</v>
      </c>
      <c r="B260" s="73" t="str">
        <f>IFERROR(__xludf.DUMMYFUNCTION("""COMPUTED_VALUE"""),"1-5")</f>
        <v>1-5</v>
      </c>
      <c r="C260" s="1" t="str">
        <f>IFERROR(__xludf.DUMMYFUNCTION("""COMPUTED_VALUE"""),"Volcanic Serpent Teeth ")</f>
        <v>Volcanic Serpent Teeth </v>
      </c>
      <c r="D260" s="73" t="str">
        <f>IFERROR(__xludf.DUMMYFUNCTION("""COMPUTED_VALUE"""),"6-10")</f>
        <v>6-10</v>
      </c>
      <c r="E260" s="1" t="str">
        <f>IFERROR(__xludf.DUMMYFUNCTION("""COMPUTED_VALUE"""),"Volcanic Serpent Scales")</f>
        <v>Volcanic Serpent Scales</v>
      </c>
      <c r="F260" s="73" t="str">
        <f>IFERROR(__xludf.DUMMYFUNCTION("""COMPUTED_VALUE"""),"11-15")</f>
        <v>11-15</v>
      </c>
      <c r="G260" s="1" t="str">
        <f>IFERROR(__xludf.DUMMYFUNCTION("""COMPUTED_VALUE"""),"500,000,000UC-1,000,000,000UC")</f>
        <v>500,000,000UC-1,000,000,000UC</v>
      </c>
      <c r="H260" s="73" t="str">
        <f>IFERROR(__xludf.DUMMYFUNCTION("""COMPUTED_VALUE"""),"16-20")</f>
        <v>16-20</v>
      </c>
      <c r="I260" s="1" t="str">
        <f>IFERROR(__xludf.DUMMYFUNCTION("""COMPUTED_VALUE"""),"Soul")</f>
        <v>Soul</v>
      </c>
      <c r="J260" s="73" t="str">
        <f>IFERROR(__xludf.DUMMYFUNCTION("""COMPUTED_VALUE"""),"21-25")</f>
        <v>21-25</v>
      </c>
      <c r="K260" s="1" t="str">
        <f>IFERROR(__xludf.DUMMYFUNCTION("""COMPUTED_VALUE"""),"Egg")</f>
        <v>Egg</v>
      </c>
      <c r="L260" s="1"/>
      <c r="M260" s="1"/>
      <c r="N260" s="1"/>
      <c r="O260" s="1"/>
      <c r="P260" s="1"/>
      <c r="Q260" s="1"/>
      <c r="R260" s="1"/>
      <c r="S260" s="1"/>
      <c r="T260" s="1"/>
      <c r="U260" s="1"/>
      <c r="V260" s="1"/>
      <c r="W260" s="1"/>
      <c r="X260" s="1"/>
    </row>
    <row r="261" ht="15.75" customHeight="1">
      <c r="A261" s="1" t="str">
        <f>IFERROR(__xludf.DUMMYFUNCTION("""COMPUTED_VALUE"""),"Lava Panther")</f>
        <v>Lava Panther</v>
      </c>
      <c r="B261" s="73" t="str">
        <f>IFERROR(__xludf.DUMMYFUNCTION("""COMPUTED_VALUE"""),"1-5")</f>
        <v>1-5</v>
      </c>
      <c r="C261" s="1" t="str">
        <f>IFERROR(__xludf.DUMMYFUNCTION("""COMPUTED_VALUE"""),"Lava Panther Leather")</f>
        <v>Lava Panther Leather</v>
      </c>
      <c r="D261" s="73" t="str">
        <f>IFERROR(__xludf.DUMMYFUNCTION("""COMPUTED_VALUE"""),"6-10")</f>
        <v>6-10</v>
      </c>
      <c r="E261" s="1" t="str">
        <f>IFERROR(__xludf.DUMMYFUNCTION("""COMPUTED_VALUE"""),"Lava Longsword")</f>
        <v>Lava Longsword</v>
      </c>
      <c r="F261" s="73" t="str">
        <f>IFERROR(__xludf.DUMMYFUNCTION("""COMPUTED_VALUE"""),"11-15")</f>
        <v>11-15</v>
      </c>
      <c r="G261" s="1" t="str">
        <f>IFERROR(__xludf.DUMMYFUNCTION("""COMPUTED_VALUE"""),"Volcanic Teeth")</f>
        <v>Volcanic Teeth</v>
      </c>
      <c r="H261" s="73" t="str">
        <f>IFERROR(__xludf.DUMMYFUNCTION("""COMPUTED_VALUE"""),"16-20")</f>
        <v>16-20</v>
      </c>
      <c r="I261" s="1" t="str">
        <f>IFERROR(__xludf.DUMMYFUNCTION("""COMPUTED_VALUE"""),"Soul")</f>
        <v>Soul</v>
      </c>
      <c r="J261" s="73" t="str">
        <f>IFERROR(__xludf.DUMMYFUNCTION("""COMPUTED_VALUE"""),"21-25")</f>
        <v>21-25</v>
      </c>
      <c r="K261" s="1" t="str">
        <f>IFERROR(__xludf.DUMMYFUNCTION("""COMPUTED_VALUE"""),"Egg")</f>
        <v>Egg</v>
      </c>
      <c r="L261" s="1"/>
      <c r="M261" s="1"/>
      <c r="N261" s="1"/>
      <c r="O261" s="1"/>
      <c r="P261" s="1"/>
      <c r="Q261" s="1"/>
      <c r="R261" s="1"/>
      <c r="S261" s="1"/>
      <c r="T261" s="1"/>
      <c r="U261" s="1"/>
      <c r="V261" s="1"/>
      <c r="W261" s="1"/>
      <c r="X261" s="1"/>
    </row>
    <row r="262" ht="15.75" customHeight="1">
      <c r="A262" s="1" t="str">
        <f>IFERROR(__xludf.DUMMYFUNCTION("""COMPUTED_VALUE"""),"Grand Dark &amp; Fire Mage")</f>
        <v>Grand Dark &amp; Fire Mage</v>
      </c>
      <c r="B262" s="73" t="str">
        <f>IFERROR(__xludf.DUMMYFUNCTION("""COMPUTED_VALUE"""),"1-5")</f>
        <v>1-5</v>
      </c>
      <c r="C262" s="1" t="str">
        <f>IFERROR(__xludf.DUMMYFUNCTION("""COMPUTED_VALUE"""),"The Grand Staff of Evil Flames")</f>
        <v>The Grand Staff of Evil Flames</v>
      </c>
      <c r="D262" s="73" t="str">
        <f>IFERROR(__xludf.DUMMYFUNCTION("""COMPUTED_VALUE"""),"6-10")</f>
        <v>6-10</v>
      </c>
      <c r="E262" s="1" t="str">
        <f>IFERROR(__xludf.DUMMYFUNCTION("""COMPUTED_VALUE"""),"40,000,000UC-60,000,000UC")</f>
        <v>40,000,000UC-60,000,000UC</v>
      </c>
      <c r="F262" s="73" t="str">
        <f>IFERROR(__xludf.DUMMYFUNCTION("""COMPUTED_VALUE"""),"11-15")</f>
        <v>11-15</v>
      </c>
      <c r="G262" s="1" t="str">
        <f>IFERROR(__xludf.DUMMYFUNCTION("""COMPUTED_VALUE"""),"1,000,000UC-20,000,000UC")</f>
        <v>1,000,000UC-20,000,000UC</v>
      </c>
      <c r="H262" s="73" t="str">
        <f>IFERROR(__xludf.DUMMYFUNCTION("""COMPUTED_VALUE"""),"16-20")</f>
        <v>16-20</v>
      </c>
      <c r="I262" s="1" t="str">
        <f>IFERROR(__xludf.DUMMYFUNCTION("""COMPUTED_VALUE"""),"Soul")</f>
        <v>Soul</v>
      </c>
      <c r="J262" s="73" t="str">
        <f>IFERROR(__xludf.DUMMYFUNCTION("""COMPUTED_VALUE"""),"21-25")</f>
        <v>21-25</v>
      </c>
      <c r="K262" s="1" t="str">
        <f>IFERROR(__xludf.DUMMYFUNCTION("""COMPUTED_VALUE"""),"Nothing")</f>
        <v>Nothing</v>
      </c>
      <c r="L262" s="1"/>
      <c r="M262" s="1"/>
      <c r="N262" s="1"/>
      <c r="O262" s="1"/>
      <c r="P262" s="1"/>
      <c r="Q262" s="1"/>
      <c r="R262" s="1"/>
      <c r="S262" s="1"/>
      <c r="T262" s="1"/>
      <c r="U262" s="1"/>
      <c r="V262" s="1"/>
      <c r="W262" s="1"/>
      <c r="X262" s="1"/>
    </row>
    <row r="263" ht="15.75" customHeight="1">
      <c r="A263" s="1" t="str">
        <f>IFERROR(__xludf.DUMMYFUNCTION("""COMPUTED_VALUE"""),"Grand Fire Elemental")</f>
        <v>Grand Fire Elemental</v>
      </c>
      <c r="B263" s="73" t="str">
        <f>IFERROR(__xludf.DUMMYFUNCTION("""COMPUTED_VALUE"""),"1-5")</f>
        <v>1-5</v>
      </c>
      <c r="C263" s="1" t="str">
        <f>IFERROR(__xludf.DUMMYFUNCTION("""COMPUTED_VALUE"""),"Fire Gem")</f>
        <v>Fire Gem</v>
      </c>
      <c r="D263" s="73" t="str">
        <f>IFERROR(__xludf.DUMMYFUNCTION("""COMPUTED_VALUE"""),"6-10")</f>
        <v>6-10</v>
      </c>
      <c r="E263" s="1" t="str">
        <f>IFERROR(__xludf.DUMMYFUNCTION("""COMPUTED_VALUE"""),"Dreading Wand Of Fire")</f>
        <v>Dreading Wand Of Fire</v>
      </c>
      <c r="F263" s="73" t="str">
        <f>IFERROR(__xludf.DUMMYFUNCTION("""COMPUTED_VALUE"""),"11-15")</f>
        <v>11-15</v>
      </c>
      <c r="G263" s="1" t="str">
        <f>IFERROR(__xludf.DUMMYFUNCTION("""COMPUTED_VALUE"""),"40,000UC-60,000UC")</f>
        <v>40,000UC-60,000UC</v>
      </c>
      <c r="H263" s="73" t="str">
        <f>IFERROR(__xludf.DUMMYFUNCTION("""COMPUTED_VALUE"""),"16-20")</f>
        <v>16-20</v>
      </c>
      <c r="I263" s="1" t="str">
        <f>IFERROR(__xludf.DUMMYFUNCTION("""COMPUTED_VALUE"""),"60,000UC-80,000UC")</f>
        <v>60,000UC-80,000UC</v>
      </c>
      <c r="J263" s="73" t="str">
        <f>IFERROR(__xludf.DUMMYFUNCTION("""COMPUTED_VALUE"""),"21-25")</f>
        <v>21-25</v>
      </c>
      <c r="K263" s="1" t="str">
        <f>IFERROR(__xludf.DUMMYFUNCTION("""COMPUTED_VALUE"""),"Soul")</f>
        <v>Soul</v>
      </c>
      <c r="L263" s="1"/>
      <c r="M263" s="1"/>
      <c r="N263" s="1"/>
      <c r="O263" s="1"/>
      <c r="P263" s="1"/>
      <c r="Q263" s="1"/>
      <c r="R263" s="1"/>
      <c r="S263" s="1"/>
      <c r="T263" s="1"/>
      <c r="U263" s="1"/>
      <c r="V263" s="1"/>
      <c r="W263" s="1"/>
      <c r="X263" s="1"/>
    </row>
    <row r="264" ht="15.75" customHeight="1">
      <c r="A264" s="1" t="str">
        <f>IFERROR(__xludf.DUMMYFUNCTION("""COMPUTED_VALUE"""),"Straitzo The Vampire Warrior")</f>
        <v>Straitzo The Vampire Warrior</v>
      </c>
      <c r="B264" s="73" t="str">
        <f>IFERROR(__xludf.DUMMYFUNCTION("""COMPUTED_VALUE"""),"1-5")</f>
        <v>1-5</v>
      </c>
      <c r="C264" s="1" t="str">
        <f>IFERROR(__xludf.DUMMYFUNCTION("""COMPUTED_VALUE"""),"A Jar of Blood")</f>
        <v>A Jar of Blood</v>
      </c>
      <c r="D264" s="73" t="str">
        <f>IFERROR(__xludf.DUMMYFUNCTION("""COMPUTED_VALUE"""),"6-10")</f>
        <v>6-10</v>
      </c>
      <c r="E264" s="1" t="str">
        <f>IFERROR(__xludf.DUMMYFUNCTION("""COMPUTED_VALUE"""),"Vampires Tooth")</f>
        <v>Vampires Tooth</v>
      </c>
      <c r="F264" s="73" t="str">
        <f>IFERROR(__xludf.DUMMYFUNCTION("""COMPUTED_VALUE"""),"11-15")</f>
        <v>11-15</v>
      </c>
      <c r="G264" s="1" t="str">
        <f>IFERROR(__xludf.DUMMYFUNCTION("""COMPUTED_VALUE"""),"Sword of the Vampire’s Lust")</f>
        <v>Sword of the Vampire’s Lust</v>
      </c>
      <c r="H264" s="73" t="str">
        <f>IFERROR(__xludf.DUMMYFUNCTION("""COMPUTED_VALUE"""),"16-20")</f>
        <v>16-20</v>
      </c>
      <c r="I264" s="1" t="str">
        <f>IFERROR(__xludf.DUMMYFUNCTION("""COMPUTED_VALUE"""),"1,000,000UC-20,000,000UC")</f>
        <v>1,000,000UC-20,000,000UC</v>
      </c>
      <c r="J264" s="73" t="str">
        <f>IFERROR(__xludf.DUMMYFUNCTION("""COMPUTED_VALUE"""),"21-25")</f>
        <v>21-25</v>
      </c>
      <c r="K264" s="1" t="str">
        <f>IFERROR(__xludf.DUMMYFUNCTION("""COMPUTED_VALUE"""),"Soul")</f>
        <v>Soul</v>
      </c>
      <c r="L264" s="1"/>
      <c r="M264" s="1"/>
      <c r="N264" s="1"/>
      <c r="O264" s="1"/>
      <c r="P264" s="1"/>
      <c r="Q264" s="1"/>
      <c r="R264" s="1"/>
      <c r="S264" s="1"/>
      <c r="T264" s="1"/>
      <c r="U264" s="1"/>
      <c r="V264" s="1"/>
      <c r="W264" s="1"/>
      <c r="X264" s="1"/>
    </row>
    <row r="265" ht="15.75" customHeight="1">
      <c r="A265" s="1" t="str">
        <f>IFERROR(__xludf.DUMMYFUNCTION("""COMPUTED_VALUE"""),"Cerberus Gatekeeper of Souls")</f>
        <v>Cerberus Gatekeeper of Souls</v>
      </c>
      <c r="B265" s="73" t="str">
        <f>IFERROR(__xludf.DUMMYFUNCTION("""COMPUTED_VALUE"""),"1-5")</f>
        <v>1-5</v>
      </c>
      <c r="C265" s="1" t="str">
        <f>IFERROR(__xludf.DUMMYFUNCTION("""COMPUTED_VALUE"""),"Demon Blood")</f>
        <v>Demon Blood</v>
      </c>
      <c r="D265" s="73" t="str">
        <f>IFERROR(__xludf.DUMMYFUNCTION("""COMPUTED_VALUE"""),"6-10")</f>
        <v>6-10</v>
      </c>
      <c r="E265" s="1" t="str">
        <f>IFERROR(__xludf.DUMMYFUNCTION("""COMPUTED_VALUE"""),"100,000,000UC-500,000,000UC")</f>
        <v>100,000,000UC-500,000,000UC</v>
      </c>
      <c r="F265" s="73" t="str">
        <f>IFERROR(__xludf.DUMMYFUNCTION("""COMPUTED_VALUE"""),"11-15")</f>
        <v>11-15</v>
      </c>
      <c r="G265" s="1" t="str">
        <f>IFERROR(__xludf.DUMMYFUNCTION("""COMPUTED_VALUE"""),"Nothing")</f>
        <v>Nothing</v>
      </c>
      <c r="H265" s="73" t="str">
        <f>IFERROR(__xludf.DUMMYFUNCTION("""COMPUTED_VALUE"""),"16-20")</f>
        <v>16-20</v>
      </c>
      <c r="I265" s="1" t="str">
        <f>IFERROR(__xludf.DUMMYFUNCTION("""COMPUTED_VALUE"""),"500,000,000UC-1,000,000,000UC")</f>
        <v>500,000,000UC-1,000,000,000UC</v>
      </c>
      <c r="J265" s="73" t="str">
        <f>IFERROR(__xludf.DUMMYFUNCTION("""COMPUTED_VALUE"""),"21-25")</f>
        <v>21-25</v>
      </c>
      <c r="K265" s="1" t="str">
        <f>IFERROR(__xludf.DUMMYFUNCTION("""COMPUTED_VALUE"""),"Soul")</f>
        <v>Soul</v>
      </c>
      <c r="L265" s="1"/>
      <c r="M265" s="1"/>
      <c r="N265" s="1"/>
      <c r="O265" s="1"/>
      <c r="P265" s="1"/>
      <c r="Q265" s="1"/>
      <c r="R265" s="1"/>
      <c r="S265" s="1"/>
      <c r="T265" s="1"/>
      <c r="U265" s="1"/>
      <c r="V265" s="1"/>
      <c r="W265" s="1"/>
      <c r="X265" s="1"/>
    </row>
    <row r="266" ht="15.75" customHeight="1">
      <c r="A266" s="1" t="str">
        <f>IFERROR(__xludf.DUMMYFUNCTION("""COMPUTED_VALUE"""),"Endless Dark Dragon")</f>
        <v>Endless Dark Dragon</v>
      </c>
      <c r="B266" s="73" t="str">
        <f>IFERROR(__xludf.DUMMYFUNCTION("""COMPUTED_VALUE"""),"1-5")</f>
        <v>1-5</v>
      </c>
      <c r="C266" s="1" t="str">
        <f>IFERROR(__xludf.DUMMYFUNCTION("""COMPUTED_VALUE"""),"Nothing")</f>
        <v>Nothing</v>
      </c>
      <c r="D266" s="73" t="str">
        <f>IFERROR(__xludf.DUMMYFUNCTION("""COMPUTED_VALUE"""),"6-10")</f>
        <v>6-10</v>
      </c>
      <c r="E266" s="1" t="str">
        <f>IFERROR(__xludf.DUMMYFUNCTION("""COMPUTED_VALUE"""),"Endless Dark Dragon Scales")</f>
        <v>Endless Dark Dragon Scales</v>
      </c>
      <c r="F266" s="73" t="str">
        <f>IFERROR(__xludf.DUMMYFUNCTION("""COMPUTED_VALUE"""),"11-15")</f>
        <v>11-15</v>
      </c>
      <c r="G266" s="1" t="str">
        <f>IFERROR(__xludf.DUMMYFUNCTION("""COMPUTED_VALUE"""),"500,000,000UC-1,000,000,000UC")</f>
        <v>500,000,000UC-1,000,000,000UC</v>
      </c>
      <c r="H266" s="73" t="str">
        <f>IFERROR(__xludf.DUMMYFUNCTION("""COMPUTED_VALUE"""),"16-20")</f>
        <v>16-20</v>
      </c>
      <c r="I266" s="1" t="str">
        <f>IFERROR(__xludf.DUMMYFUNCTION("""COMPUTED_VALUE"""),"Soul")</f>
        <v>Soul</v>
      </c>
      <c r="J266" s="73" t="str">
        <f>IFERROR(__xludf.DUMMYFUNCTION("""COMPUTED_VALUE"""),"21-25")</f>
        <v>21-25</v>
      </c>
      <c r="K266" s="1" t="str">
        <f>IFERROR(__xludf.DUMMYFUNCTION("""COMPUTED_VALUE"""),"Endless Dark Core")</f>
        <v>Endless Dark Core</v>
      </c>
      <c r="L266" s="1"/>
      <c r="M266" s="1"/>
      <c r="N266" s="1"/>
      <c r="O266" s="1"/>
      <c r="P266" s="1"/>
      <c r="Q266" s="1"/>
      <c r="R266" s="1"/>
      <c r="S266" s="1"/>
      <c r="T266" s="1"/>
      <c r="U266" s="1"/>
      <c r="V266" s="1"/>
      <c r="W266" s="1"/>
      <c r="X266" s="1"/>
    </row>
    <row r="267" ht="15.75" customHeight="1">
      <c r="A267" s="1" t="str">
        <f>IFERROR(__xludf.DUMMYFUNCTION("""COMPUTED_VALUE"""),"Giant Lava Frog ")</f>
        <v>Giant Lava Frog </v>
      </c>
      <c r="B267" s="73" t="str">
        <f>IFERROR(__xludf.DUMMYFUNCTION("""COMPUTED_VALUE"""),"1-5")</f>
        <v>1-5</v>
      </c>
      <c r="C267" s="1" t="str">
        <f>IFERROR(__xludf.DUMMYFUNCTION("""COMPUTED_VALUE"""),"60,000,000UC-80,000,000UC")</f>
        <v>60,000,000UC-80,000,000UC</v>
      </c>
      <c r="D267" s="73" t="str">
        <f>IFERROR(__xludf.DUMMYFUNCTION("""COMPUTED_VALUE"""),"6-10")</f>
        <v>6-10</v>
      </c>
      <c r="E267" s="1" t="str">
        <f>IFERROR(__xludf.DUMMYFUNCTION("""COMPUTED_VALUE"""),"Fire Diamond")</f>
        <v>Fire Diamond</v>
      </c>
      <c r="F267" s="73" t="str">
        <f>IFERROR(__xludf.DUMMYFUNCTION("""COMPUTED_VALUE"""),"11-15")</f>
        <v>11-15</v>
      </c>
      <c r="G267" s="1" t="str">
        <f>IFERROR(__xludf.DUMMYFUNCTION("""COMPUTED_VALUE"""),"80,000,000G-100,000,000G")</f>
        <v>80,000,000G-100,000,000G</v>
      </c>
      <c r="H267" s="73" t="str">
        <f>IFERROR(__xludf.DUMMYFUNCTION("""COMPUTED_VALUE"""),"16-20")</f>
        <v>16-20</v>
      </c>
      <c r="I267" s="1" t="str">
        <f>IFERROR(__xludf.DUMMYFUNCTION("""COMPUTED_VALUE"""),"Egg")</f>
        <v>Egg</v>
      </c>
      <c r="J267" s="73" t="str">
        <f>IFERROR(__xludf.DUMMYFUNCTION("""COMPUTED_VALUE"""),"21-25")</f>
        <v>21-25</v>
      </c>
      <c r="K267" s="1" t="str">
        <f>IFERROR(__xludf.DUMMYFUNCTION("""COMPUTED_VALUE"""),"Soul")</f>
        <v>Soul</v>
      </c>
      <c r="L267" s="1"/>
      <c r="M267" s="1"/>
      <c r="N267" s="1"/>
      <c r="O267" s="1"/>
      <c r="P267" s="1"/>
      <c r="Q267" s="1"/>
      <c r="R267" s="1"/>
      <c r="S267" s="1"/>
      <c r="T267" s="1"/>
      <c r="U267" s="1"/>
      <c r="V267" s="1"/>
      <c r="W267" s="1"/>
      <c r="X267" s="1"/>
    </row>
    <row r="268" ht="15.75" customHeight="1">
      <c r="A268" s="1" t="str">
        <f>IFERROR(__xludf.DUMMYFUNCTION("""COMPUTED_VALUE"""),"Lava Rat")</f>
        <v>Lava Rat</v>
      </c>
      <c r="B268" s="73" t="str">
        <f>IFERROR(__xludf.DUMMYFUNCTION("""COMPUTED_VALUE"""),"1-5")</f>
        <v>1-5</v>
      </c>
      <c r="C268" s="1" t="str">
        <f>IFERROR(__xludf.DUMMYFUNCTION("""COMPUTED_VALUE"""),"Fire Diamond")</f>
        <v>Fire Diamond</v>
      </c>
      <c r="D268" s="73" t="str">
        <f>IFERROR(__xludf.DUMMYFUNCTION("""COMPUTED_VALUE"""),"6-10")</f>
        <v>6-10</v>
      </c>
      <c r="E268" s="1" t="str">
        <f>IFERROR(__xludf.DUMMYFUNCTION("""COMPUTED_VALUE"""),"Giant Fire Diamond")</f>
        <v>Giant Fire Diamond</v>
      </c>
      <c r="F268" s="73" t="str">
        <f>IFERROR(__xludf.DUMMYFUNCTION("""COMPUTED_VALUE"""),"11-15")</f>
        <v>11-15</v>
      </c>
      <c r="G268" s="1" t="str">
        <f>IFERROR(__xludf.DUMMYFUNCTION("""COMPUTED_VALUE"""),"Volcanic Teeth")</f>
        <v>Volcanic Teeth</v>
      </c>
      <c r="H268" s="73" t="str">
        <f>IFERROR(__xludf.DUMMYFUNCTION("""COMPUTED_VALUE"""),"16-20")</f>
        <v>16-20</v>
      </c>
      <c r="I268" s="1" t="str">
        <f>IFERROR(__xludf.DUMMYFUNCTION("""COMPUTED_VALUE"""),"Soul")</f>
        <v>Soul</v>
      </c>
      <c r="J268" s="73" t="str">
        <f>IFERROR(__xludf.DUMMYFUNCTION("""COMPUTED_VALUE"""),"21-25")</f>
        <v>21-25</v>
      </c>
      <c r="K268" s="1" t="str">
        <f>IFERROR(__xludf.DUMMYFUNCTION("""COMPUTED_VALUE"""),"Egg")</f>
        <v>Egg</v>
      </c>
      <c r="L268" s="1"/>
      <c r="M268" s="1"/>
      <c r="N268" s="1"/>
      <c r="O268" s="1"/>
      <c r="P268" s="1"/>
      <c r="Q268" s="1"/>
      <c r="R268" s="1"/>
      <c r="S268" s="1"/>
      <c r="T268" s="1"/>
      <c r="U268" s="1"/>
      <c r="V268" s="1"/>
      <c r="W268" s="1"/>
      <c r="X268" s="1"/>
    </row>
    <row r="269" ht="15.75" customHeight="1">
      <c r="A269" s="1" t="str">
        <f>IFERROR(__xludf.DUMMYFUNCTION("""COMPUTED_VALUE"""),"Rat King")</f>
        <v>Rat King</v>
      </c>
      <c r="B269" s="73" t="str">
        <f>IFERROR(__xludf.DUMMYFUNCTION("""COMPUTED_VALUE"""),"1-5")</f>
        <v>1-5</v>
      </c>
      <c r="C269" s="1" t="str">
        <f>IFERROR(__xludf.DUMMYFUNCTION("""COMPUTED_VALUE"""),"Ring of Death")</f>
        <v>Ring of Death</v>
      </c>
      <c r="D269" s="73" t="str">
        <f>IFERROR(__xludf.DUMMYFUNCTION("""COMPUTED_VALUE"""),"6-10")</f>
        <v>6-10</v>
      </c>
      <c r="E269" s="1" t="str">
        <f>IFERROR(__xludf.DUMMYFUNCTION("""COMPUTED_VALUE"""),"500,000,000UC-1,000,000,000UC")</f>
        <v>500,000,000UC-1,000,000,000UC</v>
      </c>
      <c r="F269" s="73" t="str">
        <f>IFERROR(__xludf.DUMMYFUNCTION("""COMPUTED_VALUE"""),"11-15")</f>
        <v>11-15</v>
      </c>
      <c r="G269" s="1" t="str">
        <f>IFERROR(__xludf.DUMMYFUNCTION("""COMPUTED_VALUE"""),"Nothing")</f>
        <v>Nothing</v>
      </c>
      <c r="H269" s="73" t="str">
        <f>IFERROR(__xludf.DUMMYFUNCTION("""COMPUTED_VALUE"""),"16-20")</f>
        <v>16-20</v>
      </c>
      <c r="I269" s="1" t="str">
        <f>IFERROR(__xludf.DUMMYFUNCTION("""COMPUTED_VALUE"""),"Rat King's Crown")</f>
        <v>Rat King's Crown</v>
      </c>
      <c r="J269" s="73" t="str">
        <f>IFERROR(__xludf.DUMMYFUNCTION("""COMPUTED_VALUE"""),"21-25")</f>
        <v>21-25</v>
      </c>
      <c r="K269" s="1" t="str">
        <f>IFERROR(__xludf.DUMMYFUNCTION("""COMPUTED_VALUE"""),"Soul")</f>
        <v>Soul</v>
      </c>
      <c r="L269" s="1"/>
      <c r="M269" s="1"/>
      <c r="N269" s="1"/>
      <c r="O269" s="1"/>
      <c r="P269" s="1"/>
      <c r="Q269" s="1"/>
      <c r="R269" s="1"/>
      <c r="S269" s="1"/>
      <c r="T269" s="1"/>
      <c r="U269" s="1"/>
      <c r="V269" s="1"/>
      <c r="W269" s="1"/>
      <c r="X269" s="1"/>
    </row>
    <row r="270" ht="15.75" customHeight="1">
      <c r="A270" s="1" t="str">
        <f>IFERROR(__xludf.DUMMYFUNCTION("""COMPUTED_VALUE"""),"Magma Bear")</f>
        <v>Magma Bear</v>
      </c>
      <c r="B270" s="73" t="str">
        <f>IFERROR(__xludf.DUMMYFUNCTION("""COMPUTED_VALUE"""),"1-5")</f>
        <v>1-5</v>
      </c>
      <c r="C270" s="1" t="str">
        <f>IFERROR(__xludf.DUMMYFUNCTION("""COMPUTED_VALUE"""),"Magma Stone")</f>
        <v>Magma Stone</v>
      </c>
      <c r="D270" s="73" t="str">
        <f>IFERROR(__xludf.DUMMYFUNCTION("""COMPUTED_VALUE"""),"6-10")</f>
        <v>6-10</v>
      </c>
      <c r="E270" s="1" t="str">
        <f>IFERROR(__xludf.DUMMYFUNCTION("""COMPUTED_VALUE"""),"Volcanic Venison")</f>
        <v>Volcanic Venison</v>
      </c>
      <c r="F270" s="73" t="str">
        <f>IFERROR(__xludf.DUMMYFUNCTION("""COMPUTED_VALUE"""),"11-15")</f>
        <v>11-15</v>
      </c>
      <c r="G270" s="1" t="str">
        <f>IFERROR(__xludf.DUMMYFUNCTION("""COMPUTED_VALUE"""),"Volcanic Teeth")</f>
        <v>Volcanic Teeth</v>
      </c>
      <c r="H270" s="73" t="str">
        <f>IFERROR(__xludf.DUMMYFUNCTION("""COMPUTED_VALUE"""),"16-20")</f>
        <v>16-20</v>
      </c>
      <c r="I270" s="1" t="str">
        <f>IFERROR(__xludf.DUMMYFUNCTION("""COMPUTED_VALUE"""),"Soul")</f>
        <v>Soul</v>
      </c>
      <c r="J270" s="73" t="str">
        <f>IFERROR(__xludf.DUMMYFUNCTION("""COMPUTED_VALUE"""),"21-25")</f>
        <v>21-25</v>
      </c>
      <c r="K270" s="1" t="str">
        <f>IFERROR(__xludf.DUMMYFUNCTION("""COMPUTED_VALUE"""),"Egg")</f>
        <v>Egg</v>
      </c>
      <c r="L270" s="1"/>
      <c r="M270" s="1"/>
      <c r="N270" s="1"/>
      <c r="O270" s="1"/>
      <c r="P270" s="1"/>
      <c r="Q270" s="1"/>
      <c r="R270" s="1"/>
      <c r="S270" s="1"/>
      <c r="T270" s="1"/>
      <c r="U270" s="1"/>
      <c r="V270" s="1"/>
      <c r="W270" s="1"/>
      <c r="X270" s="1"/>
    </row>
    <row r="271" ht="15.75" customHeight="1">
      <c r="A271" s="1" t="str">
        <f>IFERROR(__xludf.DUMMYFUNCTION("""COMPUTED_VALUE"""),"Inferno Vulture")</f>
        <v>Inferno Vulture</v>
      </c>
      <c r="B271" s="73" t="str">
        <f>IFERROR(__xludf.DUMMYFUNCTION("""COMPUTED_VALUE"""),"1-5")</f>
        <v>1-5</v>
      </c>
      <c r="C271" s="1" t="str">
        <f>IFERROR(__xludf.DUMMYFUNCTION("""COMPUTED_VALUE"""),"Inferno Feather")</f>
        <v>Inferno Feather</v>
      </c>
      <c r="D271" s="73" t="str">
        <f>IFERROR(__xludf.DUMMYFUNCTION("""COMPUTED_VALUE"""),"6-10")</f>
        <v>6-10</v>
      </c>
      <c r="E271" s="1" t="str">
        <f>IFERROR(__xludf.DUMMYFUNCTION("""COMPUTED_VALUE"""),"1,000,000UC-20,000,000UC")</f>
        <v>1,000,000UC-20,000,000UC</v>
      </c>
      <c r="F271" s="73" t="str">
        <f>IFERROR(__xludf.DUMMYFUNCTION("""COMPUTED_VALUE"""),"11-15")</f>
        <v>11-15</v>
      </c>
      <c r="G271" s="1" t="str">
        <f>IFERROR(__xludf.DUMMYFUNCTION("""COMPUTED_VALUE"""),"Feather")</f>
        <v>Feather</v>
      </c>
      <c r="H271" s="73" t="str">
        <f>IFERROR(__xludf.DUMMYFUNCTION("""COMPUTED_VALUE"""),"16-20")</f>
        <v>16-20</v>
      </c>
      <c r="I271" s="1" t="str">
        <f>IFERROR(__xludf.DUMMYFUNCTION("""COMPUTED_VALUE"""),"Soul")</f>
        <v>Soul</v>
      </c>
      <c r="J271" s="73" t="str">
        <f>IFERROR(__xludf.DUMMYFUNCTION("""COMPUTED_VALUE"""),"21-25")</f>
        <v>21-25</v>
      </c>
      <c r="K271" s="1" t="str">
        <f>IFERROR(__xludf.DUMMYFUNCTION("""COMPUTED_VALUE"""),"Egg")</f>
        <v>Egg</v>
      </c>
      <c r="L271" s="1"/>
      <c r="M271" s="1"/>
      <c r="N271" s="1"/>
      <c r="O271" s="1"/>
      <c r="P271" s="1"/>
      <c r="Q271" s="1"/>
      <c r="R271" s="1"/>
      <c r="S271" s="1"/>
      <c r="T271" s="1"/>
      <c r="U271" s="1"/>
      <c r="V271" s="1"/>
      <c r="W271" s="1"/>
      <c r="X271" s="1"/>
    </row>
    <row r="272" ht="15.75" customHeight="1">
      <c r="A272" s="1" t="str">
        <f>IFERROR(__xludf.DUMMYFUNCTION("""COMPUTED_VALUE"""),"Lava Kraken")</f>
        <v>Lava Kraken</v>
      </c>
      <c r="B272" s="73" t="str">
        <f>IFERROR(__xludf.DUMMYFUNCTION("""COMPUTED_VALUE"""),"1-5")</f>
        <v>1-5</v>
      </c>
      <c r="C272" s="1" t="str">
        <f>IFERROR(__xludf.DUMMYFUNCTION("""COMPUTED_VALUE"""),"Squid Ink")</f>
        <v>Squid Ink</v>
      </c>
      <c r="D272" s="73" t="str">
        <f>IFERROR(__xludf.DUMMYFUNCTION("""COMPUTED_VALUE"""),"6-10")</f>
        <v>6-10</v>
      </c>
      <c r="E272" s="1" t="str">
        <f>IFERROR(__xludf.DUMMYFUNCTION("""COMPUTED_VALUE"""),"100,000,000UC-500,000,000UC")</f>
        <v>100,000,000UC-500,000,000UC</v>
      </c>
      <c r="F272" s="73" t="str">
        <f>IFERROR(__xludf.DUMMYFUNCTION("""COMPUTED_VALUE"""),"11-15")</f>
        <v>11-15</v>
      </c>
      <c r="G272" s="1" t="str">
        <f>IFERROR(__xludf.DUMMYFUNCTION("""COMPUTED_VALUE"""),"500,000,000G-1,000,000,000G")</f>
        <v>500,000,000G-1,000,000,000G</v>
      </c>
      <c r="H272" s="73" t="str">
        <f>IFERROR(__xludf.DUMMYFUNCTION("""COMPUTED_VALUE"""),"16-20")</f>
        <v>16-20</v>
      </c>
      <c r="I272" s="1" t="str">
        <f>IFERROR(__xludf.DUMMYFUNCTION("""COMPUTED_VALUE"""),"Soul")</f>
        <v>Soul</v>
      </c>
      <c r="J272" s="73" t="str">
        <f>IFERROR(__xludf.DUMMYFUNCTION("""COMPUTED_VALUE"""),"21-25")</f>
        <v>21-25</v>
      </c>
      <c r="K272" s="1" t="str">
        <f>IFERROR(__xludf.DUMMYFUNCTION("""COMPUTED_VALUE"""),"Nothing")</f>
        <v>Nothing</v>
      </c>
      <c r="L272" s="1"/>
      <c r="M272" s="1"/>
      <c r="N272" s="1"/>
      <c r="O272" s="1"/>
      <c r="P272" s="1"/>
      <c r="Q272" s="1"/>
      <c r="R272" s="1"/>
      <c r="S272" s="1"/>
      <c r="T272" s="1"/>
      <c r="U272" s="1"/>
      <c r="V272" s="1"/>
      <c r="W272" s="1"/>
      <c r="X272" s="1"/>
    </row>
    <row r="273" ht="15.75" customHeight="1">
      <c r="A273" s="1" t="str">
        <f>IFERROR(__xludf.DUMMYFUNCTION("""COMPUTED_VALUE"""),"Flaming Cactus")</f>
        <v>Flaming Cactus</v>
      </c>
      <c r="B273" s="73" t="str">
        <f>IFERROR(__xludf.DUMMYFUNCTION("""COMPUTED_VALUE"""),"1-5")</f>
        <v>1-5</v>
      </c>
      <c r="C273" s="1" t="str">
        <f>IFERROR(__xludf.DUMMYFUNCTION("""COMPUTED_VALUE"""),"60,000,000UC-80,000,000UC")</f>
        <v>60,000,000UC-80,000,000UC</v>
      </c>
      <c r="D273" s="73" t="str">
        <f>IFERROR(__xludf.DUMMYFUNCTION("""COMPUTED_VALUE"""),"6-10")</f>
        <v>6-10</v>
      </c>
      <c r="E273" s="1" t="str">
        <f>IFERROR(__xludf.DUMMYFUNCTION("""COMPUTED_VALUE"""),"Soul")</f>
        <v>Soul</v>
      </c>
      <c r="F273" s="73" t="str">
        <f>IFERROR(__xludf.DUMMYFUNCTION("""COMPUTED_VALUE"""),"11-15")</f>
        <v>11-15</v>
      </c>
      <c r="G273" s="1" t="str">
        <f>IFERROR(__xludf.DUMMYFUNCTION("""COMPUTED_VALUE"""),"40,000,000UC-60,000,000UC")</f>
        <v>40,000,000UC-60,000,000UC</v>
      </c>
      <c r="H273" s="73" t="str">
        <f>IFERROR(__xludf.DUMMYFUNCTION("""COMPUTED_VALUE"""),"16-20")</f>
        <v>16-20</v>
      </c>
      <c r="I273" s="1" t="str">
        <f>IFERROR(__xludf.DUMMYFUNCTION("""COMPUTED_VALUE"""),"100,000,000G-500,000,000G")</f>
        <v>100,000,000G-500,000,000G</v>
      </c>
      <c r="J273" s="73" t="str">
        <f>IFERROR(__xludf.DUMMYFUNCTION("""COMPUTED_VALUE"""),"21-25")</f>
        <v>21-25</v>
      </c>
      <c r="K273" s="1" t="str">
        <f>IFERROR(__xludf.DUMMYFUNCTION("""COMPUTED_VALUE"""),"Egg")</f>
        <v>Egg</v>
      </c>
      <c r="L273" s="1"/>
      <c r="M273" s="1"/>
      <c r="N273" s="1"/>
      <c r="O273" s="1"/>
      <c r="P273" s="1"/>
      <c r="Q273" s="1"/>
      <c r="R273" s="1"/>
      <c r="S273" s="1"/>
      <c r="T273" s="1"/>
      <c r="U273" s="1"/>
      <c r="V273" s="1"/>
      <c r="W273" s="1"/>
      <c r="X273" s="1"/>
    </row>
    <row r="274" ht="15.75" customHeight="1">
      <c r="A274" s="1" t="str">
        <f>IFERROR(__xludf.DUMMYFUNCTION("""COMPUTED_VALUE"""),"Flaming Behemoth")</f>
        <v>Flaming Behemoth</v>
      </c>
      <c r="B274" s="73" t="str">
        <f>IFERROR(__xludf.DUMMYFUNCTION("""COMPUTED_VALUE"""),"1-5")</f>
        <v>1-5</v>
      </c>
      <c r="C274" s="1" t="str">
        <f>IFERROR(__xludf.DUMMYFUNCTION("""COMPUTED_VALUE"""),"60,000,000UC-80,000,000UC")</f>
        <v>60,000,000UC-80,000,000UC</v>
      </c>
      <c r="D274" s="73" t="str">
        <f>IFERROR(__xludf.DUMMYFUNCTION("""COMPUTED_VALUE"""),"6-10")</f>
        <v>6-10</v>
      </c>
      <c r="E274" s="1" t="str">
        <f>IFERROR(__xludf.DUMMYFUNCTION("""COMPUTED_VALUE"""),"20,000,000UC-40,000,000UC")</f>
        <v>20,000,000UC-40,000,000UC</v>
      </c>
      <c r="F274" s="73" t="str">
        <f>IFERROR(__xludf.DUMMYFUNCTION("""COMPUTED_VALUE"""),"11-15")</f>
        <v>11-15</v>
      </c>
      <c r="G274" s="1" t="str">
        <f>IFERROR(__xludf.DUMMYFUNCTION("""COMPUTED_VALUE"""),"40,000,000UC-60,000,000UC")</f>
        <v>40,000,000UC-60,000,000UC</v>
      </c>
      <c r="H274" s="73" t="str">
        <f>IFERROR(__xludf.DUMMYFUNCTION("""COMPUTED_VALUE"""),"16-20")</f>
        <v>16-20</v>
      </c>
      <c r="I274" s="1" t="str">
        <f>IFERROR(__xludf.DUMMYFUNCTION("""COMPUTED_VALUE"""),"Soul")</f>
        <v>Soul</v>
      </c>
      <c r="J274" s="73" t="str">
        <f>IFERROR(__xludf.DUMMYFUNCTION("""COMPUTED_VALUE"""),"21-25")</f>
        <v>21-25</v>
      </c>
      <c r="K274" s="1" t="str">
        <f>IFERROR(__xludf.DUMMYFUNCTION("""COMPUTED_VALUE"""),"Nothing")</f>
        <v>Nothing</v>
      </c>
      <c r="L274" s="1"/>
      <c r="M274" s="1"/>
      <c r="N274" s="1"/>
      <c r="O274" s="1"/>
      <c r="P274" s="1"/>
      <c r="Q274" s="1"/>
      <c r="R274" s="1"/>
      <c r="S274" s="1"/>
      <c r="T274" s="1"/>
      <c r="U274" s="1"/>
      <c r="V274" s="1"/>
      <c r="W274" s="1"/>
      <c r="X274" s="1"/>
    </row>
    <row r="275" ht="15.75" customHeight="1">
      <c r="A275" s="1" t="str">
        <f>IFERROR(__xludf.DUMMYFUNCTION("""COMPUTED_VALUE"""),"Red Soul")</f>
        <v>Red Soul</v>
      </c>
      <c r="B275" s="73" t="str">
        <f>IFERROR(__xludf.DUMMYFUNCTION("""COMPUTED_VALUE"""),"1-5")</f>
        <v>1-5</v>
      </c>
      <c r="C275" s="1" t="str">
        <f>IFERROR(__xludf.DUMMYFUNCTION("""COMPUTED_VALUE"""),"60,000,000UC-80,000,000UC")</f>
        <v>60,000,000UC-80,000,000UC</v>
      </c>
      <c r="D275" s="73" t="str">
        <f>IFERROR(__xludf.DUMMYFUNCTION("""COMPUTED_VALUE"""),"6-10")</f>
        <v>6-10</v>
      </c>
      <c r="E275" s="1" t="str">
        <f>IFERROR(__xludf.DUMMYFUNCTION("""COMPUTED_VALUE"""),"20,000,000UC-40,000,000UC")</f>
        <v>20,000,000UC-40,000,000UC</v>
      </c>
      <c r="F275" s="73" t="str">
        <f>IFERROR(__xludf.DUMMYFUNCTION("""COMPUTED_VALUE"""),"11-15")</f>
        <v>11-15</v>
      </c>
      <c r="G275" s="1" t="str">
        <f>IFERROR(__xludf.DUMMYFUNCTION("""COMPUTED_VALUE"""),"40,000,000UC-60,000,000UC")</f>
        <v>40,000,000UC-60,000,000UC</v>
      </c>
      <c r="H275" s="73" t="str">
        <f>IFERROR(__xludf.DUMMYFUNCTION("""COMPUTED_VALUE"""),"16-20")</f>
        <v>16-20</v>
      </c>
      <c r="I275" s="1" t="str">
        <f>IFERROR(__xludf.DUMMYFUNCTION("""COMPUTED_VALUE"""),"Soul")</f>
        <v>Soul</v>
      </c>
      <c r="J275" s="73" t="str">
        <f>IFERROR(__xludf.DUMMYFUNCTION("""COMPUTED_VALUE"""),"21-25")</f>
        <v>21-25</v>
      </c>
      <c r="K275" s="1" t="str">
        <f>IFERROR(__xludf.DUMMYFUNCTION("""COMPUTED_VALUE"""),"Egg")</f>
        <v>Egg</v>
      </c>
      <c r="L275" s="1"/>
      <c r="M275" s="1"/>
      <c r="N275" s="1"/>
      <c r="O275" s="1"/>
      <c r="P275" s="1"/>
      <c r="Q275" s="1"/>
      <c r="R275" s="1"/>
      <c r="S275" s="1"/>
      <c r="T275" s="1"/>
      <c r="U275" s="1"/>
      <c r="V275" s="1"/>
      <c r="W275" s="1"/>
      <c r="X275" s="1"/>
    </row>
    <row r="276" ht="15.75" customHeight="1">
      <c r="A276" s="1" t="str">
        <f>IFERROR(__xludf.DUMMYFUNCTION("""COMPUTED_VALUE"""),"Blue Soul")</f>
        <v>Blue Soul</v>
      </c>
      <c r="B276" s="73" t="str">
        <f>IFERROR(__xludf.DUMMYFUNCTION("""COMPUTED_VALUE"""),"1-5")</f>
        <v>1-5</v>
      </c>
      <c r="C276" s="1" t="str">
        <f>IFERROR(__xludf.DUMMYFUNCTION("""COMPUTED_VALUE"""),"60,000,000UC-80,000,000UC")</f>
        <v>60,000,000UC-80,000,000UC</v>
      </c>
      <c r="D276" s="73" t="str">
        <f>IFERROR(__xludf.DUMMYFUNCTION("""COMPUTED_VALUE"""),"6-10")</f>
        <v>6-10</v>
      </c>
      <c r="E276" s="1" t="str">
        <f>IFERROR(__xludf.DUMMYFUNCTION("""COMPUTED_VALUE"""),"20,000,000UC-40,000,000UC")</f>
        <v>20,000,000UC-40,000,000UC</v>
      </c>
      <c r="F276" s="73" t="str">
        <f>IFERROR(__xludf.DUMMYFUNCTION("""COMPUTED_VALUE"""),"11-15")</f>
        <v>11-15</v>
      </c>
      <c r="G276" s="1" t="str">
        <f>IFERROR(__xludf.DUMMYFUNCTION("""COMPUTED_VALUE"""),"40,000,000UC-60,000,000UC")</f>
        <v>40,000,000UC-60,000,000UC</v>
      </c>
      <c r="H276" s="73" t="str">
        <f>IFERROR(__xludf.DUMMYFUNCTION("""COMPUTED_VALUE"""),"16-20")</f>
        <v>16-20</v>
      </c>
      <c r="I276" s="1" t="str">
        <f>IFERROR(__xludf.DUMMYFUNCTION("""COMPUTED_VALUE"""),"Soul")</f>
        <v>Soul</v>
      </c>
      <c r="J276" s="73" t="str">
        <f>IFERROR(__xludf.DUMMYFUNCTION("""COMPUTED_VALUE"""),"21-25")</f>
        <v>21-25</v>
      </c>
      <c r="K276" s="1" t="str">
        <f>IFERROR(__xludf.DUMMYFUNCTION("""COMPUTED_VALUE"""),"Egg")</f>
        <v>Egg</v>
      </c>
      <c r="L276" s="1"/>
      <c r="M276" s="1"/>
      <c r="N276" s="1"/>
      <c r="O276" s="1"/>
      <c r="P276" s="1"/>
      <c r="Q276" s="1"/>
      <c r="R276" s="1"/>
      <c r="S276" s="1"/>
      <c r="T276" s="1"/>
      <c r="U276" s="1"/>
      <c r="V276" s="1"/>
      <c r="W276" s="1"/>
      <c r="X276" s="1"/>
    </row>
    <row r="277" ht="15.75" customHeight="1">
      <c r="A277" s="1" t="str">
        <f>IFERROR(__xludf.DUMMYFUNCTION("""COMPUTED_VALUE"""),"Green Soul")</f>
        <v>Green Soul</v>
      </c>
      <c r="B277" s="73" t="str">
        <f>IFERROR(__xludf.DUMMYFUNCTION("""COMPUTED_VALUE"""),"1-5")</f>
        <v>1-5</v>
      </c>
      <c r="C277" s="1" t="str">
        <f>IFERROR(__xludf.DUMMYFUNCTION("""COMPUTED_VALUE"""),"60,000,000UC-80,000,000UC")</f>
        <v>60,000,000UC-80,000,000UC</v>
      </c>
      <c r="D277" s="73" t="str">
        <f>IFERROR(__xludf.DUMMYFUNCTION("""COMPUTED_VALUE"""),"6-10")</f>
        <v>6-10</v>
      </c>
      <c r="E277" s="1" t="str">
        <f>IFERROR(__xludf.DUMMYFUNCTION("""COMPUTED_VALUE"""),"20,000,000UC-40,000,000UC")</f>
        <v>20,000,000UC-40,000,000UC</v>
      </c>
      <c r="F277" s="73" t="str">
        <f>IFERROR(__xludf.DUMMYFUNCTION("""COMPUTED_VALUE"""),"11-15")</f>
        <v>11-15</v>
      </c>
      <c r="G277" s="1" t="str">
        <f>IFERROR(__xludf.DUMMYFUNCTION("""COMPUTED_VALUE"""),"40,000,000UC-60,000,000UC")</f>
        <v>40,000,000UC-60,000,000UC</v>
      </c>
      <c r="H277" s="73" t="str">
        <f>IFERROR(__xludf.DUMMYFUNCTION("""COMPUTED_VALUE"""),"16-20")</f>
        <v>16-20</v>
      </c>
      <c r="I277" s="1" t="str">
        <f>IFERROR(__xludf.DUMMYFUNCTION("""COMPUTED_VALUE"""),"Soul")</f>
        <v>Soul</v>
      </c>
      <c r="J277" s="73" t="str">
        <f>IFERROR(__xludf.DUMMYFUNCTION("""COMPUTED_VALUE"""),"21-25")</f>
        <v>21-25</v>
      </c>
      <c r="K277" s="1" t="str">
        <f>IFERROR(__xludf.DUMMYFUNCTION("""COMPUTED_VALUE"""),"Egg")</f>
        <v>Egg</v>
      </c>
      <c r="L277" s="1"/>
      <c r="M277" s="1"/>
      <c r="N277" s="1"/>
      <c r="O277" s="1"/>
      <c r="P277" s="1"/>
      <c r="Q277" s="1"/>
      <c r="R277" s="1"/>
      <c r="S277" s="1"/>
      <c r="T277" s="1"/>
      <c r="U277" s="1"/>
      <c r="V277" s="1"/>
      <c r="W277" s="1"/>
      <c r="X277" s="1"/>
    </row>
    <row r="278" ht="15.75" customHeight="1">
      <c r="A278" s="1" t="str">
        <f>IFERROR(__xludf.DUMMYFUNCTION("""COMPUTED_VALUE"""),"Yellow Soul")</f>
        <v>Yellow Soul</v>
      </c>
      <c r="B278" s="73" t="str">
        <f>IFERROR(__xludf.DUMMYFUNCTION("""COMPUTED_VALUE"""),"1-5")</f>
        <v>1-5</v>
      </c>
      <c r="C278" s="1" t="str">
        <f>IFERROR(__xludf.DUMMYFUNCTION("""COMPUTED_VALUE"""),"60,000,000UC-80,000,000UC")</f>
        <v>60,000,000UC-80,000,000UC</v>
      </c>
      <c r="D278" s="73" t="str">
        <f>IFERROR(__xludf.DUMMYFUNCTION("""COMPUTED_VALUE"""),"6-10")</f>
        <v>6-10</v>
      </c>
      <c r="E278" s="1" t="str">
        <f>IFERROR(__xludf.DUMMYFUNCTION("""COMPUTED_VALUE"""),"20,000,000UC-40,000,000UC")</f>
        <v>20,000,000UC-40,000,000UC</v>
      </c>
      <c r="F278" s="73" t="str">
        <f>IFERROR(__xludf.DUMMYFUNCTION("""COMPUTED_VALUE"""),"11-15")</f>
        <v>11-15</v>
      </c>
      <c r="G278" s="1" t="str">
        <f>IFERROR(__xludf.DUMMYFUNCTION("""COMPUTED_VALUE"""),"40,000,000UC-60,000,000UC")</f>
        <v>40,000,000UC-60,000,000UC</v>
      </c>
      <c r="H278" s="73" t="str">
        <f>IFERROR(__xludf.DUMMYFUNCTION("""COMPUTED_VALUE"""),"16-20")</f>
        <v>16-20</v>
      </c>
      <c r="I278" s="1" t="str">
        <f>IFERROR(__xludf.DUMMYFUNCTION("""COMPUTED_VALUE"""),"Soul")</f>
        <v>Soul</v>
      </c>
      <c r="J278" s="73" t="str">
        <f>IFERROR(__xludf.DUMMYFUNCTION("""COMPUTED_VALUE"""),"21-25")</f>
        <v>21-25</v>
      </c>
      <c r="K278" s="1" t="str">
        <f>IFERROR(__xludf.DUMMYFUNCTION("""COMPUTED_VALUE"""),"Egg")</f>
        <v>Egg</v>
      </c>
      <c r="L278" s="1"/>
      <c r="M278" s="1"/>
      <c r="N278" s="1"/>
      <c r="O278" s="1"/>
      <c r="P278" s="1"/>
      <c r="Q278" s="1"/>
      <c r="R278" s="1"/>
      <c r="S278" s="1"/>
      <c r="T278" s="1"/>
      <c r="U278" s="1"/>
      <c r="V278" s="1"/>
      <c r="W278" s="1"/>
      <c r="X278" s="1"/>
    </row>
    <row r="279" ht="15.75" customHeight="1">
      <c r="A279" s="1" t="str">
        <f>IFERROR(__xludf.DUMMYFUNCTION("""COMPUTED_VALUE"""),"Lava Moth")</f>
        <v>Lava Moth</v>
      </c>
      <c r="B279" s="73" t="str">
        <f>IFERROR(__xludf.DUMMYFUNCTION("""COMPUTED_VALUE"""),"1-5")</f>
        <v>1-5</v>
      </c>
      <c r="C279" s="1" t="str">
        <f>IFERROR(__xludf.DUMMYFUNCTION("""COMPUTED_VALUE"""),"60,000,000UC-80,000,000UC")</f>
        <v>60,000,000UC-80,000,000UC</v>
      </c>
      <c r="D279" s="73" t="str">
        <f>IFERROR(__xludf.DUMMYFUNCTION("""COMPUTED_VALUE"""),"6-10")</f>
        <v>6-10</v>
      </c>
      <c r="E279" s="1" t="str">
        <f>IFERROR(__xludf.DUMMYFUNCTION("""COMPUTED_VALUE"""),"20,000,000UC-40,000,000UC")</f>
        <v>20,000,000UC-40,000,000UC</v>
      </c>
      <c r="F279" s="73" t="str">
        <f>IFERROR(__xludf.DUMMYFUNCTION("""COMPUTED_VALUE"""),"11-15")</f>
        <v>11-15</v>
      </c>
      <c r="G279" s="1" t="str">
        <f>IFERROR(__xludf.DUMMYFUNCTION("""COMPUTED_VALUE"""),"40,000,000UC-60,000,000UC")</f>
        <v>40,000,000UC-60,000,000UC</v>
      </c>
      <c r="H279" s="73" t="str">
        <f>IFERROR(__xludf.DUMMYFUNCTION("""COMPUTED_VALUE"""),"16-20")</f>
        <v>16-20</v>
      </c>
      <c r="I279" s="1" t="str">
        <f>IFERROR(__xludf.DUMMYFUNCTION("""COMPUTED_VALUE"""),"Soul")</f>
        <v>Soul</v>
      </c>
      <c r="J279" s="73" t="str">
        <f>IFERROR(__xludf.DUMMYFUNCTION("""COMPUTED_VALUE"""),"21-25")</f>
        <v>21-25</v>
      </c>
      <c r="K279" s="1" t="str">
        <f>IFERROR(__xludf.DUMMYFUNCTION("""COMPUTED_VALUE"""),"Egg")</f>
        <v>Egg</v>
      </c>
      <c r="L279" s="1"/>
      <c r="M279" s="1"/>
      <c r="N279" s="1"/>
      <c r="O279" s="1"/>
      <c r="P279" s="1"/>
      <c r="Q279" s="1"/>
      <c r="R279" s="1"/>
      <c r="S279" s="1"/>
      <c r="T279" s="1"/>
      <c r="U279" s="1"/>
      <c r="V279" s="1"/>
      <c r="W279" s="1"/>
      <c r="X279" s="1"/>
    </row>
    <row r="280" ht="15.75" customHeight="1">
      <c r="A280" s="1" t="str">
        <f>IFERROR(__xludf.DUMMYFUNCTION("""COMPUTED_VALUE"""),"Giant Magma Snail")</f>
        <v>Giant Magma Snail</v>
      </c>
      <c r="B280" s="73" t="str">
        <f>IFERROR(__xludf.DUMMYFUNCTION("""COMPUTED_VALUE"""),"1-5")</f>
        <v>1-5</v>
      </c>
      <c r="C280" s="1" t="str">
        <f>IFERROR(__xludf.DUMMYFUNCTION("""COMPUTED_VALUE"""),"60,000,000UC-80,000,000UC")</f>
        <v>60,000,000UC-80,000,000UC</v>
      </c>
      <c r="D280" s="73" t="str">
        <f>IFERROR(__xludf.DUMMYFUNCTION("""COMPUTED_VALUE"""),"6-10")</f>
        <v>6-10</v>
      </c>
      <c r="E280" s="1" t="str">
        <f>IFERROR(__xludf.DUMMYFUNCTION("""COMPUTED_VALUE"""),"20,000,000UC-40,000,000UC")</f>
        <v>20,000,000UC-40,000,000UC</v>
      </c>
      <c r="F280" s="73" t="str">
        <f>IFERROR(__xludf.DUMMYFUNCTION("""COMPUTED_VALUE"""),"11-15")</f>
        <v>11-15</v>
      </c>
      <c r="G280" s="1" t="str">
        <f>IFERROR(__xludf.DUMMYFUNCTION("""COMPUTED_VALUE"""),"40,000,000UC-60,000,000UC")</f>
        <v>40,000,000UC-60,000,000UC</v>
      </c>
      <c r="H280" s="73" t="str">
        <f>IFERROR(__xludf.DUMMYFUNCTION("""COMPUTED_VALUE"""),"16-20")</f>
        <v>16-20</v>
      </c>
      <c r="I280" s="1" t="str">
        <f>IFERROR(__xludf.DUMMYFUNCTION("""COMPUTED_VALUE"""),"Soul")</f>
        <v>Soul</v>
      </c>
      <c r="J280" s="73" t="str">
        <f>IFERROR(__xludf.DUMMYFUNCTION("""COMPUTED_VALUE"""),"21-25")</f>
        <v>21-25</v>
      </c>
      <c r="K280" s="1" t="str">
        <f>IFERROR(__xludf.DUMMYFUNCTION("""COMPUTED_VALUE"""),"Egg")</f>
        <v>Egg</v>
      </c>
      <c r="L280" s="1"/>
      <c r="M280" s="1"/>
      <c r="N280" s="1"/>
      <c r="O280" s="1"/>
      <c r="P280" s="1"/>
      <c r="Q280" s="1"/>
      <c r="R280" s="1"/>
      <c r="S280" s="1"/>
      <c r="T280" s="1"/>
      <c r="U280" s="1"/>
      <c r="V280" s="1"/>
      <c r="W280" s="1"/>
      <c r="X280" s="1"/>
    </row>
    <row r="281" ht="15.75" customHeight="1">
      <c r="A281" s="1" t="str">
        <f>IFERROR(__xludf.DUMMYFUNCTION("""COMPUTED_VALUE"""),"Mr. Skeleton")</f>
        <v>Mr. Skeleton</v>
      </c>
      <c r="B281" s="73" t="str">
        <f>IFERROR(__xludf.DUMMYFUNCTION("""COMPUTED_VALUE"""),"1-5")</f>
        <v>1-5</v>
      </c>
      <c r="C281" s="1" t="str">
        <f>IFERROR(__xludf.DUMMYFUNCTION("""COMPUTED_VALUE"""),"60,000,000UC-80,000,000UC")</f>
        <v>60,000,000UC-80,000,000UC</v>
      </c>
      <c r="D281" s="73" t="str">
        <f>IFERROR(__xludf.DUMMYFUNCTION("""COMPUTED_VALUE"""),"6-10")</f>
        <v>6-10</v>
      </c>
      <c r="E281" s="1" t="str">
        <f>IFERROR(__xludf.DUMMYFUNCTION("""COMPUTED_VALUE"""),"20,000,000UC-40,000,000UC")</f>
        <v>20,000,000UC-40,000,000UC</v>
      </c>
      <c r="F281" s="73" t="str">
        <f>IFERROR(__xludf.DUMMYFUNCTION("""COMPUTED_VALUE"""),"11-15")</f>
        <v>11-15</v>
      </c>
      <c r="G281" s="1" t="str">
        <f>IFERROR(__xludf.DUMMYFUNCTION("""COMPUTED_VALUE"""),"40,000,000UC-60,000,000UC")</f>
        <v>40,000,000UC-60,000,000UC</v>
      </c>
      <c r="H281" s="73" t="str">
        <f>IFERROR(__xludf.DUMMYFUNCTION("""COMPUTED_VALUE"""),"16-20")</f>
        <v>16-20</v>
      </c>
      <c r="I281" s="1" t="str">
        <f>IFERROR(__xludf.DUMMYFUNCTION("""COMPUTED_VALUE"""),"Soul")</f>
        <v>Soul</v>
      </c>
      <c r="J281" s="73" t="str">
        <f>IFERROR(__xludf.DUMMYFUNCTION("""COMPUTED_VALUE"""),"21-25")</f>
        <v>21-25</v>
      </c>
      <c r="K281" s="1" t="str">
        <f>IFERROR(__xludf.DUMMYFUNCTION("""COMPUTED_VALUE"""),"Nothing")</f>
        <v>Nothing</v>
      </c>
      <c r="L281" s="1"/>
      <c r="M281" s="1"/>
      <c r="N281" s="1"/>
      <c r="O281" s="1"/>
      <c r="P281" s="1"/>
      <c r="Q281" s="1"/>
      <c r="R281" s="1"/>
      <c r="S281" s="1"/>
      <c r="T281" s="1"/>
      <c r="U281" s="1"/>
      <c r="V281" s="1"/>
      <c r="W281" s="1"/>
      <c r="X281" s="1"/>
    </row>
    <row r="282" ht="15.75" customHeight="1">
      <c r="A282" s="1" t="str">
        <f>IFERROR(__xludf.DUMMYFUNCTION("""COMPUTED_VALUE"""),"Flaming Duck")</f>
        <v>Flaming Duck</v>
      </c>
      <c r="B282" s="73" t="str">
        <f>IFERROR(__xludf.DUMMYFUNCTION("""COMPUTED_VALUE"""),"1-5")</f>
        <v>1-5</v>
      </c>
      <c r="C282" s="1" t="str">
        <f>IFERROR(__xludf.DUMMYFUNCTION("""COMPUTED_VALUE"""),"60,000,000UC-80,000,000UC")</f>
        <v>60,000,000UC-80,000,000UC</v>
      </c>
      <c r="D282" s="73" t="str">
        <f>IFERROR(__xludf.DUMMYFUNCTION("""COMPUTED_VALUE"""),"6-10")</f>
        <v>6-10</v>
      </c>
      <c r="E282" s="1" t="str">
        <f>IFERROR(__xludf.DUMMYFUNCTION("""COMPUTED_VALUE"""),"Flaming Feathers")</f>
        <v>Flaming Feathers</v>
      </c>
      <c r="F282" s="73" t="str">
        <f>IFERROR(__xludf.DUMMYFUNCTION("""COMPUTED_VALUE"""),"11-15")</f>
        <v>11-15</v>
      </c>
      <c r="G282" s="1" t="str">
        <f>IFERROR(__xludf.DUMMYFUNCTION("""COMPUTED_VALUE"""),"40,000,000UC-60,000,000UC")</f>
        <v>40,000,000UC-60,000,000UC</v>
      </c>
      <c r="H282" s="73" t="str">
        <f>IFERROR(__xludf.DUMMYFUNCTION("""COMPUTED_VALUE"""),"16-20")</f>
        <v>16-20</v>
      </c>
      <c r="I282" s="1" t="str">
        <f>IFERROR(__xludf.DUMMYFUNCTION("""COMPUTED_VALUE"""),"Soul")</f>
        <v>Soul</v>
      </c>
      <c r="J282" s="73" t="str">
        <f>IFERROR(__xludf.DUMMYFUNCTION("""COMPUTED_VALUE"""),"21-25")</f>
        <v>21-25</v>
      </c>
      <c r="K282" s="1" t="str">
        <f>IFERROR(__xludf.DUMMYFUNCTION("""COMPUTED_VALUE"""),"Egg")</f>
        <v>Egg</v>
      </c>
      <c r="L282" s="1"/>
      <c r="M282" s="1"/>
      <c r="N282" s="1"/>
      <c r="O282" s="1"/>
      <c r="P282" s="1"/>
      <c r="Q282" s="1"/>
      <c r="R282" s="1"/>
      <c r="S282" s="1"/>
      <c r="T282" s="1"/>
      <c r="U282" s="1"/>
      <c r="V282" s="1"/>
      <c r="W282" s="1"/>
      <c r="X282" s="1"/>
    </row>
    <row r="283" ht="15.75" customHeight="1">
      <c r="A283" s="1" t="str">
        <f>IFERROR(__xludf.DUMMYFUNCTION("""COMPUTED_VALUE"""),"Flaming Buffalo")</f>
        <v>Flaming Buffalo</v>
      </c>
      <c r="B283" s="73" t="str">
        <f>IFERROR(__xludf.DUMMYFUNCTION("""COMPUTED_VALUE"""),"1-5")</f>
        <v>1-5</v>
      </c>
      <c r="C283" s="1" t="str">
        <f>IFERROR(__xludf.DUMMYFUNCTION("""COMPUTED_VALUE"""),"60,000,000UC-80,000,000UC")</f>
        <v>60,000,000UC-80,000,000UC</v>
      </c>
      <c r="D283" s="73" t="str">
        <f>IFERROR(__xludf.DUMMYFUNCTION("""COMPUTED_VALUE"""),"6-10")</f>
        <v>6-10</v>
      </c>
      <c r="E283" s="1" t="str">
        <f>IFERROR(__xludf.DUMMYFUNCTION("""COMPUTED_VALUE"""),"20,000,000UC-40,000,000UC")</f>
        <v>20,000,000UC-40,000,000UC</v>
      </c>
      <c r="F283" s="73" t="str">
        <f>IFERROR(__xludf.DUMMYFUNCTION("""COMPUTED_VALUE"""),"11-15")</f>
        <v>11-15</v>
      </c>
      <c r="G283" s="1" t="str">
        <f>IFERROR(__xludf.DUMMYFUNCTION("""COMPUTED_VALUE"""),"40,000,000UC-60,000,000UC")</f>
        <v>40,000,000UC-60,000,000UC</v>
      </c>
      <c r="H283" s="73" t="str">
        <f>IFERROR(__xludf.DUMMYFUNCTION("""COMPUTED_VALUE"""),"16-20")</f>
        <v>16-20</v>
      </c>
      <c r="I283" s="1" t="str">
        <f>IFERROR(__xludf.DUMMYFUNCTION("""COMPUTED_VALUE"""),"Soul")</f>
        <v>Soul</v>
      </c>
      <c r="J283" s="73" t="str">
        <f>IFERROR(__xludf.DUMMYFUNCTION("""COMPUTED_VALUE"""),"21-25")</f>
        <v>21-25</v>
      </c>
      <c r="K283" s="1" t="str">
        <f>IFERROR(__xludf.DUMMYFUNCTION("""COMPUTED_VALUE"""),"Egg")</f>
        <v>Egg</v>
      </c>
      <c r="L283" s="1"/>
      <c r="M283" s="1"/>
      <c r="N283" s="1"/>
      <c r="O283" s="1"/>
      <c r="P283" s="1"/>
      <c r="Q283" s="1"/>
      <c r="R283" s="1"/>
      <c r="S283" s="1"/>
      <c r="T283" s="1"/>
      <c r="U283" s="1"/>
      <c r="V283" s="1"/>
      <c r="W283" s="1"/>
      <c r="X283" s="1"/>
    </row>
    <row r="284" ht="15.75" customHeight="1">
      <c r="A284" s="1" t="str">
        <f>IFERROR(__xludf.DUMMYFUNCTION("""COMPUTED_VALUE"""),"Inferno Tree Walker")</f>
        <v>Inferno Tree Walker</v>
      </c>
      <c r="B284" s="73" t="str">
        <f>IFERROR(__xludf.DUMMYFUNCTION("""COMPUTED_VALUE"""),"1-5")</f>
        <v>1-5</v>
      </c>
      <c r="C284" s="1" t="str">
        <f>IFERROR(__xludf.DUMMYFUNCTION("""COMPUTED_VALUE"""),"60,000,000UC-80,000,000UC")</f>
        <v>60,000,000UC-80,000,000UC</v>
      </c>
      <c r="D284" s="73" t="str">
        <f>IFERROR(__xludf.DUMMYFUNCTION("""COMPUTED_VALUE"""),"6-10")</f>
        <v>6-10</v>
      </c>
      <c r="E284" s="1" t="str">
        <f>IFERROR(__xludf.DUMMYFUNCTION("""COMPUTED_VALUE"""),"20,000,000UC-40,000,000UC")</f>
        <v>20,000,000UC-40,000,000UC</v>
      </c>
      <c r="F284" s="73" t="str">
        <f>IFERROR(__xludf.DUMMYFUNCTION("""COMPUTED_VALUE"""),"11-15")</f>
        <v>11-15</v>
      </c>
      <c r="G284" s="1" t="str">
        <f>IFERROR(__xludf.DUMMYFUNCTION("""COMPUTED_VALUE"""),"40,000,000UC-60,000,000UC")</f>
        <v>40,000,000UC-60,000,000UC</v>
      </c>
      <c r="H284" s="73" t="str">
        <f>IFERROR(__xludf.DUMMYFUNCTION("""COMPUTED_VALUE"""),"16-20")</f>
        <v>16-20</v>
      </c>
      <c r="I284" s="1" t="str">
        <f>IFERROR(__xludf.DUMMYFUNCTION("""COMPUTED_VALUE"""),"Soul")</f>
        <v>Soul</v>
      </c>
      <c r="J284" s="73" t="str">
        <f>IFERROR(__xludf.DUMMYFUNCTION("""COMPUTED_VALUE"""),"21-25")</f>
        <v>21-25</v>
      </c>
      <c r="K284" s="1" t="str">
        <f>IFERROR(__xludf.DUMMYFUNCTION("""COMPUTED_VALUE"""),"Nothing")</f>
        <v>Nothing</v>
      </c>
      <c r="L284" s="1"/>
      <c r="M284" s="1"/>
      <c r="N284" s="1"/>
      <c r="O284" s="1"/>
      <c r="P284" s="1"/>
      <c r="Q284" s="1"/>
      <c r="R284" s="1"/>
      <c r="S284" s="1"/>
      <c r="T284" s="1"/>
      <c r="U284" s="1"/>
      <c r="V284" s="1"/>
      <c r="W284" s="1"/>
      <c r="X284" s="1"/>
    </row>
    <row r="285" ht="15.75" customHeight="1">
      <c r="A285" s="1" t="str">
        <f>IFERROR(__xludf.DUMMYFUNCTION("""COMPUTED_VALUE"""),"The Purple Necromancer")</f>
        <v>The Purple Necromancer</v>
      </c>
      <c r="B285" s="73" t="str">
        <f>IFERROR(__xludf.DUMMYFUNCTION("""COMPUTED_VALUE"""),"1-5")</f>
        <v>1-5</v>
      </c>
      <c r="C285" s="1" t="str">
        <f>IFERROR(__xludf.DUMMYFUNCTION("""COMPUTED_VALUE"""),"60,000,000UC-80,000,000UC")</f>
        <v>60,000,000UC-80,000,000UC</v>
      </c>
      <c r="D285" s="73" t="str">
        <f>IFERROR(__xludf.DUMMYFUNCTION("""COMPUTED_VALUE"""),"6-10")</f>
        <v>6-10</v>
      </c>
      <c r="E285" s="1" t="str">
        <f>IFERROR(__xludf.DUMMYFUNCTION("""COMPUTED_VALUE"""),"20,000,000UC-40,000,000UC")</f>
        <v>20,000,000UC-40,000,000UC</v>
      </c>
      <c r="F285" s="73" t="str">
        <f>IFERROR(__xludf.DUMMYFUNCTION("""COMPUTED_VALUE"""),"11-15")</f>
        <v>11-15</v>
      </c>
      <c r="G285" s="1" t="str">
        <f>IFERROR(__xludf.DUMMYFUNCTION("""COMPUTED_VALUE"""),"40,000,000UC-60,000,000UC")</f>
        <v>40,000,000UC-60,000,000UC</v>
      </c>
      <c r="H285" s="73" t="str">
        <f>IFERROR(__xludf.DUMMYFUNCTION("""COMPUTED_VALUE"""),"16-20")</f>
        <v>16-20</v>
      </c>
      <c r="I285" s="1" t="str">
        <f>IFERROR(__xludf.DUMMYFUNCTION("""COMPUTED_VALUE"""),"Soul")</f>
        <v>Soul</v>
      </c>
      <c r="J285" s="73" t="str">
        <f>IFERROR(__xludf.DUMMYFUNCTION("""COMPUTED_VALUE"""),"21-25")</f>
        <v>21-25</v>
      </c>
      <c r="K285" s="1" t="str">
        <f>IFERROR(__xludf.DUMMYFUNCTION("""COMPUTED_VALUE"""),"Nothing")</f>
        <v>Nothing</v>
      </c>
      <c r="L285" s="1"/>
      <c r="M285" s="1"/>
      <c r="N285" s="1"/>
      <c r="O285" s="1"/>
      <c r="P285" s="1"/>
      <c r="Q285" s="1"/>
      <c r="R285" s="1"/>
      <c r="S285" s="1"/>
      <c r="T285" s="1"/>
      <c r="U285" s="1"/>
      <c r="V285" s="1"/>
      <c r="W285" s="1"/>
      <c r="X285" s="1"/>
    </row>
    <row r="286" ht="15.75" customHeight="1">
      <c r="A286" s="1" t="str">
        <f>IFERROR(__xludf.DUMMYFUNCTION("""COMPUTED_VALUE"""),"Black Soul")</f>
        <v>Black Soul</v>
      </c>
      <c r="B286" s="73" t="str">
        <f>IFERROR(__xludf.DUMMYFUNCTION("""COMPUTED_VALUE"""),"1-5")</f>
        <v>1-5</v>
      </c>
      <c r="C286" s="1" t="str">
        <f>IFERROR(__xludf.DUMMYFUNCTION("""COMPUTED_VALUE"""),"60,000,000UC-80,000,000UC")</f>
        <v>60,000,000UC-80,000,000UC</v>
      </c>
      <c r="D286" s="73" t="str">
        <f>IFERROR(__xludf.DUMMYFUNCTION("""COMPUTED_VALUE"""),"6-10")</f>
        <v>6-10</v>
      </c>
      <c r="E286" s="1" t="str">
        <f>IFERROR(__xludf.DUMMYFUNCTION("""COMPUTED_VALUE"""),"20,000,000UC-40,000,000UC")</f>
        <v>20,000,000UC-40,000,000UC</v>
      </c>
      <c r="F286" s="73" t="str">
        <f>IFERROR(__xludf.DUMMYFUNCTION("""COMPUTED_VALUE"""),"11-15")</f>
        <v>11-15</v>
      </c>
      <c r="G286" s="1" t="str">
        <f>IFERROR(__xludf.DUMMYFUNCTION("""COMPUTED_VALUE"""),"40,000,000UC-60,000,000UC")</f>
        <v>40,000,000UC-60,000,000UC</v>
      </c>
      <c r="H286" s="73" t="str">
        <f>IFERROR(__xludf.DUMMYFUNCTION("""COMPUTED_VALUE"""),"16-20")</f>
        <v>16-20</v>
      </c>
      <c r="I286" s="1" t="str">
        <f>IFERROR(__xludf.DUMMYFUNCTION("""COMPUTED_VALUE"""),"Soul")</f>
        <v>Soul</v>
      </c>
      <c r="J286" s="73" t="str">
        <f>IFERROR(__xludf.DUMMYFUNCTION("""COMPUTED_VALUE"""),"21-25")</f>
        <v>21-25</v>
      </c>
      <c r="K286" s="1" t="str">
        <f>IFERROR(__xludf.DUMMYFUNCTION("""COMPUTED_VALUE"""),"Egg")</f>
        <v>Egg</v>
      </c>
      <c r="L286" s="1"/>
      <c r="M286" s="1"/>
      <c r="N286" s="1"/>
      <c r="O286" s="1"/>
      <c r="P286" s="1"/>
      <c r="Q286" s="1"/>
      <c r="R286" s="1"/>
      <c r="S286" s="1"/>
      <c r="T286" s="1"/>
      <c r="U286" s="1"/>
      <c r="V286" s="1"/>
      <c r="W286" s="1"/>
      <c r="X286" s="1"/>
    </row>
    <row r="287" ht="15.75" customHeight="1">
      <c r="A287" s="1" t="str">
        <f>IFERROR(__xludf.DUMMYFUNCTION("""COMPUTED_VALUE"""),"Brown Soul")</f>
        <v>Brown Soul</v>
      </c>
      <c r="B287" s="73" t="str">
        <f>IFERROR(__xludf.DUMMYFUNCTION("""COMPUTED_VALUE"""),"1-5")</f>
        <v>1-5</v>
      </c>
      <c r="C287" s="1" t="str">
        <f>IFERROR(__xludf.DUMMYFUNCTION("""COMPUTED_VALUE"""),"60,000,000UC-80,000,000UC")</f>
        <v>60,000,000UC-80,000,000UC</v>
      </c>
      <c r="D287" s="73" t="str">
        <f>IFERROR(__xludf.DUMMYFUNCTION("""COMPUTED_VALUE"""),"6-10")</f>
        <v>6-10</v>
      </c>
      <c r="E287" s="1" t="str">
        <f>IFERROR(__xludf.DUMMYFUNCTION("""COMPUTED_VALUE"""),"20,000,000UC-40,000,000UC")</f>
        <v>20,000,000UC-40,000,000UC</v>
      </c>
      <c r="F287" s="73" t="str">
        <f>IFERROR(__xludf.DUMMYFUNCTION("""COMPUTED_VALUE"""),"11-15")</f>
        <v>11-15</v>
      </c>
      <c r="G287" s="1" t="str">
        <f>IFERROR(__xludf.DUMMYFUNCTION("""COMPUTED_VALUE"""),"40,000,000UC-60,000,000UC")</f>
        <v>40,000,000UC-60,000,000UC</v>
      </c>
      <c r="H287" s="73" t="str">
        <f>IFERROR(__xludf.DUMMYFUNCTION("""COMPUTED_VALUE"""),"16-20")</f>
        <v>16-20</v>
      </c>
      <c r="I287" s="1" t="str">
        <f>IFERROR(__xludf.DUMMYFUNCTION("""COMPUTED_VALUE"""),"Soul")</f>
        <v>Soul</v>
      </c>
      <c r="J287" s="73" t="str">
        <f>IFERROR(__xludf.DUMMYFUNCTION("""COMPUTED_VALUE"""),"21-25")</f>
        <v>21-25</v>
      </c>
      <c r="K287" s="1" t="str">
        <f>IFERROR(__xludf.DUMMYFUNCTION("""COMPUTED_VALUE"""),"Egg")</f>
        <v>Egg</v>
      </c>
      <c r="L287" s="1"/>
      <c r="M287" s="1"/>
      <c r="N287" s="1"/>
      <c r="O287" s="1"/>
      <c r="P287" s="1"/>
      <c r="Q287" s="1"/>
      <c r="R287" s="1"/>
      <c r="S287" s="1"/>
      <c r="T287" s="1"/>
      <c r="U287" s="1"/>
      <c r="V287" s="1"/>
      <c r="W287" s="1"/>
      <c r="X287" s="1"/>
    </row>
    <row r="288" ht="15.75" customHeight="1">
      <c r="A288" s="1" t="str">
        <f>IFERROR(__xludf.DUMMYFUNCTION("""COMPUTED_VALUE"""),"White Soul")</f>
        <v>White Soul</v>
      </c>
      <c r="B288" s="73" t="str">
        <f>IFERROR(__xludf.DUMMYFUNCTION("""COMPUTED_VALUE"""),"1-5")</f>
        <v>1-5</v>
      </c>
      <c r="C288" s="1" t="str">
        <f>IFERROR(__xludf.DUMMYFUNCTION("""COMPUTED_VALUE"""),"60,000,000UC-80,000,000UC")</f>
        <v>60,000,000UC-80,000,000UC</v>
      </c>
      <c r="D288" s="73" t="str">
        <f>IFERROR(__xludf.DUMMYFUNCTION("""COMPUTED_VALUE"""),"6-10")</f>
        <v>6-10</v>
      </c>
      <c r="E288" s="1" t="str">
        <f>IFERROR(__xludf.DUMMYFUNCTION("""COMPUTED_VALUE"""),"20,000,000UC-40,000,000UC")</f>
        <v>20,000,000UC-40,000,000UC</v>
      </c>
      <c r="F288" s="73" t="str">
        <f>IFERROR(__xludf.DUMMYFUNCTION("""COMPUTED_VALUE"""),"11-15")</f>
        <v>11-15</v>
      </c>
      <c r="G288" s="1" t="str">
        <f>IFERROR(__xludf.DUMMYFUNCTION("""COMPUTED_VALUE"""),"40,000,000UC-60,000,000UC")</f>
        <v>40,000,000UC-60,000,000UC</v>
      </c>
      <c r="H288" s="73" t="str">
        <f>IFERROR(__xludf.DUMMYFUNCTION("""COMPUTED_VALUE"""),"16-20")</f>
        <v>16-20</v>
      </c>
      <c r="I288" s="1" t="str">
        <f>IFERROR(__xludf.DUMMYFUNCTION("""COMPUTED_VALUE"""),"Soul")</f>
        <v>Soul</v>
      </c>
      <c r="J288" s="73" t="str">
        <f>IFERROR(__xludf.DUMMYFUNCTION("""COMPUTED_VALUE"""),"21-25")</f>
        <v>21-25</v>
      </c>
      <c r="K288" s="1" t="str">
        <f>IFERROR(__xludf.DUMMYFUNCTION("""COMPUTED_VALUE"""),"Egg")</f>
        <v>Egg</v>
      </c>
      <c r="L288" s="1"/>
      <c r="M288" s="1"/>
      <c r="N288" s="1"/>
      <c r="O288" s="1"/>
      <c r="P288" s="1"/>
      <c r="Q288" s="1"/>
      <c r="R288" s="1"/>
      <c r="S288" s="1"/>
      <c r="T288" s="1"/>
      <c r="U288" s="1"/>
      <c r="V288" s="1"/>
      <c r="W288" s="1"/>
      <c r="X288" s="1"/>
    </row>
    <row r="289" ht="15.75" customHeight="1">
      <c r="A289" s="1" t="str">
        <f>IFERROR(__xludf.DUMMYFUNCTION("""COMPUTED_VALUE"""),"Gray Soul")</f>
        <v>Gray Soul</v>
      </c>
      <c r="B289" s="73" t="str">
        <f>IFERROR(__xludf.DUMMYFUNCTION("""COMPUTED_VALUE"""),"1-5")</f>
        <v>1-5</v>
      </c>
      <c r="C289" s="1" t="str">
        <f>IFERROR(__xludf.DUMMYFUNCTION("""COMPUTED_VALUE"""),"60,000,000UC-80,000,000UC")</f>
        <v>60,000,000UC-80,000,000UC</v>
      </c>
      <c r="D289" s="73" t="str">
        <f>IFERROR(__xludf.DUMMYFUNCTION("""COMPUTED_VALUE"""),"6-10")</f>
        <v>6-10</v>
      </c>
      <c r="E289" s="1" t="str">
        <f>IFERROR(__xludf.DUMMYFUNCTION("""COMPUTED_VALUE"""),"20,000,000UC-40,000,000UC")</f>
        <v>20,000,000UC-40,000,000UC</v>
      </c>
      <c r="F289" s="73" t="str">
        <f>IFERROR(__xludf.DUMMYFUNCTION("""COMPUTED_VALUE"""),"11-15")</f>
        <v>11-15</v>
      </c>
      <c r="G289" s="1" t="str">
        <f>IFERROR(__xludf.DUMMYFUNCTION("""COMPUTED_VALUE"""),"40,000,000UC-60,000,000UC")</f>
        <v>40,000,000UC-60,000,000UC</v>
      </c>
      <c r="H289" s="73" t="str">
        <f>IFERROR(__xludf.DUMMYFUNCTION("""COMPUTED_VALUE"""),"16-20")</f>
        <v>16-20</v>
      </c>
      <c r="I289" s="1" t="str">
        <f>IFERROR(__xludf.DUMMYFUNCTION("""COMPUTED_VALUE"""),"Soul")</f>
        <v>Soul</v>
      </c>
      <c r="J289" s="73" t="str">
        <f>IFERROR(__xludf.DUMMYFUNCTION("""COMPUTED_VALUE"""),"21-25")</f>
        <v>21-25</v>
      </c>
      <c r="K289" s="1" t="str">
        <f>IFERROR(__xludf.DUMMYFUNCTION("""COMPUTED_VALUE"""),"Egg")</f>
        <v>Egg</v>
      </c>
      <c r="L289" s="1"/>
      <c r="M289" s="1"/>
      <c r="N289" s="1"/>
      <c r="O289" s="1"/>
      <c r="P289" s="1"/>
      <c r="Q289" s="1"/>
      <c r="R289" s="1"/>
      <c r="S289" s="1"/>
      <c r="T289" s="1"/>
      <c r="U289" s="1"/>
      <c r="V289" s="1"/>
      <c r="W289" s="1"/>
      <c r="X289" s="1"/>
    </row>
    <row r="290" ht="15.75" customHeight="1">
      <c r="A290" s="1" t="str">
        <f>IFERROR(__xludf.DUMMYFUNCTION("""COMPUTED_VALUE"""),"Flaming King Duck")</f>
        <v>Flaming King Duck</v>
      </c>
      <c r="B290" s="73" t="str">
        <f>IFERROR(__xludf.DUMMYFUNCTION("""COMPUTED_VALUE"""),"1-5")</f>
        <v>1-5</v>
      </c>
      <c r="C290" s="1" t="str">
        <f>IFERROR(__xludf.DUMMYFUNCTION("""COMPUTED_VALUE"""),"60,000,000UC-80,000,000UC")</f>
        <v>60,000,000UC-80,000,000UC</v>
      </c>
      <c r="D290" s="73" t="str">
        <f>IFERROR(__xludf.DUMMYFUNCTION("""COMPUTED_VALUE"""),"6-10")</f>
        <v>6-10</v>
      </c>
      <c r="E290" s="1" t="str">
        <f>IFERROR(__xludf.DUMMYFUNCTION("""COMPUTED_VALUE"""),"20,000,000UC-40,000,000UC")</f>
        <v>20,000,000UC-40,000,000UC</v>
      </c>
      <c r="F290" s="73" t="str">
        <f>IFERROR(__xludf.DUMMYFUNCTION("""COMPUTED_VALUE"""),"11-15")</f>
        <v>11-15</v>
      </c>
      <c r="G290" s="1" t="str">
        <f>IFERROR(__xludf.DUMMYFUNCTION("""COMPUTED_VALUE"""),"40,000,000UC-60,000,000UC")</f>
        <v>40,000,000UC-60,000,000UC</v>
      </c>
      <c r="H290" s="73" t="str">
        <f>IFERROR(__xludf.DUMMYFUNCTION("""COMPUTED_VALUE"""),"16-20")</f>
        <v>16-20</v>
      </c>
      <c r="I290" s="1" t="str">
        <f>IFERROR(__xludf.DUMMYFUNCTION("""COMPUTED_VALUE"""),"Soul")</f>
        <v>Soul</v>
      </c>
      <c r="J290" s="73" t="str">
        <f>IFERROR(__xludf.DUMMYFUNCTION("""COMPUTED_VALUE"""),"21-25")</f>
        <v>21-25</v>
      </c>
      <c r="K290" s="1" t="str">
        <f>IFERROR(__xludf.DUMMYFUNCTION("""COMPUTED_VALUE"""),"Nothing")</f>
        <v>Nothing</v>
      </c>
      <c r="L290" s="1"/>
      <c r="M290" s="1"/>
      <c r="N290" s="1"/>
      <c r="O290" s="1"/>
      <c r="P290" s="1"/>
      <c r="Q290" s="1"/>
      <c r="R290" s="1"/>
      <c r="S290" s="1"/>
      <c r="T290" s="1"/>
      <c r="U290" s="1"/>
      <c r="V290" s="1"/>
      <c r="W290" s="1"/>
      <c r="X290" s="1"/>
    </row>
    <row r="291" ht="15.75" customHeight="1">
      <c r="A291" s="1" t="str">
        <f>IFERROR(__xludf.DUMMYFUNCTION("""COMPUTED_VALUE"""),"Flaming Monkey")</f>
        <v>Flaming Monkey</v>
      </c>
      <c r="B291" s="73" t="str">
        <f>IFERROR(__xludf.DUMMYFUNCTION("""COMPUTED_VALUE"""),"1-5")</f>
        <v>1-5</v>
      </c>
      <c r="C291" s="1" t="str">
        <f>IFERROR(__xludf.DUMMYFUNCTION("""COMPUTED_VALUE"""),"60,000,000UC-80,000,000UC")</f>
        <v>60,000,000UC-80,000,000UC</v>
      </c>
      <c r="D291" s="73" t="str">
        <f>IFERROR(__xludf.DUMMYFUNCTION("""COMPUTED_VALUE"""),"6-10")</f>
        <v>6-10</v>
      </c>
      <c r="E291" s="1" t="str">
        <f>IFERROR(__xludf.DUMMYFUNCTION("""COMPUTED_VALUE"""),"20,000,000UC-40,000,000UC")</f>
        <v>20,000,000UC-40,000,000UC</v>
      </c>
      <c r="F291" s="73" t="str">
        <f>IFERROR(__xludf.DUMMYFUNCTION("""COMPUTED_VALUE"""),"11-15")</f>
        <v>11-15</v>
      </c>
      <c r="G291" s="1" t="str">
        <f>IFERROR(__xludf.DUMMYFUNCTION("""COMPUTED_VALUE"""),"40,000,000UC-60,000,000UC")</f>
        <v>40,000,000UC-60,000,000UC</v>
      </c>
      <c r="H291" s="73" t="str">
        <f>IFERROR(__xludf.DUMMYFUNCTION("""COMPUTED_VALUE"""),"16-20")</f>
        <v>16-20</v>
      </c>
      <c r="I291" s="1" t="str">
        <f>IFERROR(__xludf.DUMMYFUNCTION("""COMPUTED_VALUE"""),"Soul")</f>
        <v>Soul</v>
      </c>
      <c r="J291" s="73" t="str">
        <f>IFERROR(__xludf.DUMMYFUNCTION("""COMPUTED_VALUE"""),"21-25")</f>
        <v>21-25</v>
      </c>
      <c r="K291" s="1" t="str">
        <f>IFERROR(__xludf.DUMMYFUNCTION("""COMPUTED_VALUE"""),"Egg")</f>
        <v>Egg</v>
      </c>
      <c r="L291" s="1"/>
      <c r="M291" s="1"/>
      <c r="N291" s="1"/>
      <c r="O291" s="1"/>
      <c r="P291" s="1"/>
      <c r="Q291" s="1"/>
      <c r="R291" s="1"/>
      <c r="S291" s="1"/>
      <c r="T291" s="1"/>
      <c r="U291" s="1"/>
      <c r="V291" s="1"/>
      <c r="W291" s="1"/>
      <c r="X291" s="1"/>
    </row>
    <row r="292" ht="15.75" customHeight="1">
      <c r="A292" s="1" t="str">
        <f>IFERROR(__xludf.DUMMYFUNCTION("""COMPUTED_VALUE"""),"Magma Slime")</f>
        <v>Magma Slime</v>
      </c>
      <c r="B292" s="73" t="str">
        <f>IFERROR(__xludf.DUMMYFUNCTION("""COMPUTED_VALUE"""),"1-5")</f>
        <v>1-5</v>
      </c>
      <c r="C292" s="1" t="str">
        <f>IFERROR(__xludf.DUMMYFUNCTION("""COMPUTED_VALUE"""),"60,000,000UC-80,000,000UC")</f>
        <v>60,000,000UC-80,000,000UC</v>
      </c>
      <c r="D292" s="73" t="str">
        <f>IFERROR(__xludf.DUMMYFUNCTION("""COMPUTED_VALUE"""),"6-10")</f>
        <v>6-10</v>
      </c>
      <c r="E292" s="1" t="str">
        <f>IFERROR(__xludf.DUMMYFUNCTION("""COMPUTED_VALUE"""),"20,000,000UC-40,000,000UC")</f>
        <v>20,000,000UC-40,000,000UC</v>
      </c>
      <c r="F292" s="73" t="str">
        <f>IFERROR(__xludf.DUMMYFUNCTION("""COMPUTED_VALUE"""),"11-15")</f>
        <v>11-15</v>
      </c>
      <c r="G292" s="1" t="str">
        <f>IFERROR(__xludf.DUMMYFUNCTION("""COMPUTED_VALUE"""),"40,000,000UC-60,000,000UC")</f>
        <v>40,000,000UC-60,000,000UC</v>
      </c>
      <c r="H292" s="73" t="str">
        <f>IFERROR(__xludf.DUMMYFUNCTION("""COMPUTED_VALUE"""),"16-20")</f>
        <v>16-20</v>
      </c>
      <c r="I292" s="1" t="str">
        <f>IFERROR(__xludf.DUMMYFUNCTION("""COMPUTED_VALUE"""),"Soul")</f>
        <v>Soul</v>
      </c>
      <c r="J292" s="73" t="str">
        <f>IFERROR(__xludf.DUMMYFUNCTION("""COMPUTED_VALUE"""),"21-25")</f>
        <v>21-25</v>
      </c>
      <c r="K292" s="1" t="str">
        <f>IFERROR(__xludf.DUMMYFUNCTION("""COMPUTED_VALUE"""),"Sticky Slime Guantlets")</f>
        <v>Sticky Slime Guantlets</v>
      </c>
      <c r="L292" s="1"/>
      <c r="M292" s="1"/>
      <c r="N292" s="1"/>
      <c r="O292" s="1"/>
      <c r="P292" s="1"/>
      <c r="Q292" s="1"/>
      <c r="R292" s="1"/>
      <c r="S292" s="1"/>
      <c r="T292" s="1"/>
      <c r="U292" s="1"/>
      <c r="V292" s="1"/>
      <c r="W292" s="1"/>
      <c r="X292" s="1"/>
    </row>
    <row r="293" ht="15.75" customHeight="1">
      <c r="A293" s="1" t="str">
        <f>IFERROR(__xludf.DUMMYFUNCTION("""COMPUTED_VALUE"""),"Black Serpent Dragon")</f>
        <v>Black Serpent Dragon</v>
      </c>
      <c r="B293" s="73" t="str">
        <f>IFERROR(__xludf.DUMMYFUNCTION("""COMPUTED_VALUE"""),"1-5")</f>
        <v>1-5</v>
      </c>
      <c r="C293" s="1" t="str">
        <f>IFERROR(__xludf.DUMMYFUNCTION("""COMPUTED_VALUE"""),"Black Sepent Dragon Scales")</f>
        <v>Black Sepent Dragon Scales</v>
      </c>
      <c r="D293" s="73" t="str">
        <f>IFERROR(__xludf.DUMMYFUNCTION("""COMPUTED_VALUE"""),"6-10")</f>
        <v>6-10</v>
      </c>
      <c r="E293" s="1" t="str">
        <f>IFERROR(__xludf.DUMMYFUNCTION("""COMPUTED_VALUE"""),"500,000,000UC-1,000,000,000UC")</f>
        <v>500,000,000UC-1,000,000,000UC</v>
      </c>
      <c r="F293" s="73" t="str">
        <f>IFERROR(__xludf.DUMMYFUNCTION("""COMPUTED_VALUE"""),"11-15")</f>
        <v>11-15</v>
      </c>
      <c r="G293" s="1" t="str">
        <f>IFERROR(__xludf.DUMMYFUNCTION("""COMPUTED_VALUE"""),"Soul")</f>
        <v>Soul</v>
      </c>
      <c r="H293" s="73" t="str">
        <f>IFERROR(__xludf.DUMMYFUNCTION("""COMPUTED_VALUE"""),"16-20")</f>
        <v>16-20</v>
      </c>
      <c r="I293" s="1" t="str">
        <f>IFERROR(__xludf.DUMMYFUNCTION("""COMPUTED_VALUE"""),"Black Serpent Dragon Pendant")</f>
        <v>Black Serpent Dragon Pendant</v>
      </c>
      <c r="J293" s="73" t="str">
        <f>IFERROR(__xludf.DUMMYFUNCTION("""COMPUTED_VALUE"""),"21-25")</f>
        <v>21-25</v>
      </c>
      <c r="K293" s="1" t="str">
        <f>IFERROR(__xludf.DUMMYFUNCTION("""COMPUTED_VALUE"""),"Egg")</f>
        <v>Egg</v>
      </c>
      <c r="L293" s="1"/>
      <c r="M293" s="1"/>
      <c r="N293" s="1"/>
      <c r="O293" s="1"/>
      <c r="P293" s="1"/>
      <c r="Q293" s="1"/>
      <c r="R293" s="1"/>
      <c r="S293" s="1"/>
      <c r="T293" s="1"/>
      <c r="U293" s="1"/>
      <c r="V293" s="1"/>
      <c r="W293" s="1"/>
      <c r="X293" s="1"/>
    </row>
    <row r="294" ht="15.75" customHeight="1">
      <c r="A294" s="1" t="str">
        <f>IFERROR(__xludf.DUMMYFUNCTION("""COMPUTED_VALUE"""),"Acid Slime")</f>
        <v>Acid Slime</v>
      </c>
      <c r="B294" s="73" t="str">
        <f>IFERROR(__xludf.DUMMYFUNCTION("""COMPUTED_VALUE"""),"1-5")</f>
        <v>1-5</v>
      </c>
      <c r="C294" s="1" t="str">
        <f>IFERROR(__xludf.DUMMYFUNCTION("""COMPUTED_VALUE"""),"Slime core")</f>
        <v>Slime core</v>
      </c>
      <c r="D294" s="73" t="str">
        <f>IFERROR(__xludf.DUMMYFUNCTION("""COMPUTED_VALUE"""),"6-10")</f>
        <v>6-10</v>
      </c>
      <c r="E294" s="1" t="str">
        <f>IFERROR(__xludf.DUMMYFUNCTION("""COMPUTED_VALUE"""),"40,000,000UC-60,000,000UC")</f>
        <v>40,000,000UC-60,000,000UC</v>
      </c>
      <c r="F294" s="73" t="str">
        <f>IFERROR(__xludf.DUMMYFUNCTION("""COMPUTED_VALUE"""),"11-15")</f>
        <v>11-15</v>
      </c>
      <c r="G294" s="1" t="str">
        <f>IFERROR(__xludf.DUMMYFUNCTION("""COMPUTED_VALUE"""),"Nothing")</f>
        <v>Nothing</v>
      </c>
      <c r="H294" s="73" t="str">
        <f>IFERROR(__xludf.DUMMYFUNCTION("""COMPUTED_VALUE"""),"16-20")</f>
        <v>16-20</v>
      </c>
      <c r="I294" s="1" t="str">
        <f>IFERROR(__xludf.DUMMYFUNCTION("""COMPUTED_VALUE"""),"Nothing")</f>
        <v>Nothing</v>
      </c>
      <c r="J294" s="73" t="str">
        <f>IFERROR(__xludf.DUMMYFUNCTION("""COMPUTED_VALUE"""),"21-25")</f>
        <v>21-25</v>
      </c>
      <c r="K294" s="1" t="str">
        <f>IFERROR(__xludf.DUMMYFUNCTION("""COMPUTED_VALUE"""),"Nothing")</f>
        <v>Nothing</v>
      </c>
      <c r="L294" s="1"/>
      <c r="M294" s="1"/>
      <c r="N294" s="1"/>
      <c r="O294" s="1"/>
      <c r="P294" s="1"/>
      <c r="Q294" s="1"/>
      <c r="R294" s="1"/>
      <c r="S294" s="1"/>
      <c r="T294" s="1"/>
      <c r="U294" s="1"/>
      <c r="V294" s="1"/>
      <c r="W294" s="1"/>
      <c r="X294" s="1"/>
    </row>
    <row r="295" ht="15.75" customHeight="1">
      <c r="A295" s="1" t="str">
        <f>IFERROR(__xludf.DUMMYFUNCTION("""COMPUTED_VALUE"""),"Ancient Deer Of The Forest")</f>
        <v>Ancient Deer Of The Forest</v>
      </c>
      <c r="B295" s="73" t="str">
        <f>IFERROR(__xludf.DUMMYFUNCTION("""COMPUTED_VALUE"""),"1-5")</f>
        <v>1-5</v>
      </c>
      <c r="C295" s="1" t="str">
        <f>IFERROR(__xludf.DUMMYFUNCTION("""COMPUTED_VALUE"""),"Stag Meat")</f>
        <v>Stag Meat</v>
      </c>
      <c r="D295" s="73" t="str">
        <f>IFERROR(__xludf.DUMMYFUNCTION("""COMPUTED_VALUE"""),"6-10")</f>
        <v>6-10</v>
      </c>
      <c r="E295" s="1" t="str">
        <f>IFERROR(__xludf.DUMMYFUNCTION("""COMPUTED_VALUE"""),"Stag Meat")</f>
        <v>Stag Meat</v>
      </c>
      <c r="F295" s="73" t="str">
        <f>IFERROR(__xludf.DUMMYFUNCTION("""COMPUTED_VALUE"""),"11-15")</f>
        <v>11-15</v>
      </c>
      <c r="G295" s="1"/>
      <c r="H295" s="73" t="str">
        <f>IFERROR(__xludf.DUMMYFUNCTION("""COMPUTED_VALUE"""),"16-20")</f>
        <v>16-20</v>
      </c>
      <c r="I295" s="1"/>
      <c r="J295" s="73" t="str">
        <f>IFERROR(__xludf.DUMMYFUNCTION("""COMPUTED_VALUE"""),"21-25")</f>
        <v>21-25</v>
      </c>
      <c r="K295" s="1"/>
      <c r="L295" s="1"/>
      <c r="M295" s="1"/>
      <c r="N295" s="1"/>
      <c r="O295" s="1"/>
      <c r="P295" s="1"/>
      <c r="Q295" s="1"/>
      <c r="R295" s="1"/>
      <c r="S295" s="1"/>
      <c r="T295" s="1"/>
      <c r="U295" s="1"/>
      <c r="V295" s="1"/>
      <c r="W295" s="1"/>
      <c r="X295" s="1"/>
    </row>
    <row r="296" ht="15.75" customHeight="1">
      <c r="A296" s="1" t="str">
        <f>IFERROR(__xludf.DUMMYFUNCTION("""COMPUTED_VALUE"""),"Vermouth's Guard")</f>
        <v>Vermouth's Guard</v>
      </c>
      <c r="B296" s="73" t="str">
        <f>IFERROR(__xludf.DUMMYFUNCTION("""COMPUTED_VALUE"""),"1-5")</f>
        <v>1-5</v>
      </c>
      <c r="C296" s="1" t="str">
        <f>IFERROR(__xludf.DUMMYFUNCTION("""COMPUTED_VALUE"""),"60,000,000G-80,000,000G")</f>
        <v>60,000,000G-80,000,000G</v>
      </c>
      <c r="D296" s="73" t="str">
        <f>IFERROR(__xludf.DUMMYFUNCTION("""COMPUTED_VALUE"""),"6-10")</f>
        <v>6-10</v>
      </c>
      <c r="E296" s="1" t="str">
        <f>IFERROR(__xludf.DUMMYFUNCTION("""COMPUTED_VALUE"""),"Alpha Sword")</f>
        <v>Alpha Sword</v>
      </c>
      <c r="F296" s="73" t="str">
        <f>IFERROR(__xludf.DUMMYFUNCTION("""COMPUTED_VALUE"""),"11-15")</f>
        <v>11-15</v>
      </c>
      <c r="G296" s="1" t="str">
        <f>IFERROR(__xludf.DUMMYFUNCTION("""COMPUTED_VALUE"""),"Ice Blade")</f>
        <v>Ice Blade</v>
      </c>
      <c r="H296" s="73" t="str">
        <f>IFERROR(__xludf.DUMMYFUNCTION("""COMPUTED_VALUE"""),"16-20")</f>
        <v>16-20</v>
      </c>
      <c r="I296" s="1" t="str">
        <f>IFERROR(__xludf.DUMMYFUNCTION("""COMPUTED_VALUE"""),"Rum")</f>
        <v>Rum</v>
      </c>
      <c r="J296" s="73" t="str">
        <f>IFERROR(__xludf.DUMMYFUNCTION("""COMPUTED_VALUE"""),"21-25")</f>
        <v>21-25</v>
      </c>
      <c r="K296" s="1" t="str">
        <f>IFERROR(__xludf.DUMMYFUNCTION("""COMPUTED_VALUE"""),"Smoke Bomb")</f>
        <v>Smoke Bomb</v>
      </c>
      <c r="L296" s="1"/>
      <c r="M296" s="1"/>
      <c r="N296" s="1"/>
      <c r="O296" s="1"/>
      <c r="P296" s="1"/>
      <c r="Q296" s="1"/>
      <c r="R296" s="1"/>
      <c r="S296" s="1"/>
      <c r="T296" s="1"/>
      <c r="U296" s="1"/>
      <c r="V296" s="1"/>
      <c r="W296" s="1"/>
      <c r="X296" s="1"/>
    </row>
    <row r="297" ht="15.75" customHeight="1">
      <c r="A297" s="1" t="str">
        <f>IFERROR(__xludf.DUMMYFUNCTION("""COMPUTED_VALUE"""),"Dio The Time Dragon")</f>
        <v>Dio The Time Dragon</v>
      </c>
      <c r="B297" s="73" t="str">
        <f>IFERROR(__xludf.DUMMYFUNCTION("""COMPUTED_VALUE"""),"1-5")</f>
        <v>1-5</v>
      </c>
      <c r="C297" s="1"/>
      <c r="D297" s="73" t="str">
        <f>IFERROR(__xludf.DUMMYFUNCTION("""COMPUTED_VALUE"""),"6-10")</f>
        <v>6-10</v>
      </c>
      <c r="E297" s="1"/>
      <c r="F297" s="73" t="str">
        <f>IFERROR(__xludf.DUMMYFUNCTION("""COMPUTED_VALUE"""),"11-15")</f>
        <v>11-15</v>
      </c>
      <c r="G297" s="1"/>
      <c r="H297" s="73" t="str">
        <f>IFERROR(__xludf.DUMMYFUNCTION("""COMPUTED_VALUE"""),"16-20")</f>
        <v>16-20</v>
      </c>
      <c r="I297" s="1"/>
      <c r="J297" s="73" t="str">
        <f>IFERROR(__xludf.DUMMYFUNCTION("""COMPUTED_VALUE"""),"21-25")</f>
        <v>21-25</v>
      </c>
      <c r="K297" s="1"/>
      <c r="L297" s="1"/>
      <c r="M297" s="1"/>
      <c r="N297" s="1"/>
      <c r="O297" s="1"/>
      <c r="P297" s="1"/>
      <c r="Q297" s="1"/>
      <c r="R297" s="1"/>
      <c r="S297" s="1"/>
      <c r="T297" s="1"/>
      <c r="U297" s="1"/>
      <c r="V297" s="1"/>
      <c r="W297" s="1"/>
      <c r="X297" s="1"/>
    </row>
    <row r="298" ht="15.75" customHeight="1">
      <c r="A298" s="1" t="str">
        <f>IFERROR(__xludf.DUMMYFUNCTION("""COMPUTED_VALUE"""),"Guard Tier III")</f>
        <v>Guard Tier III</v>
      </c>
      <c r="B298" s="73" t="str">
        <f>IFERROR(__xludf.DUMMYFUNCTION("""COMPUTED_VALUE"""),"1-5")</f>
        <v>1-5</v>
      </c>
      <c r="C298" s="1" t="str">
        <f>IFERROR(__xludf.DUMMYFUNCTION("""COMPUTED_VALUE"""),"Nothing")</f>
        <v>Nothing</v>
      </c>
      <c r="D298" s="73" t="str">
        <f>IFERROR(__xludf.DUMMYFUNCTION("""COMPUTED_VALUE"""),"6-10")</f>
        <v>6-10</v>
      </c>
      <c r="E298" s="1" t="str">
        <f>IFERROR(__xludf.DUMMYFUNCTION("""COMPUTED_VALUE"""),"Nothing")</f>
        <v>Nothing</v>
      </c>
      <c r="F298" s="73" t="str">
        <f>IFERROR(__xludf.DUMMYFUNCTION("""COMPUTED_VALUE"""),"11-15")</f>
        <v>11-15</v>
      </c>
      <c r="G298" s="1" t="str">
        <f>IFERROR(__xludf.DUMMYFUNCTION("""COMPUTED_VALUE"""),"Nothing")</f>
        <v>Nothing</v>
      </c>
      <c r="H298" s="73" t="str">
        <f>IFERROR(__xludf.DUMMYFUNCTION("""COMPUTED_VALUE"""),"16-20")</f>
        <v>16-20</v>
      </c>
      <c r="I298" s="1" t="str">
        <f>IFERROR(__xludf.DUMMYFUNCTION("""COMPUTED_VALUE"""),"Nothing")</f>
        <v>Nothing</v>
      </c>
      <c r="J298" s="73" t="str">
        <f>IFERROR(__xludf.DUMMYFUNCTION("""COMPUTED_VALUE"""),"21-25")</f>
        <v>21-25</v>
      </c>
      <c r="K298" s="1" t="str">
        <f>IFERROR(__xludf.DUMMYFUNCTION("""COMPUTED_VALUE"""),"Nothing")</f>
        <v>Nothing</v>
      </c>
      <c r="L298" s="1"/>
      <c r="M298" s="1"/>
      <c r="N298" s="1"/>
      <c r="O298" s="1"/>
      <c r="P298" s="1"/>
      <c r="Q298" s="1"/>
      <c r="R298" s="1"/>
      <c r="S298" s="1"/>
      <c r="T298" s="1"/>
      <c r="U298" s="1"/>
      <c r="V298" s="1"/>
      <c r="W298" s="1"/>
      <c r="X298" s="1"/>
    </row>
    <row r="299" ht="15.75" customHeight="1">
      <c r="A299" s="1" t="str">
        <f>IFERROR(__xludf.DUMMYFUNCTION("""COMPUTED_VALUE"""),"Guard Tier II")</f>
        <v>Guard Tier II</v>
      </c>
      <c r="B299" s="73" t="str">
        <f>IFERROR(__xludf.DUMMYFUNCTION("""COMPUTED_VALUE"""),"1-5")</f>
        <v>1-5</v>
      </c>
      <c r="C299" s="1" t="str">
        <f>IFERROR(__xludf.DUMMYFUNCTION("""COMPUTED_VALUE"""),"Nothing")</f>
        <v>Nothing</v>
      </c>
      <c r="D299" s="73" t="str">
        <f>IFERROR(__xludf.DUMMYFUNCTION("""COMPUTED_VALUE"""),"6-10")</f>
        <v>6-10</v>
      </c>
      <c r="E299" s="1" t="str">
        <f>IFERROR(__xludf.DUMMYFUNCTION("""COMPUTED_VALUE"""),"Nothing")</f>
        <v>Nothing</v>
      </c>
      <c r="F299" s="73" t="str">
        <f>IFERROR(__xludf.DUMMYFUNCTION("""COMPUTED_VALUE"""),"11-15")</f>
        <v>11-15</v>
      </c>
      <c r="G299" s="1" t="str">
        <f>IFERROR(__xludf.DUMMYFUNCTION("""COMPUTED_VALUE"""),"Nothing")</f>
        <v>Nothing</v>
      </c>
      <c r="H299" s="73" t="str">
        <f>IFERROR(__xludf.DUMMYFUNCTION("""COMPUTED_VALUE"""),"16-20")</f>
        <v>16-20</v>
      </c>
      <c r="I299" s="1" t="str">
        <f>IFERROR(__xludf.DUMMYFUNCTION("""COMPUTED_VALUE"""),"Nothing")</f>
        <v>Nothing</v>
      </c>
      <c r="J299" s="73" t="str">
        <f>IFERROR(__xludf.DUMMYFUNCTION("""COMPUTED_VALUE"""),"21-25")</f>
        <v>21-25</v>
      </c>
      <c r="K299" s="1" t="str">
        <f>IFERROR(__xludf.DUMMYFUNCTION("""COMPUTED_VALUE"""),"Nothing")</f>
        <v>Nothing</v>
      </c>
      <c r="L299" s="1"/>
      <c r="M299" s="1"/>
      <c r="N299" s="1"/>
      <c r="O299" s="1"/>
      <c r="P299" s="1"/>
      <c r="Q299" s="1"/>
      <c r="R299" s="1"/>
      <c r="S299" s="1"/>
      <c r="T299" s="1"/>
      <c r="U299" s="1"/>
      <c r="V299" s="1"/>
      <c r="W299" s="1"/>
      <c r="X299" s="1"/>
    </row>
    <row r="300" ht="15.75" customHeight="1">
      <c r="A300" s="1" t="str">
        <f>IFERROR(__xludf.DUMMYFUNCTION("""COMPUTED_VALUE"""),"Guard Tier I")</f>
        <v>Guard Tier I</v>
      </c>
      <c r="B300" s="73" t="str">
        <f>IFERROR(__xludf.DUMMYFUNCTION("""COMPUTED_VALUE"""),"1-5")</f>
        <v>1-5</v>
      </c>
      <c r="C300" s="1" t="str">
        <f>IFERROR(__xludf.DUMMYFUNCTION("""COMPUTED_VALUE"""),"Nothing")</f>
        <v>Nothing</v>
      </c>
      <c r="D300" s="73" t="str">
        <f>IFERROR(__xludf.DUMMYFUNCTION("""COMPUTED_VALUE"""),"6-10")</f>
        <v>6-10</v>
      </c>
      <c r="E300" s="1" t="str">
        <f>IFERROR(__xludf.DUMMYFUNCTION("""COMPUTED_VALUE"""),"Nothing")</f>
        <v>Nothing</v>
      </c>
      <c r="F300" s="73" t="str">
        <f>IFERROR(__xludf.DUMMYFUNCTION("""COMPUTED_VALUE"""),"11-15")</f>
        <v>11-15</v>
      </c>
      <c r="G300" s="1" t="str">
        <f>IFERROR(__xludf.DUMMYFUNCTION("""COMPUTED_VALUE"""),"Nothing")</f>
        <v>Nothing</v>
      </c>
      <c r="H300" s="73" t="str">
        <f>IFERROR(__xludf.DUMMYFUNCTION("""COMPUTED_VALUE"""),"16-20")</f>
        <v>16-20</v>
      </c>
      <c r="I300" s="1" t="str">
        <f>IFERROR(__xludf.DUMMYFUNCTION("""COMPUTED_VALUE"""),"Nothing")</f>
        <v>Nothing</v>
      </c>
      <c r="J300" s="73" t="str">
        <f>IFERROR(__xludf.DUMMYFUNCTION("""COMPUTED_VALUE"""),"21-25")</f>
        <v>21-25</v>
      </c>
      <c r="K300" s="1" t="str">
        <f>IFERROR(__xludf.DUMMYFUNCTION("""COMPUTED_VALUE"""),"Nothing")</f>
        <v>Nothing</v>
      </c>
      <c r="L300" s="1"/>
      <c r="M300" s="1"/>
      <c r="N300" s="1"/>
      <c r="O300" s="1"/>
      <c r="P300" s="1"/>
      <c r="Q300" s="1"/>
      <c r="R300" s="1"/>
      <c r="S300" s="1"/>
      <c r="T300" s="1"/>
      <c r="U300" s="1"/>
      <c r="V300" s="1"/>
      <c r="W300" s="1"/>
      <c r="X300" s="1"/>
    </row>
    <row r="301" ht="15.75" customHeight="1">
      <c r="A301" s="1" t="str">
        <f>IFERROR(__xludf.DUMMYFUNCTION("""COMPUTED_VALUE"""),"Dragonscale Guard (Tier III)")</f>
        <v>Dragonscale Guard (Tier III)</v>
      </c>
      <c r="B301" s="73" t="str">
        <f>IFERROR(__xludf.DUMMYFUNCTION("""COMPUTED_VALUE"""),"1-5")</f>
        <v>1-5</v>
      </c>
      <c r="C301" s="1" t="str">
        <f>IFERROR(__xludf.DUMMYFUNCTION("""COMPUTED_VALUE"""),"Nothing")</f>
        <v>Nothing</v>
      </c>
      <c r="D301" s="73" t="str">
        <f>IFERROR(__xludf.DUMMYFUNCTION("""COMPUTED_VALUE"""),"6-10")</f>
        <v>6-10</v>
      </c>
      <c r="E301" s="1" t="str">
        <f>IFERROR(__xludf.DUMMYFUNCTION("""COMPUTED_VALUE"""),"Nothing")</f>
        <v>Nothing</v>
      </c>
      <c r="F301" s="73" t="str">
        <f>IFERROR(__xludf.DUMMYFUNCTION("""COMPUTED_VALUE"""),"11-15")</f>
        <v>11-15</v>
      </c>
      <c r="G301" s="1" t="str">
        <f>IFERROR(__xludf.DUMMYFUNCTION("""COMPUTED_VALUE"""),"Nothing")</f>
        <v>Nothing</v>
      </c>
      <c r="H301" s="73" t="str">
        <f>IFERROR(__xludf.DUMMYFUNCTION("""COMPUTED_VALUE"""),"16-20")</f>
        <v>16-20</v>
      </c>
      <c r="I301" s="1" t="str">
        <f>IFERROR(__xludf.DUMMYFUNCTION("""COMPUTED_VALUE"""),"Nothing")</f>
        <v>Nothing</v>
      </c>
      <c r="J301" s="73" t="str">
        <f>IFERROR(__xludf.DUMMYFUNCTION("""COMPUTED_VALUE"""),"21-25")</f>
        <v>21-25</v>
      </c>
      <c r="K301" s="1" t="str">
        <f>IFERROR(__xludf.DUMMYFUNCTION("""COMPUTED_VALUE"""),"Nothing")</f>
        <v>Nothing</v>
      </c>
      <c r="L301" s="1"/>
      <c r="M301" s="1"/>
      <c r="N301" s="1"/>
      <c r="O301" s="1"/>
      <c r="P301" s="1"/>
      <c r="Q301" s="1"/>
      <c r="R301" s="1"/>
      <c r="S301" s="1"/>
      <c r="T301" s="1"/>
      <c r="U301" s="1"/>
      <c r="V301" s="1"/>
      <c r="W301" s="1"/>
      <c r="X301" s="1"/>
    </row>
    <row r="302" ht="15.75" customHeight="1">
      <c r="A302" s="1" t="str">
        <f>IFERROR(__xludf.DUMMYFUNCTION("""COMPUTED_VALUE"""),"Dragonscale Guard (Tier II)")</f>
        <v>Dragonscale Guard (Tier II)</v>
      </c>
      <c r="B302" s="73" t="str">
        <f>IFERROR(__xludf.DUMMYFUNCTION("""COMPUTED_VALUE"""),"1-5")</f>
        <v>1-5</v>
      </c>
      <c r="C302" s="1" t="str">
        <f>IFERROR(__xludf.DUMMYFUNCTION("""COMPUTED_VALUE"""),"Nothing")</f>
        <v>Nothing</v>
      </c>
      <c r="D302" s="73" t="str">
        <f>IFERROR(__xludf.DUMMYFUNCTION("""COMPUTED_VALUE"""),"6-10")</f>
        <v>6-10</v>
      </c>
      <c r="E302" s="1" t="str">
        <f>IFERROR(__xludf.DUMMYFUNCTION("""COMPUTED_VALUE"""),"Nothing")</f>
        <v>Nothing</v>
      </c>
      <c r="F302" s="73" t="str">
        <f>IFERROR(__xludf.DUMMYFUNCTION("""COMPUTED_VALUE"""),"11-15")</f>
        <v>11-15</v>
      </c>
      <c r="G302" s="1" t="str">
        <f>IFERROR(__xludf.DUMMYFUNCTION("""COMPUTED_VALUE"""),"Nothing")</f>
        <v>Nothing</v>
      </c>
      <c r="H302" s="73" t="str">
        <f>IFERROR(__xludf.DUMMYFUNCTION("""COMPUTED_VALUE"""),"16-20")</f>
        <v>16-20</v>
      </c>
      <c r="I302" s="1" t="str">
        <f>IFERROR(__xludf.DUMMYFUNCTION("""COMPUTED_VALUE"""),"Nothing")</f>
        <v>Nothing</v>
      </c>
      <c r="J302" s="73" t="str">
        <f>IFERROR(__xludf.DUMMYFUNCTION("""COMPUTED_VALUE"""),"21-25")</f>
        <v>21-25</v>
      </c>
      <c r="K302" s="1" t="str">
        <f>IFERROR(__xludf.DUMMYFUNCTION("""COMPUTED_VALUE"""),"Nothing")</f>
        <v>Nothing</v>
      </c>
      <c r="L302" s="1"/>
      <c r="M302" s="1"/>
      <c r="N302" s="1"/>
      <c r="O302" s="1"/>
      <c r="P302" s="1"/>
      <c r="Q302" s="1"/>
      <c r="R302" s="1"/>
      <c r="S302" s="1"/>
      <c r="T302" s="1"/>
      <c r="U302" s="1"/>
      <c r="V302" s="1"/>
      <c r="W302" s="1"/>
      <c r="X302" s="1"/>
    </row>
    <row r="303" ht="15.75" customHeight="1">
      <c r="A303" s="1" t="str">
        <f>IFERROR(__xludf.DUMMYFUNCTION("""COMPUTED_VALUE"""),"Dragonscale Guard (Tier I)")</f>
        <v>Dragonscale Guard (Tier I)</v>
      </c>
      <c r="B303" s="73" t="str">
        <f>IFERROR(__xludf.DUMMYFUNCTION("""COMPUTED_VALUE"""),"1-5")</f>
        <v>1-5</v>
      </c>
      <c r="C303" s="1" t="str">
        <f>IFERROR(__xludf.DUMMYFUNCTION("""COMPUTED_VALUE"""),"Nothing")</f>
        <v>Nothing</v>
      </c>
      <c r="D303" s="73" t="str">
        <f>IFERROR(__xludf.DUMMYFUNCTION("""COMPUTED_VALUE"""),"6-10")</f>
        <v>6-10</v>
      </c>
      <c r="E303" s="1" t="str">
        <f>IFERROR(__xludf.DUMMYFUNCTION("""COMPUTED_VALUE"""),"Nothing")</f>
        <v>Nothing</v>
      </c>
      <c r="F303" s="73" t="str">
        <f>IFERROR(__xludf.DUMMYFUNCTION("""COMPUTED_VALUE"""),"11-15")</f>
        <v>11-15</v>
      </c>
      <c r="G303" s="1" t="str">
        <f>IFERROR(__xludf.DUMMYFUNCTION("""COMPUTED_VALUE"""),"Nothing")</f>
        <v>Nothing</v>
      </c>
      <c r="H303" s="73" t="str">
        <f>IFERROR(__xludf.DUMMYFUNCTION("""COMPUTED_VALUE"""),"16-20")</f>
        <v>16-20</v>
      </c>
      <c r="I303" s="1" t="str">
        <f>IFERROR(__xludf.DUMMYFUNCTION("""COMPUTED_VALUE"""),"Nothing")</f>
        <v>Nothing</v>
      </c>
      <c r="J303" s="73" t="str">
        <f>IFERROR(__xludf.DUMMYFUNCTION("""COMPUTED_VALUE"""),"21-25")</f>
        <v>21-25</v>
      </c>
      <c r="K303" s="1" t="str">
        <f>IFERROR(__xludf.DUMMYFUNCTION("""COMPUTED_VALUE"""),"Nothing")</f>
        <v>Nothing</v>
      </c>
      <c r="L303" s="1"/>
      <c r="M303" s="1"/>
      <c r="N303" s="1"/>
      <c r="O303" s="1"/>
      <c r="P303" s="1"/>
      <c r="Q303" s="1"/>
      <c r="R303" s="1"/>
      <c r="S303" s="1"/>
      <c r="T303" s="1"/>
      <c r="U303" s="1"/>
      <c r="V303" s="1"/>
      <c r="W303" s="1"/>
      <c r="X303" s="1"/>
    </row>
    <row r="304" ht="15.75" customHeight="1">
      <c r="A304" s="1" t="str">
        <f>IFERROR(__xludf.DUMMYFUNCTION("""COMPUTED_VALUE"""),"Abstara Guard (Tier IIl)")</f>
        <v>Abstara Guard (Tier IIl)</v>
      </c>
      <c r="B304" s="73" t="str">
        <f>IFERROR(__xludf.DUMMYFUNCTION("""COMPUTED_VALUE"""),"1-5")</f>
        <v>1-5</v>
      </c>
      <c r="C304" s="1" t="str">
        <f>IFERROR(__xludf.DUMMYFUNCTION("""COMPUTED_VALUE"""),"Nothing")</f>
        <v>Nothing</v>
      </c>
      <c r="D304" s="73" t="str">
        <f>IFERROR(__xludf.DUMMYFUNCTION("""COMPUTED_VALUE"""),"6-10")</f>
        <v>6-10</v>
      </c>
      <c r="E304" s="1" t="str">
        <f>IFERROR(__xludf.DUMMYFUNCTION("""COMPUTED_VALUE"""),"Nothing")</f>
        <v>Nothing</v>
      </c>
      <c r="F304" s="73" t="str">
        <f>IFERROR(__xludf.DUMMYFUNCTION("""COMPUTED_VALUE"""),"11-15")</f>
        <v>11-15</v>
      </c>
      <c r="G304" s="1" t="str">
        <f>IFERROR(__xludf.DUMMYFUNCTION("""COMPUTED_VALUE"""),"Nothing")</f>
        <v>Nothing</v>
      </c>
      <c r="H304" s="73" t="str">
        <f>IFERROR(__xludf.DUMMYFUNCTION("""COMPUTED_VALUE"""),"16-20")</f>
        <v>16-20</v>
      </c>
      <c r="I304" s="1" t="str">
        <f>IFERROR(__xludf.DUMMYFUNCTION("""COMPUTED_VALUE"""),"Nothing")</f>
        <v>Nothing</v>
      </c>
      <c r="J304" s="73" t="str">
        <f>IFERROR(__xludf.DUMMYFUNCTION("""COMPUTED_VALUE"""),"21-25")</f>
        <v>21-25</v>
      </c>
      <c r="K304" s="1" t="str">
        <f>IFERROR(__xludf.DUMMYFUNCTION("""COMPUTED_VALUE"""),"Nothing")</f>
        <v>Nothing</v>
      </c>
      <c r="L304" s="1"/>
      <c r="M304" s="1"/>
      <c r="N304" s="1"/>
      <c r="O304" s="1"/>
      <c r="P304" s="1"/>
      <c r="Q304" s="1"/>
      <c r="R304" s="1"/>
      <c r="S304" s="1"/>
      <c r="T304" s="1"/>
      <c r="U304" s="1"/>
      <c r="V304" s="1"/>
      <c r="W304" s="1"/>
      <c r="X304" s="1"/>
    </row>
    <row r="305" ht="15.75" customHeight="1">
      <c r="A305" s="1" t="str">
        <f>IFERROR(__xludf.DUMMYFUNCTION("""COMPUTED_VALUE"""),"Abstara Guard (Tier II)")</f>
        <v>Abstara Guard (Tier II)</v>
      </c>
      <c r="B305" s="73" t="str">
        <f>IFERROR(__xludf.DUMMYFUNCTION("""COMPUTED_VALUE"""),"1-5")</f>
        <v>1-5</v>
      </c>
      <c r="C305" s="1" t="str">
        <f>IFERROR(__xludf.DUMMYFUNCTION("""COMPUTED_VALUE"""),"Nothing")</f>
        <v>Nothing</v>
      </c>
      <c r="D305" s="73" t="str">
        <f>IFERROR(__xludf.DUMMYFUNCTION("""COMPUTED_VALUE"""),"6-10")</f>
        <v>6-10</v>
      </c>
      <c r="E305" s="1" t="str">
        <f>IFERROR(__xludf.DUMMYFUNCTION("""COMPUTED_VALUE"""),"Nothing")</f>
        <v>Nothing</v>
      </c>
      <c r="F305" s="73" t="str">
        <f>IFERROR(__xludf.DUMMYFUNCTION("""COMPUTED_VALUE"""),"11-15")</f>
        <v>11-15</v>
      </c>
      <c r="G305" s="1" t="str">
        <f>IFERROR(__xludf.DUMMYFUNCTION("""COMPUTED_VALUE"""),"Nothing")</f>
        <v>Nothing</v>
      </c>
      <c r="H305" s="73" t="str">
        <f>IFERROR(__xludf.DUMMYFUNCTION("""COMPUTED_VALUE"""),"16-20")</f>
        <v>16-20</v>
      </c>
      <c r="I305" s="1" t="str">
        <f>IFERROR(__xludf.DUMMYFUNCTION("""COMPUTED_VALUE"""),"Nothing")</f>
        <v>Nothing</v>
      </c>
      <c r="J305" s="73" t="str">
        <f>IFERROR(__xludf.DUMMYFUNCTION("""COMPUTED_VALUE"""),"21-25")</f>
        <v>21-25</v>
      </c>
      <c r="K305" s="1" t="str">
        <f>IFERROR(__xludf.DUMMYFUNCTION("""COMPUTED_VALUE"""),"Nothing")</f>
        <v>Nothing</v>
      </c>
      <c r="L305" s="1"/>
      <c r="M305" s="1"/>
      <c r="N305" s="1"/>
      <c r="O305" s="1"/>
      <c r="P305" s="1"/>
      <c r="Q305" s="1"/>
      <c r="R305" s="1"/>
      <c r="S305" s="1"/>
      <c r="T305" s="1"/>
      <c r="U305" s="1"/>
      <c r="V305" s="1"/>
      <c r="W305" s="1"/>
      <c r="X305" s="1"/>
    </row>
    <row r="306" ht="15.75" customHeight="1">
      <c r="A306" s="1" t="str">
        <f>IFERROR(__xludf.DUMMYFUNCTION("""COMPUTED_VALUE"""),"Abstara  Guard (Tier l)")</f>
        <v>Abstara  Guard (Tier l)</v>
      </c>
      <c r="B306" s="73" t="str">
        <f>IFERROR(__xludf.DUMMYFUNCTION("""COMPUTED_VALUE"""),"1-5")</f>
        <v>1-5</v>
      </c>
      <c r="C306" s="1" t="str">
        <f>IFERROR(__xludf.DUMMYFUNCTION("""COMPUTED_VALUE"""),"Nothing")</f>
        <v>Nothing</v>
      </c>
      <c r="D306" s="73" t="str">
        <f>IFERROR(__xludf.DUMMYFUNCTION("""COMPUTED_VALUE"""),"6-10")</f>
        <v>6-10</v>
      </c>
      <c r="E306" s="1" t="str">
        <f>IFERROR(__xludf.DUMMYFUNCTION("""COMPUTED_VALUE"""),"Nothing")</f>
        <v>Nothing</v>
      </c>
      <c r="F306" s="73" t="str">
        <f>IFERROR(__xludf.DUMMYFUNCTION("""COMPUTED_VALUE"""),"11-15")</f>
        <v>11-15</v>
      </c>
      <c r="G306" s="1" t="str">
        <f>IFERROR(__xludf.DUMMYFUNCTION("""COMPUTED_VALUE"""),"Nothing")</f>
        <v>Nothing</v>
      </c>
      <c r="H306" s="73" t="str">
        <f>IFERROR(__xludf.DUMMYFUNCTION("""COMPUTED_VALUE"""),"16-20")</f>
        <v>16-20</v>
      </c>
      <c r="I306" s="1" t="str">
        <f>IFERROR(__xludf.DUMMYFUNCTION("""COMPUTED_VALUE"""),"Nothing")</f>
        <v>Nothing</v>
      </c>
      <c r="J306" s="73" t="str">
        <f>IFERROR(__xludf.DUMMYFUNCTION("""COMPUTED_VALUE"""),"21-25")</f>
        <v>21-25</v>
      </c>
      <c r="K306" s="1" t="str">
        <f>IFERROR(__xludf.DUMMYFUNCTION("""COMPUTED_VALUE"""),"Nothing")</f>
        <v>Nothing</v>
      </c>
      <c r="L306" s="1"/>
      <c r="M306" s="1"/>
      <c r="N306" s="1"/>
      <c r="O306" s="1"/>
      <c r="P306" s="1"/>
      <c r="Q306" s="1"/>
      <c r="R306" s="1"/>
      <c r="S306" s="1"/>
      <c r="T306" s="1"/>
      <c r="U306" s="1"/>
      <c r="V306" s="1"/>
      <c r="W306" s="1"/>
      <c r="X306" s="1"/>
    </row>
    <row r="307" ht="15.75" customHeight="1">
      <c r="A307" s="1" t="str">
        <f>IFERROR(__xludf.DUMMYFUNCTION("""COMPUTED_VALUE"""),"Hephaestus, The God of The Forge")</f>
        <v>Hephaestus, The God of The Forge</v>
      </c>
      <c r="B307" s="73" t="str">
        <f>IFERROR(__xludf.DUMMYFUNCTION("""COMPUTED_VALUE"""),"1-5")</f>
        <v>1-5</v>
      </c>
      <c r="C307" s="1" t="str">
        <f>IFERROR(__xludf.DUMMYFUNCTION("""COMPUTED_VALUE"""),"Nothing")</f>
        <v>Nothing</v>
      </c>
      <c r="D307" s="73" t="str">
        <f>IFERROR(__xludf.DUMMYFUNCTION("""COMPUTED_VALUE"""),"6-10")</f>
        <v>6-10</v>
      </c>
      <c r="E307" s="1" t="str">
        <f>IFERROR(__xludf.DUMMYFUNCTION("""COMPUTED_VALUE"""),"Nothing")</f>
        <v>Nothing</v>
      </c>
      <c r="F307" s="73" t="str">
        <f>IFERROR(__xludf.DUMMYFUNCTION("""COMPUTED_VALUE"""),"11-15")</f>
        <v>11-15</v>
      </c>
      <c r="G307" s="1" t="str">
        <f>IFERROR(__xludf.DUMMYFUNCTION("""COMPUTED_VALUE"""),"Forged Paladin's Helm")</f>
        <v>Forged Paladin's Helm</v>
      </c>
      <c r="H307" s="73" t="str">
        <f>IFERROR(__xludf.DUMMYFUNCTION("""COMPUTED_VALUE"""),"16-20")</f>
        <v>16-20</v>
      </c>
      <c r="I307" s="1" t="str">
        <f>IFERROR(__xludf.DUMMYFUNCTION("""COMPUTED_VALUE"""),"Soul")</f>
        <v>Soul</v>
      </c>
      <c r="J307" s="73" t="str">
        <f>IFERROR(__xludf.DUMMYFUNCTION("""COMPUTED_VALUE"""),"21-25")</f>
        <v>21-25</v>
      </c>
      <c r="K307" s="1" t="str">
        <f>IFERROR(__xludf.DUMMYFUNCTION("""COMPUTED_VALUE"""),"Forged Firearm")</f>
        <v>Forged Firearm</v>
      </c>
      <c r="L307" s="1"/>
      <c r="M307" s="1"/>
      <c r="N307" s="1"/>
      <c r="O307" s="1"/>
      <c r="P307" s="1"/>
      <c r="Q307" s="1"/>
      <c r="R307" s="1"/>
      <c r="S307" s="1"/>
      <c r="T307" s="1"/>
      <c r="U307" s="1"/>
      <c r="V307" s="1"/>
      <c r="W307" s="1"/>
      <c r="X307" s="1"/>
    </row>
    <row r="308" ht="15.75" customHeight="1">
      <c r="A308" s="1" t="str">
        <f>IFERROR(__xludf.DUMMYFUNCTION("""COMPUTED_VALUE"""),"Hades The god of the Underworld")</f>
        <v>Hades The god of the Underworld</v>
      </c>
      <c r="B308" s="73" t="str">
        <f>IFERROR(__xludf.DUMMYFUNCTION("""COMPUTED_VALUE"""),"1-5")</f>
        <v>1-5</v>
      </c>
      <c r="C308" s="1" t="str">
        <f>IFERROR(__xludf.DUMMYFUNCTION("""COMPUTED_VALUE"""),"Nothing")</f>
        <v>Nothing</v>
      </c>
      <c r="D308" s="73" t="str">
        <f>IFERROR(__xludf.DUMMYFUNCTION("""COMPUTED_VALUE"""),"6-10")</f>
        <v>6-10</v>
      </c>
      <c r="E308" s="1" t="str">
        <f>IFERROR(__xludf.DUMMYFUNCTION("""COMPUTED_VALUE"""),"Nothing")</f>
        <v>Nothing</v>
      </c>
      <c r="F308" s="73" t="str">
        <f>IFERROR(__xludf.DUMMYFUNCTION("""COMPUTED_VALUE"""),"11-15")</f>
        <v>11-15</v>
      </c>
      <c r="G308" s="1" t="str">
        <f>IFERROR(__xludf.DUMMYFUNCTION("""COMPUTED_VALUE"""),"Hades' Death Scythe")</f>
        <v>Hades' Death Scythe</v>
      </c>
      <c r="H308" s="73" t="str">
        <f>IFERROR(__xludf.DUMMYFUNCTION("""COMPUTED_VALUE"""),"16-20")</f>
        <v>16-20</v>
      </c>
      <c r="I308" s="1" t="str">
        <f>IFERROR(__xludf.DUMMYFUNCTION("""COMPUTED_VALUE"""),"Soul")</f>
        <v>Soul</v>
      </c>
      <c r="J308" s="73" t="str">
        <f>IFERROR(__xludf.DUMMYFUNCTION("""COMPUTED_VALUE"""),"21-25")</f>
        <v>21-25</v>
      </c>
      <c r="K308" s="1" t="str">
        <f>IFERROR(__xludf.DUMMYFUNCTION("""COMPUTED_VALUE"""),"Nothing")</f>
        <v>Nothing</v>
      </c>
      <c r="L308" s="1"/>
      <c r="M308" s="1"/>
      <c r="N308" s="1"/>
      <c r="O308" s="1"/>
      <c r="P308" s="1"/>
      <c r="Q308" s="1"/>
      <c r="R308" s="1"/>
      <c r="S308" s="1"/>
      <c r="T308" s="1"/>
      <c r="U308" s="1"/>
      <c r="V308" s="1"/>
      <c r="W308" s="1"/>
      <c r="X308" s="1"/>
    </row>
    <row r="309" ht="15.75" customHeight="1">
      <c r="A309" s="1" t="str">
        <f>IFERROR(__xludf.DUMMYFUNCTION("""COMPUTED_VALUE"""),"Keeper of the Banished")</f>
        <v>Keeper of the Banished</v>
      </c>
      <c r="B309" s="73" t="str">
        <f>IFERROR(__xludf.DUMMYFUNCTION("""COMPUTED_VALUE"""),"1-5")</f>
        <v>1-5</v>
      </c>
      <c r="C309" s="1" t="str">
        <f>IFERROR(__xludf.DUMMYFUNCTION("""COMPUTED_VALUE"""),"Nothing")</f>
        <v>Nothing</v>
      </c>
      <c r="D309" s="73" t="str">
        <f>IFERROR(__xludf.DUMMYFUNCTION("""COMPUTED_VALUE"""),"6-10")</f>
        <v>6-10</v>
      </c>
      <c r="E309" s="1" t="str">
        <f>IFERROR(__xludf.DUMMYFUNCTION("""COMPUTED_VALUE"""),"Nothing")</f>
        <v>Nothing</v>
      </c>
      <c r="F309" s="73" t="str">
        <f>IFERROR(__xludf.DUMMYFUNCTION("""COMPUTED_VALUE"""),"11-15")</f>
        <v>11-15</v>
      </c>
      <c r="G309" s="1" t="str">
        <f>IFERROR(__xludf.DUMMYFUNCTION("""COMPUTED_VALUE"""),"Nothing")</f>
        <v>Nothing</v>
      </c>
      <c r="H309" s="73" t="str">
        <f>IFERROR(__xludf.DUMMYFUNCTION("""COMPUTED_VALUE"""),"16-20")</f>
        <v>16-20</v>
      </c>
      <c r="I309" s="1" t="str">
        <f>IFERROR(__xludf.DUMMYFUNCTION("""COMPUTED_VALUE"""),"Soul")</f>
        <v>Soul</v>
      </c>
      <c r="J309" s="73" t="str">
        <f>IFERROR(__xludf.DUMMYFUNCTION("""COMPUTED_VALUE"""),"21-25")</f>
        <v>21-25</v>
      </c>
      <c r="K309" s="1" t="str">
        <f>IFERROR(__xludf.DUMMYFUNCTION("""COMPUTED_VALUE"""),"Nothing")</f>
        <v>Nothing</v>
      </c>
      <c r="L309" s="1"/>
      <c r="M309" s="1"/>
      <c r="N309" s="1"/>
      <c r="O309" s="1"/>
      <c r="P309" s="1"/>
      <c r="Q309" s="1"/>
      <c r="R309" s="1"/>
      <c r="S309" s="1"/>
      <c r="T309" s="1"/>
      <c r="U309" s="1"/>
      <c r="V309" s="1"/>
      <c r="W309" s="1"/>
      <c r="X309" s="1"/>
    </row>
    <row r="310" ht="15.75" customHeight="1">
      <c r="A310" s="1" t="str">
        <f>IFERROR(__xludf.DUMMYFUNCTION("""COMPUTED_VALUE"""),"Artemis, Goddess of the Forest (First Phase)")</f>
        <v>Artemis, Goddess of the Forest (First Phase)</v>
      </c>
      <c r="B310" s="73" t="str">
        <f>IFERROR(__xludf.DUMMYFUNCTION("""COMPUTED_VALUE"""),"1-5")</f>
        <v>1-5</v>
      </c>
      <c r="C310" s="1" t="str">
        <f>IFERROR(__xludf.DUMMYFUNCTION("""COMPUTED_VALUE"""),"Nothing")</f>
        <v>Nothing</v>
      </c>
      <c r="D310" s="73" t="str">
        <f>IFERROR(__xludf.DUMMYFUNCTION("""COMPUTED_VALUE"""),"6-10")</f>
        <v>6-10</v>
      </c>
      <c r="E310" s="1" t="str">
        <f>IFERROR(__xludf.DUMMYFUNCTION("""COMPUTED_VALUE"""),"Nothing")</f>
        <v>Nothing</v>
      </c>
      <c r="F310" s="73" t="str">
        <f>IFERROR(__xludf.DUMMYFUNCTION("""COMPUTED_VALUE"""),"11-15")</f>
        <v>11-15</v>
      </c>
      <c r="G310" s="1" t="str">
        <f>IFERROR(__xludf.DUMMYFUNCTION("""COMPUTED_VALUE"""),"Nothing")</f>
        <v>Nothing</v>
      </c>
      <c r="H310" s="73" t="str">
        <f>IFERROR(__xludf.DUMMYFUNCTION("""COMPUTED_VALUE"""),"16-20")</f>
        <v>16-20</v>
      </c>
      <c r="I310" s="1" t="str">
        <f>IFERROR(__xludf.DUMMYFUNCTION("""COMPUTED_VALUE"""),"Soul")</f>
        <v>Soul</v>
      </c>
      <c r="J310" s="73" t="str">
        <f>IFERROR(__xludf.DUMMYFUNCTION("""COMPUTED_VALUE"""),"21-25")</f>
        <v>21-25</v>
      </c>
      <c r="K310" s="1" t="str">
        <f>IFERROR(__xludf.DUMMYFUNCTION("""COMPUTED_VALUE"""),"The Bow of The Verdant Forest")</f>
        <v>The Bow of The Verdant Forest</v>
      </c>
      <c r="L310" s="1"/>
      <c r="M310" s="1"/>
      <c r="N310" s="1"/>
      <c r="O310" s="1"/>
      <c r="P310" s="1"/>
      <c r="Q310" s="1"/>
      <c r="R310" s="1"/>
      <c r="S310" s="1"/>
      <c r="T310" s="1"/>
      <c r="U310" s="1"/>
      <c r="V310" s="1"/>
      <c r="W310" s="1"/>
      <c r="X310" s="1"/>
    </row>
    <row r="311" ht="15.75" customHeight="1">
      <c r="A311" s="1" t="str">
        <f>IFERROR(__xludf.DUMMYFUNCTION("""COMPUTED_VALUE"""),"Artemis, Nature's Wrathful Avatar (Second Phase)")</f>
        <v>Artemis, Nature's Wrathful Avatar (Second Phase)</v>
      </c>
      <c r="B311" s="73" t="str">
        <f>IFERROR(__xludf.DUMMYFUNCTION("""COMPUTED_VALUE"""),"1-5")</f>
        <v>1-5</v>
      </c>
      <c r="C311" s="1" t="str">
        <f>IFERROR(__xludf.DUMMYFUNCTION("""COMPUTED_VALUE"""),"Nothing")</f>
        <v>Nothing</v>
      </c>
      <c r="D311" s="73" t="str">
        <f>IFERROR(__xludf.DUMMYFUNCTION("""COMPUTED_VALUE"""),"6-10")</f>
        <v>6-10</v>
      </c>
      <c r="E311" s="1" t="str">
        <f>IFERROR(__xludf.DUMMYFUNCTION("""COMPUTED_VALUE"""),"Nothing")</f>
        <v>Nothing</v>
      </c>
      <c r="F311" s="73" t="str">
        <f>IFERROR(__xludf.DUMMYFUNCTION("""COMPUTED_VALUE"""),"11-15")</f>
        <v>11-15</v>
      </c>
      <c r="G311" s="1" t="str">
        <f>IFERROR(__xludf.DUMMYFUNCTION("""COMPUTED_VALUE"""),"Nothing")</f>
        <v>Nothing</v>
      </c>
      <c r="H311" s="73" t="str">
        <f>IFERROR(__xludf.DUMMYFUNCTION("""COMPUTED_VALUE"""),"16-20")</f>
        <v>16-20</v>
      </c>
      <c r="I311" s="1" t="str">
        <f>IFERROR(__xludf.DUMMYFUNCTION("""COMPUTED_VALUE"""),"Soul")</f>
        <v>Soul</v>
      </c>
      <c r="J311" s="73" t="str">
        <f>IFERROR(__xludf.DUMMYFUNCTION("""COMPUTED_VALUE"""),"21-25")</f>
        <v>21-25</v>
      </c>
      <c r="K311" s="1" t="str">
        <f>IFERROR(__xludf.DUMMYFUNCTION("""COMPUTED_VALUE"""),"Enchanted Wooden Buckler of The Verdant Forest")</f>
        <v>Enchanted Wooden Buckler of The Verdant Forest</v>
      </c>
      <c r="L311" s="1"/>
      <c r="M311" s="1"/>
      <c r="N311" s="1"/>
      <c r="O311" s="1"/>
      <c r="P311" s="1"/>
      <c r="Q311" s="1"/>
      <c r="R311" s="1"/>
      <c r="S311" s="1"/>
      <c r="T311" s="1"/>
      <c r="U311" s="1"/>
      <c r="V311" s="1"/>
      <c r="W311" s="1"/>
      <c r="X311" s="1"/>
    </row>
    <row r="312" ht="15.75" customHeight="1">
      <c r="A312" s="1" t="str">
        <f>IFERROR(__xludf.DUMMYFUNCTION("""COMPUTED_VALUE"""),"The Gods' Quiver")</f>
        <v>The Gods' Quiver</v>
      </c>
      <c r="B312" s="73" t="str">
        <f>IFERROR(__xludf.DUMMYFUNCTION("""COMPUTED_VALUE"""),"1-5")</f>
        <v>1-5</v>
      </c>
      <c r="C312" s="1" t="str">
        <f>IFERROR(__xludf.DUMMYFUNCTION("""COMPUTED_VALUE"""),"Holy Arrow")</f>
        <v>Holy Arrow</v>
      </c>
      <c r="D312" s="73" t="str">
        <f>IFERROR(__xludf.DUMMYFUNCTION("""COMPUTED_VALUE"""),"6-10")</f>
        <v>6-10</v>
      </c>
      <c r="E312" s="1" t="str">
        <f>IFERROR(__xludf.DUMMYFUNCTION("""COMPUTED_VALUE"""),"Arrow of Mutiplying ")</f>
        <v>Arrow of Mutiplying </v>
      </c>
      <c r="F312" s="73" t="str">
        <f>IFERROR(__xludf.DUMMYFUNCTION("""COMPUTED_VALUE"""),"11-15")</f>
        <v>11-15</v>
      </c>
      <c r="G312" s="1" t="str">
        <f>IFERROR(__xludf.DUMMYFUNCTION("""COMPUTED_VALUE"""),"Boots of The Verdant Forest")</f>
        <v>Boots of The Verdant Forest</v>
      </c>
      <c r="H312" s="73" t="str">
        <f>IFERROR(__xludf.DUMMYFUNCTION("""COMPUTED_VALUE"""),"16-20")</f>
        <v>16-20</v>
      </c>
      <c r="I312" s="1" t="str">
        <f>IFERROR(__xludf.DUMMYFUNCTION("""COMPUTED_VALUE"""),"Soul")</f>
        <v>Soul</v>
      </c>
      <c r="J312" s="73" t="str">
        <f>IFERROR(__xludf.DUMMYFUNCTION("""COMPUTED_VALUE"""),"21-25")</f>
        <v>21-25</v>
      </c>
      <c r="K312" s="1" t="str">
        <f>IFERROR(__xludf.DUMMYFUNCTION("""COMPUTED_VALUE"""),"Greaves of The Verdant Forest")</f>
        <v>Greaves of The Verdant Forest</v>
      </c>
      <c r="L312" s="1"/>
      <c r="M312" s="1"/>
      <c r="N312" s="1"/>
      <c r="O312" s="1"/>
      <c r="P312" s="1"/>
      <c r="Q312" s="1"/>
      <c r="R312" s="1"/>
      <c r="S312" s="1"/>
      <c r="T312" s="1"/>
      <c r="U312" s="1"/>
      <c r="V312" s="1"/>
      <c r="W312" s="1"/>
      <c r="X312" s="1"/>
    </row>
    <row r="313" ht="15.75" customHeight="1">
      <c r="A313" s="1" t="str">
        <f>IFERROR(__xludf.DUMMYFUNCTION("""COMPUTED_VALUE"""),"The Forged Ones")</f>
        <v>The Forged Ones</v>
      </c>
      <c r="B313" s="73" t="str">
        <f>IFERROR(__xludf.DUMMYFUNCTION("""COMPUTED_VALUE"""),"1-5")</f>
        <v>1-5</v>
      </c>
      <c r="C313" s="1" t="str">
        <f>IFERROR(__xludf.DUMMYFUNCTION("""COMPUTED_VALUE"""),"Forged Sabatons")</f>
        <v>Forged Sabatons</v>
      </c>
      <c r="D313" s="73" t="str">
        <f>IFERROR(__xludf.DUMMYFUNCTION("""COMPUTED_VALUE"""),"6-10")</f>
        <v>6-10</v>
      </c>
      <c r="E313" s="1" t="str">
        <f>IFERROR(__xludf.DUMMYFUNCTION("""COMPUTED_VALUE"""),"Forged Leg guard")</f>
        <v>Forged Leg guard</v>
      </c>
      <c r="F313" s="73" t="str">
        <f>IFERROR(__xludf.DUMMYFUNCTION("""COMPUTED_VALUE"""),"11-15")</f>
        <v>11-15</v>
      </c>
      <c r="G313" s="1" t="str">
        <f>IFERROR(__xludf.DUMMYFUNCTION("""COMPUTED_VALUE"""),"Forged Towershield")</f>
        <v>Forged Towershield</v>
      </c>
      <c r="H313" s="73" t="str">
        <f>IFERROR(__xludf.DUMMYFUNCTION("""COMPUTED_VALUE"""),"16-20")</f>
        <v>16-20</v>
      </c>
      <c r="I313" s="1" t="str">
        <f>IFERROR(__xludf.DUMMYFUNCTION("""COMPUTED_VALUE"""),"Soul")</f>
        <v>Soul</v>
      </c>
      <c r="J313" s="73" t="str">
        <f>IFERROR(__xludf.DUMMYFUNCTION("""COMPUTED_VALUE"""),"21-25")</f>
        <v>21-25</v>
      </c>
      <c r="K313" s="1" t="str">
        <f>IFERROR(__xludf.DUMMYFUNCTION("""COMPUTED_VALUE"""),"Forged Paladin's Vambraces")</f>
        <v>Forged Paladin's Vambraces</v>
      </c>
      <c r="L313" s="1"/>
      <c r="M313" s="1"/>
      <c r="N313" s="1"/>
      <c r="O313" s="1"/>
      <c r="P313" s="1"/>
      <c r="Q313" s="1"/>
      <c r="R313" s="1"/>
      <c r="S313" s="1"/>
      <c r="T313" s="1"/>
      <c r="U313" s="1"/>
      <c r="V313" s="1"/>
      <c r="W313" s="1"/>
      <c r="X313" s="1"/>
    </row>
    <row r="314" ht="15.75" customHeight="1">
      <c r="A314" s="1" t="str">
        <f>IFERROR(__xludf.DUMMYFUNCTION("""COMPUTED_VALUE"""),"Jenos, Head Paladin of Artemis")</f>
        <v>Jenos, Head Paladin of Artemis</v>
      </c>
      <c r="B314" s="73" t="str">
        <f>IFERROR(__xludf.DUMMYFUNCTION("""COMPUTED_VALUE"""),"1-5")</f>
        <v>1-5</v>
      </c>
      <c r="C314" s="1" t="str">
        <f>IFERROR(__xludf.DUMMYFUNCTION("""COMPUTED_VALUE"""),"Bracer of Trueshot")</f>
        <v>Bracer of Trueshot</v>
      </c>
      <c r="D314" s="73" t="str">
        <f>IFERROR(__xludf.DUMMYFUNCTION("""COMPUTED_VALUE"""),"6-10")</f>
        <v>6-10</v>
      </c>
      <c r="E314" s="1" t="str">
        <f>IFERROR(__xludf.DUMMYFUNCTION("""COMPUTED_VALUE"""),"Cowl of the Eagle's Sight")</f>
        <v>Cowl of the Eagle's Sight</v>
      </c>
      <c r="F314" s="73" t="str">
        <f>IFERROR(__xludf.DUMMYFUNCTION("""COMPUTED_VALUE"""),"11-15")</f>
        <v>11-15</v>
      </c>
      <c r="G314" s="1" t="str">
        <f>IFERROR(__xludf.DUMMYFUNCTION("""COMPUTED_VALUE"""),"Emerald Amulet of The Forest")</f>
        <v>Emerald Amulet of The Forest</v>
      </c>
      <c r="H314" s="73" t="str">
        <f>IFERROR(__xludf.DUMMYFUNCTION("""COMPUTED_VALUE"""),"16-20")</f>
        <v>16-20</v>
      </c>
      <c r="I314" s="1" t="str">
        <f>IFERROR(__xludf.DUMMYFUNCTION("""COMPUTED_VALUE"""),"Soul")</f>
        <v>Soul</v>
      </c>
      <c r="J314" s="73" t="str">
        <f>IFERROR(__xludf.DUMMYFUNCTION("""COMPUTED_VALUE"""),"21-25")</f>
        <v>21-25</v>
      </c>
      <c r="K314" s="1" t="str">
        <f>IFERROR(__xludf.DUMMYFUNCTION("""COMPUTED_VALUE"""),"Emerald Ring of The Forest")</f>
        <v>Emerald Ring of The Forest</v>
      </c>
      <c r="L314" s="1"/>
      <c r="M314" s="1"/>
      <c r="N314" s="1"/>
      <c r="O314" s="1"/>
      <c r="P314" s="1"/>
      <c r="Q314" s="1"/>
      <c r="R314" s="1"/>
      <c r="S314" s="1"/>
      <c r="T314" s="1"/>
      <c r="U314" s="1"/>
      <c r="V314" s="1"/>
      <c r="W314" s="1"/>
      <c r="X314" s="1"/>
    </row>
    <row r="315" ht="15.75" customHeight="1">
      <c r="A315" s="1" t="str">
        <f>IFERROR(__xludf.DUMMYFUNCTION("""COMPUTED_VALUE"""),"Seraph")</f>
        <v>Seraph</v>
      </c>
      <c r="B315" s="73" t="str">
        <f>IFERROR(__xludf.DUMMYFUNCTION("""COMPUTED_VALUE"""),"1-5")</f>
        <v>1-5</v>
      </c>
      <c r="C315" s="1" t="str">
        <f>IFERROR(__xludf.DUMMYFUNCTION("""COMPUTED_VALUE"""),"Nothing")</f>
        <v>Nothing</v>
      </c>
      <c r="D315" s="73" t="str">
        <f>IFERROR(__xludf.DUMMYFUNCTION("""COMPUTED_VALUE"""),"6-10")</f>
        <v>6-10</v>
      </c>
      <c r="E315" s="1" t="str">
        <f>IFERROR(__xludf.DUMMYFUNCTION("""COMPUTED_VALUE"""),"Nothing")</f>
        <v>Nothing</v>
      </c>
      <c r="F315" s="73" t="str">
        <f>IFERROR(__xludf.DUMMYFUNCTION("""COMPUTED_VALUE"""),"11-15")</f>
        <v>11-15</v>
      </c>
      <c r="G315" s="1" t="str">
        <f>IFERROR(__xludf.DUMMYFUNCTION("""COMPUTED_VALUE"""),"Nothing")</f>
        <v>Nothing</v>
      </c>
      <c r="H315" s="73" t="str">
        <f>IFERROR(__xludf.DUMMYFUNCTION("""COMPUTED_VALUE"""),"16-20")</f>
        <v>16-20</v>
      </c>
      <c r="I315" s="1" t="str">
        <f>IFERROR(__xludf.DUMMYFUNCTION("""COMPUTED_VALUE"""),"Nothing")</f>
        <v>Nothing</v>
      </c>
      <c r="J315" s="73" t="str">
        <f>IFERROR(__xludf.DUMMYFUNCTION("""COMPUTED_VALUE"""),"21-25")</f>
        <v>21-25</v>
      </c>
      <c r="K315" s="1" t="str">
        <f>IFERROR(__xludf.DUMMYFUNCTION("""COMPUTED_VALUE"""),"Nothing")</f>
        <v>Nothing</v>
      </c>
      <c r="L315" s="1"/>
      <c r="M315" s="1"/>
      <c r="N315" s="1"/>
      <c r="O315" s="1"/>
      <c r="P315" s="1"/>
      <c r="Q315" s="1"/>
      <c r="R315" s="1"/>
      <c r="S315" s="1"/>
      <c r="T315" s="1"/>
      <c r="U315" s="1"/>
      <c r="V315" s="1"/>
      <c r="W315" s="1"/>
      <c r="X315" s="1"/>
    </row>
    <row r="316" ht="15.75" customHeight="1">
      <c r="A316" s="1" t="str">
        <f>IFERROR(__xludf.DUMMYFUNCTION("""COMPUTED_VALUE"""),"The Black And White Dragon")</f>
        <v>The Black And White Dragon</v>
      </c>
      <c r="B316" s="73" t="str">
        <f>IFERROR(__xludf.DUMMYFUNCTION("""COMPUTED_VALUE"""),"1-5")</f>
        <v>1-5</v>
      </c>
      <c r="C316" s="1" t="str">
        <f>IFERROR(__xludf.DUMMYFUNCTION("""COMPUTED_VALUE"""),"Nothing")</f>
        <v>Nothing</v>
      </c>
      <c r="D316" s="73" t="str">
        <f>IFERROR(__xludf.DUMMYFUNCTION("""COMPUTED_VALUE"""),"6-10")</f>
        <v>6-10</v>
      </c>
      <c r="E316" s="1" t="str">
        <f>IFERROR(__xludf.DUMMYFUNCTION("""COMPUTED_VALUE"""),"Nothing")</f>
        <v>Nothing</v>
      </c>
      <c r="F316" s="73" t="str">
        <f>IFERROR(__xludf.DUMMYFUNCTION("""COMPUTED_VALUE"""),"11-15")</f>
        <v>11-15</v>
      </c>
      <c r="G316" s="1" t="str">
        <f>IFERROR(__xludf.DUMMYFUNCTION("""COMPUTED_VALUE"""),"Nothing")</f>
        <v>Nothing</v>
      </c>
      <c r="H316" s="73" t="str">
        <f>IFERROR(__xludf.DUMMYFUNCTION("""COMPUTED_VALUE"""),"16-20")</f>
        <v>16-20</v>
      </c>
      <c r="I316" s="1" t="str">
        <f>IFERROR(__xludf.DUMMYFUNCTION("""COMPUTED_VALUE"""),"Soul")</f>
        <v>Soul</v>
      </c>
      <c r="J316" s="73" t="str">
        <f>IFERROR(__xludf.DUMMYFUNCTION("""COMPUTED_VALUE"""),"21-25")</f>
        <v>21-25</v>
      </c>
      <c r="K316" s="1" t="str">
        <f>IFERROR(__xludf.DUMMYFUNCTION("""COMPUTED_VALUE"""),"Nothing")</f>
        <v>Nothing</v>
      </c>
      <c r="L316" s="1"/>
      <c r="M316" s="1"/>
      <c r="N316" s="1"/>
      <c r="O316" s="1"/>
      <c r="P316" s="1"/>
      <c r="Q316" s="1"/>
      <c r="R316" s="1"/>
      <c r="S316" s="1"/>
      <c r="T316" s="1"/>
      <c r="U316" s="1"/>
      <c r="V316" s="1"/>
      <c r="W316" s="1"/>
      <c r="X316" s="1"/>
    </row>
    <row r="317" ht="15.75" customHeight="1">
      <c r="A317" s="1" t="str">
        <f>IFERROR(__xludf.DUMMYFUNCTION("""COMPUTED_VALUE"""),"Vermouth The Sea Monkey King")</f>
        <v>Vermouth The Sea Monkey King</v>
      </c>
      <c r="B317" s="73" t="str">
        <f>IFERROR(__xludf.DUMMYFUNCTION("""COMPUTED_VALUE"""),"1-5")</f>
        <v>1-5</v>
      </c>
      <c r="C317" s="1" t="str">
        <f>IFERROR(__xludf.DUMMYFUNCTION("""COMPUTED_VALUE"""),"Nothing")</f>
        <v>Nothing</v>
      </c>
      <c r="D317" s="73" t="str">
        <f>IFERROR(__xludf.DUMMYFUNCTION("""COMPUTED_VALUE"""),"6-10")</f>
        <v>6-10</v>
      </c>
      <c r="E317" s="1" t="str">
        <f>IFERROR(__xludf.DUMMYFUNCTION("""COMPUTED_VALUE"""),"Soul")</f>
        <v>Soul</v>
      </c>
      <c r="F317" s="73" t="str">
        <f>IFERROR(__xludf.DUMMYFUNCTION("""COMPUTED_VALUE"""),"11-15")</f>
        <v>11-15</v>
      </c>
      <c r="G317" s="1" t="str">
        <f>IFERROR(__xludf.DUMMYFUNCTION("""COMPUTED_VALUE"""),"Nothing")</f>
        <v>Nothing</v>
      </c>
      <c r="H317" s="73" t="str">
        <f>IFERROR(__xludf.DUMMYFUNCTION("""COMPUTED_VALUE"""),"16-20")</f>
        <v>16-20</v>
      </c>
      <c r="I317" s="1" t="str">
        <f>IFERROR(__xludf.DUMMYFUNCTION("""COMPUTED_VALUE"""),"Nothing")</f>
        <v>Nothing</v>
      </c>
      <c r="J317" s="73" t="str">
        <f>IFERROR(__xludf.DUMMYFUNCTION("""COMPUTED_VALUE"""),"21-25")</f>
        <v>21-25</v>
      </c>
      <c r="K317" s="1" t="str">
        <f>IFERROR(__xludf.DUMMYFUNCTION("""COMPUTED_VALUE"""),"Nothing")</f>
        <v>Nothing</v>
      </c>
      <c r="L317" s="1"/>
      <c r="M317" s="1"/>
      <c r="N317" s="1"/>
      <c r="O317" s="1"/>
      <c r="P317" s="1"/>
      <c r="Q317" s="1"/>
      <c r="R317" s="1"/>
      <c r="S317" s="1"/>
      <c r="T317" s="1"/>
      <c r="U317" s="1"/>
      <c r="V317" s="1"/>
      <c r="W317" s="1"/>
      <c r="X317" s="1"/>
    </row>
    <row r="318" ht="15.75" customHeight="1">
      <c r="A318" s="1" t="str">
        <f>IFERROR(__xludf.DUMMYFUNCTION("""COMPUTED_VALUE"""),"Bashe The Cursed Sepent")</f>
        <v>Bashe The Cursed Sepent</v>
      </c>
      <c r="B318" s="73" t="str">
        <f>IFERROR(__xludf.DUMMYFUNCTION("""COMPUTED_VALUE"""),"1-5")</f>
        <v>1-5</v>
      </c>
      <c r="C318" s="1" t="str">
        <f>IFERROR(__xludf.DUMMYFUNCTION("""COMPUTED_VALUE"""),"Soul")</f>
        <v>Soul</v>
      </c>
      <c r="D318" s="73" t="str">
        <f>IFERROR(__xludf.DUMMYFUNCTION("""COMPUTED_VALUE"""),"6-10")</f>
        <v>6-10</v>
      </c>
      <c r="E318" s="1" t="str">
        <f>IFERROR(__xludf.DUMMYFUNCTION("""COMPUTED_VALUE"""),"Bashe's Tail")</f>
        <v>Bashe's Tail</v>
      </c>
      <c r="F318" s="73" t="str">
        <f>IFERROR(__xludf.DUMMYFUNCTION("""COMPUTED_VALUE"""),"11-15")</f>
        <v>11-15</v>
      </c>
      <c r="G318" s="1" t="str">
        <f>IFERROR(__xludf.DUMMYFUNCTION("""COMPUTED_VALUE"""),"Bashe's Flute")</f>
        <v>Bashe's Flute</v>
      </c>
      <c r="H318" s="73" t="str">
        <f>IFERROR(__xludf.DUMMYFUNCTION("""COMPUTED_VALUE"""),"16-20")</f>
        <v>16-20</v>
      </c>
      <c r="I318" s="1" t="str">
        <f>IFERROR(__xludf.DUMMYFUNCTION("""COMPUTED_VALUE"""),"Nothing")</f>
        <v>Nothing</v>
      </c>
      <c r="J318" s="73" t="str">
        <f>IFERROR(__xludf.DUMMYFUNCTION("""COMPUTED_VALUE"""),"21-25")</f>
        <v>21-25</v>
      </c>
      <c r="K318" s="1" t="str">
        <f>IFERROR(__xludf.DUMMYFUNCTION("""COMPUTED_VALUE"""),"Nothing")</f>
        <v>Nothing</v>
      </c>
      <c r="L318" s="1"/>
      <c r="M318" s="1"/>
      <c r="N318" s="1"/>
      <c r="O318" s="1"/>
      <c r="P318" s="1"/>
      <c r="Q318" s="1"/>
      <c r="R318" s="1"/>
      <c r="S318" s="1"/>
      <c r="T318" s="1"/>
      <c r="U318" s="1"/>
      <c r="V318" s="1"/>
      <c r="W318" s="1"/>
      <c r="X318" s="1"/>
    </row>
    <row r="319" ht="15.75" customHeight="1">
      <c r="A319" s="1" t="str">
        <f>IFERROR(__xludf.DUMMYFUNCTION("""COMPUTED_VALUE"""),"Grash, The Oni of Fiji")</f>
        <v>Grash, The Oni of Fiji</v>
      </c>
      <c r="B319" s="73" t="str">
        <f>IFERROR(__xludf.DUMMYFUNCTION("""COMPUTED_VALUE"""),"1-5")</f>
        <v>1-5</v>
      </c>
      <c r="C319" s="1" t="str">
        <f>IFERROR(__xludf.DUMMYFUNCTION("""COMPUTED_VALUE"""),"Grash's Favorite Length Of Iron")</f>
        <v>Grash's Favorite Length Of Iron</v>
      </c>
      <c r="D319" s="73" t="str">
        <f>IFERROR(__xludf.DUMMYFUNCTION("""COMPUTED_VALUE"""),"6-10")</f>
        <v>6-10</v>
      </c>
      <c r="E319" s="1" t="str">
        <f>IFERROR(__xludf.DUMMYFUNCTION("""COMPUTED_VALUE"""),"Soul")</f>
        <v>Soul</v>
      </c>
      <c r="F319" s="73" t="str">
        <f>IFERROR(__xludf.DUMMYFUNCTION("""COMPUTED_VALUE"""),"11-15")</f>
        <v>11-15</v>
      </c>
      <c r="G319" s="1" t="str">
        <f>IFERROR(__xludf.DUMMYFUNCTION("""COMPUTED_VALUE"""),"80,000G-100,000G")</f>
        <v>80,000G-100,000G</v>
      </c>
      <c r="H319" s="73" t="str">
        <f>IFERROR(__xludf.DUMMYFUNCTION("""COMPUTED_VALUE"""),"16-20")</f>
        <v>16-20</v>
      </c>
      <c r="I319" s="1" t="str">
        <f>IFERROR(__xludf.DUMMYFUNCTION("""COMPUTED_VALUE"""),"100,000,000G-500,000,000G")</f>
        <v>100,000,000G-500,000,000G</v>
      </c>
      <c r="J319" s="73" t="str">
        <f>IFERROR(__xludf.DUMMYFUNCTION("""COMPUTED_VALUE"""),"21-25")</f>
        <v>21-25</v>
      </c>
      <c r="K319" s="1" t="str">
        <f>IFERROR(__xludf.DUMMYFUNCTION("""COMPUTED_VALUE"""),"Nothing")</f>
        <v>Nothing</v>
      </c>
      <c r="L319" s="1"/>
      <c r="M319" s="1"/>
      <c r="N319" s="1"/>
      <c r="O319" s="1"/>
      <c r="P319" s="1"/>
      <c r="Q319" s="1"/>
      <c r="R319" s="1"/>
      <c r="S319" s="1"/>
      <c r="T319" s="1"/>
      <c r="U319" s="1"/>
      <c r="V319" s="1"/>
      <c r="W319" s="1"/>
      <c r="X319" s="1"/>
    </row>
    <row r="320" ht="15.75" customHeight="1">
      <c r="A320" s="1" t="str">
        <f>IFERROR(__xludf.DUMMYFUNCTION("""COMPUTED_VALUE"""),"The Black Tortoise ")</f>
        <v>The Black Tortoise </v>
      </c>
      <c r="B320" s="73" t="str">
        <f>IFERROR(__xludf.DUMMYFUNCTION("""COMPUTED_VALUE"""),"1-5")</f>
        <v>1-5</v>
      </c>
      <c r="C320" s="1" t="str">
        <f>IFERROR(__xludf.DUMMYFUNCTION("""COMPUTED_VALUE"""),"Nothing")</f>
        <v>Nothing</v>
      </c>
      <c r="D320" s="73" t="str">
        <f>IFERROR(__xludf.DUMMYFUNCTION("""COMPUTED_VALUE"""),"6-10")</f>
        <v>6-10</v>
      </c>
      <c r="E320" s="1" t="str">
        <f>IFERROR(__xludf.DUMMYFUNCTION("""COMPUTED_VALUE"""),"Soul")</f>
        <v>Soul</v>
      </c>
      <c r="F320" s="73" t="str">
        <f>IFERROR(__xludf.DUMMYFUNCTION("""COMPUTED_VALUE"""),"11-15")</f>
        <v>11-15</v>
      </c>
      <c r="G320" s="1" t="str">
        <f>IFERROR(__xludf.DUMMYFUNCTION("""COMPUTED_VALUE"""),"Soul")</f>
        <v>Soul</v>
      </c>
      <c r="H320" s="73" t="str">
        <f>IFERROR(__xludf.DUMMYFUNCTION("""COMPUTED_VALUE"""),"16-20")</f>
        <v>16-20</v>
      </c>
      <c r="I320" s="1" t="str">
        <f>IFERROR(__xludf.DUMMYFUNCTION("""COMPUTED_VALUE"""),"Nothing")</f>
        <v>Nothing</v>
      </c>
      <c r="J320" s="73" t="str">
        <f>IFERROR(__xludf.DUMMYFUNCTION("""COMPUTED_VALUE"""),"21-25")</f>
        <v>21-25</v>
      </c>
      <c r="K320" s="1" t="str">
        <f>IFERROR(__xludf.DUMMYFUNCTION("""COMPUTED_VALUE"""),"Nothing")</f>
        <v>Nothing</v>
      </c>
      <c r="L320" s="1"/>
      <c r="M320" s="1"/>
      <c r="N320" s="1"/>
      <c r="O320" s="1"/>
      <c r="P320" s="1"/>
      <c r="Q320" s="1"/>
      <c r="R320" s="1"/>
      <c r="S320" s="1"/>
      <c r="T320" s="1"/>
      <c r="U320" s="1"/>
      <c r="V320" s="1"/>
      <c r="W320" s="1"/>
      <c r="X320" s="1"/>
    </row>
    <row r="321" ht="15.75" customHeight="1">
      <c r="A321" s="1" t="str">
        <f>IFERROR(__xludf.DUMMYFUNCTION("""COMPUTED_VALUE"""),"PyroShell")</f>
        <v>PyroShell</v>
      </c>
      <c r="B321" s="73" t="str">
        <f>IFERROR(__xludf.DUMMYFUNCTION("""COMPUTED_VALUE"""),"1-5")</f>
        <v>1-5</v>
      </c>
      <c r="C321" s="1" t="str">
        <f>IFERROR(__xludf.DUMMYFUNCTION("""COMPUTED_VALUE"""),"Nothing")</f>
        <v>Nothing</v>
      </c>
      <c r="D321" s="73" t="str">
        <f>IFERROR(__xludf.DUMMYFUNCTION("""COMPUTED_VALUE"""),"6-10")</f>
        <v>6-10</v>
      </c>
      <c r="E321" s="1" t="str">
        <f>IFERROR(__xludf.DUMMYFUNCTION("""COMPUTED_VALUE"""),"Soul")</f>
        <v>Soul</v>
      </c>
      <c r="F321" s="73" t="str">
        <f>IFERROR(__xludf.DUMMYFUNCTION("""COMPUTED_VALUE"""),"11-15")</f>
        <v>11-15</v>
      </c>
      <c r="G321" s="1" t="str">
        <f>IFERROR(__xludf.DUMMYFUNCTION("""COMPUTED_VALUE"""),"Egg")</f>
        <v>Egg</v>
      </c>
      <c r="H321" s="73" t="str">
        <f>IFERROR(__xludf.DUMMYFUNCTION("""COMPUTED_VALUE"""),"16-20")</f>
        <v>16-20</v>
      </c>
      <c r="I321" s="1" t="str">
        <f>IFERROR(__xludf.DUMMYFUNCTION("""COMPUTED_VALUE"""),"Nothing")</f>
        <v>Nothing</v>
      </c>
      <c r="J321" s="73" t="str">
        <f>IFERROR(__xludf.DUMMYFUNCTION("""COMPUTED_VALUE"""),"21-25")</f>
        <v>21-25</v>
      </c>
      <c r="K321" s="1" t="str">
        <f>IFERROR(__xludf.DUMMYFUNCTION("""COMPUTED_VALUE"""),"Nothing")</f>
        <v>Nothing</v>
      </c>
      <c r="L321" s="1"/>
      <c r="M321" s="1"/>
      <c r="N321" s="1"/>
      <c r="O321" s="1"/>
      <c r="P321" s="1"/>
      <c r="Q321" s="1"/>
      <c r="R321" s="1"/>
      <c r="S321" s="1"/>
      <c r="T321" s="1"/>
      <c r="U321" s="1"/>
      <c r="V321" s="1"/>
      <c r="W321" s="1"/>
      <c r="X321" s="1"/>
    </row>
    <row r="322" ht="15.75" customHeight="1">
      <c r="A322" s="1" t="str">
        <f>IFERROR(__xludf.DUMMYFUNCTION("""COMPUTED_VALUE"""),"Ninja of Bashe")</f>
        <v>Ninja of Bashe</v>
      </c>
      <c r="B322" s="73" t="str">
        <f>IFERROR(__xludf.DUMMYFUNCTION("""COMPUTED_VALUE"""),"1-5")</f>
        <v>1-5</v>
      </c>
      <c r="C322" s="1" t="str">
        <f>IFERROR(__xludf.DUMMYFUNCTION("""COMPUTED_VALUE"""),"1,000,000G-20,000,000G")</f>
        <v>1,000,000G-20,000,000G</v>
      </c>
      <c r="D322" s="73" t="str">
        <f>IFERROR(__xludf.DUMMYFUNCTION("""COMPUTED_VALUE"""),"6-10")</f>
        <v>6-10</v>
      </c>
      <c r="E322" s="1" t="str">
        <f>IFERROR(__xludf.DUMMYFUNCTION("""COMPUTED_VALUE"""),"80,000,000G-100,000,000G")</f>
        <v>80,000,000G-100,000,000G</v>
      </c>
      <c r="F322" s="73" t="str">
        <f>IFERROR(__xludf.DUMMYFUNCTION("""COMPUTED_VALUE"""),"11-15")</f>
        <v>11-15</v>
      </c>
      <c r="G322" s="1" t="str">
        <f>IFERROR(__xludf.DUMMYFUNCTION("""COMPUTED_VALUE"""),"80,000G-100,000G")</f>
        <v>80,000G-100,000G</v>
      </c>
      <c r="H322" s="73" t="str">
        <f>IFERROR(__xludf.DUMMYFUNCTION("""COMPUTED_VALUE"""),"16-20")</f>
        <v>16-20</v>
      </c>
      <c r="I322" s="1" t="str">
        <f>IFERROR(__xludf.DUMMYFUNCTION("""COMPUTED_VALUE"""),"40,000,000G-60,000,000G")</f>
        <v>40,000,000G-60,000,000G</v>
      </c>
      <c r="J322" s="73" t="str">
        <f>IFERROR(__xludf.DUMMYFUNCTION("""COMPUTED_VALUE"""),"21-25")</f>
        <v>21-25</v>
      </c>
      <c r="K322" s="1" t="str">
        <f>IFERROR(__xludf.DUMMYFUNCTION("""COMPUTED_VALUE"""),"80,000,000G-100,000,000G")</f>
        <v>80,000,000G-100,000,000G</v>
      </c>
      <c r="L322" s="1"/>
      <c r="M322" s="1"/>
      <c r="N322" s="1"/>
      <c r="O322" s="1"/>
      <c r="P322" s="1"/>
      <c r="Q322" s="1"/>
      <c r="R322" s="1"/>
      <c r="S322" s="1"/>
      <c r="T322" s="1"/>
      <c r="U322" s="1"/>
      <c r="V322" s="1"/>
      <c r="W322" s="1"/>
      <c r="X322" s="1"/>
    </row>
    <row r="323" ht="15.75" customHeight="1">
      <c r="A323" s="1" t="str">
        <f>IFERROR(__xludf.DUMMYFUNCTION("""COMPUTED_VALUE"""),"The Great Storm Kaiju")</f>
        <v>The Great Storm Kaiju</v>
      </c>
      <c r="B323" s="73" t="str">
        <f>IFERROR(__xludf.DUMMYFUNCTION("""COMPUTED_VALUE"""),"1-5")</f>
        <v>1-5</v>
      </c>
      <c r="C323" s="1" t="str">
        <f>IFERROR(__xludf.DUMMYFUNCTION("""COMPUTED_VALUE"""),"Nothing")</f>
        <v>Nothing</v>
      </c>
      <c r="D323" s="73" t="str">
        <f>IFERROR(__xludf.DUMMYFUNCTION("""COMPUTED_VALUE"""),"6-10")</f>
        <v>6-10</v>
      </c>
      <c r="E323" s="1" t="str">
        <f>IFERROR(__xludf.DUMMYFUNCTION("""COMPUTED_VALUE"""),"Nothing")</f>
        <v>Nothing</v>
      </c>
      <c r="F323" s="73" t="str">
        <f>IFERROR(__xludf.DUMMYFUNCTION("""COMPUTED_VALUE"""),"11-15")</f>
        <v>11-15</v>
      </c>
      <c r="G323" s="1" t="str">
        <f>IFERROR(__xludf.DUMMYFUNCTION("""COMPUTED_VALUE"""),"Nothing")</f>
        <v>Nothing</v>
      </c>
      <c r="H323" s="73" t="str">
        <f>IFERROR(__xludf.DUMMYFUNCTION("""COMPUTED_VALUE"""),"16-20")</f>
        <v>16-20</v>
      </c>
      <c r="I323" s="1" t="str">
        <f>IFERROR(__xludf.DUMMYFUNCTION("""COMPUTED_VALUE"""),"Nothing")</f>
        <v>Nothing</v>
      </c>
      <c r="J323" s="73" t="str">
        <f>IFERROR(__xludf.DUMMYFUNCTION("""COMPUTED_VALUE"""),"21-25")</f>
        <v>21-25</v>
      </c>
      <c r="K323" s="1" t="str">
        <f>IFERROR(__xludf.DUMMYFUNCTION("""COMPUTED_VALUE"""),"Nothing")</f>
        <v>Nothing</v>
      </c>
      <c r="L323" s="1"/>
      <c r="M323" s="1"/>
      <c r="N323" s="1"/>
      <c r="O323" s="1"/>
      <c r="P323" s="1"/>
      <c r="Q323" s="1"/>
      <c r="R323" s="1"/>
      <c r="S323" s="1"/>
      <c r="T323" s="1"/>
      <c r="U323" s="1"/>
      <c r="V323" s="1"/>
      <c r="W323" s="1"/>
      <c r="X323" s="1"/>
    </row>
    <row r="324" ht="15.75" customHeight="1">
      <c r="A324" s="1" t="str">
        <f>IFERROR(__xludf.DUMMYFUNCTION("""COMPUTED_VALUE"""),"Gaia, Goddess of Earth")</f>
        <v>Gaia, Goddess of Earth</v>
      </c>
      <c r="B324" s="73" t="str">
        <f>IFERROR(__xludf.DUMMYFUNCTION("""COMPUTED_VALUE"""),"1-5")</f>
        <v>1-5</v>
      </c>
      <c r="C324" s="1" t="str">
        <f>IFERROR(__xludf.DUMMYFUNCTION("""COMPUTED_VALUE"""),"Nothing")</f>
        <v>Nothing</v>
      </c>
      <c r="D324" s="73" t="str">
        <f>IFERROR(__xludf.DUMMYFUNCTION("""COMPUTED_VALUE"""),"6-10")</f>
        <v>6-10</v>
      </c>
      <c r="E324" s="1" t="str">
        <f>IFERROR(__xludf.DUMMYFUNCTION("""COMPUTED_VALUE"""),"Nothing")</f>
        <v>Nothing</v>
      </c>
      <c r="F324" s="73" t="str">
        <f>IFERROR(__xludf.DUMMYFUNCTION("""COMPUTED_VALUE"""),"11-15")</f>
        <v>11-15</v>
      </c>
      <c r="G324" s="1" t="str">
        <f>IFERROR(__xludf.DUMMYFUNCTION("""COMPUTED_VALUE"""),"Nothing")</f>
        <v>Nothing</v>
      </c>
      <c r="H324" s="73" t="str">
        <f>IFERROR(__xludf.DUMMYFUNCTION("""COMPUTED_VALUE"""),"16-20")</f>
        <v>16-20</v>
      </c>
      <c r="I324" s="1" t="str">
        <f>IFERROR(__xludf.DUMMYFUNCTION("""COMPUTED_VALUE"""),"Soul")</f>
        <v>Soul</v>
      </c>
      <c r="J324" s="73" t="str">
        <f>IFERROR(__xludf.DUMMYFUNCTION("""COMPUTED_VALUE"""),"21-25")</f>
        <v>21-25</v>
      </c>
      <c r="K324" s="1" t="str">
        <f>IFERROR(__xludf.DUMMYFUNCTION("""COMPUTED_VALUE"""),"Nothing")</f>
        <v>Nothing</v>
      </c>
      <c r="L324" s="1"/>
      <c r="M324" s="1"/>
      <c r="N324" s="1"/>
      <c r="O324" s="1"/>
      <c r="P324" s="1"/>
      <c r="Q324" s="1"/>
      <c r="R324" s="1"/>
      <c r="S324" s="1"/>
      <c r="T324" s="1"/>
      <c r="U324" s="1"/>
      <c r="V324" s="1"/>
      <c r="W324" s="1"/>
      <c r="X324" s="1"/>
    </row>
    <row r="325" ht="15.75" customHeight="1">
      <c r="A325" s="1" t="str">
        <f>IFERROR(__xludf.DUMMYFUNCTION("""COMPUTED_VALUE"""),"Bahamut, Beast of the Endless Void (First Phase)")</f>
        <v>Bahamut, Beast of the Endless Void (First Phase)</v>
      </c>
      <c r="B325" s="73" t="str">
        <f>IFERROR(__xludf.DUMMYFUNCTION("""COMPUTED_VALUE"""),"1-5")</f>
        <v>1-5</v>
      </c>
      <c r="C325" s="1" t="str">
        <f>IFERROR(__xludf.DUMMYFUNCTION("""COMPUTED_VALUE"""),"500,000,000G-1,000,000,000G")</f>
        <v>500,000,000G-1,000,000,000G</v>
      </c>
      <c r="D325" s="73" t="str">
        <f>IFERROR(__xludf.DUMMYFUNCTION("""COMPUTED_VALUE"""),"6-10")</f>
        <v>6-10</v>
      </c>
      <c r="E325" s="1" t="str">
        <f>IFERROR(__xludf.DUMMYFUNCTION("""COMPUTED_VALUE"""),"500,000G-1,000,000G")</f>
        <v>500,000G-1,000,000G</v>
      </c>
      <c r="F325" s="73" t="str">
        <f>IFERROR(__xludf.DUMMYFUNCTION("""COMPUTED_VALUE"""),"11-15")</f>
        <v>11-15</v>
      </c>
      <c r="G325" s="1" t="str">
        <f>IFERROR(__xludf.DUMMYFUNCTION("""COMPUTED_VALUE"""),"Bahamut's Claw")</f>
        <v>Bahamut's Claw</v>
      </c>
      <c r="H325" s="73" t="str">
        <f>IFERROR(__xludf.DUMMYFUNCTION("""COMPUTED_VALUE"""),"16-20")</f>
        <v>16-20</v>
      </c>
      <c r="I325" s="1" t="str">
        <f>IFERROR(__xludf.DUMMYFUNCTION("""COMPUTED_VALUE"""),"Nothing")</f>
        <v>Nothing</v>
      </c>
      <c r="J325" s="73" t="str">
        <f>IFERROR(__xludf.DUMMYFUNCTION("""COMPUTED_VALUE"""),"21-25")</f>
        <v>21-25</v>
      </c>
      <c r="K325" s="1" t="str">
        <f>IFERROR(__xludf.DUMMYFUNCTION("""COMPUTED_VALUE"""),"Soul")</f>
        <v>Soul</v>
      </c>
      <c r="L325" s="1"/>
      <c r="M325" s="1"/>
      <c r="N325" s="1"/>
      <c r="O325" s="1"/>
      <c r="P325" s="1"/>
      <c r="Q325" s="1"/>
      <c r="R325" s="1"/>
      <c r="S325" s="1"/>
      <c r="T325" s="1"/>
      <c r="U325" s="1"/>
      <c r="V325" s="1"/>
      <c r="W325" s="1"/>
      <c r="X325" s="1"/>
    </row>
    <row r="326" ht="15.75" customHeight="1">
      <c r="A326" s="1" t="str">
        <f>IFERROR(__xludf.DUMMYFUNCTION("""COMPUTED_VALUE"""),"Orgroth - The Volcanic Guardian of Fire Tiki Mountain")</f>
        <v>Orgroth - The Volcanic Guardian of Fire Tiki Mountain</v>
      </c>
      <c r="B326" s="73" t="str">
        <f>IFERROR(__xludf.DUMMYFUNCTION("""COMPUTED_VALUE"""),"1-5")</f>
        <v>1-5</v>
      </c>
      <c r="C326" s="1" t="str">
        <f>IFERROR(__xludf.DUMMYFUNCTION("""COMPUTED_VALUE"""),"Nothing")</f>
        <v>Nothing</v>
      </c>
      <c r="D326" s="73" t="str">
        <f>IFERROR(__xludf.DUMMYFUNCTION("""COMPUTED_VALUE"""),"6-10")</f>
        <v>6-10</v>
      </c>
      <c r="E326" s="1" t="str">
        <f>IFERROR(__xludf.DUMMYFUNCTION("""COMPUTED_VALUE"""),"Nothing")</f>
        <v>Nothing</v>
      </c>
      <c r="F326" s="73" t="str">
        <f>IFERROR(__xludf.DUMMYFUNCTION("""COMPUTED_VALUE"""),"11-15")</f>
        <v>11-15</v>
      </c>
      <c r="G326" s="1" t="str">
        <f>IFERROR(__xludf.DUMMYFUNCTION("""COMPUTED_VALUE"""),"Nothing")</f>
        <v>Nothing</v>
      </c>
      <c r="H326" s="73" t="str">
        <f>IFERROR(__xludf.DUMMYFUNCTION("""COMPUTED_VALUE"""),"16-20")</f>
        <v>16-20</v>
      </c>
      <c r="I326" s="1" t="str">
        <f>IFERROR(__xludf.DUMMYFUNCTION("""COMPUTED_VALUE"""),"Nothing")</f>
        <v>Nothing</v>
      </c>
      <c r="J326" s="73" t="str">
        <f>IFERROR(__xludf.DUMMYFUNCTION("""COMPUTED_VALUE"""),"21-25")</f>
        <v>21-25</v>
      </c>
      <c r="K326" s="1" t="str">
        <f>IFERROR(__xludf.DUMMYFUNCTION("""COMPUTED_VALUE"""),"Nothing")</f>
        <v>Nothing</v>
      </c>
      <c r="L326" s="1"/>
      <c r="M326" s="1"/>
      <c r="N326" s="1"/>
      <c r="O326" s="1"/>
      <c r="P326" s="1"/>
      <c r="Q326" s="1"/>
      <c r="R326" s="1"/>
      <c r="S326" s="1"/>
      <c r="T326" s="1"/>
      <c r="U326" s="1"/>
      <c r="V326" s="1"/>
      <c r="W326" s="1"/>
      <c r="X326" s="1"/>
    </row>
    <row r="327" ht="15.75" customHeight="1">
      <c r="A327" s="1" t="str">
        <f>IFERROR(__xludf.DUMMYFUNCTION("""COMPUTED_VALUE"""),"Zor - The Volcanic Golem")</f>
        <v>Zor - The Volcanic Golem</v>
      </c>
      <c r="B327" s="73" t="str">
        <f>IFERROR(__xludf.DUMMYFUNCTION("""COMPUTED_VALUE"""),"1-5")</f>
        <v>1-5</v>
      </c>
      <c r="C327" s="1" t="str">
        <f>IFERROR(__xludf.DUMMYFUNCTION("""COMPUTED_VALUE"""),"Nothing")</f>
        <v>Nothing</v>
      </c>
      <c r="D327" s="73" t="str">
        <f>IFERROR(__xludf.DUMMYFUNCTION("""COMPUTED_VALUE"""),"6-10")</f>
        <v>6-10</v>
      </c>
      <c r="E327" s="1" t="str">
        <f>IFERROR(__xludf.DUMMYFUNCTION("""COMPUTED_VALUE"""),"40,000,000G-60,000,000G")</f>
        <v>40,000,000G-60,000,000G</v>
      </c>
      <c r="F327" s="73" t="str">
        <f>IFERROR(__xludf.DUMMYFUNCTION("""COMPUTED_VALUE"""),"11-15")</f>
        <v>11-15</v>
      </c>
      <c r="G327" s="1" t="str">
        <f>IFERROR(__xludf.DUMMYFUNCTION("""COMPUTED_VALUE"""),"Nothing")</f>
        <v>Nothing</v>
      </c>
      <c r="H327" s="73" t="str">
        <f>IFERROR(__xludf.DUMMYFUNCTION("""COMPUTED_VALUE"""),"16-20")</f>
        <v>16-20</v>
      </c>
      <c r="I327" s="1" t="str">
        <f>IFERROR(__xludf.DUMMYFUNCTION("""COMPUTED_VALUE"""),"Nothing")</f>
        <v>Nothing</v>
      </c>
      <c r="J327" s="73" t="str">
        <f>IFERROR(__xludf.DUMMYFUNCTION("""COMPUTED_VALUE"""),"21-25")</f>
        <v>21-25</v>
      </c>
      <c r="K327" s="1" t="str">
        <f>IFERROR(__xludf.DUMMYFUNCTION("""COMPUTED_VALUE"""),"Nothing")</f>
        <v>Nothing</v>
      </c>
      <c r="L327" s="1"/>
      <c r="M327" s="1"/>
      <c r="N327" s="1"/>
      <c r="O327" s="1"/>
      <c r="P327" s="1"/>
      <c r="Q327" s="1"/>
      <c r="R327" s="1"/>
      <c r="S327" s="1"/>
      <c r="T327" s="1"/>
      <c r="U327" s="1"/>
      <c r="V327" s="1"/>
      <c r="W327" s="1"/>
      <c r="X327" s="1"/>
    </row>
    <row r="328" ht="15.75" customHeight="1">
      <c r="A328" s="1" t="str">
        <f>IFERROR(__xludf.DUMMYFUNCTION("""COMPUTED_VALUE"""),"Gaia's Paladins")</f>
        <v>Gaia's Paladins</v>
      </c>
      <c r="B328" s="73" t="str">
        <f>IFERROR(__xludf.DUMMYFUNCTION("""COMPUTED_VALUE"""),"1-5")</f>
        <v>1-5</v>
      </c>
      <c r="C328" s="1" t="str">
        <f>IFERROR(__xludf.DUMMYFUNCTION("""COMPUTED_VALUE"""),"Paladin of Gaia's Plate Chausses")</f>
        <v>Paladin of Gaia's Plate Chausses</v>
      </c>
      <c r="D328" s="73" t="str">
        <f>IFERROR(__xludf.DUMMYFUNCTION("""COMPUTED_VALUE"""),"6-10")</f>
        <v>6-10</v>
      </c>
      <c r="E328" s="1" t="str">
        <f>IFERROR(__xludf.DUMMYFUNCTION("""COMPUTED_VALUE"""),"Paladin of Gaia's Emblazoned Chestpiece")</f>
        <v>Paladin of Gaia's Emblazoned Chestpiece</v>
      </c>
      <c r="F328" s="73" t="str">
        <f>IFERROR(__xludf.DUMMYFUNCTION("""COMPUTED_VALUE"""),"11-15")</f>
        <v>11-15</v>
      </c>
      <c r="G328" s="1" t="str">
        <f>IFERROR(__xludf.DUMMYFUNCTION("""COMPUTED_VALUE"""),"Paladin of Gaia's Vambraces")</f>
        <v>Paladin of Gaia's Vambraces</v>
      </c>
      <c r="H328" s="73" t="str">
        <f>IFERROR(__xludf.DUMMYFUNCTION("""COMPUTED_VALUE"""),"16-20")</f>
        <v>16-20</v>
      </c>
      <c r="I328" s="1" t="str">
        <f>IFERROR(__xludf.DUMMYFUNCTION("""COMPUTED_VALUE"""),"Soul")</f>
        <v>Soul</v>
      </c>
      <c r="J328" s="73" t="str">
        <f>IFERROR(__xludf.DUMMYFUNCTION("""COMPUTED_VALUE"""),"21-25")</f>
        <v>21-25</v>
      </c>
      <c r="K328" s="1" t="str">
        <f>IFERROR(__xludf.DUMMYFUNCTION("""COMPUTED_VALUE"""),"Paladin of Gaia's Stone Pauldrons")</f>
        <v>Paladin of Gaia's Stone Pauldrons</v>
      </c>
      <c r="L328" s="1"/>
      <c r="M328" s="1"/>
      <c r="N328" s="1"/>
      <c r="O328" s="1"/>
      <c r="P328" s="1"/>
      <c r="Q328" s="1"/>
      <c r="R328" s="1"/>
      <c r="S328" s="1"/>
      <c r="T328" s="1"/>
      <c r="U328" s="1"/>
      <c r="V328" s="1"/>
      <c r="W328" s="1"/>
      <c r="X328" s="1"/>
    </row>
    <row r="329" ht="15.75" customHeight="1">
      <c r="A329" s="1" t="str">
        <f>IFERROR(__xludf.DUMMYFUNCTION("""COMPUTED_VALUE"""),"Talthos - The Towering Kaiju")</f>
        <v>Talthos - The Towering Kaiju</v>
      </c>
      <c r="B329" s="73" t="str">
        <f>IFERROR(__xludf.DUMMYFUNCTION("""COMPUTED_VALUE"""),"1-5")</f>
        <v>1-5</v>
      </c>
      <c r="C329" s="1" t="str">
        <f>IFERROR(__xludf.DUMMYFUNCTION("""COMPUTED_VALUE"""),"Nothing")</f>
        <v>Nothing</v>
      </c>
      <c r="D329" s="73" t="str">
        <f>IFERROR(__xludf.DUMMYFUNCTION("""COMPUTED_VALUE"""),"6-10")</f>
        <v>6-10</v>
      </c>
      <c r="E329" s="1" t="str">
        <f>IFERROR(__xludf.DUMMYFUNCTION("""COMPUTED_VALUE"""),"Nothing")</f>
        <v>Nothing</v>
      </c>
      <c r="F329" s="73" t="str">
        <f>IFERROR(__xludf.DUMMYFUNCTION("""COMPUTED_VALUE"""),"11-15")</f>
        <v>11-15</v>
      </c>
      <c r="G329" s="1" t="str">
        <f>IFERROR(__xludf.DUMMYFUNCTION("""COMPUTED_VALUE"""),"Nothing")</f>
        <v>Nothing</v>
      </c>
      <c r="H329" s="73" t="str">
        <f>IFERROR(__xludf.DUMMYFUNCTION("""COMPUTED_VALUE"""),"16-20")</f>
        <v>16-20</v>
      </c>
      <c r="I329" s="1" t="str">
        <f>IFERROR(__xludf.DUMMYFUNCTION("""COMPUTED_VALUE"""),"Nothing")</f>
        <v>Nothing</v>
      </c>
      <c r="J329" s="73" t="str">
        <f>IFERROR(__xludf.DUMMYFUNCTION("""COMPUTED_VALUE"""),"21-25")</f>
        <v>21-25</v>
      </c>
      <c r="K329" s="1" t="str">
        <f>IFERROR(__xludf.DUMMYFUNCTION("""COMPUTED_VALUE"""),"Nothing")</f>
        <v>Nothing</v>
      </c>
      <c r="L329" s="1"/>
      <c r="M329" s="1"/>
      <c r="N329" s="1"/>
      <c r="O329" s="1"/>
      <c r="P329" s="1"/>
      <c r="Q329" s="1"/>
      <c r="R329" s="1"/>
      <c r="S329" s="1"/>
      <c r="T329" s="1"/>
      <c r="U329" s="1"/>
      <c r="V329" s="1"/>
      <c r="W329" s="1"/>
      <c r="X329" s="1"/>
    </row>
    <row r="330" ht="15.75" customHeight="1">
      <c r="A330" s="1" t="str">
        <f>IFERROR(__xludf.DUMMYFUNCTION("""COMPUTED_VALUE"""),"Cloudius - The Smoke Elemental")</f>
        <v>Cloudius - The Smoke Elemental</v>
      </c>
      <c r="B330" s="73" t="str">
        <f>IFERROR(__xludf.DUMMYFUNCTION("""COMPUTED_VALUE"""),"1-5")</f>
        <v>1-5</v>
      </c>
      <c r="C330" s="1" t="str">
        <f>IFERROR(__xludf.DUMMYFUNCTION("""COMPUTED_VALUE"""),"Nothing")</f>
        <v>Nothing</v>
      </c>
      <c r="D330" s="73" t="str">
        <f>IFERROR(__xludf.DUMMYFUNCTION("""COMPUTED_VALUE"""),"6-10")</f>
        <v>6-10</v>
      </c>
      <c r="E330" s="1" t="str">
        <f>IFERROR(__xludf.DUMMYFUNCTION("""COMPUTED_VALUE"""),"Nothing")</f>
        <v>Nothing</v>
      </c>
      <c r="F330" s="73" t="str">
        <f>IFERROR(__xludf.DUMMYFUNCTION("""COMPUTED_VALUE"""),"11-15")</f>
        <v>11-15</v>
      </c>
      <c r="G330" s="1" t="str">
        <f>IFERROR(__xludf.DUMMYFUNCTION("""COMPUTED_VALUE"""),"Nothing")</f>
        <v>Nothing</v>
      </c>
      <c r="H330" s="73" t="str">
        <f>IFERROR(__xludf.DUMMYFUNCTION("""COMPUTED_VALUE"""),"16-20")</f>
        <v>16-20</v>
      </c>
      <c r="I330" s="1" t="str">
        <f>IFERROR(__xludf.DUMMYFUNCTION("""COMPUTED_VALUE"""),"Nothing")</f>
        <v>Nothing</v>
      </c>
      <c r="J330" s="73" t="str">
        <f>IFERROR(__xludf.DUMMYFUNCTION("""COMPUTED_VALUE"""),"21-25")</f>
        <v>21-25</v>
      </c>
      <c r="K330" s="1" t="str">
        <f>IFERROR(__xludf.DUMMYFUNCTION("""COMPUTED_VALUE"""),"Nothing")</f>
        <v>Nothing</v>
      </c>
      <c r="L330" s="1"/>
      <c r="M330" s="1"/>
      <c r="N330" s="1"/>
      <c r="O330" s="1"/>
      <c r="P330" s="1"/>
      <c r="Q330" s="1"/>
      <c r="R330" s="1"/>
      <c r="S330" s="1"/>
      <c r="T330" s="1"/>
      <c r="U330" s="1"/>
      <c r="V330" s="1"/>
      <c r="W330" s="1"/>
      <c r="X330" s="1"/>
    </row>
    <row r="331" ht="15.75" customHeight="1">
      <c r="A331" s="1" t="str">
        <f>IFERROR(__xludf.DUMMYFUNCTION("""COMPUTED_VALUE"""),"Grisaia - The Head Paladin of Gaia")</f>
        <v>Grisaia - The Head Paladin of Gaia</v>
      </c>
      <c r="B331" s="73" t="str">
        <f>IFERROR(__xludf.DUMMYFUNCTION("""COMPUTED_VALUE"""),"1-5")</f>
        <v>1-5</v>
      </c>
      <c r="C331" s="1" t="str">
        <f>IFERROR(__xludf.DUMMYFUNCTION("""COMPUTED_VALUE"""),"Paladin of Gaia's Bucket helm of Tenacity")</f>
        <v>Paladin of Gaia's Bucket helm of Tenacity</v>
      </c>
      <c r="D331" s="73" t="str">
        <f>IFERROR(__xludf.DUMMYFUNCTION("""COMPUTED_VALUE"""),"6-10")</f>
        <v>6-10</v>
      </c>
      <c r="E331" s="1" t="str">
        <f>IFERROR(__xludf.DUMMYFUNCTION("""COMPUTED_VALUE"""),"Paladin of Gaia's Ruby Ring")</f>
        <v>Paladin of Gaia's Ruby Ring</v>
      </c>
      <c r="F331" s="73" t="str">
        <f>IFERROR(__xludf.DUMMYFUNCTION("""COMPUTED_VALUE"""),"11-15")</f>
        <v>11-15</v>
      </c>
      <c r="G331" s="1" t="str">
        <f>IFERROR(__xludf.DUMMYFUNCTION("""COMPUTED_VALUE"""),"Paladin of Gaia's Emerald Pendant")</f>
        <v>Paladin of Gaia's Emerald Pendant</v>
      </c>
      <c r="H331" s="73" t="str">
        <f>IFERROR(__xludf.DUMMYFUNCTION("""COMPUTED_VALUE"""),"16-20")</f>
        <v>16-20</v>
      </c>
      <c r="I331" s="1" t="str">
        <f>IFERROR(__xludf.DUMMYFUNCTION("""COMPUTED_VALUE"""),"Soul")</f>
        <v>Soul</v>
      </c>
      <c r="J331" s="73" t="str">
        <f>IFERROR(__xludf.DUMMYFUNCTION("""COMPUTED_VALUE"""),"21-25")</f>
        <v>21-25</v>
      </c>
      <c r="K331" s="1" t="str">
        <f>IFERROR(__xludf.DUMMYFUNCTION("""COMPUTED_VALUE"""),"Paladin of Gaia's Sabatons")</f>
        <v>Paladin of Gaia's Sabatons</v>
      </c>
      <c r="L331" s="1"/>
      <c r="M331" s="1"/>
      <c r="N331" s="1"/>
      <c r="O331" s="1"/>
      <c r="P331" s="1"/>
      <c r="Q331" s="1"/>
      <c r="R331" s="1"/>
      <c r="S331" s="1"/>
      <c r="T331" s="1"/>
      <c r="U331" s="1"/>
      <c r="V331" s="1"/>
      <c r="W331" s="1"/>
      <c r="X331" s="1"/>
    </row>
    <row r="332" ht="15.75" customHeight="1">
      <c r="A332" s="1" t="str">
        <f>IFERROR(__xludf.DUMMYFUNCTION("""COMPUTED_VALUE"""),"Earth Golem")</f>
        <v>Earth Golem</v>
      </c>
      <c r="B332" s="73" t="str">
        <f>IFERROR(__xludf.DUMMYFUNCTION("""COMPUTED_VALUE"""),"1-5")</f>
        <v>1-5</v>
      </c>
      <c r="C332" s="1" t="str">
        <f>IFERROR(__xludf.DUMMYFUNCTION("""COMPUTED_VALUE"""),"Stonewall Shield")</f>
        <v>Stonewall Shield</v>
      </c>
      <c r="D332" s="73" t="str">
        <f>IFERROR(__xludf.DUMMYFUNCTION("""COMPUTED_VALUE"""),"6-10")</f>
        <v>6-10</v>
      </c>
      <c r="E332" s="1" t="str">
        <f>IFERROR(__xludf.DUMMYFUNCTION("""COMPUTED_VALUE"""),"Earth Golem Core")</f>
        <v>Earth Golem Core</v>
      </c>
      <c r="F332" s="73" t="str">
        <f>IFERROR(__xludf.DUMMYFUNCTION("""COMPUTED_VALUE"""),"11-15")</f>
        <v>11-15</v>
      </c>
      <c r="G332" s="1" t="str">
        <f>IFERROR(__xludf.DUMMYFUNCTION("""COMPUTED_VALUE"""),"Egg")</f>
        <v>Egg</v>
      </c>
      <c r="H332" s="73" t="str">
        <f>IFERROR(__xludf.DUMMYFUNCTION("""COMPUTED_VALUE"""),"16-20")</f>
        <v>16-20</v>
      </c>
      <c r="I332" s="1" t="str">
        <f>IFERROR(__xludf.DUMMYFUNCTION("""COMPUTED_VALUE"""),"Nothing")</f>
        <v>Nothing</v>
      </c>
      <c r="J332" s="73" t="str">
        <f>IFERROR(__xludf.DUMMYFUNCTION("""COMPUTED_VALUE"""),"21-25")</f>
        <v>21-25</v>
      </c>
      <c r="K332" s="1" t="str">
        <f>IFERROR(__xludf.DUMMYFUNCTION("""COMPUTED_VALUE"""),"Nothing")</f>
        <v>Nothing</v>
      </c>
      <c r="L332" s="1"/>
      <c r="M332" s="1"/>
      <c r="N332" s="1"/>
      <c r="O332" s="1"/>
      <c r="P332" s="1"/>
      <c r="Q332" s="1"/>
      <c r="R332" s="1"/>
      <c r="S332" s="1"/>
      <c r="T332" s="1"/>
      <c r="U332" s="1"/>
      <c r="V332" s="1"/>
      <c r="W332" s="1"/>
      <c r="X332" s="1"/>
    </row>
    <row r="333" ht="15.75" customHeight="1">
      <c r="A333" s="1" t="str">
        <f>IFERROR(__xludf.DUMMYFUNCTION("""COMPUTED_VALUE"""),"Crystal Spider")</f>
        <v>Crystal Spider</v>
      </c>
      <c r="B333" s="73" t="str">
        <f>IFERROR(__xludf.DUMMYFUNCTION("""COMPUTED_VALUE"""),"1-5")</f>
        <v>1-5</v>
      </c>
      <c r="C333" s="1" t="str">
        <f>IFERROR(__xludf.DUMMYFUNCTION("""COMPUTED_VALUE"""),"Egg")</f>
        <v>Egg</v>
      </c>
      <c r="D333" s="73" t="str">
        <f>IFERROR(__xludf.DUMMYFUNCTION("""COMPUTED_VALUE"""),"6-10")</f>
        <v>6-10</v>
      </c>
      <c r="E333" s="1" t="str">
        <f>IFERROR(__xludf.DUMMYFUNCTION("""COMPUTED_VALUE"""),"Soul")</f>
        <v>Soul</v>
      </c>
      <c r="F333" s="73" t="str">
        <f>IFERROR(__xludf.DUMMYFUNCTION("""COMPUTED_VALUE"""),"11-15")</f>
        <v>11-15</v>
      </c>
      <c r="G333" s="1" t="str">
        <f>IFERROR(__xludf.DUMMYFUNCTION("""COMPUTED_VALUE"""),"Nothing")</f>
        <v>Nothing</v>
      </c>
      <c r="H333" s="73" t="str">
        <f>IFERROR(__xludf.DUMMYFUNCTION("""COMPUTED_VALUE"""),"16-20")</f>
        <v>16-20</v>
      </c>
      <c r="I333" s="1" t="str">
        <f>IFERROR(__xludf.DUMMYFUNCTION("""COMPUTED_VALUE"""),"Nothing")</f>
        <v>Nothing</v>
      </c>
      <c r="J333" s="73" t="str">
        <f>IFERROR(__xludf.DUMMYFUNCTION("""COMPUTED_VALUE"""),"21-25")</f>
        <v>21-25</v>
      </c>
      <c r="K333" s="1" t="str">
        <f>IFERROR(__xludf.DUMMYFUNCTION("""COMPUTED_VALUE"""),"Nothing")</f>
        <v>Nothing</v>
      </c>
      <c r="L333" s="1"/>
      <c r="M333" s="1"/>
      <c r="N333" s="1"/>
      <c r="O333" s="1"/>
      <c r="P333" s="1"/>
      <c r="Q333" s="1"/>
      <c r="R333" s="1"/>
      <c r="S333" s="1"/>
      <c r="T333" s="1"/>
      <c r="U333" s="1"/>
      <c r="V333" s="1"/>
      <c r="W333" s="1"/>
      <c r="X333" s="1"/>
    </row>
    <row r="334" ht="15.75" customHeight="1">
      <c r="A334" s="1" t="str">
        <f>IFERROR(__xludf.DUMMYFUNCTION("""COMPUTED_VALUE"""),"Ninja Trainee (Dragonscale)")</f>
        <v>Ninja Trainee (Dragonscale)</v>
      </c>
      <c r="B334" s="73" t="str">
        <f>IFERROR(__xludf.DUMMYFUNCTION("""COMPUTED_VALUE"""),"1-5")</f>
        <v>1-5</v>
      </c>
      <c r="C334" s="1" t="str">
        <f>IFERROR(__xludf.DUMMYFUNCTION("""COMPUTED_VALUE"""),"80,000G-100,000G")</f>
        <v>80,000G-100,000G</v>
      </c>
      <c r="D334" s="73" t="str">
        <f>IFERROR(__xludf.DUMMYFUNCTION("""COMPUTED_VALUE"""),"6-10")</f>
        <v>6-10</v>
      </c>
      <c r="E334" s="1" t="str">
        <f>IFERROR(__xludf.DUMMYFUNCTION("""COMPUTED_VALUE"""),"Sai")</f>
        <v>Sai</v>
      </c>
      <c r="F334" s="73" t="str">
        <f>IFERROR(__xludf.DUMMYFUNCTION("""COMPUTED_VALUE"""),"11-15")</f>
        <v>11-15</v>
      </c>
      <c r="G334" s="1" t="str">
        <f>IFERROR(__xludf.DUMMYFUNCTION("""COMPUTED_VALUE"""),"Soul")</f>
        <v>Soul</v>
      </c>
      <c r="H334" s="73" t="str">
        <f>IFERROR(__xludf.DUMMYFUNCTION("""COMPUTED_VALUE"""),"16-20")</f>
        <v>16-20</v>
      </c>
      <c r="I334" s="1" t="str">
        <f>IFERROR(__xludf.DUMMYFUNCTION("""COMPUTED_VALUE"""),"Ninja Initiate's Gloves")</f>
        <v>Ninja Initiate's Gloves</v>
      </c>
      <c r="J334" s="73" t="str">
        <f>IFERROR(__xludf.DUMMYFUNCTION("""COMPUTED_VALUE"""),"21-25")</f>
        <v>21-25</v>
      </c>
      <c r="K334" s="1" t="str">
        <f>IFERROR(__xludf.DUMMYFUNCTION("""COMPUTED_VALUE"""),"Shuriken (Enhanced)")</f>
        <v>Shuriken (Enhanced)</v>
      </c>
      <c r="L334" s="1"/>
      <c r="M334" s="1"/>
      <c r="N334" s="1"/>
      <c r="O334" s="1"/>
      <c r="P334" s="1"/>
      <c r="Q334" s="1"/>
      <c r="R334" s="1"/>
      <c r="S334" s="1"/>
      <c r="T334" s="1"/>
      <c r="U334" s="1"/>
      <c r="V334" s="1"/>
      <c r="W334" s="1"/>
      <c r="X334" s="1"/>
    </row>
    <row r="335" ht="15.75" customHeight="1">
      <c r="A335" s="1" t="str">
        <f>IFERROR(__xludf.DUMMYFUNCTION("""COMPUTED_VALUE"""),"Ninja Ambusher (Dragonscale)")</f>
        <v>Ninja Ambusher (Dragonscale)</v>
      </c>
      <c r="B335" s="73" t="str">
        <f>IFERROR(__xludf.DUMMYFUNCTION("""COMPUTED_VALUE"""),"1-5")</f>
        <v>1-5</v>
      </c>
      <c r="C335" s="1" t="str">
        <f>IFERROR(__xludf.DUMMYFUNCTION("""COMPUTED_VALUE"""),"500,000G-1,000,000G")</f>
        <v>500,000G-1,000,000G</v>
      </c>
      <c r="D335" s="73" t="str">
        <f>IFERROR(__xludf.DUMMYFUNCTION("""COMPUTED_VALUE"""),"6-10")</f>
        <v>6-10</v>
      </c>
      <c r="E335" s="1" t="str">
        <f>IFERROR(__xludf.DUMMYFUNCTION("""COMPUTED_VALUE"""),"Ambusher's Vest")</f>
        <v>Ambusher's Vest</v>
      </c>
      <c r="F335" s="73" t="str">
        <f>IFERROR(__xludf.DUMMYFUNCTION("""COMPUTED_VALUE"""),"11-15")</f>
        <v>11-15</v>
      </c>
      <c r="G335" s="1" t="str">
        <f>IFERROR(__xludf.DUMMYFUNCTION("""COMPUTED_VALUE"""),"Soul")</f>
        <v>Soul</v>
      </c>
      <c r="H335" s="73" t="str">
        <f>IFERROR(__xludf.DUMMYFUNCTION("""COMPUTED_VALUE"""),"16-20")</f>
        <v>16-20</v>
      </c>
      <c r="I335" s="1" t="str">
        <f>IFERROR(__xludf.DUMMYFUNCTION("""COMPUTED_VALUE"""),"A Jar of Blood")</f>
        <v>A Jar of Blood</v>
      </c>
      <c r="J335" s="73" t="str">
        <f>IFERROR(__xludf.DUMMYFUNCTION("""COMPUTED_VALUE"""),"21-25")</f>
        <v>21-25</v>
      </c>
      <c r="K335" s="1" t="str">
        <f>IFERROR(__xludf.DUMMYFUNCTION("""COMPUTED_VALUE"""),"Shuriken (Enhanced)")</f>
        <v>Shuriken (Enhanced)</v>
      </c>
      <c r="L335" s="1"/>
      <c r="M335" s="1"/>
      <c r="N335" s="1"/>
      <c r="O335" s="1"/>
      <c r="P335" s="1"/>
      <c r="Q335" s="1"/>
      <c r="R335" s="1"/>
      <c r="S335" s="1"/>
      <c r="T335" s="1"/>
      <c r="U335" s="1"/>
      <c r="V335" s="1"/>
      <c r="W335" s="1"/>
      <c r="X335" s="1"/>
    </row>
    <row r="336" ht="15.75" customHeight="1">
      <c r="A336" s="1" t="str">
        <f>IFERROR(__xludf.DUMMYFUNCTION("""COMPUTED_VALUE"""),"Ninja Poison Master (Dragonscale)")</f>
        <v>Ninja Poison Master (Dragonscale)</v>
      </c>
      <c r="B336" s="73" t="str">
        <f>IFERROR(__xludf.DUMMYFUNCTION("""COMPUTED_VALUE"""),"1-5")</f>
        <v>1-5</v>
      </c>
      <c r="C336" s="1" t="str">
        <f>IFERROR(__xludf.DUMMYFUNCTION("""COMPUTED_VALUE"""),"500,000G-1,000,000G")</f>
        <v>500,000G-1,000,000G</v>
      </c>
      <c r="D336" s="73" t="str">
        <f>IFERROR(__xludf.DUMMYFUNCTION("""COMPUTED_VALUE"""),"6-10")</f>
        <v>6-10</v>
      </c>
      <c r="E336" s="1" t="str">
        <f>IFERROR(__xludf.DUMMYFUNCTION("""COMPUTED_VALUE"""),"Poison Tipped Needle")</f>
        <v>Poison Tipped Needle</v>
      </c>
      <c r="F336" s="73" t="str">
        <f>IFERROR(__xludf.DUMMYFUNCTION("""COMPUTED_VALUE"""),"11-15")</f>
        <v>11-15</v>
      </c>
      <c r="G336" s="1" t="str">
        <f>IFERROR(__xludf.DUMMYFUNCTION("""COMPUTED_VALUE"""),"Soul")</f>
        <v>Soul</v>
      </c>
      <c r="H336" s="73" t="str">
        <f>IFERROR(__xludf.DUMMYFUNCTION("""COMPUTED_VALUE"""),"16-20")</f>
        <v>16-20</v>
      </c>
      <c r="I336" s="1" t="str">
        <f>IFERROR(__xludf.DUMMYFUNCTION("""COMPUTED_VALUE"""),"Poison Dart Gun")</f>
        <v>Poison Dart Gun</v>
      </c>
      <c r="J336" s="73" t="str">
        <f>IFERROR(__xludf.DUMMYFUNCTION("""COMPUTED_VALUE"""),"21-25")</f>
        <v>21-25</v>
      </c>
      <c r="K336" s="1" t="str">
        <f>IFERROR(__xludf.DUMMYFUNCTION("""COMPUTED_VALUE"""),"Poison Master's Heavy Duty Gloves")</f>
        <v>Poison Master's Heavy Duty Gloves</v>
      </c>
      <c r="L336" s="1"/>
      <c r="M336" s="1"/>
      <c r="N336" s="1"/>
      <c r="O336" s="1"/>
      <c r="P336" s="1"/>
      <c r="Q336" s="1"/>
      <c r="R336" s="1"/>
      <c r="S336" s="1"/>
      <c r="T336" s="1"/>
      <c r="U336" s="1"/>
      <c r="V336" s="1"/>
      <c r="W336" s="1"/>
      <c r="X336" s="1"/>
    </row>
    <row r="337" ht="15.75" customHeight="1">
      <c r="A337" s="1" t="str">
        <f>IFERROR(__xludf.DUMMYFUNCTION("""COMPUTED_VALUE"""),"Ninja Master (Dragonscale)")</f>
        <v>Ninja Master (Dragonscale)</v>
      </c>
      <c r="B337" s="73" t="str">
        <f>IFERROR(__xludf.DUMMYFUNCTION("""COMPUTED_VALUE"""),"1-5")</f>
        <v>1-5</v>
      </c>
      <c r="C337" s="1" t="str">
        <f>IFERROR(__xludf.DUMMYFUNCTION("""COMPUTED_VALUE"""),"1,000,000G-20,000,000G")</f>
        <v>1,000,000G-20,000,000G</v>
      </c>
      <c r="D337" s="73" t="str">
        <f>IFERROR(__xludf.DUMMYFUNCTION("""COMPUTED_VALUE"""),"6-10")</f>
        <v>6-10</v>
      </c>
      <c r="E337" s="1" t="str">
        <f>IFERROR(__xludf.DUMMYFUNCTION("""COMPUTED_VALUE"""),"Soul")</f>
        <v>Soul</v>
      </c>
      <c r="F337" s="73" t="str">
        <f>IFERROR(__xludf.DUMMYFUNCTION("""COMPUTED_VALUE"""),"11-15")</f>
        <v>11-15</v>
      </c>
      <c r="G337" s="1" t="str">
        <f>IFERROR(__xludf.DUMMYFUNCTION("""COMPUTED_VALUE"""),"80,000G-100,000G")</f>
        <v>80,000G-100,000G</v>
      </c>
      <c r="H337" s="73" t="str">
        <f>IFERROR(__xludf.DUMMYFUNCTION("""COMPUTED_VALUE"""),"16-20")</f>
        <v>16-20</v>
      </c>
      <c r="I337" s="1" t="str">
        <f>IFERROR(__xludf.DUMMYFUNCTION("""COMPUTED_VALUE"""),"A Jar of Blood")</f>
        <v>A Jar of Blood</v>
      </c>
      <c r="J337" s="73" t="str">
        <f>IFERROR(__xludf.DUMMYFUNCTION("""COMPUTED_VALUE"""),"21-25")</f>
        <v>21-25</v>
      </c>
      <c r="K337" s="1" t="str">
        <f>IFERROR(__xludf.DUMMYFUNCTION("""COMPUTED_VALUE"""),"Shuriken (Enhanced)")</f>
        <v>Shuriken (Enhanced)</v>
      </c>
      <c r="L337" s="1"/>
      <c r="M337" s="1"/>
      <c r="N337" s="1"/>
      <c r="O337" s="1"/>
      <c r="P337" s="1"/>
      <c r="Q337" s="1"/>
      <c r="R337" s="1"/>
      <c r="S337" s="1"/>
      <c r="T337" s="1"/>
      <c r="U337" s="1"/>
      <c r="V337" s="1"/>
      <c r="W337" s="1"/>
      <c r="X337" s="1"/>
    </row>
    <row r="338" ht="15.75" customHeight="1">
      <c r="A338" s="1" t="str">
        <f>IFERROR(__xludf.DUMMYFUNCTION("""COMPUTED_VALUE"""),"Trap: Pendulum")</f>
        <v>Trap: Pendulum</v>
      </c>
      <c r="B338" s="73" t="str">
        <f>IFERROR(__xludf.DUMMYFUNCTION("""COMPUTED_VALUE"""),"1-5")</f>
        <v>1-5</v>
      </c>
      <c r="C338" s="1"/>
      <c r="D338" s="73" t="str">
        <f>IFERROR(__xludf.DUMMYFUNCTION("""COMPUTED_VALUE"""),"6-10")</f>
        <v>6-10</v>
      </c>
      <c r="E338" s="1"/>
      <c r="F338" s="73" t="str">
        <f>IFERROR(__xludf.DUMMYFUNCTION("""COMPUTED_VALUE"""),"11-15")</f>
        <v>11-15</v>
      </c>
      <c r="G338" s="1"/>
      <c r="H338" s="73" t="str">
        <f>IFERROR(__xludf.DUMMYFUNCTION("""COMPUTED_VALUE"""),"16-20")</f>
        <v>16-20</v>
      </c>
      <c r="I338" s="1"/>
      <c r="J338" s="73" t="str">
        <f>IFERROR(__xludf.DUMMYFUNCTION("""COMPUTED_VALUE"""),"21-25")</f>
        <v>21-25</v>
      </c>
      <c r="K338" s="1"/>
      <c r="L338" s="1"/>
      <c r="M338" s="1"/>
      <c r="N338" s="1"/>
      <c r="O338" s="1"/>
      <c r="P338" s="1"/>
      <c r="Q338" s="1"/>
      <c r="R338" s="1"/>
      <c r="S338" s="1"/>
      <c r="T338" s="1"/>
      <c r="U338" s="1"/>
      <c r="V338" s="1"/>
      <c r="W338" s="1"/>
      <c r="X338" s="1"/>
    </row>
    <row r="339" ht="15.75" customHeight="1">
      <c r="A339" s="1" t="str">
        <f>IFERROR(__xludf.DUMMYFUNCTION("""COMPUTED_VALUE"""),"Trap: Moving Saw Blade")</f>
        <v>Trap: Moving Saw Blade</v>
      </c>
      <c r="B339" s="73" t="str">
        <f>IFERROR(__xludf.DUMMYFUNCTION("""COMPUTED_VALUE"""),"1-5")</f>
        <v>1-5</v>
      </c>
      <c r="C339" s="1"/>
      <c r="D339" s="73" t="str">
        <f>IFERROR(__xludf.DUMMYFUNCTION("""COMPUTED_VALUE"""),"6-10")</f>
        <v>6-10</v>
      </c>
      <c r="E339" s="1"/>
      <c r="F339" s="73" t="str">
        <f>IFERROR(__xludf.DUMMYFUNCTION("""COMPUTED_VALUE"""),"11-15")</f>
        <v>11-15</v>
      </c>
      <c r="G339" s="1"/>
      <c r="H339" s="73" t="str">
        <f>IFERROR(__xludf.DUMMYFUNCTION("""COMPUTED_VALUE"""),"16-20")</f>
        <v>16-20</v>
      </c>
      <c r="I339" s="1"/>
      <c r="J339" s="73" t="str">
        <f>IFERROR(__xludf.DUMMYFUNCTION("""COMPUTED_VALUE"""),"21-25")</f>
        <v>21-25</v>
      </c>
      <c r="K339" s="1"/>
      <c r="L339" s="1"/>
      <c r="M339" s="1"/>
      <c r="N339" s="1"/>
      <c r="O339" s="1"/>
      <c r="P339" s="1"/>
      <c r="Q339" s="1"/>
      <c r="R339" s="1"/>
      <c r="S339" s="1"/>
      <c r="T339" s="1"/>
      <c r="U339" s="1"/>
      <c r="V339" s="1"/>
      <c r="W339" s="1"/>
      <c r="X339" s="1"/>
    </row>
    <row r="340" ht="15.75" customHeight="1">
      <c r="A340" s="1" t="str">
        <f>IFERROR(__xludf.DUMMYFUNCTION("""COMPUTED_VALUE"""),"Trap: Bear Trap")</f>
        <v>Trap: Bear Trap</v>
      </c>
      <c r="B340" s="73" t="str">
        <f>IFERROR(__xludf.DUMMYFUNCTION("""COMPUTED_VALUE"""),"1-5")</f>
        <v>1-5</v>
      </c>
      <c r="C340" s="1"/>
      <c r="D340" s="73" t="str">
        <f>IFERROR(__xludf.DUMMYFUNCTION("""COMPUTED_VALUE"""),"6-10")</f>
        <v>6-10</v>
      </c>
      <c r="E340" s="1"/>
      <c r="F340" s="73" t="str">
        <f>IFERROR(__xludf.DUMMYFUNCTION("""COMPUTED_VALUE"""),"11-15")</f>
        <v>11-15</v>
      </c>
      <c r="G340" s="1"/>
      <c r="H340" s="73" t="str">
        <f>IFERROR(__xludf.DUMMYFUNCTION("""COMPUTED_VALUE"""),"16-20")</f>
        <v>16-20</v>
      </c>
      <c r="I340" s="1"/>
      <c r="J340" s="73" t="str">
        <f>IFERROR(__xludf.DUMMYFUNCTION("""COMPUTED_VALUE"""),"21-25")</f>
        <v>21-25</v>
      </c>
      <c r="K340" s="1"/>
      <c r="L340" s="1"/>
      <c r="M340" s="1"/>
      <c r="N340" s="1"/>
      <c r="O340" s="1"/>
      <c r="P340" s="1"/>
      <c r="Q340" s="1"/>
      <c r="R340" s="1"/>
      <c r="S340" s="1"/>
      <c r="T340" s="1"/>
      <c r="U340" s="1"/>
      <c r="V340" s="1"/>
      <c r="W340" s="1"/>
      <c r="X340" s="1"/>
    </row>
    <row r="341" ht="15.75" customHeight="1">
      <c r="A341" s="1" t="str">
        <f>IFERROR(__xludf.DUMMYFUNCTION("""COMPUTED_VALUE"""),"Trap: Pitfall")</f>
        <v>Trap: Pitfall</v>
      </c>
      <c r="B341" s="73" t="str">
        <f>IFERROR(__xludf.DUMMYFUNCTION("""COMPUTED_VALUE"""),"1-5")</f>
        <v>1-5</v>
      </c>
      <c r="C341" s="1"/>
      <c r="D341" s="73" t="str">
        <f>IFERROR(__xludf.DUMMYFUNCTION("""COMPUTED_VALUE"""),"6-10")</f>
        <v>6-10</v>
      </c>
      <c r="E341" s="1"/>
      <c r="F341" s="73" t="str">
        <f>IFERROR(__xludf.DUMMYFUNCTION("""COMPUTED_VALUE"""),"11-15")</f>
        <v>11-15</v>
      </c>
      <c r="G341" s="1"/>
      <c r="H341" s="73" t="str">
        <f>IFERROR(__xludf.DUMMYFUNCTION("""COMPUTED_VALUE"""),"16-20")</f>
        <v>16-20</v>
      </c>
      <c r="I341" s="1"/>
      <c r="J341" s="73" t="str">
        <f>IFERROR(__xludf.DUMMYFUNCTION("""COMPUTED_VALUE"""),"21-25")</f>
        <v>21-25</v>
      </c>
      <c r="K341" s="1"/>
      <c r="L341" s="1"/>
      <c r="M341" s="1"/>
      <c r="N341" s="1"/>
      <c r="O341" s="1"/>
      <c r="P341" s="1"/>
      <c r="Q341" s="1"/>
      <c r="R341" s="1"/>
      <c r="S341" s="1"/>
      <c r="T341" s="1"/>
      <c r="U341" s="1"/>
      <c r="V341" s="1"/>
      <c r="W341" s="1"/>
      <c r="X341" s="1"/>
    </row>
    <row r="342" ht="15.75" customHeight="1">
      <c r="A342" s="1" t="str">
        <f>IFERROR(__xludf.DUMMYFUNCTION("""COMPUTED_VALUE"""),"Trap: Flaming Arrows")</f>
        <v>Trap: Flaming Arrows</v>
      </c>
      <c r="B342" s="73" t="str">
        <f>IFERROR(__xludf.DUMMYFUNCTION("""COMPUTED_VALUE"""),"1-5")</f>
        <v>1-5</v>
      </c>
      <c r="C342" s="1"/>
      <c r="D342" s="73" t="str">
        <f>IFERROR(__xludf.DUMMYFUNCTION("""COMPUTED_VALUE"""),"6-10")</f>
        <v>6-10</v>
      </c>
      <c r="E342" s="1"/>
      <c r="F342" s="73" t="str">
        <f>IFERROR(__xludf.DUMMYFUNCTION("""COMPUTED_VALUE"""),"11-15")</f>
        <v>11-15</v>
      </c>
      <c r="G342" s="1"/>
      <c r="H342" s="73" t="str">
        <f>IFERROR(__xludf.DUMMYFUNCTION("""COMPUTED_VALUE"""),"16-20")</f>
        <v>16-20</v>
      </c>
      <c r="I342" s="1"/>
      <c r="J342" s="73" t="str">
        <f>IFERROR(__xludf.DUMMYFUNCTION("""COMPUTED_VALUE"""),"21-25")</f>
        <v>21-25</v>
      </c>
      <c r="K342" s="1"/>
      <c r="L342" s="1"/>
      <c r="M342" s="1"/>
      <c r="N342" s="1"/>
      <c r="O342" s="1"/>
      <c r="P342" s="1"/>
      <c r="Q342" s="1"/>
      <c r="R342" s="1"/>
      <c r="S342" s="1"/>
      <c r="T342" s="1"/>
      <c r="U342" s="1"/>
      <c r="V342" s="1"/>
      <c r="W342" s="1"/>
      <c r="X342" s="1"/>
    </row>
    <row r="343" ht="15.75" customHeight="1">
      <c r="A343" s="1" t="str">
        <f>IFERROR(__xludf.DUMMYFUNCTION("""COMPUTED_VALUE"""),"Trap: Bolder")</f>
        <v>Trap: Bolder</v>
      </c>
      <c r="B343" s="73" t="str">
        <f>IFERROR(__xludf.DUMMYFUNCTION("""COMPUTED_VALUE"""),"1-5")</f>
        <v>1-5</v>
      </c>
      <c r="C343" s="1"/>
      <c r="D343" s="73" t="str">
        <f>IFERROR(__xludf.DUMMYFUNCTION("""COMPUTED_VALUE"""),"6-10")</f>
        <v>6-10</v>
      </c>
      <c r="E343" s="1"/>
      <c r="F343" s="73" t="str">
        <f>IFERROR(__xludf.DUMMYFUNCTION("""COMPUTED_VALUE"""),"11-15")</f>
        <v>11-15</v>
      </c>
      <c r="G343" s="1"/>
      <c r="H343" s="73" t="str">
        <f>IFERROR(__xludf.DUMMYFUNCTION("""COMPUTED_VALUE"""),"16-20")</f>
        <v>16-20</v>
      </c>
      <c r="I343" s="1"/>
      <c r="J343" s="73" t="str">
        <f>IFERROR(__xludf.DUMMYFUNCTION("""COMPUTED_VALUE"""),"21-25")</f>
        <v>21-25</v>
      </c>
      <c r="K343" s="1"/>
      <c r="L343" s="1"/>
      <c r="M343" s="1"/>
      <c r="N343" s="1"/>
      <c r="O343" s="1"/>
      <c r="P343" s="1"/>
      <c r="Q343" s="1"/>
      <c r="R343" s="1"/>
      <c r="S343" s="1"/>
      <c r="T343" s="1"/>
      <c r="U343" s="1"/>
      <c r="V343" s="1"/>
      <c r="W343" s="1"/>
      <c r="X343" s="1"/>
    </row>
    <row r="344" ht="15.75" customHeight="1">
      <c r="A344" s="1" t="str">
        <f>IFERROR(__xludf.DUMMYFUNCTION("""COMPUTED_VALUE"""),"Trap: Mimic")</f>
        <v>Trap: Mimic</v>
      </c>
      <c r="B344" s="73" t="str">
        <f>IFERROR(__xludf.DUMMYFUNCTION("""COMPUTED_VALUE"""),"1-5")</f>
        <v>1-5</v>
      </c>
      <c r="C344" s="1"/>
      <c r="D344" s="73" t="str">
        <f>IFERROR(__xludf.DUMMYFUNCTION("""COMPUTED_VALUE"""),"6-10")</f>
        <v>6-10</v>
      </c>
      <c r="E344" s="1"/>
      <c r="F344" s="73" t="str">
        <f>IFERROR(__xludf.DUMMYFUNCTION("""COMPUTED_VALUE"""),"11-15")</f>
        <v>11-15</v>
      </c>
      <c r="G344" s="1"/>
      <c r="H344" s="73" t="str">
        <f>IFERROR(__xludf.DUMMYFUNCTION("""COMPUTED_VALUE"""),"16-20")</f>
        <v>16-20</v>
      </c>
      <c r="I344" s="1"/>
      <c r="J344" s="73" t="str">
        <f>IFERROR(__xludf.DUMMYFUNCTION("""COMPUTED_VALUE"""),"21-25")</f>
        <v>21-25</v>
      </c>
      <c r="K344" s="1"/>
      <c r="L344" s="1"/>
      <c r="M344" s="1"/>
      <c r="N344" s="1"/>
      <c r="O344" s="1"/>
      <c r="P344" s="1"/>
      <c r="Q344" s="1"/>
      <c r="R344" s="1"/>
      <c r="S344" s="1"/>
      <c r="T344" s="1"/>
      <c r="U344" s="1"/>
      <c r="V344" s="1"/>
      <c r="W344" s="1"/>
      <c r="X344" s="1"/>
    </row>
    <row r="345" ht="15.75" customHeight="1">
      <c r="A345" s="1" t="str">
        <f>IFERROR(__xludf.DUMMYFUNCTION("""COMPUTED_VALUE"""),"Mimic (Mob)")</f>
        <v>Mimic (Mob)</v>
      </c>
      <c r="B345" s="73" t="str">
        <f>IFERROR(__xludf.DUMMYFUNCTION("""COMPUTED_VALUE"""),"1-5")</f>
        <v>1-5</v>
      </c>
      <c r="C345" s="1" t="str">
        <f>IFERROR(__xludf.DUMMYFUNCTION("""COMPUTED_VALUE"""),"Nothing")</f>
        <v>Nothing</v>
      </c>
      <c r="D345" s="73" t="str">
        <f>IFERROR(__xludf.DUMMYFUNCTION("""COMPUTED_VALUE"""),"6-10")</f>
        <v>6-10</v>
      </c>
      <c r="E345" s="1" t="str">
        <f>IFERROR(__xludf.DUMMYFUNCTION("""COMPUTED_VALUE"""),"Nothing")</f>
        <v>Nothing</v>
      </c>
      <c r="F345" s="73" t="str">
        <f>IFERROR(__xludf.DUMMYFUNCTION("""COMPUTED_VALUE"""),"11-15")</f>
        <v>11-15</v>
      </c>
      <c r="G345" s="1" t="str">
        <f>IFERROR(__xludf.DUMMYFUNCTION("""COMPUTED_VALUE"""),"Nothing")</f>
        <v>Nothing</v>
      </c>
      <c r="H345" s="73" t="str">
        <f>IFERROR(__xludf.DUMMYFUNCTION("""COMPUTED_VALUE"""),"16-20")</f>
        <v>16-20</v>
      </c>
      <c r="I345" s="1" t="str">
        <f>IFERROR(__xludf.DUMMYFUNCTION("""COMPUTED_VALUE"""),"Treasure Chest Key (Non-Magical)")</f>
        <v>Treasure Chest Key (Non-Magical)</v>
      </c>
      <c r="J345" s="73" t="str">
        <f>IFERROR(__xludf.DUMMYFUNCTION("""COMPUTED_VALUE"""),"21-25")</f>
        <v>21-25</v>
      </c>
      <c r="K345" s="1" t="str">
        <f>IFERROR(__xludf.DUMMYFUNCTION("""COMPUTED_VALUE"""),"Tier 3 Treasure Chest (Non-Magical)")</f>
        <v>Tier 3 Treasure Chest (Non-Magical)</v>
      </c>
      <c r="L345" s="1"/>
      <c r="M345" s="1"/>
      <c r="N345" s="1"/>
      <c r="O345" s="1"/>
      <c r="P345" s="1"/>
      <c r="Q345" s="1"/>
      <c r="R345" s="1"/>
      <c r="S345" s="1"/>
      <c r="T345" s="1"/>
      <c r="U345" s="1"/>
      <c r="V345" s="1"/>
      <c r="W345" s="1"/>
      <c r="X345" s="1"/>
    </row>
    <row r="346" ht="15.75" customHeight="1">
      <c r="A346" s="1" t="str">
        <f>IFERROR(__xludf.DUMMYFUNCTION("""COMPUTED_VALUE"""),"Puzzle: Floating Underground Sphere")</f>
        <v>Puzzle: Floating Underground Sphere</v>
      </c>
      <c r="B346" s="73" t="str">
        <f>IFERROR(__xludf.DUMMYFUNCTION("""COMPUTED_VALUE"""),"1-5")</f>
        <v>1-5</v>
      </c>
      <c r="C346" s="1"/>
      <c r="D346" s="73" t="str">
        <f>IFERROR(__xludf.DUMMYFUNCTION("""COMPUTED_VALUE"""),"6-10")</f>
        <v>6-10</v>
      </c>
      <c r="E346" s="1"/>
      <c r="F346" s="73" t="str">
        <f>IFERROR(__xludf.DUMMYFUNCTION("""COMPUTED_VALUE"""),"11-15")</f>
        <v>11-15</v>
      </c>
      <c r="G346" s="1"/>
      <c r="H346" s="73" t="str">
        <f>IFERROR(__xludf.DUMMYFUNCTION("""COMPUTED_VALUE"""),"16-20")</f>
        <v>16-20</v>
      </c>
      <c r="I346" s="1"/>
      <c r="J346" s="73" t="str">
        <f>IFERROR(__xludf.DUMMYFUNCTION("""COMPUTED_VALUE"""),"21-25")</f>
        <v>21-25</v>
      </c>
      <c r="K346" s="1"/>
      <c r="L346" s="1"/>
      <c r="M346" s="1"/>
      <c r="N346" s="1"/>
      <c r="O346" s="1"/>
      <c r="P346" s="1"/>
      <c r="Q346" s="1"/>
      <c r="R346" s="1"/>
      <c r="S346" s="1"/>
      <c r="T346" s="1"/>
      <c r="U346" s="1"/>
      <c r="V346" s="1"/>
      <c r="W346" s="1"/>
      <c r="X346" s="1"/>
    </row>
    <row r="347" ht="15.75" customHeight="1">
      <c r="A347" s="1" t="str">
        <f>IFERROR(__xludf.DUMMYFUNCTION("""COMPUTED_VALUE"""),"Puzzle: Locked Stone Platform Entrance")</f>
        <v>Puzzle: Locked Stone Platform Entrance</v>
      </c>
      <c r="B347" s="73" t="str">
        <f>IFERROR(__xludf.DUMMYFUNCTION("""COMPUTED_VALUE"""),"1-5")</f>
        <v>1-5</v>
      </c>
      <c r="C347" s="1"/>
      <c r="D347" s="73" t="str">
        <f>IFERROR(__xludf.DUMMYFUNCTION("""COMPUTED_VALUE"""),"6-10")</f>
        <v>6-10</v>
      </c>
      <c r="E347" s="1"/>
      <c r="F347" s="73" t="str">
        <f>IFERROR(__xludf.DUMMYFUNCTION("""COMPUTED_VALUE"""),"11-15")</f>
        <v>11-15</v>
      </c>
      <c r="G347" s="1"/>
      <c r="H347" s="73" t="str">
        <f>IFERROR(__xludf.DUMMYFUNCTION("""COMPUTED_VALUE"""),"16-20")</f>
        <v>16-20</v>
      </c>
      <c r="I347" s="1"/>
      <c r="J347" s="73" t="str">
        <f>IFERROR(__xludf.DUMMYFUNCTION("""COMPUTED_VALUE"""),"21-25")</f>
        <v>21-25</v>
      </c>
      <c r="K347" s="1"/>
      <c r="L347" s="1"/>
      <c r="M347" s="1"/>
      <c r="N347" s="1"/>
      <c r="O347" s="1"/>
      <c r="P347" s="1"/>
      <c r="Q347" s="1"/>
      <c r="R347" s="1"/>
      <c r="S347" s="1"/>
      <c r="T347" s="1"/>
      <c r="U347" s="1"/>
      <c r="V347" s="1"/>
      <c r="W347" s="1"/>
      <c r="X347" s="1"/>
    </row>
    <row r="348" ht="15.75" customHeight="1">
      <c r="A348" s="1" t="str">
        <f>IFERROR(__xludf.DUMMYFUNCTION("""COMPUTED_VALUE"""),"Puzzle: Mysterious Symbol")</f>
        <v>Puzzle: Mysterious Symbol</v>
      </c>
      <c r="B348" s="73" t="str">
        <f>IFERROR(__xludf.DUMMYFUNCTION("""COMPUTED_VALUE"""),"1-5")</f>
        <v>1-5</v>
      </c>
      <c r="C348" s="1"/>
      <c r="D348" s="73" t="str">
        <f>IFERROR(__xludf.DUMMYFUNCTION("""COMPUTED_VALUE"""),"6-10")</f>
        <v>6-10</v>
      </c>
      <c r="E348" s="1"/>
      <c r="F348" s="73" t="str">
        <f>IFERROR(__xludf.DUMMYFUNCTION("""COMPUTED_VALUE"""),"11-15")</f>
        <v>11-15</v>
      </c>
      <c r="G348" s="1"/>
      <c r="H348" s="73" t="str">
        <f>IFERROR(__xludf.DUMMYFUNCTION("""COMPUTED_VALUE"""),"16-20")</f>
        <v>16-20</v>
      </c>
      <c r="I348" s="1"/>
      <c r="J348" s="73" t="str">
        <f>IFERROR(__xludf.DUMMYFUNCTION("""COMPUTED_VALUE"""),"21-25")</f>
        <v>21-25</v>
      </c>
      <c r="K348" s="1"/>
      <c r="L348" s="1"/>
      <c r="M348" s="1"/>
      <c r="N348" s="1"/>
      <c r="O348" s="1"/>
      <c r="P348" s="1"/>
      <c r="Q348" s="1"/>
      <c r="R348" s="1"/>
      <c r="S348" s="1"/>
      <c r="T348" s="1"/>
      <c r="U348" s="1"/>
      <c r="V348" s="1"/>
      <c r="W348" s="1"/>
      <c r="X348" s="1"/>
    </row>
    <row r="349" ht="15.75" customHeight="1">
      <c r="A349" s="1" t="str">
        <f>IFERROR(__xludf.DUMMYFUNCTION("""COMPUTED_VALUE"""),"Puzzle: Ancient Stone Statue")</f>
        <v>Puzzle: Ancient Stone Statue</v>
      </c>
      <c r="B349" s="73" t="str">
        <f>IFERROR(__xludf.DUMMYFUNCTION("""COMPUTED_VALUE"""),"1-5")</f>
        <v>1-5</v>
      </c>
      <c r="C349" s="1"/>
      <c r="D349" s="73" t="str">
        <f>IFERROR(__xludf.DUMMYFUNCTION("""COMPUTED_VALUE"""),"6-10")</f>
        <v>6-10</v>
      </c>
      <c r="E349" s="1"/>
      <c r="F349" s="73" t="str">
        <f>IFERROR(__xludf.DUMMYFUNCTION("""COMPUTED_VALUE"""),"11-15")</f>
        <v>11-15</v>
      </c>
      <c r="G349" s="1"/>
      <c r="H349" s="73" t="str">
        <f>IFERROR(__xludf.DUMMYFUNCTION("""COMPUTED_VALUE"""),"16-20")</f>
        <v>16-20</v>
      </c>
      <c r="I349" s="1"/>
      <c r="J349" s="73" t="str">
        <f>IFERROR(__xludf.DUMMYFUNCTION("""COMPUTED_VALUE"""),"21-25")</f>
        <v>21-25</v>
      </c>
      <c r="K349" s="1"/>
      <c r="L349" s="1"/>
      <c r="M349" s="1"/>
      <c r="N349" s="1"/>
      <c r="O349" s="1"/>
      <c r="P349" s="1"/>
      <c r="Q349" s="1"/>
      <c r="R349" s="1"/>
      <c r="S349" s="1"/>
      <c r="T349" s="1"/>
      <c r="U349" s="1"/>
      <c r="V349" s="1"/>
      <c r="W349" s="1"/>
      <c r="X349" s="1"/>
    </row>
    <row r="350" ht="15.75" customHeight="1">
      <c r="A350" s="1" t="str">
        <f>IFERROR(__xludf.DUMMYFUNCTION("""COMPUTED_VALUE"""),"Puzzle: The Chosen One")</f>
        <v>Puzzle: The Chosen One</v>
      </c>
      <c r="B350" s="73" t="str">
        <f>IFERROR(__xludf.DUMMYFUNCTION("""COMPUTED_VALUE"""),"1-5")</f>
        <v>1-5</v>
      </c>
      <c r="C350" s="1"/>
      <c r="D350" s="73" t="str">
        <f>IFERROR(__xludf.DUMMYFUNCTION("""COMPUTED_VALUE"""),"6-10")</f>
        <v>6-10</v>
      </c>
      <c r="E350" s="1"/>
      <c r="F350" s="73" t="str">
        <f>IFERROR(__xludf.DUMMYFUNCTION("""COMPUTED_VALUE"""),"11-15")</f>
        <v>11-15</v>
      </c>
      <c r="G350" s="1"/>
      <c r="H350" s="73" t="str">
        <f>IFERROR(__xludf.DUMMYFUNCTION("""COMPUTED_VALUE"""),"16-20")</f>
        <v>16-20</v>
      </c>
      <c r="I350" s="1"/>
      <c r="J350" s="73" t="str">
        <f>IFERROR(__xludf.DUMMYFUNCTION("""COMPUTED_VALUE"""),"21-25")</f>
        <v>21-25</v>
      </c>
      <c r="K350" s="1"/>
      <c r="L350" s="1"/>
      <c r="M350" s="1"/>
      <c r="N350" s="1"/>
      <c r="O350" s="1"/>
      <c r="P350" s="1"/>
      <c r="Q350" s="1"/>
      <c r="R350" s="1"/>
      <c r="S350" s="1"/>
      <c r="T350" s="1"/>
      <c r="U350" s="1"/>
      <c r="V350" s="1"/>
      <c r="W350" s="1"/>
      <c r="X350" s="1"/>
    </row>
    <row r="351" ht="15.75" customHeight="1">
      <c r="A351" s="1" t="str">
        <f>IFERROR(__xludf.DUMMYFUNCTION("""COMPUTED_VALUE"""),"The Ambrosian Paladins")</f>
        <v>The Ambrosian Paladins</v>
      </c>
      <c r="B351" s="73" t="str">
        <f>IFERROR(__xludf.DUMMYFUNCTION("""COMPUTED_VALUE"""),"1-5")</f>
        <v>1-5</v>
      </c>
      <c r="C351" s="1"/>
      <c r="D351" s="73" t="str">
        <f>IFERROR(__xludf.DUMMYFUNCTION("""COMPUTED_VALUE"""),"6-10")</f>
        <v>6-10</v>
      </c>
      <c r="E351" s="1"/>
      <c r="F351" s="73" t="str">
        <f>IFERROR(__xludf.DUMMYFUNCTION("""COMPUTED_VALUE"""),"11-15")</f>
        <v>11-15</v>
      </c>
      <c r="G351" s="1"/>
      <c r="H351" s="73" t="str">
        <f>IFERROR(__xludf.DUMMYFUNCTION("""COMPUTED_VALUE"""),"16-20")</f>
        <v>16-20</v>
      </c>
      <c r="I351" s="1"/>
      <c r="J351" s="73" t="str">
        <f>IFERROR(__xludf.DUMMYFUNCTION("""COMPUTED_VALUE"""),"21-25")</f>
        <v>21-25</v>
      </c>
      <c r="K351" s="1"/>
      <c r="L351" s="1"/>
      <c r="M351" s="1"/>
      <c r="N351" s="1"/>
      <c r="O351" s="1"/>
      <c r="P351" s="1"/>
      <c r="Q351" s="1"/>
      <c r="R351" s="1"/>
      <c r="S351" s="1"/>
      <c r="T351" s="1"/>
      <c r="U351" s="1"/>
      <c r="V351" s="1"/>
      <c r="W351" s="1"/>
      <c r="X351" s="1"/>
    </row>
    <row r="352" ht="15.75" customHeight="1">
      <c r="A352" s="1" t="str">
        <f>IFERROR(__xludf.DUMMYFUNCTION("""COMPUTED_VALUE"""),"Wave Rider Paladins")</f>
        <v>Wave Rider Paladins</v>
      </c>
      <c r="B352" s="73" t="str">
        <f>IFERROR(__xludf.DUMMYFUNCTION("""COMPUTED_VALUE"""),"1-5")</f>
        <v>1-5</v>
      </c>
      <c r="C352" s="1" t="str">
        <f>IFERROR(__xludf.DUMMYFUNCTION("""COMPUTED_VALUE"""),"Heavenly Lute")</f>
        <v>Heavenly Lute</v>
      </c>
      <c r="D352" s="73" t="str">
        <f>IFERROR(__xludf.DUMMYFUNCTION("""COMPUTED_VALUE"""),"6-10")</f>
        <v>6-10</v>
      </c>
      <c r="E352" s="1" t="str">
        <f>IFERROR(__xludf.DUMMYFUNCTION("""COMPUTED_VALUE"""),"Ice bomb")</f>
        <v>Ice bomb</v>
      </c>
      <c r="F352" s="73" t="str">
        <f>IFERROR(__xludf.DUMMYFUNCTION("""COMPUTED_VALUE"""),"11-15")</f>
        <v>11-15</v>
      </c>
      <c r="G352" s="1" t="str">
        <f>IFERROR(__xludf.DUMMYFUNCTION("""COMPUTED_VALUE"""),"Draconic Shield")</f>
        <v>Draconic Shield</v>
      </c>
      <c r="H352" s="73" t="str">
        <f>IFERROR(__xludf.DUMMYFUNCTION("""COMPUTED_VALUE"""),"16-20")</f>
        <v>16-20</v>
      </c>
      <c r="I352" s="1" t="str">
        <f>IFERROR(__xludf.DUMMYFUNCTION("""COMPUTED_VALUE"""),"Soul")</f>
        <v>Soul</v>
      </c>
      <c r="J352" s="73" t="str">
        <f>IFERROR(__xludf.DUMMYFUNCTION("""COMPUTED_VALUE"""),"21-25")</f>
        <v>21-25</v>
      </c>
      <c r="K352" s="1" t="str">
        <f>IFERROR(__xludf.DUMMYFUNCTION("""COMPUTED_VALUE"""),"Ring o' Agility and Water")</f>
        <v>Ring o' Agility and Water</v>
      </c>
      <c r="L352" s="1"/>
      <c r="M352" s="1"/>
      <c r="N352" s="1"/>
      <c r="O352" s="1"/>
      <c r="P352" s="1"/>
      <c r="Q352" s="1"/>
      <c r="R352" s="1"/>
      <c r="S352" s="1"/>
      <c r="T352" s="1"/>
      <c r="U352" s="1"/>
      <c r="V352" s="1"/>
      <c r="W352" s="1"/>
      <c r="X352" s="1"/>
    </row>
    <row r="353" ht="15.75" customHeight="1">
      <c r="A353" s="1" t="str">
        <f>IFERROR(__xludf.DUMMYFUNCTION("""COMPUTED_VALUE"""),"Urchin Swiffer Paladins")</f>
        <v>Urchin Swiffer Paladins</v>
      </c>
      <c r="B353" s="73" t="str">
        <f>IFERROR(__xludf.DUMMYFUNCTION("""COMPUTED_VALUE"""),"1-5")</f>
        <v>1-5</v>
      </c>
      <c r="C353" s="1" t="str">
        <f>IFERROR(__xludf.DUMMYFUNCTION("""COMPUTED_VALUE"""),"Soul")</f>
        <v>Soul</v>
      </c>
      <c r="D353" s="73" t="str">
        <f>IFERROR(__xludf.DUMMYFUNCTION("""COMPUTED_VALUE"""),"6-10")</f>
        <v>6-10</v>
      </c>
      <c r="E353" s="1" t="str">
        <f>IFERROR(__xludf.DUMMYFUNCTION("""COMPUTED_VALUE"""),"Storm Dragonscale Flail")</f>
        <v>Storm Dragonscale Flail</v>
      </c>
      <c r="F353" s="73" t="str">
        <f>IFERROR(__xludf.DUMMYFUNCTION("""COMPUTED_VALUE"""),"11-15")</f>
        <v>11-15</v>
      </c>
      <c r="G353" s="1" t="str">
        <f>IFERROR(__xludf.DUMMYFUNCTION("""COMPUTED_VALUE"""),"60,000,000G-80,000,000G")</f>
        <v>60,000,000G-80,000,000G</v>
      </c>
      <c r="H353" s="73" t="str">
        <f>IFERROR(__xludf.DUMMYFUNCTION("""COMPUTED_VALUE"""),"16-20")</f>
        <v>16-20</v>
      </c>
      <c r="I353" s="1" t="str">
        <f>IFERROR(__xludf.DUMMYFUNCTION("""COMPUTED_VALUE"""),"Nothing")</f>
        <v>Nothing</v>
      </c>
      <c r="J353" s="73" t="str">
        <f>IFERROR(__xludf.DUMMYFUNCTION("""COMPUTED_VALUE"""),"21-25")</f>
        <v>21-25</v>
      </c>
      <c r="K353" s="1" t="str">
        <f>IFERROR(__xludf.DUMMYFUNCTION("""COMPUTED_VALUE"""),"Ring o' Agility and Water")</f>
        <v>Ring o' Agility and Water</v>
      </c>
      <c r="L353" s="1"/>
      <c r="M353" s="1"/>
      <c r="N353" s="1"/>
      <c r="O353" s="1"/>
      <c r="P353" s="1"/>
      <c r="Q353" s="1"/>
      <c r="R353" s="1"/>
      <c r="S353" s="1"/>
      <c r="T353" s="1"/>
      <c r="U353" s="1"/>
      <c r="V353" s="1"/>
      <c r="W353" s="1"/>
      <c r="X353" s="1"/>
    </row>
    <row r="354" ht="15.75" customHeight="1">
      <c r="A354" s="1" t="str">
        <f>IFERROR(__xludf.DUMMYFUNCTION("""COMPUTED_VALUE"""),"Poseidon, God of Tritonoch")</f>
        <v>Poseidon, God of Tritonoch</v>
      </c>
      <c r="B354" s="73" t="str">
        <f>IFERROR(__xludf.DUMMYFUNCTION("""COMPUTED_VALUE"""),"1-5")</f>
        <v>1-5</v>
      </c>
      <c r="C354" s="1"/>
      <c r="D354" s="73" t="str">
        <f>IFERROR(__xludf.DUMMYFUNCTION("""COMPUTED_VALUE"""),"6-10")</f>
        <v>6-10</v>
      </c>
      <c r="E354" s="1"/>
      <c r="F354" s="73" t="str">
        <f>IFERROR(__xludf.DUMMYFUNCTION("""COMPUTED_VALUE"""),"11-15")</f>
        <v>11-15</v>
      </c>
      <c r="G354" s="1"/>
      <c r="H354" s="73" t="str">
        <f>IFERROR(__xludf.DUMMYFUNCTION("""COMPUTED_VALUE"""),"16-20")</f>
        <v>16-20</v>
      </c>
      <c r="I354" s="1"/>
      <c r="J354" s="73" t="str">
        <f>IFERROR(__xludf.DUMMYFUNCTION("""COMPUTED_VALUE"""),"21-25")</f>
        <v>21-25</v>
      </c>
      <c r="K354" s="1"/>
      <c r="L354" s="1"/>
      <c r="M354" s="1"/>
      <c r="N354" s="1"/>
      <c r="O354" s="1"/>
      <c r="P354" s="1"/>
      <c r="Q354" s="1"/>
      <c r="R354" s="1"/>
      <c r="S354" s="1"/>
      <c r="T354" s="1"/>
      <c r="U354" s="1"/>
      <c r="V354" s="1"/>
      <c r="W354" s="1"/>
      <c r="X354" s="1"/>
    </row>
    <row r="355" ht="15.75" customHeight="1">
      <c r="A355" s="1" t="str">
        <f>IFERROR(__xludf.DUMMYFUNCTION("""COMPUTED_VALUE"""),"Neptune, God of Atlotopia")</f>
        <v>Neptune, God of Atlotopia</v>
      </c>
      <c r="B355" s="73" t="str">
        <f>IFERROR(__xludf.DUMMYFUNCTION("""COMPUTED_VALUE"""),"1-5")</f>
        <v>1-5</v>
      </c>
      <c r="C355" s="1"/>
      <c r="D355" s="73" t="str">
        <f>IFERROR(__xludf.DUMMYFUNCTION("""COMPUTED_VALUE"""),"6-10")</f>
        <v>6-10</v>
      </c>
      <c r="E355" s="1"/>
      <c r="F355" s="73" t="str">
        <f>IFERROR(__xludf.DUMMYFUNCTION("""COMPUTED_VALUE"""),"11-15")</f>
        <v>11-15</v>
      </c>
      <c r="G355" s="1"/>
      <c r="H355" s="73" t="str">
        <f>IFERROR(__xludf.DUMMYFUNCTION("""COMPUTED_VALUE"""),"16-20")</f>
        <v>16-20</v>
      </c>
      <c r="I355" s="1"/>
      <c r="J355" s="73" t="str">
        <f>IFERROR(__xludf.DUMMYFUNCTION("""COMPUTED_VALUE"""),"21-25")</f>
        <v>21-25</v>
      </c>
      <c r="K355" s="1"/>
      <c r="L355" s="1"/>
      <c r="M355" s="1"/>
      <c r="N355" s="1"/>
      <c r="O355" s="1"/>
      <c r="P355" s="1"/>
      <c r="Q355" s="1"/>
      <c r="R355" s="1"/>
      <c r="S355" s="1"/>
      <c r="T355" s="1"/>
      <c r="U355" s="1"/>
      <c r="V355" s="1"/>
      <c r="W355" s="1"/>
      <c r="X355" s="1"/>
    </row>
    <row r="356" ht="15.75" customHeight="1">
      <c r="A356" s="1" t="str">
        <f>IFERROR(__xludf.DUMMYFUNCTION("""COMPUTED_VALUE"""),"Dionysus, The Eternal Party")</f>
        <v>Dionysus, The Eternal Party</v>
      </c>
      <c r="B356" s="73" t="str">
        <f>IFERROR(__xludf.DUMMYFUNCTION("""COMPUTED_VALUE"""),"1-5")</f>
        <v>1-5</v>
      </c>
      <c r="C356" s="1"/>
      <c r="D356" s="73" t="str">
        <f>IFERROR(__xludf.DUMMYFUNCTION("""COMPUTED_VALUE"""),"6-10")</f>
        <v>6-10</v>
      </c>
      <c r="E356" s="1"/>
      <c r="F356" s="73" t="str">
        <f>IFERROR(__xludf.DUMMYFUNCTION("""COMPUTED_VALUE"""),"11-15")</f>
        <v>11-15</v>
      </c>
      <c r="G356" s="1"/>
      <c r="H356" s="73" t="str">
        <f>IFERROR(__xludf.DUMMYFUNCTION("""COMPUTED_VALUE"""),"16-20")</f>
        <v>16-20</v>
      </c>
      <c r="I356" s="1"/>
      <c r="J356" s="73" t="str">
        <f>IFERROR(__xludf.DUMMYFUNCTION("""COMPUTED_VALUE"""),"21-25")</f>
        <v>21-25</v>
      </c>
      <c r="K356" s="1"/>
      <c r="L356" s="1"/>
      <c r="M356" s="1"/>
      <c r="N356" s="1"/>
      <c r="O356" s="1"/>
      <c r="P356" s="1"/>
      <c r="Q356" s="1"/>
      <c r="R356" s="1"/>
      <c r="S356" s="1"/>
      <c r="T356" s="1"/>
      <c r="U356" s="1"/>
      <c r="V356" s="1"/>
      <c r="W356" s="1"/>
      <c r="X356" s="1"/>
    </row>
    <row r="357" ht="15.75" customHeight="1">
      <c r="A357" s="1" t="str">
        <f>IFERROR(__xludf.DUMMYFUNCTION("""COMPUTED_VALUE"""),"The Bloodletters")</f>
        <v>The Bloodletters</v>
      </c>
      <c r="B357" s="73" t="str">
        <f>IFERROR(__xludf.DUMMYFUNCTION("""COMPUTED_VALUE"""),"1-5")</f>
        <v>1-5</v>
      </c>
      <c r="C357" s="1" t="str">
        <f>IFERROR(__xludf.DUMMYFUNCTION("""COMPUTED_VALUE"""),"Blood Katana")</f>
        <v>Blood Katana</v>
      </c>
      <c r="D357" s="73" t="str">
        <f>IFERROR(__xludf.DUMMYFUNCTION("""COMPUTED_VALUE"""),"6-10")</f>
        <v>6-10</v>
      </c>
      <c r="E357" s="1" t="str">
        <f>IFERROR(__xludf.DUMMYFUNCTION("""COMPUTED_VALUE"""),"A Jar of Blood")</f>
        <v>A Jar of Blood</v>
      </c>
      <c r="F357" s="73" t="str">
        <f>IFERROR(__xludf.DUMMYFUNCTION("""COMPUTED_VALUE"""),"11-15")</f>
        <v>11-15</v>
      </c>
      <c r="G357" s="1" t="str">
        <f>IFERROR(__xludf.DUMMYFUNCTION("""COMPUTED_VALUE"""),"Demon Blood")</f>
        <v>Demon Blood</v>
      </c>
      <c r="H357" s="73" t="str">
        <f>IFERROR(__xludf.DUMMYFUNCTION("""COMPUTED_VALUE"""),"16-20")</f>
        <v>16-20</v>
      </c>
      <c r="I357" s="1" t="str">
        <f>IFERROR(__xludf.DUMMYFUNCTION("""COMPUTED_VALUE"""),"Nothing")</f>
        <v>Nothing</v>
      </c>
      <c r="J357" s="73" t="str">
        <f>IFERROR(__xludf.DUMMYFUNCTION("""COMPUTED_VALUE"""),"21-25")</f>
        <v>21-25</v>
      </c>
      <c r="K357" s="1" t="str">
        <f>IFERROR(__xludf.DUMMYFUNCTION("""COMPUTED_VALUE"""),"Nothing")</f>
        <v>Nothing</v>
      </c>
      <c r="L357" s="1"/>
      <c r="M357" s="1"/>
      <c r="N357" s="1"/>
      <c r="O357" s="1"/>
      <c r="P357" s="1"/>
      <c r="Q357" s="1"/>
      <c r="R357" s="1"/>
      <c r="S357" s="1"/>
      <c r="T357" s="1"/>
      <c r="U357" s="1"/>
      <c r="V357" s="1"/>
      <c r="W357" s="1"/>
      <c r="X357" s="1"/>
    </row>
    <row r="358" ht="15.75" customHeight="1">
      <c r="A358" s="1" t="str">
        <f>IFERROR(__xludf.DUMMYFUNCTION("""COMPUTED_VALUE"""),"The Soulbound Royals")</f>
        <v>The Soulbound Royals</v>
      </c>
      <c r="B358" s="73" t="str">
        <f>IFERROR(__xludf.DUMMYFUNCTION("""COMPUTED_VALUE"""),"1-5")</f>
        <v>1-5</v>
      </c>
      <c r="C358" s="1" t="str">
        <f>IFERROR(__xludf.DUMMYFUNCTION("""COMPUTED_VALUE"""),"Chaotic Amulet")</f>
        <v>Chaotic Amulet</v>
      </c>
      <c r="D358" s="73" t="str">
        <f>IFERROR(__xludf.DUMMYFUNCTION("""COMPUTED_VALUE"""),"6-10")</f>
        <v>6-10</v>
      </c>
      <c r="E358" s="1" t="str">
        <f>IFERROR(__xludf.DUMMYFUNCTION("""COMPUTED_VALUE"""),"Ring o' Courage and Order")</f>
        <v>Ring o' Courage and Order</v>
      </c>
      <c r="F358" s="73" t="str">
        <f>IFERROR(__xludf.DUMMYFUNCTION("""COMPUTED_VALUE"""),"11-15")</f>
        <v>11-15</v>
      </c>
      <c r="G358" s="1" t="str">
        <f>IFERROR(__xludf.DUMMYFUNCTION("""COMPUTED_VALUE"""),"Nothing")</f>
        <v>Nothing</v>
      </c>
      <c r="H358" s="73" t="str">
        <f>IFERROR(__xludf.DUMMYFUNCTION("""COMPUTED_VALUE"""),"16-20")</f>
        <v>16-20</v>
      </c>
      <c r="I358" s="1" t="str">
        <f>IFERROR(__xludf.DUMMYFUNCTION("""COMPUTED_VALUE"""),"40,000,000G-60,000,000G")</f>
        <v>40,000,000G-60,000,000G</v>
      </c>
      <c r="J358" s="73" t="str">
        <f>IFERROR(__xludf.DUMMYFUNCTION("""COMPUTED_VALUE"""),"21-25")</f>
        <v>21-25</v>
      </c>
      <c r="K358" s="1" t="str">
        <f>IFERROR(__xludf.DUMMYFUNCTION("""COMPUTED_VALUE"""),"Nothing")</f>
        <v>Nothing</v>
      </c>
      <c r="L358" s="1"/>
      <c r="M358" s="1"/>
      <c r="N358" s="1"/>
      <c r="O358" s="1"/>
      <c r="P358" s="1"/>
      <c r="Q358" s="1"/>
      <c r="R358" s="1"/>
      <c r="S358" s="1"/>
      <c r="T358" s="1"/>
      <c r="U358" s="1"/>
      <c r="V358" s="1"/>
      <c r="W358" s="1"/>
      <c r="X358" s="1"/>
    </row>
    <row r="359" ht="15.75" customHeight="1">
      <c r="A359" s="1" t="str">
        <f>IFERROR(__xludf.DUMMYFUNCTION("""COMPUTED_VALUE"""),"The Exiled One")</f>
        <v>The Exiled One</v>
      </c>
      <c r="B359" s="73" t="str">
        <f>IFERROR(__xludf.DUMMYFUNCTION("""COMPUTED_VALUE"""),"1-5")</f>
        <v>1-5</v>
      </c>
      <c r="C359" s="1" t="str">
        <f>IFERROR(__xludf.DUMMYFUNCTION("""COMPUTED_VALUE"""),"Forgotten Scythe")</f>
        <v>Forgotten Scythe</v>
      </c>
      <c r="D359" s="73" t="str">
        <f>IFERROR(__xludf.DUMMYFUNCTION("""COMPUTED_VALUE"""),"6-10")</f>
        <v>6-10</v>
      </c>
      <c r="E359" s="1" t="str">
        <f>IFERROR(__xludf.DUMMYFUNCTION("""COMPUTED_VALUE"""),"Forgotten Scythe")</f>
        <v>Forgotten Scythe</v>
      </c>
      <c r="F359" s="73" t="str">
        <f>IFERROR(__xludf.DUMMYFUNCTION("""COMPUTED_VALUE"""),"11-15")</f>
        <v>11-15</v>
      </c>
      <c r="G359" s="1" t="str">
        <f>IFERROR(__xludf.DUMMYFUNCTION("""COMPUTED_VALUE"""),"80,000,000G-100,000,000G")</f>
        <v>80,000,000G-100,000,000G</v>
      </c>
      <c r="H359" s="73" t="str">
        <f>IFERROR(__xludf.DUMMYFUNCTION("""COMPUTED_VALUE"""),"16-20")</f>
        <v>16-20</v>
      </c>
      <c r="I359" s="1" t="str">
        <f>IFERROR(__xludf.DUMMYFUNCTION("""COMPUTED_VALUE"""),"Nothing")</f>
        <v>Nothing</v>
      </c>
      <c r="J359" s="73" t="str">
        <f>IFERROR(__xludf.DUMMYFUNCTION("""COMPUTED_VALUE"""),"21-25")</f>
        <v>21-25</v>
      </c>
      <c r="K359" s="1" t="str">
        <f>IFERROR(__xludf.DUMMYFUNCTION("""COMPUTED_VALUE"""),"Soul")</f>
        <v>Soul</v>
      </c>
      <c r="L359" s="1"/>
      <c r="M359" s="1"/>
      <c r="N359" s="1"/>
      <c r="O359" s="1"/>
      <c r="P359" s="1"/>
      <c r="Q359" s="1"/>
      <c r="R359" s="1"/>
      <c r="S359" s="1"/>
      <c r="T359" s="1"/>
      <c r="U359" s="1"/>
      <c r="V359" s="1"/>
      <c r="W359" s="1"/>
      <c r="X359" s="1"/>
    </row>
    <row r="360" ht="15.75" customHeight="1">
      <c r="A360" s="1" t="str">
        <f>IFERROR(__xludf.DUMMYFUNCTION("""COMPUTED_VALUE"""),"The Storm Bloods")</f>
        <v>The Storm Bloods</v>
      </c>
      <c r="B360" s="73" t="str">
        <f>IFERROR(__xludf.DUMMYFUNCTION("""COMPUTED_VALUE"""),"1-5")</f>
        <v>1-5</v>
      </c>
      <c r="C360" s="1" t="str">
        <f>IFERROR(__xludf.DUMMYFUNCTION("""COMPUTED_VALUE"""),"Storm Dragonscale Flail")</f>
        <v>Storm Dragonscale Flail</v>
      </c>
      <c r="D360" s="73" t="str">
        <f>IFERROR(__xludf.DUMMYFUNCTION("""COMPUTED_VALUE"""),"6-10")</f>
        <v>6-10</v>
      </c>
      <c r="E360" s="1" t="str">
        <f>IFERROR(__xludf.DUMMYFUNCTION("""COMPUTED_VALUE"""),"Ring o' Spite and Blood")</f>
        <v>Ring o' Spite and Blood</v>
      </c>
      <c r="F360" s="73" t="str">
        <f>IFERROR(__xludf.DUMMYFUNCTION("""COMPUTED_VALUE"""),"11-15")</f>
        <v>11-15</v>
      </c>
      <c r="G360" s="1" t="str">
        <f>IFERROR(__xludf.DUMMYFUNCTION("""COMPUTED_VALUE"""),"Blade of Ancestral Blood")</f>
        <v>Blade of Ancestral Blood</v>
      </c>
      <c r="H360" s="73" t="str">
        <f>IFERROR(__xludf.DUMMYFUNCTION("""COMPUTED_VALUE"""),"16-20")</f>
        <v>16-20</v>
      </c>
      <c r="I360" s="1" t="str">
        <f>IFERROR(__xludf.DUMMYFUNCTION("""COMPUTED_VALUE"""),"Nothing")</f>
        <v>Nothing</v>
      </c>
      <c r="J360" s="73" t="str">
        <f>IFERROR(__xludf.DUMMYFUNCTION("""COMPUTED_VALUE"""),"21-25")</f>
        <v>21-25</v>
      </c>
      <c r="K360" s="1" t="str">
        <f>IFERROR(__xludf.DUMMYFUNCTION("""COMPUTED_VALUE"""),"80,000,000G-100,000,000G")</f>
        <v>80,000,000G-100,000,000G</v>
      </c>
      <c r="L360" s="1"/>
      <c r="M360" s="1"/>
      <c r="N360" s="1"/>
      <c r="O360" s="1"/>
      <c r="P360" s="1"/>
      <c r="Q360" s="1"/>
      <c r="R360" s="1"/>
      <c r="S360" s="1"/>
      <c r="T360" s="1"/>
      <c r="U360" s="1"/>
      <c r="V360" s="1"/>
      <c r="W360" s="1"/>
      <c r="X360" s="1"/>
    </row>
    <row r="361" ht="15.75" customHeight="1">
      <c r="A361" s="1" t="str">
        <f>IFERROR(__xludf.DUMMYFUNCTION("""COMPUTED_VALUE"""),"The Astrologians")</f>
        <v>The Astrologians</v>
      </c>
      <c r="B361" s="73" t="str">
        <f>IFERROR(__xludf.DUMMYFUNCTION("""COMPUTED_VALUE"""),"1-5")</f>
        <v>1-5</v>
      </c>
      <c r="C361" s="1" t="str">
        <f>IFERROR(__xludf.DUMMYFUNCTION("""COMPUTED_VALUE"""),"Nothing")</f>
        <v>Nothing</v>
      </c>
      <c r="D361" s="73" t="str">
        <f>IFERROR(__xludf.DUMMYFUNCTION("""COMPUTED_VALUE"""),"6-10")</f>
        <v>6-10</v>
      </c>
      <c r="E361" s="1" t="str">
        <f>IFERROR(__xludf.DUMMYFUNCTION("""COMPUTED_VALUE"""),"Honeyed Nordic Mead")</f>
        <v>Honeyed Nordic Mead</v>
      </c>
      <c r="F361" s="73" t="str">
        <f>IFERROR(__xludf.DUMMYFUNCTION("""COMPUTED_VALUE"""),"11-15")</f>
        <v>11-15</v>
      </c>
      <c r="G361" s="1" t="str">
        <f>IFERROR(__xludf.DUMMYFUNCTION("""COMPUTED_VALUE"""),"1,000,000G-20,000,000G")</f>
        <v>1,000,000G-20,000,000G</v>
      </c>
      <c r="H361" s="73" t="str">
        <f>IFERROR(__xludf.DUMMYFUNCTION("""COMPUTED_VALUE"""),"16-20")</f>
        <v>16-20</v>
      </c>
      <c r="I361" s="1" t="str">
        <f>IFERROR(__xludf.DUMMYFUNCTION("""COMPUTED_VALUE"""),"Ring o' Grace and Astral")</f>
        <v>Ring o' Grace and Astral</v>
      </c>
      <c r="J361" s="73" t="str">
        <f>IFERROR(__xludf.DUMMYFUNCTION("""COMPUTED_VALUE"""),"21-25")</f>
        <v>21-25</v>
      </c>
      <c r="K361" s="1" t="str">
        <f>IFERROR(__xludf.DUMMYFUNCTION("""COMPUTED_VALUE"""),"Nothing")</f>
        <v>Nothing</v>
      </c>
      <c r="L361" s="1"/>
      <c r="M361" s="1"/>
      <c r="N361" s="1"/>
      <c r="O361" s="1"/>
      <c r="P361" s="1"/>
      <c r="Q361" s="1"/>
      <c r="R361" s="1"/>
      <c r="S361" s="1"/>
      <c r="T361" s="1"/>
      <c r="U361" s="1"/>
      <c r="V361" s="1"/>
      <c r="W361" s="1"/>
      <c r="X361" s="1"/>
    </row>
    <row r="362" ht="15.75" customHeight="1">
      <c r="A362" s="1" t="str">
        <f>IFERROR(__xludf.DUMMYFUNCTION("""COMPUTED_VALUE"""),"Monk (Abbot)")</f>
        <v>Monk (Abbot)</v>
      </c>
      <c r="B362" s="73" t="str">
        <f>IFERROR(__xludf.DUMMYFUNCTION("""COMPUTED_VALUE"""),"1-5")</f>
        <v>1-5</v>
      </c>
      <c r="C362" s="1" t="str">
        <f>IFERROR(__xludf.DUMMYFUNCTION("""COMPUTED_VALUE"""),"Nothing")</f>
        <v>Nothing</v>
      </c>
      <c r="D362" s="73" t="str">
        <f>IFERROR(__xludf.DUMMYFUNCTION("""COMPUTED_VALUE"""),"6-10")</f>
        <v>6-10</v>
      </c>
      <c r="E362" s="1" t="str">
        <f>IFERROR(__xludf.DUMMYFUNCTION("""COMPUTED_VALUE"""),"Nothing")</f>
        <v>Nothing</v>
      </c>
      <c r="F362" s="73" t="str">
        <f>IFERROR(__xludf.DUMMYFUNCTION("""COMPUTED_VALUE"""),"11-15")</f>
        <v>11-15</v>
      </c>
      <c r="G362" s="1" t="str">
        <f>IFERROR(__xludf.DUMMYFUNCTION("""COMPUTED_VALUE"""),"Nothing")</f>
        <v>Nothing</v>
      </c>
      <c r="H362" s="73" t="str">
        <f>IFERROR(__xludf.DUMMYFUNCTION("""COMPUTED_VALUE"""),"16-20")</f>
        <v>16-20</v>
      </c>
      <c r="I362" s="1" t="str">
        <f>IFERROR(__xludf.DUMMYFUNCTION("""COMPUTED_VALUE"""),"Leather")</f>
        <v>Leather</v>
      </c>
      <c r="J362" s="73" t="str">
        <f>IFERROR(__xludf.DUMMYFUNCTION("""COMPUTED_VALUE"""),"21-25")</f>
        <v>21-25</v>
      </c>
      <c r="K362" s="1" t="str">
        <f>IFERROR(__xludf.DUMMYFUNCTION("""COMPUTED_VALUE"""),"Nothing")</f>
        <v>Nothing</v>
      </c>
      <c r="L362" s="1"/>
      <c r="M362" s="1"/>
      <c r="N362" s="1"/>
      <c r="O362" s="1"/>
      <c r="P362" s="1"/>
      <c r="Q362" s="1"/>
      <c r="R362" s="1"/>
      <c r="S362" s="1"/>
      <c r="T362" s="1"/>
      <c r="U362" s="1"/>
      <c r="V362" s="1"/>
      <c r="W362" s="1"/>
      <c r="X362" s="1"/>
    </row>
    <row r="363" ht="15.75" customHeight="1">
      <c r="A363" s="1" t="str">
        <f>IFERROR(__xludf.DUMMYFUNCTION("""COMPUTED_VALUE"""),"The Harbingers of The Voidwoken (Spira)")</f>
        <v>The Harbingers of The Voidwoken (Spira)</v>
      </c>
      <c r="B363" s="73" t="str">
        <f>IFERROR(__xludf.DUMMYFUNCTION("""COMPUTED_VALUE"""),"1-5")</f>
        <v>1-5</v>
      </c>
      <c r="C363" s="1" t="str">
        <f>IFERROR(__xludf.DUMMYFUNCTION("""COMPUTED_VALUE"""),"Harbingers' Helm of the Unrestrained (Spira)")</f>
        <v>Harbingers' Helm of the Unrestrained (Spira)</v>
      </c>
      <c r="D363" s="73" t="str">
        <f>IFERROR(__xludf.DUMMYFUNCTION("""COMPUTED_VALUE"""),"6-10")</f>
        <v>6-10</v>
      </c>
      <c r="E363" s="1" t="str">
        <f>IFERROR(__xludf.DUMMYFUNCTION("""COMPUTED_VALUE"""),"Harbingers' Emblazoned Chest of The Encroaching Void (Spira)")</f>
        <v>Harbingers' Emblazoned Chest of The Encroaching Void (Spira)</v>
      </c>
      <c r="F363" s="73" t="str">
        <f>IFERROR(__xludf.DUMMYFUNCTION("""COMPUTED_VALUE"""),"11-15")</f>
        <v>11-15</v>
      </c>
      <c r="G363" s="1" t="str">
        <f>IFERROR(__xludf.DUMMYFUNCTION("""COMPUTED_VALUE"""),"Harbingers' Broken Fettering (Spira)")</f>
        <v>Harbingers' Broken Fettering (Spira)</v>
      </c>
      <c r="H363" s="73" t="str">
        <f>IFERROR(__xludf.DUMMYFUNCTION("""COMPUTED_VALUE"""),"16-20")</f>
        <v>16-20</v>
      </c>
      <c r="I363" s="1" t="str">
        <f>IFERROR(__xludf.DUMMYFUNCTION("""COMPUTED_VALUE"""),"Soul")</f>
        <v>Soul</v>
      </c>
      <c r="J363" s="73" t="str">
        <f>IFERROR(__xludf.DUMMYFUNCTION("""COMPUTED_VALUE"""),"21-25")</f>
        <v>21-25</v>
      </c>
      <c r="K363" s="1" t="str">
        <f>IFERROR(__xludf.DUMMYFUNCTION("""COMPUTED_VALUE"""),"Harbingers' Claw of Steel (Spira)")</f>
        <v>Harbingers' Claw of Steel (Spira)</v>
      </c>
      <c r="L363" s="1"/>
      <c r="M363" s="1"/>
      <c r="N363" s="1"/>
      <c r="O363" s="1"/>
      <c r="P363" s="1"/>
      <c r="Q363" s="1"/>
      <c r="R363" s="1"/>
      <c r="S363" s="1"/>
      <c r="T363" s="1"/>
      <c r="U363" s="1"/>
      <c r="V363" s="1"/>
      <c r="W363" s="1"/>
      <c r="X363" s="1"/>
    </row>
    <row r="364" ht="15.75" customHeight="1">
      <c r="A364" s="1" t="str">
        <f>IFERROR(__xludf.DUMMYFUNCTION("""COMPUTED_VALUE"""),"Wolf")</f>
        <v>Wolf</v>
      </c>
      <c r="B364" s="73" t="str">
        <f>IFERROR(__xludf.DUMMYFUNCTION("""COMPUTED_VALUE"""),"1-5")</f>
        <v>1-5</v>
      </c>
      <c r="C364" s="1" t="str">
        <f>IFERROR(__xludf.DUMMYFUNCTION("""COMPUTED_VALUE"""),"Soul")</f>
        <v>Soul</v>
      </c>
      <c r="D364" s="73" t="str">
        <f>IFERROR(__xludf.DUMMYFUNCTION("""COMPUTED_VALUE"""),"6-10")</f>
        <v>6-10</v>
      </c>
      <c r="E364" s="1" t="str">
        <f>IFERROR(__xludf.DUMMYFUNCTION("""COMPUTED_VALUE"""),"Egg")</f>
        <v>Egg</v>
      </c>
      <c r="F364" s="73" t="str">
        <f>IFERROR(__xludf.DUMMYFUNCTION("""COMPUTED_VALUE"""),"11-15")</f>
        <v>11-15</v>
      </c>
      <c r="G364" s="1" t="str">
        <f>IFERROR(__xludf.DUMMYFUNCTION("""COMPUTED_VALUE"""),"Wolf Tooth Neclace")</f>
        <v>Wolf Tooth Neclace</v>
      </c>
      <c r="H364" s="73" t="str">
        <f>IFERROR(__xludf.DUMMYFUNCTION("""COMPUTED_VALUE"""),"16-20")</f>
        <v>16-20</v>
      </c>
      <c r="I364" s="1" t="str">
        <f>IFERROR(__xludf.DUMMYFUNCTION("""COMPUTED_VALUE"""),"Nothing")</f>
        <v>Nothing</v>
      </c>
      <c r="J364" s="73" t="str">
        <f>IFERROR(__xludf.DUMMYFUNCTION("""COMPUTED_VALUE"""),"21-25")</f>
        <v>21-25</v>
      </c>
      <c r="K364" s="1" t="str">
        <f>IFERROR(__xludf.DUMMYFUNCTION("""COMPUTED_VALUE"""),"Nothing")</f>
        <v>Nothing</v>
      </c>
      <c r="L364" s="1"/>
      <c r="M364" s="1"/>
      <c r="N364" s="1"/>
      <c r="O364" s="1"/>
      <c r="P364" s="1"/>
      <c r="Q364" s="1"/>
      <c r="R364" s="1"/>
      <c r="S364" s="1"/>
      <c r="T364" s="1"/>
      <c r="U364" s="1"/>
      <c r="V364" s="1"/>
      <c r="W364" s="1"/>
      <c r="X364" s="1"/>
    </row>
    <row r="365" ht="15.75" customHeight="1">
      <c r="A365" s="1" t="str">
        <f>IFERROR(__xludf.DUMMYFUNCTION("""COMPUTED_VALUE"""),"Imp")</f>
        <v>Imp</v>
      </c>
      <c r="B365" s="73" t="str">
        <f>IFERROR(__xludf.DUMMYFUNCTION("""COMPUTED_VALUE"""),"1-5")</f>
        <v>1-5</v>
      </c>
      <c r="C365" s="1" t="str">
        <f>IFERROR(__xludf.DUMMYFUNCTION("""COMPUTED_VALUE"""),"Soul")</f>
        <v>Soul</v>
      </c>
      <c r="D365" s="73" t="str">
        <f>IFERROR(__xludf.DUMMYFUNCTION("""COMPUTED_VALUE"""),"6-10")</f>
        <v>6-10</v>
      </c>
      <c r="E365" s="1" t="str">
        <f>IFERROR(__xludf.DUMMYFUNCTION("""COMPUTED_VALUE"""),"Egg")</f>
        <v>Egg</v>
      </c>
      <c r="F365" s="73" t="str">
        <f>IFERROR(__xludf.DUMMYFUNCTION("""COMPUTED_VALUE"""),"11-15")</f>
        <v>11-15</v>
      </c>
      <c r="G365" s="1" t="str">
        <f>IFERROR(__xludf.DUMMYFUNCTION("""COMPUTED_VALUE"""),"Demonic Necklace")</f>
        <v>Demonic Necklace</v>
      </c>
      <c r="H365" s="73" t="str">
        <f>IFERROR(__xludf.DUMMYFUNCTION("""COMPUTED_VALUE"""),"16-20")</f>
        <v>16-20</v>
      </c>
      <c r="I365" s="1" t="str">
        <f>IFERROR(__xludf.DUMMYFUNCTION("""COMPUTED_VALUE"""),"Nothing")</f>
        <v>Nothing</v>
      </c>
      <c r="J365" s="73" t="str">
        <f>IFERROR(__xludf.DUMMYFUNCTION("""COMPUTED_VALUE"""),"21-25")</f>
        <v>21-25</v>
      </c>
      <c r="K365" s="1" t="str">
        <f>IFERROR(__xludf.DUMMYFUNCTION("""COMPUTED_VALUE"""),"Nothing")</f>
        <v>Nothing</v>
      </c>
      <c r="L365" s="1"/>
      <c r="M365" s="1"/>
      <c r="N365" s="1"/>
      <c r="O365" s="1"/>
      <c r="P365" s="1"/>
      <c r="Q365" s="1"/>
      <c r="R365" s="1"/>
      <c r="S365" s="1"/>
      <c r="T365" s="1"/>
      <c r="U365" s="1"/>
      <c r="V365" s="1"/>
      <c r="W365" s="1"/>
      <c r="X365" s="1"/>
    </row>
    <row r="366" ht="15.75" customHeight="1">
      <c r="A366" s="1" t="str">
        <f>IFERROR(__xludf.DUMMYFUNCTION("""COMPUTED_VALUE"""),"Fire Wyrm")</f>
        <v>Fire Wyrm</v>
      </c>
      <c r="B366" s="73" t="str">
        <f>IFERROR(__xludf.DUMMYFUNCTION("""COMPUTED_VALUE"""),"1-5")</f>
        <v>1-5</v>
      </c>
      <c r="C366" s="1" t="str">
        <f>IFERROR(__xludf.DUMMYFUNCTION("""COMPUTED_VALUE"""),"Soul")</f>
        <v>Soul</v>
      </c>
      <c r="D366" s="73" t="str">
        <f>IFERROR(__xludf.DUMMYFUNCTION("""COMPUTED_VALUE"""),"6-10")</f>
        <v>6-10</v>
      </c>
      <c r="E366" s="1" t="str">
        <f>IFERROR(__xludf.DUMMYFUNCTION("""COMPUTED_VALUE"""),"Egg")</f>
        <v>Egg</v>
      </c>
      <c r="F366" s="73" t="str">
        <f>IFERROR(__xludf.DUMMYFUNCTION("""COMPUTED_VALUE"""),"11-15")</f>
        <v>11-15</v>
      </c>
      <c r="G366" s="1" t="str">
        <f>IFERROR(__xludf.DUMMYFUNCTION("""COMPUTED_VALUE"""),"Dragon Scale Necklace")</f>
        <v>Dragon Scale Necklace</v>
      </c>
      <c r="H366" s="73" t="str">
        <f>IFERROR(__xludf.DUMMYFUNCTION("""COMPUTED_VALUE"""),"16-20")</f>
        <v>16-20</v>
      </c>
      <c r="I366" s="1" t="str">
        <f>IFERROR(__xludf.DUMMYFUNCTION("""COMPUTED_VALUE"""),"Nothing")</f>
        <v>Nothing</v>
      </c>
      <c r="J366" s="73" t="str">
        <f>IFERROR(__xludf.DUMMYFUNCTION("""COMPUTED_VALUE"""),"21-25")</f>
        <v>21-25</v>
      </c>
      <c r="K366" s="1" t="str">
        <f>IFERROR(__xludf.DUMMYFUNCTION("""COMPUTED_VALUE"""),"Nothing")</f>
        <v>Nothing</v>
      </c>
      <c r="L366" s="1"/>
      <c r="M366" s="1"/>
      <c r="N366" s="1"/>
      <c r="O366" s="1"/>
      <c r="P366" s="1"/>
      <c r="Q366" s="1"/>
      <c r="R366" s="1"/>
      <c r="S366" s="1"/>
      <c r="T366" s="1"/>
      <c r="U366" s="1"/>
      <c r="V366" s="1"/>
      <c r="W366" s="1"/>
      <c r="X366" s="1"/>
    </row>
    <row r="367" ht="15.75" customHeight="1">
      <c r="A367" s="1" t="str">
        <f>IFERROR(__xludf.DUMMYFUNCTION("""COMPUTED_VALUE"""),"Storm Wyrm")</f>
        <v>Storm Wyrm</v>
      </c>
      <c r="B367" s="73" t="str">
        <f>IFERROR(__xludf.DUMMYFUNCTION("""COMPUTED_VALUE"""),"1-5")</f>
        <v>1-5</v>
      </c>
      <c r="C367" s="1" t="str">
        <f>IFERROR(__xludf.DUMMYFUNCTION("""COMPUTED_VALUE"""),"Soul")</f>
        <v>Soul</v>
      </c>
      <c r="D367" s="73" t="str">
        <f>IFERROR(__xludf.DUMMYFUNCTION("""COMPUTED_VALUE"""),"6-10")</f>
        <v>6-10</v>
      </c>
      <c r="E367" s="1" t="str">
        <f>IFERROR(__xludf.DUMMYFUNCTION("""COMPUTED_VALUE"""),"Egg")</f>
        <v>Egg</v>
      </c>
      <c r="F367" s="73" t="str">
        <f>IFERROR(__xludf.DUMMYFUNCTION("""COMPUTED_VALUE"""),"11-15")</f>
        <v>11-15</v>
      </c>
      <c r="G367" s="1" t="str">
        <f>IFERROR(__xludf.DUMMYFUNCTION("""COMPUTED_VALUE"""),"Dragon Scale Necklace")</f>
        <v>Dragon Scale Necklace</v>
      </c>
      <c r="H367" s="73" t="str">
        <f>IFERROR(__xludf.DUMMYFUNCTION("""COMPUTED_VALUE"""),"16-20")</f>
        <v>16-20</v>
      </c>
      <c r="I367" s="1" t="str">
        <f>IFERROR(__xludf.DUMMYFUNCTION("""COMPUTED_VALUE"""),"Nothing")</f>
        <v>Nothing</v>
      </c>
      <c r="J367" s="73" t="str">
        <f>IFERROR(__xludf.DUMMYFUNCTION("""COMPUTED_VALUE"""),"21-25")</f>
        <v>21-25</v>
      </c>
      <c r="K367" s="1" t="str">
        <f>IFERROR(__xludf.DUMMYFUNCTION("""COMPUTED_VALUE"""),"Nothing")</f>
        <v>Nothing</v>
      </c>
      <c r="L367" s="1"/>
      <c r="M367" s="1"/>
      <c r="N367" s="1"/>
      <c r="O367" s="1"/>
      <c r="P367" s="1"/>
      <c r="Q367" s="1"/>
      <c r="R367" s="1"/>
      <c r="S367" s="1"/>
      <c r="T367" s="1"/>
      <c r="U367" s="1"/>
      <c r="V367" s="1"/>
      <c r="W367" s="1"/>
      <c r="X367" s="1"/>
    </row>
    <row r="368" ht="15.75" customHeight="1">
      <c r="A368" s="1" t="str">
        <f>IFERROR(__xludf.DUMMYFUNCTION("""COMPUTED_VALUE"""),"Earth Wyrm")</f>
        <v>Earth Wyrm</v>
      </c>
      <c r="B368" s="73" t="str">
        <f>IFERROR(__xludf.DUMMYFUNCTION("""COMPUTED_VALUE"""),"1-5")</f>
        <v>1-5</v>
      </c>
      <c r="C368" s="1" t="str">
        <f>IFERROR(__xludf.DUMMYFUNCTION("""COMPUTED_VALUE"""),"Soul")</f>
        <v>Soul</v>
      </c>
      <c r="D368" s="73" t="str">
        <f>IFERROR(__xludf.DUMMYFUNCTION("""COMPUTED_VALUE"""),"6-10")</f>
        <v>6-10</v>
      </c>
      <c r="E368" s="1" t="str">
        <f>IFERROR(__xludf.DUMMYFUNCTION("""COMPUTED_VALUE"""),"Egg")</f>
        <v>Egg</v>
      </c>
      <c r="F368" s="73" t="str">
        <f>IFERROR(__xludf.DUMMYFUNCTION("""COMPUTED_VALUE"""),"11-15")</f>
        <v>11-15</v>
      </c>
      <c r="G368" s="1" t="str">
        <f>IFERROR(__xludf.DUMMYFUNCTION("""COMPUTED_VALUE"""),"Dragon Scale Necklace")</f>
        <v>Dragon Scale Necklace</v>
      </c>
      <c r="H368" s="73" t="str">
        <f>IFERROR(__xludf.DUMMYFUNCTION("""COMPUTED_VALUE"""),"16-20")</f>
        <v>16-20</v>
      </c>
      <c r="I368" s="1" t="str">
        <f>IFERROR(__xludf.DUMMYFUNCTION("""COMPUTED_VALUE"""),"Nothing")</f>
        <v>Nothing</v>
      </c>
      <c r="J368" s="73" t="str">
        <f>IFERROR(__xludf.DUMMYFUNCTION("""COMPUTED_VALUE"""),"21-25")</f>
        <v>21-25</v>
      </c>
      <c r="K368" s="1" t="str">
        <f>IFERROR(__xludf.DUMMYFUNCTION("""COMPUTED_VALUE"""),"Nothing")</f>
        <v>Nothing</v>
      </c>
      <c r="L368" s="1"/>
      <c r="M368" s="1"/>
      <c r="N368" s="1"/>
      <c r="O368" s="1"/>
      <c r="P368" s="1"/>
      <c r="Q368" s="1"/>
      <c r="R368" s="1"/>
      <c r="S368" s="1"/>
      <c r="T368" s="1"/>
      <c r="U368" s="1"/>
      <c r="V368" s="1"/>
      <c r="W368" s="1"/>
      <c r="X368" s="1"/>
    </row>
    <row r="369" ht="15.75" customHeight="1">
      <c r="A369" s="1" t="str">
        <f>IFERROR(__xludf.DUMMYFUNCTION("""COMPUTED_VALUE"""),"Water Wyrm")</f>
        <v>Water Wyrm</v>
      </c>
      <c r="B369" s="73" t="str">
        <f>IFERROR(__xludf.DUMMYFUNCTION("""COMPUTED_VALUE"""),"1-5")</f>
        <v>1-5</v>
      </c>
      <c r="C369" s="1" t="str">
        <f>IFERROR(__xludf.DUMMYFUNCTION("""COMPUTED_VALUE"""),"Soul")</f>
        <v>Soul</v>
      </c>
      <c r="D369" s="73" t="str">
        <f>IFERROR(__xludf.DUMMYFUNCTION("""COMPUTED_VALUE"""),"6-10")</f>
        <v>6-10</v>
      </c>
      <c r="E369" s="1" t="str">
        <f>IFERROR(__xludf.DUMMYFUNCTION("""COMPUTED_VALUE"""),"Egg")</f>
        <v>Egg</v>
      </c>
      <c r="F369" s="73" t="str">
        <f>IFERROR(__xludf.DUMMYFUNCTION("""COMPUTED_VALUE"""),"11-15")</f>
        <v>11-15</v>
      </c>
      <c r="G369" s="1" t="str">
        <f>IFERROR(__xludf.DUMMYFUNCTION("""COMPUTED_VALUE"""),"Dragon Scale Necklace")</f>
        <v>Dragon Scale Necklace</v>
      </c>
      <c r="H369" s="73" t="str">
        <f>IFERROR(__xludf.DUMMYFUNCTION("""COMPUTED_VALUE"""),"16-20")</f>
        <v>16-20</v>
      </c>
      <c r="I369" s="1" t="str">
        <f>IFERROR(__xludf.DUMMYFUNCTION("""COMPUTED_VALUE"""),"Nothing")</f>
        <v>Nothing</v>
      </c>
      <c r="J369" s="73" t="str">
        <f>IFERROR(__xludf.DUMMYFUNCTION("""COMPUTED_VALUE"""),"21-25")</f>
        <v>21-25</v>
      </c>
      <c r="K369" s="1" t="str">
        <f>IFERROR(__xludf.DUMMYFUNCTION("""COMPUTED_VALUE"""),"Nothing")</f>
        <v>Nothing</v>
      </c>
      <c r="L369" s="1"/>
      <c r="M369" s="1"/>
      <c r="N369" s="1"/>
      <c r="O369" s="1"/>
      <c r="P369" s="1"/>
      <c r="Q369" s="1"/>
      <c r="R369" s="1"/>
      <c r="S369" s="1"/>
      <c r="T369" s="1"/>
      <c r="U369" s="1"/>
      <c r="V369" s="1"/>
      <c r="W369" s="1"/>
      <c r="X369" s="1"/>
    </row>
    <row r="370" ht="15.75" customHeight="1">
      <c r="A370" s="1" t="str">
        <f>IFERROR(__xludf.DUMMYFUNCTION("""COMPUTED_VALUE"""),"Nature Wyrm")</f>
        <v>Nature Wyrm</v>
      </c>
      <c r="B370" s="73" t="str">
        <f>IFERROR(__xludf.DUMMYFUNCTION("""COMPUTED_VALUE"""),"1-5")</f>
        <v>1-5</v>
      </c>
      <c r="C370" s="1" t="str">
        <f>IFERROR(__xludf.DUMMYFUNCTION("""COMPUTED_VALUE"""),"Soul")</f>
        <v>Soul</v>
      </c>
      <c r="D370" s="73" t="str">
        <f>IFERROR(__xludf.DUMMYFUNCTION("""COMPUTED_VALUE"""),"6-10")</f>
        <v>6-10</v>
      </c>
      <c r="E370" s="1" t="str">
        <f>IFERROR(__xludf.DUMMYFUNCTION("""COMPUTED_VALUE"""),"Egg")</f>
        <v>Egg</v>
      </c>
      <c r="F370" s="73" t="str">
        <f>IFERROR(__xludf.DUMMYFUNCTION("""COMPUTED_VALUE"""),"11-15")</f>
        <v>11-15</v>
      </c>
      <c r="G370" s="1" t="str">
        <f>IFERROR(__xludf.DUMMYFUNCTION("""COMPUTED_VALUE"""),"Dragon Scale Necklace")</f>
        <v>Dragon Scale Necklace</v>
      </c>
      <c r="H370" s="73" t="str">
        <f>IFERROR(__xludf.DUMMYFUNCTION("""COMPUTED_VALUE"""),"16-20")</f>
        <v>16-20</v>
      </c>
      <c r="I370" s="1" t="str">
        <f>IFERROR(__xludf.DUMMYFUNCTION("""COMPUTED_VALUE"""),"Nothing")</f>
        <v>Nothing</v>
      </c>
      <c r="J370" s="73" t="str">
        <f>IFERROR(__xludf.DUMMYFUNCTION("""COMPUTED_VALUE"""),"21-25")</f>
        <v>21-25</v>
      </c>
      <c r="K370" s="1" t="str">
        <f>IFERROR(__xludf.DUMMYFUNCTION("""COMPUTED_VALUE"""),"Nothing")</f>
        <v>Nothing</v>
      </c>
      <c r="L370" s="1"/>
      <c r="M370" s="1"/>
      <c r="N370" s="1"/>
      <c r="O370" s="1"/>
      <c r="P370" s="1"/>
      <c r="Q370" s="1"/>
      <c r="R370" s="1"/>
      <c r="S370" s="1"/>
      <c r="T370" s="1"/>
      <c r="U370" s="1"/>
      <c r="V370" s="1"/>
      <c r="W370" s="1"/>
      <c r="X370" s="1"/>
    </row>
    <row r="371" ht="15.75" customHeight="1">
      <c r="A371" s="1" t="str">
        <f>IFERROR(__xludf.DUMMYFUNCTION("""COMPUTED_VALUE"""),"Lesser tengu")</f>
        <v>Lesser tengu</v>
      </c>
      <c r="B371" s="73" t="str">
        <f>IFERROR(__xludf.DUMMYFUNCTION("""COMPUTED_VALUE"""),"1-5")</f>
        <v>1-5</v>
      </c>
      <c r="C371" s="1" t="str">
        <f>IFERROR(__xludf.DUMMYFUNCTION("""COMPUTED_VALUE"""),"Soul")</f>
        <v>Soul</v>
      </c>
      <c r="D371" s="73" t="str">
        <f>IFERROR(__xludf.DUMMYFUNCTION("""COMPUTED_VALUE"""),"6-10")</f>
        <v>6-10</v>
      </c>
      <c r="E371" s="1" t="str">
        <f>IFERROR(__xludf.DUMMYFUNCTION("""COMPUTED_VALUE"""),"Egg")</f>
        <v>Egg</v>
      </c>
      <c r="F371" s="73" t="str">
        <f>IFERROR(__xludf.DUMMYFUNCTION("""COMPUTED_VALUE"""),"11-15")</f>
        <v>11-15</v>
      </c>
      <c r="G371" s="1" t="str">
        <f>IFERROR(__xludf.DUMMYFUNCTION("""COMPUTED_VALUE"""),"Heavenly Necklace")</f>
        <v>Heavenly Necklace</v>
      </c>
      <c r="H371" s="73" t="str">
        <f>IFERROR(__xludf.DUMMYFUNCTION("""COMPUTED_VALUE"""),"16-20")</f>
        <v>16-20</v>
      </c>
      <c r="I371" s="1" t="str">
        <f>IFERROR(__xludf.DUMMYFUNCTION("""COMPUTED_VALUE"""),"Nothing")</f>
        <v>Nothing</v>
      </c>
      <c r="J371" s="73" t="str">
        <f>IFERROR(__xludf.DUMMYFUNCTION("""COMPUTED_VALUE"""),"21-25")</f>
        <v>21-25</v>
      </c>
      <c r="K371" s="1" t="str">
        <f>IFERROR(__xludf.DUMMYFUNCTION("""COMPUTED_VALUE"""),"Nothing")</f>
        <v>Nothing</v>
      </c>
      <c r="L371" s="1"/>
      <c r="M371" s="1"/>
      <c r="N371" s="1"/>
      <c r="O371" s="1"/>
      <c r="P371" s="1"/>
      <c r="Q371" s="1"/>
      <c r="R371" s="1"/>
      <c r="S371" s="1"/>
      <c r="T371" s="1"/>
      <c r="U371" s="1"/>
      <c r="V371" s="1"/>
      <c r="W371" s="1"/>
      <c r="X371" s="1"/>
    </row>
    <row r="372" ht="15.75" customHeight="1">
      <c r="A372" s="1" t="str">
        <f>IFERROR(__xludf.DUMMYFUNCTION("""COMPUTED_VALUE"""),"Master Inugima of the Amphibuki")</f>
        <v>Master Inugima of the Amphibuki</v>
      </c>
      <c r="B372" s="73" t="str">
        <f>IFERROR(__xludf.DUMMYFUNCTION("""COMPUTED_VALUE"""),"1-5")</f>
        <v>1-5</v>
      </c>
      <c r="C372" s="1" t="str">
        <f>IFERROR(__xludf.DUMMYFUNCTION("""COMPUTED_VALUE"""),"Soul")</f>
        <v>Soul</v>
      </c>
      <c r="D372" s="73" t="str">
        <f>IFERROR(__xludf.DUMMYFUNCTION("""COMPUTED_VALUE"""),"6-10")</f>
        <v>6-10</v>
      </c>
      <c r="E372" s="1"/>
      <c r="F372" s="73" t="str">
        <f>IFERROR(__xludf.DUMMYFUNCTION("""COMPUTED_VALUE"""),"11-15")</f>
        <v>11-15</v>
      </c>
      <c r="G372" s="1"/>
      <c r="H372" s="73" t="str">
        <f>IFERROR(__xludf.DUMMYFUNCTION("""COMPUTED_VALUE"""),"16-20")</f>
        <v>16-20</v>
      </c>
      <c r="I372" s="1"/>
      <c r="J372" s="73" t="str">
        <f>IFERROR(__xludf.DUMMYFUNCTION("""COMPUTED_VALUE"""),"21-25")</f>
        <v>21-25</v>
      </c>
      <c r="K372" s="1"/>
      <c r="L372" s="1"/>
      <c r="M372" s="1"/>
      <c r="N372" s="1"/>
      <c r="O372" s="1"/>
      <c r="P372" s="1"/>
      <c r="Q372" s="1"/>
      <c r="R372" s="1"/>
      <c r="S372" s="1"/>
      <c r="T372" s="1"/>
      <c r="U372" s="1"/>
      <c r="V372" s="1"/>
      <c r="W372" s="1"/>
      <c r="X372" s="1"/>
    </row>
    <row r="373" ht="15.75" customHeight="1">
      <c r="A373" s="1" t="str">
        <f>IFERROR(__xludf.DUMMYFUNCTION("""COMPUTED_VALUE"""),"Imphigenia, Betrayed Goddess Of The Moon")</f>
        <v>Imphigenia, Betrayed Goddess Of The Moon</v>
      </c>
      <c r="B373" s="73" t="str">
        <f>IFERROR(__xludf.DUMMYFUNCTION("""COMPUTED_VALUE"""),"1-5")</f>
        <v>1-5</v>
      </c>
      <c r="C373" s="1" t="str">
        <f>IFERROR(__xludf.DUMMYFUNCTION("""COMPUTED_VALUE"""),"Soul")</f>
        <v>Soul</v>
      </c>
      <c r="D373" s="73" t="str">
        <f>IFERROR(__xludf.DUMMYFUNCTION("""COMPUTED_VALUE"""),"6-10")</f>
        <v>6-10</v>
      </c>
      <c r="E373" s="1"/>
      <c r="F373" s="73" t="str">
        <f>IFERROR(__xludf.DUMMYFUNCTION("""COMPUTED_VALUE"""),"11-15")</f>
        <v>11-15</v>
      </c>
      <c r="G373" s="1"/>
      <c r="H373" s="73" t="str">
        <f>IFERROR(__xludf.DUMMYFUNCTION("""COMPUTED_VALUE"""),"16-20")</f>
        <v>16-20</v>
      </c>
      <c r="I373" s="1"/>
      <c r="J373" s="73" t="str">
        <f>IFERROR(__xludf.DUMMYFUNCTION("""COMPUTED_VALUE"""),"21-25")</f>
        <v>21-25</v>
      </c>
      <c r="K373" s="1"/>
      <c r="L373" s="1"/>
      <c r="M373" s="1"/>
      <c r="N373" s="1"/>
      <c r="O373" s="1"/>
      <c r="P373" s="1"/>
      <c r="Q373" s="1"/>
      <c r="R373" s="1"/>
      <c r="S373" s="1"/>
      <c r="T373" s="1"/>
      <c r="U373" s="1"/>
      <c r="V373" s="1"/>
      <c r="W373" s="1"/>
      <c r="X373" s="1"/>
    </row>
    <row r="374" ht="15.75" customHeight="1">
      <c r="A374" s="1" t="str">
        <f>IFERROR(__xludf.DUMMYFUNCTION("""COMPUTED_VALUE"""),"Imphigenia, Harbinger of Revenge")</f>
        <v>Imphigenia, Harbinger of Revenge</v>
      </c>
      <c r="B374" s="73" t="str">
        <f>IFERROR(__xludf.DUMMYFUNCTION("""COMPUTED_VALUE"""),"1-5")</f>
        <v>1-5</v>
      </c>
      <c r="C374" s="1" t="str">
        <f>IFERROR(__xludf.DUMMYFUNCTION("""COMPUTED_VALUE"""),"Soul")</f>
        <v>Soul</v>
      </c>
      <c r="D374" s="73" t="str">
        <f>IFERROR(__xludf.DUMMYFUNCTION("""COMPUTED_VALUE"""),"6-10")</f>
        <v>6-10</v>
      </c>
      <c r="E374" s="1"/>
      <c r="F374" s="73" t="str">
        <f>IFERROR(__xludf.DUMMYFUNCTION("""COMPUTED_VALUE"""),"11-15")</f>
        <v>11-15</v>
      </c>
      <c r="G374" s="1"/>
      <c r="H374" s="73" t="str">
        <f>IFERROR(__xludf.DUMMYFUNCTION("""COMPUTED_VALUE"""),"16-20")</f>
        <v>16-20</v>
      </c>
      <c r="I374" s="1"/>
      <c r="J374" s="73" t="str">
        <f>IFERROR(__xludf.DUMMYFUNCTION("""COMPUTED_VALUE"""),"21-25")</f>
        <v>21-25</v>
      </c>
      <c r="K374" s="1"/>
      <c r="L374" s="1"/>
      <c r="M374" s="1"/>
      <c r="N374" s="1"/>
      <c r="O374" s="1"/>
      <c r="P374" s="1"/>
      <c r="Q374" s="1"/>
      <c r="R374" s="1"/>
      <c r="S374" s="1"/>
      <c r="T374" s="1"/>
      <c r="U374" s="1"/>
      <c r="V374" s="1"/>
      <c r="W374" s="1"/>
      <c r="X374" s="1"/>
    </row>
    <row r="375" ht="15.75" customHeight="1">
      <c r="A375" s="1" t="str">
        <f>IFERROR(__xludf.DUMMYFUNCTION("""COMPUTED_VALUE"""),"Lunarion, Faithful Hound of Imphigenia")</f>
        <v>Lunarion, Faithful Hound of Imphigenia</v>
      </c>
      <c r="B375" s="73" t="str">
        <f>IFERROR(__xludf.DUMMYFUNCTION("""COMPUTED_VALUE"""),"1-5")</f>
        <v>1-5</v>
      </c>
      <c r="C375" s="1" t="str">
        <f>IFERROR(__xludf.DUMMYFUNCTION("""COMPUTED_VALUE"""),"Soul")</f>
        <v>Soul</v>
      </c>
      <c r="D375" s="73" t="str">
        <f>IFERROR(__xludf.DUMMYFUNCTION("""COMPUTED_VALUE"""),"6-10")</f>
        <v>6-10</v>
      </c>
      <c r="E375" s="1"/>
      <c r="F375" s="73" t="str">
        <f>IFERROR(__xludf.DUMMYFUNCTION("""COMPUTED_VALUE"""),"11-15")</f>
        <v>11-15</v>
      </c>
      <c r="G375" s="1"/>
      <c r="H375" s="73" t="str">
        <f>IFERROR(__xludf.DUMMYFUNCTION("""COMPUTED_VALUE"""),"16-20")</f>
        <v>16-20</v>
      </c>
      <c r="I375" s="1"/>
      <c r="J375" s="73" t="str">
        <f>IFERROR(__xludf.DUMMYFUNCTION("""COMPUTED_VALUE"""),"21-25")</f>
        <v>21-25</v>
      </c>
      <c r="K375" s="1"/>
      <c r="L375" s="1"/>
      <c r="M375" s="1"/>
      <c r="N375" s="1"/>
      <c r="O375" s="1"/>
      <c r="P375" s="1"/>
      <c r="Q375" s="1"/>
      <c r="R375" s="1"/>
      <c r="S375" s="1"/>
      <c r="T375" s="1"/>
      <c r="U375" s="1"/>
      <c r="V375" s="1"/>
      <c r="W375" s="1"/>
      <c r="X375" s="1"/>
    </row>
    <row r="376" ht="15.75" customHeight="1">
      <c r="A376" s="1" t="str">
        <f>IFERROR(__xludf.DUMMYFUNCTION("""COMPUTED_VALUE"""),"Master Inugima Clone")</f>
        <v>Master Inugima Clone</v>
      </c>
      <c r="B376" s="73" t="str">
        <f>IFERROR(__xludf.DUMMYFUNCTION("""COMPUTED_VALUE"""),"1-5")</f>
        <v>1-5</v>
      </c>
      <c r="C376" s="1"/>
      <c r="D376" s="73" t="str">
        <f>IFERROR(__xludf.DUMMYFUNCTION("""COMPUTED_VALUE"""),"6-10")</f>
        <v>6-10</v>
      </c>
      <c r="E376" s="1"/>
      <c r="F376" s="73" t="str">
        <f>IFERROR(__xludf.DUMMYFUNCTION("""COMPUTED_VALUE"""),"11-15")</f>
        <v>11-15</v>
      </c>
      <c r="G376" s="1"/>
      <c r="H376" s="73" t="str">
        <f>IFERROR(__xludf.DUMMYFUNCTION("""COMPUTED_VALUE"""),"16-20")</f>
        <v>16-20</v>
      </c>
      <c r="I376" s="1"/>
      <c r="J376" s="73" t="str">
        <f>IFERROR(__xludf.DUMMYFUNCTION("""COMPUTED_VALUE"""),"21-25")</f>
        <v>21-25</v>
      </c>
      <c r="K376" s="1"/>
      <c r="L376" s="1"/>
      <c r="M376" s="1"/>
      <c r="N376" s="1"/>
      <c r="O376" s="1"/>
      <c r="P376" s="1"/>
      <c r="Q376" s="1"/>
      <c r="R376" s="1"/>
      <c r="S376" s="1"/>
      <c r="T376" s="1"/>
      <c r="U376" s="1"/>
      <c r="V376" s="1"/>
      <c r="W376" s="1"/>
      <c r="X376" s="1"/>
    </row>
    <row r="377" ht="15.75" customHeight="1">
      <c r="A377" s="1" t="str">
        <f>IFERROR(__xludf.DUMMYFUNCTION("""COMPUTED_VALUE"""),"The Harbingers of The Voidwoken (DragonScale)")</f>
        <v>The Harbingers of The Voidwoken (DragonScale)</v>
      </c>
      <c r="B377" s="73" t="str">
        <f>IFERROR(__xludf.DUMMYFUNCTION("""COMPUTED_VALUE"""),"1-5")</f>
        <v>1-5</v>
      </c>
      <c r="C377" s="1" t="str">
        <f>IFERROR(__xludf.DUMMYFUNCTION("""COMPUTED_VALUE"""),"Soul")</f>
        <v>Soul</v>
      </c>
      <c r="D377" s="73" t="str">
        <f>IFERROR(__xludf.DUMMYFUNCTION("""COMPUTED_VALUE"""),"6-10")</f>
        <v>6-10</v>
      </c>
      <c r="E377" s="1"/>
      <c r="F377" s="73" t="str">
        <f>IFERROR(__xludf.DUMMYFUNCTION("""COMPUTED_VALUE"""),"11-15")</f>
        <v>11-15</v>
      </c>
      <c r="G377" s="1"/>
      <c r="H377" s="73" t="str">
        <f>IFERROR(__xludf.DUMMYFUNCTION("""COMPUTED_VALUE"""),"16-20")</f>
        <v>16-20</v>
      </c>
      <c r="I377" s="1"/>
      <c r="J377" s="73" t="str">
        <f>IFERROR(__xludf.DUMMYFUNCTION("""COMPUTED_VALUE"""),"21-25")</f>
        <v>21-25</v>
      </c>
      <c r="K377" s="1"/>
      <c r="L377" s="1"/>
      <c r="M377" s="1"/>
      <c r="N377" s="1"/>
      <c r="O377" s="1"/>
      <c r="P377" s="1"/>
      <c r="Q377" s="1"/>
      <c r="R377" s="1"/>
      <c r="S377" s="1"/>
      <c r="T377" s="1"/>
      <c r="U377" s="1"/>
      <c r="V377" s="1"/>
      <c r="W377" s="1"/>
      <c r="X377" s="1"/>
    </row>
    <row r="378" ht="15.75" customHeight="1">
      <c r="A378" s="1" t="str">
        <f>IFERROR(__xludf.DUMMYFUNCTION("""COMPUTED_VALUE"""),"The Harbingers of The Voidwoken (Abstara)")</f>
        <v>The Harbingers of The Voidwoken (Abstara)</v>
      </c>
      <c r="B378" s="73" t="str">
        <f>IFERROR(__xludf.DUMMYFUNCTION("""COMPUTED_VALUE"""),"1-5")</f>
        <v>1-5</v>
      </c>
      <c r="C378" s="1" t="str">
        <f>IFERROR(__xludf.DUMMYFUNCTION("""COMPUTED_VALUE"""),"Soul")</f>
        <v>Soul</v>
      </c>
      <c r="D378" s="73" t="str">
        <f>IFERROR(__xludf.DUMMYFUNCTION("""COMPUTED_VALUE"""),"6-10")</f>
        <v>6-10</v>
      </c>
      <c r="E378" s="1"/>
      <c r="F378" s="73" t="str">
        <f>IFERROR(__xludf.DUMMYFUNCTION("""COMPUTED_VALUE"""),"11-15")</f>
        <v>11-15</v>
      </c>
      <c r="G378" s="1"/>
      <c r="H378" s="73" t="str">
        <f>IFERROR(__xludf.DUMMYFUNCTION("""COMPUTED_VALUE"""),"16-20")</f>
        <v>16-20</v>
      </c>
      <c r="I378" s="1"/>
      <c r="J378" s="73" t="str">
        <f>IFERROR(__xludf.DUMMYFUNCTION("""COMPUTED_VALUE"""),"21-25")</f>
        <v>21-25</v>
      </c>
      <c r="K378" s="1"/>
      <c r="L378" s="1"/>
      <c r="M378" s="1"/>
      <c r="N378" s="1"/>
      <c r="O378" s="1"/>
      <c r="P378" s="1"/>
      <c r="Q378" s="1"/>
      <c r="R378" s="1"/>
      <c r="S378" s="1"/>
      <c r="T378" s="1"/>
      <c r="U378" s="1"/>
      <c r="V378" s="1"/>
      <c r="W378" s="1"/>
      <c r="X378" s="1"/>
    </row>
    <row r="379" ht="15.75" customHeight="1">
      <c r="A379" s="1" t="str">
        <f>IFERROR(__xludf.DUMMYFUNCTION("""COMPUTED_VALUE"""),"The Harbingers of The Voidwoken (Solreach)")</f>
        <v>The Harbingers of The Voidwoken (Solreach)</v>
      </c>
      <c r="B379" s="73" t="str">
        <f>IFERROR(__xludf.DUMMYFUNCTION("""COMPUTED_VALUE"""),"1-5")</f>
        <v>1-5</v>
      </c>
      <c r="C379" s="1" t="str">
        <f>IFERROR(__xludf.DUMMYFUNCTION("""COMPUTED_VALUE"""),"Soul")</f>
        <v>Soul</v>
      </c>
      <c r="D379" s="73" t="str">
        <f>IFERROR(__xludf.DUMMYFUNCTION("""COMPUTED_VALUE"""),"6-10")</f>
        <v>6-10</v>
      </c>
      <c r="E379" s="1"/>
      <c r="F379" s="73" t="str">
        <f>IFERROR(__xludf.DUMMYFUNCTION("""COMPUTED_VALUE"""),"11-15")</f>
        <v>11-15</v>
      </c>
      <c r="G379" s="1"/>
      <c r="H379" s="73" t="str">
        <f>IFERROR(__xludf.DUMMYFUNCTION("""COMPUTED_VALUE"""),"16-20")</f>
        <v>16-20</v>
      </c>
      <c r="I379" s="1"/>
      <c r="J379" s="73" t="str">
        <f>IFERROR(__xludf.DUMMYFUNCTION("""COMPUTED_VALUE"""),"21-25")</f>
        <v>21-25</v>
      </c>
      <c r="K379" s="1"/>
      <c r="L379" s="1"/>
      <c r="M379" s="1"/>
      <c r="N379" s="1"/>
      <c r="O379" s="1"/>
      <c r="P379" s="1"/>
      <c r="Q379" s="1"/>
      <c r="R379" s="1"/>
      <c r="S379" s="1"/>
      <c r="T379" s="1"/>
      <c r="U379" s="1"/>
      <c r="V379" s="1"/>
      <c r="W379" s="1"/>
      <c r="X379" s="1"/>
    </row>
    <row r="380" ht="15.75" customHeight="1">
      <c r="A380" s="1" t="str">
        <f>IFERROR(__xludf.DUMMYFUNCTION("""COMPUTED_VALUE"""),"Forest Faery")</f>
        <v>Forest Faery</v>
      </c>
      <c r="B380" s="73" t="str">
        <f>IFERROR(__xludf.DUMMYFUNCTION("""COMPUTED_VALUE"""),"1-5")</f>
        <v>1-5</v>
      </c>
      <c r="C380" s="1" t="str">
        <f>IFERROR(__xludf.DUMMYFUNCTION("""COMPUTED_VALUE"""),"Soul")</f>
        <v>Soul</v>
      </c>
      <c r="D380" s="73" t="str">
        <f>IFERROR(__xludf.DUMMYFUNCTION("""COMPUTED_VALUE"""),"6-10")</f>
        <v>6-10</v>
      </c>
      <c r="E380" s="1"/>
      <c r="F380" s="73" t="str">
        <f>IFERROR(__xludf.DUMMYFUNCTION("""COMPUTED_VALUE"""),"11-15")</f>
        <v>11-15</v>
      </c>
      <c r="G380" s="1"/>
      <c r="H380" s="73" t="str">
        <f>IFERROR(__xludf.DUMMYFUNCTION("""COMPUTED_VALUE"""),"16-20")</f>
        <v>16-20</v>
      </c>
      <c r="I380" s="1"/>
      <c r="J380" s="73" t="str">
        <f>IFERROR(__xludf.DUMMYFUNCTION("""COMPUTED_VALUE"""),"21-25")</f>
        <v>21-25</v>
      </c>
      <c r="K380" s="1"/>
      <c r="L380" s="1"/>
      <c r="M380" s="1"/>
      <c r="N380" s="1"/>
      <c r="O380" s="1"/>
      <c r="P380" s="1"/>
      <c r="Q380" s="1"/>
      <c r="R380" s="1"/>
      <c r="S380" s="1"/>
      <c r="T380" s="1"/>
      <c r="U380" s="1"/>
      <c r="V380" s="1"/>
      <c r="W380" s="1"/>
      <c r="X380" s="1"/>
    </row>
    <row r="381" ht="15.75" customHeight="1">
      <c r="A381" s="1" t="str">
        <f>IFERROR(__xludf.DUMMYFUNCTION("""COMPUTED_VALUE"""),"Egg of The Faery King")</f>
        <v>Egg of The Faery King</v>
      </c>
      <c r="B381" s="73" t="str">
        <f>IFERROR(__xludf.DUMMYFUNCTION("""COMPUTED_VALUE"""),"1-5")</f>
        <v>1-5</v>
      </c>
      <c r="C381" s="1"/>
      <c r="D381" s="73" t="str">
        <f>IFERROR(__xludf.DUMMYFUNCTION("""COMPUTED_VALUE"""),"6-10")</f>
        <v>6-10</v>
      </c>
      <c r="E381" s="1"/>
      <c r="F381" s="73" t="str">
        <f>IFERROR(__xludf.DUMMYFUNCTION("""COMPUTED_VALUE"""),"11-15")</f>
        <v>11-15</v>
      </c>
      <c r="G381" s="1"/>
      <c r="H381" s="73" t="str">
        <f>IFERROR(__xludf.DUMMYFUNCTION("""COMPUTED_VALUE"""),"16-20")</f>
        <v>16-20</v>
      </c>
      <c r="I381" s="1"/>
      <c r="J381" s="73" t="str">
        <f>IFERROR(__xludf.DUMMYFUNCTION("""COMPUTED_VALUE"""),"21-25")</f>
        <v>21-25</v>
      </c>
      <c r="K381" s="1"/>
      <c r="L381" s="1"/>
      <c r="M381" s="1"/>
      <c r="N381" s="1"/>
      <c r="O381" s="1"/>
      <c r="P381" s="1"/>
      <c r="Q381" s="1"/>
      <c r="R381" s="1"/>
      <c r="S381" s="1"/>
      <c r="T381" s="1"/>
      <c r="U381" s="1"/>
      <c r="V381" s="1"/>
      <c r="W381" s="1"/>
      <c r="X381" s="1"/>
    </row>
    <row r="382" ht="15.75" customHeight="1">
      <c r="A382" s="1" t="str">
        <f>IFERROR(__xludf.DUMMYFUNCTION("""COMPUTED_VALUE"""),"Forest Golem")</f>
        <v>Forest Golem</v>
      </c>
      <c r="B382" s="73" t="str">
        <f>IFERROR(__xludf.DUMMYFUNCTION("""COMPUTED_VALUE"""),"1-5")</f>
        <v>1-5</v>
      </c>
      <c r="C382" s="1" t="str">
        <f>IFERROR(__xludf.DUMMYFUNCTION("""COMPUTED_VALUE"""),"Blessed Torch")</f>
        <v>Blessed Torch</v>
      </c>
      <c r="D382" s="73" t="str">
        <f>IFERROR(__xludf.DUMMYFUNCTION("""COMPUTED_VALUE"""),"6-10")</f>
        <v>6-10</v>
      </c>
      <c r="E382" s="1" t="str">
        <f>IFERROR(__xludf.DUMMYFUNCTION("""COMPUTED_VALUE"""),"1,000,000G-20,000,000G")</f>
        <v>1,000,000G-20,000,000G</v>
      </c>
      <c r="F382" s="73" t="str">
        <f>IFERROR(__xludf.DUMMYFUNCTION("""COMPUTED_VALUE"""),"11-15")</f>
        <v>11-15</v>
      </c>
      <c r="G382" s="1" t="str">
        <f>IFERROR(__xludf.DUMMYFUNCTION("""COMPUTED_VALUE"""),"Pebble of Fertility")</f>
        <v>Pebble of Fertility</v>
      </c>
      <c r="H382" s="73" t="str">
        <f>IFERROR(__xludf.DUMMYFUNCTION("""COMPUTED_VALUE"""),"16-20")</f>
        <v>16-20</v>
      </c>
      <c r="I382" s="1" t="str">
        <f>IFERROR(__xludf.DUMMYFUNCTION("""COMPUTED_VALUE"""),"Forest Faery Egg")</f>
        <v>Forest Faery Egg</v>
      </c>
      <c r="J382" s="73" t="str">
        <f>IFERROR(__xludf.DUMMYFUNCTION("""COMPUTED_VALUE"""),"21-25")</f>
        <v>21-25</v>
      </c>
      <c r="K382" s="1" t="str">
        <f>IFERROR(__xludf.DUMMYFUNCTION("""COMPUTED_VALUE"""),"Nothing")</f>
        <v>Nothing</v>
      </c>
      <c r="L382" s="1"/>
      <c r="M382" s="1"/>
      <c r="N382" s="1"/>
      <c r="O382" s="1"/>
      <c r="P382" s="1"/>
      <c r="Q382" s="1"/>
      <c r="R382" s="1"/>
      <c r="S382" s="1"/>
      <c r="T382" s="1"/>
      <c r="U382" s="1"/>
      <c r="V382" s="1"/>
      <c r="W382" s="1"/>
      <c r="X382" s="1"/>
    </row>
    <row r="383" ht="15.75" customHeight="1">
      <c r="A383" s="1" t="str">
        <f>IFERROR(__xludf.DUMMYFUNCTION("""COMPUTED_VALUE"""),"Oberon The Faery King ")</f>
        <v>Oberon The Faery King </v>
      </c>
      <c r="B383" s="73" t="str">
        <f>IFERROR(__xludf.DUMMYFUNCTION("""COMPUTED_VALUE"""),"1-5")</f>
        <v>1-5</v>
      </c>
      <c r="C383" s="1" t="str">
        <f>IFERROR(__xludf.DUMMYFUNCTION("""COMPUTED_VALUE"""),"Faery Kings Sword")</f>
        <v>Faery Kings Sword</v>
      </c>
      <c r="D383" s="73" t="str">
        <f>IFERROR(__xludf.DUMMYFUNCTION("""COMPUTED_VALUE"""),"6-10")</f>
        <v>6-10</v>
      </c>
      <c r="E383" s="1" t="str">
        <f>IFERROR(__xludf.DUMMYFUNCTION("""COMPUTED_VALUE"""),"Nature Faery Wand")</f>
        <v>Nature Faery Wand</v>
      </c>
      <c r="F383" s="73" t="str">
        <f>IFERROR(__xludf.DUMMYFUNCTION("""COMPUTED_VALUE"""),"11-15")</f>
        <v>11-15</v>
      </c>
      <c r="G383" s="1" t="str">
        <f>IFERROR(__xludf.DUMMYFUNCTION("""COMPUTED_VALUE"""),"500,000,000G-1,000,000,000G")</f>
        <v>500,000,000G-1,000,000,000G</v>
      </c>
      <c r="H383" s="73" t="str">
        <f>IFERROR(__xludf.DUMMYFUNCTION("""COMPUTED_VALUE"""),"16-20")</f>
        <v>16-20</v>
      </c>
      <c r="I383" s="1" t="str">
        <f>IFERROR(__xludf.DUMMYFUNCTION("""COMPUTED_VALUE"""),"80,000,000G-100,000,000G")</f>
        <v>80,000,000G-100,000,000G</v>
      </c>
      <c r="J383" s="73" t="str">
        <f>IFERROR(__xludf.DUMMYFUNCTION("""COMPUTED_VALUE"""),"21-25")</f>
        <v>21-25</v>
      </c>
      <c r="K383" s="1" t="str">
        <f>IFERROR(__xludf.DUMMYFUNCTION("""COMPUTED_VALUE"""),"Soul")</f>
        <v>Soul</v>
      </c>
      <c r="L383" s="1"/>
      <c r="M383" s="1"/>
      <c r="N383" s="1"/>
      <c r="O383" s="1"/>
      <c r="P383" s="1"/>
      <c r="Q383" s="1"/>
      <c r="R383" s="1"/>
      <c r="S383" s="1"/>
      <c r="T383" s="1"/>
      <c r="U383" s="1"/>
      <c r="V383" s="1"/>
      <c r="W383" s="1"/>
      <c r="X383" s="1"/>
    </row>
    <row r="384" ht="15.75" customHeight="1">
      <c r="A384" s="1" t="str">
        <f>IFERROR(__xludf.DUMMYFUNCTION("""COMPUTED_VALUE"""),"Salamander, King Of The Fire Elementals")</f>
        <v>Salamander, King Of The Fire Elementals</v>
      </c>
      <c r="B384" s="73" t="str">
        <f>IFERROR(__xludf.DUMMYFUNCTION("""COMPUTED_VALUE"""),"1-5")</f>
        <v>1-5</v>
      </c>
      <c r="C384" s="1" t="str">
        <f>IFERROR(__xludf.DUMMYFUNCTION("""COMPUTED_VALUE"""),"Soul")</f>
        <v>Soul</v>
      </c>
      <c r="D384" s="73" t="str">
        <f>IFERROR(__xludf.DUMMYFUNCTION("""COMPUTED_VALUE"""),"6-10")</f>
        <v>6-10</v>
      </c>
      <c r="E384" s="1"/>
      <c r="F384" s="73" t="str">
        <f>IFERROR(__xludf.DUMMYFUNCTION("""COMPUTED_VALUE"""),"11-15")</f>
        <v>11-15</v>
      </c>
      <c r="G384" s="1"/>
      <c r="H384" s="73" t="str">
        <f>IFERROR(__xludf.DUMMYFUNCTION("""COMPUTED_VALUE"""),"16-20")</f>
        <v>16-20</v>
      </c>
      <c r="I384" s="1"/>
      <c r="J384" s="73" t="str">
        <f>IFERROR(__xludf.DUMMYFUNCTION("""COMPUTED_VALUE"""),"21-25")</f>
        <v>21-25</v>
      </c>
      <c r="K384" s="1"/>
      <c r="L384" s="1"/>
      <c r="M384" s="1"/>
      <c r="N384" s="1"/>
      <c r="O384" s="1"/>
      <c r="P384" s="1"/>
      <c r="Q384" s="1"/>
      <c r="R384" s="1"/>
      <c r="S384" s="1"/>
      <c r="T384" s="1"/>
      <c r="U384" s="1"/>
      <c r="V384" s="1"/>
      <c r="W384" s="1"/>
      <c r="X384" s="1"/>
    </row>
    <row r="385" ht="15.75" customHeight="1">
      <c r="A385" s="1" t="str">
        <f>IFERROR(__xludf.DUMMYFUNCTION("""COMPUTED_VALUE"""),"Beast of Gévaudan")</f>
        <v>Beast of Gévaudan</v>
      </c>
      <c r="B385" s="73" t="str">
        <f>IFERROR(__xludf.DUMMYFUNCTION("""COMPUTED_VALUE"""),"1-5")</f>
        <v>1-5</v>
      </c>
      <c r="C385" s="1" t="str">
        <f>IFERROR(__xludf.DUMMYFUNCTION("""COMPUTED_VALUE"""),"Soul")</f>
        <v>Soul</v>
      </c>
      <c r="D385" s="73" t="str">
        <f>IFERROR(__xludf.DUMMYFUNCTION("""COMPUTED_VALUE"""),"6-10")</f>
        <v>6-10</v>
      </c>
      <c r="E385" s="1" t="str">
        <f>IFERROR(__xludf.DUMMYFUNCTION("""COMPUTED_VALUE"""),"Wolf Tooth Neclace")</f>
        <v>Wolf Tooth Neclace</v>
      </c>
      <c r="F385" s="73" t="str">
        <f>IFERROR(__xludf.DUMMYFUNCTION("""COMPUTED_VALUE"""),"11-15")</f>
        <v>11-15</v>
      </c>
      <c r="G385" s="1" t="str">
        <f>IFERROR(__xludf.DUMMYFUNCTION("""COMPUTED_VALUE"""),"500,000G-1,000,000G")</f>
        <v>500,000G-1,000,000G</v>
      </c>
      <c r="H385" s="73" t="str">
        <f>IFERROR(__xludf.DUMMYFUNCTION("""COMPUTED_VALUE"""),"16-20")</f>
        <v>16-20</v>
      </c>
      <c r="I385" s="1" t="str">
        <f>IFERROR(__xludf.DUMMYFUNCTION("""COMPUTED_VALUE"""),"The Cloak of Gévaudan")</f>
        <v>The Cloak of Gévaudan</v>
      </c>
      <c r="J385" s="73" t="str">
        <f>IFERROR(__xludf.DUMMYFUNCTION("""COMPUTED_VALUE"""),"21-25")</f>
        <v>21-25</v>
      </c>
      <c r="K385" s="1" t="str">
        <f>IFERROR(__xludf.DUMMYFUNCTION("""COMPUTED_VALUE"""),"Nothing")</f>
        <v>Nothing</v>
      </c>
      <c r="L385" s="1"/>
      <c r="M385" s="1"/>
      <c r="N385" s="1"/>
      <c r="O385" s="1"/>
      <c r="P385" s="1"/>
      <c r="Q385" s="1"/>
      <c r="R385" s="1"/>
      <c r="S385" s="1"/>
      <c r="T385" s="1"/>
      <c r="U385" s="1"/>
      <c r="V385" s="1"/>
      <c r="W385" s="1"/>
      <c r="X385" s="1"/>
    </row>
    <row r="386" ht="15.75" customHeight="1">
      <c r="A386" s="1" t="str">
        <f>IFERROR(__xludf.DUMMYFUNCTION("""COMPUTED_VALUE"""),"Cargo Ship")</f>
        <v>Cargo Ship</v>
      </c>
      <c r="B386" s="73" t="str">
        <f>IFERROR(__xludf.DUMMYFUNCTION("""COMPUTED_VALUE"""),"1-5")</f>
        <v>1-5</v>
      </c>
      <c r="C386" s="1" t="str">
        <f>IFERROR(__xludf.DUMMYFUNCTION("""COMPUTED_VALUE"""),"Standard Missile")</f>
        <v>Standard Missile</v>
      </c>
      <c r="D386" s="73" t="str">
        <f>IFERROR(__xludf.DUMMYFUNCTION("""COMPUTED_VALUE"""),"6-10")</f>
        <v>6-10</v>
      </c>
      <c r="E386" s="1" t="str">
        <f>IFERROR(__xludf.DUMMYFUNCTION("""COMPUTED_VALUE"""),"EMP Missile")</f>
        <v>EMP Missile</v>
      </c>
      <c r="F386" s="73" t="str">
        <f>IFERROR(__xludf.DUMMYFUNCTION("""COMPUTED_VALUE"""),"11-15")</f>
        <v>11-15</v>
      </c>
      <c r="G386" s="1" t="str">
        <f>IFERROR(__xludf.DUMMYFUNCTION("""COMPUTED_VALUE"""),"Nuclear Missile")</f>
        <v>Nuclear Missile</v>
      </c>
      <c r="H386" s="73" t="str">
        <f>IFERROR(__xludf.DUMMYFUNCTION("""COMPUTED_VALUE"""),"16-20")</f>
        <v>16-20</v>
      </c>
      <c r="I386" s="1" t="str">
        <f>IFERROR(__xludf.DUMMYFUNCTION("""COMPUTED_VALUE"""),"Treasure Chest Key (Non-Magical)")</f>
        <v>Treasure Chest Key (Non-Magical)</v>
      </c>
      <c r="J386" s="73" t="str">
        <f>IFERROR(__xludf.DUMMYFUNCTION("""COMPUTED_VALUE"""),"21-25")</f>
        <v>21-25</v>
      </c>
      <c r="K386" s="1" t="str">
        <f>IFERROR(__xludf.DUMMYFUNCTION("""COMPUTED_VALUE"""),"Tier 3 Treasure Chest (Non-Magical)")</f>
        <v>Tier 3 Treasure Chest (Non-Magical)</v>
      </c>
      <c r="L386" s="1"/>
      <c r="M386" s="1"/>
      <c r="N386" s="1"/>
      <c r="O386" s="1"/>
      <c r="P386" s="1"/>
      <c r="Q386" s="1"/>
      <c r="R386" s="1"/>
      <c r="S386" s="1"/>
      <c r="T386" s="1"/>
      <c r="U386" s="1"/>
      <c r="V386" s="1"/>
      <c r="W386" s="1"/>
      <c r="X386" s="1"/>
    </row>
    <row r="387" ht="15.75" customHeight="1">
      <c r="A387" s="1" t="str">
        <f>IFERROR(__xludf.DUMMYFUNCTION("""COMPUTED_VALUE"""),"Ghost Ship")</f>
        <v>Ghost Ship</v>
      </c>
      <c r="B387" s="73" t="str">
        <f>IFERROR(__xludf.DUMMYFUNCTION("""COMPUTED_VALUE"""),"1-5")</f>
        <v>1-5</v>
      </c>
      <c r="C387" s="1" t="str">
        <f>IFERROR(__xludf.DUMMYFUNCTION("""COMPUTED_VALUE"""),"Cannon Ball")</f>
        <v>Cannon Ball</v>
      </c>
      <c r="D387" s="73" t="str">
        <f>IFERROR(__xludf.DUMMYFUNCTION("""COMPUTED_VALUE"""),"6-10")</f>
        <v>6-10</v>
      </c>
      <c r="E387" s="1" t="str">
        <f>IFERROR(__xludf.DUMMYFUNCTION("""COMPUTED_VALUE"""),"Spectral Bullet")</f>
        <v>Spectral Bullet</v>
      </c>
      <c r="F387" s="73" t="str">
        <f>IFERROR(__xludf.DUMMYFUNCTION("""COMPUTED_VALUE"""),"11-15")</f>
        <v>11-15</v>
      </c>
      <c r="G387" s="1" t="str">
        <f>IFERROR(__xludf.DUMMYFUNCTION("""COMPUTED_VALUE"""),"500,000G-1,000,000G")</f>
        <v>500,000G-1,000,000G</v>
      </c>
      <c r="H387" s="73" t="str">
        <f>IFERROR(__xludf.DUMMYFUNCTION("""COMPUTED_VALUE"""),"16-20")</f>
        <v>16-20</v>
      </c>
      <c r="I387" s="1" t="str">
        <f>IFERROR(__xludf.DUMMYFUNCTION("""COMPUTED_VALUE"""),"Treasure Chest Key (Non-Magical)")</f>
        <v>Treasure Chest Key (Non-Magical)</v>
      </c>
      <c r="J387" s="73" t="str">
        <f>IFERROR(__xludf.DUMMYFUNCTION("""COMPUTED_VALUE"""),"21-25")</f>
        <v>21-25</v>
      </c>
      <c r="K387" s="1" t="str">
        <f>IFERROR(__xludf.DUMMYFUNCTION("""COMPUTED_VALUE"""),"Tier 2 Treasure Chest (Non-Magical)")</f>
        <v>Tier 2 Treasure Chest (Non-Magical)</v>
      </c>
      <c r="L387" s="1"/>
      <c r="M387" s="1"/>
      <c r="N387" s="1"/>
      <c r="O387" s="1"/>
      <c r="P387" s="1"/>
      <c r="Q387" s="1"/>
      <c r="R387" s="1"/>
      <c r="S387" s="1"/>
      <c r="T387" s="1"/>
      <c r="U387" s="1"/>
      <c r="V387" s="1"/>
      <c r="W387" s="1"/>
      <c r="X387" s="1"/>
    </row>
    <row r="388" ht="15.75" customHeight="1">
      <c r="A388" s="1" t="str">
        <f>IFERROR(__xludf.DUMMYFUNCTION("""COMPUTED_VALUE"""),"Brigantine")</f>
        <v>Brigantine</v>
      </c>
      <c r="B388" s="73" t="str">
        <f>IFERROR(__xludf.DUMMYFUNCTION("""COMPUTED_VALUE"""),"1-5")</f>
        <v>1-5</v>
      </c>
      <c r="C388" s="1" t="str">
        <f>IFERROR(__xludf.DUMMYFUNCTION("""COMPUTED_VALUE"""),"Tier 2 Treasure Chest (Non-Magical)")</f>
        <v>Tier 2 Treasure Chest (Non-Magical)</v>
      </c>
      <c r="D388" s="73" t="str">
        <f>IFERROR(__xludf.DUMMYFUNCTION("""COMPUTED_VALUE"""),"6-10")</f>
        <v>6-10</v>
      </c>
      <c r="E388" s="1" t="str">
        <f>IFERROR(__xludf.DUMMYFUNCTION("""COMPUTED_VALUE"""),"Treasure Chest Key (Non-Magical)")</f>
        <v>Treasure Chest Key (Non-Magical)</v>
      </c>
      <c r="F388" s="73" t="str">
        <f>IFERROR(__xludf.DUMMYFUNCTION("""COMPUTED_VALUE"""),"11-15")</f>
        <v>11-15</v>
      </c>
      <c r="G388" s="1" t="str">
        <f>IFERROR(__xludf.DUMMYFUNCTION("""COMPUTED_VALUE"""),"1,000,000G-20,000,000G")</f>
        <v>1,000,000G-20,000,000G</v>
      </c>
      <c r="H388" s="73" t="str">
        <f>IFERROR(__xludf.DUMMYFUNCTION("""COMPUTED_VALUE"""),"16-20")</f>
        <v>16-20</v>
      </c>
      <c r="I388" s="1" t="str">
        <f>IFERROR(__xludf.DUMMYFUNCTION("""COMPUTED_VALUE"""),"Cannon Ball")</f>
        <v>Cannon Ball</v>
      </c>
      <c r="J388" s="73" t="str">
        <f>IFERROR(__xludf.DUMMYFUNCTION("""COMPUTED_VALUE"""),"21-25")</f>
        <v>21-25</v>
      </c>
      <c r="K388" s="1" t="str">
        <f>IFERROR(__xludf.DUMMYFUNCTION("""COMPUTED_VALUE"""),"Cannon Ball")</f>
        <v>Cannon Ball</v>
      </c>
      <c r="L388" s="1"/>
      <c r="M388" s="1"/>
      <c r="N388" s="1"/>
      <c r="O388" s="1"/>
      <c r="P388" s="1"/>
      <c r="Q388" s="1"/>
      <c r="R388" s="1"/>
      <c r="S388" s="1"/>
      <c r="T388" s="1"/>
      <c r="U388" s="1"/>
      <c r="V388" s="1"/>
      <c r="W388" s="1"/>
      <c r="X388" s="1"/>
    </row>
    <row r="389" ht="15.75" customHeight="1">
      <c r="A389" s="1" t="str">
        <f>IFERROR(__xludf.DUMMYFUNCTION("""COMPUTED_VALUE"""),"Sloop")</f>
        <v>Sloop</v>
      </c>
      <c r="B389" s="73" t="str">
        <f>IFERROR(__xludf.DUMMYFUNCTION("""COMPUTED_VALUE"""),"1-5")</f>
        <v>1-5</v>
      </c>
      <c r="C389" s="1" t="str">
        <f>IFERROR(__xludf.DUMMYFUNCTION("""COMPUTED_VALUE"""),"Tier 1 Treasure Chest (Non-Magical)")</f>
        <v>Tier 1 Treasure Chest (Non-Magical)</v>
      </c>
      <c r="D389" s="73" t="str">
        <f>IFERROR(__xludf.DUMMYFUNCTION("""COMPUTED_VALUE"""),"6-10")</f>
        <v>6-10</v>
      </c>
      <c r="E389" s="1" t="str">
        <f>IFERROR(__xludf.DUMMYFUNCTION("""COMPUTED_VALUE"""),"Treasure Chest Key (Non-Magical)")</f>
        <v>Treasure Chest Key (Non-Magical)</v>
      </c>
      <c r="F389" s="73" t="str">
        <f>IFERROR(__xludf.DUMMYFUNCTION("""COMPUTED_VALUE"""),"11-15")</f>
        <v>11-15</v>
      </c>
      <c r="G389" s="1" t="str">
        <f>IFERROR(__xludf.DUMMYFUNCTION("""COMPUTED_VALUE"""),"20,000,000G-40,000,000G")</f>
        <v>20,000,000G-40,000,000G</v>
      </c>
      <c r="H389" s="73" t="str">
        <f>IFERROR(__xludf.DUMMYFUNCTION("""COMPUTED_VALUE"""),"16-20")</f>
        <v>16-20</v>
      </c>
      <c r="I389" s="1" t="str">
        <f>IFERROR(__xludf.DUMMYFUNCTION("""COMPUTED_VALUE"""),"Cannon Ball")</f>
        <v>Cannon Ball</v>
      </c>
      <c r="J389" s="73" t="str">
        <f>IFERROR(__xludf.DUMMYFUNCTION("""COMPUTED_VALUE"""),"21-25")</f>
        <v>21-25</v>
      </c>
      <c r="K389" s="1" t="str">
        <f>IFERROR(__xludf.DUMMYFUNCTION("""COMPUTED_VALUE"""),"Cannon Ball")</f>
        <v>Cannon Ball</v>
      </c>
      <c r="L389" s="1"/>
      <c r="M389" s="1"/>
      <c r="N389" s="1"/>
      <c r="O389" s="1"/>
      <c r="P389" s="1"/>
      <c r="Q389" s="1"/>
      <c r="R389" s="1"/>
      <c r="S389" s="1"/>
      <c r="T389" s="1"/>
      <c r="U389" s="1"/>
      <c r="V389" s="1"/>
      <c r="W389" s="1"/>
      <c r="X389" s="1"/>
    </row>
    <row r="390" ht="15.75" customHeight="1">
      <c r="A390" s="1" t="str">
        <f>IFERROR(__xludf.DUMMYFUNCTION("""COMPUTED_VALUE"""),"Aircraft Carrier")</f>
        <v>Aircraft Carrier</v>
      </c>
      <c r="B390" s="73" t="str">
        <f>IFERROR(__xludf.DUMMYFUNCTION("""COMPUTED_VALUE"""),"1-5")</f>
        <v>1-5</v>
      </c>
      <c r="C390" s="1" t="str">
        <f>IFERROR(__xludf.DUMMYFUNCTION("""COMPUTED_VALUE"""),"Tier 3 Treasure Chest (Non-Magical)")</f>
        <v>Tier 3 Treasure Chest (Non-Magical)</v>
      </c>
      <c r="D390" s="73" t="str">
        <f>IFERROR(__xludf.DUMMYFUNCTION("""COMPUTED_VALUE"""),"6-10")</f>
        <v>6-10</v>
      </c>
      <c r="E390" s="1" t="str">
        <f>IFERROR(__xludf.DUMMYFUNCTION("""COMPUTED_VALUE"""),"Treasure Chest Key (Non-Magical)")</f>
        <v>Treasure Chest Key (Non-Magical)</v>
      </c>
      <c r="F390" s="73" t="str">
        <f>IFERROR(__xludf.DUMMYFUNCTION("""COMPUTED_VALUE"""),"11-15")</f>
        <v>11-15</v>
      </c>
      <c r="G390" s="1" t="str">
        <f>IFERROR(__xludf.DUMMYFUNCTION("""COMPUTED_VALUE"""),"80,000,000G-100,000,000G")</f>
        <v>80,000,000G-100,000,000G</v>
      </c>
      <c r="H390" s="73" t="str">
        <f>IFERROR(__xludf.DUMMYFUNCTION("""COMPUTED_VALUE"""),"16-20")</f>
        <v>16-20</v>
      </c>
      <c r="I390" s="1" t="str">
        <f>IFERROR(__xludf.DUMMYFUNCTION("""COMPUTED_VALUE"""),"Standard Missile")</f>
        <v>Standard Missile</v>
      </c>
      <c r="J390" s="73" t="str">
        <f>IFERROR(__xludf.DUMMYFUNCTION("""COMPUTED_VALUE"""),"21-25")</f>
        <v>21-25</v>
      </c>
      <c r="K390" s="1" t="str">
        <f>IFERROR(__xludf.DUMMYFUNCTION("""COMPUTED_VALUE"""),"Standard Missile")</f>
        <v>Standard Missile</v>
      </c>
      <c r="L390" s="1"/>
      <c r="M390" s="1"/>
      <c r="N390" s="1"/>
      <c r="O390" s="1"/>
      <c r="P390" s="1"/>
      <c r="Q390" s="1"/>
      <c r="R390" s="1"/>
      <c r="S390" s="1"/>
      <c r="T390" s="1"/>
      <c r="U390" s="1"/>
      <c r="V390" s="1"/>
      <c r="W390" s="1"/>
      <c r="X390" s="1"/>
    </row>
    <row r="391" ht="15.75" customHeight="1">
      <c r="A391" s="1" t="str">
        <f>IFERROR(__xludf.DUMMYFUNCTION("""COMPUTED_VALUE"""),"Ancient Wood Dragon")</f>
        <v>Ancient Wood Dragon</v>
      </c>
      <c r="B391" s="73" t="str">
        <f>IFERROR(__xludf.DUMMYFUNCTION("""COMPUTED_VALUE"""),"1-5")</f>
        <v>1-5</v>
      </c>
      <c r="C391" s="1" t="str">
        <f>IFERROR(__xludf.DUMMYFUNCTION("""COMPUTED_VALUE"""),"Stick of Mystery ")</f>
        <v>Stick of Mystery </v>
      </c>
      <c r="D391" s="73" t="str">
        <f>IFERROR(__xludf.DUMMYFUNCTION("""COMPUTED_VALUE"""),"6-10")</f>
        <v>6-10</v>
      </c>
      <c r="E391" s="1" t="str">
        <f>IFERROR(__xludf.DUMMYFUNCTION("""COMPUTED_VALUE"""),"The Stick of the Panda")</f>
        <v>The Stick of the Panda</v>
      </c>
      <c r="F391" s="73" t="str">
        <f>IFERROR(__xludf.DUMMYFUNCTION("""COMPUTED_VALUE"""),"11-15")</f>
        <v>11-15</v>
      </c>
      <c r="G391" s="1" t="str">
        <f>IFERROR(__xludf.DUMMYFUNCTION("""COMPUTED_VALUE"""),"Common Tree Branch")</f>
        <v>Common Tree Branch</v>
      </c>
      <c r="H391" s="73" t="str">
        <f>IFERROR(__xludf.DUMMYFUNCTION("""COMPUTED_VALUE"""),"16-20")</f>
        <v>16-20</v>
      </c>
      <c r="I391" s="1" t="str">
        <f>IFERROR(__xludf.DUMMYFUNCTION("""COMPUTED_VALUE"""),"Uncommon Tree branch")</f>
        <v>Uncommon Tree branch</v>
      </c>
      <c r="J391" s="73" t="str">
        <f>IFERROR(__xludf.DUMMYFUNCTION("""COMPUTED_VALUE"""),"21-25")</f>
        <v>21-25</v>
      </c>
      <c r="K391" s="1" t="str">
        <f>IFERROR(__xludf.DUMMYFUNCTION("""COMPUTED_VALUE"""),"Dead Forest Branch")</f>
        <v>Dead Forest Branch</v>
      </c>
      <c r="L391" s="1"/>
      <c r="M391" s="1"/>
      <c r="N391" s="1"/>
      <c r="O391" s="1"/>
      <c r="P391" s="1"/>
      <c r="Q391" s="1"/>
      <c r="R391" s="1"/>
      <c r="S391" s="1"/>
      <c r="T391" s="1"/>
      <c r="U391" s="1"/>
      <c r="V391" s="1"/>
      <c r="W391" s="1"/>
      <c r="X391" s="1"/>
    </row>
    <row r="392" ht="15.75" customHeight="1">
      <c r="A392" s="1" t="str">
        <f>IFERROR(__xludf.DUMMYFUNCTION("""COMPUTED_VALUE"""),"Elder Acid Dragon")</f>
        <v>Elder Acid Dragon</v>
      </c>
      <c r="B392" s="73" t="str">
        <f>IFERROR(__xludf.DUMMYFUNCTION("""COMPUTED_VALUE"""),"1-5")</f>
        <v>1-5</v>
      </c>
      <c r="C392" s="1" t="str">
        <f>IFERROR(__xludf.DUMMYFUNCTION("""COMPUTED_VALUE"""),"Poison Dart Gun")</f>
        <v>Poison Dart Gun</v>
      </c>
      <c r="D392" s="73" t="str">
        <f>IFERROR(__xludf.DUMMYFUNCTION("""COMPUTED_VALUE"""),"6-10")</f>
        <v>6-10</v>
      </c>
      <c r="E392" s="1" t="str">
        <f>IFERROR(__xludf.DUMMYFUNCTION("""COMPUTED_VALUE"""),"Poison Tipped Needle")</f>
        <v>Poison Tipped Needle</v>
      </c>
      <c r="F392" s="73" t="str">
        <f>IFERROR(__xludf.DUMMYFUNCTION("""COMPUTED_VALUE"""),"11-15")</f>
        <v>11-15</v>
      </c>
      <c r="G392" s="1" t="str">
        <f>IFERROR(__xludf.DUMMYFUNCTION("""COMPUTED_VALUE"""),"Dragon's Skull")</f>
        <v>Dragon's Skull</v>
      </c>
      <c r="H392" s="73" t="str">
        <f>IFERROR(__xludf.DUMMYFUNCTION("""COMPUTED_VALUE"""),"16-20")</f>
        <v>16-20</v>
      </c>
      <c r="I392" s="1" t="str">
        <f>IFERROR(__xludf.DUMMYFUNCTION("""COMPUTED_VALUE"""),"Broken Sword")</f>
        <v>Broken Sword</v>
      </c>
      <c r="J392" s="73" t="str">
        <f>IFERROR(__xludf.DUMMYFUNCTION("""COMPUTED_VALUE"""),"21-25")</f>
        <v>21-25</v>
      </c>
      <c r="K392" s="1" t="str">
        <f>IFERROR(__xludf.DUMMYFUNCTION("""COMPUTED_VALUE"""),"Nothing")</f>
        <v>Nothing</v>
      </c>
      <c r="L392" s="1"/>
      <c r="M392" s="1"/>
      <c r="N392" s="1"/>
      <c r="O392" s="1"/>
      <c r="P392" s="1"/>
      <c r="Q392" s="1"/>
      <c r="R392" s="1"/>
      <c r="S392" s="1"/>
      <c r="T392" s="1"/>
      <c r="U392" s="1"/>
      <c r="V392" s="1"/>
      <c r="W392" s="1"/>
      <c r="X392" s="1"/>
    </row>
    <row r="393" ht="15.75" customHeight="1">
      <c r="A393" s="1" t="str">
        <f>IFERROR(__xludf.DUMMYFUNCTION("""COMPUTED_VALUE"""),"Elder Water Dragon")</f>
        <v>Elder Water Dragon</v>
      </c>
      <c r="B393" s="73" t="str">
        <f>IFERROR(__xludf.DUMMYFUNCTION("""COMPUTED_VALUE"""),"1-5")</f>
        <v>1-5</v>
      </c>
      <c r="C393" s="1" t="str">
        <f>IFERROR(__xludf.DUMMYFUNCTION("""COMPUTED_VALUE"""),"Nothing")</f>
        <v>Nothing</v>
      </c>
      <c r="D393" s="73" t="str">
        <f>IFERROR(__xludf.DUMMYFUNCTION("""COMPUTED_VALUE"""),"6-10")</f>
        <v>6-10</v>
      </c>
      <c r="E393" s="1" t="str">
        <f>IFERROR(__xludf.DUMMYFUNCTION("""COMPUTED_VALUE"""),"Dragonscale Cape")</f>
        <v>Dragonscale Cape</v>
      </c>
      <c r="F393" s="73" t="str">
        <f>IFERROR(__xludf.DUMMYFUNCTION("""COMPUTED_VALUE"""),"11-15")</f>
        <v>11-15</v>
      </c>
      <c r="G393" s="1" t="str">
        <f>IFERROR(__xludf.DUMMYFUNCTION("""COMPUTED_VALUE"""),"Fossilized Water Dragon Bones")</f>
        <v>Fossilized Water Dragon Bones</v>
      </c>
      <c r="H393" s="73" t="str">
        <f>IFERROR(__xludf.DUMMYFUNCTION("""COMPUTED_VALUE"""),"16-20")</f>
        <v>16-20</v>
      </c>
      <c r="I393" s="1" t="str">
        <f>IFERROR(__xludf.DUMMYFUNCTION("""COMPUTED_VALUE"""),"Nothing")</f>
        <v>Nothing</v>
      </c>
      <c r="J393" s="73" t="str">
        <f>IFERROR(__xludf.DUMMYFUNCTION("""COMPUTED_VALUE"""),"21-25")</f>
        <v>21-25</v>
      </c>
      <c r="K393" s="1" t="str">
        <f>IFERROR(__xludf.DUMMYFUNCTION("""COMPUTED_VALUE"""),"Soul")</f>
        <v>Soul</v>
      </c>
      <c r="L393" s="1"/>
      <c r="M393" s="1"/>
      <c r="N393" s="1"/>
      <c r="O393" s="1"/>
      <c r="P393" s="1"/>
      <c r="Q393" s="1"/>
      <c r="R393" s="1"/>
      <c r="S393" s="1"/>
      <c r="T393" s="1"/>
      <c r="U393" s="1"/>
      <c r="V393" s="1"/>
      <c r="W393" s="1"/>
      <c r="X393" s="1"/>
    </row>
    <row r="394" ht="15.75" customHeight="1">
      <c r="A394" s="1" t="str">
        <f>IFERROR(__xludf.DUMMYFUNCTION("""COMPUTED_VALUE"""),"Elder Astral Dragon")</f>
        <v>Elder Astral Dragon</v>
      </c>
      <c r="B394" s="73" t="str">
        <f>IFERROR(__xludf.DUMMYFUNCTION("""COMPUTED_VALUE"""),"1-5")</f>
        <v>1-5</v>
      </c>
      <c r="C394" s="1" t="str">
        <f>IFERROR(__xludf.DUMMYFUNCTION("""COMPUTED_VALUE"""),"Old Knife")</f>
        <v>Old Knife</v>
      </c>
      <c r="D394" s="73" t="str">
        <f>IFERROR(__xludf.DUMMYFUNCTION("""COMPUTED_VALUE"""),"6-10")</f>
        <v>6-10</v>
      </c>
      <c r="E394" s="1" t="str">
        <f>IFERROR(__xludf.DUMMYFUNCTION("""COMPUTED_VALUE"""),"60,000,000G-80,000,000G")</f>
        <v>60,000,000G-80,000,000G</v>
      </c>
      <c r="F394" s="73" t="str">
        <f>IFERROR(__xludf.DUMMYFUNCTION("""COMPUTED_VALUE"""),"11-15")</f>
        <v>11-15</v>
      </c>
      <c r="G394" s="1" t="str">
        <f>IFERROR(__xludf.DUMMYFUNCTION("""COMPUTED_VALUE"""),"Nothing")</f>
        <v>Nothing</v>
      </c>
      <c r="H394" s="73" t="str">
        <f>IFERROR(__xludf.DUMMYFUNCTION("""COMPUTED_VALUE"""),"16-20")</f>
        <v>16-20</v>
      </c>
      <c r="I394" s="1" t="str">
        <f>IFERROR(__xludf.DUMMYFUNCTION("""COMPUTED_VALUE"""),"Soul")</f>
        <v>Soul</v>
      </c>
      <c r="J394" s="73" t="str">
        <f>IFERROR(__xludf.DUMMYFUNCTION("""COMPUTED_VALUE"""),"21-25")</f>
        <v>21-25</v>
      </c>
      <c r="K394" s="1" t="str">
        <f>IFERROR(__xludf.DUMMYFUNCTION("""COMPUTED_VALUE"""),"Nothing")</f>
        <v>Nothing</v>
      </c>
      <c r="L394" s="1"/>
      <c r="M394" s="1"/>
      <c r="N394" s="1"/>
      <c r="O394" s="1"/>
      <c r="P394" s="1"/>
      <c r="Q394" s="1"/>
      <c r="R394" s="1"/>
      <c r="S394" s="1"/>
      <c r="T394" s="1"/>
      <c r="U394" s="1"/>
      <c r="V394" s="1"/>
      <c r="W394" s="1"/>
      <c r="X394" s="1"/>
    </row>
    <row r="395" ht="15.75" customHeight="1">
      <c r="A395" s="1" t="str">
        <f>IFERROR(__xludf.DUMMYFUNCTION("""COMPUTED_VALUE"""),"Elder Celestial Dragon")</f>
        <v>Elder Celestial Dragon</v>
      </c>
      <c r="B395" s="73" t="str">
        <f>IFERROR(__xludf.DUMMYFUNCTION("""COMPUTED_VALUE"""),"1-5")</f>
        <v>1-5</v>
      </c>
      <c r="C395" s="1" t="str">
        <f>IFERROR(__xludf.DUMMYFUNCTION("""COMPUTED_VALUE"""),"Elemental Scythe")</f>
        <v>Elemental Scythe</v>
      </c>
      <c r="D395" s="73" t="str">
        <f>IFERROR(__xludf.DUMMYFUNCTION("""COMPUTED_VALUE"""),"6-10")</f>
        <v>6-10</v>
      </c>
      <c r="E395" s="1" t="str">
        <f>IFERROR(__xludf.DUMMYFUNCTION("""COMPUTED_VALUE"""),"Draconic Shield")</f>
        <v>Draconic Shield</v>
      </c>
      <c r="F395" s="73" t="str">
        <f>IFERROR(__xludf.DUMMYFUNCTION("""COMPUTED_VALUE"""),"11-15")</f>
        <v>11-15</v>
      </c>
      <c r="G395" s="1" t="str">
        <f>IFERROR(__xludf.DUMMYFUNCTION("""COMPUTED_VALUE"""),"Dragon's Skull")</f>
        <v>Dragon's Skull</v>
      </c>
      <c r="H395" s="73" t="str">
        <f>IFERROR(__xludf.DUMMYFUNCTION("""COMPUTED_VALUE"""),"16-20")</f>
        <v>16-20</v>
      </c>
      <c r="I395" s="1" t="str">
        <f>IFERROR(__xludf.DUMMYFUNCTION("""COMPUTED_VALUE"""),"Nothing")</f>
        <v>Nothing</v>
      </c>
      <c r="J395" s="73" t="str">
        <f>IFERROR(__xludf.DUMMYFUNCTION("""COMPUTED_VALUE"""),"21-25")</f>
        <v>21-25</v>
      </c>
      <c r="K395" s="1" t="str">
        <f>IFERROR(__xludf.DUMMYFUNCTION("""COMPUTED_VALUE"""),"Nothing")</f>
        <v>Nothing</v>
      </c>
      <c r="L395" s="1"/>
      <c r="M395" s="1"/>
      <c r="N395" s="1"/>
      <c r="O395" s="1"/>
      <c r="P395" s="1"/>
      <c r="Q395" s="1"/>
      <c r="R395" s="1"/>
      <c r="S395" s="1"/>
      <c r="T395" s="1"/>
      <c r="U395" s="1"/>
      <c r="V395" s="1"/>
      <c r="W395" s="1"/>
      <c r="X395" s="1"/>
    </row>
    <row r="396" ht="15.75" customHeight="1">
      <c r="A396" s="1" t="str">
        <f>IFERROR(__xludf.DUMMYFUNCTION("""COMPUTED_VALUE"""),"Elder Chaos Dragon")</f>
        <v>Elder Chaos Dragon</v>
      </c>
      <c r="B396" s="73" t="str">
        <f>IFERROR(__xludf.DUMMYFUNCTION("""COMPUTED_VALUE"""),"1-5")</f>
        <v>1-5</v>
      </c>
      <c r="C396" s="1" t="str">
        <f>IFERROR(__xludf.DUMMYFUNCTION("""COMPUTED_VALUE"""),"Dragon scales")</f>
        <v>Dragon scales</v>
      </c>
      <c r="D396" s="73" t="str">
        <f>IFERROR(__xludf.DUMMYFUNCTION("""COMPUTED_VALUE"""),"6-10")</f>
        <v>6-10</v>
      </c>
      <c r="E396" s="1" t="str">
        <f>IFERROR(__xludf.DUMMYFUNCTION("""COMPUTED_VALUE"""),"Gas Grenade")</f>
        <v>Gas Grenade</v>
      </c>
      <c r="F396" s="73" t="str">
        <f>IFERROR(__xludf.DUMMYFUNCTION("""COMPUTED_VALUE"""),"11-15")</f>
        <v>11-15</v>
      </c>
      <c r="G396" s="1" t="str">
        <f>IFERROR(__xludf.DUMMYFUNCTION("""COMPUTED_VALUE"""),"Double Barrel Shotgun")</f>
        <v>Double Barrel Shotgun</v>
      </c>
      <c r="H396" s="73" t="str">
        <f>IFERROR(__xludf.DUMMYFUNCTION("""COMPUTED_VALUE"""),"16-20")</f>
        <v>16-20</v>
      </c>
      <c r="I396" s="1" t="str">
        <f>IFERROR(__xludf.DUMMYFUNCTION("""COMPUTED_VALUE"""),"Nothing")</f>
        <v>Nothing</v>
      </c>
      <c r="J396" s="73" t="str">
        <f>IFERROR(__xludf.DUMMYFUNCTION("""COMPUTED_VALUE"""),"21-25")</f>
        <v>21-25</v>
      </c>
      <c r="K396" s="1" t="str">
        <f>IFERROR(__xludf.DUMMYFUNCTION("""COMPUTED_VALUE"""),"Chaos Sword")</f>
        <v>Chaos Sword</v>
      </c>
      <c r="L396" s="1"/>
      <c r="M396" s="1"/>
      <c r="N396" s="1"/>
      <c r="O396" s="1"/>
      <c r="P396" s="1"/>
      <c r="Q396" s="1"/>
      <c r="R396" s="1"/>
      <c r="S396" s="1"/>
      <c r="T396" s="1"/>
      <c r="U396" s="1"/>
      <c r="V396" s="1"/>
      <c r="W396" s="1"/>
      <c r="X396" s="1"/>
    </row>
    <row r="397" ht="15.75" customHeight="1">
      <c r="A397" s="1" t="str">
        <f>IFERROR(__xludf.DUMMYFUNCTION("""COMPUTED_VALUE"""),"Elder Dark Dragon")</f>
        <v>Elder Dark Dragon</v>
      </c>
      <c r="B397" s="73" t="str">
        <f>IFERROR(__xludf.DUMMYFUNCTION("""COMPUTED_VALUE"""),"1-5")</f>
        <v>1-5</v>
      </c>
      <c r="C397" s="1" t="str">
        <f>IFERROR(__xludf.DUMMYFUNCTION("""COMPUTED_VALUE"""),"Dark Wand")</f>
        <v>Dark Wand</v>
      </c>
      <c r="D397" s="73" t="str">
        <f>IFERROR(__xludf.DUMMYFUNCTION("""COMPUTED_VALUE"""),"6-10")</f>
        <v>6-10</v>
      </c>
      <c r="E397" s="1" t="str">
        <f>IFERROR(__xludf.DUMMYFUNCTION("""COMPUTED_VALUE"""),"Dark Dragonscale Claws")</f>
        <v>Dark Dragonscale Claws</v>
      </c>
      <c r="F397" s="73" t="str">
        <f>IFERROR(__xludf.DUMMYFUNCTION("""COMPUTED_VALUE"""),"11-15")</f>
        <v>11-15</v>
      </c>
      <c r="G397" s="1" t="str">
        <f>IFERROR(__xludf.DUMMYFUNCTION("""COMPUTED_VALUE"""),"Demon Claw")</f>
        <v>Demon Claw</v>
      </c>
      <c r="H397" s="73" t="str">
        <f>IFERROR(__xludf.DUMMYFUNCTION("""COMPUTED_VALUE"""),"16-20")</f>
        <v>16-20</v>
      </c>
      <c r="I397" s="1" t="str">
        <f>IFERROR(__xludf.DUMMYFUNCTION("""COMPUTED_VALUE"""),"Nothing")</f>
        <v>Nothing</v>
      </c>
      <c r="J397" s="73" t="str">
        <f>IFERROR(__xludf.DUMMYFUNCTION("""COMPUTED_VALUE"""),"21-25")</f>
        <v>21-25</v>
      </c>
      <c r="K397" s="1" t="str">
        <f>IFERROR(__xludf.DUMMYFUNCTION("""COMPUTED_VALUE"""),"Nothing")</f>
        <v>Nothing</v>
      </c>
      <c r="L397" s="1"/>
      <c r="M397" s="1"/>
      <c r="N397" s="1"/>
      <c r="O397" s="1"/>
      <c r="P397" s="1"/>
      <c r="Q397" s="1"/>
      <c r="R397" s="1"/>
      <c r="S397" s="1"/>
      <c r="T397" s="1"/>
      <c r="U397" s="1"/>
      <c r="V397" s="1"/>
      <c r="W397" s="1"/>
      <c r="X397" s="1"/>
    </row>
    <row r="398" ht="15.75" customHeight="1">
      <c r="A398" s="1" t="str">
        <f>IFERROR(__xludf.DUMMYFUNCTION("""COMPUTED_VALUE"""),"Elder Delta Dragon")</f>
        <v>Elder Delta Dragon</v>
      </c>
      <c r="B398" s="73" t="str">
        <f>IFERROR(__xludf.DUMMYFUNCTION("""COMPUTED_VALUE"""),"1-5")</f>
        <v>1-5</v>
      </c>
      <c r="C398" s="1" t="str">
        <f>IFERROR(__xludf.DUMMYFUNCTION("""COMPUTED_VALUE"""),"Nothing")</f>
        <v>Nothing</v>
      </c>
      <c r="D398" s="73" t="str">
        <f>IFERROR(__xludf.DUMMYFUNCTION("""COMPUTED_VALUE"""),"6-10")</f>
        <v>6-10</v>
      </c>
      <c r="E398" s="1" t="str">
        <f>IFERROR(__xludf.DUMMYFUNCTION("""COMPUTED_VALUE"""),"Soul")</f>
        <v>Soul</v>
      </c>
      <c r="F398" s="73" t="str">
        <f>IFERROR(__xludf.DUMMYFUNCTION("""COMPUTED_VALUE"""),"11-15")</f>
        <v>11-15</v>
      </c>
      <c r="G398" s="1" t="str">
        <f>IFERROR(__xludf.DUMMYFUNCTION("""COMPUTED_VALUE"""),"Soul")</f>
        <v>Soul</v>
      </c>
      <c r="H398" s="73" t="str">
        <f>IFERROR(__xludf.DUMMYFUNCTION("""COMPUTED_VALUE"""),"16-20")</f>
        <v>16-20</v>
      </c>
      <c r="I398" s="1" t="str">
        <f>IFERROR(__xludf.DUMMYFUNCTION("""COMPUTED_VALUE"""),"Soul")</f>
        <v>Soul</v>
      </c>
      <c r="J398" s="73" t="str">
        <f>IFERROR(__xludf.DUMMYFUNCTION("""COMPUTED_VALUE"""),"21-25")</f>
        <v>21-25</v>
      </c>
      <c r="K398" s="1" t="str">
        <f>IFERROR(__xludf.DUMMYFUNCTION("""COMPUTED_VALUE"""),"Soul")</f>
        <v>Soul</v>
      </c>
      <c r="L398" s="1"/>
      <c r="M398" s="1"/>
      <c r="N398" s="1"/>
      <c r="O398" s="1"/>
      <c r="P398" s="1"/>
      <c r="Q398" s="1"/>
      <c r="R398" s="1"/>
      <c r="S398" s="1"/>
      <c r="T398" s="1"/>
      <c r="U398" s="1"/>
      <c r="V398" s="1"/>
      <c r="W398" s="1"/>
      <c r="X398" s="1"/>
    </row>
    <row r="399" ht="15.75" customHeight="1">
      <c r="A399" s="1" t="str">
        <f>IFERROR(__xludf.DUMMYFUNCTION("""COMPUTED_VALUE"""),"Elder Forest Dragon")</f>
        <v>Elder Forest Dragon</v>
      </c>
      <c r="B399" s="73" t="str">
        <f>IFERROR(__xludf.DUMMYFUNCTION("""COMPUTED_VALUE"""),"1-5")</f>
        <v>1-5</v>
      </c>
      <c r="C399" s="1" t="str">
        <f>IFERROR(__xludf.DUMMYFUNCTION("""COMPUTED_VALUE"""),"Wood")</f>
        <v>Wood</v>
      </c>
      <c r="D399" s="73" t="str">
        <f>IFERROR(__xludf.DUMMYFUNCTION("""COMPUTED_VALUE"""),"6-10")</f>
        <v>6-10</v>
      </c>
      <c r="E399" s="1" t="str">
        <f>IFERROR(__xludf.DUMMYFUNCTION("""COMPUTED_VALUE"""),"Dead Forest Blade")</f>
        <v>Dead Forest Blade</v>
      </c>
      <c r="F399" s="73" t="str">
        <f>IFERROR(__xludf.DUMMYFUNCTION("""COMPUTED_VALUE"""),"11-15")</f>
        <v>11-15</v>
      </c>
      <c r="G399" s="1" t="str">
        <f>IFERROR(__xludf.DUMMYFUNCTION("""COMPUTED_VALUE"""),"Soul")</f>
        <v>Soul</v>
      </c>
      <c r="H399" s="73" t="str">
        <f>IFERROR(__xludf.DUMMYFUNCTION("""COMPUTED_VALUE"""),"16-20")</f>
        <v>16-20</v>
      </c>
      <c r="I399" s="1" t="str">
        <f>IFERROR(__xludf.DUMMYFUNCTION("""COMPUTED_VALUE"""),"Dragonscale Skirt")</f>
        <v>Dragonscale Skirt</v>
      </c>
      <c r="J399" s="73" t="str">
        <f>IFERROR(__xludf.DUMMYFUNCTION("""COMPUTED_VALUE"""),"21-25")</f>
        <v>21-25</v>
      </c>
      <c r="K399" s="1" t="str">
        <f>IFERROR(__xludf.DUMMYFUNCTION("""COMPUTED_VALUE"""),"Nothing")</f>
        <v>Nothing</v>
      </c>
      <c r="L399" s="1"/>
      <c r="M399" s="1"/>
      <c r="N399" s="1"/>
      <c r="O399" s="1"/>
      <c r="P399" s="1"/>
      <c r="Q399" s="1"/>
      <c r="R399" s="1"/>
      <c r="S399" s="1"/>
      <c r="T399" s="1"/>
      <c r="U399" s="1"/>
      <c r="V399" s="1"/>
      <c r="W399" s="1"/>
      <c r="X399" s="1"/>
    </row>
    <row r="400" ht="15.75" customHeight="1">
      <c r="A400" s="1" t="str">
        <f>IFERROR(__xludf.DUMMYFUNCTION("""COMPUTED_VALUE"""),"Elder Frost Dragon")</f>
        <v>Elder Frost Dragon</v>
      </c>
      <c r="B400" s="73" t="str">
        <f>IFERROR(__xludf.DUMMYFUNCTION("""COMPUTED_VALUE"""),"1-5")</f>
        <v>1-5</v>
      </c>
      <c r="C400" s="1" t="str">
        <f>IFERROR(__xludf.DUMMYFUNCTION("""COMPUTED_VALUE"""),"Giant Frost Diamond")</f>
        <v>Giant Frost Diamond</v>
      </c>
      <c r="D400" s="73" t="str">
        <f>IFERROR(__xludf.DUMMYFUNCTION("""COMPUTED_VALUE"""),"6-10")</f>
        <v>6-10</v>
      </c>
      <c r="E400" s="1" t="str">
        <f>IFERROR(__xludf.DUMMYFUNCTION("""COMPUTED_VALUE"""),"Soul")</f>
        <v>Soul</v>
      </c>
      <c r="F400" s="73" t="str">
        <f>IFERROR(__xludf.DUMMYFUNCTION("""COMPUTED_VALUE"""),"11-15")</f>
        <v>11-15</v>
      </c>
      <c r="G400" s="1" t="str">
        <f>IFERROR(__xludf.DUMMYFUNCTION("""COMPUTED_VALUE"""),"60,000,000G-80,000,000G")</f>
        <v>60,000,000G-80,000,000G</v>
      </c>
      <c r="H400" s="73" t="str">
        <f>IFERROR(__xludf.DUMMYFUNCTION("""COMPUTED_VALUE"""),"16-20")</f>
        <v>16-20</v>
      </c>
      <c r="I400" s="1" t="str">
        <f>IFERROR(__xludf.DUMMYFUNCTION("""COMPUTED_VALUE"""),"Dragonian Chestplate")</f>
        <v>Dragonian Chestplate</v>
      </c>
      <c r="J400" s="73" t="str">
        <f>IFERROR(__xludf.DUMMYFUNCTION("""COMPUTED_VALUE"""),"21-25")</f>
        <v>21-25</v>
      </c>
      <c r="K400" s="1" t="str">
        <f>IFERROR(__xludf.DUMMYFUNCTION("""COMPUTED_VALUE"""),"Dragonscale Cape")</f>
        <v>Dragonscale Cape</v>
      </c>
      <c r="L400" s="1"/>
      <c r="M400" s="1"/>
      <c r="N400" s="1"/>
      <c r="O400" s="1"/>
      <c r="P400" s="1"/>
      <c r="Q400" s="1"/>
      <c r="R400" s="1"/>
      <c r="S400" s="1"/>
      <c r="T400" s="1"/>
      <c r="U400" s="1"/>
      <c r="V400" s="1"/>
      <c r="W400" s="1"/>
      <c r="X400" s="1"/>
    </row>
    <row r="401" ht="15.75" customHeight="1">
      <c r="A401" s="1" t="str">
        <f>IFERROR(__xludf.DUMMYFUNCTION("""COMPUTED_VALUE"""),"Elder Soul Dragon")</f>
        <v>Elder Soul Dragon</v>
      </c>
      <c r="B401" s="73" t="str">
        <f>IFERROR(__xludf.DUMMYFUNCTION("""COMPUTED_VALUE"""),"1-5")</f>
        <v>1-5</v>
      </c>
      <c r="C401" s="1" t="str">
        <f>IFERROR(__xludf.DUMMYFUNCTION("""COMPUTED_VALUE"""),"Soul")</f>
        <v>Soul</v>
      </c>
      <c r="D401" s="73" t="str">
        <f>IFERROR(__xludf.DUMMYFUNCTION("""COMPUTED_VALUE"""),"6-10")</f>
        <v>6-10</v>
      </c>
      <c r="E401" s="1" t="str">
        <f>IFERROR(__xludf.DUMMYFUNCTION("""COMPUTED_VALUE"""),"1,000,000G-20,000,000G")</f>
        <v>1,000,000G-20,000,000G</v>
      </c>
      <c r="F401" s="73" t="str">
        <f>IFERROR(__xludf.DUMMYFUNCTION("""COMPUTED_VALUE"""),"11-15")</f>
        <v>11-15</v>
      </c>
      <c r="G401" s="1" t="str">
        <f>IFERROR(__xludf.DUMMYFUNCTION("""COMPUTED_VALUE"""),"Soul")</f>
        <v>Soul</v>
      </c>
      <c r="H401" s="73" t="str">
        <f>IFERROR(__xludf.DUMMYFUNCTION("""COMPUTED_VALUE"""),"16-20")</f>
        <v>16-20</v>
      </c>
      <c r="I401" s="1" t="str">
        <f>IFERROR(__xludf.DUMMYFUNCTION("""COMPUTED_VALUE"""),"1,000,000G-20,000,000G")</f>
        <v>1,000,000G-20,000,000G</v>
      </c>
      <c r="J401" s="73" t="str">
        <f>IFERROR(__xludf.DUMMYFUNCTION("""COMPUTED_VALUE"""),"21-25")</f>
        <v>21-25</v>
      </c>
      <c r="K401" s="1" t="str">
        <f>IFERROR(__xludf.DUMMYFUNCTION("""COMPUTED_VALUE"""),"Draconic Scythe")</f>
        <v>Draconic Scythe</v>
      </c>
      <c r="L401" s="1"/>
      <c r="M401" s="1"/>
      <c r="N401" s="1"/>
      <c r="O401" s="1"/>
      <c r="P401" s="1"/>
      <c r="Q401" s="1"/>
      <c r="R401" s="1"/>
      <c r="S401" s="1"/>
      <c r="T401" s="1"/>
      <c r="U401" s="1"/>
      <c r="V401" s="1"/>
      <c r="W401" s="1"/>
      <c r="X401" s="1"/>
    </row>
    <row r="402" ht="15.75" customHeight="1">
      <c r="A402" s="1" t="str">
        <f>IFERROR(__xludf.DUMMYFUNCTION("""COMPUTED_VALUE"""),"Elder Spirit Dragon")</f>
        <v>Elder Spirit Dragon</v>
      </c>
      <c r="B402" s="73" t="str">
        <f>IFERROR(__xludf.DUMMYFUNCTION("""COMPUTED_VALUE"""),"1-5")</f>
        <v>1-5</v>
      </c>
      <c r="C402" s="1" t="str">
        <f>IFERROR(__xludf.DUMMYFUNCTION("""COMPUTED_VALUE"""),"Soul")</f>
        <v>Soul</v>
      </c>
      <c r="D402" s="73" t="str">
        <f>IFERROR(__xludf.DUMMYFUNCTION("""COMPUTED_VALUE"""),"6-10")</f>
        <v>6-10</v>
      </c>
      <c r="E402" s="1" t="str">
        <f>IFERROR(__xludf.DUMMYFUNCTION("""COMPUTED_VALUE"""),"1,000,000G-20,000,000G")</f>
        <v>1,000,000G-20,000,000G</v>
      </c>
      <c r="F402" s="73" t="str">
        <f>IFERROR(__xludf.DUMMYFUNCTION("""COMPUTED_VALUE"""),"11-15")</f>
        <v>11-15</v>
      </c>
      <c r="G402" s="1" t="str">
        <f>IFERROR(__xludf.DUMMYFUNCTION("""COMPUTED_VALUE"""),"Soul")</f>
        <v>Soul</v>
      </c>
      <c r="H402" s="73" t="str">
        <f>IFERROR(__xludf.DUMMYFUNCTION("""COMPUTED_VALUE"""),"16-20")</f>
        <v>16-20</v>
      </c>
      <c r="I402" s="1" t="str">
        <f>IFERROR(__xludf.DUMMYFUNCTION("""COMPUTED_VALUE"""),"1,000,000G-20,000,000G")</f>
        <v>1,000,000G-20,000,000G</v>
      </c>
      <c r="J402" s="73" t="str">
        <f>IFERROR(__xludf.DUMMYFUNCTION("""COMPUTED_VALUE"""),"21-25")</f>
        <v>21-25</v>
      </c>
      <c r="K402" s="1" t="str">
        <f>IFERROR(__xludf.DUMMYFUNCTION("""COMPUTED_VALUE"""),"Draconic Scythe")</f>
        <v>Draconic Scythe</v>
      </c>
      <c r="L402" s="1"/>
      <c r="M402" s="1"/>
      <c r="N402" s="1"/>
      <c r="O402" s="1"/>
      <c r="P402" s="1"/>
      <c r="Q402" s="1"/>
      <c r="R402" s="1"/>
      <c r="S402" s="1"/>
      <c r="T402" s="1"/>
      <c r="U402" s="1"/>
      <c r="V402" s="1"/>
      <c r="W402" s="1"/>
      <c r="X402" s="1"/>
    </row>
    <row r="403" ht="15.75" customHeight="1">
      <c r="A403" s="1" t="str">
        <f>IFERROR(__xludf.DUMMYFUNCTION("""COMPUTED_VALUE"""),"Elder Stone Dragon")</f>
        <v>Elder Stone Dragon</v>
      </c>
      <c r="B403" s="73" t="str">
        <f>IFERROR(__xludf.DUMMYFUNCTION("""COMPUTED_VALUE"""),"1-5")</f>
        <v>1-5</v>
      </c>
      <c r="C403" s="1" t="str">
        <f>IFERROR(__xludf.DUMMYFUNCTION("""COMPUTED_VALUE"""),"Dragonscale Scythe")</f>
        <v>Dragonscale Scythe</v>
      </c>
      <c r="D403" s="73" t="str">
        <f>IFERROR(__xludf.DUMMYFUNCTION("""COMPUTED_VALUE"""),"6-10")</f>
        <v>6-10</v>
      </c>
      <c r="E403" s="1" t="str">
        <f>IFERROR(__xludf.DUMMYFUNCTION("""COMPUTED_VALUE"""),"60,000,000G-80,000,000G")</f>
        <v>60,000,000G-80,000,000G</v>
      </c>
      <c r="F403" s="73" t="str">
        <f>IFERROR(__xludf.DUMMYFUNCTION("""COMPUTED_VALUE"""),"11-15")</f>
        <v>11-15</v>
      </c>
      <c r="G403" s="1" t="str">
        <f>IFERROR(__xludf.DUMMYFUNCTION("""COMPUTED_VALUE"""),"Soul")</f>
        <v>Soul</v>
      </c>
      <c r="H403" s="73" t="str">
        <f>IFERROR(__xludf.DUMMYFUNCTION("""COMPUTED_VALUE"""),"16-20")</f>
        <v>16-20</v>
      </c>
      <c r="I403" s="1" t="str">
        <f>IFERROR(__xludf.DUMMYFUNCTION("""COMPUTED_VALUE"""),"60,000,000G-80,000,000G")</f>
        <v>60,000,000G-80,000,000G</v>
      </c>
      <c r="J403" s="73" t="str">
        <f>IFERROR(__xludf.DUMMYFUNCTION("""COMPUTED_VALUE"""),"21-25")</f>
        <v>21-25</v>
      </c>
      <c r="K403" s="1" t="str">
        <f>IFERROR(__xludf.DUMMYFUNCTION("""COMPUTED_VALUE"""),"Nothing")</f>
        <v>Nothing</v>
      </c>
      <c r="L403" s="1"/>
      <c r="M403" s="1"/>
      <c r="N403" s="1"/>
      <c r="O403" s="1"/>
      <c r="P403" s="1"/>
      <c r="Q403" s="1"/>
      <c r="R403" s="1"/>
      <c r="S403" s="1"/>
      <c r="T403" s="1"/>
      <c r="U403" s="1"/>
      <c r="V403" s="1"/>
      <c r="W403" s="1"/>
      <c r="X403" s="1"/>
    </row>
    <row r="404" ht="15.75" customHeight="1">
      <c r="A404" s="1"/>
      <c r="B404" s="73" t="str">
        <f>IFERROR(__xludf.DUMMYFUNCTION("""COMPUTED_VALUE"""),"1-5")</f>
        <v>1-5</v>
      </c>
      <c r="C404" s="1"/>
      <c r="D404" s="73" t="str">
        <f>IFERROR(__xludf.DUMMYFUNCTION("""COMPUTED_VALUE"""),"6-10")</f>
        <v>6-10</v>
      </c>
      <c r="E404" s="1"/>
      <c r="F404" s="73" t="str">
        <f>IFERROR(__xludf.DUMMYFUNCTION("""COMPUTED_VALUE"""),"11-15")</f>
        <v>11-15</v>
      </c>
      <c r="G404" s="1"/>
      <c r="H404" s="73" t="str">
        <f>IFERROR(__xludf.DUMMYFUNCTION("""COMPUTED_VALUE"""),"16-20")</f>
        <v>16-20</v>
      </c>
      <c r="I404" s="1"/>
      <c r="J404" s="73" t="str">
        <f>IFERROR(__xludf.DUMMYFUNCTION("""COMPUTED_VALUE"""),"21-25")</f>
        <v>21-25</v>
      </c>
      <c r="K404" s="1"/>
      <c r="L404" s="1"/>
      <c r="M404" s="1"/>
      <c r="N404" s="1"/>
      <c r="O404" s="1"/>
      <c r="P404" s="1"/>
      <c r="Q404" s="1"/>
      <c r="R404" s="1"/>
      <c r="S404" s="1"/>
      <c r="T404" s="1"/>
      <c r="U404" s="1"/>
      <c r="V404" s="1"/>
      <c r="W404" s="1"/>
      <c r="X404" s="1"/>
    </row>
    <row r="405" ht="15.75" customHeight="1">
      <c r="A405" s="1" t="str">
        <f>IFERROR(__xludf.DUMMYFUNCTION("""COMPUTED_VALUE"""),"Elder Fire Dragon")</f>
        <v>Elder Fire Dragon</v>
      </c>
      <c r="B405" s="73" t="str">
        <f>IFERROR(__xludf.DUMMYFUNCTION("""COMPUTED_VALUE"""),"1-5")</f>
        <v>1-5</v>
      </c>
      <c r="C405" s="1" t="str">
        <f>IFERROR(__xludf.DUMMYFUNCTION("""COMPUTED_VALUE"""),"Nothing")</f>
        <v>Nothing</v>
      </c>
      <c r="D405" s="73" t="str">
        <f>IFERROR(__xludf.DUMMYFUNCTION("""COMPUTED_VALUE"""),"6-10")</f>
        <v>6-10</v>
      </c>
      <c r="E405" s="1" t="str">
        <f>IFERROR(__xludf.DUMMYFUNCTION("""COMPUTED_VALUE"""),"Dragonscale Mail")</f>
        <v>Dragonscale Mail</v>
      </c>
      <c r="F405" s="73" t="str">
        <f>IFERROR(__xludf.DUMMYFUNCTION("""COMPUTED_VALUE"""),"11-15")</f>
        <v>11-15</v>
      </c>
      <c r="G405" s="1" t="str">
        <f>IFERROR(__xludf.DUMMYFUNCTION("""COMPUTED_VALUE"""),"Dragonscale Cape")</f>
        <v>Dragonscale Cape</v>
      </c>
      <c r="H405" s="73" t="str">
        <f>IFERROR(__xludf.DUMMYFUNCTION("""COMPUTED_VALUE"""),"16-20")</f>
        <v>16-20</v>
      </c>
      <c r="I405" s="1" t="str">
        <f>IFERROR(__xludf.DUMMYFUNCTION("""COMPUTED_VALUE"""),"Fire Arrow")</f>
        <v>Fire Arrow</v>
      </c>
      <c r="J405" s="73" t="str">
        <f>IFERROR(__xludf.DUMMYFUNCTION("""COMPUTED_VALUE"""),"21-25")</f>
        <v>21-25</v>
      </c>
      <c r="K405" s="1" t="str">
        <f>IFERROR(__xludf.DUMMYFUNCTION("""COMPUTED_VALUE"""),"Nothing")</f>
        <v>Nothing</v>
      </c>
      <c r="L405" s="1"/>
      <c r="M405" s="1"/>
      <c r="N405" s="1"/>
      <c r="O405" s="1"/>
      <c r="P405" s="1"/>
      <c r="Q405" s="1"/>
      <c r="R405" s="1"/>
      <c r="S405" s="1"/>
      <c r="T405" s="1"/>
      <c r="U405" s="1"/>
      <c r="V405" s="1"/>
      <c r="W405" s="1"/>
      <c r="X405" s="1"/>
    </row>
    <row r="406" ht="15.75" customHeight="1">
      <c r="A406" s="1"/>
      <c r="B406" s="73" t="str">
        <f>IFERROR(__xludf.DUMMYFUNCTION("""COMPUTED_VALUE"""),"1-5")</f>
        <v>1-5</v>
      </c>
      <c r="C406" s="1"/>
      <c r="D406" s="73" t="str">
        <f>IFERROR(__xludf.DUMMYFUNCTION("""COMPUTED_VALUE"""),"6-10")</f>
        <v>6-10</v>
      </c>
      <c r="E406" s="1"/>
      <c r="F406" s="73" t="str">
        <f>IFERROR(__xludf.DUMMYFUNCTION("""COMPUTED_VALUE"""),"11-15")</f>
        <v>11-15</v>
      </c>
      <c r="G406" s="1"/>
      <c r="H406" s="73" t="str">
        <f>IFERROR(__xludf.DUMMYFUNCTION("""COMPUTED_VALUE"""),"16-20")</f>
        <v>16-20</v>
      </c>
      <c r="I406" s="1"/>
      <c r="J406" s="73" t="str">
        <f>IFERROR(__xludf.DUMMYFUNCTION("""COMPUTED_VALUE"""),"21-25")</f>
        <v>21-25</v>
      </c>
      <c r="K406" s="1"/>
      <c r="L406" s="1"/>
      <c r="M406" s="1"/>
      <c r="N406" s="1"/>
      <c r="O406" s="1"/>
      <c r="P406" s="1"/>
      <c r="Q406" s="1"/>
      <c r="R406" s="1"/>
      <c r="S406" s="1"/>
      <c r="T406" s="1"/>
      <c r="U406" s="1"/>
      <c r="V406" s="1"/>
      <c r="W406" s="1"/>
      <c r="X406" s="1"/>
    </row>
    <row r="407" ht="15.75" customHeight="1">
      <c r="A407" s="1" t="str">
        <f>IFERROR(__xludf.DUMMYFUNCTION("""COMPUTED_VALUE"""),"Elder Undead Dragon")</f>
        <v>Elder Undead Dragon</v>
      </c>
      <c r="B407" s="73" t="str">
        <f>IFERROR(__xludf.DUMMYFUNCTION("""COMPUTED_VALUE"""),"1-5")</f>
        <v>1-5</v>
      </c>
      <c r="C407" s="1" t="str">
        <f>IFERROR(__xludf.DUMMYFUNCTION("""COMPUTED_VALUE"""),"Dragonscale Charm")</f>
        <v>Dragonscale Charm</v>
      </c>
      <c r="D407" s="73" t="str">
        <f>IFERROR(__xludf.DUMMYFUNCTION("""COMPUTED_VALUE"""),"6-10")</f>
        <v>6-10</v>
      </c>
      <c r="E407" s="1" t="str">
        <f>IFERROR(__xludf.DUMMYFUNCTION("""COMPUTED_VALUE"""),"Dragonscale Sandals")</f>
        <v>Dragonscale Sandals</v>
      </c>
      <c r="F407" s="73" t="str">
        <f>IFERROR(__xludf.DUMMYFUNCTION("""COMPUTED_VALUE"""),"11-15")</f>
        <v>11-15</v>
      </c>
      <c r="G407" s="1" t="str">
        <f>IFERROR(__xludf.DUMMYFUNCTION("""COMPUTED_VALUE"""),"Dragonscale Charm")</f>
        <v>Dragonscale Charm</v>
      </c>
      <c r="H407" s="73" t="str">
        <f>IFERROR(__xludf.DUMMYFUNCTION("""COMPUTED_VALUE"""),"16-20")</f>
        <v>16-20</v>
      </c>
      <c r="I407" s="1" t="str">
        <f>IFERROR(__xludf.DUMMYFUNCTION("""COMPUTED_VALUE"""),"Dragonscale Talisman")</f>
        <v>Dragonscale Talisman</v>
      </c>
      <c r="J407" s="73" t="str">
        <f>IFERROR(__xludf.DUMMYFUNCTION("""COMPUTED_VALUE"""),"21-25")</f>
        <v>21-25</v>
      </c>
      <c r="K407" s="1" t="str">
        <f>IFERROR(__xludf.DUMMYFUNCTION("""COMPUTED_VALUE"""),"Dragonscale Talisman")</f>
        <v>Dragonscale Talisman</v>
      </c>
      <c r="L407" s="1"/>
      <c r="M407" s="1"/>
      <c r="N407" s="1"/>
      <c r="O407" s="1"/>
      <c r="P407" s="1"/>
      <c r="Q407" s="1"/>
      <c r="R407" s="1"/>
      <c r="S407" s="1"/>
      <c r="T407" s="1"/>
      <c r="U407" s="1"/>
      <c r="V407" s="1"/>
      <c r="W407" s="1"/>
      <c r="X407" s="1"/>
    </row>
    <row r="408" ht="15.75" customHeight="1">
      <c r="A408" s="1" t="str">
        <f>IFERROR(__xludf.DUMMYFUNCTION("""COMPUTED_VALUE"""),"Elder Crystal Dragon")</f>
        <v>Elder Crystal Dragon</v>
      </c>
      <c r="B408" s="73" t="str">
        <f>IFERROR(__xludf.DUMMYFUNCTION("""COMPUTED_VALUE"""),"1-5")</f>
        <v>1-5</v>
      </c>
      <c r="C408" s="1" t="str">
        <f>IFERROR(__xludf.DUMMYFUNCTION("""COMPUTED_VALUE"""),"Dragonscale Helm")</f>
        <v>Dragonscale Helm</v>
      </c>
      <c r="D408" s="73" t="str">
        <f>IFERROR(__xludf.DUMMYFUNCTION("""COMPUTED_VALUE"""),"6-10")</f>
        <v>6-10</v>
      </c>
      <c r="E408" s="1" t="str">
        <f>IFERROR(__xludf.DUMMYFUNCTION("""COMPUTED_VALUE"""),"Dragonscale Bracers")</f>
        <v>Dragonscale Bracers</v>
      </c>
      <c r="F408" s="73" t="str">
        <f>IFERROR(__xludf.DUMMYFUNCTION("""COMPUTED_VALUE"""),"11-15")</f>
        <v>11-15</v>
      </c>
      <c r="G408" s="1" t="str">
        <f>IFERROR(__xludf.DUMMYFUNCTION("""COMPUTED_VALUE"""),"Dragonscale Harp")</f>
        <v>Dragonscale Harp</v>
      </c>
      <c r="H408" s="73" t="str">
        <f>IFERROR(__xludf.DUMMYFUNCTION("""COMPUTED_VALUE"""),"16-20")</f>
        <v>16-20</v>
      </c>
      <c r="I408" s="1" t="str">
        <f>IFERROR(__xludf.DUMMYFUNCTION("""COMPUTED_VALUE"""),"Dragonscale Spear")</f>
        <v>Dragonscale Spear</v>
      </c>
      <c r="J408" s="73" t="str">
        <f>IFERROR(__xludf.DUMMYFUNCTION("""COMPUTED_VALUE"""),"21-25")</f>
        <v>21-25</v>
      </c>
      <c r="K408" s="1" t="str">
        <f>IFERROR(__xludf.DUMMYFUNCTION("""COMPUTED_VALUE"""),"Dragonscale Gauntlets")</f>
        <v>Dragonscale Gauntlets</v>
      </c>
      <c r="L408" s="1"/>
      <c r="M408" s="1"/>
      <c r="N408" s="1"/>
      <c r="O408" s="1"/>
      <c r="P408" s="1"/>
      <c r="Q408" s="1"/>
      <c r="R408" s="1"/>
      <c r="S408" s="1"/>
      <c r="T408" s="1"/>
      <c r="U408" s="1"/>
      <c r="V408" s="1"/>
      <c r="W408" s="1"/>
      <c r="X408" s="1"/>
    </row>
    <row r="409" ht="15.75" customHeight="1">
      <c r="A409" s="1" t="str">
        <f>IFERROR(__xludf.DUMMYFUNCTION("""COMPUTED_VALUE"""),"Ancient Acid Dragon")</f>
        <v>Ancient Acid Dragon</v>
      </c>
      <c r="B409" s="73" t="str">
        <f>IFERROR(__xludf.DUMMYFUNCTION("""COMPUTED_VALUE"""),"1-5")</f>
        <v>1-5</v>
      </c>
      <c r="C409" s="1" t="str">
        <f>IFERROR(__xludf.DUMMYFUNCTION("""COMPUTED_VALUE"""),"Dragonscale Crown")</f>
        <v>Dragonscale Crown</v>
      </c>
      <c r="D409" s="73" t="str">
        <f>IFERROR(__xludf.DUMMYFUNCTION("""COMPUTED_VALUE"""),"6-10")</f>
        <v>6-10</v>
      </c>
      <c r="E409" s="1" t="str">
        <f>IFERROR(__xludf.DUMMYFUNCTION("""COMPUTED_VALUE"""),"Dragonscale Rifle")</f>
        <v>Dragonscale Rifle</v>
      </c>
      <c r="F409" s="73" t="str">
        <f>IFERROR(__xludf.DUMMYFUNCTION("""COMPUTED_VALUE"""),"11-15")</f>
        <v>11-15</v>
      </c>
      <c r="G409" s="1" t="str">
        <f>IFERROR(__xludf.DUMMYFUNCTION("""COMPUTED_VALUE"""),"Dragonscale Buckler")</f>
        <v>Dragonscale Buckler</v>
      </c>
      <c r="H409" s="73" t="str">
        <f>IFERROR(__xludf.DUMMYFUNCTION("""COMPUTED_VALUE"""),"16-20")</f>
        <v>16-20</v>
      </c>
      <c r="I409" s="1" t="str">
        <f>IFERROR(__xludf.DUMMYFUNCTION("""COMPUTED_VALUE"""),"Dragonscale of Returns")</f>
        <v>Dragonscale of Returns</v>
      </c>
      <c r="J409" s="73" t="str">
        <f>IFERROR(__xludf.DUMMYFUNCTION("""COMPUTED_VALUE"""),"21-25")</f>
        <v>21-25</v>
      </c>
      <c r="K409" s="1" t="str">
        <f>IFERROR(__xludf.DUMMYFUNCTION("""COMPUTED_VALUE"""),"1,000G-20,000G")</f>
        <v>1,000G-20,000G</v>
      </c>
      <c r="L409" s="1"/>
      <c r="M409" s="1"/>
      <c r="N409" s="1"/>
      <c r="O409" s="1"/>
      <c r="P409" s="1"/>
      <c r="Q409" s="1"/>
      <c r="R409" s="1"/>
      <c r="S409" s="1"/>
      <c r="T409" s="1"/>
      <c r="U409" s="1"/>
      <c r="V409" s="1"/>
      <c r="W409" s="1"/>
      <c r="X409" s="1"/>
    </row>
    <row r="410" ht="15.75" customHeight="1">
      <c r="A410" s="1" t="str">
        <f>IFERROR(__xludf.DUMMYFUNCTION("""COMPUTED_VALUE"""),"Ancient Water Dragon")</f>
        <v>Ancient Water Dragon</v>
      </c>
      <c r="B410" s="73" t="str">
        <f>IFERROR(__xludf.DUMMYFUNCTION("""COMPUTED_VALUE"""),"1-5")</f>
        <v>1-5</v>
      </c>
      <c r="C410" s="1" t="str">
        <f>IFERROR(__xludf.DUMMYFUNCTION("""COMPUTED_VALUE"""),"Soul")</f>
        <v>Soul</v>
      </c>
      <c r="D410" s="73" t="str">
        <f>IFERROR(__xludf.DUMMYFUNCTION("""COMPUTED_VALUE"""),"6-10")</f>
        <v>6-10</v>
      </c>
      <c r="E410" s="1" t="str">
        <f>IFERROR(__xludf.DUMMYFUNCTION("""COMPUTED_VALUE"""),"Nothing")</f>
        <v>Nothing</v>
      </c>
      <c r="F410" s="73" t="str">
        <f>IFERROR(__xludf.DUMMYFUNCTION("""COMPUTED_VALUE"""),"11-15")</f>
        <v>11-15</v>
      </c>
      <c r="G410" s="1" t="str">
        <f>IFERROR(__xludf.DUMMYFUNCTION("""COMPUTED_VALUE"""),"40,000,000G-60,000,000G")</f>
        <v>40,000,000G-60,000,000G</v>
      </c>
      <c r="H410" s="73" t="str">
        <f>IFERROR(__xludf.DUMMYFUNCTION("""COMPUTED_VALUE"""),"16-20")</f>
        <v>16-20</v>
      </c>
      <c r="I410" s="1" t="str">
        <f>IFERROR(__xludf.DUMMYFUNCTION("""COMPUTED_VALUE"""),"Nothing")</f>
        <v>Nothing</v>
      </c>
      <c r="J410" s="73" t="str">
        <f>IFERROR(__xludf.DUMMYFUNCTION("""COMPUTED_VALUE"""),"21-25")</f>
        <v>21-25</v>
      </c>
      <c r="K410" s="1" t="str">
        <f>IFERROR(__xludf.DUMMYFUNCTION("""COMPUTED_VALUE"""),"Fossilized Water Dragon Bones")</f>
        <v>Fossilized Water Dragon Bones</v>
      </c>
      <c r="L410" s="1"/>
      <c r="M410" s="1"/>
      <c r="N410" s="1"/>
      <c r="O410" s="1"/>
      <c r="P410" s="1"/>
      <c r="Q410" s="1"/>
      <c r="R410" s="1"/>
      <c r="S410" s="1"/>
      <c r="T410" s="1"/>
      <c r="U410" s="1"/>
      <c r="V410" s="1"/>
      <c r="W410" s="1"/>
      <c r="X410" s="1"/>
    </row>
    <row r="411" ht="15.75" customHeight="1">
      <c r="A411" s="1" t="str">
        <f>IFERROR(__xludf.DUMMYFUNCTION("""COMPUTED_VALUE"""),"Ancient Astral Dragon")</f>
        <v>Ancient Astral Dragon</v>
      </c>
      <c r="B411" s="73" t="str">
        <f>IFERROR(__xludf.DUMMYFUNCTION("""COMPUTED_VALUE"""),"1-5")</f>
        <v>1-5</v>
      </c>
      <c r="C411" s="1" t="str">
        <f>IFERROR(__xludf.DUMMYFUNCTION("""COMPUTED_VALUE"""),"Dragon Scale Necklace")</f>
        <v>Dragon Scale Necklace</v>
      </c>
      <c r="D411" s="73" t="str">
        <f>IFERROR(__xludf.DUMMYFUNCTION("""COMPUTED_VALUE"""),"6-10")</f>
        <v>6-10</v>
      </c>
      <c r="E411" s="1" t="str">
        <f>IFERROR(__xludf.DUMMYFUNCTION("""COMPUTED_VALUE"""),"Dragon scales")</f>
        <v>Dragon scales</v>
      </c>
      <c r="F411" s="73" t="str">
        <f>IFERROR(__xludf.DUMMYFUNCTION("""COMPUTED_VALUE"""),"11-15")</f>
        <v>11-15</v>
      </c>
      <c r="G411" s="1" t="str">
        <f>IFERROR(__xludf.DUMMYFUNCTION("""COMPUTED_VALUE"""),"Nothing")</f>
        <v>Nothing</v>
      </c>
      <c r="H411" s="73" t="str">
        <f>IFERROR(__xludf.DUMMYFUNCTION("""COMPUTED_VALUE"""),"16-20")</f>
        <v>16-20</v>
      </c>
      <c r="I411" s="1" t="str">
        <f>IFERROR(__xludf.DUMMYFUNCTION("""COMPUTED_VALUE"""),"Soul")</f>
        <v>Soul</v>
      </c>
      <c r="J411" s="73" t="str">
        <f>IFERROR(__xludf.DUMMYFUNCTION("""COMPUTED_VALUE"""),"21-25")</f>
        <v>21-25</v>
      </c>
      <c r="K411" s="1" t="str">
        <f>IFERROR(__xludf.DUMMYFUNCTION("""COMPUTED_VALUE"""),"Soul")</f>
        <v>Soul</v>
      </c>
      <c r="L411" s="1"/>
      <c r="M411" s="1"/>
      <c r="N411" s="1"/>
      <c r="O411" s="1"/>
      <c r="P411" s="1"/>
      <c r="Q411" s="1"/>
      <c r="R411" s="1"/>
      <c r="S411" s="1"/>
      <c r="T411" s="1"/>
      <c r="U411" s="1"/>
      <c r="V411" s="1"/>
      <c r="W411" s="1"/>
      <c r="X411" s="1"/>
    </row>
    <row r="412" ht="15.75" customHeight="1">
      <c r="A412" s="1" t="str">
        <f>IFERROR(__xludf.DUMMYFUNCTION("""COMPUTED_VALUE"""),"Ancient Celestial Dragon")</f>
        <v>Ancient Celestial Dragon</v>
      </c>
      <c r="B412" s="73" t="str">
        <f>IFERROR(__xludf.DUMMYFUNCTION("""COMPUTED_VALUE"""),"1-5")</f>
        <v>1-5</v>
      </c>
      <c r="C412" s="1" t="str">
        <f>IFERROR(__xludf.DUMMYFUNCTION("""COMPUTED_VALUE"""),"Dragon's Skull")</f>
        <v>Dragon's Skull</v>
      </c>
      <c r="D412" s="73" t="str">
        <f>IFERROR(__xludf.DUMMYFUNCTION("""COMPUTED_VALUE"""),"6-10")</f>
        <v>6-10</v>
      </c>
      <c r="E412" s="1" t="str">
        <f>IFERROR(__xludf.DUMMYFUNCTION("""COMPUTED_VALUE"""),"Dragon's Skull")</f>
        <v>Dragon's Skull</v>
      </c>
      <c r="F412" s="73" t="str">
        <f>IFERROR(__xludf.DUMMYFUNCTION("""COMPUTED_VALUE"""),"11-15")</f>
        <v>11-15</v>
      </c>
      <c r="G412" s="1" t="str">
        <f>IFERROR(__xludf.DUMMYFUNCTION("""COMPUTED_VALUE"""),"Nothing")</f>
        <v>Nothing</v>
      </c>
      <c r="H412" s="73" t="str">
        <f>IFERROR(__xludf.DUMMYFUNCTION("""COMPUTED_VALUE"""),"16-20")</f>
        <v>16-20</v>
      </c>
      <c r="I412" s="1" t="str">
        <f>IFERROR(__xludf.DUMMYFUNCTION("""COMPUTED_VALUE"""),"Draconic Shield")</f>
        <v>Draconic Shield</v>
      </c>
      <c r="J412" s="73" t="str">
        <f>IFERROR(__xludf.DUMMYFUNCTION("""COMPUTED_VALUE"""),"21-25")</f>
        <v>21-25</v>
      </c>
      <c r="K412" s="1" t="str">
        <f>IFERROR(__xludf.DUMMYFUNCTION("""COMPUTED_VALUE"""),"Soul")</f>
        <v>Soul</v>
      </c>
      <c r="L412" s="1"/>
      <c r="M412" s="1"/>
      <c r="N412" s="1"/>
      <c r="O412" s="1"/>
      <c r="P412" s="1"/>
      <c r="Q412" s="1"/>
      <c r="R412" s="1"/>
      <c r="S412" s="1"/>
      <c r="T412" s="1"/>
      <c r="U412" s="1"/>
      <c r="V412" s="1"/>
      <c r="W412" s="1"/>
      <c r="X412" s="1"/>
    </row>
    <row r="413" ht="15.75" customHeight="1">
      <c r="A413" s="1" t="str">
        <f>IFERROR(__xludf.DUMMYFUNCTION("""COMPUTED_VALUE"""),"Ancient Chaos Dragon")</f>
        <v>Ancient Chaos Dragon</v>
      </c>
      <c r="B413" s="73" t="str">
        <f>IFERROR(__xludf.DUMMYFUNCTION("""COMPUTED_VALUE"""),"1-5")</f>
        <v>1-5</v>
      </c>
      <c r="C413" s="1" t="str">
        <f>IFERROR(__xludf.DUMMYFUNCTION("""COMPUTED_VALUE"""),"Ring o' Insanity and Chaos")</f>
        <v>Ring o' Insanity and Chaos</v>
      </c>
      <c r="D413" s="73" t="str">
        <f>IFERROR(__xludf.DUMMYFUNCTION("""COMPUTED_VALUE"""),"6-10")</f>
        <v>6-10</v>
      </c>
      <c r="E413" s="1" t="str">
        <f>IFERROR(__xludf.DUMMYFUNCTION("""COMPUTED_VALUE"""),"Chaos Bullet")</f>
        <v>Chaos Bullet</v>
      </c>
      <c r="F413" s="73" t="str">
        <f>IFERROR(__xludf.DUMMYFUNCTION("""COMPUTED_VALUE"""),"11-15")</f>
        <v>11-15</v>
      </c>
      <c r="G413" s="1" t="str">
        <f>IFERROR(__xludf.DUMMYFUNCTION("""COMPUTED_VALUE"""),"Nothing")</f>
        <v>Nothing</v>
      </c>
      <c r="H413" s="73" t="str">
        <f>IFERROR(__xludf.DUMMYFUNCTION("""COMPUTED_VALUE"""),"16-20")</f>
        <v>16-20</v>
      </c>
      <c r="I413" s="1" t="str">
        <f>IFERROR(__xludf.DUMMYFUNCTION("""COMPUTED_VALUE"""),"Soul")</f>
        <v>Soul</v>
      </c>
      <c r="J413" s="73" t="str">
        <f>IFERROR(__xludf.DUMMYFUNCTION("""COMPUTED_VALUE"""),"21-25")</f>
        <v>21-25</v>
      </c>
      <c r="K413" s="1" t="str">
        <f>IFERROR(__xludf.DUMMYFUNCTION("""COMPUTED_VALUE"""),"Soul")</f>
        <v>Soul</v>
      </c>
      <c r="L413" s="1"/>
      <c r="M413" s="1"/>
      <c r="N413" s="1"/>
      <c r="O413" s="1"/>
      <c r="P413" s="1"/>
      <c r="Q413" s="1"/>
      <c r="R413" s="1"/>
      <c r="S413" s="1"/>
      <c r="T413" s="1"/>
      <c r="U413" s="1"/>
      <c r="V413" s="1"/>
      <c r="W413" s="1"/>
      <c r="X413" s="1"/>
    </row>
    <row r="414" ht="15.75" customHeight="1">
      <c r="A414" s="1" t="str">
        <f>IFERROR(__xludf.DUMMYFUNCTION("""COMPUTED_VALUE"""),"Ancient Dark Dragon")</f>
        <v>Ancient Dark Dragon</v>
      </c>
      <c r="B414" s="73" t="str">
        <f>IFERROR(__xludf.DUMMYFUNCTION("""COMPUTED_VALUE"""),"1-5")</f>
        <v>1-5</v>
      </c>
      <c r="C414" s="1" t="str">
        <f>IFERROR(__xludf.DUMMYFUNCTION("""COMPUTED_VALUE"""),"Ring of Darkness")</f>
        <v>Ring of Darkness</v>
      </c>
      <c r="D414" s="73" t="str">
        <f>IFERROR(__xludf.DUMMYFUNCTION("""COMPUTED_VALUE"""),"6-10")</f>
        <v>6-10</v>
      </c>
      <c r="E414" s="1" t="str">
        <f>IFERROR(__xludf.DUMMYFUNCTION("""COMPUTED_VALUE"""),"Nothing")</f>
        <v>Nothing</v>
      </c>
      <c r="F414" s="73" t="str">
        <f>IFERROR(__xludf.DUMMYFUNCTION("""COMPUTED_VALUE"""),"11-15")</f>
        <v>11-15</v>
      </c>
      <c r="G414" s="1" t="str">
        <f>IFERROR(__xludf.DUMMYFUNCTION("""COMPUTED_VALUE"""),"Soul")</f>
        <v>Soul</v>
      </c>
      <c r="H414" s="73" t="str">
        <f>IFERROR(__xludf.DUMMYFUNCTION("""COMPUTED_VALUE"""),"16-20")</f>
        <v>16-20</v>
      </c>
      <c r="I414" s="1" t="str">
        <f>IFERROR(__xludf.DUMMYFUNCTION("""COMPUTED_VALUE"""),"Dark Dragonscale Claws")</f>
        <v>Dark Dragonscale Claws</v>
      </c>
      <c r="J414" s="73" t="str">
        <f>IFERROR(__xludf.DUMMYFUNCTION("""COMPUTED_VALUE"""),"21-25")</f>
        <v>21-25</v>
      </c>
      <c r="K414" s="1" t="str">
        <f>IFERROR(__xludf.DUMMYFUNCTION("""COMPUTED_VALUE"""),"Nothing")</f>
        <v>Nothing</v>
      </c>
      <c r="L414" s="1"/>
      <c r="M414" s="1"/>
      <c r="N414" s="1"/>
      <c r="O414" s="1"/>
      <c r="P414" s="1"/>
      <c r="Q414" s="1"/>
      <c r="R414" s="1"/>
      <c r="S414" s="1"/>
      <c r="T414" s="1"/>
      <c r="U414" s="1"/>
      <c r="V414" s="1"/>
      <c r="W414" s="1"/>
      <c r="X414" s="1"/>
    </row>
    <row r="415" ht="15.75" customHeight="1">
      <c r="A415" s="1" t="str">
        <f>IFERROR(__xludf.DUMMYFUNCTION("""COMPUTED_VALUE"""),"Ancient Delta Dragon")</f>
        <v>Ancient Delta Dragon</v>
      </c>
      <c r="B415" s="73" t="str">
        <f>IFERROR(__xludf.DUMMYFUNCTION("""COMPUTED_VALUE"""),"1-5")</f>
        <v>1-5</v>
      </c>
      <c r="C415" s="1" t="str">
        <f>IFERROR(__xludf.DUMMYFUNCTION("""COMPUTED_VALUE"""),"Nothing")</f>
        <v>Nothing</v>
      </c>
      <c r="D415" s="73" t="str">
        <f>IFERROR(__xludf.DUMMYFUNCTION("""COMPUTED_VALUE"""),"6-10")</f>
        <v>6-10</v>
      </c>
      <c r="E415" s="1" t="str">
        <f>IFERROR(__xludf.DUMMYFUNCTION("""COMPUTED_VALUE"""),"Soul")</f>
        <v>Soul</v>
      </c>
      <c r="F415" s="73" t="str">
        <f>IFERROR(__xludf.DUMMYFUNCTION("""COMPUTED_VALUE"""),"11-15")</f>
        <v>11-15</v>
      </c>
      <c r="G415" s="1" t="str">
        <f>IFERROR(__xludf.DUMMYFUNCTION("""COMPUTED_VALUE"""),"20,000,000G-40,000,000G")</f>
        <v>20,000,000G-40,000,000G</v>
      </c>
      <c r="H415" s="73" t="str">
        <f>IFERROR(__xludf.DUMMYFUNCTION("""COMPUTED_VALUE"""),"16-20")</f>
        <v>16-20</v>
      </c>
      <c r="I415" s="1" t="str">
        <f>IFERROR(__xludf.DUMMYFUNCTION("""COMPUTED_VALUE"""),"100,000,000G-500,000,000G")</f>
        <v>100,000,000G-500,000,000G</v>
      </c>
      <c r="J415" s="73" t="str">
        <f>IFERROR(__xludf.DUMMYFUNCTION("""COMPUTED_VALUE"""),"21-25")</f>
        <v>21-25</v>
      </c>
      <c r="K415" s="1" t="str">
        <f>IFERROR(__xludf.DUMMYFUNCTION("""COMPUTED_VALUE"""),"80,000,000G-100,000,000G")</f>
        <v>80,000,000G-100,000,000G</v>
      </c>
      <c r="L415" s="1"/>
      <c r="M415" s="1"/>
      <c r="N415" s="1"/>
      <c r="O415" s="1"/>
      <c r="P415" s="1"/>
      <c r="Q415" s="1"/>
      <c r="R415" s="1"/>
      <c r="S415" s="1"/>
      <c r="T415" s="1"/>
      <c r="U415" s="1"/>
      <c r="V415" s="1"/>
      <c r="W415" s="1"/>
      <c r="X415" s="1"/>
    </row>
    <row r="416" ht="15.75" customHeight="1">
      <c r="A416" s="1" t="str">
        <f>IFERROR(__xludf.DUMMYFUNCTION("""COMPUTED_VALUE"""),"Ancient Forest Dragon")</f>
        <v>Ancient Forest Dragon</v>
      </c>
      <c r="B416" s="73" t="str">
        <f>IFERROR(__xludf.DUMMYFUNCTION("""COMPUTED_VALUE"""),"1-5")</f>
        <v>1-5</v>
      </c>
      <c r="C416" s="1" t="str">
        <f>IFERROR(__xludf.DUMMYFUNCTION("""COMPUTED_VALUE"""),"Dead Forest Blade")</f>
        <v>Dead Forest Blade</v>
      </c>
      <c r="D416" s="73" t="str">
        <f>IFERROR(__xludf.DUMMYFUNCTION("""COMPUTED_VALUE"""),"6-10")</f>
        <v>6-10</v>
      </c>
      <c r="E416" s="1" t="str">
        <f>IFERROR(__xludf.DUMMYFUNCTION("""COMPUTED_VALUE"""),"Soul")</f>
        <v>Soul</v>
      </c>
      <c r="F416" s="73" t="str">
        <f>IFERROR(__xludf.DUMMYFUNCTION("""COMPUTED_VALUE"""),"11-15")</f>
        <v>11-15</v>
      </c>
      <c r="G416" s="1" t="str">
        <f>IFERROR(__xludf.DUMMYFUNCTION("""COMPUTED_VALUE"""),"Cursed Blade")</f>
        <v>Cursed Blade</v>
      </c>
      <c r="H416" s="73" t="str">
        <f>IFERROR(__xludf.DUMMYFUNCTION("""COMPUTED_VALUE"""),"16-20")</f>
        <v>16-20</v>
      </c>
      <c r="I416" s="1" t="str">
        <f>IFERROR(__xludf.DUMMYFUNCTION("""COMPUTED_VALUE"""),"Soul")</f>
        <v>Soul</v>
      </c>
      <c r="J416" s="73" t="str">
        <f>IFERROR(__xludf.DUMMYFUNCTION("""COMPUTED_VALUE"""),"21-25")</f>
        <v>21-25</v>
      </c>
      <c r="K416" s="1" t="str">
        <f>IFERROR(__xludf.DUMMYFUNCTION("""COMPUTED_VALUE"""),"Nothing")</f>
        <v>Nothing</v>
      </c>
      <c r="L416" s="1"/>
      <c r="M416" s="1"/>
      <c r="N416" s="1"/>
      <c r="O416" s="1"/>
      <c r="P416" s="1"/>
      <c r="Q416" s="1"/>
      <c r="R416" s="1"/>
      <c r="S416" s="1"/>
      <c r="T416" s="1"/>
      <c r="U416" s="1"/>
      <c r="V416" s="1"/>
      <c r="W416" s="1"/>
      <c r="X416" s="1"/>
    </row>
    <row r="417" ht="15.75" customHeight="1">
      <c r="A417" s="1" t="str">
        <f>IFERROR(__xludf.DUMMYFUNCTION("""COMPUTED_VALUE"""),"Ancient Frost Dragon")</f>
        <v>Ancient Frost Dragon</v>
      </c>
      <c r="B417" s="73" t="str">
        <f>IFERROR(__xludf.DUMMYFUNCTION("""COMPUTED_VALUE"""),"1-5")</f>
        <v>1-5</v>
      </c>
      <c r="C417" s="1" t="str">
        <f>IFERROR(__xludf.DUMMYFUNCTION("""COMPUTED_VALUE"""),"Nothing")</f>
        <v>Nothing</v>
      </c>
      <c r="D417" s="73" t="str">
        <f>IFERROR(__xludf.DUMMYFUNCTION("""COMPUTED_VALUE"""),"6-10")</f>
        <v>6-10</v>
      </c>
      <c r="E417" s="1" t="str">
        <f>IFERROR(__xludf.DUMMYFUNCTION("""COMPUTED_VALUE"""),"Ice bomb")</f>
        <v>Ice bomb</v>
      </c>
      <c r="F417" s="73" t="str">
        <f>IFERROR(__xludf.DUMMYFUNCTION("""COMPUTED_VALUE"""),"11-15")</f>
        <v>11-15</v>
      </c>
      <c r="G417" s="1" t="str">
        <f>IFERROR(__xludf.DUMMYFUNCTION("""COMPUTED_VALUE"""),"Wine")</f>
        <v>Wine</v>
      </c>
      <c r="H417" s="73" t="str">
        <f>IFERROR(__xludf.DUMMYFUNCTION("""COMPUTED_VALUE"""),"16-20")</f>
        <v>16-20</v>
      </c>
      <c r="I417" s="1" t="str">
        <f>IFERROR(__xludf.DUMMYFUNCTION("""COMPUTED_VALUE"""),"Soul")</f>
        <v>Soul</v>
      </c>
      <c r="J417" s="73" t="str">
        <f>IFERROR(__xludf.DUMMYFUNCTION("""COMPUTED_VALUE"""),"21-25")</f>
        <v>21-25</v>
      </c>
      <c r="K417" s="1" t="str">
        <f>IFERROR(__xludf.DUMMYFUNCTION("""COMPUTED_VALUE"""),"Nothing")</f>
        <v>Nothing</v>
      </c>
      <c r="L417" s="1"/>
      <c r="M417" s="1"/>
      <c r="N417" s="1"/>
      <c r="O417" s="1"/>
      <c r="P417" s="1"/>
      <c r="Q417" s="1"/>
      <c r="R417" s="1"/>
      <c r="S417" s="1"/>
      <c r="T417" s="1"/>
      <c r="U417" s="1"/>
      <c r="V417" s="1"/>
      <c r="W417" s="1"/>
      <c r="X417" s="1"/>
    </row>
    <row r="418" ht="15.75" customHeight="1">
      <c r="A418" s="1" t="str">
        <f>IFERROR(__xludf.DUMMYFUNCTION("""COMPUTED_VALUE"""),"Ancient Soul Dragon")</f>
        <v>Ancient Soul Dragon</v>
      </c>
      <c r="B418" s="73" t="str">
        <f>IFERROR(__xludf.DUMMYFUNCTION("""COMPUTED_VALUE"""),"1-5")</f>
        <v>1-5</v>
      </c>
      <c r="C418" s="1" t="str">
        <f>IFERROR(__xludf.DUMMYFUNCTION("""COMPUTED_VALUE"""),"Soul")</f>
        <v>Soul</v>
      </c>
      <c r="D418" s="73" t="str">
        <f>IFERROR(__xludf.DUMMYFUNCTION("""COMPUTED_VALUE"""),"6-10")</f>
        <v>6-10</v>
      </c>
      <c r="E418" s="1"/>
      <c r="F418" s="73" t="str">
        <f>IFERROR(__xludf.DUMMYFUNCTION("""COMPUTED_VALUE"""),"11-15")</f>
        <v>11-15</v>
      </c>
      <c r="G418" s="1" t="str">
        <f>IFERROR(__xludf.DUMMYFUNCTION("""COMPUTED_VALUE"""),"Soul")</f>
        <v>Soul</v>
      </c>
      <c r="H418" s="73" t="str">
        <f>IFERROR(__xludf.DUMMYFUNCTION("""COMPUTED_VALUE"""),"16-20")</f>
        <v>16-20</v>
      </c>
      <c r="I418" s="1" t="str">
        <f>IFERROR(__xludf.DUMMYFUNCTION("""COMPUTED_VALUE"""),"1,000,000G-20,000,000G")</f>
        <v>1,000,000G-20,000,000G</v>
      </c>
      <c r="J418" s="73" t="str">
        <f>IFERROR(__xludf.DUMMYFUNCTION("""COMPUTED_VALUE"""),"21-25")</f>
        <v>21-25</v>
      </c>
      <c r="K418" s="1"/>
      <c r="L418" s="1"/>
      <c r="M418" s="1"/>
      <c r="N418" s="1"/>
      <c r="O418" s="1"/>
      <c r="P418" s="1"/>
      <c r="Q418" s="1"/>
      <c r="R418" s="1"/>
      <c r="S418" s="1"/>
      <c r="T418" s="1"/>
      <c r="U418" s="1"/>
      <c r="V418" s="1"/>
      <c r="W418" s="1"/>
      <c r="X418" s="1"/>
    </row>
    <row r="419" ht="15.75" customHeight="1">
      <c r="A419" s="1" t="str">
        <f>IFERROR(__xludf.DUMMYFUNCTION("""COMPUTED_VALUE"""),"Ancient Spirit Dragon")</f>
        <v>Ancient Spirit Dragon</v>
      </c>
      <c r="B419" s="73" t="str">
        <f>IFERROR(__xludf.DUMMYFUNCTION("""COMPUTED_VALUE"""),"1-5")</f>
        <v>1-5</v>
      </c>
      <c r="C419" s="1" t="str">
        <f>IFERROR(__xludf.DUMMYFUNCTION("""COMPUTED_VALUE"""),"1,000,000G-20,000,000G")</f>
        <v>1,000,000G-20,000,000G</v>
      </c>
      <c r="D419" s="73" t="str">
        <f>IFERROR(__xludf.DUMMYFUNCTION("""COMPUTED_VALUE"""),"6-10")</f>
        <v>6-10</v>
      </c>
      <c r="E419" s="1" t="str">
        <f>IFERROR(__xludf.DUMMYFUNCTION("""COMPUTED_VALUE"""),"Spirit Blade")</f>
        <v>Spirit Blade</v>
      </c>
      <c r="F419" s="73" t="str">
        <f>IFERROR(__xludf.DUMMYFUNCTION("""COMPUTED_VALUE"""),"11-15")</f>
        <v>11-15</v>
      </c>
      <c r="G419" s="1" t="str">
        <f>IFERROR(__xludf.DUMMYFUNCTION("""COMPUTED_VALUE"""),"Spirit Shield")</f>
        <v>Spirit Shield</v>
      </c>
      <c r="H419" s="73" t="str">
        <f>IFERROR(__xludf.DUMMYFUNCTION("""COMPUTED_VALUE"""),"16-20")</f>
        <v>16-20</v>
      </c>
      <c r="I419" s="1" t="str">
        <f>IFERROR(__xludf.DUMMYFUNCTION("""COMPUTED_VALUE"""),"80,000,000G-100,000,000G")</f>
        <v>80,000,000G-100,000,000G</v>
      </c>
      <c r="J419" s="73" t="str">
        <f>IFERROR(__xludf.DUMMYFUNCTION("""COMPUTED_VALUE"""),"21-25")</f>
        <v>21-25</v>
      </c>
      <c r="K419" s="1" t="str">
        <f>IFERROR(__xludf.DUMMYFUNCTION("""COMPUTED_VALUE"""),"Nothing")</f>
        <v>Nothing</v>
      </c>
      <c r="L419" s="1"/>
      <c r="M419" s="1"/>
      <c r="N419" s="1"/>
      <c r="O419" s="1"/>
      <c r="P419" s="1"/>
      <c r="Q419" s="1"/>
      <c r="R419" s="1"/>
      <c r="S419" s="1"/>
      <c r="T419" s="1"/>
      <c r="U419" s="1"/>
      <c r="V419" s="1"/>
      <c r="W419" s="1"/>
      <c r="X419" s="1"/>
    </row>
    <row r="420" ht="15.75" customHeight="1">
      <c r="A420" s="1" t="str">
        <f>IFERROR(__xludf.DUMMYFUNCTION("""COMPUTED_VALUE"""),"Ancient Stone Dragon")</f>
        <v>Ancient Stone Dragon</v>
      </c>
      <c r="B420" s="73" t="str">
        <f>IFERROR(__xludf.DUMMYFUNCTION("""COMPUTED_VALUE"""),"1-5")</f>
        <v>1-5</v>
      </c>
      <c r="C420" s="1" t="str">
        <f>IFERROR(__xludf.DUMMYFUNCTION("""COMPUTED_VALUE"""),"Nothing")</f>
        <v>Nothing</v>
      </c>
      <c r="D420" s="73" t="str">
        <f>IFERROR(__xludf.DUMMYFUNCTION("""COMPUTED_VALUE"""),"6-10")</f>
        <v>6-10</v>
      </c>
      <c r="E420" s="1" t="str">
        <f>IFERROR(__xludf.DUMMYFUNCTION("""COMPUTED_VALUE"""),"Nothing")</f>
        <v>Nothing</v>
      </c>
      <c r="F420" s="73" t="str">
        <f>IFERROR(__xludf.DUMMYFUNCTION("""COMPUTED_VALUE"""),"11-15")</f>
        <v>11-15</v>
      </c>
      <c r="G420" s="1" t="str">
        <f>IFERROR(__xludf.DUMMYFUNCTION("""COMPUTED_VALUE"""),"Soul")</f>
        <v>Soul</v>
      </c>
      <c r="H420" s="73" t="str">
        <f>IFERROR(__xludf.DUMMYFUNCTION("""COMPUTED_VALUE"""),"16-20")</f>
        <v>16-20</v>
      </c>
      <c r="I420" s="1" t="str">
        <f>IFERROR(__xludf.DUMMYFUNCTION("""COMPUTED_VALUE"""),"Nothing")</f>
        <v>Nothing</v>
      </c>
      <c r="J420" s="73" t="str">
        <f>IFERROR(__xludf.DUMMYFUNCTION("""COMPUTED_VALUE"""),"21-25")</f>
        <v>21-25</v>
      </c>
      <c r="K420" s="1" t="str">
        <f>IFERROR(__xludf.DUMMYFUNCTION("""COMPUTED_VALUE"""),"Stone")</f>
        <v>Stone</v>
      </c>
      <c r="L420" s="1"/>
      <c r="M420" s="1"/>
      <c r="N420" s="1"/>
      <c r="O420" s="1"/>
      <c r="P420" s="1"/>
      <c r="Q420" s="1"/>
      <c r="R420" s="1"/>
      <c r="S420" s="1"/>
      <c r="T420" s="1"/>
      <c r="U420" s="1"/>
      <c r="V420" s="1"/>
      <c r="W420" s="1"/>
      <c r="X420" s="1"/>
    </row>
    <row r="421" ht="15.75" customHeight="1">
      <c r="A421" s="1"/>
      <c r="B421" s="73" t="str">
        <f>IFERROR(__xludf.DUMMYFUNCTION("""COMPUTED_VALUE"""),"1-5")</f>
        <v>1-5</v>
      </c>
      <c r="C421" s="1"/>
      <c r="D421" s="73" t="str">
        <f>IFERROR(__xludf.DUMMYFUNCTION("""COMPUTED_VALUE"""),"6-10")</f>
        <v>6-10</v>
      </c>
      <c r="E421" s="1"/>
      <c r="F421" s="73" t="str">
        <f>IFERROR(__xludf.DUMMYFUNCTION("""COMPUTED_VALUE"""),"11-15")</f>
        <v>11-15</v>
      </c>
      <c r="G421" s="1"/>
      <c r="H421" s="73" t="str">
        <f>IFERROR(__xludf.DUMMYFUNCTION("""COMPUTED_VALUE"""),"16-20")</f>
        <v>16-20</v>
      </c>
      <c r="I421" s="1"/>
      <c r="J421" s="73" t="str">
        <f>IFERROR(__xludf.DUMMYFUNCTION("""COMPUTED_VALUE"""),"21-25")</f>
        <v>21-25</v>
      </c>
      <c r="K421" s="1"/>
      <c r="L421" s="1"/>
      <c r="M421" s="1"/>
      <c r="N421" s="1"/>
      <c r="O421" s="1"/>
      <c r="P421" s="1"/>
      <c r="Q421" s="1"/>
      <c r="R421" s="1"/>
      <c r="S421" s="1"/>
      <c r="T421" s="1"/>
      <c r="U421" s="1"/>
      <c r="V421" s="1"/>
      <c r="W421" s="1"/>
      <c r="X421" s="1"/>
    </row>
    <row r="422" ht="15.75" customHeight="1">
      <c r="A422" s="1" t="str">
        <f>IFERROR(__xludf.DUMMYFUNCTION("""COMPUTED_VALUE"""),"Ancient Fire Dragon")</f>
        <v>Ancient Fire Dragon</v>
      </c>
      <c r="B422" s="73" t="str">
        <f>IFERROR(__xludf.DUMMYFUNCTION("""COMPUTED_VALUE"""),"1-5")</f>
        <v>1-5</v>
      </c>
      <c r="C422" s="1" t="str">
        <f>IFERROR(__xludf.DUMMYFUNCTION("""COMPUTED_VALUE"""),"Searing Dragonscale Staff")</f>
        <v>Searing Dragonscale Staff</v>
      </c>
      <c r="D422" s="73" t="str">
        <f>IFERROR(__xludf.DUMMYFUNCTION("""COMPUTED_VALUE"""),"6-10")</f>
        <v>6-10</v>
      </c>
      <c r="E422" s="1" t="str">
        <f>IFERROR(__xludf.DUMMYFUNCTION("""COMPUTED_VALUE"""),"Fire Dragonscale Bow")</f>
        <v>Fire Dragonscale Bow</v>
      </c>
      <c r="F422" s="73" t="str">
        <f>IFERROR(__xludf.DUMMYFUNCTION("""COMPUTED_VALUE"""),"11-15")</f>
        <v>11-15</v>
      </c>
      <c r="G422" s="1" t="str">
        <f>IFERROR(__xludf.DUMMYFUNCTION("""COMPUTED_VALUE"""),"Burning Broadsword")</f>
        <v>Burning Broadsword</v>
      </c>
      <c r="H422" s="73" t="str">
        <f>IFERROR(__xludf.DUMMYFUNCTION("""COMPUTED_VALUE"""),"16-20")</f>
        <v>16-20</v>
      </c>
      <c r="I422" s="1" t="str">
        <f>IFERROR(__xludf.DUMMYFUNCTION("""COMPUTED_VALUE"""),"Soul")</f>
        <v>Soul</v>
      </c>
      <c r="J422" s="73" t="str">
        <f>IFERROR(__xludf.DUMMYFUNCTION("""COMPUTED_VALUE"""),"21-25")</f>
        <v>21-25</v>
      </c>
      <c r="K422" s="1" t="str">
        <f>IFERROR(__xludf.DUMMYFUNCTION("""COMPUTED_VALUE"""),"Nothing")</f>
        <v>Nothing</v>
      </c>
      <c r="L422" s="1"/>
      <c r="M422" s="1"/>
      <c r="N422" s="1"/>
      <c r="O422" s="1"/>
      <c r="P422" s="1"/>
      <c r="Q422" s="1"/>
      <c r="R422" s="1"/>
      <c r="S422" s="1"/>
      <c r="T422" s="1"/>
      <c r="U422" s="1"/>
      <c r="V422" s="1"/>
      <c r="W422" s="1"/>
      <c r="X422" s="1"/>
    </row>
    <row r="423" ht="15.75" customHeight="1">
      <c r="A423" s="1"/>
      <c r="B423" s="73" t="str">
        <f>IFERROR(__xludf.DUMMYFUNCTION("""COMPUTED_VALUE"""),"1-5")</f>
        <v>1-5</v>
      </c>
      <c r="C423" s="1"/>
      <c r="D423" s="73" t="str">
        <f>IFERROR(__xludf.DUMMYFUNCTION("""COMPUTED_VALUE"""),"6-10")</f>
        <v>6-10</v>
      </c>
      <c r="E423" s="1"/>
      <c r="F423" s="73" t="str">
        <f>IFERROR(__xludf.DUMMYFUNCTION("""COMPUTED_VALUE"""),"11-15")</f>
        <v>11-15</v>
      </c>
      <c r="G423" s="1"/>
      <c r="H423" s="73" t="str">
        <f>IFERROR(__xludf.DUMMYFUNCTION("""COMPUTED_VALUE"""),"16-20")</f>
        <v>16-20</v>
      </c>
      <c r="I423" s="1"/>
      <c r="J423" s="73" t="str">
        <f>IFERROR(__xludf.DUMMYFUNCTION("""COMPUTED_VALUE"""),"21-25")</f>
        <v>21-25</v>
      </c>
      <c r="K423" s="1"/>
      <c r="L423" s="1"/>
      <c r="M423" s="1"/>
      <c r="N423" s="1"/>
      <c r="O423" s="1"/>
      <c r="P423" s="1"/>
      <c r="Q423" s="1"/>
      <c r="R423" s="1"/>
      <c r="S423" s="1"/>
      <c r="T423" s="1"/>
      <c r="U423" s="1"/>
      <c r="V423" s="1"/>
      <c r="W423" s="1"/>
      <c r="X423" s="1"/>
    </row>
    <row r="424" ht="15.75" customHeight="1">
      <c r="A424" s="1" t="str">
        <f>IFERROR(__xludf.DUMMYFUNCTION("""COMPUTED_VALUE"""),"Ancient Undead Dragon")</f>
        <v>Ancient Undead Dragon</v>
      </c>
      <c r="B424" s="73" t="str">
        <f>IFERROR(__xludf.DUMMYFUNCTION("""COMPUTED_VALUE"""),"1-5")</f>
        <v>1-5</v>
      </c>
      <c r="C424" s="1" t="str">
        <f>IFERROR(__xludf.DUMMYFUNCTION("""COMPUTED_VALUE"""),"Nothing")</f>
        <v>Nothing</v>
      </c>
      <c r="D424" s="73" t="str">
        <f>IFERROR(__xludf.DUMMYFUNCTION("""COMPUTED_VALUE"""),"6-10")</f>
        <v>6-10</v>
      </c>
      <c r="E424" s="1" t="str">
        <f>IFERROR(__xludf.DUMMYFUNCTION("""COMPUTED_VALUE"""),"Dragon's Skull")</f>
        <v>Dragon's Skull</v>
      </c>
      <c r="F424" s="73" t="str">
        <f>IFERROR(__xludf.DUMMYFUNCTION("""COMPUTED_VALUE"""),"11-15")</f>
        <v>11-15</v>
      </c>
      <c r="G424" s="1" t="str">
        <f>IFERROR(__xludf.DUMMYFUNCTION("""COMPUTED_VALUE"""),"Rotton Flesh")</f>
        <v>Rotton Flesh</v>
      </c>
      <c r="H424" s="73" t="str">
        <f>IFERROR(__xludf.DUMMYFUNCTION("""COMPUTED_VALUE"""),"16-20")</f>
        <v>16-20</v>
      </c>
      <c r="I424" s="1" t="str">
        <f>IFERROR(__xludf.DUMMYFUNCTION("""COMPUTED_VALUE"""),"Soul")</f>
        <v>Soul</v>
      </c>
      <c r="J424" s="73" t="str">
        <f>IFERROR(__xludf.DUMMYFUNCTION("""COMPUTED_VALUE"""),"21-25")</f>
        <v>21-25</v>
      </c>
      <c r="K424" s="1" t="str">
        <f>IFERROR(__xludf.DUMMYFUNCTION("""COMPUTED_VALUE"""),"Bonemerang")</f>
        <v>Bonemerang</v>
      </c>
      <c r="L424" s="1"/>
      <c r="M424" s="1"/>
      <c r="N424" s="1"/>
      <c r="O424" s="1"/>
      <c r="P424" s="1"/>
      <c r="Q424" s="1"/>
      <c r="R424" s="1"/>
      <c r="S424" s="1"/>
      <c r="T424" s="1"/>
      <c r="U424" s="1"/>
      <c r="V424" s="1"/>
      <c r="W424" s="1"/>
      <c r="X424" s="1"/>
    </row>
    <row r="425" ht="15.75" customHeight="1">
      <c r="A425" s="1" t="str">
        <f>IFERROR(__xludf.DUMMYFUNCTION("""COMPUTED_VALUE"""),"Ancient Crystal Dragon")</f>
        <v>Ancient Crystal Dragon</v>
      </c>
      <c r="B425" s="73" t="str">
        <f>IFERROR(__xludf.DUMMYFUNCTION("""COMPUTED_VALUE"""),"1-5")</f>
        <v>1-5</v>
      </c>
      <c r="C425" s="1" t="str">
        <f>IFERROR(__xludf.DUMMYFUNCTION("""COMPUTED_VALUE"""),"Nothing")</f>
        <v>Nothing</v>
      </c>
      <c r="D425" s="73" t="str">
        <f>IFERROR(__xludf.DUMMYFUNCTION("""COMPUTED_VALUE"""),"6-10")</f>
        <v>6-10</v>
      </c>
      <c r="E425" s="1" t="str">
        <f>IFERROR(__xludf.DUMMYFUNCTION("""COMPUTED_VALUE"""),"500,000G-1,000,000G")</f>
        <v>500,000G-1,000,000G</v>
      </c>
      <c r="F425" s="73" t="str">
        <f>IFERROR(__xludf.DUMMYFUNCTION("""COMPUTED_VALUE"""),"11-15")</f>
        <v>11-15</v>
      </c>
      <c r="G425" s="1" t="str">
        <f>IFERROR(__xludf.DUMMYFUNCTION("""COMPUTED_VALUE"""),"Soul")</f>
        <v>Soul</v>
      </c>
      <c r="H425" s="73" t="str">
        <f>IFERROR(__xludf.DUMMYFUNCTION("""COMPUTED_VALUE"""),"16-20")</f>
        <v>16-20</v>
      </c>
      <c r="I425" s="1" t="str">
        <f>IFERROR(__xludf.DUMMYFUNCTION("""COMPUTED_VALUE"""),"Staff Of Suffering")</f>
        <v>Staff Of Suffering</v>
      </c>
      <c r="J425" s="73" t="str">
        <f>IFERROR(__xludf.DUMMYFUNCTION("""COMPUTED_VALUE"""),"21-25")</f>
        <v>21-25</v>
      </c>
      <c r="K425" s="1" t="str">
        <f>IFERROR(__xludf.DUMMYFUNCTION("""COMPUTED_VALUE"""),"Nothing")</f>
        <v>Nothing</v>
      </c>
      <c r="L425" s="1"/>
      <c r="M425" s="1"/>
      <c r="N425" s="1"/>
      <c r="O425" s="1"/>
      <c r="P425" s="1"/>
      <c r="Q425" s="1"/>
      <c r="R425" s="1"/>
      <c r="S425" s="1"/>
      <c r="T425" s="1"/>
      <c r="U425" s="1"/>
      <c r="V425" s="1"/>
      <c r="W425" s="1"/>
      <c r="X425" s="1"/>
    </row>
    <row r="426" ht="15.75" customHeight="1">
      <c r="A426" s="1" t="str">
        <f>IFERROR(__xludf.DUMMYFUNCTION("""COMPUTED_VALUE"""),"Divine Acid Dragon")</f>
        <v>Divine Acid Dragon</v>
      </c>
      <c r="B426" s="73" t="str">
        <f>IFERROR(__xludf.DUMMYFUNCTION("""COMPUTED_VALUE"""),"1-5")</f>
        <v>1-5</v>
      </c>
      <c r="C426" s="1"/>
      <c r="D426" s="73" t="str">
        <f>IFERROR(__xludf.DUMMYFUNCTION("""COMPUTED_VALUE"""),"6-10")</f>
        <v>6-10</v>
      </c>
      <c r="E426" s="1"/>
      <c r="F426" s="73" t="str">
        <f>IFERROR(__xludf.DUMMYFUNCTION("""COMPUTED_VALUE"""),"11-15")</f>
        <v>11-15</v>
      </c>
      <c r="G426" s="1"/>
      <c r="H426" s="73" t="str">
        <f>IFERROR(__xludf.DUMMYFUNCTION("""COMPUTED_VALUE"""),"16-20")</f>
        <v>16-20</v>
      </c>
      <c r="I426" s="1"/>
      <c r="J426" s="73" t="str">
        <f>IFERROR(__xludf.DUMMYFUNCTION("""COMPUTED_VALUE"""),"21-25")</f>
        <v>21-25</v>
      </c>
      <c r="K426" s="1"/>
      <c r="L426" s="1"/>
      <c r="M426" s="1"/>
      <c r="N426" s="1"/>
      <c r="O426" s="1"/>
      <c r="P426" s="1"/>
      <c r="Q426" s="1"/>
      <c r="R426" s="1"/>
      <c r="S426" s="1"/>
      <c r="T426" s="1"/>
      <c r="U426" s="1"/>
      <c r="V426" s="1"/>
      <c r="W426" s="1"/>
      <c r="X426" s="1"/>
    </row>
    <row r="427" ht="15.75" customHeight="1">
      <c r="A427" s="1" t="str">
        <f>IFERROR(__xludf.DUMMYFUNCTION("""COMPUTED_VALUE"""),"Divine Water Dragon")</f>
        <v>Divine Water Dragon</v>
      </c>
      <c r="B427" s="73" t="str">
        <f>IFERROR(__xludf.DUMMYFUNCTION("""COMPUTED_VALUE"""),"1-5")</f>
        <v>1-5</v>
      </c>
      <c r="C427" s="1"/>
      <c r="D427" s="73" t="str">
        <f>IFERROR(__xludf.DUMMYFUNCTION("""COMPUTED_VALUE"""),"6-10")</f>
        <v>6-10</v>
      </c>
      <c r="E427" s="1"/>
      <c r="F427" s="73" t="str">
        <f>IFERROR(__xludf.DUMMYFUNCTION("""COMPUTED_VALUE"""),"11-15")</f>
        <v>11-15</v>
      </c>
      <c r="G427" s="1"/>
      <c r="H427" s="73" t="str">
        <f>IFERROR(__xludf.DUMMYFUNCTION("""COMPUTED_VALUE"""),"16-20")</f>
        <v>16-20</v>
      </c>
      <c r="I427" s="1"/>
      <c r="J427" s="73" t="str">
        <f>IFERROR(__xludf.DUMMYFUNCTION("""COMPUTED_VALUE"""),"21-25")</f>
        <v>21-25</v>
      </c>
      <c r="K427" s="1"/>
      <c r="L427" s="1"/>
      <c r="M427" s="1"/>
      <c r="N427" s="1"/>
      <c r="O427" s="1"/>
      <c r="P427" s="1"/>
      <c r="Q427" s="1"/>
      <c r="R427" s="1"/>
      <c r="S427" s="1"/>
      <c r="T427" s="1"/>
      <c r="U427" s="1"/>
      <c r="V427" s="1"/>
      <c r="W427" s="1"/>
      <c r="X427" s="1"/>
    </row>
    <row r="428" ht="15.75" customHeight="1">
      <c r="A428" s="1" t="str">
        <f>IFERROR(__xludf.DUMMYFUNCTION("""COMPUTED_VALUE"""),"Divine Astral Dragon")</f>
        <v>Divine Astral Dragon</v>
      </c>
      <c r="B428" s="73" t="str">
        <f>IFERROR(__xludf.DUMMYFUNCTION("""COMPUTED_VALUE"""),"1-5")</f>
        <v>1-5</v>
      </c>
      <c r="C428" s="1"/>
      <c r="D428" s="73" t="str">
        <f>IFERROR(__xludf.DUMMYFUNCTION("""COMPUTED_VALUE"""),"6-10")</f>
        <v>6-10</v>
      </c>
      <c r="E428" s="1"/>
      <c r="F428" s="73" t="str">
        <f>IFERROR(__xludf.DUMMYFUNCTION("""COMPUTED_VALUE"""),"11-15")</f>
        <v>11-15</v>
      </c>
      <c r="G428" s="1"/>
      <c r="H428" s="73" t="str">
        <f>IFERROR(__xludf.DUMMYFUNCTION("""COMPUTED_VALUE"""),"16-20")</f>
        <v>16-20</v>
      </c>
      <c r="I428" s="1"/>
      <c r="J428" s="73" t="str">
        <f>IFERROR(__xludf.DUMMYFUNCTION("""COMPUTED_VALUE"""),"21-25")</f>
        <v>21-25</v>
      </c>
      <c r="K428" s="1"/>
      <c r="L428" s="1"/>
      <c r="M428" s="1"/>
      <c r="N428" s="1"/>
      <c r="O428" s="1"/>
      <c r="P428" s="1"/>
      <c r="Q428" s="1"/>
      <c r="R428" s="1"/>
      <c r="S428" s="1"/>
      <c r="T428" s="1"/>
      <c r="U428" s="1"/>
      <c r="V428" s="1"/>
      <c r="W428" s="1"/>
      <c r="X428" s="1"/>
    </row>
    <row r="429" ht="15.75" customHeight="1">
      <c r="A429" s="1" t="str">
        <f>IFERROR(__xludf.DUMMYFUNCTION("""COMPUTED_VALUE"""),"Divine Celestial Dragon")</f>
        <v>Divine Celestial Dragon</v>
      </c>
      <c r="B429" s="73" t="str">
        <f>IFERROR(__xludf.DUMMYFUNCTION("""COMPUTED_VALUE"""),"1-5")</f>
        <v>1-5</v>
      </c>
      <c r="C429" s="1"/>
      <c r="D429" s="73" t="str">
        <f>IFERROR(__xludf.DUMMYFUNCTION("""COMPUTED_VALUE"""),"6-10")</f>
        <v>6-10</v>
      </c>
      <c r="E429" s="1"/>
      <c r="F429" s="73" t="str">
        <f>IFERROR(__xludf.DUMMYFUNCTION("""COMPUTED_VALUE"""),"11-15")</f>
        <v>11-15</v>
      </c>
      <c r="G429" s="1"/>
      <c r="H429" s="73" t="str">
        <f>IFERROR(__xludf.DUMMYFUNCTION("""COMPUTED_VALUE"""),"16-20")</f>
        <v>16-20</v>
      </c>
      <c r="I429" s="1"/>
      <c r="J429" s="73" t="str">
        <f>IFERROR(__xludf.DUMMYFUNCTION("""COMPUTED_VALUE"""),"21-25")</f>
        <v>21-25</v>
      </c>
      <c r="K429" s="1"/>
      <c r="L429" s="1"/>
      <c r="M429" s="1"/>
      <c r="N429" s="1"/>
      <c r="O429" s="1"/>
      <c r="P429" s="1"/>
      <c r="Q429" s="1"/>
      <c r="R429" s="1"/>
      <c r="S429" s="1"/>
      <c r="T429" s="1"/>
      <c r="U429" s="1"/>
      <c r="V429" s="1"/>
      <c r="W429" s="1"/>
      <c r="X429" s="1"/>
    </row>
    <row r="430" ht="15.75" customHeight="1">
      <c r="A430" s="1" t="str">
        <f>IFERROR(__xludf.DUMMYFUNCTION("""COMPUTED_VALUE"""),"Divine Chaos Dragon")</f>
        <v>Divine Chaos Dragon</v>
      </c>
      <c r="B430" s="73" t="str">
        <f>IFERROR(__xludf.DUMMYFUNCTION("""COMPUTED_VALUE"""),"1-5")</f>
        <v>1-5</v>
      </c>
      <c r="C430" s="1"/>
      <c r="D430" s="73" t="str">
        <f>IFERROR(__xludf.DUMMYFUNCTION("""COMPUTED_VALUE"""),"6-10")</f>
        <v>6-10</v>
      </c>
      <c r="E430" s="1"/>
      <c r="F430" s="73" t="str">
        <f>IFERROR(__xludf.DUMMYFUNCTION("""COMPUTED_VALUE"""),"11-15")</f>
        <v>11-15</v>
      </c>
      <c r="G430" s="1"/>
      <c r="H430" s="73" t="str">
        <f>IFERROR(__xludf.DUMMYFUNCTION("""COMPUTED_VALUE"""),"16-20")</f>
        <v>16-20</v>
      </c>
      <c r="I430" s="1"/>
      <c r="J430" s="73" t="str">
        <f>IFERROR(__xludf.DUMMYFUNCTION("""COMPUTED_VALUE"""),"21-25")</f>
        <v>21-25</v>
      </c>
      <c r="K430" s="1"/>
      <c r="L430" s="1"/>
      <c r="M430" s="1"/>
      <c r="N430" s="1"/>
      <c r="O430" s="1"/>
      <c r="P430" s="1"/>
      <c r="Q430" s="1"/>
      <c r="R430" s="1"/>
      <c r="S430" s="1"/>
      <c r="T430" s="1"/>
      <c r="U430" s="1"/>
      <c r="V430" s="1"/>
      <c r="W430" s="1"/>
      <c r="X430" s="1"/>
    </row>
    <row r="431" ht="15.75" customHeight="1">
      <c r="A431" s="1" t="str">
        <f>IFERROR(__xludf.DUMMYFUNCTION("""COMPUTED_VALUE"""),"Divine Dark Dragon")</f>
        <v>Divine Dark Dragon</v>
      </c>
      <c r="B431" s="73" t="str">
        <f>IFERROR(__xludf.DUMMYFUNCTION("""COMPUTED_VALUE"""),"1-5")</f>
        <v>1-5</v>
      </c>
      <c r="C431" s="1"/>
      <c r="D431" s="73" t="str">
        <f>IFERROR(__xludf.DUMMYFUNCTION("""COMPUTED_VALUE"""),"6-10")</f>
        <v>6-10</v>
      </c>
      <c r="E431" s="1"/>
      <c r="F431" s="73" t="str">
        <f>IFERROR(__xludf.DUMMYFUNCTION("""COMPUTED_VALUE"""),"11-15")</f>
        <v>11-15</v>
      </c>
      <c r="G431" s="1"/>
      <c r="H431" s="73" t="str">
        <f>IFERROR(__xludf.DUMMYFUNCTION("""COMPUTED_VALUE"""),"16-20")</f>
        <v>16-20</v>
      </c>
      <c r="I431" s="1"/>
      <c r="J431" s="73" t="str">
        <f>IFERROR(__xludf.DUMMYFUNCTION("""COMPUTED_VALUE"""),"21-25")</f>
        <v>21-25</v>
      </c>
      <c r="K431" s="1"/>
      <c r="L431" s="1"/>
      <c r="M431" s="1"/>
      <c r="N431" s="1"/>
      <c r="O431" s="1"/>
      <c r="P431" s="1"/>
      <c r="Q431" s="1"/>
      <c r="R431" s="1"/>
      <c r="S431" s="1"/>
      <c r="T431" s="1"/>
      <c r="U431" s="1"/>
      <c r="V431" s="1"/>
      <c r="W431" s="1"/>
      <c r="X431" s="1"/>
    </row>
    <row r="432" ht="15.75" customHeight="1">
      <c r="A432" s="1" t="str">
        <f>IFERROR(__xludf.DUMMYFUNCTION("""COMPUTED_VALUE"""),"Divine Delta Dragon")</f>
        <v>Divine Delta Dragon</v>
      </c>
      <c r="B432" s="73" t="str">
        <f>IFERROR(__xludf.DUMMYFUNCTION("""COMPUTED_VALUE"""),"1-5")</f>
        <v>1-5</v>
      </c>
      <c r="C432" s="1"/>
      <c r="D432" s="73" t="str">
        <f>IFERROR(__xludf.DUMMYFUNCTION("""COMPUTED_VALUE"""),"6-10")</f>
        <v>6-10</v>
      </c>
      <c r="E432" s="1"/>
      <c r="F432" s="73" t="str">
        <f>IFERROR(__xludf.DUMMYFUNCTION("""COMPUTED_VALUE"""),"11-15")</f>
        <v>11-15</v>
      </c>
      <c r="G432" s="1"/>
      <c r="H432" s="73" t="str">
        <f>IFERROR(__xludf.DUMMYFUNCTION("""COMPUTED_VALUE"""),"16-20")</f>
        <v>16-20</v>
      </c>
      <c r="I432" s="1"/>
      <c r="J432" s="73" t="str">
        <f>IFERROR(__xludf.DUMMYFUNCTION("""COMPUTED_VALUE"""),"21-25")</f>
        <v>21-25</v>
      </c>
      <c r="K432" s="1"/>
      <c r="L432" s="1"/>
      <c r="M432" s="1"/>
      <c r="N432" s="1"/>
      <c r="O432" s="1"/>
      <c r="P432" s="1"/>
      <c r="Q432" s="1"/>
      <c r="R432" s="1"/>
      <c r="S432" s="1"/>
      <c r="T432" s="1"/>
      <c r="U432" s="1"/>
      <c r="V432" s="1"/>
      <c r="W432" s="1"/>
      <c r="X432" s="1"/>
    </row>
    <row r="433" ht="15.75" customHeight="1">
      <c r="A433" s="1" t="str">
        <f>IFERROR(__xludf.DUMMYFUNCTION("""COMPUTED_VALUE"""),"Divine Forest Dragon")</f>
        <v>Divine Forest Dragon</v>
      </c>
      <c r="B433" s="73" t="str">
        <f>IFERROR(__xludf.DUMMYFUNCTION("""COMPUTED_VALUE"""),"1-5")</f>
        <v>1-5</v>
      </c>
      <c r="C433" s="1"/>
      <c r="D433" s="73" t="str">
        <f>IFERROR(__xludf.DUMMYFUNCTION("""COMPUTED_VALUE"""),"6-10")</f>
        <v>6-10</v>
      </c>
      <c r="E433" s="1"/>
      <c r="F433" s="73" t="str">
        <f>IFERROR(__xludf.DUMMYFUNCTION("""COMPUTED_VALUE"""),"11-15")</f>
        <v>11-15</v>
      </c>
      <c r="G433" s="1"/>
      <c r="H433" s="73" t="str">
        <f>IFERROR(__xludf.DUMMYFUNCTION("""COMPUTED_VALUE"""),"16-20")</f>
        <v>16-20</v>
      </c>
      <c r="I433" s="1"/>
      <c r="J433" s="73" t="str">
        <f>IFERROR(__xludf.DUMMYFUNCTION("""COMPUTED_VALUE"""),"21-25")</f>
        <v>21-25</v>
      </c>
      <c r="K433" s="1"/>
      <c r="L433" s="1"/>
      <c r="M433" s="1"/>
      <c r="N433" s="1"/>
      <c r="O433" s="1"/>
      <c r="P433" s="1"/>
      <c r="Q433" s="1"/>
      <c r="R433" s="1"/>
      <c r="S433" s="1"/>
      <c r="T433" s="1"/>
      <c r="U433" s="1"/>
      <c r="V433" s="1"/>
      <c r="W433" s="1"/>
      <c r="X433" s="1"/>
    </row>
    <row r="434" ht="15.75" customHeight="1">
      <c r="A434" s="1" t="str">
        <f>IFERROR(__xludf.DUMMYFUNCTION("""COMPUTED_VALUE"""),"Divine Frost Dragon")</f>
        <v>Divine Frost Dragon</v>
      </c>
      <c r="B434" s="73" t="str">
        <f>IFERROR(__xludf.DUMMYFUNCTION("""COMPUTED_VALUE"""),"1-5")</f>
        <v>1-5</v>
      </c>
      <c r="C434" s="1"/>
      <c r="D434" s="73" t="str">
        <f>IFERROR(__xludf.DUMMYFUNCTION("""COMPUTED_VALUE"""),"6-10")</f>
        <v>6-10</v>
      </c>
      <c r="E434" s="1"/>
      <c r="F434" s="73" t="str">
        <f>IFERROR(__xludf.DUMMYFUNCTION("""COMPUTED_VALUE"""),"11-15")</f>
        <v>11-15</v>
      </c>
      <c r="G434" s="1"/>
      <c r="H434" s="73" t="str">
        <f>IFERROR(__xludf.DUMMYFUNCTION("""COMPUTED_VALUE"""),"16-20")</f>
        <v>16-20</v>
      </c>
      <c r="I434" s="1"/>
      <c r="J434" s="73" t="str">
        <f>IFERROR(__xludf.DUMMYFUNCTION("""COMPUTED_VALUE"""),"21-25")</f>
        <v>21-25</v>
      </c>
      <c r="K434" s="1"/>
      <c r="L434" s="1"/>
      <c r="M434" s="1"/>
      <c r="N434" s="1"/>
      <c r="O434" s="1"/>
      <c r="P434" s="1"/>
      <c r="Q434" s="1"/>
      <c r="R434" s="1"/>
      <c r="S434" s="1"/>
      <c r="T434" s="1"/>
      <c r="U434" s="1"/>
      <c r="V434" s="1"/>
      <c r="W434" s="1"/>
      <c r="X434" s="1"/>
    </row>
    <row r="435" ht="15.75" customHeight="1">
      <c r="A435" s="1" t="str">
        <f>IFERROR(__xludf.DUMMYFUNCTION("""COMPUTED_VALUE"""),"Divine Soul Dragon")</f>
        <v>Divine Soul Dragon</v>
      </c>
      <c r="B435" s="73" t="str">
        <f>IFERROR(__xludf.DUMMYFUNCTION("""COMPUTED_VALUE"""),"1-5")</f>
        <v>1-5</v>
      </c>
      <c r="C435" s="1" t="str">
        <f>IFERROR(__xludf.DUMMYFUNCTION("""COMPUTED_VALUE"""),"Soul")</f>
        <v>Soul</v>
      </c>
      <c r="D435" s="73" t="str">
        <f>IFERROR(__xludf.DUMMYFUNCTION("""COMPUTED_VALUE"""),"6-10")</f>
        <v>6-10</v>
      </c>
      <c r="E435" s="1"/>
      <c r="F435" s="73" t="str">
        <f>IFERROR(__xludf.DUMMYFUNCTION("""COMPUTED_VALUE"""),"11-15")</f>
        <v>11-15</v>
      </c>
      <c r="G435" s="1" t="str">
        <f>IFERROR(__xludf.DUMMYFUNCTION("""COMPUTED_VALUE"""),"Soul")</f>
        <v>Soul</v>
      </c>
      <c r="H435" s="73" t="str">
        <f>IFERROR(__xludf.DUMMYFUNCTION("""COMPUTED_VALUE"""),"16-20")</f>
        <v>16-20</v>
      </c>
      <c r="I435" s="1" t="str">
        <f>IFERROR(__xludf.DUMMYFUNCTION("""COMPUTED_VALUE"""),"1,000,000G-20,000,000G")</f>
        <v>1,000,000G-20,000,000G</v>
      </c>
      <c r="J435" s="73" t="str">
        <f>IFERROR(__xludf.DUMMYFUNCTION("""COMPUTED_VALUE"""),"21-25")</f>
        <v>21-25</v>
      </c>
      <c r="K435" s="1"/>
      <c r="L435" s="1"/>
      <c r="M435" s="1"/>
      <c r="N435" s="1"/>
      <c r="O435" s="1"/>
      <c r="P435" s="1"/>
      <c r="Q435" s="1"/>
      <c r="R435" s="1"/>
      <c r="S435" s="1"/>
      <c r="T435" s="1"/>
      <c r="U435" s="1"/>
      <c r="V435" s="1"/>
      <c r="W435" s="1"/>
      <c r="X435" s="1"/>
    </row>
    <row r="436" ht="15.75" customHeight="1">
      <c r="A436" s="1" t="str">
        <f>IFERROR(__xludf.DUMMYFUNCTION("""COMPUTED_VALUE"""),"Divine Spirit Dragon")</f>
        <v>Divine Spirit Dragon</v>
      </c>
      <c r="B436" s="73" t="str">
        <f>IFERROR(__xludf.DUMMYFUNCTION("""COMPUTED_VALUE"""),"1-5")</f>
        <v>1-5</v>
      </c>
      <c r="C436" s="1"/>
      <c r="D436" s="73" t="str">
        <f>IFERROR(__xludf.DUMMYFUNCTION("""COMPUTED_VALUE"""),"6-10")</f>
        <v>6-10</v>
      </c>
      <c r="E436" s="1"/>
      <c r="F436" s="73" t="str">
        <f>IFERROR(__xludf.DUMMYFUNCTION("""COMPUTED_VALUE"""),"11-15")</f>
        <v>11-15</v>
      </c>
      <c r="G436" s="1"/>
      <c r="H436" s="73" t="str">
        <f>IFERROR(__xludf.DUMMYFUNCTION("""COMPUTED_VALUE"""),"16-20")</f>
        <v>16-20</v>
      </c>
      <c r="I436" s="1"/>
      <c r="J436" s="73" t="str">
        <f>IFERROR(__xludf.DUMMYFUNCTION("""COMPUTED_VALUE"""),"21-25")</f>
        <v>21-25</v>
      </c>
      <c r="K436" s="1"/>
      <c r="L436" s="1"/>
      <c r="M436" s="1"/>
      <c r="N436" s="1"/>
      <c r="O436" s="1"/>
      <c r="P436" s="1"/>
      <c r="Q436" s="1"/>
      <c r="R436" s="1"/>
      <c r="S436" s="1"/>
      <c r="T436" s="1"/>
      <c r="U436" s="1"/>
      <c r="V436" s="1"/>
      <c r="W436" s="1"/>
      <c r="X436" s="1"/>
    </row>
    <row r="437" ht="15.75" customHeight="1">
      <c r="A437" s="1" t="str">
        <f>IFERROR(__xludf.DUMMYFUNCTION("""COMPUTED_VALUE"""),"Divine Stone Dragon")</f>
        <v>Divine Stone Dragon</v>
      </c>
      <c r="B437" s="73" t="str">
        <f>IFERROR(__xludf.DUMMYFUNCTION("""COMPUTED_VALUE"""),"1-5")</f>
        <v>1-5</v>
      </c>
      <c r="C437" s="1"/>
      <c r="D437" s="73" t="str">
        <f>IFERROR(__xludf.DUMMYFUNCTION("""COMPUTED_VALUE"""),"6-10")</f>
        <v>6-10</v>
      </c>
      <c r="E437" s="1"/>
      <c r="F437" s="73" t="str">
        <f>IFERROR(__xludf.DUMMYFUNCTION("""COMPUTED_VALUE"""),"11-15")</f>
        <v>11-15</v>
      </c>
      <c r="G437" s="1"/>
      <c r="H437" s="73" t="str">
        <f>IFERROR(__xludf.DUMMYFUNCTION("""COMPUTED_VALUE"""),"16-20")</f>
        <v>16-20</v>
      </c>
      <c r="I437" s="1"/>
      <c r="J437" s="73" t="str">
        <f>IFERROR(__xludf.DUMMYFUNCTION("""COMPUTED_VALUE"""),"21-25")</f>
        <v>21-25</v>
      </c>
      <c r="K437" s="1"/>
      <c r="L437" s="1"/>
      <c r="M437" s="1"/>
      <c r="N437" s="1"/>
      <c r="O437" s="1"/>
      <c r="P437" s="1"/>
      <c r="Q437" s="1"/>
      <c r="R437" s="1"/>
      <c r="S437" s="1"/>
      <c r="T437" s="1"/>
      <c r="U437" s="1"/>
      <c r="V437" s="1"/>
      <c r="W437" s="1"/>
      <c r="X437" s="1"/>
    </row>
    <row r="438" ht="15.75" customHeight="1">
      <c r="A438" s="1"/>
      <c r="B438" s="73" t="str">
        <f>IFERROR(__xludf.DUMMYFUNCTION("""COMPUTED_VALUE"""),"1-5")</f>
        <v>1-5</v>
      </c>
      <c r="C438" s="1"/>
      <c r="D438" s="73" t="str">
        <f>IFERROR(__xludf.DUMMYFUNCTION("""COMPUTED_VALUE"""),"6-10")</f>
        <v>6-10</v>
      </c>
      <c r="E438" s="1"/>
      <c r="F438" s="73" t="str">
        <f>IFERROR(__xludf.DUMMYFUNCTION("""COMPUTED_VALUE"""),"11-15")</f>
        <v>11-15</v>
      </c>
      <c r="G438" s="1"/>
      <c r="H438" s="73" t="str">
        <f>IFERROR(__xludf.DUMMYFUNCTION("""COMPUTED_VALUE"""),"16-20")</f>
        <v>16-20</v>
      </c>
      <c r="I438" s="1"/>
      <c r="J438" s="73" t="str">
        <f>IFERROR(__xludf.DUMMYFUNCTION("""COMPUTED_VALUE"""),"21-25")</f>
        <v>21-25</v>
      </c>
      <c r="K438" s="1"/>
      <c r="L438" s="1"/>
      <c r="M438" s="1"/>
      <c r="N438" s="1"/>
      <c r="O438" s="1"/>
      <c r="P438" s="1"/>
      <c r="Q438" s="1"/>
      <c r="R438" s="1"/>
      <c r="S438" s="1"/>
      <c r="T438" s="1"/>
      <c r="U438" s="1"/>
      <c r="V438" s="1"/>
      <c r="W438" s="1"/>
      <c r="X438" s="1"/>
    </row>
    <row r="439" ht="15.75" customHeight="1">
      <c r="A439" s="1" t="str">
        <f>IFERROR(__xludf.DUMMYFUNCTION("""COMPUTED_VALUE"""),"Divine Fire Dragon")</f>
        <v>Divine Fire Dragon</v>
      </c>
      <c r="B439" s="73" t="str">
        <f>IFERROR(__xludf.DUMMYFUNCTION("""COMPUTED_VALUE"""),"1-5")</f>
        <v>1-5</v>
      </c>
      <c r="C439" s="1"/>
      <c r="D439" s="73" t="str">
        <f>IFERROR(__xludf.DUMMYFUNCTION("""COMPUTED_VALUE"""),"6-10")</f>
        <v>6-10</v>
      </c>
      <c r="E439" s="1"/>
      <c r="F439" s="73" t="str">
        <f>IFERROR(__xludf.DUMMYFUNCTION("""COMPUTED_VALUE"""),"11-15")</f>
        <v>11-15</v>
      </c>
      <c r="G439" s="1"/>
      <c r="H439" s="73" t="str">
        <f>IFERROR(__xludf.DUMMYFUNCTION("""COMPUTED_VALUE"""),"16-20")</f>
        <v>16-20</v>
      </c>
      <c r="I439" s="1"/>
      <c r="J439" s="73" t="str">
        <f>IFERROR(__xludf.DUMMYFUNCTION("""COMPUTED_VALUE"""),"21-25")</f>
        <v>21-25</v>
      </c>
      <c r="K439" s="1"/>
      <c r="L439" s="1"/>
      <c r="M439" s="1"/>
      <c r="N439" s="1"/>
      <c r="O439" s="1"/>
      <c r="P439" s="1"/>
      <c r="Q439" s="1"/>
      <c r="R439" s="1"/>
      <c r="S439" s="1"/>
      <c r="T439" s="1"/>
      <c r="U439" s="1"/>
      <c r="V439" s="1"/>
      <c r="W439" s="1"/>
      <c r="X439" s="1"/>
    </row>
    <row r="440" ht="15.75" customHeight="1">
      <c r="A440" s="1" t="str">
        <f>IFERROR(__xludf.DUMMYFUNCTION("""COMPUTED_VALUE"""),"Divine Void Dragon")</f>
        <v>Divine Void Dragon</v>
      </c>
      <c r="B440" s="73" t="str">
        <f>IFERROR(__xludf.DUMMYFUNCTION("""COMPUTED_VALUE"""),"1-5")</f>
        <v>1-5</v>
      </c>
      <c r="C440" s="1"/>
      <c r="D440" s="73" t="str">
        <f>IFERROR(__xludf.DUMMYFUNCTION("""COMPUTED_VALUE"""),"6-10")</f>
        <v>6-10</v>
      </c>
      <c r="E440" s="1"/>
      <c r="F440" s="73" t="str">
        <f>IFERROR(__xludf.DUMMYFUNCTION("""COMPUTED_VALUE"""),"11-15")</f>
        <v>11-15</v>
      </c>
      <c r="G440" s="1"/>
      <c r="H440" s="73" t="str">
        <f>IFERROR(__xludf.DUMMYFUNCTION("""COMPUTED_VALUE"""),"16-20")</f>
        <v>16-20</v>
      </c>
      <c r="I440" s="1"/>
      <c r="J440" s="73" t="str">
        <f>IFERROR(__xludf.DUMMYFUNCTION("""COMPUTED_VALUE"""),"21-25")</f>
        <v>21-25</v>
      </c>
      <c r="K440" s="1"/>
      <c r="L440" s="1"/>
      <c r="M440" s="1"/>
      <c r="N440" s="1"/>
      <c r="O440" s="1"/>
      <c r="P440" s="1"/>
      <c r="Q440" s="1"/>
      <c r="R440" s="1"/>
      <c r="S440" s="1"/>
      <c r="T440" s="1"/>
      <c r="U440" s="1"/>
      <c r="V440" s="1"/>
      <c r="W440" s="1"/>
      <c r="X440" s="1"/>
    </row>
    <row r="441" ht="15.75" customHeight="1">
      <c r="A441" s="1" t="str">
        <f>IFERROR(__xludf.DUMMYFUNCTION("""COMPUTED_VALUE"""),"Divine Undead Dragon")</f>
        <v>Divine Undead Dragon</v>
      </c>
      <c r="B441" s="73" t="str">
        <f>IFERROR(__xludf.DUMMYFUNCTION("""COMPUTED_VALUE"""),"1-5")</f>
        <v>1-5</v>
      </c>
      <c r="C441" s="1"/>
      <c r="D441" s="73" t="str">
        <f>IFERROR(__xludf.DUMMYFUNCTION("""COMPUTED_VALUE"""),"6-10")</f>
        <v>6-10</v>
      </c>
      <c r="E441" s="1"/>
      <c r="F441" s="73" t="str">
        <f>IFERROR(__xludf.DUMMYFUNCTION("""COMPUTED_VALUE"""),"11-15")</f>
        <v>11-15</v>
      </c>
      <c r="G441" s="1"/>
      <c r="H441" s="73" t="str">
        <f>IFERROR(__xludf.DUMMYFUNCTION("""COMPUTED_VALUE"""),"16-20")</f>
        <v>16-20</v>
      </c>
      <c r="I441" s="1"/>
      <c r="J441" s="73" t="str">
        <f>IFERROR(__xludf.DUMMYFUNCTION("""COMPUTED_VALUE"""),"21-25")</f>
        <v>21-25</v>
      </c>
      <c r="K441" s="1"/>
      <c r="L441" s="1"/>
      <c r="M441" s="1"/>
      <c r="N441" s="1"/>
      <c r="O441" s="1"/>
      <c r="P441" s="1"/>
      <c r="Q441" s="1"/>
      <c r="R441" s="1"/>
      <c r="S441" s="1"/>
      <c r="T441" s="1"/>
      <c r="U441" s="1"/>
      <c r="V441" s="1"/>
      <c r="W441" s="1"/>
      <c r="X441" s="1"/>
    </row>
    <row r="442" ht="15.75" customHeight="1">
      <c r="A442" s="1" t="str">
        <f>IFERROR(__xludf.DUMMYFUNCTION("""COMPUTED_VALUE"""),"Divine Crystal Dragon")</f>
        <v>Divine Crystal Dragon</v>
      </c>
      <c r="B442" s="73" t="str">
        <f>IFERROR(__xludf.DUMMYFUNCTION("""COMPUTED_VALUE"""),"1-5")</f>
        <v>1-5</v>
      </c>
      <c r="C442" s="1"/>
      <c r="D442" s="73" t="str">
        <f>IFERROR(__xludf.DUMMYFUNCTION("""COMPUTED_VALUE"""),"6-10")</f>
        <v>6-10</v>
      </c>
      <c r="E442" s="1"/>
      <c r="F442" s="73" t="str">
        <f>IFERROR(__xludf.DUMMYFUNCTION("""COMPUTED_VALUE"""),"11-15")</f>
        <v>11-15</v>
      </c>
      <c r="G442" s="1"/>
      <c r="H442" s="73" t="str">
        <f>IFERROR(__xludf.DUMMYFUNCTION("""COMPUTED_VALUE"""),"16-20")</f>
        <v>16-20</v>
      </c>
      <c r="I442" s="1"/>
      <c r="J442" s="73" t="str">
        <f>IFERROR(__xludf.DUMMYFUNCTION("""COMPUTED_VALUE"""),"21-25")</f>
        <v>21-25</v>
      </c>
      <c r="K442" s="1"/>
      <c r="L442" s="1"/>
      <c r="M442" s="1"/>
      <c r="N442" s="1"/>
      <c r="O442" s="1"/>
      <c r="P442" s="1"/>
      <c r="Q442" s="1"/>
      <c r="R442" s="1"/>
      <c r="S442" s="1"/>
      <c r="T442" s="1"/>
      <c r="U442" s="1"/>
      <c r="V442" s="1"/>
      <c r="W442" s="1"/>
      <c r="X442" s="1"/>
    </row>
    <row r="443" ht="15.75" customHeight="1">
      <c r="A443" s="1" t="str">
        <f>IFERROR(__xludf.DUMMYFUNCTION("""COMPUTED_VALUE"""),"Acid Wyrm")</f>
        <v>Acid Wyrm</v>
      </c>
      <c r="B443" s="73" t="str">
        <f>IFERROR(__xludf.DUMMYFUNCTION("""COMPUTED_VALUE"""),"1-5")</f>
        <v>1-5</v>
      </c>
      <c r="C443" s="1" t="str">
        <f>IFERROR(__xludf.DUMMYFUNCTION("""COMPUTED_VALUE"""),"Nothing")</f>
        <v>Nothing</v>
      </c>
      <c r="D443" s="73" t="str">
        <f>IFERROR(__xludf.DUMMYFUNCTION("""COMPUTED_VALUE"""),"6-10")</f>
        <v>6-10</v>
      </c>
      <c r="E443" s="1" t="str">
        <f>IFERROR(__xludf.DUMMYFUNCTION("""COMPUTED_VALUE"""),"Nothing")</f>
        <v>Nothing</v>
      </c>
      <c r="F443" s="73" t="str">
        <f>IFERROR(__xludf.DUMMYFUNCTION("""COMPUTED_VALUE"""),"11-15")</f>
        <v>11-15</v>
      </c>
      <c r="G443" s="1" t="str">
        <f>IFERROR(__xludf.DUMMYFUNCTION("""COMPUTED_VALUE"""),"20,000,000G-40,000,000G")</f>
        <v>20,000,000G-40,000,000G</v>
      </c>
      <c r="H443" s="73" t="str">
        <f>IFERROR(__xludf.DUMMYFUNCTION("""COMPUTED_VALUE"""),"16-20")</f>
        <v>16-20</v>
      </c>
      <c r="I443" s="1" t="str">
        <f>IFERROR(__xludf.DUMMYFUNCTION("""COMPUTED_VALUE"""),"Egg")</f>
        <v>Egg</v>
      </c>
      <c r="J443" s="73" t="str">
        <f>IFERROR(__xludf.DUMMYFUNCTION("""COMPUTED_VALUE"""),"21-25")</f>
        <v>21-25</v>
      </c>
      <c r="K443" s="1" t="str">
        <f>IFERROR(__xludf.DUMMYFUNCTION("""COMPUTED_VALUE"""),"Soul")</f>
        <v>Soul</v>
      </c>
      <c r="L443" s="1"/>
      <c r="M443" s="1"/>
      <c r="N443" s="1"/>
      <c r="O443" s="1"/>
      <c r="P443" s="1"/>
      <c r="Q443" s="1"/>
      <c r="R443" s="1"/>
      <c r="S443" s="1"/>
      <c r="T443" s="1"/>
      <c r="U443" s="1"/>
      <c r="V443" s="1"/>
      <c r="W443" s="1"/>
      <c r="X443" s="1"/>
    </row>
    <row r="444" ht="15.75" customHeight="1">
      <c r="A444" s="1" t="str">
        <f>IFERROR(__xludf.DUMMYFUNCTION("""COMPUTED_VALUE"""),"Astral Wyrm")</f>
        <v>Astral Wyrm</v>
      </c>
      <c r="B444" s="73" t="str">
        <f>IFERROR(__xludf.DUMMYFUNCTION("""COMPUTED_VALUE"""),"1-5")</f>
        <v>1-5</v>
      </c>
      <c r="C444" s="1" t="str">
        <f>IFERROR(__xludf.DUMMYFUNCTION("""COMPUTED_VALUE"""),"500,000G-1,000,000G")</f>
        <v>500,000G-1,000,000G</v>
      </c>
      <c r="D444" s="73" t="str">
        <f>IFERROR(__xludf.DUMMYFUNCTION("""COMPUTED_VALUE"""),"6-10")</f>
        <v>6-10</v>
      </c>
      <c r="E444" s="1" t="str">
        <f>IFERROR(__xludf.DUMMYFUNCTION("""COMPUTED_VALUE"""),"Ring o' Grace and Astral")</f>
        <v>Ring o' Grace and Astral</v>
      </c>
      <c r="F444" s="73" t="str">
        <f>IFERROR(__xludf.DUMMYFUNCTION("""COMPUTED_VALUE"""),"11-15")</f>
        <v>11-15</v>
      </c>
      <c r="G444" s="1" t="str">
        <f>IFERROR(__xludf.DUMMYFUNCTION("""COMPUTED_VALUE"""),"Ring")</f>
        <v>Ring</v>
      </c>
      <c r="H444" s="73" t="str">
        <f>IFERROR(__xludf.DUMMYFUNCTION("""COMPUTED_VALUE"""),"16-20")</f>
        <v>16-20</v>
      </c>
      <c r="I444" s="1" t="str">
        <f>IFERROR(__xludf.DUMMYFUNCTION("""COMPUTED_VALUE"""),"Egg")</f>
        <v>Egg</v>
      </c>
      <c r="J444" s="73" t="str">
        <f>IFERROR(__xludf.DUMMYFUNCTION("""COMPUTED_VALUE"""),"21-25")</f>
        <v>21-25</v>
      </c>
      <c r="K444" s="1" t="str">
        <f>IFERROR(__xludf.DUMMYFUNCTION("""COMPUTED_VALUE"""),"Soul")</f>
        <v>Soul</v>
      </c>
      <c r="L444" s="1"/>
      <c r="M444" s="1"/>
      <c r="N444" s="1"/>
      <c r="O444" s="1"/>
      <c r="P444" s="1"/>
      <c r="Q444" s="1"/>
      <c r="R444" s="1"/>
      <c r="S444" s="1"/>
      <c r="T444" s="1"/>
      <c r="U444" s="1"/>
      <c r="V444" s="1"/>
      <c r="W444" s="1"/>
      <c r="X444" s="1"/>
    </row>
    <row r="445" ht="15.75" customHeight="1">
      <c r="A445" s="1" t="str">
        <f>IFERROR(__xludf.DUMMYFUNCTION("""COMPUTED_VALUE"""),"Celestial Wyrm")</f>
        <v>Celestial Wyrm</v>
      </c>
      <c r="B445" s="73" t="str">
        <f>IFERROR(__xludf.DUMMYFUNCTION("""COMPUTED_VALUE"""),"1-5")</f>
        <v>1-5</v>
      </c>
      <c r="C445" s="1" t="str">
        <f>IFERROR(__xludf.DUMMYFUNCTION("""COMPUTED_VALUE"""),"80,000G-100,000G")</f>
        <v>80,000G-100,000G</v>
      </c>
      <c r="D445" s="73" t="str">
        <f>IFERROR(__xludf.DUMMYFUNCTION("""COMPUTED_VALUE"""),"6-10")</f>
        <v>6-10</v>
      </c>
      <c r="E445" s="1" t="str">
        <f>IFERROR(__xludf.DUMMYFUNCTION("""COMPUTED_VALUE"""),"Nothing")</f>
        <v>Nothing</v>
      </c>
      <c r="F445" s="73" t="str">
        <f>IFERROR(__xludf.DUMMYFUNCTION("""COMPUTED_VALUE"""),"11-15")</f>
        <v>11-15</v>
      </c>
      <c r="G445" s="1" t="str">
        <f>IFERROR(__xludf.DUMMYFUNCTION("""COMPUTED_VALUE"""),"Nothing")</f>
        <v>Nothing</v>
      </c>
      <c r="H445" s="73" t="str">
        <f>IFERROR(__xludf.DUMMYFUNCTION("""COMPUTED_VALUE"""),"16-20")</f>
        <v>16-20</v>
      </c>
      <c r="I445" s="1" t="str">
        <f>IFERROR(__xludf.DUMMYFUNCTION("""COMPUTED_VALUE"""),"Egg")</f>
        <v>Egg</v>
      </c>
      <c r="J445" s="73" t="str">
        <f>IFERROR(__xludf.DUMMYFUNCTION("""COMPUTED_VALUE"""),"21-25")</f>
        <v>21-25</v>
      </c>
      <c r="K445" s="1" t="str">
        <f>IFERROR(__xludf.DUMMYFUNCTION("""COMPUTED_VALUE"""),"Soul")</f>
        <v>Soul</v>
      </c>
      <c r="L445" s="1"/>
      <c r="M445" s="1"/>
      <c r="N445" s="1"/>
      <c r="O445" s="1"/>
      <c r="P445" s="1"/>
      <c r="Q445" s="1"/>
      <c r="R445" s="1"/>
      <c r="S445" s="1"/>
      <c r="T445" s="1"/>
      <c r="U445" s="1"/>
      <c r="V445" s="1"/>
      <c r="W445" s="1"/>
      <c r="X445" s="1"/>
    </row>
    <row r="446" ht="15.75" customHeight="1">
      <c r="A446" s="1" t="str">
        <f>IFERROR(__xludf.DUMMYFUNCTION("""COMPUTED_VALUE"""),"Chaos Wyrm")</f>
        <v>Chaos Wyrm</v>
      </c>
      <c r="B446" s="73" t="str">
        <f>IFERROR(__xludf.DUMMYFUNCTION("""COMPUTED_VALUE"""),"1-5")</f>
        <v>1-5</v>
      </c>
      <c r="C446" s="1" t="str">
        <f>IFERROR(__xludf.DUMMYFUNCTION("""COMPUTED_VALUE"""),"500,000G-1,000,000G")</f>
        <v>500,000G-1,000,000G</v>
      </c>
      <c r="D446" s="73" t="str">
        <f>IFERROR(__xludf.DUMMYFUNCTION("""COMPUTED_VALUE"""),"6-10")</f>
        <v>6-10</v>
      </c>
      <c r="E446" s="1" t="str">
        <f>IFERROR(__xludf.DUMMYFUNCTION("""COMPUTED_VALUE"""),"Nothing")</f>
        <v>Nothing</v>
      </c>
      <c r="F446" s="73" t="str">
        <f>IFERROR(__xludf.DUMMYFUNCTION("""COMPUTED_VALUE"""),"11-15")</f>
        <v>11-15</v>
      </c>
      <c r="G446" s="1" t="str">
        <f>IFERROR(__xludf.DUMMYFUNCTION("""COMPUTED_VALUE"""),"Ring of Pure Chaos")</f>
        <v>Ring of Pure Chaos</v>
      </c>
      <c r="H446" s="73" t="str">
        <f>IFERROR(__xludf.DUMMYFUNCTION("""COMPUTED_VALUE"""),"16-20")</f>
        <v>16-20</v>
      </c>
      <c r="I446" s="1" t="str">
        <f>IFERROR(__xludf.DUMMYFUNCTION("""COMPUTED_VALUE"""),"Egg")</f>
        <v>Egg</v>
      </c>
      <c r="J446" s="73" t="str">
        <f>IFERROR(__xludf.DUMMYFUNCTION("""COMPUTED_VALUE"""),"21-25")</f>
        <v>21-25</v>
      </c>
      <c r="K446" s="1" t="str">
        <f>IFERROR(__xludf.DUMMYFUNCTION("""COMPUTED_VALUE"""),"Soul")</f>
        <v>Soul</v>
      </c>
      <c r="L446" s="1"/>
      <c r="M446" s="1"/>
      <c r="N446" s="1"/>
      <c r="O446" s="1"/>
      <c r="P446" s="1"/>
      <c r="Q446" s="1"/>
      <c r="R446" s="1"/>
      <c r="S446" s="1"/>
      <c r="T446" s="1"/>
      <c r="U446" s="1"/>
      <c r="V446" s="1"/>
      <c r="W446" s="1"/>
      <c r="X446" s="1"/>
    </row>
    <row r="447" ht="15.75" customHeight="1">
      <c r="A447" s="1" t="str">
        <f>IFERROR(__xludf.DUMMYFUNCTION("""COMPUTED_VALUE"""),"Dark Wyrm")</f>
        <v>Dark Wyrm</v>
      </c>
      <c r="B447" s="73" t="str">
        <f>IFERROR(__xludf.DUMMYFUNCTION("""COMPUTED_VALUE"""),"1-5")</f>
        <v>1-5</v>
      </c>
      <c r="C447" s="1" t="str">
        <f>IFERROR(__xludf.DUMMYFUNCTION("""COMPUTED_VALUE"""),"500,000G-1,000,000G")</f>
        <v>500,000G-1,000,000G</v>
      </c>
      <c r="D447" s="73" t="str">
        <f>IFERROR(__xludf.DUMMYFUNCTION("""COMPUTED_VALUE"""),"6-10")</f>
        <v>6-10</v>
      </c>
      <c r="E447" s="1" t="str">
        <f>IFERROR(__xludf.DUMMYFUNCTION("""COMPUTED_VALUE"""),"Ring")</f>
        <v>Ring</v>
      </c>
      <c r="F447" s="73" t="str">
        <f>IFERROR(__xludf.DUMMYFUNCTION("""COMPUTED_VALUE"""),"11-15")</f>
        <v>11-15</v>
      </c>
      <c r="G447" s="1" t="str">
        <f>IFERROR(__xludf.DUMMYFUNCTION("""COMPUTED_VALUE"""),"Ring of Darkness")</f>
        <v>Ring of Darkness</v>
      </c>
      <c r="H447" s="73" t="str">
        <f>IFERROR(__xludf.DUMMYFUNCTION("""COMPUTED_VALUE"""),"16-20")</f>
        <v>16-20</v>
      </c>
      <c r="I447" s="1" t="str">
        <f>IFERROR(__xludf.DUMMYFUNCTION("""COMPUTED_VALUE"""),"Egg")</f>
        <v>Egg</v>
      </c>
      <c r="J447" s="73" t="str">
        <f>IFERROR(__xludf.DUMMYFUNCTION("""COMPUTED_VALUE"""),"21-25")</f>
        <v>21-25</v>
      </c>
      <c r="K447" s="1" t="str">
        <f>IFERROR(__xludf.DUMMYFUNCTION("""COMPUTED_VALUE"""),"Soul")</f>
        <v>Soul</v>
      </c>
      <c r="L447" s="1"/>
      <c r="M447" s="1"/>
      <c r="N447" s="1"/>
      <c r="O447" s="1"/>
      <c r="P447" s="1"/>
      <c r="Q447" s="1"/>
      <c r="R447" s="1"/>
      <c r="S447" s="1"/>
      <c r="T447" s="1"/>
      <c r="U447" s="1"/>
      <c r="V447" s="1"/>
      <c r="W447" s="1"/>
      <c r="X447" s="1"/>
    </row>
    <row r="448" ht="15.75" customHeight="1">
      <c r="A448" s="1" t="str">
        <f>IFERROR(__xludf.DUMMYFUNCTION("""COMPUTED_VALUE"""),"Delta Wyrm")</f>
        <v>Delta Wyrm</v>
      </c>
      <c r="B448" s="73" t="str">
        <f>IFERROR(__xludf.DUMMYFUNCTION("""COMPUTED_VALUE"""),"1-5")</f>
        <v>1-5</v>
      </c>
      <c r="C448" s="1" t="str">
        <f>IFERROR(__xludf.DUMMYFUNCTION("""COMPUTED_VALUE"""),"80,000G-100,000G")</f>
        <v>80,000G-100,000G</v>
      </c>
      <c r="D448" s="73" t="str">
        <f>IFERROR(__xludf.DUMMYFUNCTION("""COMPUTED_VALUE"""),"6-10")</f>
        <v>6-10</v>
      </c>
      <c r="E448" s="1" t="str">
        <f>IFERROR(__xludf.DUMMYFUNCTION("""COMPUTED_VALUE"""),"Nothing")</f>
        <v>Nothing</v>
      </c>
      <c r="F448" s="73" t="str">
        <f>IFERROR(__xludf.DUMMYFUNCTION("""COMPUTED_VALUE"""),"11-15")</f>
        <v>11-15</v>
      </c>
      <c r="G448" s="1" t="str">
        <f>IFERROR(__xludf.DUMMYFUNCTION("""COMPUTED_VALUE"""),"Ring o' Power and Delta")</f>
        <v>Ring o' Power and Delta</v>
      </c>
      <c r="H448" s="73" t="str">
        <f>IFERROR(__xludf.DUMMYFUNCTION("""COMPUTED_VALUE"""),"16-20")</f>
        <v>16-20</v>
      </c>
      <c r="I448" s="1" t="str">
        <f>IFERROR(__xludf.DUMMYFUNCTION("""COMPUTED_VALUE"""),"Egg")</f>
        <v>Egg</v>
      </c>
      <c r="J448" s="73" t="str">
        <f>IFERROR(__xludf.DUMMYFUNCTION("""COMPUTED_VALUE"""),"21-25")</f>
        <v>21-25</v>
      </c>
      <c r="K448" s="1" t="str">
        <f>IFERROR(__xludf.DUMMYFUNCTION("""COMPUTED_VALUE"""),"Soul")</f>
        <v>Soul</v>
      </c>
      <c r="L448" s="1"/>
      <c r="M448" s="1"/>
      <c r="N448" s="1"/>
      <c r="O448" s="1"/>
      <c r="P448" s="1"/>
      <c r="Q448" s="1"/>
      <c r="R448" s="1"/>
      <c r="S448" s="1"/>
      <c r="T448" s="1"/>
      <c r="U448" s="1"/>
      <c r="V448" s="1"/>
      <c r="W448" s="1"/>
      <c r="X448" s="1"/>
    </row>
    <row r="449" ht="15.75" customHeight="1">
      <c r="A449" s="1" t="str">
        <f>IFERROR(__xludf.DUMMYFUNCTION("""COMPUTED_VALUE"""),"Frost Wyrm")</f>
        <v>Frost Wyrm</v>
      </c>
      <c r="B449" s="73" t="str">
        <f>IFERROR(__xludf.DUMMYFUNCTION("""COMPUTED_VALUE"""),"1-5")</f>
        <v>1-5</v>
      </c>
      <c r="C449" s="1" t="str">
        <f>IFERROR(__xludf.DUMMYFUNCTION("""COMPUTED_VALUE"""),"500,000G-1,000,000G")</f>
        <v>500,000G-1,000,000G</v>
      </c>
      <c r="D449" s="73" t="str">
        <f>IFERROR(__xludf.DUMMYFUNCTION("""COMPUTED_VALUE"""),"6-10")</f>
        <v>6-10</v>
      </c>
      <c r="E449" s="1" t="str">
        <f>IFERROR(__xludf.DUMMYFUNCTION("""COMPUTED_VALUE"""),"Nothing")</f>
        <v>Nothing</v>
      </c>
      <c r="F449" s="73" t="str">
        <f>IFERROR(__xludf.DUMMYFUNCTION("""COMPUTED_VALUE"""),"11-15")</f>
        <v>11-15</v>
      </c>
      <c r="G449" s="1" t="str">
        <f>IFERROR(__xludf.DUMMYFUNCTION("""COMPUTED_VALUE"""),"Ice bomb")</f>
        <v>Ice bomb</v>
      </c>
      <c r="H449" s="73" t="str">
        <f>IFERROR(__xludf.DUMMYFUNCTION("""COMPUTED_VALUE"""),"16-20")</f>
        <v>16-20</v>
      </c>
      <c r="I449" s="1" t="str">
        <f>IFERROR(__xludf.DUMMYFUNCTION("""COMPUTED_VALUE"""),"Egg")</f>
        <v>Egg</v>
      </c>
      <c r="J449" s="73" t="str">
        <f>IFERROR(__xludf.DUMMYFUNCTION("""COMPUTED_VALUE"""),"21-25")</f>
        <v>21-25</v>
      </c>
      <c r="K449" s="1" t="str">
        <f>IFERROR(__xludf.DUMMYFUNCTION("""COMPUTED_VALUE"""),"Soul")</f>
        <v>Soul</v>
      </c>
      <c r="L449" s="1"/>
      <c r="M449" s="1"/>
      <c r="N449" s="1"/>
      <c r="O449" s="1"/>
      <c r="P449" s="1"/>
      <c r="Q449" s="1"/>
      <c r="R449" s="1"/>
      <c r="S449" s="1"/>
      <c r="T449" s="1"/>
      <c r="U449" s="1"/>
      <c r="V449" s="1"/>
      <c r="W449" s="1"/>
      <c r="X449" s="1"/>
    </row>
    <row r="450" ht="15.75" customHeight="1">
      <c r="A450" s="1" t="str">
        <f>IFERROR(__xludf.DUMMYFUNCTION("""COMPUTED_VALUE"""),"Soul Wyrm")</f>
        <v>Soul Wyrm</v>
      </c>
      <c r="B450" s="73" t="str">
        <f>IFERROR(__xludf.DUMMYFUNCTION("""COMPUTED_VALUE"""),"1-5")</f>
        <v>1-5</v>
      </c>
      <c r="C450" s="1" t="str">
        <f>IFERROR(__xludf.DUMMYFUNCTION("""COMPUTED_VALUE"""),"Soul")</f>
        <v>Soul</v>
      </c>
      <c r="D450" s="73" t="str">
        <f>IFERROR(__xludf.DUMMYFUNCTION("""COMPUTED_VALUE"""),"6-10")</f>
        <v>6-10</v>
      </c>
      <c r="E450" s="1"/>
      <c r="F450" s="73" t="str">
        <f>IFERROR(__xludf.DUMMYFUNCTION("""COMPUTED_VALUE"""),"11-15")</f>
        <v>11-15</v>
      </c>
      <c r="G450" s="1" t="str">
        <f>IFERROR(__xludf.DUMMYFUNCTION("""COMPUTED_VALUE"""),"Soul")</f>
        <v>Soul</v>
      </c>
      <c r="H450" s="73" t="str">
        <f>IFERROR(__xludf.DUMMYFUNCTION("""COMPUTED_VALUE"""),"16-20")</f>
        <v>16-20</v>
      </c>
      <c r="I450" s="1" t="str">
        <f>IFERROR(__xludf.DUMMYFUNCTION("""COMPUTED_VALUE"""),"1,000,000G-20,000,000G")</f>
        <v>1,000,000G-20,000,000G</v>
      </c>
      <c r="J450" s="73" t="str">
        <f>IFERROR(__xludf.DUMMYFUNCTION("""COMPUTED_VALUE"""),"21-25")</f>
        <v>21-25</v>
      </c>
      <c r="K450" s="1"/>
      <c r="L450" s="1"/>
      <c r="M450" s="1"/>
      <c r="N450" s="1"/>
      <c r="O450" s="1"/>
      <c r="P450" s="1"/>
      <c r="Q450" s="1"/>
      <c r="R450" s="1"/>
      <c r="S450" s="1"/>
      <c r="T450" s="1"/>
      <c r="U450" s="1"/>
      <c r="V450" s="1"/>
      <c r="W450" s="1"/>
      <c r="X450" s="1"/>
    </row>
    <row r="451" ht="15.75" customHeight="1">
      <c r="A451" s="1" t="str">
        <f>IFERROR(__xludf.DUMMYFUNCTION("""COMPUTED_VALUE"""),"Spirit Wyrm")</f>
        <v>Spirit Wyrm</v>
      </c>
      <c r="B451" s="73" t="str">
        <f>IFERROR(__xludf.DUMMYFUNCTION("""COMPUTED_VALUE"""),"1-5")</f>
        <v>1-5</v>
      </c>
      <c r="C451" s="1" t="str">
        <f>IFERROR(__xludf.DUMMYFUNCTION("""COMPUTED_VALUE"""),"Nothing")</f>
        <v>Nothing</v>
      </c>
      <c r="D451" s="73" t="str">
        <f>IFERROR(__xludf.DUMMYFUNCTION("""COMPUTED_VALUE"""),"6-10")</f>
        <v>6-10</v>
      </c>
      <c r="E451" s="1" t="str">
        <f>IFERROR(__xludf.DUMMYFUNCTION("""COMPUTED_VALUE"""),"Nothing")</f>
        <v>Nothing</v>
      </c>
      <c r="F451" s="73" t="str">
        <f>IFERROR(__xludf.DUMMYFUNCTION("""COMPUTED_VALUE"""),"11-15")</f>
        <v>11-15</v>
      </c>
      <c r="G451" s="1" t="str">
        <f>IFERROR(__xludf.DUMMYFUNCTION("""COMPUTED_VALUE"""),"Booze Bomb")</f>
        <v>Booze Bomb</v>
      </c>
      <c r="H451" s="73" t="str">
        <f>IFERROR(__xludf.DUMMYFUNCTION("""COMPUTED_VALUE"""),"16-20")</f>
        <v>16-20</v>
      </c>
      <c r="I451" s="1" t="str">
        <f>IFERROR(__xludf.DUMMYFUNCTION("""COMPUTED_VALUE"""),"Egg")</f>
        <v>Egg</v>
      </c>
      <c r="J451" s="73" t="str">
        <f>IFERROR(__xludf.DUMMYFUNCTION("""COMPUTED_VALUE"""),"21-25")</f>
        <v>21-25</v>
      </c>
      <c r="K451" s="1" t="str">
        <f>IFERROR(__xludf.DUMMYFUNCTION("""COMPUTED_VALUE"""),"Soul")</f>
        <v>Soul</v>
      </c>
      <c r="L451" s="1"/>
      <c r="M451" s="1"/>
      <c r="N451" s="1"/>
      <c r="O451" s="1"/>
      <c r="P451" s="1"/>
      <c r="Q451" s="1"/>
      <c r="R451" s="1"/>
      <c r="S451" s="1"/>
      <c r="T451" s="1"/>
      <c r="U451" s="1"/>
      <c r="V451" s="1"/>
      <c r="W451" s="1"/>
      <c r="X451" s="1"/>
    </row>
    <row r="452" ht="15.75" customHeight="1">
      <c r="A452" s="1"/>
      <c r="B452" s="73" t="str">
        <f>IFERROR(__xludf.DUMMYFUNCTION("""COMPUTED_VALUE"""),"1-5")</f>
        <v>1-5</v>
      </c>
      <c r="C452" s="1"/>
      <c r="D452" s="73" t="str">
        <f>IFERROR(__xludf.DUMMYFUNCTION("""COMPUTED_VALUE"""),"6-10")</f>
        <v>6-10</v>
      </c>
      <c r="E452" s="1"/>
      <c r="F452" s="73" t="str">
        <f>IFERROR(__xludf.DUMMYFUNCTION("""COMPUTED_VALUE"""),"11-15")</f>
        <v>11-15</v>
      </c>
      <c r="G452" s="1"/>
      <c r="H452" s="73" t="str">
        <f>IFERROR(__xludf.DUMMYFUNCTION("""COMPUTED_VALUE"""),"16-20")</f>
        <v>16-20</v>
      </c>
      <c r="I452" s="1"/>
      <c r="J452" s="73" t="str">
        <f>IFERROR(__xludf.DUMMYFUNCTION("""COMPUTED_VALUE"""),"21-25")</f>
        <v>21-25</v>
      </c>
      <c r="K452" s="1"/>
      <c r="L452" s="1"/>
      <c r="M452" s="1"/>
      <c r="N452" s="1"/>
      <c r="O452" s="1"/>
      <c r="P452" s="1"/>
      <c r="Q452" s="1"/>
      <c r="R452" s="1"/>
      <c r="S452" s="1"/>
      <c r="T452" s="1"/>
      <c r="U452" s="1"/>
      <c r="V452" s="1"/>
      <c r="W452" s="1"/>
      <c r="X452" s="1"/>
    </row>
    <row r="453" ht="15.75" customHeight="1">
      <c r="A453" s="1"/>
      <c r="B453" s="73" t="str">
        <f>IFERROR(__xludf.DUMMYFUNCTION("""COMPUTED_VALUE"""),"1-5")</f>
        <v>1-5</v>
      </c>
      <c r="C453" s="1"/>
      <c r="D453" s="73" t="str">
        <f>IFERROR(__xludf.DUMMYFUNCTION("""COMPUTED_VALUE"""),"6-10")</f>
        <v>6-10</v>
      </c>
      <c r="E453" s="1"/>
      <c r="F453" s="73" t="str">
        <f>IFERROR(__xludf.DUMMYFUNCTION("""COMPUTED_VALUE"""),"11-15")</f>
        <v>11-15</v>
      </c>
      <c r="G453" s="1"/>
      <c r="H453" s="73" t="str">
        <f>IFERROR(__xludf.DUMMYFUNCTION("""COMPUTED_VALUE"""),"16-20")</f>
        <v>16-20</v>
      </c>
      <c r="I453" s="1"/>
      <c r="J453" s="73" t="str">
        <f>IFERROR(__xludf.DUMMYFUNCTION("""COMPUTED_VALUE"""),"21-25")</f>
        <v>21-25</v>
      </c>
      <c r="K453" s="1"/>
      <c r="L453" s="1"/>
      <c r="M453" s="1"/>
      <c r="N453" s="1"/>
      <c r="O453" s="1"/>
      <c r="P453" s="1"/>
      <c r="Q453" s="1"/>
      <c r="R453" s="1"/>
      <c r="S453" s="1"/>
      <c r="T453" s="1"/>
      <c r="U453" s="1"/>
      <c r="V453" s="1"/>
      <c r="W453" s="1"/>
      <c r="X453" s="1"/>
    </row>
    <row r="454" ht="15.75" customHeight="1">
      <c r="A454" s="1" t="str">
        <f>IFERROR(__xludf.DUMMYFUNCTION("""COMPUTED_VALUE"""),"Undead Wyrm")</f>
        <v>Undead Wyrm</v>
      </c>
      <c r="B454" s="73" t="str">
        <f>IFERROR(__xludf.DUMMYFUNCTION("""COMPUTED_VALUE"""),"1-5")</f>
        <v>1-5</v>
      </c>
      <c r="C454" s="1" t="str">
        <f>IFERROR(__xludf.DUMMYFUNCTION("""COMPUTED_VALUE"""),"Bone")</f>
        <v>Bone</v>
      </c>
      <c r="D454" s="73" t="str">
        <f>IFERROR(__xludf.DUMMYFUNCTION("""COMPUTED_VALUE"""),"6-10")</f>
        <v>6-10</v>
      </c>
      <c r="E454" s="1" t="str">
        <f>IFERROR(__xludf.DUMMYFUNCTION("""COMPUTED_VALUE"""),"Dragon's Skull")</f>
        <v>Dragon's Skull</v>
      </c>
      <c r="F454" s="73" t="str">
        <f>IFERROR(__xludf.DUMMYFUNCTION("""COMPUTED_VALUE"""),"11-15")</f>
        <v>11-15</v>
      </c>
      <c r="G454" s="1" t="str">
        <f>IFERROR(__xludf.DUMMYFUNCTION("""COMPUTED_VALUE"""),"Broken Dragonscale Mail")</f>
        <v>Broken Dragonscale Mail</v>
      </c>
      <c r="H454" s="73" t="str">
        <f>IFERROR(__xludf.DUMMYFUNCTION("""COMPUTED_VALUE"""),"16-20")</f>
        <v>16-20</v>
      </c>
      <c r="I454" s="1" t="str">
        <f>IFERROR(__xludf.DUMMYFUNCTION("""COMPUTED_VALUE"""),"Egg")</f>
        <v>Egg</v>
      </c>
      <c r="J454" s="73" t="str">
        <f>IFERROR(__xludf.DUMMYFUNCTION("""COMPUTED_VALUE"""),"21-25")</f>
        <v>21-25</v>
      </c>
      <c r="K454" s="1" t="str">
        <f>IFERROR(__xludf.DUMMYFUNCTION("""COMPUTED_VALUE"""),"Soul")</f>
        <v>Soul</v>
      </c>
      <c r="L454" s="1"/>
      <c r="M454" s="1"/>
      <c r="N454" s="1"/>
      <c r="O454" s="1"/>
      <c r="P454" s="1"/>
      <c r="Q454" s="1"/>
      <c r="R454" s="1"/>
      <c r="S454" s="1"/>
      <c r="T454" s="1"/>
      <c r="U454" s="1"/>
      <c r="V454" s="1"/>
      <c r="W454" s="1"/>
      <c r="X454" s="1"/>
    </row>
    <row r="455" ht="15.75" customHeight="1">
      <c r="A455" s="1" t="str">
        <f>IFERROR(__xludf.DUMMYFUNCTION("""COMPUTED_VALUE"""),"Crystal Wyrm")</f>
        <v>Crystal Wyrm</v>
      </c>
      <c r="B455" s="73" t="str">
        <f>IFERROR(__xludf.DUMMYFUNCTION("""COMPUTED_VALUE"""),"1-5")</f>
        <v>1-5</v>
      </c>
      <c r="C455" s="1" t="str">
        <f>IFERROR(__xludf.DUMMYFUNCTION("""COMPUTED_VALUE"""),"Crystal Sword")</f>
        <v>Crystal Sword</v>
      </c>
      <c r="D455" s="73" t="str">
        <f>IFERROR(__xludf.DUMMYFUNCTION("""COMPUTED_VALUE"""),"6-10")</f>
        <v>6-10</v>
      </c>
      <c r="E455" s="1" t="str">
        <f>IFERROR(__xludf.DUMMYFUNCTION("""COMPUTED_VALUE"""),"Crystal Ring")</f>
        <v>Crystal Ring</v>
      </c>
      <c r="F455" s="73" t="str">
        <f>IFERROR(__xludf.DUMMYFUNCTION("""COMPUTED_VALUE"""),"11-15")</f>
        <v>11-15</v>
      </c>
      <c r="G455" s="1" t="str">
        <f>IFERROR(__xludf.DUMMYFUNCTION("""COMPUTED_VALUE"""),"Crystal")</f>
        <v>Crystal</v>
      </c>
      <c r="H455" s="73" t="str">
        <f>IFERROR(__xludf.DUMMYFUNCTION("""COMPUTED_VALUE"""),"16-20")</f>
        <v>16-20</v>
      </c>
      <c r="I455" s="1" t="str">
        <f>IFERROR(__xludf.DUMMYFUNCTION("""COMPUTED_VALUE"""),"Egg")</f>
        <v>Egg</v>
      </c>
      <c r="J455" s="73" t="str">
        <f>IFERROR(__xludf.DUMMYFUNCTION("""COMPUTED_VALUE"""),"21-25")</f>
        <v>21-25</v>
      </c>
      <c r="K455" s="1" t="str">
        <f>IFERROR(__xludf.DUMMYFUNCTION("""COMPUTED_VALUE"""),"Soul")</f>
        <v>Soul</v>
      </c>
      <c r="L455" s="1"/>
      <c r="M455" s="1"/>
      <c r="N455" s="1"/>
      <c r="O455" s="1"/>
      <c r="P455" s="1"/>
      <c r="Q455" s="1"/>
      <c r="R455" s="1"/>
      <c r="S455" s="1"/>
      <c r="T455" s="1"/>
      <c r="U455" s="1"/>
      <c r="V455" s="1"/>
      <c r="W455" s="1"/>
      <c r="X455" s="1"/>
    </row>
    <row r="456" ht="15.75" customHeight="1">
      <c r="A456" s="1" t="str">
        <f>IFERROR(__xludf.DUMMYFUNCTION("""COMPUTED_VALUE"""),"Komodo Dragon")</f>
        <v>Komodo Dragon</v>
      </c>
      <c r="B456" s="73" t="str">
        <f>IFERROR(__xludf.DUMMYFUNCTION("""COMPUTED_VALUE"""),"1-5")</f>
        <v>1-5</v>
      </c>
      <c r="C456" s="1" t="str">
        <f>IFERROR(__xludf.DUMMYFUNCTION("""COMPUTED_VALUE"""),"Scale")</f>
        <v>Scale</v>
      </c>
      <c r="D456" s="73" t="str">
        <f>IFERROR(__xludf.DUMMYFUNCTION("""COMPUTED_VALUE"""),"6-10")</f>
        <v>6-10</v>
      </c>
      <c r="E456" s="1" t="str">
        <f>IFERROR(__xludf.DUMMYFUNCTION("""COMPUTED_VALUE"""),"Nothing")</f>
        <v>Nothing</v>
      </c>
      <c r="F456" s="73" t="str">
        <f>IFERROR(__xludf.DUMMYFUNCTION("""COMPUTED_VALUE"""),"11-15")</f>
        <v>11-15</v>
      </c>
      <c r="G456" s="1" t="str">
        <f>IFERROR(__xludf.DUMMYFUNCTION("""COMPUTED_VALUE"""),"Dragon scales")</f>
        <v>Dragon scales</v>
      </c>
      <c r="H456" s="73" t="str">
        <f>IFERROR(__xludf.DUMMYFUNCTION("""COMPUTED_VALUE"""),"16-20")</f>
        <v>16-20</v>
      </c>
      <c r="I456" s="1" t="str">
        <f>IFERROR(__xludf.DUMMYFUNCTION("""COMPUTED_VALUE"""),"Nothing")</f>
        <v>Nothing</v>
      </c>
      <c r="J456" s="73" t="str">
        <f>IFERROR(__xludf.DUMMYFUNCTION("""COMPUTED_VALUE"""),"21-25")</f>
        <v>21-25</v>
      </c>
      <c r="K456" s="1" t="str">
        <f>IFERROR(__xludf.DUMMYFUNCTION("""COMPUTED_VALUE"""),"Soul")</f>
        <v>Soul</v>
      </c>
      <c r="L456" s="1"/>
      <c r="M456" s="1"/>
      <c r="N456" s="1"/>
      <c r="O456" s="1"/>
      <c r="P456" s="1"/>
      <c r="Q456" s="1"/>
      <c r="R456" s="1"/>
      <c r="S456" s="1"/>
      <c r="T456" s="1"/>
      <c r="U456" s="1"/>
      <c r="V456" s="1"/>
      <c r="W456" s="1"/>
      <c r="X456" s="1"/>
    </row>
    <row r="457" ht="15.75" customHeight="1">
      <c r="A457" s="1" t="str">
        <f>IFERROR(__xludf.DUMMYFUNCTION("""COMPUTED_VALUE"""),"Lizardfolk Wizard")</f>
        <v>Lizardfolk Wizard</v>
      </c>
      <c r="B457" s="73" t="str">
        <f>IFERROR(__xludf.DUMMYFUNCTION("""COMPUTED_VALUE"""),"1-5")</f>
        <v>1-5</v>
      </c>
      <c r="C457" s="1" t="str">
        <f>IFERROR(__xludf.DUMMYFUNCTION("""COMPUTED_VALUE"""),"Dark Wand")</f>
        <v>Dark Wand</v>
      </c>
      <c r="D457" s="73" t="str">
        <f>IFERROR(__xludf.DUMMYFUNCTION("""COMPUTED_VALUE"""),"6-10")</f>
        <v>6-10</v>
      </c>
      <c r="E457" s="1" t="str">
        <f>IFERROR(__xludf.DUMMYFUNCTION("""COMPUTED_VALUE"""),"Wizard's Hood")</f>
        <v>Wizard's Hood</v>
      </c>
      <c r="F457" s="73" t="str">
        <f>IFERROR(__xludf.DUMMYFUNCTION("""COMPUTED_VALUE"""),"11-15")</f>
        <v>11-15</v>
      </c>
      <c r="G457" s="1" t="str">
        <f>IFERROR(__xludf.DUMMYFUNCTION("""COMPUTED_VALUE"""),"Wizard's Cloak")</f>
        <v>Wizard's Cloak</v>
      </c>
      <c r="H457" s="73" t="str">
        <f>IFERROR(__xludf.DUMMYFUNCTION("""COMPUTED_VALUE"""),"16-20")</f>
        <v>16-20</v>
      </c>
      <c r="I457" s="1" t="str">
        <f>IFERROR(__xludf.DUMMYFUNCTION("""COMPUTED_VALUE"""),"Nothing")</f>
        <v>Nothing</v>
      </c>
      <c r="J457" s="73" t="str">
        <f>IFERROR(__xludf.DUMMYFUNCTION("""COMPUTED_VALUE"""),"21-25")</f>
        <v>21-25</v>
      </c>
      <c r="K457" s="1" t="str">
        <f>IFERROR(__xludf.DUMMYFUNCTION("""COMPUTED_VALUE"""),"Soul")</f>
        <v>Soul</v>
      </c>
      <c r="L457" s="1"/>
      <c r="M457" s="1"/>
      <c r="N457" s="1"/>
      <c r="O457" s="1"/>
      <c r="P457" s="1"/>
      <c r="Q457" s="1"/>
      <c r="R457" s="1"/>
      <c r="S457" s="1"/>
      <c r="T457" s="1"/>
      <c r="U457" s="1"/>
      <c r="V457" s="1"/>
      <c r="W457" s="1"/>
      <c r="X457" s="1"/>
    </row>
    <row r="458" ht="15.75" customHeight="1">
      <c r="A458" s="1" t="str">
        <f>IFERROR(__xludf.DUMMYFUNCTION("""COMPUTED_VALUE"""),"Lizardfolk Thief")</f>
        <v>Lizardfolk Thief</v>
      </c>
      <c r="B458" s="73" t="str">
        <f>IFERROR(__xludf.DUMMYFUNCTION("""COMPUTED_VALUE"""),"1-5")</f>
        <v>1-5</v>
      </c>
      <c r="C458" s="1" t="str">
        <f>IFERROR(__xludf.DUMMYFUNCTION("""COMPUTED_VALUE"""),"Tights of Fabulous Thievery")</f>
        <v>Tights of Fabulous Thievery</v>
      </c>
      <c r="D458" s="73" t="str">
        <f>IFERROR(__xludf.DUMMYFUNCTION("""COMPUTED_VALUE"""),"6-10")</f>
        <v>6-10</v>
      </c>
      <c r="E458" s="1" t="str">
        <f>IFERROR(__xludf.DUMMYFUNCTION("""COMPUTED_VALUE"""),"Scale")</f>
        <v>Scale</v>
      </c>
      <c r="F458" s="73" t="str">
        <f>IFERROR(__xludf.DUMMYFUNCTION("""COMPUTED_VALUE"""),"11-15")</f>
        <v>11-15</v>
      </c>
      <c r="G458" s="1" t="str">
        <f>IFERROR(__xludf.DUMMYFUNCTION("""COMPUTED_VALUE"""),"Nothing")</f>
        <v>Nothing</v>
      </c>
      <c r="H458" s="73" t="str">
        <f>IFERROR(__xludf.DUMMYFUNCTION("""COMPUTED_VALUE"""),"16-20")</f>
        <v>16-20</v>
      </c>
      <c r="I458" s="1" t="str">
        <f>IFERROR(__xludf.DUMMYFUNCTION("""COMPUTED_VALUE"""),"Soul")</f>
        <v>Soul</v>
      </c>
      <c r="J458" s="73" t="str">
        <f>IFERROR(__xludf.DUMMYFUNCTION("""COMPUTED_VALUE"""),"21-25")</f>
        <v>21-25</v>
      </c>
      <c r="K458" s="1" t="str">
        <f>IFERROR(__xludf.DUMMYFUNCTION("""COMPUTED_VALUE"""),"80,000,000G-100,000,000G")</f>
        <v>80,000,000G-100,000,000G</v>
      </c>
      <c r="L458" s="1"/>
      <c r="M458" s="1"/>
      <c r="N458" s="1"/>
      <c r="O458" s="1"/>
      <c r="P458" s="1"/>
      <c r="Q458" s="1"/>
      <c r="R458" s="1"/>
      <c r="S458" s="1"/>
      <c r="T458" s="1"/>
      <c r="U458" s="1"/>
      <c r="V458" s="1"/>
      <c r="W458" s="1"/>
      <c r="X458" s="1"/>
    </row>
    <row r="459" ht="15.75" customHeight="1">
      <c r="A459" s="1" t="str">
        <f>IFERROR(__xludf.DUMMYFUNCTION("""COMPUTED_VALUE"""),"Lizardfolk Warrior")</f>
        <v>Lizardfolk Warrior</v>
      </c>
      <c r="B459" s="73" t="str">
        <f>IFERROR(__xludf.DUMMYFUNCTION("""COMPUTED_VALUE"""),"1-5")</f>
        <v>1-5</v>
      </c>
      <c r="C459" s="1" t="str">
        <f>IFERROR(__xludf.DUMMYFUNCTION("""COMPUTED_VALUE"""),"Sword of Steel")</f>
        <v>Sword of Steel</v>
      </c>
      <c r="D459" s="73" t="str">
        <f>IFERROR(__xludf.DUMMYFUNCTION("""COMPUTED_VALUE"""),"6-10")</f>
        <v>6-10</v>
      </c>
      <c r="E459" s="1" t="str">
        <f>IFERROR(__xludf.DUMMYFUNCTION("""COMPUTED_VALUE"""),"Scale")</f>
        <v>Scale</v>
      </c>
      <c r="F459" s="73" t="str">
        <f>IFERROR(__xludf.DUMMYFUNCTION("""COMPUTED_VALUE"""),"11-15")</f>
        <v>11-15</v>
      </c>
      <c r="G459" s="1" t="str">
        <f>IFERROR(__xludf.DUMMYFUNCTION("""COMPUTED_VALUE"""),"Nothing")</f>
        <v>Nothing</v>
      </c>
      <c r="H459" s="73" t="str">
        <f>IFERROR(__xludf.DUMMYFUNCTION("""COMPUTED_VALUE"""),"16-20")</f>
        <v>16-20</v>
      </c>
      <c r="I459" s="1" t="str">
        <f>IFERROR(__xludf.DUMMYFUNCTION("""COMPUTED_VALUE"""),"Chain Link Armor")</f>
        <v>Chain Link Armor</v>
      </c>
      <c r="J459" s="73" t="str">
        <f>IFERROR(__xludf.DUMMYFUNCTION("""COMPUTED_VALUE"""),"21-25")</f>
        <v>21-25</v>
      </c>
      <c r="K459" s="1" t="str">
        <f>IFERROR(__xludf.DUMMYFUNCTION("""COMPUTED_VALUE"""),"Soul")</f>
        <v>Soul</v>
      </c>
      <c r="L459" s="1"/>
      <c r="M459" s="1"/>
      <c r="N459" s="1"/>
      <c r="O459" s="1"/>
      <c r="P459" s="1"/>
      <c r="Q459" s="1"/>
      <c r="R459" s="1"/>
      <c r="S459" s="1"/>
      <c r="T459" s="1"/>
      <c r="U459" s="1"/>
      <c r="V459" s="1"/>
      <c r="W459" s="1"/>
      <c r="X459" s="1"/>
    </row>
    <row r="460" ht="15.75" customHeight="1">
      <c r="A460" s="1" t="str">
        <f>IFERROR(__xludf.DUMMYFUNCTION("""COMPUTED_VALUE"""),"Iguanian  Assassin")</f>
        <v>Iguanian  Assassin</v>
      </c>
      <c r="B460" s="73" t="str">
        <f>IFERROR(__xludf.DUMMYFUNCTION("""COMPUTED_VALUE"""),"1-5")</f>
        <v>1-5</v>
      </c>
      <c r="C460" s="1" t="str">
        <f>IFERROR(__xludf.DUMMYFUNCTION("""COMPUTED_VALUE"""),"The Invisible Spear")</f>
        <v>The Invisible Spear</v>
      </c>
      <c r="D460" s="73" t="str">
        <f>IFERROR(__xludf.DUMMYFUNCTION("""COMPUTED_VALUE"""),"6-10")</f>
        <v>6-10</v>
      </c>
      <c r="E460" s="1" t="str">
        <f>IFERROR(__xludf.DUMMYFUNCTION("""COMPUTED_VALUE"""),"Nothing")</f>
        <v>Nothing</v>
      </c>
      <c r="F460" s="73" t="str">
        <f>IFERROR(__xludf.DUMMYFUNCTION("""COMPUTED_VALUE"""),"11-15")</f>
        <v>11-15</v>
      </c>
      <c r="G460" s="1" t="str">
        <f>IFERROR(__xludf.DUMMYFUNCTION("""COMPUTED_VALUE"""),"Nothing")</f>
        <v>Nothing</v>
      </c>
      <c r="H460" s="73" t="str">
        <f>IFERROR(__xludf.DUMMYFUNCTION("""COMPUTED_VALUE"""),"16-20")</f>
        <v>16-20</v>
      </c>
      <c r="I460" s="1" t="str">
        <f>IFERROR(__xludf.DUMMYFUNCTION("""COMPUTED_VALUE"""),"Soul")</f>
        <v>Soul</v>
      </c>
      <c r="J460" s="73" t="str">
        <f>IFERROR(__xludf.DUMMYFUNCTION("""COMPUTED_VALUE"""),"21-25")</f>
        <v>21-25</v>
      </c>
      <c r="K460" s="1" t="str">
        <f>IFERROR(__xludf.DUMMYFUNCTION("""COMPUTED_VALUE"""),"Nothing")</f>
        <v>Nothing</v>
      </c>
      <c r="L460" s="1"/>
      <c r="M460" s="1"/>
      <c r="N460" s="1"/>
      <c r="O460" s="1"/>
      <c r="P460" s="1"/>
      <c r="Q460" s="1"/>
      <c r="R460" s="1"/>
      <c r="S460" s="1"/>
      <c r="T460" s="1"/>
      <c r="U460" s="1"/>
      <c r="V460" s="1"/>
      <c r="W460" s="1"/>
      <c r="X460" s="1"/>
    </row>
    <row r="461" ht="15.75" customHeight="1">
      <c r="A461" s="1" t="str">
        <f>IFERROR(__xludf.DUMMYFUNCTION("""COMPUTED_VALUE"""),"Iguanian Brawler")</f>
        <v>Iguanian Brawler</v>
      </c>
      <c r="B461" s="73" t="str">
        <f>IFERROR(__xludf.DUMMYFUNCTION("""COMPUTED_VALUE"""),"1-5")</f>
        <v>1-5</v>
      </c>
      <c r="C461" s="1" t="str">
        <f>IFERROR(__xludf.DUMMYFUNCTION("""COMPUTED_VALUE"""),"Fingerless Glove of Anonymity")</f>
        <v>Fingerless Glove of Anonymity</v>
      </c>
      <c r="D461" s="73" t="str">
        <f>IFERROR(__xludf.DUMMYFUNCTION("""COMPUTED_VALUE"""),"6-10")</f>
        <v>6-10</v>
      </c>
      <c r="E461" s="1" t="str">
        <f>IFERROR(__xludf.DUMMYFUNCTION("""COMPUTED_VALUE"""),"Nothing")</f>
        <v>Nothing</v>
      </c>
      <c r="F461" s="73" t="str">
        <f>IFERROR(__xludf.DUMMYFUNCTION("""COMPUTED_VALUE"""),"11-15")</f>
        <v>11-15</v>
      </c>
      <c r="G461" s="1" t="str">
        <f>IFERROR(__xludf.DUMMYFUNCTION("""COMPUTED_VALUE"""),"Knife")</f>
        <v>Knife</v>
      </c>
      <c r="H461" s="73" t="str">
        <f>IFERROR(__xludf.DUMMYFUNCTION("""COMPUTED_VALUE"""),"16-20")</f>
        <v>16-20</v>
      </c>
      <c r="I461" s="1" t="str">
        <f>IFERROR(__xludf.DUMMYFUNCTION("""COMPUTED_VALUE"""),"Soul")</f>
        <v>Soul</v>
      </c>
      <c r="J461" s="73" t="str">
        <f>IFERROR(__xludf.DUMMYFUNCTION("""COMPUTED_VALUE"""),"21-25")</f>
        <v>21-25</v>
      </c>
      <c r="K461" s="1" t="str">
        <f>IFERROR(__xludf.DUMMYFUNCTION("""COMPUTED_VALUE"""),"Nothing")</f>
        <v>Nothing</v>
      </c>
      <c r="L461" s="1"/>
      <c r="M461" s="1"/>
      <c r="N461" s="1"/>
      <c r="O461" s="1"/>
      <c r="P461" s="1"/>
      <c r="Q461" s="1"/>
      <c r="R461" s="1"/>
      <c r="S461" s="1"/>
      <c r="T461" s="1"/>
      <c r="U461" s="1"/>
      <c r="V461" s="1"/>
      <c r="W461" s="1"/>
      <c r="X461" s="1"/>
    </row>
    <row r="462" ht="15.75" customHeight="1">
      <c r="A462" s="1" t="str">
        <f>IFERROR(__xludf.DUMMYFUNCTION("""COMPUTED_VALUE"""),"Iguanian Mage")</f>
        <v>Iguanian Mage</v>
      </c>
      <c r="B462" s="73" t="str">
        <f>IFERROR(__xludf.DUMMYFUNCTION("""COMPUTED_VALUE"""),"1-5")</f>
        <v>1-5</v>
      </c>
      <c r="C462" s="1" t="str">
        <f>IFERROR(__xludf.DUMMYFUNCTION("""COMPUTED_VALUE"""),"Nothing")</f>
        <v>Nothing</v>
      </c>
      <c r="D462" s="73" t="str">
        <f>IFERROR(__xludf.DUMMYFUNCTION("""COMPUTED_VALUE"""),"6-10")</f>
        <v>6-10</v>
      </c>
      <c r="E462" s="1" t="str">
        <f>IFERROR(__xludf.DUMMYFUNCTION("""COMPUTED_VALUE"""),"500,000G-1,000,000G")</f>
        <v>500,000G-1,000,000G</v>
      </c>
      <c r="F462" s="73" t="str">
        <f>IFERROR(__xludf.DUMMYFUNCTION("""COMPUTED_VALUE"""),"11-15")</f>
        <v>11-15</v>
      </c>
      <c r="G462" s="1" t="str">
        <f>IFERROR(__xludf.DUMMYFUNCTION("""COMPUTED_VALUE"""),"Nothing")</f>
        <v>Nothing</v>
      </c>
      <c r="H462" s="73" t="str">
        <f>IFERROR(__xludf.DUMMYFUNCTION("""COMPUTED_VALUE"""),"16-20")</f>
        <v>16-20</v>
      </c>
      <c r="I462" s="1" t="str">
        <f>IFERROR(__xludf.DUMMYFUNCTION("""COMPUTED_VALUE"""),"Mage's Cloak")</f>
        <v>Mage's Cloak</v>
      </c>
      <c r="J462" s="73" t="str">
        <f>IFERROR(__xludf.DUMMYFUNCTION("""COMPUTED_VALUE"""),"21-25")</f>
        <v>21-25</v>
      </c>
      <c r="K462" s="1" t="str">
        <f>IFERROR(__xludf.DUMMYFUNCTION("""COMPUTED_VALUE"""),"Soul")</f>
        <v>Soul</v>
      </c>
      <c r="L462" s="1"/>
      <c r="M462" s="1"/>
      <c r="N462" s="1"/>
      <c r="O462" s="1"/>
      <c r="P462" s="1"/>
      <c r="Q462" s="1"/>
      <c r="R462" s="1"/>
      <c r="S462" s="1"/>
      <c r="T462" s="1"/>
      <c r="U462" s="1"/>
      <c r="V462" s="1"/>
      <c r="W462" s="1"/>
      <c r="X462" s="1"/>
    </row>
    <row r="463" ht="15.75" customHeight="1">
      <c r="A463" s="1" t="str">
        <f>IFERROR(__xludf.DUMMYFUNCTION("""COMPUTED_VALUE"""),"Salamandrith Ranger")</f>
        <v>Salamandrith Ranger</v>
      </c>
      <c r="B463" s="73" t="str">
        <f>IFERROR(__xludf.DUMMYFUNCTION("""COMPUTED_VALUE"""),"1-5")</f>
        <v>1-5</v>
      </c>
      <c r="C463" s="1" t="str">
        <f>IFERROR(__xludf.DUMMYFUNCTION("""COMPUTED_VALUE"""),"Fire Resistant Boots")</f>
        <v>Fire Resistant Boots</v>
      </c>
      <c r="D463" s="73" t="str">
        <f>IFERROR(__xludf.DUMMYFUNCTION("""COMPUTED_VALUE"""),"6-10")</f>
        <v>6-10</v>
      </c>
      <c r="E463" s="1" t="str">
        <f>IFERROR(__xludf.DUMMYFUNCTION("""COMPUTED_VALUE"""),"Nothing")</f>
        <v>Nothing</v>
      </c>
      <c r="F463" s="73" t="str">
        <f>IFERROR(__xludf.DUMMYFUNCTION("""COMPUTED_VALUE"""),"11-15")</f>
        <v>11-15</v>
      </c>
      <c r="G463" s="1" t="str">
        <f>IFERROR(__xludf.DUMMYFUNCTION("""COMPUTED_VALUE"""),"Nothing")</f>
        <v>Nothing</v>
      </c>
      <c r="H463" s="73" t="str">
        <f>IFERROR(__xludf.DUMMYFUNCTION("""COMPUTED_VALUE"""),"16-20")</f>
        <v>16-20</v>
      </c>
      <c r="I463" s="1" t="str">
        <f>IFERROR(__xludf.DUMMYFUNCTION("""COMPUTED_VALUE"""),"Condemned Bow")</f>
        <v>Condemned Bow</v>
      </c>
      <c r="J463" s="73" t="str">
        <f>IFERROR(__xludf.DUMMYFUNCTION("""COMPUTED_VALUE"""),"21-25")</f>
        <v>21-25</v>
      </c>
      <c r="K463" s="1" t="str">
        <f>IFERROR(__xludf.DUMMYFUNCTION("""COMPUTED_VALUE"""),"Soul")</f>
        <v>Soul</v>
      </c>
      <c r="L463" s="1"/>
      <c r="M463" s="1"/>
      <c r="N463" s="1"/>
      <c r="O463" s="1"/>
      <c r="P463" s="1"/>
      <c r="Q463" s="1"/>
      <c r="R463" s="1"/>
      <c r="S463" s="1"/>
      <c r="T463" s="1"/>
      <c r="U463" s="1"/>
      <c r="V463" s="1"/>
      <c r="W463" s="1"/>
      <c r="X463" s="1"/>
    </row>
    <row r="464" ht="15.75" customHeight="1">
      <c r="A464" s="1" t="str">
        <f>IFERROR(__xludf.DUMMYFUNCTION("""COMPUTED_VALUE"""),"Salamandrith Cultist")</f>
        <v>Salamandrith Cultist</v>
      </c>
      <c r="B464" s="73" t="str">
        <f>IFERROR(__xludf.DUMMYFUNCTION("""COMPUTED_VALUE"""),"1-5")</f>
        <v>1-5</v>
      </c>
      <c r="C464" s="1" t="str">
        <f>IFERROR(__xludf.DUMMYFUNCTION("""COMPUTED_VALUE"""),"Nothing")</f>
        <v>Nothing</v>
      </c>
      <c r="D464" s="73" t="str">
        <f>IFERROR(__xludf.DUMMYFUNCTION("""COMPUTED_VALUE"""),"6-10")</f>
        <v>6-10</v>
      </c>
      <c r="E464" s="1" t="str">
        <f>IFERROR(__xludf.DUMMYFUNCTION("""COMPUTED_VALUE"""),"Nothing")</f>
        <v>Nothing</v>
      </c>
      <c r="F464" s="73" t="str">
        <f>IFERROR(__xludf.DUMMYFUNCTION("""COMPUTED_VALUE"""),"11-15")</f>
        <v>11-15</v>
      </c>
      <c r="G464" s="1" t="str">
        <f>IFERROR(__xludf.DUMMYFUNCTION("""COMPUTED_VALUE"""),"Nothing")</f>
        <v>Nothing</v>
      </c>
      <c r="H464" s="73" t="str">
        <f>IFERROR(__xludf.DUMMYFUNCTION("""COMPUTED_VALUE"""),"16-20")</f>
        <v>16-20</v>
      </c>
      <c r="I464" s="1" t="str">
        <f>IFERROR(__xludf.DUMMYFUNCTION("""COMPUTED_VALUE"""),"Fire Bullet")</f>
        <v>Fire Bullet</v>
      </c>
      <c r="J464" s="73" t="str">
        <f>IFERROR(__xludf.DUMMYFUNCTION("""COMPUTED_VALUE"""),"21-25")</f>
        <v>21-25</v>
      </c>
      <c r="K464" s="1" t="str">
        <f>IFERROR(__xludf.DUMMYFUNCTION("""COMPUTED_VALUE"""),"Nothing")</f>
        <v>Nothing</v>
      </c>
      <c r="L464" s="1"/>
      <c r="M464" s="1"/>
      <c r="N464" s="1"/>
      <c r="O464" s="1"/>
      <c r="P464" s="1"/>
      <c r="Q464" s="1"/>
      <c r="R464" s="1"/>
      <c r="S464" s="1"/>
      <c r="T464" s="1"/>
      <c r="U464" s="1"/>
      <c r="V464" s="1"/>
      <c r="W464" s="1"/>
      <c r="X464" s="1"/>
    </row>
    <row r="465" ht="15.75" customHeight="1">
      <c r="A465" s="1" t="str">
        <f>IFERROR(__xludf.DUMMYFUNCTION("""COMPUTED_VALUE"""),"Salamandrith Shaman")</f>
        <v>Salamandrith Shaman</v>
      </c>
      <c r="B465" s="73" t="str">
        <f>IFERROR(__xludf.DUMMYFUNCTION("""COMPUTED_VALUE"""),"1-5")</f>
        <v>1-5</v>
      </c>
      <c r="C465" s="1" t="str">
        <f>IFERROR(__xludf.DUMMYFUNCTION("""COMPUTED_VALUE"""),"Shamanic Staff")</f>
        <v>Shamanic Staff</v>
      </c>
      <c r="D465" s="73" t="str">
        <f>IFERROR(__xludf.DUMMYFUNCTION("""COMPUTED_VALUE"""),"6-10")</f>
        <v>6-10</v>
      </c>
      <c r="E465" s="1" t="str">
        <f>IFERROR(__xludf.DUMMYFUNCTION("""COMPUTED_VALUE"""),"Fire Shield")</f>
        <v>Fire Shield</v>
      </c>
      <c r="F465" s="73" t="str">
        <f>IFERROR(__xludf.DUMMYFUNCTION("""COMPUTED_VALUE"""),"11-15")</f>
        <v>11-15</v>
      </c>
      <c r="G465" s="1" t="str">
        <f>IFERROR(__xludf.DUMMYFUNCTION("""COMPUTED_VALUE"""),"Nothing")</f>
        <v>Nothing</v>
      </c>
      <c r="H465" s="73" t="str">
        <f>IFERROR(__xludf.DUMMYFUNCTION("""COMPUTED_VALUE"""),"16-20")</f>
        <v>16-20</v>
      </c>
      <c r="I465" s="1" t="str">
        <f>IFERROR(__xludf.DUMMYFUNCTION("""COMPUTED_VALUE"""),"1,000G-20,000G")</f>
        <v>1,000G-20,000G</v>
      </c>
      <c r="J465" s="73" t="str">
        <f>IFERROR(__xludf.DUMMYFUNCTION("""COMPUTED_VALUE"""),"21-25")</f>
        <v>21-25</v>
      </c>
      <c r="K465" s="1" t="str">
        <f>IFERROR(__xludf.DUMMYFUNCTION("""COMPUTED_VALUE"""),"Soul")</f>
        <v>Soul</v>
      </c>
      <c r="L465" s="1"/>
      <c r="M465" s="1"/>
      <c r="N465" s="1"/>
      <c r="O465" s="1"/>
      <c r="P465" s="1"/>
      <c r="Q465" s="1"/>
      <c r="R465" s="1"/>
      <c r="S465" s="1"/>
      <c r="T465" s="1"/>
      <c r="U465" s="1"/>
      <c r="V465" s="1"/>
      <c r="W465" s="1"/>
      <c r="X465" s="1"/>
    </row>
    <row r="466" ht="15.75" customHeight="1">
      <c r="A466" s="1" t="str">
        <f>IFERROR(__xludf.DUMMYFUNCTION("""COMPUTED_VALUE"""),"Geckorian Wandering Sword")</f>
        <v>Geckorian Wandering Sword</v>
      </c>
      <c r="B466" s="73" t="str">
        <f>IFERROR(__xludf.DUMMYFUNCTION("""COMPUTED_VALUE"""),"1-5")</f>
        <v>1-5</v>
      </c>
      <c r="C466" s="1" t="str">
        <f>IFERROR(__xludf.DUMMYFUNCTION("""COMPUTED_VALUE"""),"Sword of Steel")</f>
        <v>Sword of Steel</v>
      </c>
      <c r="D466" s="73" t="str">
        <f>IFERROR(__xludf.DUMMYFUNCTION("""COMPUTED_VALUE"""),"6-10")</f>
        <v>6-10</v>
      </c>
      <c r="E466" s="1" t="str">
        <f>IFERROR(__xludf.DUMMYFUNCTION("""COMPUTED_VALUE"""),"Rusty sword")</f>
        <v>Rusty sword</v>
      </c>
      <c r="F466" s="73" t="str">
        <f>IFERROR(__xludf.DUMMYFUNCTION("""COMPUTED_VALUE"""),"11-15")</f>
        <v>11-15</v>
      </c>
      <c r="G466" s="1" t="str">
        <f>IFERROR(__xludf.DUMMYFUNCTION("""COMPUTED_VALUE"""),"Nature's Sword")</f>
        <v>Nature's Sword</v>
      </c>
      <c r="H466" s="73" t="str">
        <f>IFERROR(__xludf.DUMMYFUNCTION("""COMPUTED_VALUE"""),"16-20")</f>
        <v>16-20</v>
      </c>
      <c r="I466" s="1" t="str">
        <f>IFERROR(__xludf.DUMMYFUNCTION("""COMPUTED_VALUE"""),"Broken Sword")</f>
        <v>Broken Sword</v>
      </c>
      <c r="J466" s="73" t="str">
        <f>IFERROR(__xludf.DUMMYFUNCTION("""COMPUTED_VALUE"""),"21-25")</f>
        <v>21-25</v>
      </c>
      <c r="K466" s="1" t="str">
        <f>IFERROR(__xludf.DUMMYFUNCTION("""COMPUTED_VALUE"""),"Soul")</f>
        <v>Soul</v>
      </c>
      <c r="L466" s="1"/>
      <c r="M466" s="1"/>
      <c r="N466" s="1"/>
      <c r="O466" s="1"/>
      <c r="P466" s="1"/>
      <c r="Q466" s="1"/>
      <c r="R466" s="1"/>
      <c r="S466" s="1"/>
      <c r="T466" s="1"/>
      <c r="U466" s="1"/>
      <c r="V466" s="1"/>
      <c r="W466" s="1"/>
      <c r="X466" s="1"/>
    </row>
    <row r="467" ht="15.75" customHeight="1">
      <c r="A467" s="1" t="str">
        <f>IFERROR(__xludf.DUMMYFUNCTION("""COMPUTED_VALUE"""),"Geckorian Minstrel")</f>
        <v>Geckorian Minstrel</v>
      </c>
      <c r="B467" s="73" t="str">
        <f>IFERROR(__xludf.DUMMYFUNCTION("""COMPUTED_VALUE"""),"1-5")</f>
        <v>1-5</v>
      </c>
      <c r="C467" s="1" t="str">
        <f>IFERROR(__xludf.DUMMYFUNCTION("""COMPUTED_VALUE"""),"Heavenly Lute")</f>
        <v>Heavenly Lute</v>
      </c>
      <c r="D467" s="73" t="str">
        <f>IFERROR(__xludf.DUMMYFUNCTION("""COMPUTED_VALUE"""),"6-10")</f>
        <v>6-10</v>
      </c>
      <c r="E467" s="1" t="str">
        <f>IFERROR(__xludf.DUMMYFUNCTION("""COMPUTED_VALUE"""),"Dragonscale Harp")</f>
        <v>Dragonscale Harp</v>
      </c>
      <c r="F467" s="73" t="str">
        <f>IFERROR(__xludf.DUMMYFUNCTION("""COMPUTED_VALUE"""),"11-15")</f>
        <v>11-15</v>
      </c>
      <c r="G467" s="1" t="str">
        <f>IFERROR(__xludf.DUMMYFUNCTION("""COMPUTED_VALUE"""),"Harpoon Gun")</f>
        <v>Harpoon Gun</v>
      </c>
      <c r="H467" s="73" t="str">
        <f>IFERROR(__xludf.DUMMYFUNCTION("""COMPUTED_VALUE"""),"16-20")</f>
        <v>16-20</v>
      </c>
      <c r="I467" s="1" t="str">
        <f>IFERROR(__xludf.DUMMYFUNCTION("""COMPUTED_VALUE"""),"Kebab")</f>
        <v>Kebab</v>
      </c>
      <c r="J467" s="73" t="str">
        <f>IFERROR(__xludf.DUMMYFUNCTION("""COMPUTED_VALUE"""),"21-25")</f>
        <v>21-25</v>
      </c>
      <c r="K467" s="1" t="str">
        <f>IFERROR(__xludf.DUMMYFUNCTION("""COMPUTED_VALUE"""),"Soul")</f>
        <v>Soul</v>
      </c>
      <c r="L467" s="1"/>
      <c r="M467" s="1"/>
      <c r="N467" s="1"/>
      <c r="O467" s="1"/>
      <c r="P467" s="1"/>
      <c r="Q467" s="1"/>
      <c r="R467" s="1"/>
      <c r="S467" s="1"/>
      <c r="T467" s="1"/>
      <c r="U467" s="1"/>
      <c r="V467" s="1"/>
      <c r="W467" s="1"/>
      <c r="X467" s="1"/>
    </row>
    <row r="468" ht="15.75" customHeight="1">
      <c r="A468" s="1" t="str">
        <f>IFERROR(__xludf.DUMMYFUNCTION("""COMPUTED_VALUE"""),"Geckorian Warden")</f>
        <v>Geckorian Warden</v>
      </c>
      <c r="B468" s="73" t="str">
        <f>IFERROR(__xludf.DUMMYFUNCTION("""COMPUTED_VALUE"""),"1-5")</f>
        <v>1-5</v>
      </c>
      <c r="C468" s="1" t="str">
        <f>IFERROR(__xludf.DUMMYFUNCTION("""COMPUTED_VALUE"""),"60,000,000G-80,000,000G")</f>
        <v>60,000,000G-80,000,000G</v>
      </c>
      <c r="D468" s="73" t="str">
        <f>IFERROR(__xludf.DUMMYFUNCTION("""COMPUTED_VALUE"""),"6-10")</f>
        <v>6-10</v>
      </c>
      <c r="E468" s="1" t="str">
        <f>IFERROR(__xludf.DUMMYFUNCTION("""COMPUTED_VALUE"""),"Nothing")</f>
        <v>Nothing</v>
      </c>
      <c r="F468" s="73" t="str">
        <f>IFERROR(__xludf.DUMMYFUNCTION("""COMPUTED_VALUE"""),"11-15")</f>
        <v>11-15</v>
      </c>
      <c r="G468" s="1" t="str">
        <f>IFERROR(__xludf.DUMMYFUNCTION("""COMPUTED_VALUE"""),"Soul")</f>
        <v>Soul</v>
      </c>
      <c r="H468" s="73" t="str">
        <f>IFERROR(__xludf.DUMMYFUNCTION("""COMPUTED_VALUE"""),"16-20")</f>
        <v>16-20</v>
      </c>
      <c r="I468" s="1" t="str">
        <f>IFERROR(__xludf.DUMMYFUNCTION("""COMPUTED_VALUE"""),"Nothing")</f>
        <v>Nothing</v>
      </c>
      <c r="J468" s="73" t="str">
        <f>IFERROR(__xludf.DUMMYFUNCTION("""COMPUTED_VALUE"""),"21-25")</f>
        <v>21-25</v>
      </c>
      <c r="K468" s="1" t="str">
        <f>IFERROR(__xludf.DUMMYFUNCTION("""COMPUTED_VALUE"""),"Nothing")</f>
        <v>Nothing</v>
      </c>
      <c r="L468" s="1"/>
      <c r="M468" s="1"/>
      <c r="N468" s="1"/>
      <c r="O468" s="1"/>
      <c r="P468" s="1"/>
      <c r="Q468" s="1"/>
      <c r="R468" s="1"/>
      <c r="S468" s="1"/>
      <c r="T468" s="1"/>
      <c r="U468" s="1"/>
      <c r="V468" s="1"/>
      <c r="W468" s="1"/>
      <c r="X468" s="1"/>
    </row>
    <row r="469" ht="15.75" customHeight="1">
      <c r="A469" s="1" t="str">
        <f>IFERROR(__xludf.DUMMYFUNCTION("""COMPUTED_VALUE"""),"Chameldrian Infiltrator")</f>
        <v>Chameldrian Infiltrator</v>
      </c>
      <c r="B469" s="73" t="str">
        <f>IFERROR(__xludf.DUMMYFUNCTION("""COMPUTED_VALUE"""),"1-5")</f>
        <v>1-5</v>
      </c>
      <c r="C469" s="1" t="str">
        <f>IFERROR(__xludf.DUMMYFUNCTION("""COMPUTED_VALUE"""),"The Invisible Spear")</f>
        <v>The Invisible Spear</v>
      </c>
      <c r="D469" s="73" t="str">
        <f>IFERROR(__xludf.DUMMYFUNCTION("""COMPUTED_VALUE"""),"6-10")</f>
        <v>6-10</v>
      </c>
      <c r="E469" s="1" t="str">
        <f>IFERROR(__xludf.DUMMYFUNCTION("""COMPUTED_VALUE"""),"Fingerless Glove of Anonymity")</f>
        <v>Fingerless Glove of Anonymity</v>
      </c>
      <c r="F469" s="73" t="str">
        <f>IFERROR(__xludf.DUMMYFUNCTION("""COMPUTED_VALUE"""),"11-15")</f>
        <v>11-15</v>
      </c>
      <c r="G469" s="1" t="str">
        <f>IFERROR(__xludf.DUMMYFUNCTION("""COMPUTED_VALUE"""),"Ring of Sticky FIngers")</f>
        <v>Ring of Sticky FIngers</v>
      </c>
      <c r="H469" s="73" t="str">
        <f>IFERROR(__xludf.DUMMYFUNCTION("""COMPUTED_VALUE"""),"16-20")</f>
        <v>16-20</v>
      </c>
      <c r="I469" s="1" t="str">
        <f>IFERROR(__xludf.DUMMYFUNCTION("""COMPUTED_VALUE"""),"Nothing")</f>
        <v>Nothing</v>
      </c>
      <c r="J469" s="73" t="str">
        <f>IFERROR(__xludf.DUMMYFUNCTION("""COMPUTED_VALUE"""),"21-25")</f>
        <v>21-25</v>
      </c>
      <c r="K469" s="1" t="str">
        <f>IFERROR(__xludf.DUMMYFUNCTION("""COMPUTED_VALUE"""),"Soul")</f>
        <v>Soul</v>
      </c>
      <c r="L469" s="1"/>
      <c r="M469" s="1"/>
      <c r="N469" s="1"/>
      <c r="O469" s="1"/>
      <c r="P469" s="1"/>
      <c r="Q469" s="1"/>
      <c r="R469" s="1"/>
      <c r="S469" s="1"/>
      <c r="T469" s="1"/>
      <c r="U469" s="1"/>
      <c r="V469" s="1"/>
      <c r="W469" s="1"/>
      <c r="X469" s="1"/>
    </row>
    <row r="470" ht="15.75" customHeight="1">
      <c r="A470" s="1" t="str">
        <f>IFERROR(__xludf.DUMMYFUNCTION("""COMPUTED_VALUE"""),"Chameldrian Druid")</f>
        <v>Chameldrian Druid</v>
      </c>
      <c r="B470" s="73" t="str">
        <f>IFERROR(__xludf.DUMMYFUNCTION("""COMPUTED_VALUE"""),"1-5")</f>
        <v>1-5</v>
      </c>
      <c r="C470" s="1" t="str">
        <f>IFERROR(__xludf.DUMMYFUNCTION("""COMPUTED_VALUE"""),"Nothing")</f>
        <v>Nothing</v>
      </c>
      <c r="D470" s="73" t="str">
        <f>IFERROR(__xludf.DUMMYFUNCTION("""COMPUTED_VALUE"""),"6-10")</f>
        <v>6-10</v>
      </c>
      <c r="E470" s="1" t="str">
        <f>IFERROR(__xludf.DUMMYFUNCTION("""COMPUTED_VALUE"""),"Soul")</f>
        <v>Soul</v>
      </c>
      <c r="F470" s="73" t="str">
        <f>IFERROR(__xludf.DUMMYFUNCTION("""COMPUTED_VALUE"""),"11-15")</f>
        <v>11-15</v>
      </c>
      <c r="G470" s="1" t="str">
        <f>IFERROR(__xludf.DUMMYFUNCTION("""COMPUTED_VALUE"""),"Nothing")</f>
        <v>Nothing</v>
      </c>
      <c r="H470" s="73" t="str">
        <f>IFERROR(__xludf.DUMMYFUNCTION("""COMPUTED_VALUE"""),"16-20")</f>
        <v>16-20</v>
      </c>
      <c r="I470" s="1" t="str">
        <f>IFERROR(__xludf.DUMMYFUNCTION("""COMPUTED_VALUE"""),"The Invisible Spear")</f>
        <v>The Invisible Spear</v>
      </c>
      <c r="J470" s="73" t="str">
        <f>IFERROR(__xludf.DUMMYFUNCTION("""COMPUTED_VALUE"""),"21-25")</f>
        <v>21-25</v>
      </c>
      <c r="K470" s="1" t="str">
        <f>IFERROR(__xludf.DUMMYFUNCTION("""COMPUTED_VALUE"""),"Dark Wand")</f>
        <v>Dark Wand</v>
      </c>
      <c r="L470" s="1"/>
      <c r="M470" s="1"/>
      <c r="N470" s="1"/>
      <c r="O470" s="1"/>
      <c r="P470" s="1"/>
      <c r="Q470" s="1"/>
      <c r="R470" s="1"/>
      <c r="S470" s="1"/>
      <c r="T470" s="1"/>
      <c r="U470" s="1"/>
      <c r="V470" s="1"/>
      <c r="W470" s="1"/>
      <c r="X470" s="1"/>
    </row>
    <row r="471" ht="15.75" customHeight="1">
      <c r="A471" s="1" t="str">
        <f>IFERROR(__xludf.DUMMYFUNCTION("""COMPUTED_VALUE"""),"Chameldrian Berserker")</f>
        <v>Chameldrian Berserker</v>
      </c>
      <c r="B471" s="73" t="str">
        <f>IFERROR(__xludf.DUMMYFUNCTION("""COMPUTED_VALUE"""),"1-5")</f>
        <v>1-5</v>
      </c>
      <c r="C471" s="1" t="str">
        <f>IFERROR(__xludf.DUMMYFUNCTION("""COMPUTED_VALUE"""),"Forsaken Club")</f>
        <v>Forsaken Club</v>
      </c>
      <c r="D471" s="73" t="str">
        <f>IFERROR(__xludf.DUMMYFUNCTION("""COMPUTED_VALUE"""),"6-10")</f>
        <v>6-10</v>
      </c>
      <c r="E471" s="1" t="str">
        <f>IFERROR(__xludf.DUMMYFUNCTION("""COMPUTED_VALUE"""),"Storm Dragonscale Flail")</f>
        <v>Storm Dragonscale Flail</v>
      </c>
      <c r="F471" s="73" t="str">
        <f>IFERROR(__xludf.DUMMYFUNCTION("""COMPUTED_VALUE"""),"11-15")</f>
        <v>11-15</v>
      </c>
      <c r="G471" s="1" t="str">
        <f>IFERROR(__xludf.DUMMYFUNCTION("""COMPUTED_VALUE"""),"Nothing")</f>
        <v>Nothing</v>
      </c>
      <c r="H471" s="73" t="str">
        <f>IFERROR(__xludf.DUMMYFUNCTION("""COMPUTED_VALUE"""),"16-20")</f>
        <v>16-20</v>
      </c>
      <c r="I471" s="1" t="str">
        <f>IFERROR(__xludf.DUMMYFUNCTION("""COMPUTED_VALUE"""),"Nothing")</f>
        <v>Nothing</v>
      </c>
      <c r="J471" s="73" t="str">
        <f>IFERROR(__xludf.DUMMYFUNCTION("""COMPUTED_VALUE"""),"21-25")</f>
        <v>21-25</v>
      </c>
      <c r="K471" s="1" t="str">
        <f>IFERROR(__xludf.DUMMYFUNCTION("""COMPUTED_VALUE"""),"Soul")</f>
        <v>Soul</v>
      </c>
      <c r="L471" s="1"/>
      <c r="M471" s="1"/>
      <c r="N471" s="1"/>
      <c r="O471" s="1"/>
      <c r="P471" s="1"/>
      <c r="Q471" s="1"/>
      <c r="R471" s="1"/>
      <c r="S471" s="1"/>
      <c r="T471" s="1"/>
      <c r="U471" s="1"/>
      <c r="V471" s="1"/>
      <c r="W471" s="1"/>
      <c r="X471" s="1"/>
    </row>
    <row r="472" ht="15.75" customHeight="1">
      <c r="A472" s="1" t="str">
        <f>IFERROR(__xludf.DUMMYFUNCTION("""COMPUTED_VALUE"""),"Ancient Wood Dragon")</f>
        <v>Ancient Wood Dragon</v>
      </c>
      <c r="B472" s="73" t="str">
        <f>IFERROR(__xludf.DUMMYFUNCTION("""COMPUTED_VALUE"""),"1-5")</f>
        <v>1-5</v>
      </c>
      <c r="C472" s="1" t="str">
        <f>IFERROR(__xludf.DUMMYFUNCTION("""COMPUTED_VALUE"""),"Saber Toothed Sword")</f>
        <v>Saber Toothed Sword</v>
      </c>
      <c r="D472" s="73" t="str">
        <f>IFERROR(__xludf.DUMMYFUNCTION("""COMPUTED_VALUE"""),"6-10")</f>
        <v>6-10</v>
      </c>
      <c r="E472" s="1" t="str">
        <f>IFERROR(__xludf.DUMMYFUNCTION("""COMPUTED_VALUE"""),"Nothing")</f>
        <v>Nothing</v>
      </c>
      <c r="F472" s="73" t="str">
        <f>IFERROR(__xludf.DUMMYFUNCTION("""COMPUTED_VALUE"""),"11-15")</f>
        <v>11-15</v>
      </c>
      <c r="G472" s="1" t="str">
        <f>IFERROR(__xludf.DUMMYFUNCTION("""COMPUTED_VALUE"""),"20,000G-40,000G")</f>
        <v>20,000G-40,000G</v>
      </c>
      <c r="H472" s="73" t="str">
        <f>IFERROR(__xludf.DUMMYFUNCTION("""COMPUTED_VALUE"""),"16-20")</f>
        <v>16-20</v>
      </c>
      <c r="I472" s="1" t="str">
        <f>IFERROR(__xludf.DUMMYFUNCTION("""COMPUTED_VALUE"""),"Soul")</f>
        <v>Soul</v>
      </c>
      <c r="J472" s="73" t="str">
        <f>IFERROR(__xludf.DUMMYFUNCTION("""COMPUTED_VALUE"""),"21-25")</f>
        <v>21-25</v>
      </c>
      <c r="K472" s="1" t="str">
        <f>IFERROR(__xludf.DUMMYFUNCTION("""COMPUTED_VALUE"""),"Egg")</f>
        <v>Egg</v>
      </c>
      <c r="L472" s="1"/>
      <c r="M472" s="1"/>
      <c r="N472" s="1"/>
      <c r="O472" s="1"/>
      <c r="P472" s="1"/>
      <c r="Q472" s="1"/>
      <c r="R472" s="1"/>
      <c r="S472" s="1"/>
      <c r="T472" s="1"/>
      <c r="U472" s="1"/>
      <c r="V472" s="1"/>
      <c r="W472" s="1"/>
      <c r="X472" s="1"/>
    </row>
    <row r="473" ht="15.75" customHeight="1">
      <c r="A473" s="1" t="str">
        <f>IFERROR(__xludf.DUMMYFUNCTION("""COMPUTED_VALUE"""),"Nereid")</f>
        <v>Nereid</v>
      </c>
      <c r="B473" s="73" t="str">
        <f>IFERROR(__xludf.DUMMYFUNCTION("""COMPUTED_VALUE"""),"1-5")</f>
        <v>1-5</v>
      </c>
      <c r="C473" s="1" t="str">
        <f>IFERROR(__xludf.DUMMYFUNCTION("""COMPUTED_VALUE"""),"Molotov")</f>
        <v>Molotov</v>
      </c>
      <c r="D473" s="73" t="str">
        <f>IFERROR(__xludf.DUMMYFUNCTION("""COMPUTED_VALUE"""),"6-10")</f>
        <v>6-10</v>
      </c>
      <c r="E473" s="1" t="str">
        <f>IFERROR(__xludf.DUMMYFUNCTION("""COMPUTED_VALUE"""),"Nothing")</f>
        <v>Nothing</v>
      </c>
      <c r="F473" s="73" t="str">
        <f>IFERROR(__xludf.DUMMYFUNCTION("""COMPUTED_VALUE"""),"11-15")</f>
        <v>11-15</v>
      </c>
      <c r="G473" s="1" t="str">
        <f>IFERROR(__xludf.DUMMYFUNCTION("""COMPUTED_VALUE"""),"Soul")</f>
        <v>Soul</v>
      </c>
      <c r="H473" s="73" t="str">
        <f>IFERROR(__xludf.DUMMYFUNCTION("""COMPUTED_VALUE"""),"16-20")</f>
        <v>16-20</v>
      </c>
      <c r="I473" s="1" t="str">
        <f>IFERROR(__xludf.DUMMYFUNCTION("""COMPUTED_VALUE"""),"1,000G-20,000G")</f>
        <v>1,000G-20,000G</v>
      </c>
      <c r="J473" s="73" t="str">
        <f>IFERROR(__xludf.DUMMYFUNCTION("""COMPUTED_VALUE"""),"21-25")</f>
        <v>21-25</v>
      </c>
      <c r="K473" s="1" t="str">
        <f>IFERROR(__xludf.DUMMYFUNCTION("""COMPUTED_VALUE"""),"Nothing")</f>
        <v>Nothing</v>
      </c>
      <c r="L473" s="1"/>
      <c r="M473" s="1"/>
      <c r="N473" s="1"/>
      <c r="O473" s="1"/>
      <c r="P473" s="1"/>
      <c r="Q473" s="1"/>
      <c r="R473" s="1"/>
      <c r="S473" s="1"/>
      <c r="T473" s="1"/>
      <c r="U473" s="1"/>
      <c r="V473" s="1"/>
      <c r="W473" s="1"/>
      <c r="X473" s="1"/>
    </row>
    <row r="474" ht="15.75" customHeight="1">
      <c r="A474" s="1" t="str">
        <f>IFERROR(__xludf.DUMMYFUNCTION("""COMPUTED_VALUE"""),"Ancient Water Elemental")</f>
        <v>Ancient Water Elemental</v>
      </c>
      <c r="B474" s="73" t="str">
        <f>IFERROR(__xludf.DUMMYFUNCTION("""COMPUTED_VALUE"""),"1-5")</f>
        <v>1-5</v>
      </c>
      <c r="C474" s="1" t="str">
        <f>IFERROR(__xludf.DUMMYFUNCTION("""COMPUTED_VALUE"""),"Trident")</f>
        <v>Trident</v>
      </c>
      <c r="D474" s="73" t="str">
        <f>IFERROR(__xludf.DUMMYFUNCTION("""COMPUTED_VALUE"""),"6-10")</f>
        <v>6-10</v>
      </c>
      <c r="E474" s="1" t="str">
        <f>IFERROR(__xludf.DUMMYFUNCTION("""COMPUTED_VALUE"""),"Water potion")</f>
        <v>Water potion</v>
      </c>
      <c r="F474" s="73" t="str">
        <f>IFERROR(__xludf.DUMMYFUNCTION("""COMPUTED_VALUE"""),"11-15")</f>
        <v>11-15</v>
      </c>
      <c r="G474" s="1" t="str">
        <f>IFERROR(__xludf.DUMMYFUNCTION("""COMPUTED_VALUE"""),"Soul")</f>
        <v>Soul</v>
      </c>
      <c r="H474" s="73" t="str">
        <f>IFERROR(__xludf.DUMMYFUNCTION("""COMPUTED_VALUE"""),"16-20")</f>
        <v>16-20</v>
      </c>
      <c r="I474" s="1" t="str">
        <f>IFERROR(__xludf.DUMMYFUNCTION("""COMPUTED_VALUE"""),"Shoes of Water Walking")</f>
        <v>Shoes of Water Walking</v>
      </c>
      <c r="J474" s="73" t="str">
        <f>IFERROR(__xludf.DUMMYFUNCTION("""COMPUTED_VALUE"""),"21-25")</f>
        <v>21-25</v>
      </c>
      <c r="K474" s="1" t="str">
        <f>IFERROR(__xludf.DUMMYFUNCTION("""COMPUTED_VALUE"""),"Poison water")</f>
        <v>Poison water</v>
      </c>
      <c r="L474" s="1"/>
      <c r="M474" s="1"/>
      <c r="N474" s="1"/>
      <c r="O474" s="1"/>
      <c r="P474" s="1"/>
      <c r="Q474" s="1"/>
      <c r="R474" s="1"/>
      <c r="S474" s="1"/>
      <c r="T474" s="1"/>
      <c r="U474" s="1"/>
      <c r="V474" s="1"/>
      <c r="W474" s="1"/>
      <c r="X474" s="1"/>
    </row>
    <row r="475" ht="15.75" customHeight="1">
      <c r="A475" s="1" t="str">
        <f>IFERROR(__xludf.DUMMYFUNCTION("""COMPUTED_VALUE"""),"Fire Elemental")</f>
        <v>Fire Elemental</v>
      </c>
      <c r="B475" s="73" t="str">
        <f>IFERROR(__xludf.DUMMYFUNCTION("""COMPUTED_VALUE"""),"1-5")</f>
        <v>1-5</v>
      </c>
      <c r="C475" s="1" t="str">
        <f>IFERROR(__xludf.DUMMYFUNCTION("""COMPUTED_VALUE"""),"Nothing")</f>
        <v>Nothing</v>
      </c>
      <c r="D475" s="73" t="str">
        <f>IFERROR(__xludf.DUMMYFUNCTION("""COMPUTED_VALUE"""),"6-10")</f>
        <v>6-10</v>
      </c>
      <c r="E475" s="1" t="str">
        <f>IFERROR(__xludf.DUMMYFUNCTION("""COMPUTED_VALUE"""),"Flame Band")</f>
        <v>Flame Band</v>
      </c>
      <c r="F475" s="73" t="str">
        <f>IFERROR(__xludf.DUMMYFUNCTION("""COMPUTED_VALUE"""),"11-15")</f>
        <v>11-15</v>
      </c>
      <c r="G475" s="1" t="str">
        <f>IFERROR(__xludf.DUMMYFUNCTION("""COMPUTED_VALUE"""),"Fire Ring")</f>
        <v>Fire Ring</v>
      </c>
      <c r="H475" s="73" t="str">
        <f>IFERROR(__xludf.DUMMYFUNCTION("""COMPUTED_VALUE"""),"16-20")</f>
        <v>16-20</v>
      </c>
      <c r="I475" s="1" t="str">
        <f>IFERROR(__xludf.DUMMYFUNCTION("""COMPUTED_VALUE"""),"Fire Shield")</f>
        <v>Fire Shield</v>
      </c>
      <c r="J475" s="73" t="str">
        <f>IFERROR(__xludf.DUMMYFUNCTION("""COMPUTED_VALUE"""),"21-25")</f>
        <v>21-25</v>
      </c>
      <c r="K475" s="1" t="str">
        <f>IFERROR(__xludf.DUMMYFUNCTION("""COMPUTED_VALUE"""),"Soul")</f>
        <v>Soul</v>
      </c>
      <c r="L475" s="1"/>
      <c r="M475" s="1"/>
      <c r="N475" s="1"/>
      <c r="O475" s="1"/>
      <c r="P475" s="1"/>
      <c r="Q475" s="1"/>
      <c r="R475" s="1"/>
      <c r="S475" s="1"/>
      <c r="T475" s="1"/>
      <c r="U475" s="1"/>
      <c r="V475" s="1"/>
      <c r="W475" s="1"/>
      <c r="X475" s="1"/>
    </row>
    <row r="476" ht="15.75" customHeight="1">
      <c r="A476" s="1" t="str">
        <f>IFERROR(__xludf.DUMMYFUNCTION("""COMPUTED_VALUE"""),"Volcanic Elemental")</f>
        <v>Volcanic Elemental</v>
      </c>
      <c r="B476" s="73" t="str">
        <f>IFERROR(__xludf.DUMMYFUNCTION("""COMPUTED_VALUE"""),"1-5")</f>
        <v>1-5</v>
      </c>
      <c r="C476" s="1" t="str">
        <f>IFERROR(__xludf.DUMMYFUNCTION("""COMPUTED_VALUE"""),"Nothing")</f>
        <v>Nothing</v>
      </c>
      <c r="D476" s="73" t="str">
        <f>IFERROR(__xludf.DUMMYFUNCTION("""COMPUTED_VALUE"""),"6-10")</f>
        <v>6-10</v>
      </c>
      <c r="E476" s="1" t="str">
        <f>IFERROR(__xludf.DUMMYFUNCTION("""COMPUTED_VALUE"""),"Magma Trident")</f>
        <v>Magma Trident</v>
      </c>
      <c r="F476" s="73" t="str">
        <f>IFERROR(__xludf.DUMMYFUNCTION("""COMPUTED_VALUE"""),"11-15")</f>
        <v>11-15</v>
      </c>
      <c r="G476" s="1" t="str">
        <f>IFERROR(__xludf.DUMMYFUNCTION("""COMPUTED_VALUE"""),"Magma Morningstar")</f>
        <v>Magma Morningstar</v>
      </c>
      <c r="H476" s="73" t="str">
        <f>IFERROR(__xludf.DUMMYFUNCTION("""COMPUTED_VALUE"""),"16-20")</f>
        <v>16-20</v>
      </c>
      <c r="I476" s="1" t="str">
        <f>IFERROR(__xludf.DUMMYFUNCTION("""COMPUTED_VALUE"""),"Volcano's Summit")</f>
        <v>Volcano's Summit</v>
      </c>
      <c r="J476" s="73" t="str">
        <f>IFERROR(__xludf.DUMMYFUNCTION("""COMPUTED_VALUE"""),"21-25")</f>
        <v>21-25</v>
      </c>
      <c r="K476" s="1" t="str">
        <f>IFERROR(__xludf.DUMMYFUNCTION("""COMPUTED_VALUE"""),"Soul")</f>
        <v>Soul</v>
      </c>
      <c r="L476" s="1"/>
      <c r="M476" s="1"/>
      <c r="N476" s="1"/>
      <c r="O476" s="1"/>
      <c r="P476" s="1"/>
      <c r="Q476" s="1"/>
      <c r="R476" s="1"/>
      <c r="S476" s="1"/>
      <c r="T476" s="1"/>
      <c r="U476" s="1"/>
      <c r="V476" s="1"/>
      <c r="W476" s="1"/>
      <c r="X476" s="1"/>
    </row>
    <row r="477" ht="15.75" customHeight="1">
      <c r="A477" s="1" t="str">
        <f>IFERROR(__xludf.DUMMYFUNCTION("""COMPUTED_VALUE"""),"Ancient Fire Elemental")</f>
        <v>Ancient Fire Elemental</v>
      </c>
      <c r="B477" s="73" t="str">
        <f>IFERROR(__xludf.DUMMYFUNCTION("""COMPUTED_VALUE"""),"1-5")</f>
        <v>1-5</v>
      </c>
      <c r="C477" s="1" t="str">
        <f>IFERROR(__xludf.DUMMYFUNCTION("""COMPUTED_VALUE"""),"Bright Flame Sword")</f>
        <v>Bright Flame Sword</v>
      </c>
      <c r="D477" s="73" t="str">
        <f>IFERROR(__xludf.DUMMYFUNCTION("""COMPUTED_VALUE"""),"6-10")</f>
        <v>6-10</v>
      </c>
      <c r="E477" s="1" t="str">
        <f>IFERROR(__xludf.DUMMYFUNCTION("""COMPUTED_VALUE"""),"Flame Mask")</f>
        <v>Flame Mask</v>
      </c>
      <c r="F477" s="73" t="str">
        <f>IFERROR(__xludf.DUMMYFUNCTION("""COMPUTED_VALUE"""),"11-15")</f>
        <v>11-15</v>
      </c>
      <c r="G477" s="1" t="str">
        <f>IFERROR(__xludf.DUMMYFUNCTION("""COMPUTED_VALUE"""),"Fire Bullet")</f>
        <v>Fire Bullet</v>
      </c>
      <c r="H477" s="73" t="str">
        <f>IFERROR(__xludf.DUMMYFUNCTION("""COMPUTED_VALUE"""),"16-20")</f>
        <v>16-20</v>
      </c>
      <c r="I477" s="1" t="str">
        <f>IFERROR(__xludf.DUMMYFUNCTION("""COMPUTED_VALUE"""),"Soul")</f>
        <v>Soul</v>
      </c>
      <c r="J477" s="73" t="str">
        <f>IFERROR(__xludf.DUMMYFUNCTION("""COMPUTED_VALUE"""),"21-25")</f>
        <v>21-25</v>
      </c>
      <c r="K477" s="1" t="str">
        <f>IFERROR(__xludf.DUMMYFUNCTION("""COMPUTED_VALUE"""),"Soul")</f>
        <v>Soul</v>
      </c>
      <c r="L477" s="1"/>
      <c r="M477" s="1"/>
      <c r="N477" s="1"/>
      <c r="O477" s="1"/>
      <c r="P477" s="1"/>
      <c r="Q477" s="1"/>
      <c r="R477" s="1"/>
      <c r="S477" s="1"/>
      <c r="T477" s="1"/>
      <c r="U477" s="1"/>
      <c r="V477" s="1"/>
      <c r="W477" s="1"/>
      <c r="X477" s="1"/>
    </row>
    <row r="478" ht="15.75" customHeight="1">
      <c r="A478" s="1" t="str">
        <f>IFERROR(__xludf.DUMMYFUNCTION("""COMPUTED_VALUE"""),"Nature Elemental")</f>
        <v>Nature Elemental</v>
      </c>
      <c r="B478" s="73" t="str">
        <f>IFERROR(__xludf.DUMMYFUNCTION("""COMPUTED_VALUE"""),"1-5")</f>
        <v>1-5</v>
      </c>
      <c r="C478" s="1" t="str">
        <f>IFERROR(__xludf.DUMMYFUNCTION("""COMPUTED_VALUE"""),"Rock Axe")</f>
        <v>Rock Axe</v>
      </c>
      <c r="D478" s="73" t="str">
        <f>IFERROR(__xludf.DUMMYFUNCTION("""COMPUTED_VALUE"""),"6-10")</f>
        <v>6-10</v>
      </c>
      <c r="E478" s="1" t="str">
        <f>IFERROR(__xludf.DUMMYFUNCTION("""COMPUTED_VALUE"""),"Leather")</f>
        <v>Leather</v>
      </c>
      <c r="F478" s="73" t="str">
        <f>IFERROR(__xludf.DUMMYFUNCTION("""COMPUTED_VALUE"""),"11-15")</f>
        <v>11-15</v>
      </c>
      <c r="G478" s="1" t="str">
        <f>IFERROR(__xludf.DUMMYFUNCTION("""COMPUTED_VALUE"""),"Sand")</f>
        <v>Sand</v>
      </c>
      <c r="H478" s="73" t="str">
        <f>IFERROR(__xludf.DUMMYFUNCTION("""COMPUTED_VALUE"""),"16-20")</f>
        <v>16-20</v>
      </c>
      <c r="I478" s="1" t="str">
        <f>IFERROR(__xludf.DUMMYFUNCTION("""COMPUTED_VALUE"""),"Wood")</f>
        <v>Wood</v>
      </c>
      <c r="J478" s="73" t="str">
        <f>IFERROR(__xludf.DUMMYFUNCTION("""COMPUTED_VALUE"""),"21-25")</f>
        <v>21-25</v>
      </c>
      <c r="K478" s="1" t="str">
        <f>IFERROR(__xludf.DUMMYFUNCTION("""COMPUTED_VALUE"""),"Soul")</f>
        <v>Soul</v>
      </c>
      <c r="L478" s="1"/>
      <c r="M478" s="1"/>
      <c r="N478" s="1"/>
      <c r="O478" s="1"/>
      <c r="P478" s="1"/>
      <c r="Q478" s="1"/>
      <c r="R478" s="1"/>
      <c r="S478" s="1"/>
      <c r="T478" s="1"/>
      <c r="U478" s="1"/>
      <c r="V478" s="1"/>
      <c r="W478" s="1"/>
      <c r="X478" s="1"/>
    </row>
    <row r="479" ht="15.75" customHeight="1">
      <c r="A479" s="1" t="str">
        <f>IFERROR(__xludf.DUMMYFUNCTION("""COMPUTED_VALUE"""),"Forest Elemental")</f>
        <v>Forest Elemental</v>
      </c>
      <c r="B479" s="73" t="str">
        <f>IFERROR(__xludf.DUMMYFUNCTION("""COMPUTED_VALUE"""),"1-5")</f>
        <v>1-5</v>
      </c>
      <c r="C479" s="1" t="str">
        <f>IFERROR(__xludf.DUMMYFUNCTION("""COMPUTED_VALUE"""),"Dead Forest Blade")</f>
        <v>Dead Forest Blade</v>
      </c>
      <c r="D479" s="73" t="str">
        <f>IFERROR(__xludf.DUMMYFUNCTION("""COMPUTED_VALUE"""),"6-10")</f>
        <v>6-10</v>
      </c>
      <c r="E479" s="1" t="str">
        <f>IFERROR(__xludf.DUMMYFUNCTION("""COMPUTED_VALUE"""),"Dead Forest Branch")</f>
        <v>Dead Forest Branch</v>
      </c>
      <c r="F479" s="73" t="str">
        <f>IFERROR(__xludf.DUMMYFUNCTION("""COMPUTED_VALUE"""),"11-15")</f>
        <v>11-15</v>
      </c>
      <c r="G479" s="1" t="str">
        <f>IFERROR(__xludf.DUMMYFUNCTION("""COMPUTED_VALUE"""),"Wood")</f>
        <v>Wood</v>
      </c>
      <c r="H479" s="73" t="str">
        <f>IFERROR(__xludf.DUMMYFUNCTION("""COMPUTED_VALUE"""),"16-20")</f>
        <v>16-20</v>
      </c>
      <c r="I479" s="1" t="str">
        <f>IFERROR(__xludf.DUMMYFUNCTION("""COMPUTED_VALUE"""),"Soul")</f>
        <v>Soul</v>
      </c>
      <c r="J479" s="73" t="str">
        <f>IFERROR(__xludf.DUMMYFUNCTION("""COMPUTED_VALUE"""),"21-25")</f>
        <v>21-25</v>
      </c>
      <c r="K479" s="1" t="str">
        <f>IFERROR(__xludf.DUMMYFUNCTION("""COMPUTED_VALUE"""),"Soul")</f>
        <v>Soul</v>
      </c>
      <c r="L479" s="1"/>
      <c r="M479" s="1"/>
      <c r="N479" s="1"/>
      <c r="O479" s="1"/>
      <c r="P479" s="1"/>
      <c r="Q479" s="1"/>
      <c r="R479" s="1"/>
      <c r="S479" s="1"/>
      <c r="T479" s="1"/>
      <c r="U479" s="1"/>
      <c r="V479" s="1"/>
      <c r="W479" s="1"/>
      <c r="X479" s="1"/>
    </row>
    <row r="480" ht="15.75" customHeight="1">
      <c r="A480" s="1" t="str">
        <f>IFERROR(__xludf.DUMMYFUNCTION("""COMPUTED_VALUE"""),"Ancient Nature Elemental")</f>
        <v>Ancient Nature Elemental</v>
      </c>
      <c r="B480" s="73" t="str">
        <f>IFERROR(__xludf.DUMMYFUNCTION("""COMPUTED_VALUE"""),"1-5")</f>
        <v>1-5</v>
      </c>
      <c r="C480" s="1" t="str">
        <f>IFERROR(__xludf.DUMMYFUNCTION("""COMPUTED_VALUE"""),"Raw Meat")</f>
        <v>Raw Meat</v>
      </c>
      <c r="D480" s="73" t="str">
        <f>IFERROR(__xludf.DUMMYFUNCTION("""COMPUTED_VALUE"""),"6-10")</f>
        <v>6-10</v>
      </c>
      <c r="E480" s="1" t="str">
        <f>IFERROR(__xludf.DUMMYFUNCTION("""COMPUTED_VALUE"""),"Sand")</f>
        <v>Sand</v>
      </c>
      <c r="F480" s="73" t="str">
        <f>IFERROR(__xludf.DUMMYFUNCTION("""COMPUTED_VALUE"""),"11-15")</f>
        <v>11-15</v>
      </c>
      <c r="G480" s="1" t="str">
        <f>IFERROR(__xludf.DUMMYFUNCTION("""COMPUTED_VALUE"""),"Wood")</f>
        <v>Wood</v>
      </c>
      <c r="H480" s="73" t="str">
        <f>IFERROR(__xludf.DUMMYFUNCTION("""COMPUTED_VALUE"""),"16-20")</f>
        <v>16-20</v>
      </c>
      <c r="I480" s="1" t="str">
        <f>IFERROR(__xludf.DUMMYFUNCTION("""COMPUTED_VALUE"""),"Water")</f>
        <v>Water</v>
      </c>
      <c r="J480" s="73" t="str">
        <f>IFERROR(__xludf.DUMMYFUNCTION("""COMPUTED_VALUE"""),"21-25")</f>
        <v>21-25</v>
      </c>
      <c r="K480" s="1" t="str">
        <f>IFERROR(__xludf.DUMMYFUNCTION("""COMPUTED_VALUE"""),"Soul")</f>
        <v>Soul</v>
      </c>
      <c r="L480" s="1"/>
      <c r="M480" s="1"/>
      <c r="N480" s="1"/>
      <c r="O480" s="1"/>
      <c r="P480" s="1"/>
      <c r="Q480" s="1"/>
      <c r="R480" s="1"/>
      <c r="S480" s="1"/>
      <c r="T480" s="1"/>
      <c r="U480" s="1"/>
      <c r="V480" s="1"/>
      <c r="W480" s="1"/>
      <c r="X480" s="1"/>
    </row>
    <row r="481" ht="15.75" customHeight="1">
      <c r="A481" s="1" t="str">
        <f>IFERROR(__xludf.DUMMYFUNCTION("""COMPUTED_VALUE"""),"Earth Elemental")</f>
        <v>Earth Elemental</v>
      </c>
      <c r="B481" s="73" t="str">
        <f>IFERROR(__xludf.DUMMYFUNCTION("""COMPUTED_VALUE"""),"1-5")</f>
        <v>1-5</v>
      </c>
      <c r="C481" s="1" t="str">
        <f>IFERROR(__xludf.DUMMYFUNCTION("""COMPUTED_VALUE"""),"Rock Axe")</f>
        <v>Rock Axe</v>
      </c>
      <c r="D481" s="73" t="str">
        <f>IFERROR(__xludf.DUMMYFUNCTION("""COMPUTED_VALUE"""),"6-10")</f>
        <v>6-10</v>
      </c>
      <c r="E481" s="1" t="str">
        <f>IFERROR(__xludf.DUMMYFUNCTION("""COMPUTED_VALUE"""),"Sand")</f>
        <v>Sand</v>
      </c>
      <c r="F481" s="73" t="str">
        <f>IFERROR(__xludf.DUMMYFUNCTION("""COMPUTED_VALUE"""),"11-15")</f>
        <v>11-15</v>
      </c>
      <c r="G481" s="1" t="str">
        <f>IFERROR(__xludf.DUMMYFUNCTION("""COMPUTED_VALUE"""),"Nothing")</f>
        <v>Nothing</v>
      </c>
      <c r="H481" s="73" t="str">
        <f>IFERROR(__xludf.DUMMYFUNCTION("""COMPUTED_VALUE"""),"16-20")</f>
        <v>16-20</v>
      </c>
      <c r="I481" s="1" t="str">
        <f>IFERROR(__xludf.DUMMYFUNCTION("""COMPUTED_VALUE"""),"Nothing")</f>
        <v>Nothing</v>
      </c>
      <c r="J481" s="73" t="str">
        <f>IFERROR(__xludf.DUMMYFUNCTION("""COMPUTED_VALUE"""),"21-25")</f>
        <v>21-25</v>
      </c>
      <c r="K481" s="1" t="str">
        <f>IFERROR(__xludf.DUMMYFUNCTION("""COMPUTED_VALUE"""),"Soul")</f>
        <v>Soul</v>
      </c>
      <c r="L481" s="1"/>
      <c r="M481" s="1"/>
      <c r="N481" s="1"/>
      <c r="O481" s="1"/>
      <c r="P481" s="1"/>
      <c r="Q481" s="1"/>
      <c r="R481" s="1"/>
      <c r="S481" s="1"/>
      <c r="T481" s="1"/>
      <c r="U481" s="1"/>
      <c r="V481" s="1"/>
      <c r="W481" s="1"/>
      <c r="X481" s="1"/>
    </row>
    <row r="482" ht="15.75" customHeight="1">
      <c r="A482" s="1" t="str">
        <f>IFERROR(__xludf.DUMMYFUNCTION("""COMPUTED_VALUE"""),"Mountain Elemental")</f>
        <v>Mountain Elemental</v>
      </c>
      <c r="B482" s="73" t="str">
        <f>IFERROR(__xludf.DUMMYFUNCTION("""COMPUTED_VALUE"""),"1-5")</f>
        <v>1-5</v>
      </c>
      <c r="C482" s="1" t="str">
        <f>IFERROR(__xludf.DUMMYFUNCTION("""COMPUTED_VALUE"""),"Stone")</f>
        <v>Stone</v>
      </c>
      <c r="D482" s="73" t="str">
        <f>IFERROR(__xludf.DUMMYFUNCTION("""COMPUTED_VALUE"""),"6-10")</f>
        <v>6-10</v>
      </c>
      <c r="E482" s="1" t="str">
        <f>IFERROR(__xludf.DUMMYFUNCTION("""COMPUTED_VALUE"""),"Stone Sledgehammer")</f>
        <v>Stone Sledgehammer</v>
      </c>
      <c r="F482" s="73" t="str">
        <f>IFERROR(__xludf.DUMMYFUNCTION("""COMPUTED_VALUE"""),"11-15")</f>
        <v>11-15</v>
      </c>
      <c r="G482" s="1" t="str">
        <f>IFERROR(__xludf.DUMMYFUNCTION("""COMPUTED_VALUE"""),"Stone")</f>
        <v>Stone</v>
      </c>
      <c r="H482" s="73" t="str">
        <f>IFERROR(__xludf.DUMMYFUNCTION("""COMPUTED_VALUE"""),"16-20")</f>
        <v>16-20</v>
      </c>
      <c r="I482" s="1" t="str">
        <f>IFERROR(__xludf.DUMMYFUNCTION("""COMPUTED_VALUE"""),"Rock Axe")</f>
        <v>Rock Axe</v>
      </c>
      <c r="J482" s="73" t="str">
        <f>IFERROR(__xludf.DUMMYFUNCTION("""COMPUTED_VALUE"""),"21-25")</f>
        <v>21-25</v>
      </c>
      <c r="K482" s="1" t="str">
        <f>IFERROR(__xludf.DUMMYFUNCTION("""COMPUTED_VALUE"""),"Soul")</f>
        <v>Soul</v>
      </c>
      <c r="L482" s="1"/>
      <c r="M482" s="1"/>
      <c r="N482" s="1"/>
      <c r="O482" s="1"/>
      <c r="P482" s="1"/>
      <c r="Q482" s="1"/>
      <c r="R482" s="1"/>
      <c r="S482" s="1"/>
      <c r="T482" s="1"/>
      <c r="U482" s="1"/>
      <c r="V482" s="1"/>
      <c r="W482" s="1"/>
      <c r="X482" s="1"/>
    </row>
    <row r="483" ht="15.75" customHeight="1">
      <c r="A483" s="1" t="str">
        <f>IFERROR(__xludf.DUMMYFUNCTION("""COMPUTED_VALUE"""),"Ancient Earth Elemental")</f>
        <v>Ancient Earth Elemental</v>
      </c>
      <c r="B483" s="73" t="str">
        <f>IFERROR(__xludf.DUMMYFUNCTION("""COMPUTED_VALUE"""),"1-5")</f>
        <v>1-5</v>
      </c>
      <c r="C483" s="1" t="str">
        <f>IFERROR(__xludf.DUMMYFUNCTION("""COMPUTED_VALUE"""),"Sand")</f>
        <v>Sand</v>
      </c>
      <c r="D483" s="73" t="str">
        <f>IFERROR(__xludf.DUMMYFUNCTION("""COMPUTED_VALUE"""),"6-10")</f>
        <v>6-10</v>
      </c>
      <c r="E483" s="1" t="str">
        <f>IFERROR(__xludf.DUMMYFUNCTION("""COMPUTED_VALUE"""),"Wood")</f>
        <v>Wood</v>
      </c>
      <c r="F483" s="73" t="str">
        <f>IFERROR(__xludf.DUMMYFUNCTION("""COMPUTED_VALUE"""),"11-15")</f>
        <v>11-15</v>
      </c>
      <c r="G483" s="1" t="str">
        <f>IFERROR(__xludf.DUMMYFUNCTION("""COMPUTED_VALUE"""),"Ring of Healing")</f>
        <v>Ring of Healing</v>
      </c>
      <c r="H483" s="73" t="str">
        <f>IFERROR(__xludf.DUMMYFUNCTION("""COMPUTED_VALUE"""),"16-20")</f>
        <v>16-20</v>
      </c>
      <c r="I483" s="1" t="str">
        <f>IFERROR(__xludf.DUMMYFUNCTION("""COMPUTED_VALUE"""),"Rock Axe")</f>
        <v>Rock Axe</v>
      </c>
      <c r="J483" s="73" t="str">
        <f>IFERROR(__xludf.DUMMYFUNCTION("""COMPUTED_VALUE"""),"21-25")</f>
        <v>21-25</v>
      </c>
      <c r="K483" s="1" t="str">
        <f>IFERROR(__xludf.DUMMYFUNCTION("""COMPUTED_VALUE"""),"Soul")</f>
        <v>Soul</v>
      </c>
      <c r="L483" s="1"/>
      <c r="M483" s="1"/>
      <c r="N483" s="1"/>
      <c r="O483" s="1"/>
      <c r="P483" s="1"/>
      <c r="Q483" s="1"/>
      <c r="R483" s="1"/>
      <c r="S483" s="1"/>
      <c r="T483" s="1"/>
      <c r="U483" s="1"/>
      <c r="V483" s="1"/>
      <c r="W483" s="1"/>
      <c r="X483" s="1"/>
    </row>
    <row r="484" ht="15.75" customHeight="1">
      <c r="A484" s="1" t="str">
        <f>IFERROR(__xludf.DUMMYFUNCTION("""COMPUTED_VALUE"""),"Storm Elemental")</f>
        <v>Storm Elemental</v>
      </c>
      <c r="B484" s="73" t="str">
        <f>IFERROR(__xludf.DUMMYFUNCTION("""COMPUTED_VALUE"""),"1-5")</f>
        <v>1-5</v>
      </c>
      <c r="C484" s="1" t="str">
        <f>IFERROR(__xludf.DUMMYFUNCTION("""COMPUTED_VALUE"""),"Ring o' Impassivity and Storm")</f>
        <v>Ring o' Impassivity and Storm</v>
      </c>
      <c r="D484" s="73" t="str">
        <f>IFERROR(__xludf.DUMMYFUNCTION("""COMPUTED_VALUE"""),"6-10")</f>
        <v>6-10</v>
      </c>
      <c r="E484" s="1" t="str">
        <f>IFERROR(__xludf.DUMMYFUNCTION("""COMPUTED_VALUE"""),"Dark Wand")</f>
        <v>Dark Wand</v>
      </c>
      <c r="F484" s="73" t="str">
        <f>IFERROR(__xludf.DUMMYFUNCTION("""COMPUTED_VALUE"""),"11-15")</f>
        <v>11-15</v>
      </c>
      <c r="G484" s="1" t="str">
        <f>IFERROR(__xludf.DUMMYFUNCTION("""COMPUTED_VALUE"""),"Lightning Lance")</f>
        <v>Lightning Lance</v>
      </c>
      <c r="H484" s="73" t="str">
        <f>IFERROR(__xludf.DUMMYFUNCTION("""COMPUTED_VALUE"""),"16-20")</f>
        <v>16-20</v>
      </c>
      <c r="I484" s="1" t="str">
        <f>IFERROR(__xludf.DUMMYFUNCTION("""COMPUTED_VALUE"""),"Soul")</f>
        <v>Soul</v>
      </c>
      <c r="J484" s="73" t="str">
        <f>IFERROR(__xludf.DUMMYFUNCTION("""COMPUTED_VALUE"""),"21-25")</f>
        <v>21-25</v>
      </c>
      <c r="K484" s="1" t="str">
        <f>IFERROR(__xludf.DUMMYFUNCTION("""COMPUTED_VALUE"""),"60,000,000G-80,000,000G")</f>
        <v>60,000,000G-80,000,000G</v>
      </c>
      <c r="L484" s="1"/>
      <c r="M484" s="1"/>
      <c r="N484" s="1"/>
      <c r="O484" s="1"/>
      <c r="P484" s="1"/>
      <c r="Q484" s="1"/>
      <c r="R484" s="1"/>
      <c r="S484" s="1"/>
      <c r="T484" s="1"/>
      <c r="U484" s="1"/>
      <c r="V484" s="1"/>
      <c r="W484" s="1"/>
      <c r="X484" s="1"/>
    </row>
    <row r="485" ht="15.75" customHeight="1">
      <c r="A485" s="1" t="str">
        <f>IFERROR(__xludf.DUMMYFUNCTION("""COMPUTED_VALUE"""),"Lightning Elemental")</f>
        <v>Lightning Elemental</v>
      </c>
      <c r="B485" s="73" t="str">
        <f>IFERROR(__xludf.DUMMYFUNCTION("""COMPUTED_VALUE"""),"1-5")</f>
        <v>1-5</v>
      </c>
      <c r="C485" s="1" t="str">
        <f>IFERROR(__xludf.DUMMYFUNCTION("""COMPUTED_VALUE"""),"Nothing")</f>
        <v>Nothing</v>
      </c>
      <c r="D485" s="73" t="str">
        <f>IFERROR(__xludf.DUMMYFUNCTION("""COMPUTED_VALUE"""),"6-10")</f>
        <v>6-10</v>
      </c>
      <c r="E485" s="1" t="str">
        <f>IFERROR(__xludf.DUMMYFUNCTION("""COMPUTED_VALUE"""),"Lesser Healing Potion")</f>
        <v>Lesser Healing Potion</v>
      </c>
      <c r="F485" s="73" t="str">
        <f>IFERROR(__xludf.DUMMYFUNCTION("""COMPUTED_VALUE"""),"11-15")</f>
        <v>11-15</v>
      </c>
      <c r="G485" s="1" t="str">
        <f>IFERROR(__xludf.DUMMYFUNCTION("""COMPUTED_VALUE"""),"Nothing")</f>
        <v>Nothing</v>
      </c>
      <c r="H485" s="73" t="str">
        <f>IFERROR(__xludf.DUMMYFUNCTION("""COMPUTED_VALUE"""),"16-20")</f>
        <v>16-20</v>
      </c>
      <c r="I485" s="1" t="str">
        <f>IFERROR(__xludf.DUMMYFUNCTION("""COMPUTED_VALUE"""),"Soul")</f>
        <v>Soul</v>
      </c>
      <c r="J485" s="73" t="str">
        <f>IFERROR(__xludf.DUMMYFUNCTION("""COMPUTED_VALUE"""),"21-25")</f>
        <v>21-25</v>
      </c>
      <c r="K485" s="1" t="str">
        <f>IFERROR(__xludf.DUMMYFUNCTION("""COMPUTED_VALUE"""),"Lightning Lance")</f>
        <v>Lightning Lance</v>
      </c>
      <c r="L485" s="1"/>
      <c r="M485" s="1"/>
      <c r="N485" s="1"/>
      <c r="O485" s="1"/>
      <c r="P485" s="1"/>
      <c r="Q485" s="1"/>
      <c r="R485" s="1"/>
      <c r="S485" s="1"/>
      <c r="T485" s="1"/>
      <c r="U485" s="1"/>
      <c r="V485" s="1"/>
      <c r="W485" s="1"/>
      <c r="X485" s="1"/>
    </row>
    <row r="486" ht="15.75" customHeight="1">
      <c r="A486" s="1" t="str">
        <f>IFERROR(__xludf.DUMMYFUNCTION("""COMPUTED_VALUE"""),"Ancient Storm Elemental")</f>
        <v>Ancient Storm Elemental</v>
      </c>
      <c r="B486" s="73" t="str">
        <f>IFERROR(__xludf.DUMMYFUNCTION("""COMPUTED_VALUE"""),"1-5")</f>
        <v>1-5</v>
      </c>
      <c r="C486" s="1" t="str">
        <f>IFERROR(__xludf.DUMMYFUNCTION("""COMPUTED_VALUE"""),"Nothing")</f>
        <v>Nothing</v>
      </c>
      <c r="D486" s="73" t="str">
        <f>IFERROR(__xludf.DUMMYFUNCTION("""COMPUTED_VALUE"""),"6-10")</f>
        <v>6-10</v>
      </c>
      <c r="E486" s="1" t="str">
        <f>IFERROR(__xludf.DUMMYFUNCTION("""COMPUTED_VALUE"""),"Ring o' Agility and Water")</f>
        <v>Ring o' Agility and Water</v>
      </c>
      <c r="F486" s="73" t="str">
        <f>IFERROR(__xludf.DUMMYFUNCTION("""COMPUTED_VALUE"""),"11-15")</f>
        <v>11-15</v>
      </c>
      <c r="G486" s="1" t="str">
        <f>IFERROR(__xludf.DUMMYFUNCTION("""COMPUTED_VALUE"""),"Nothing")</f>
        <v>Nothing</v>
      </c>
      <c r="H486" s="73" t="str">
        <f>IFERROR(__xludf.DUMMYFUNCTION("""COMPUTED_VALUE"""),"16-20")</f>
        <v>16-20</v>
      </c>
      <c r="I486" s="1" t="str">
        <f>IFERROR(__xludf.DUMMYFUNCTION("""COMPUTED_VALUE"""),"Ice bomb")</f>
        <v>Ice bomb</v>
      </c>
      <c r="J486" s="73" t="str">
        <f>IFERROR(__xludf.DUMMYFUNCTION("""COMPUTED_VALUE"""),"21-25")</f>
        <v>21-25</v>
      </c>
      <c r="K486" s="1" t="str">
        <f>IFERROR(__xludf.DUMMYFUNCTION("""COMPUTED_VALUE"""),"Soul")</f>
        <v>Soul</v>
      </c>
      <c r="L486" s="1"/>
      <c r="M486" s="1"/>
      <c r="N486" s="1"/>
      <c r="O486" s="1"/>
      <c r="P486" s="1"/>
      <c r="Q486" s="1"/>
      <c r="R486" s="1"/>
      <c r="S486" s="1"/>
      <c r="T486" s="1"/>
      <c r="U486" s="1"/>
      <c r="V486" s="1"/>
      <c r="W486" s="1"/>
      <c r="X486" s="1"/>
    </row>
    <row r="487" ht="15.75" customHeight="1">
      <c r="A487" s="1" t="str">
        <f>IFERROR(__xludf.DUMMYFUNCTION("""COMPUTED_VALUE"""),"Lathom, Ancient Penumbral Elemental of Insanity")</f>
        <v>Lathom, Ancient Penumbral Elemental of Insanity</v>
      </c>
      <c r="B487" s="73" t="str">
        <f>IFERROR(__xludf.DUMMYFUNCTION("""COMPUTED_VALUE"""),"1-5")</f>
        <v>1-5</v>
      </c>
      <c r="C487" s="1" t="str">
        <f>IFERROR(__xludf.DUMMYFUNCTION("""COMPUTED_VALUE"""),"Nothing")</f>
        <v>Nothing</v>
      </c>
      <c r="D487" s="73" t="str">
        <f>IFERROR(__xludf.DUMMYFUNCTION("""COMPUTED_VALUE"""),"6-10")</f>
        <v>6-10</v>
      </c>
      <c r="E487" s="1" t="str">
        <f>IFERROR(__xludf.DUMMYFUNCTION("""COMPUTED_VALUE"""),"Nothing")</f>
        <v>Nothing</v>
      </c>
      <c r="F487" s="73" t="str">
        <f>IFERROR(__xludf.DUMMYFUNCTION("""COMPUTED_VALUE"""),"11-15")</f>
        <v>11-15</v>
      </c>
      <c r="G487" s="1" t="str">
        <f>IFERROR(__xludf.DUMMYFUNCTION("""COMPUTED_VALUE"""),"Nothing")</f>
        <v>Nothing</v>
      </c>
      <c r="H487" s="73" t="str">
        <f>IFERROR(__xludf.DUMMYFUNCTION("""COMPUTED_VALUE"""),"16-20")</f>
        <v>16-20</v>
      </c>
      <c r="I487" s="1" t="str">
        <f>IFERROR(__xludf.DUMMYFUNCTION("""COMPUTED_VALUE"""),"Nothing")</f>
        <v>Nothing</v>
      </c>
      <c r="J487" s="73" t="str">
        <f>IFERROR(__xludf.DUMMYFUNCTION("""COMPUTED_VALUE"""),"21-25")</f>
        <v>21-25</v>
      </c>
      <c r="K487" s="1" t="str">
        <f>IFERROR(__xludf.DUMMYFUNCTION("""COMPUTED_VALUE"""),"Soul")</f>
        <v>Soul</v>
      </c>
      <c r="L487" s="1"/>
      <c r="M487" s="1"/>
      <c r="N487" s="1"/>
      <c r="O487" s="1"/>
      <c r="P487" s="1"/>
      <c r="Q487" s="1"/>
      <c r="R487" s="1"/>
      <c r="S487" s="1"/>
      <c r="T487" s="1"/>
      <c r="U487" s="1"/>
      <c r="V487" s="1"/>
      <c r="W487" s="1"/>
      <c r="X487" s="1"/>
    </row>
    <row r="488" ht="15.75" customHeight="1">
      <c r="A488" s="1" t="str">
        <f>IFERROR(__xludf.DUMMYFUNCTION("""COMPUTED_VALUE"""),"Karduk, King of the Earth Elementals")</f>
        <v>Karduk, King of the Earth Elementals</v>
      </c>
      <c r="B488" s="73" t="str">
        <f>IFERROR(__xludf.DUMMYFUNCTION("""COMPUTED_VALUE"""),"1-5")</f>
        <v>1-5</v>
      </c>
      <c r="C488" s="1" t="str">
        <f>IFERROR(__xludf.DUMMYFUNCTION("""COMPUTED_VALUE"""),"Bag of Sand")</f>
        <v>Bag of Sand</v>
      </c>
      <c r="D488" s="73" t="str">
        <f>IFERROR(__xludf.DUMMYFUNCTION("""COMPUTED_VALUE"""),"6-10")</f>
        <v>6-10</v>
      </c>
      <c r="E488" s="1" t="str">
        <f>IFERROR(__xludf.DUMMYFUNCTION("""COMPUTED_VALUE"""),"Stonewall Shield")</f>
        <v>Stonewall Shield</v>
      </c>
      <c r="F488" s="73" t="str">
        <f>IFERROR(__xludf.DUMMYFUNCTION("""COMPUTED_VALUE"""),"11-15")</f>
        <v>11-15</v>
      </c>
      <c r="G488" s="1" t="str">
        <f>IFERROR(__xludf.DUMMYFUNCTION("""COMPUTED_VALUE"""),"20,000,000G-40,000,000G")</f>
        <v>20,000,000G-40,000,000G</v>
      </c>
      <c r="H488" s="73" t="str">
        <f>IFERROR(__xludf.DUMMYFUNCTION("""COMPUTED_VALUE"""),"16-20")</f>
        <v>16-20</v>
      </c>
      <c r="I488" s="1" t="str">
        <f>IFERROR(__xludf.DUMMYFUNCTION("""COMPUTED_VALUE"""),"Nothing")</f>
        <v>Nothing</v>
      </c>
      <c r="J488" s="73" t="str">
        <f>IFERROR(__xludf.DUMMYFUNCTION("""COMPUTED_VALUE"""),"21-25")</f>
        <v>21-25</v>
      </c>
      <c r="K488" s="1" t="str">
        <f>IFERROR(__xludf.DUMMYFUNCTION("""COMPUTED_VALUE"""),"Soul")</f>
        <v>Soul</v>
      </c>
      <c r="L488" s="1"/>
      <c r="M488" s="1"/>
      <c r="N488" s="1"/>
      <c r="O488" s="1"/>
      <c r="P488" s="1"/>
      <c r="Q488" s="1"/>
      <c r="R488" s="1"/>
      <c r="S488" s="1"/>
      <c r="T488" s="1"/>
      <c r="U488" s="1"/>
      <c r="V488" s="1"/>
      <c r="W488" s="1"/>
      <c r="X488" s="1"/>
    </row>
    <row r="489" ht="15.75" customHeight="1">
      <c r="A489" s="1" t="str">
        <f>IFERROR(__xludf.DUMMYFUNCTION("""COMPUTED_VALUE"""),"Undyne, Queen of the Water Elementals")</f>
        <v>Undyne, Queen of the Water Elementals</v>
      </c>
      <c r="B489" s="73" t="str">
        <f>IFERROR(__xludf.DUMMYFUNCTION("""COMPUTED_VALUE"""),"1-5")</f>
        <v>1-5</v>
      </c>
      <c r="C489" s="1" t="str">
        <f>IFERROR(__xludf.DUMMYFUNCTION("""COMPUTED_VALUE"""),"500,000,000G-1,000,000,000G")</f>
        <v>500,000,000G-1,000,000,000G</v>
      </c>
      <c r="D489" s="73" t="str">
        <f>IFERROR(__xludf.DUMMYFUNCTION("""COMPUTED_VALUE"""),"6-10")</f>
        <v>6-10</v>
      </c>
      <c r="E489" s="1" t="str">
        <f>IFERROR(__xludf.DUMMYFUNCTION("""COMPUTED_VALUE"""),"Nothing")</f>
        <v>Nothing</v>
      </c>
      <c r="F489" s="73" t="str">
        <f>IFERROR(__xludf.DUMMYFUNCTION("""COMPUTED_VALUE"""),"11-15")</f>
        <v>11-15</v>
      </c>
      <c r="G489" s="1" t="str">
        <f>IFERROR(__xludf.DUMMYFUNCTION("""COMPUTED_VALUE"""),"Water Warhammer")</f>
        <v>Water Warhammer</v>
      </c>
      <c r="H489" s="73" t="str">
        <f>IFERROR(__xludf.DUMMYFUNCTION("""COMPUTED_VALUE"""),"16-20")</f>
        <v>16-20</v>
      </c>
      <c r="I489" s="1" t="str">
        <f>IFERROR(__xludf.DUMMYFUNCTION("""COMPUTED_VALUE"""),"Water potion")</f>
        <v>Water potion</v>
      </c>
      <c r="J489" s="73" t="str">
        <f>IFERROR(__xludf.DUMMYFUNCTION("""COMPUTED_VALUE"""),"21-25")</f>
        <v>21-25</v>
      </c>
      <c r="K489" s="1" t="str">
        <f>IFERROR(__xludf.DUMMYFUNCTION("""COMPUTED_VALUE"""),"Soul")</f>
        <v>Soul</v>
      </c>
      <c r="L489" s="1"/>
      <c r="M489" s="1"/>
      <c r="N489" s="1"/>
      <c r="O489" s="1"/>
      <c r="P489" s="1"/>
      <c r="Q489" s="1"/>
      <c r="R489" s="1"/>
      <c r="S489" s="1"/>
      <c r="T489" s="1"/>
      <c r="U489" s="1"/>
      <c r="V489" s="1"/>
      <c r="W489" s="1"/>
      <c r="X489" s="1"/>
    </row>
    <row r="490" ht="15.75" customHeight="1">
      <c r="A490" s="1" t="str">
        <f>IFERROR(__xludf.DUMMYFUNCTION("""COMPUTED_VALUE"""),"Sylph, Queen of the Nature Elementals")</f>
        <v>Sylph, Queen of the Nature Elementals</v>
      </c>
      <c r="B490" s="73" t="str">
        <f>IFERROR(__xludf.DUMMYFUNCTION("""COMPUTED_VALUE"""),"1-5")</f>
        <v>1-5</v>
      </c>
      <c r="C490" s="1" t="str">
        <f>IFERROR(__xludf.DUMMYFUNCTION("""COMPUTED_VALUE"""),"100,000,000G-500,000,000G")</f>
        <v>100,000,000G-500,000,000G</v>
      </c>
      <c r="D490" s="73" t="str">
        <f>IFERROR(__xludf.DUMMYFUNCTION("""COMPUTED_VALUE"""),"6-10")</f>
        <v>6-10</v>
      </c>
      <c r="E490" s="1" t="str">
        <f>IFERROR(__xludf.DUMMYFUNCTION("""COMPUTED_VALUE"""),"Nothing")</f>
        <v>Nothing</v>
      </c>
      <c r="F490" s="73" t="str">
        <f>IFERROR(__xludf.DUMMYFUNCTION("""COMPUTED_VALUE"""),"11-15")</f>
        <v>11-15</v>
      </c>
      <c r="G490" s="1" t="str">
        <f>IFERROR(__xludf.DUMMYFUNCTION("""COMPUTED_VALUE"""),"Nothing")</f>
        <v>Nothing</v>
      </c>
      <c r="H490" s="73" t="str">
        <f>IFERROR(__xludf.DUMMYFUNCTION("""COMPUTED_VALUE"""),"16-20")</f>
        <v>16-20</v>
      </c>
      <c r="I490" s="1" t="str">
        <f>IFERROR(__xludf.DUMMYFUNCTION("""COMPUTED_VALUE"""),"Potion of Regeneration")</f>
        <v>Potion of Regeneration</v>
      </c>
      <c r="J490" s="73" t="str">
        <f>IFERROR(__xludf.DUMMYFUNCTION("""COMPUTED_VALUE"""),"21-25")</f>
        <v>21-25</v>
      </c>
      <c r="K490" s="1" t="str">
        <f>IFERROR(__xludf.DUMMYFUNCTION("""COMPUTED_VALUE"""),"Soul")</f>
        <v>Soul</v>
      </c>
      <c r="L490" s="1"/>
      <c r="M490" s="1"/>
      <c r="N490" s="1"/>
      <c r="O490" s="1"/>
      <c r="P490" s="1"/>
      <c r="Q490" s="1"/>
      <c r="R490" s="1"/>
      <c r="S490" s="1"/>
      <c r="T490" s="1"/>
      <c r="U490" s="1"/>
      <c r="V490" s="1"/>
      <c r="W490" s="1"/>
      <c r="X490" s="1"/>
    </row>
    <row r="491" ht="15.75" customHeight="1">
      <c r="A491" s="1" t="str">
        <f>IFERROR(__xludf.DUMMYFUNCTION("""COMPUTED_VALUE"""),"Raijin, King of the Storm Elementals")</f>
        <v>Raijin, King of the Storm Elementals</v>
      </c>
      <c r="B491" s="73" t="str">
        <f>IFERROR(__xludf.DUMMYFUNCTION("""COMPUTED_VALUE"""),"1-5")</f>
        <v>1-5</v>
      </c>
      <c r="C491" s="1" t="str">
        <f>IFERROR(__xludf.DUMMYFUNCTION("""COMPUTED_VALUE"""),"Soul")</f>
        <v>Soul</v>
      </c>
      <c r="D491" s="73" t="str">
        <f>IFERROR(__xludf.DUMMYFUNCTION("""COMPUTED_VALUE"""),"6-10")</f>
        <v>6-10</v>
      </c>
      <c r="E491" s="1" t="str">
        <f>IFERROR(__xludf.DUMMYFUNCTION("""COMPUTED_VALUE"""),"Nothing")</f>
        <v>Nothing</v>
      </c>
      <c r="F491" s="73" t="str">
        <f>IFERROR(__xludf.DUMMYFUNCTION("""COMPUTED_VALUE"""),"11-15")</f>
        <v>11-15</v>
      </c>
      <c r="G491" s="1" t="str">
        <f>IFERROR(__xludf.DUMMYFUNCTION("""COMPUTED_VALUE"""),"Ring o' Impassivity and Storm")</f>
        <v>Ring o' Impassivity and Storm</v>
      </c>
      <c r="H491" s="73" t="str">
        <f>IFERROR(__xludf.DUMMYFUNCTION("""COMPUTED_VALUE"""),"16-20")</f>
        <v>16-20</v>
      </c>
      <c r="I491" s="1" t="str">
        <f>IFERROR(__xludf.DUMMYFUNCTION("""COMPUTED_VALUE"""),"80,000G-100,000G")</f>
        <v>80,000G-100,000G</v>
      </c>
      <c r="J491" s="73" t="str">
        <f>IFERROR(__xludf.DUMMYFUNCTION("""COMPUTED_VALUE"""),"21-25")</f>
        <v>21-25</v>
      </c>
      <c r="K491" s="1" t="str">
        <f>IFERROR(__xludf.DUMMYFUNCTION("""COMPUTED_VALUE"""),"Nothing")</f>
        <v>Nothing</v>
      </c>
      <c r="L491" s="1"/>
      <c r="M491" s="1"/>
      <c r="N491" s="1"/>
      <c r="O491" s="1"/>
      <c r="P491" s="1"/>
      <c r="Q491" s="1"/>
      <c r="R491" s="1"/>
      <c r="S491" s="1"/>
      <c r="T491" s="1"/>
      <c r="U491" s="1"/>
      <c r="V491" s="1"/>
      <c r="W491" s="1"/>
      <c r="X491" s="1"/>
    </row>
    <row r="492" ht="15.75" customHeight="1">
      <c r="A492" s="1" t="str">
        <f>IFERROR(__xludf.DUMMYFUNCTION("""COMPUTED_VALUE"""),"Salamander, King of the Fire Elementals")</f>
        <v>Salamander, King of the Fire Elementals</v>
      </c>
      <c r="B492" s="73" t="str">
        <f>IFERROR(__xludf.DUMMYFUNCTION("""COMPUTED_VALUE"""),"1-5")</f>
        <v>1-5</v>
      </c>
      <c r="C492" s="1" t="str">
        <f>IFERROR(__xludf.DUMMYFUNCTION("""COMPUTED_VALUE"""),"Ring o' Strength and Fire")</f>
        <v>Ring o' Strength and Fire</v>
      </c>
      <c r="D492" s="73" t="str">
        <f>IFERROR(__xludf.DUMMYFUNCTION("""COMPUTED_VALUE"""),"6-10")</f>
        <v>6-10</v>
      </c>
      <c r="E492" s="1" t="str">
        <f>IFERROR(__xludf.DUMMYFUNCTION("""COMPUTED_VALUE"""),"Wig of Temper Fire")</f>
        <v>Wig of Temper Fire</v>
      </c>
      <c r="F492" s="73" t="str">
        <f>IFERROR(__xludf.DUMMYFUNCTION("""COMPUTED_VALUE"""),"11-15")</f>
        <v>11-15</v>
      </c>
      <c r="G492" s="1" t="str">
        <f>IFERROR(__xludf.DUMMYFUNCTION("""COMPUTED_VALUE"""),"Fire Shield")</f>
        <v>Fire Shield</v>
      </c>
      <c r="H492" s="73" t="str">
        <f>IFERROR(__xludf.DUMMYFUNCTION("""COMPUTED_VALUE"""),"16-20")</f>
        <v>16-20</v>
      </c>
      <c r="I492" s="1" t="str">
        <f>IFERROR(__xludf.DUMMYFUNCTION("""COMPUTED_VALUE"""),"Volcanic Sword of Destruction")</f>
        <v>Volcanic Sword of Destruction</v>
      </c>
      <c r="J492" s="73" t="str">
        <f>IFERROR(__xludf.DUMMYFUNCTION("""COMPUTED_VALUE"""),"21-25")</f>
        <v>21-25</v>
      </c>
      <c r="K492" s="1" t="str">
        <f>IFERROR(__xludf.DUMMYFUNCTION("""COMPUTED_VALUE"""),"Soul")</f>
        <v>Soul</v>
      </c>
      <c r="L492" s="1"/>
      <c r="M492" s="1"/>
      <c r="N492" s="1"/>
      <c r="O492" s="1"/>
      <c r="P492" s="1"/>
      <c r="Q492" s="1"/>
      <c r="R492" s="1"/>
      <c r="S492" s="1"/>
      <c r="T492" s="1"/>
      <c r="U492" s="1"/>
      <c r="V492" s="1"/>
      <c r="W492" s="1"/>
      <c r="X492" s="1"/>
    </row>
    <row r="493" ht="15.75" customHeight="1">
      <c r="A493" s="1" t="str">
        <f>IFERROR(__xludf.DUMMYFUNCTION("""COMPUTED_VALUE"""),"Sand Worm Queen")</f>
        <v>Sand Worm Queen</v>
      </c>
      <c r="B493" s="73" t="str">
        <f>IFERROR(__xludf.DUMMYFUNCTION("""COMPUTED_VALUE"""),"1-5")</f>
        <v>1-5</v>
      </c>
      <c r="C493" s="1" t="str">
        <f>IFERROR(__xludf.DUMMYFUNCTION("""COMPUTED_VALUE"""),"Sand")</f>
        <v>Sand</v>
      </c>
      <c r="D493" s="73" t="str">
        <f>IFERROR(__xludf.DUMMYFUNCTION("""COMPUTED_VALUE"""),"6-10")</f>
        <v>6-10</v>
      </c>
      <c r="E493" s="1" t="str">
        <f>IFERROR(__xludf.DUMMYFUNCTION("""COMPUTED_VALUE"""),"Bag of Sand")</f>
        <v>Bag of Sand</v>
      </c>
      <c r="F493" s="73" t="str">
        <f>IFERROR(__xludf.DUMMYFUNCTION("""COMPUTED_VALUE"""),"11-15")</f>
        <v>11-15</v>
      </c>
      <c r="G493" s="1" t="str">
        <f>IFERROR(__xludf.DUMMYFUNCTION("""COMPUTED_VALUE"""),"Glowing Red eye")</f>
        <v>Glowing Red eye</v>
      </c>
      <c r="H493" s="73" t="str">
        <f>IFERROR(__xludf.DUMMYFUNCTION("""COMPUTED_VALUE"""),"16-20")</f>
        <v>16-20</v>
      </c>
      <c r="I493" s="1" t="str">
        <f>IFERROR(__xludf.DUMMYFUNCTION("""COMPUTED_VALUE"""),"Sand Gem")</f>
        <v>Sand Gem</v>
      </c>
      <c r="J493" s="73" t="str">
        <f>IFERROR(__xludf.DUMMYFUNCTION("""COMPUTED_VALUE"""),"21-25")</f>
        <v>21-25</v>
      </c>
      <c r="K493" s="1" t="str">
        <f>IFERROR(__xludf.DUMMYFUNCTION("""COMPUTED_VALUE"""),"Soul")</f>
        <v>Soul</v>
      </c>
      <c r="L493" s="1"/>
      <c r="M493" s="1"/>
      <c r="N493" s="1"/>
      <c r="O493" s="1"/>
      <c r="P493" s="1"/>
      <c r="Q493" s="1"/>
      <c r="R493" s="1"/>
      <c r="S493" s="1"/>
      <c r="T493" s="1"/>
      <c r="U493" s="1"/>
      <c r="V493" s="1"/>
      <c r="W493" s="1"/>
      <c r="X493" s="1"/>
    </row>
    <row r="494" ht="15.75" customHeight="1">
      <c r="A494" s="1"/>
      <c r="B494" s="73" t="str">
        <f>IFERROR(__xludf.DUMMYFUNCTION("""COMPUTED_VALUE"""),"1-5")</f>
        <v>1-5</v>
      </c>
      <c r="C494" s="1"/>
      <c r="D494" s="73" t="str">
        <f>IFERROR(__xludf.DUMMYFUNCTION("""COMPUTED_VALUE"""),"6-10")</f>
        <v>6-10</v>
      </c>
      <c r="E494" s="1"/>
      <c r="F494" s="73" t="str">
        <f>IFERROR(__xludf.DUMMYFUNCTION("""COMPUTED_VALUE"""),"11-15")</f>
        <v>11-15</v>
      </c>
      <c r="G494" s="1"/>
      <c r="H494" s="73" t="str">
        <f>IFERROR(__xludf.DUMMYFUNCTION("""COMPUTED_VALUE"""),"16-20")</f>
        <v>16-20</v>
      </c>
      <c r="I494" s="1"/>
      <c r="J494" s="73" t="str">
        <f>IFERROR(__xludf.DUMMYFUNCTION("""COMPUTED_VALUE"""),"21-25")</f>
        <v>21-25</v>
      </c>
      <c r="K494" s="1"/>
      <c r="L494" s="1"/>
      <c r="M494" s="1"/>
      <c r="N494" s="1"/>
      <c r="O494" s="1"/>
      <c r="P494" s="1"/>
      <c r="Q494" s="1"/>
      <c r="R494" s="1"/>
      <c r="S494" s="1"/>
      <c r="T494" s="1"/>
      <c r="U494" s="1"/>
      <c r="V494" s="1"/>
      <c r="W494" s="1"/>
      <c r="X494" s="1"/>
    </row>
    <row r="495" ht="15.75" customHeight="1">
      <c r="A495" s="1"/>
      <c r="B495" s="73" t="str">
        <f>IFERROR(__xludf.DUMMYFUNCTION("""COMPUTED_VALUE"""),"1-5")</f>
        <v>1-5</v>
      </c>
      <c r="C495" s="1"/>
      <c r="D495" s="73" t="str">
        <f>IFERROR(__xludf.DUMMYFUNCTION("""COMPUTED_VALUE"""),"6-10")</f>
        <v>6-10</v>
      </c>
      <c r="E495" s="1"/>
      <c r="F495" s="73" t="str">
        <f>IFERROR(__xludf.DUMMYFUNCTION("""COMPUTED_VALUE"""),"11-15")</f>
        <v>11-15</v>
      </c>
      <c r="G495" s="1"/>
      <c r="H495" s="73" t="str">
        <f>IFERROR(__xludf.DUMMYFUNCTION("""COMPUTED_VALUE"""),"16-20")</f>
        <v>16-20</v>
      </c>
      <c r="I495" s="1"/>
      <c r="J495" s="73" t="str">
        <f>IFERROR(__xludf.DUMMYFUNCTION("""COMPUTED_VALUE"""),"21-25")</f>
        <v>21-25</v>
      </c>
      <c r="K495" s="1"/>
      <c r="L495" s="1"/>
      <c r="M495" s="1"/>
      <c r="N495" s="1"/>
      <c r="O495" s="1"/>
      <c r="P495" s="1"/>
      <c r="Q495" s="1"/>
      <c r="R495" s="1"/>
      <c r="S495" s="1"/>
      <c r="T495" s="1"/>
      <c r="U495" s="1"/>
      <c r="V495" s="1"/>
      <c r="W495" s="1"/>
      <c r="X495" s="1"/>
    </row>
    <row r="496" ht="15.75" customHeight="1">
      <c r="A496" s="1"/>
      <c r="B496" s="73" t="str">
        <f>IFERROR(__xludf.DUMMYFUNCTION("""COMPUTED_VALUE"""),"1-5")</f>
        <v>1-5</v>
      </c>
      <c r="C496" s="1"/>
      <c r="D496" s="73" t="str">
        <f>IFERROR(__xludf.DUMMYFUNCTION("""COMPUTED_VALUE"""),"6-10")</f>
        <v>6-10</v>
      </c>
      <c r="E496" s="1"/>
      <c r="F496" s="73" t="str">
        <f>IFERROR(__xludf.DUMMYFUNCTION("""COMPUTED_VALUE"""),"11-15")</f>
        <v>11-15</v>
      </c>
      <c r="G496" s="1"/>
      <c r="H496" s="73" t="str">
        <f>IFERROR(__xludf.DUMMYFUNCTION("""COMPUTED_VALUE"""),"16-20")</f>
        <v>16-20</v>
      </c>
      <c r="I496" s="1"/>
      <c r="J496" s="73" t="str">
        <f>IFERROR(__xludf.DUMMYFUNCTION("""COMPUTED_VALUE"""),"21-25")</f>
        <v>21-25</v>
      </c>
      <c r="K496" s="1"/>
      <c r="L496" s="1"/>
      <c r="M496" s="1"/>
      <c r="N496" s="1"/>
      <c r="O496" s="1"/>
      <c r="P496" s="1"/>
      <c r="Q496" s="1"/>
      <c r="R496" s="1"/>
      <c r="S496" s="1"/>
      <c r="T496" s="1"/>
      <c r="U496" s="1"/>
      <c r="V496" s="1"/>
      <c r="W496" s="1"/>
      <c r="X496" s="1"/>
    </row>
    <row r="497" ht="15.75" customHeight="1">
      <c r="A497" s="1"/>
      <c r="B497" s="73" t="str">
        <f>IFERROR(__xludf.DUMMYFUNCTION("""COMPUTED_VALUE"""),"1-5")</f>
        <v>1-5</v>
      </c>
      <c r="C497" s="1"/>
      <c r="D497" s="73" t="str">
        <f>IFERROR(__xludf.DUMMYFUNCTION("""COMPUTED_VALUE"""),"6-10")</f>
        <v>6-10</v>
      </c>
      <c r="E497" s="1"/>
      <c r="F497" s="73" t="str">
        <f>IFERROR(__xludf.DUMMYFUNCTION("""COMPUTED_VALUE"""),"11-15")</f>
        <v>11-15</v>
      </c>
      <c r="G497" s="1"/>
      <c r="H497" s="73" t="str">
        <f>IFERROR(__xludf.DUMMYFUNCTION("""COMPUTED_VALUE"""),"16-20")</f>
        <v>16-20</v>
      </c>
      <c r="I497" s="1"/>
      <c r="J497" s="73" t="str">
        <f>IFERROR(__xludf.DUMMYFUNCTION("""COMPUTED_VALUE"""),"21-25")</f>
        <v>21-25</v>
      </c>
      <c r="K497" s="1"/>
      <c r="L497" s="1"/>
      <c r="M497" s="1"/>
      <c r="N497" s="1"/>
      <c r="O497" s="1"/>
      <c r="P497" s="1"/>
      <c r="Q497" s="1"/>
      <c r="R497" s="1"/>
      <c r="S497" s="1"/>
      <c r="T497" s="1"/>
      <c r="U497" s="1"/>
      <c r="V497" s="1"/>
      <c r="W497" s="1"/>
      <c r="X497" s="1"/>
    </row>
    <row r="498" ht="15.75" customHeight="1">
      <c r="A498" s="1"/>
      <c r="B498" s="73" t="str">
        <f>IFERROR(__xludf.DUMMYFUNCTION("""COMPUTED_VALUE"""),"1-5")</f>
        <v>1-5</v>
      </c>
      <c r="C498" s="1"/>
      <c r="D498" s="73" t="str">
        <f>IFERROR(__xludf.DUMMYFUNCTION("""COMPUTED_VALUE"""),"6-10")</f>
        <v>6-10</v>
      </c>
      <c r="E498" s="1"/>
      <c r="F498" s="73" t="str">
        <f>IFERROR(__xludf.DUMMYFUNCTION("""COMPUTED_VALUE"""),"11-15")</f>
        <v>11-15</v>
      </c>
      <c r="G498" s="1"/>
      <c r="H498" s="73" t="str">
        <f>IFERROR(__xludf.DUMMYFUNCTION("""COMPUTED_VALUE"""),"16-20")</f>
        <v>16-20</v>
      </c>
      <c r="I498" s="1"/>
      <c r="J498" s="73" t="str">
        <f>IFERROR(__xludf.DUMMYFUNCTION("""COMPUTED_VALUE"""),"21-25")</f>
        <v>21-25</v>
      </c>
      <c r="K498" s="1"/>
      <c r="L498" s="1"/>
      <c r="M498" s="1"/>
      <c r="N498" s="1"/>
      <c r="O498" s="1"/>
      <c r="P498" s="1"/>
      <c r="Q498" s="1"/>
      <c r="R498" s="1"/>
      <c r="S498" s="1"/>
      <c r="T498" s="1"/>
      <c r="U498" s="1"/>
      <c r="V498" s="1"/>
      <c r="W498" s="1"/>
      <c r="X498" s="1"/>
    </row>
    <row r="499" ht="15.75" customHeight="1">
      <c r="A499" s="1"/>
      <c r="B499" s="73" t="str">
        <f>IFERROR(__xludf.DUMMYFUNCTION("""COMPUTED_VALUE"""),"1-5")</f>
        <v>1-5</v>
      </c>
      <c r="C499" s="1"/>
      <c r="D499" s="73" t="str">
        <f>IFERROR(__xludf.DUMMYFUNCTION("""COMPUTED_VALUE"""),"6-10")</f>
        <v>6-10</v>
      </c>
      <c r="E499" s="1"/>
      <c r="F499" s="73" t="str">
        <f>IFERROR(__xludf.DUMMYFUNCTION("""COMPUTED_VALUE"""),"11-15")</f>
        <v>11-15</v>
      </c>
      <c r="G499" s="1"/>
      <c r="H499" s="73" t="str">
        <f>IFERROR(__xludf.DUMMYFUNCTION("""COMPUTED_VALUE"""),"16-20")</f>
        <v>16-20</v>
      </c>
      <c r="I499" s="1"/>
      <c r="J499" s="73" t="str">
        <f>IFERROR(__xludf.DUMMYFUNCTION("""COMPUTED_VALUE"""),"21-25")</f>
        <v>21-25</v>
      </c>
      <c r="K499" s="1"/>
      <c r="L499" s="1"/>
      <c r="M499" s="1"/>
      <c r="N499" s="1"/>
      <c r="O499" s="1"/>
      <c r="P499" s="1"/>
      <c r="Q499" s="1"/>
      <c r="R499" s="1"/>
      <c r="S499" s="1"/>
      <c r="T499" s="1"/>
      <c r="U499" s="1"/>
      <c r="V499" s="1"/>
      <c r="W499" s="1"/>
      <c r="X499" s="1"/>
    </row>
    <row r="500" ht="15.75" customHeight="1">
      <c r="A500" s="1"/>
      <c r="B500" s="73" t="str">
        <f>IFERROR(__xludf.DUMMYFUNCTION("""COMPUTED_VALUE"""),"1-5")</f>
        <v>1-5</v>
      </c>
      <c r="C500" s="1"/>
      <c r="D500" s="73" t="str">
        <f>IFERROR(__xludf.DUMMYFUNCTION("""COMPUTED_VALUE"""),"6-10")</f>
        <v>6-10</v>
      </c>
      <c r="E500" s="1"/>
      <c r="F500" s="73" t="str">
        <f>IFERROR(__xludf.DUMMYFUNCTION("""COMPUTED_VALUE"""),"11-15")</f>
        <v>11-15</v>
      </c>
      <c r="G500" s="1"/>
      <c r="H500" s="73" t="str">
        <f>IFERROR(__xludf.DUMMYFUNCTION("""COMPUTED_VALUE"""),"16-20")</f>
        <v>16-20</v>
      </c>
      <c r="I500" s="1"/>
      <c r="J500" s="73" t="str">
        <f>IFERROR(__xludf.DUMMYFUNCTION("""COMPUTED_VALUE"""),"21-25")</f>
        <v>21-25</v>
      </c>
      <c r="K500" s="1"/>
      <c r="L500" s="1"/>
      <c r="M500" s="1"/>
      <c r="N500" s="1"/>
      <c r="O500" s="1"/>
      <c r="P500" s="1"/>
      <c r="Q500" s="1"/>
      <c r="R500" s="1"/>
      <c r="S500" s="1"/>
      <c r="T500" s="1"/>
      <c r="U500" s="1"/>
      <c r="V500" s="1"/>
      <c r="W500" s="1"/>
      <c r="X500" s="1"/>
    </row>
    <row r="501" ht="15.75" customHeight="1">
      <c r="A501" s="1"/>
      <c r="B501" s="73" t="str">
        <f>IFERROR(__xludf.DUMMYFUNCTION("""COMPUTED_VALUE"""),"1-5")</f>
        <v>1-5</v>
      </c>
      <c r="C501" s="1"/>
      <c r="D501" s="73" t="str">
        <f>IFERROR(__xludf.DUMMYFUNCTION("""COMPUTED_VALUE"""),"6-10")</f>
        <v>6-10</v>
      </c>
      <c r="E501" s="1"/>
      <c r="F501" s="73" t="str">
        <f>IFERROR(__xludf.DUMMYFUNCTION("""COMPUTED_VALUE"""),"11-15")</f>
        <v>11-15</v>
      </c>
      <c r="G501" s="1"/>
      <c r="H501" s="73" t="str">
        <f>IFERROR(__xludf.DUMMYFUNCTION("""COMPUTED_VALUE"""),"16-20")</f>
        <v>16-20</v>
      </c>
      <c r="I501" s="1"/>
      <c r="J501" s="73" t="str">
        <f>IFERROR(__xludf.DUMMYFUNCTION("""COMPUTED_VALUE"""),"21-25")</f>
        <v>21-25</v>
      </c>
      <c r="K501" s="1"/>
      <c r="L501" s="1"/>
      <c r="M501" s="1"/>
      <c r="N501" s="1"/>
      <c r="O501" s="1"/>
      <c r="P501" s="1"/>
      <c r="Q501" s="1"/>
      <c r="R501" s="1"/>
      <c r="S501" s="1"/>
      <c r="T501" s="1"/>
      <c r="U501" s="1"/>
      <c r="V501" s="1"/>
      <c r="W501" s="1"/>
      <c r="X501" s="1"/>
    </row>
    <row r="502" ht="15.75" customHeight="1">
      <c r="A502" s="1"/>
      <c r="B502" s="73" t="str">
        <f>IFERROR(__xludf.DUMMYFUNCTION("""COMPUTED_VALUE"""),"1-5")</f>
        <v>1-5</v>
      </c>
      <c r="C502" s="1"/>
      <c r="D502" s="73" t="str">
        <f>IFERROR(__xludf.DUMMYFUNCTION("""COMPUTED_VALUE"""),"6-10")</f>
        <v>6-10</v>
      </c>
      <c r="E502" s="1"/>
      <c r="F502" s="73" t="str">
        <f>IFERROR(__xludf.DUMMYFUNCTION("""COMPUTED_VALUE"""),"11-15")</f>
        <v>11-15</v>
      </c>
      <c r="G502" s="1"/>
      <c r="H502" s="73" t="str">
        <f>IFERROR(__xludf.DUMMYFUNCTION("""COMPUTED_VALUE"""),"16-20")</f>
        <v>16-20</v>
      </c>
      <c r="I502" s="1"/>
      <c r="J502" s="73" t="str">
        <f>IFERROR(__xludf.DUMMYFUNCTION("""COMPUTED_VALUE"""),"21-25")</f>
        <v>21-25</v>
      </c>
      <c r="K502" s="1"/>
      <c r="L502" s="1"/>
      <c r="M502" s="1"/>
      <c r="N502" s="1"/>
      <c r="O502" s="1"/>
      <c r="P502" s="1"/>
      <c r="Q502" s="1"/>
      <c r="R502" s="1"/>
      <c r="S502" s="1"/>
      <c r="T502" s="1"/>
      <c r="U502" s="1"/>
      <c r="V502" s="1"/>
      <c r="W502" s="1"/>
      <c r="X502" s="1"/>
    </row>
    <row r="503" ht="15.75" customHeight="1">
      <c r="A503" s="1"/>
      <c r="B503" s="73" t="str">
        <f>IFERROR(__xludf.DUMMYFUNCTION("""COMPUTED_VALUE"""),"1-5")</f>
        <v>1-5</v>
      </c>
      <c r="C503" s="1"/>
      <c r="D503" s="73" t="str">
        <f>IFERROR(__xludf.DUMMYFUNCTION("""COMPUTED_VALUE"""),"6-10")</f>
        <v>6-10</v>
      </c>
      <c r="E503" s="1"/>
      <c r="F503" s="73" t="str">
        <f>IFERROR(__xludf.DUMMYFUNCTION("""COMPUTED_VALUE"""),"11-15")</f>
        <v>11-15</v>
      </c>
      <c r="G503" s="1"/>
      <c r="H503" s="73" t="str">
        <f>IFERROR(__xludf.DUMMYFUNCTION("""COMPUTED_VALUE"""),"16-20")</f>
        <v>16-20</v>
      </c>
      <c r="I503" s="1"/>
      <c r="J503" s="73" t="str">
        <f>IFERROR(__xludf.DUMMYFUNCTION("""COMPUTED_VALUE"""),"21-25")</f>
        <v>21-25</v>
      </c>
      <c r="K503" s="1"/>
      <c r="L503" s="1"/>
      <c r="M503" s="1"/>
      <c r="N503" s="1"/>
      <c r="O503" s="1"/>
      <c r="P503" s="1"/>
      <c r="Q503" s="1"/>
      <c r="R503" s="1"/>
      <c r="S503" s="1"/>
      <c r="T503" s="1"/>
      <c r="U503" s="1"/>
      <c r="V503" s="1"/>
      <c r="W503" s="1"/>
      <c r="X503" s="1"/>
    </row>
    <row r="504" ht="15.75" customHeight="1">
      <c r="A504" s="1"/>
      <c r="B504" s="73" t="str">
        <f>IFERROR(__xludf.DUMMYFUNCTION("""COMPUTED_VALUE"""),"1-5")</f>
        <v>1-5</v>
      </c>
      <c r="C504" s="1"/>
      <c r="D504" s="73" t="str">
        <f>IFERROR(__xludf.DUMMYFUNCTION("""COMPUTED_VALUE"""),"6-10")</f>
        <v>6-10</v>
      </c>
      <c r="E504" s="1"/>
      <c r="F504" s="73" t="str">
        <f>IFERROR(__xludf.DUMMYFUNCTION("""COMPUTED_VALUE"""),"11-15")</f>
        <v>11-15</v>
      </c>
      <c r="G504" s="1"/>
      <c r="H504" s="73" t="str">
        <f>IFERROR(__xludf.DUMMYFUNCTION("""COMPUTED_VALUE"""),"16-20")</f>
        <v>16-20</v>
      </c>
      <c r="I504" s="1"/>
      <c r="J504" s="73" t="str">
        <f>IFERROR(__xludf.DUMMYFUNCTION("""COMPUTED_VALUE"""),"21-25")</f>
        <v>21-25</v>
      </c>
      <c r="K504" s="1"/>
      <c r="L504" s="1"/>
      <c r="M504" s="1"/>
      <c r="N504" s="1"/>
      <c r="O504" s="1"/>
      <c r="P504" s="1"/>
      <c r="Q504" s="1"/>
      <c r="R504" s="1"/>
      <c r="S504" s="1"/>
      <c r="T504" s="1"/>
      <c r="U504" s="1"/>
      <c r="V504" s="1"/>
      <c r="W504" s="1"/>
      <c r="X504" s="1"/>
    </row>
    <row r="505" ht="15.75" customHeight="1">
      <c r="A505" s="1"/>
      <c r="B505" s="73" t="str">
        <f>IFERROR(__xludf.DUMMYFUNCTION("""COMPUTED_VALUE"""),"1-5")</f>
        <v>1-5</v>
      </c>
      <c r="C505" s="1"/>
      <c r="D505" s="73" t="str">
        <f>IFERROR(__xludf.DUMMYFUNCTION("""COMPUTED_VALUE"""),"6-10")</f>
        <v>6-10</v>
      </c>
      <c r="E505" s="1"/>
      <c r="F505" s="73" t="str">
        <f>IFERROR(__xludf.DUMMYFUNCTION("""COMPUTED_VALUE"""),"11-15")</f>
        <v>11-15</v>
      </c>
      <c r="G505" s="1"/>
      <c r="H505" s="73" t="str">
        <f>IFERROR(__xludf.DUMMYFUNCTION("""COMPUTED_VALUE"""),"16-20")</f>
        <v>16-20</v>
      </c>
      <c r="I505" s="1"/>
      <c r="J505" s="73" t="str">
        <f>IFERROR(__xludf.DUMMYFUNCTION("""COMPUTED_VALUE"""),"21-25")</f>
        <v>21-25</v>
      </c>
      <c r="K505" s="1"/>
      <c r="L505" s="1"/>
      <c r="M505" s="1"/>
      <c r="N505" s="1"/>
      <c r="O505" s="1"/>
      <c r="P505" s="1"/>
      <c r="Q505" s="1"/>
      <c r="R505" s="1"/>
      <c r="S505" s="1"/>
      <c r="T505" s="1"/>
      <c r="U505" s="1"/>
      <c r="V505" s="1"/>
      <c r="W505" s="1"/>
      <c r="X505" s="1"/>
    </row>
    <row r="506" ht="15.75" customHeight="1">
      <c r="A506" s="1"/>
      <c r="B506" s="73" t="str">
        <f>IFERROR(__xludf.DUMMYFUNCTION("""COMPUTED_VALUE"""),"1-5")</f>
        <v>1-5</v>
      </c>
      <c r="C506" s="1"/>
      <c r="D506" s="73" t="str">
        <f>IFERROR(__xludf.DUMMYFUNCTION("""COMPUTED_VALUE"""),"6-10")</f>
        <v>6-10</v>
      </c>
      <c r="E506" s="1"/>
      <c r="F506" s="73" t="str">
        <f>IFERROR(__xludf.DUMMYFUNCTION("""COMPUTED_VALUE"""),"11-15")</f>
        <v>11-15</v>
      </c>
      <c r="G506" s="1"/>
      <c r="H506" s="73" t="str">
        <f>IFERROR(__xludf.DUMMYFUNCTION("""COMPUTED_VALUE"""),"16-20")</f>
        <v>16-20</v>
      </c>
      <c r="I506" s="1"/>
      <c r="J506" s="73" t="str">
        <f>IFERROR(__xludf.DUMMYFUNCTION("""COMPUTED_VALUE"""),"21-25")</f>
        <v>21-25</v>
      </c>
      <c r="K506" s="1"/>
      <c r="L506" s="1"/>
      <c r="M506" s="1"/>
      <c r="N506" s="1"/>
      <c r="O506" s="1"/>
      <c r="P506" s="1"/>
      <c r="Q506" s="1"/>
      <c r="R506" s="1"/>
      <c r="S506" s="1"/>
      <c r="T506" s="1"/>
      <c r="U506" s="1"/>
      <c r="V506" s="1"/>
      <c r="W506" s="1"/>
      <c r="X506" s="1"/>
    </row>
    <row r="507" ht="15.75" customHeight="1">
      <c r="A507" s="1"/>
      <c r="B507" s="73" t="str">
        <f>IFERROR(__xludf.DUMMYFUNCTION("""COMPUTED_VALUE"""),"1-5")</f>
        <v>1-5</v>
      </c>
      <c r="C507" s="1"/>
      <c r="D507" s="73" t="str">
        <f>IFERROR(__xludf.DUMMYFUNCTION("""COMPUTED_VALUE"""),"6-10")</f>
        <v>6-10</v>
      </c>
      <c r="E507" s="1"/>
      <c r="F507" s="73" t="str">
        <f>IFERROR(__xludf.DUMMYFUNCTION("""COMPUTED_VALUE"""),"11-15")</f>
        <v>11-15</v>
      </c>
      <c r="G507" s="1"/>
      <c r="H507" s="73" t="str">
        <f>IFERROR(__xludf.DUMMYFUNCTION("""COMPUTED_VALUE"""),"16-20")</f>
        <v>16-20</v>
      </c>
      <c r="I507" s="1"/>
      <c r="J507" s="73" t="str">
        <f>IFERROR(__xludf.DUMMYFUNCTION("""COMPUTED_VALUE"""),"21-25")</f>
        <v>21-25</v>
      </c>
      <c r="K507" s="1"/>
      <c r="L507" s="1"/>
      <c r="M507" s="1"/>
      <c r="N507" s="1"/>
      <c r="O507" s="1"/>
      <c r="P507" s="1"/>
      <c r="Q507" s="1"/>
      <c r="R507" s="1"/>
      <c r="S507" s="1"/>
      <c r="T507" s="1"/>
      <c r="U507" s="1"/>
      <c r="V507" s="1"/>
      <c r="W507" s="1"/>
      <c r="X507" s="1"/>
    </row>
    <row r="508" ht="15.75" customHeight="1">
      <c r="A508" s="1"/>
      <c r="B508" s="73" t="str">
        <f>IFERROR(__xludf.DUMMYFUNCTION("""COMPUTED_VALUE"""),"1-5")</f>
        <v>1-5</v>
      </c>
      <c r="C508" s="1"/>
      <c r="D508" s="73" t="str">
        <f>IFERROR(__xludf.DUMMYFUNCTION("""COMPUTED_VALUE"""),"6-10")</f>
        <v>6-10</v>
      </c>
      <c r="E508" s="1"/>
      <c r="F508" s="73" t="str">
        <f>IFERROR(__xludf.DUMMYFUNCTION("""COMPUTED_VALUE"""),"11-15")</f>
        <v>11-15</v>
      </c>
      <c r="G508" s="1"/>
      <c r="H508" s="73" t="str">
        <f>IFERROR(__xludf.DUMMYFUNCTION("""COMPUTED_VALUE"""),"16-20")</f>
        <v>16-20</v>
      </c>
      <c r="I508" s="1"/>
      <c r="J508" s="73" t="str">
        <f>IFERROR(__xludf.DUMMYFUNCTION("""COMPUTED_VALUE"""),"21-25")</f>
        <v>21-25</v>
      </c>
      <c r="K508" s="1"/>
      <c r="L508" s="1"/>
      <c r="M508" s="1"/>
      <c r="N508" s="1"/>
      <c r="O508" s="1"/>
      <c r="P508" s="1"/>
      <c r="Q508" s="1"/>
      <c r="R508" s="1"/>
      <c r="S508" s="1"/>
      <c r="T508" s="1"/>
      <c r="U508" s="1"/>
      <c r="V508" s="1"/>
      <c r="W508" s="1"/>
      <c r="X508" s="1"/>
    </row>
    <row r="509" ht="15.75" customHeight="1">
      <c r="A509" s="1"/>
      <c r="B509" s="73" t="str">
        <f>IFERROR(__xludf.DUMMYFUNCTION("""COMPUTED_VALUE"""),"1-5")</f>
        <v>1-5</v>
      </c>
      <c r="C509" s="1"/>
      <c r="D509" s="73" t="str">
        <f>IFERROR(__xludf.DUMMYFUNCTION("""COMPUTED_VALUE"""),"6-10")</f>
        <v>6-10</v>
      </c>
      <c r="E509" s="1"/>
      <c r="F509" s="73" t="str">
        <f>IFERROR(__xludf.DUMMYFUNCTION("""COMPUTED_VALUE"""),"11-15")</f>
        <v>11-15</v>
      </c>
      <c r="G509" s="1"/>
      <c r="H509" s="73" t="str">
        <f>IFERROR(__xludf.DUMMYFUNCTION("""COMPUTED_VALUE"""),"16-20")</f>
        <v>16-20</v>
      </c>
      <c r="I509" s="1"/>
      <c r="J509" s="73" t="str">
        <f>IFERROR(__xludf.DUMMYFUNCTION("""COMPUTED_VALUE"""),"21-25")</f>
        <v>21-25</v>
      </c>
      <c r="K509" s="1"/>
      <c r="L509" s="1"/>
      <c r="M509" s="1"/>
      <c r="N509" s="1"/>
      <c r="O509" s="1"/>
      <c r="P509" s="1"/>
      <c r="Q509" s="1"/>
      <c r="R509" s="1"/>
      <c r="S509" s="1"/>
      <c r="T509" s="1"/>
      <c r="U509" s="1"/>
      <c r="V509" s="1"/>
      <c r="W509" s="1"/>
      <c r="X509" s="1"/>
    </row>
    <row r="510" ht="15.75" customHeight="1">
      <c r="A510" s="1"/>
      <c r="B510" s="73" t="str">
        <f>IFERROR(__xludf.DUMMYFUNCTION("""COMPUTED_VALUE"""),"1-5")</f>
        <v>1-5</v>
      </c>
      <c r="C510" s="1"/>
      <c r="D510" s="73" t="str">
        <f>IFERROR(__xludf.DUMMYFUNCTION("""COMPUTED_VALUE"""),"6-10")</f>
        <v>6-10</v>
      </c>
      <c r="E510" s="1"/>
      <c r="F510" s="73" t="str">
        <f>IFERROR(__xludf.DUMMYFUNCTION("""COMPUTED_VALUE"""),"11-15")</f>
        <v>11-15</v>
      </c>
      <c r="G510" s="1"/>
      <c r="H510" s="73" t="str">
        <f>IFERROR(__xludf.DUMMYFUNCTION("""COMPUTED_VALUE"""),"16-20")</f>
        <v>16-20</v>
      </c>
      <c r="I510" s="1"/>
      <c r="J510" s="73" t="str">
        <f>IFERROR(__xludf.DUMMYFUNCTION("""COMPUTED_VALUE"""),"21-25")</f>
        <v>21-25</v>
      </c>
      <c r="K510" s="1"/>
      <c r="L510" s="1"/>
      <c r="M510" s="1"/>
      <c r="N510" s="1"/>
      <c r="O510" s="1"/>
      <c r="P510" s="1"/>
      <c r="Q510" s="1"/>
      <c r="R510" s="1"/>
      <c r="S510" s="1"/>
      <c r="T510" s="1"/>
      <c r="U510" s="1"/>
      <c r="V510" s="1"/>
      <c r="W510" s="1"/>
      <c r="X510" s="1"/>
    </row>
    <row r="511" ht="15.75" customHeight="1">
      <c r="A511" s="1"/>
      <c r="B511" s="73" t="str">
        <f>IFERROR(__xludf.DUMMYFUNCTION("""COMPUTED_VALUE"""),"1-5")</f>
        <v>1-5</v>
      </c>
      <c r="C511" s="1"/>
      <c r="D511" s="73" t="str">
        <f>IFERROR(__xludf.DUMMYFUNCTION("""COMPUTED_VALUE"""),"6-10")</f>
        <v>6-10</v>
      </c>
      <c r="E511" s="1"/>
      <c r="F511" s="73" t="str">
        <f>IFERROR(__xludf.DUMMYFUNCTION("""COMPUTED_VALUE"""),"11-15")</f>
        <v>11-15</v>
      </c>
      <c r="G511" s="1"/>
      <c r="H511" s="73" t="str">
        <f>IFERROR(__xludf.DUMMYFUNCTION("""COMPUTED_VALUE"""),"16-20")</f>
        <v>16-20</v>
      </c>
      <c r="I511" s="1"/>
      <c r="J511" s="73" t="str">
        <f>IFERROR(__xludf.DUMMYFUNCTION("""COMPUTED_VALUE"""),"21-25")</f>
        <v>21-25</v>
      </c>
      <c r="K511" s="1"/>
      <c r="L511" s="1"/>
      <c r="M511" s="1"/>
      <c r="N511" s="1"/>
      <c r="O511" s="1"/>
      <c r="P511" s="1"/>
      <c r="Q511" s="1"/>
      <c r="R511" s="1"/>
      <c r="S511" s="1"/>
      <c r="T511" s="1"/>
      <c r="U511" s="1"/>
      <c r="V511" s="1"/>
      <c r="W511" s="1"/>
      <c r="X511" s="1"/>
    </row>
    <row r="512" ht="15.75" customHeight="1">
      <c r="A512" s="1"/>
      <c r="B512" s="73" t="str">
        <f>IFERROR(__xludf.DUMMYFUNCTION("""COMPUTED_VALUE"""),"1-5")</f>
        <v>1-5</v>
      </c>
      <c r="C512" s="1"/>
      <c r="D512" s="73" t="str">
        <f>IFERROR(__xludf.DUMMYFUNCTION("""COMPUTED_VALUE"""),"6-10")</f>
        <v>6-10</v>
      </c>
      <c r="E512" s="1"/>
      <c r="F512" s="73" t="str">
        <f>IFERROR(__xludf.DUMMYFUNCTION("""COMPUTED_VALUE"""),"11-15")</f>
        <v>11-15</v>
      </c>
      <c r="G512" s="1"/>
      <c r="H512" s="73" t="str">
        <f>IFERROR(__xludf.DUMMYFUNCTION("""COMPUTED_VALUE"""),"16-20")</f>
        <v>16-20</v>
      </c>
      <c r="I512" s="1"/>
      <c r="J512" s="73" t="str">
        <f>IFERROR(__xludf.DUMMYFUNCTION("""COMPUTED_VALUE"""),"21-25")</f>
        <v>21-25</v>
      </c>
      <c r="K512" s="1"/>
      <c r="L512" s="1"/>
      <c r="M512" s="1"/>
      <c r="N512" s="1"/>
      <c r="O512" s="1"/>
      <c r="P512" s="1"/>
      <c r="Q512" s="1"/>
      <c r="R512" s="1"/>
      <c r="S512" s="1"/>
      <c r="T512" s="1"/>
      <c r="U512" s="1"/>
      <c r="V512" s="1"/>
      <c r="W512" s="1"/>
      <c r="X512" s="1"/>
    </row>
    <row r="513" ht="15.75" customHeight="1">
      <c r="A513" s="1"/>
      <c r="B513" s="73" t="str">
        <f>IFERROR(__xludf.DUMMYFUNCTION("""COMPUTED_VALUE"""),"1-5")</f>
        <v>1-5</v>
      </c>
      <c r="C513" s="1"/>
      <c r="D513" s="73" t="str">
        <f>IFERROR(__xludf.DUMMYFUNCTION("""COMPUTED_VALUE"""),"6-10")</f>
        <v>6-10</v>
      </c>
      <c r="E513" s="1"/>
      <c r="F513" s="73" t="str">
        <f>IFERROR(__xludf.DUMMYFUNCTION("""COMPUTED_VALUE"""),"11-15")</f>
        <v>11-15</v>
      </c>
      <c r="G513" s="1"/>
      <c r="H513" s="73" t="str">
        <f>IFERROR(__xludf.DUMMYFUNCTION("""COMPUTED_VALUE"""),"16-20")</f>
        <v>16-20</v>
      </c>
      <c r="I513" s="1"/>
      <c r="J513" s="73" t="str">
        <f>IFERROR(__xludf.DUMMYFUNCTION("""COMPUTED_VALUE"""),"21-25")</f>
        <v>21-25</v>
      </c>
      <c r="K513" s="1"/>
      <c r="L513" s="1"/>
      <c r="M513" s="1"/>
      <c r="N513" s="1"/>
      <c r="O513" s="1"/>
      <c r="P513" s="1"/>
      <c r="Q513" s="1"/>
      <c r="R513" s="1"/>
      <c r="S513" s="1"/>
      <c r="T513" s="1"/>
      <c r="U513" s="1"/>
      <c r="V513" s="1"/>
      <c r="W513" s="1"/>
      <c r="X513" s="1"/>
    </row>
    <row r="514" ht="15.75" customHeight="1">
      <c r="A514" s="1"/>
      <c r="B514" s="73" t="str">
        <f>IFERROR(__xludf.DUMMYFUNCTION("""COMPUTED_VALUE"""),"1-5")</f>
        <v>1-5</v>
      </c>
      <c r="C514" s="1"/>
      <c r="D514" s="73" t="str">
        <f>IFERROR(__xludf.DUMMYFUNCTION("""COMPUTED_VALUE"""),"6-10")</f>
        <v>6-10</v>
      </c>
      <c r="E514" s="1"/>
      <c r="F514" s="73" t="str">
        <f>IFERROR(__xludf.DUMMYFUNCTION("""COMPUTED_VALUE"""),"11-15")</f>
        <v>11-15</v>
      </c>
      <c r="G514" s="1"/>
      <c r="H514" s="73" t="str">
        <f>IFERROR(__xludf.DUMMYFUNCTION("""COMPUTED_VALUE"""),"16-20")</f>
        <v>16-20</v>
      </c>
      <c r="I514" s="1"/>
      <c r="J514" s="73" t="str">
        <f>IFERROR(__xludf.DUMMYFUNCTION("""COMPUTED_VALUE"""),"21-25")</f>
        <v>21-25</v>
      </c>
      <c r="K514" s="1"/>
      <c r="L514" s="1"/>
      <c r="M514" s="1"/>
      <c r="N514" s="1"/>
      <c r="O514" s="1"/>
      <c r="P514" s="1"/>
      <c r="Q514" s="1"/>
      <c r="R514" s="1"/>
      <c r="S514" s="1"/>
      <c r="T514" s="1"/>
      <c r="U514" s="1"/>
      <c r="V514" s="1"/>
      <c r="W514" s="1"/>
      <c r="X514" s="1"/>
    </row>
    <row r="515" ht="15.75" customHeight="1">
      <c r="A515" s="1"/>
      <c r="B515" s="73" t="str">
        <f>IFERROR(__xludf.DUMMYFUNCTION("""COMPUTED_VALUE"""),"1-5")</f>
        <v>1-5</v>
      </c>
      <c r="C515" s="1"/>
      <c r="D515" s="73" t="str">
        <f>IFERROR(__xludf.DUMMYFUNCTION("""COMPUTED_VALUE"""),"6-10")</f>
        <v>6-10</v>
      </c>
      <c r="E515" s="1"/>
      <c r="F515" s="73" t="str">
        <f>IFERROR(__xludf.DUMMYFUNCTION("""COMPUTED_VALUE"""),"11-15")</f>
        <v>11-15</v>
      </c>
      <c r="G515" s="1"/>
      <c r="H515" s="73" t="str">
        <f>IFERROR(__xludf.DUMMYFUNCTION("""COMPUTED_VALUE"""),"16-20")</f>
        <v>16-20</v>
      </c>
      <c r="I515" s="1"/>
      <c r="J515" s="73" t="str">
        <f>IFERROR(__xludf.DUMMYFUNCTION("""COMPUTED_VALUE"""),"21-25")</f>
        <v>21-25</v>
      </c>
      <c r="K515" s="1"/>
      <c r="L515" s="1"/>
      <c r="M515" s="1"/>
      <c r="N515" s="1"/>
      <c r="O515" s="1"/>
      <c r="P515" s="1"/>
      <c r="Q515" s="1"/>
      <c r="R515" s="1"/>
      <c r="S515" s="1"/>
      <c r="T515" s="1"/>
      <c r="U515" s="1"/>
      <c r="V515" s="1"/>
      <c r="W515" s="1"/>
      <c r="X515" s="1"/>
    </row>
    <row r="516" ht="15.75" customHeight="1">
      <c r="A516" s="1"/>
      <c r="B516" s="73" t="str">
        <f>IFERROR(__xludf.DUMMYFUNCTION("""COMPUTED_VALUE"""),"1-5")</f>
        <v>1-5</v>
      </c>
      <c r="C516" s="1"/>
      <c r="D516" s="73" t="str">
        <f>IFERROR(__xludf.DUMMYFUNCTION("""COMPUTED_VALUE"""),"6-10")</f>
        <v>6-10</v>
      </c>
      <c r="E516" s="1"/>
      <c r="F516" s="73" t="str">
        <f>IFERROR(__xludf.DUMMYFUNCTION("""COMPUTED_VALUE"""),"11-15")</f>
        <v>11-15</v>
      </c>
      <c r="G516" s="1"/>
      <c r="H516" s="73" t="str">
        <f>IFERROR(__xludf.DUMMYFUNCTION("""COMPUTED_VALUE"""),"16-20")</f>
        <v>16-20</v>
      </c>
      <c r="I516" s="1"/>
      <c r="J516" s="73" t="str">
        <f>IFERROR(__xludf.DUMMYFUNCTION("""COMPUTED_VALUE"""),"21-25")</f>
        <v>21-25</v>
      </c>
      <c r="K516" s="1"/>
      <c r="L516" s="1"/>
      <c r="M516" s="1"/>
      <c r="N516" s="1"/>
      <c r="O516" s="1"/>
      <c r="P516" s="1"/>
      <c r="Q516" s="1"/>
      <c r="R516" s="1"/>
      <c r="S516" s="1"/>
      <c r="T516" s="1"/>
      <c r="U516" s="1"/>
      <c r="V516" s="1"/>
      <c r="W516" s="1"/>
      <c r="X516" s="1"/>
    </row>
    <row r="517" ht="15.75" customHeight="1">
      <c r="A517" s="1"/>
      <c r="B517" s="73" t="str">
        <f>IFERROR(__xludf.DUMMYFUNCTION("""COMPUTED_VALUE"""),"1-5")</f>
        <v>1-5</v>
      </c>
      <c r="C517" s="1"/>
      <c r="D517" s="73" t="str">
        <f>IFERROR(__xludf.DUMMYFUNCTION("""COMPUTED_VALUE"""),"6-10")</f>
        <v>6-10</v>
      </c>
      <c r="E517" s="1"/>
      <c r="F517" s="73" t="str">
        <f>IFERROR(__xludf.DUMMYFUNCTION("""COMPUTED_VALUE"""),"11-15")</f>
        <v>11-15</v>
      </c>
      <c r="G517" s="1"/>
      <c r="H517" s="73" t="str">
        <f>IFERROR(__xludf.DUMMYFUNCTION("""COMPUTED_VALUE"""),"16-20")</f>
        <v>16-20</v>
      </c>
      <c r="I517" s="1"/>
      <c r="J517" s="73" t="str">
        <f>IFERROR(__xludf.DUMMYFUNCTION("""COMPUTED_VALUE"""),"21-25")</f>
        <v>21-25</v>
      </c>
      <c r="K517" s="1"/>
      <c r="L517" s="1"/>
      <c r="M517" s="1"/>
      <c r="N517" s="1"/>
      <c r="O517" s="1"/>
      <c r="P517" s="1"/>
      <c r="Q517" s="1"/>
      <c r="R517" s="1"/>
      <c r="S517" s="1"/>
      <c r="T517" s="1"/>
      <c r="U517" s="1"/>
      <c r="V517" s="1"/>
      <c r="W517" s="1"/>
      <c r="X517" s="1"/>
    </row>
    <row r="518" ht="15.75" customHeight="1">
      <c r="A518" s="1"/>
      <c r="B518" s="73" t="str">
        <f>IFERROR(__xludf.DUMMYFUNCTION("""COMPUTED_VALUE"""),"1-5")</f>
        <v>1-5</v>
      </c>
      <c r="C518" s="1"/>
      <c r="D518" s="73" t="str">
        <f>IFERROR(__xludf.DUMMYFUNCTION("""COMPUTED_VALUE"""),"6-10")</f>
        <v>6-10</v>
      </c>
      <c r="E518" s="1"/>
      <c r="F518" s="73" t="str">
        <f>IFERROR(__xludf.DUMMYFUNCTION("""COMPUTED_VALUE"""),"11-15")</f>
        <v>11-15</v>
      </c>
      <c r="G518" s="1"/>
      <c r="H518" s="73" t="str">
        <f>IFERROR(__xludf.DUMMYFUNCTION("""COMPUTED_VALUE"""),"16-20")</f>
        <v>16-20</v>
      </c>
      <c r="I518" s="1"/>
      <c r="J518" s="73" t="str">
        <f>IFERROR(__xludf.DUMMYFUNCTION("""COMPUTED_VALUE"""),"21-25")</f>
        <v>21-25</v>
      </c>
      <c r="K518" s="1"/>
      <c r="L518" s="1"/>
      <c r="M518" s="1"/>
      <c r="N518" s="1"/>
      <c r="O518" s="1"/>
      <c r="P518" s="1"/>
      <c r="Q518" s="1"/>
      <c r="R518" s="1"/>
      <c r="S518" s="1"/>
      <c r="T518" s="1"/>
      <c r="U518" s="1"/>
      <c r="V518" s="1"/>
      <c r="W518" s="1"/>
      <c r="X518" s="1"/>
    </row>
    <row r="519" ht="15.75" customHeight="1">
      <c r="A519" s="1"/>
      <c r="B519" s="73" t="str">
        <f>IFERROR(__xludf.DUMMYFUNCTION("""COMPUTED_VALUE"""),"1-5")</f>
        <v>1-5</v>
      </c>
      <c r="C519" s="1"/>
      <c r="D519" s="73" t="str">
        <f>IFERROR(__xludf.DUMMYFUNCTION("""COMPUTED_VALUE"""),"6-10")</f>
        <v>6-10</v>
      </c>
      <c r="E519" s="1"/>
      <c r="F519" s="73" t="str">
        <f>IFERROR(__xludf.DUMMYFUNCTION("""COMPUTED_VALUE"""),"11-15")</f>
        <v>11-15</v>
      </c>
      <c r="G519" s="1"/>
      <c r="H519" s="73" t="str">
        <f>IFERROR(__xludf.DUMMYFUNCTION("""COMPUTED_VALUE"""),"16-20")</f>
        <v>16-20</v>
      </c>
      <c r="I519" s="1"/>
      <c r="J519" s="73" t="str">
        <f>IFERROR(__xludf.DUMMYFUNCTION("""COMPUTED_VALUE"""),"21-25")</f>
        <v>21-25</v>
      </c>
      <c r="K519" s="1"/>
      <c r="L519" s="1"/>
      <c r="M519" s="1"/>
      <c r="N519" s="1"/>
      <c r="O519" s="1"/>
      <c r="P519" s="1"/>
      <c r="Q519" s="1"/>
      <c r="R519" s="1"/>
      <c r="S519" s="1"/>
      <c r="T519" s="1"/>
      <c r="U519" s="1"/>
      <c r="V519" s="1"/>
      <c r="W519" s="1"/>
      <c r="X519" s="1"/>
    </row>
    <row r="520" ht="15.75" customHeight="1">
      <c r="A520" s="1"/>
      <c r="B520" s="73" t="str">
        <f>IFERROR(__xludf.DUMMYFUNCTION("""COMPUTED_VALUE"""),"1-5")</f>
        <v>1-5</v>
      </c>
      <c r="C520" s="1"/>
      <c r="D520" s="73" t="str">
        <f>IFERROR(__xludf.DUMMYFUNCTION("""COMPUTED_VALUE"""),"6-10")</f>
        <v>6-10</v>
      </c>
      <c r="E520" s="1"/>
      <c r="F520" s="73" t="str">
        <f>IFERROR(__xludf.DUMMYFUNCTION("""COMPUTED_VALUE"""),"11-15")</f>
        <v>11-15</v>
      </c>
      <c r="G520" s="1"/>
      <c r="H520" s="73" t="str">
        <f>IFERROR(__xludf.DUMMYFUNCTION("""COMPUTED_VALUE"""),"16-20")</f>
        <v>16-20</v>
      </c>
      <c r="I520" s="1"/>
      <c r="J520" s="73" t="str">
        <f>IFERROR(__xludf.DUMMYFUNCTION("""COMPUTED_VALUE"""),"21-25")</f>
        <v>21-25</v>
      </c>
      <c r="K520" s="1"/>
      <c r="L520" s="1"/>
      <c r="M520" s="1"/>
      <c r="N520" s="1"/>
      <c r="O520" s="1"/>
      <c r="P520" s="1"/>
      <c r="Q520" s="1"/>
      <c r="R520" s="1"/>
      <c r="S520" s="1"/>
      <c r="T520" s="1"/>
      <c r="U520" s="1"/>
      <c r="V520" s="1"/>
      <c r="W520" s="1"/>
      <c r="X520" s="1"/>
    </row>
    <row r="521" ht="15.75" customHeight="1">
      <c r="A521" s="1"/>
      <c r="B521" s="73" t="str">
        <f>IFERROR(__xludf.DUMMYFUNCTION("""COMPUTED_VALUE"""),"1-5")</f>
        <v>1-5</v>
      </c>
      <c r="C521" s="1"/>
      <c r="D521" s="73" t="str">
        <f>IFERROR(__xludf.DUMMYFUNCTION("""COMPUTED_VALUE"""),"6-10")</f>
        <v>6-10</v>
      </c>
      <c r="E521" s="1"/>
      <c r="F521" s="73" t="str">
        <f>IFERROR(__xludf.DUMMYFUNCTION("""COMPUTED_VALUE"""),"11-15")</f>
        <v>11-15</v>
      </c>
      <c r="G521" s="1"/>
      <c r="H521" s="73" t="str">
        <f>IFERROR(__xludf.DUMMYFUNCTION("""COMPUTED_VALUE"""),"16-20")</f>
        <v>16-20</v>
      </c>
      <c r="I521" s="1"/>
      <c r="J521" s="73" t="str">
        <f>IFERROR(__xludf.DUMMYFUNCTION("""COMPUTED_VALUE"""),"21-25")</f>
        <v>21-25</v>
      </c>
      <c r="K521" s="1"/>
      <c r="L521" s="1"/>
      <c r="M521" s="1"/>
      <c r="N521" s="1"/>
      <c r="O521" s="1"/>
      <c r="P521" s="1"/>
      <c r="Q521" s="1"/>
      <c r="R521" s="1"/>
      <c r="S521" s="1"/>
      <c r="T521" s="1"/>
      <c r="U521" s="1"/>
      <c r="V521" s="1"/>
      <c r="W521" s="1"/>
      <c r="X521" s="1"/>
    </row>
    <row r="522" ht="15.75" customHeight="1">
      <c r="A522" s="1"/>
      <c r="B522" s="73" t="str">
        <f>IFERROR(__xludf.DUMMYFUNCTION("""COMPUTED_VALUE"""),"1-5")</f>
        <v>1-5</v>
      </c>
      <c r="C522" s="1"/>
      <c r="D522" s="73" t="str">
        <f>IFERROR(__xludf.DUMMYFUNCTION("""COMPUTED_VALUE"""),"6-10")</f>
        <v>6-10</v>
      </c>
      <c r="E522" s="1"/>
      <c r="F522" s="73" t="str">
        <f>IFERROR(__xludf.DUMMYFUNCTION("""COMPUTED_VALUE"""),"11-15")</f>
        <v>11-15</v>
      </c>
      <c r="G522" s="1"/>
      <c r="H522" s="73" t="str">
        <f>IFERROR(__xludf.DUMMYFUNCTION("""COMPUTED_VALUE"""),"16-20")</f>
        <v>16-20</v>
      </c>
      <c r="I522" s="1"/>
      <c r="J522" s="73" t="str">
        <f>IFERROR(__xludf.DUMMYFUNCTION("""COMPUTED_VALUE"""),"21-25")</f>
        <v>21-25</v>
      </c>
      <c r="K522" s="1"/>
      <c r="L522" s="1"/>
      <c r="M522" s="1"/>
      <c r="N522" s="1"/>
      <c r="O522" s="1"/>
      <c r="P522" s="1"/>
      <c r="Q522" s="1"/>
      <c r="R522" s="1"/>
      <c r="S522" s="1"/>
      <c r="T522" s="1"/>
      <c r="U522" s="1"/>
      <c r="V522" s="1"/>
      <c r="W522" s="1"/>
      <c r="X522" s="1"/>
    </row>
    <row r="523" ht="15.75" customHeight="1">
      <c r="A523" s="1"/>
      <c r="B523" s="73" t="str">
        <f>IFERROR(__xludf.DUMMYFUNCTION("""COMPUTED_VALUE"""),"1-5")</f>
        <v>1-5</v>
      </c>
      <c r="C523" s="1"/>
      <c r="D523" s="73" t="str">
        <f>IFERROR(__xludf.DUMMYFUNCTION("""COMPUTED_VALUE"""),"6-10")</f>
        <v>6-10</v>
      </c>
      <c r="E523" s="1"/>
      <c r="F523" s="73" t="str">
        <f>IFERROR(__xludf.DUMMYFUNCTION("""COMPUTED_VALUE"""),"11-15")</f>
        <v>11-15</v>
      </c>
      <c r="G523" s="1"/>
      <c r="H523" s="73" t="str">
        <f>IFERROR(__xludf.DUMMYFUNCTION("""COMPUTED_VALUE"""),"16-20")</f>
        <v>16-20</v>
      </c>
      <c r="I523" s="1"/>
      <c r="J523" s="73" t="str">
        <f>IFERROR(__xludf.DUMMYFUNCTION("""COMPUTED_VALUE"""),"21-25")</f>
        <v>21-25</v>
      </c>
      <c r="K523" s="1"/>
      <c r="L523" s="1"/>
      <c r="M523" s="1"/>
      <c r="N523" s="1"/>
      <c r="O523" s="1"/>
      <c r="P523" s="1"/>
      <c r="Q523" s="1"/>
      <c r="R523" s="1"/>
      <c r="S523" s="1"/>
      <c r="T523" s="1"/>
      <c r="U523" s="1"/>
      <c r="V523" s="1"/>
      <c r="W523" s="1"/>
      <c r="X523" s="1"/>
    </row>
    <row r="524" ht="15.75" customHeight="1">
      <c r="A524" s="1"/>
      <c r="B524" s="73" t="str">
        <f>IFERROR(__xludf.DUMMYFUNCTION("""COMPUTED_VALUE"""),"1-5")</f>
        <v>1-5</v>
      </c>
      <c r="C524" s="1"/>
      <c r="D524" s="73" t="str">
        <f>IFERROR(__xludf.DUMMYFUNCTION("""COMPUTED_VALUE"""),"6-10")</f>
        <v>6-10</v>
      </c>
      <c r="E524" s="1"/>
      <c r="F524" s="73" t="str">
        <f>IFERROR(__xludf.DUMMYFUNCTION("""COMPUTED_VALUE"""),"11-15")</f>
        <v>11-15</v>
      </c>
      <c r="G524" s="1"/>
      <c r="H524" s="73" t="str">
        <f>IFERROR(__xludf.DUMMYFUNCTION("""COMPUTED_VALUE"""),"16-20")</f>
        <v>16-20</v>
      </c>
      <c r="I524" s="1"/>
      <c r="J524" s="73" t="str">
        <f>IFERROR(__xludf.DUMMYFUNCTION("""COMPUTED_VALUE"""),"21-25")</f>
        <v>21-25</v>
      </c>
      <c r="K524" s="1"/>
      <c r="L524" s="1"/>
      <c r="M524" s="1"/>
      <c r="N524" s="1"/>
      <c r="O524" s="1"/>
      <c r="P524" s="1"/>
      <c r="Q524" s="1"/>
      <c r="R524" s="1"/>
      <c r="S524" s="1"/>
      <c r="T524" s="1"/>
      <c r="U524" s="1"/>
      <c r="V524" s="1"/>
      <c r="W524" s="1"/>
      <c r="X524" s="1"/>
    </row>
    <row r="525" ht="15.75" customHeight="1">
      <c r="A525" s="1"/>
      <c r="B525" s="73" t="str">
        <f>IFERROR(__xludf.DUMMYFUNCTION("""COMPUTED_VALUE"""),"1-5")</f>
        <v>1-5</v>
      </c>
      <c r="C525" s="1"/>
      <c r="D525" s="73" t="str">
        <f>IFERROR(__xludf.DUMMYFUNCTION("""COMPUTED_VALUE"""),"6-10")</f>
        <v>6-10</v>
      </c>
      <c r="E525" s="1"/>
      <c r="F525" s="73" t="str">
        <f>IFERROR(__xludf.DUMMYFUNCTION("""COMPUTED_VALUE"""),"11-15")</f>
        <v>11-15</v>
      </c>
      <c r="G525" s="1"/>
      <c r="H525" s="73" t="str">
        <f>IFERROR(__xludf.DUMMYFUNCTION("""COMPUTED_VALUE"""),"16-20")</f>
        <v>16-20</v>
      </c>
      <c r="I525" s="1"/>
      <c r="J525" s="73" t="str">
        <f>IFERROR(__xludf.DUMMYFUNCTION("""COMPUTED_VALUE"""),"21-25")</f>
        <v>21-25</v>
      </c>
      <c r="K525" s="1"/>
      <c r="L525" s="1"/>
      <c r="M525" s="1"/>
      <c r="N525" s="1"/>
      <c r="O525" s="1"/>
      <c r="P525" s="1"/>
      <c r="Q525" s="1"/>
      <c r="R525" s="1"/>
      <c r="S525" s="1"/>
      <c r="T525" s="1"/>
      <c r="U525" s="1"/>
      <c r="V525" s="1"/>
      <c r="W525" s="1"/>
      <c r="X525" s="1"/>
    </row>
    <row r="526" ht="15.75" customHeight="1">
      <c r="A526" s="1"/>
      <c r="B526" s="73" t="str">
        <f>IFERROR(__xludf.DUMMYFUNCTION("""COMPUTED_VALUE"""),"1-5")</f>
        <v>1-5</v>
      </c>
      <c r="C526" s="1"/>
      <c r="D526" s="73" t="str">
        <f>IFERROR(__xludf.DUMMYFUNCTION("""COMPUTED_VALUE"""),"6-10")</f>
        <v>6-10</v>
      </c>
      <c r="E526" s="1"/>
      <c r="F526" s="73" t="str">
        <f>IFERROR(__xludf.DUMMYFUNCTION("""COMPUTED_VALUE"""),"11-15")</f>
        <v>11-15</v>
      </c>
      <c r="G526" s="1"/>
      <c r="H526" s="73" t="str">
        <f>IFERROR(__xludf.DUMMYFUNCTION("""COMPUTED_VALUE"""),"16-20")</f>
        <v>16-20</v>
      </c>
      <c r="I526" s="1"/>
      <c r="J526" s="73" t="str">
        <f>IFERROR(__xludf.DUMMYFUNCTION("""COMPUTED_VALUE"""),"21-25")</f>
        <v>21-25</v>
      </c>
      <c r="K526" s="1"/>
      <c r="L526" s="1"/>
      <c r="M526" s="1"/>
      <c r="N526" s="1"/>
      <c r="O526" s="1"/>
      <c r="P526" s="1"/>
      <c r="Q526" s="1"/>
      <c r="R526" s="1"/>
      <c r="S526" s="1"/>
      <c r="T526" s="1"/>
      <c r="U526" s="1"/>
      <c r="V526" s="1"/>
      <c r="W526" s="1"/>
      <c r="X526" s="1"/>
    </row>
    <row r="527" ht="15.75" customHeight="1">
      <c r="A527" s="1"/>
      <c r="B527" s="73" t="str">
        <f>IFERROR(__xludf.DUMMYFUNCTION("""COMPUTED_VALUE"""),"1-5")</f>
        <v>1-5</v>
      </c>
      <c r="C527" s="1"/>
      <c r="D527" s="73" t="str">
        <f>IFERROR(__xludf.DUMMYFUNCTION("""COMPUTED_VALUE"""),"6-10")</f>
        <v>6-10</v>
      </c>
      <c r="E527" s="1"/>
      <c r="F527" s="73" t="str">
        <f>IFERROR(__xludf.DUMMYFUNCTION("""COMPUTED_VALUE"""),"11-15")</f>
        <v>11-15</v>
      </c>
      <c r="G527" s="1"/>
      <c r="H527" s="73" t="str">
        <f>IFERROR(__xludf.DUMMYFUNCTION("""COMPUTED_VALUE"""),"16-20")</f>
        <v>16-20</v>
      </c>
      <c r="I527" s="1"/>
      <c r="J527" s="73" t="str">
        <f>IFERROR(__xludf.DUMMYFUNCTION("""COMPUTED_VALUE"""),"21-25")</f>
        <v>21-25</v>
      </c>
      <c r="K527" s="1"/>
      <c r="L527" s="1"/>
      <c r="M527" s="1"/>
      <c r="N527" s="1"/>
      <c r="O527" s="1"/>
      <c r="P527" s="1"/>
      <c r="Q527" s="1"/>
      <c r="R527" s="1"/>
      <c r="S527" s="1"/>
      <c r="T527" s="1"/>
      <c r="U527" s="1"/>
      <c r="V527" s="1"/>
      <c r="W527" s="1"/>
      <c r="X527" s="1"/>
    </row>
    <row r="528" ht="15.75" customHeight="1">
      <c r="A528" s="1"/>
      <c r="B528" s="73" t="str">
        <f>IFERROR(__xludf.DUMMYFUNCTION("""COMPUTED_VALUE"""),"1-5")</f>
        <v>1-5</v>
      </c>
      <c r="C528" s="1"/>
      <c r="D528" s="73" t="str">
        <f>IFERROR(__xludf.DUMMYFUNCTION("""COMPUTED_VALUE"""),"6-10")</f>
        <v>6-10</v>
      </c>
      <c r="E528" s="1"/>
      <c r="F528" s="73" t="str">
        <f>IFERROR(__xludf.DUMMYFUNCTION("""COMPUTED_VALUE"""),"11-15")</f>
        <v>11-15</v>
      </c>
      <c r="G528" s="1"/>
      <c r="H528" s="73" t="str">
        <f>IFERROR(__xludf.DUMMYFUNCTION("""COMPUTED_VALUE"""),"16-20")</f>
        <v>16-20</v>
      </c>
      <c r="I528" s="1"/>
      <c r="J528" s="73" t="str">
        <f>IFERROR(__xludf.DUMMYFUNCTION("""COMPUTED_VALUE"""),"21-25")</f>
        <v>21-25</v>
      </c>
      <c r="K528" s="1"/>
      <c r="L528" s="1"/>
      <c r="M528" s="1"/>
      <c r="N528" s="1"/>
      <c r="O528" s="1"/>
      <c r="P528" s="1"/>
      <c r="Q528" s="1"/>
      <c r="R528" s="1"/>
      <c r="S528" s="1"/>
      <c r="T528" s="1"/>
      <c r="U528" s="1"/>
      <c r="V528" s="1"/>
      <c r="W528" s="1"/>
      <c r="X528" s="1"/>
    </row>
    <row r="529" ht="15.75" customHeight="1">
      <c r="A529" s="1"/>
      <c r="B529" s="73" t="str">
        <f>IFERROR(__xludf.DUMMYFUNCTION("""COMPUTED_VALUE"""),"1-5")</f>
        <v>1-5</v>
      </c>
      <c r="C529" s="1"/>
      <c r="D529" s="73" t="str">
        <f>IFERROR(__xludf.DUMMYFUNCTION("""COMPUTED_VALUE"""),"6-10")</f>
        <v>6-10</v>
      </c>
      <c r="E529" s="1"/>
      <c r="F529" s="73" t="str">
        <f>IFERROR(__xludf.DUMMYFUNCTION("""COMPUTED_VALUE"""),"11-15")</f>
        <v>11-15</v>
      </c>
      <c r="G529" s="1"/>
      <c r="H529" s="73" t="str">
        <f>IFERROR(__xludf.DUMMYFUNCTION("""COMPUTED_VALUE"""),"16-20")</f>
        <v>16-20</v>
      </c>
      <c r="I529" s="1"/>
      <c r="J529" s="73" t="str">
        <f>IFERROR(__xludf.DUMMYFUNCTION("""COMPUTED_VALUE"""),"21-25")</f>
        <v>21-25</v>
      </c>
      <c r="K529" s="1"/>
      <c r="L529" s="1"/>
      <c r="M529" s="1"/>
      <c r="N529" s="1"/>
      <c r="O529" s="1"/>
      <c r="P529" s="1"/>
      <c r="Q529" s="1"/>
      <c r="R529" s="1"/>
      <c r="S529" s="1"/>
      <c r="T529" s="1"/>
      <c r="U529" s="1"/>
      <c r="V529" s="1"/>
      <c r="W529" s="1"/>
      <c r="X529" s="1"/>
    </row>
    <row r="530" ht="15.75" customHeight="1">
      <c r="A530" s="1"/>
      <c r="B530" s="73" t="str">
        <f>IFERROR(__xludf.DUMMYFUNCTION("""COMPUTED_VALUE"""),"1-5")</f>
        <v>1-5</v>
      </c>
      <c r="C530" s="1"/>
      <c r="D530" s="73" t="str">
        <f>IFERROR(__xludf.DUMMYFUNCTION("""COMPUTED_VALUE"""),"6-10")</f>
        <v>6-10</v>
      </c>
      <c r="E530" s="1"/>
      <c r="F530" s="73" t="str">
        <f>IFERROR(__xludf.DUMMYFUNCTION("""COMPUTED_VALUE"""),"11-15")</f>
        <v>11-15</v>
      </c>
      <c r="G530" s="1"/>
      <c r="H530" s="73" t="str">
        <f>IFERROR(__xludf.DUMMYFUNCTION("""COMPUTED_VALUE"""),"16-20")</f>
        <v>16-20</v>
      </c>
      <c r="I530" s="1"/>
      <c r="J530" s="73" t="str">
        <f>IFERROR(__xludf.DUMMYFUNCTION("""COMPUTED_VALUE"""),"21-25")</f>
        <v>21-25</v>
      </c>
      <c r="K530" s="1"/>
      <c r="L530" s="1"/>
      <c r="M530" s="1"/>
      <c r="N530" s="1"/>
      <c r="O530" s="1"/>
      <c r="P530" s="1"/>
      <c r="Q530" s="1"/>
      <c r="R530" s="1"/>
      <c r="S530" s="1"/>
      <c r="T530" s="1"/>
      <c r="U530" s="1"/>
      <c r="V530" s="1"/>
      <c r="W530" s="1"/>
      <c r="X530" s="1"/>
    </row>
    <row r="531" ht="15.75" customHeight="1">
      <c r="A531" s="1"/>
      <c r="B531" s="73" t="str">
        <f>IFERROR(__xludf.DUMMYFUNCTION("""COMPUTED_VALUE"""),"1-5")</f>
        <v>1-5</v>
      </c>
      <c r="C531" s="1"/>
      <c r="D531" s="73" t="str">
        <f>IFERROR(__xludf.DUMMYFUNCTION("""COMPUTED_VALUE"""),"6-10")</f>
        <v>6-10</v>
      </c>
      <c r="E531" s="1"/>
      <c r="F531" s="73" t="str">
        <f>IFERROR(__xludf.DUMMYFUNCTION("""COMPUTED_VALUE"""),"11-15")</f>
        <v>11-15</v>
      </c>
      <c r="G531" s="1"/>
      <c r="H531" s="73" t="str">
        <f>IFERROR(__xludf.DUMMYFUNCTION("""COMPUTED_VALUE"""),"16-20")</f>
        <v>16-20</v>
      </c>
      <c r="I531" s="1"/>
      <c r="J531" s="73" t="str">
        <f>IFERROR(__xludf.DUMMYFUNCTION("""COMPUTED_VALUE"""),"21-25")</f>
        <v>21-25</v>
      </c>
      <c r="K531" s="1"/>
      <c r="L531" s="1"/>
      <c r="M531" s="1"/>
      <c r="N531" s="1"/>
      <c r="O531" s="1"/>
      <c r="P531" s="1"/>
      <c r="Q531" s="1"/>
      <c r="R531" s="1"/>
      <c r="S531" s="1"/>
      <c r="T531" s="1"/>
      <c r="U531" s="1"/>
      <c r="V531" s="1"/>
      <c r="W531" s="1"/>
      <c r="X531" s="1"/>
    </row>
    <row r="532" ht="15.75" customHeight="1">
      <c r="A532" s="1"/>
      <c r="B532" s="73" t="str">
        <f>IFERROR(__xludf.DUMMYFUNCTION("""COMPUTED_VALUE"""),"1-5")</f>
        <v>1-5</v>
      </c>
      <c r="C532" s="1"/>
      <c r="D532" s="73" t="str">
        <f>IFERROR(__xludf.DUMMYFUNCTION("""COMPUTED_VALUE"""),"6-10")</f>
        <v>6-10</v>
      </c>
      <c r="E532" s="1"/>
      <c r="F532" s="73" t="str">
        <f>IFERROR(__xludf.DUMMYFUNCTION("""COMPUTED_VALUE"""),"11-15")</f>
        <v>11-15</v>
      </c>
      <c r="G532" s="1"/>
      <c r="H532" s="73" t="str">
        <f>IFERROR(__xludf.DUMMYFUNCTION("""COMPUTED_VALUE"""),"16-20")</f>
        <v>16-20</v>
      </c>
      <c r="I532" s="1"/>
      <c r="J532" s="73" t="str">
        <f>IFERROR(__xludf.DUMMYFUNCTION("""COMPUTED_VALUE"""),"21-25")</f>
        <v>21-25</v>
      </c>
      <c r="K532" s="1"/>
      <c r="L532" s="1"/>
      <c r="M532" s="1"/>
      <c r="N532" s="1"/>
      <c r="O532" s="1"/>
      <c r="P532" s="1"/>
      <c r="Q532" s="1"/>
      <c r="R532" s="1"/>
      <c r="S532" s="1"/>
      <c r="T532" s="1"/>
      <c r="U532" s="1"/>
      <c r="V532" s="1"/>
      <c r="W532" s="1"/>
      <c r="X532" s="1"/>
    </row>
    <row r="533" ht="15.75" customHeight="1">
      <c r="A533" s="1"/>
      <c r="B533" s="73" t="str">
        <f>IFERROR(__xludf.DUMMYFUNCTION("""COMPUTED_VALUE"""),"1-5")</f>
        <v>1-5</v>
      </c>
      <c r="C533" s="1"/>
      <c r="D533" s="73" t="str">
        <f>IFERROR(__xludf.DUMMYFUNCTION("""COMPUTED_VALUE"""),"6-10")</f>
        <v>6-10</v>
      </c>
      <c r="E533" s="1"/>
      <c r="F533" s="73" t="str">
        <f>IFERROR(__xludf.DUMMYFUNCTION("""COMPUTED_VALUE"""),"11-15")</f>
        <v>11-15</v>
      </c>
      <c r="G533" s="1"/>
      <c r="H533" s="73" t="str">
        <f>IFERROR(__xludf.DUMMYFUNCTION("""COMPUTED_VALUE"""),"16-20")</f>
        <v>16-20</v>
      </c>
      <c r="I533" s="1"/>
      <c r="J533" s="73" t="str">
        <f>IFERROR(__xludf.DUMMYFUNCTION("""COMPUTED_VALUE"""),"21-25")</f>
        <v>21-25</v>
      </c>
      <c r="K533" s="1"/>
      <c r="L533" s="1"/>
      <c r="M533" s="1"/>
      <c r="N533" s="1"/>
      <c r="O533" s="1"/>
      <c r="P533" s="1"/>
      <c r="Q533" s="1"/>
      <c r="R533" s="1"/>
      <c r="S533" s="1"/>
      <c r="T533" s="1"/>
      <c r="U533" s="1"/>
      <c r="V533" s="1"/>
      <c r="W533" s="1"/>
      <c r="X533" s="1"/>
    </row>
    <row r="534" ht="15.75" customHeight="1">
      <c r="A534" s="1"/>
      <c r="B534" s="73" t="str">
        <f>IFERROR(__xludf.DUMMYFUNCTION("""COMPUTED_VALUE"""),"1-5")</f>
        <v>1-5</v>
      </c>
      <c r="C534" s="1"/>
      <c r="D534" s="73" t="str">
        <f>IFERROR(__xludf.DUMMYFUNCTION("""COMPUTED_VALUE"""),"6-10")</f>
        <v>6-10</v>
      </c>
      <c r="E534" s="1"/>
      <c r="F534" s="73" t="str">
        <f>IFERROR(__xludf.DUMMYFUNCTION("""COMPUTED_VALUE"""),"11-15")</f>
        <v>11-15</v>
      </c>
      <c r="G534" s="1"/>
      <c r="H534" s="73" t="str">
        <f>IFERROR(__xludf.DUMMYFUNCTION("""COMPUTED_VALUE"""),"16-20")</f>
        <v>16-20</v>
      </c>
      <c r="I534" s="1"/>
      <c r="J534" s="73" t="str">
        <f>IFERROR(__xludf.DUMMYFUNCTION("""COMPUTED_VALUE"""),"21-25")</f>
        <v>21-25</v>
      </c>
      <c r="K534" s="1"/>
      <c r="L534" s="1"/>
      <c r="M534" s="1"/>
      <c r="N534" s="1"/>
      <c r="O534" s="1"/>
      <c r="P534" s="1"/>
      <c r="Q534" s="1"/>
      <c r="R534" s="1"/>
      <c r="S534" s="1"/>
      <c r="T534" s="1"/>
      <c r="U534" s="1"/>
      <c r="V534" s="1"/>
      <c r="W534" s="1"/>
      <c r="X534" s="1"/>
    </row>
    <row r="535" ht="15.75" customHeight="1">
      <c r="A535" s="1"/>
      <c r="B535" s="73" t="str">
        <f>IFERROR(__xludf.DUMMYFUNCTION("""COMPUTED_VALUE"""),"1-5")</f>
        <v>1-5</v>
      </c>
      <c r="C535" s="1"/>
      <c r="D535" s="73" t="str">
        <f>IFERROR(__xludf.DUMMYFUNCTION("""COMPUTED_VALUE"""),"6-10")</f>
        <v>6-10</v>
      </c>
      <c r="E535" s="1"/>
      <c r="F535" s="73" t="str">
        <f>IFERROR(__xludf.DUMMYFUNCTION("""COMPUTED_VALUE"""),"11-15")</f>
        <v>11-15</v>
      </c>
      <c r="G535" s="1"/>
      <c r="H535" s="73" t="str">
        <f>IFERROR(__xludf.DUMMYFUNCTION("""COMPUTED_VALUE"""),"16-20")</f>
        <v>16-20</v>
      </c>
      <c r="I535" s="1"/>
      <c r="J535" s="73" t="str">
        <f>IFERROR(__xludf.DUMMYFUNCTION("""COMPUTED_VALUE"""),"21-25")</f>
        <v>21-25</v>
      </c>
      <c r="K535" s="1"/>
      <c r="L535" s="1"/>
      <c r="M535" s="1"/>
      <c r="N535" s="1"/>
      <c r="O535" s="1"/>
      <c r="P535" s="1"/>
      <c r="Q535" s="1"/>
      <c r="R535" s="1"/>
      <c r="S535" s="1"/>
      <c r="T535" s="1"/>
      <c r="U535" s="1"/>
      <c r="V535" s="1"/>
      <c r="W535" s="1"/>
      <c r="X535" s="1"/>
    </row>
    <row r="536" ht="15.75" customHeight="1">
      <c r="A536" s="1"/>
      <c r="B536" s="73" t="str">
        <f>IFERROR(__xludf.DUMMYFUNCTION("""COMPUTED_VALUE"""),"1-5")</f>
        <v>1-5</v>
      </c>
      <c r="C536" s="1"/>
      <c r="D536" s="73" t="str">
        <f>IFERROR(__xludf.DUMMYFUNCTION("""COMPUTED_VALUE"""),"6-10")</f>
        <v>6-10</v>
      </c>
      <c r="E536" s="1"/>
      <c r="F536" s="73" t="str">
        <f>IFERROR(__xludf.DUMMYFUNCTION("""COMPUTED_VALUE"""),"11-15")</f>
        <v>11-15</v>
      </c>
      <c r="G536" s="1"/>
      <c r="H536" s="73" t="str">
        <f>IFERROR(__xludf.DUMMYFUNCTION("""COMPUTED_VALUE"""),"16-20")</f>
        <v>16-20</v>
      </c>
      <c r="I536" s="1"/>
      <c r="J536" s="73" t="str">
        <f>IFERROR(__xludf.DUMMYFUNCTION("""COMPUTED_VALUE"""),"21-25")</f>
        <v>21-25</v>
      </c>
      <c r="K536" s="1"/>
      <c r="L536" s="1"/>
      <c r="M536" s="1"/>
      <c r="N536" s="1"/>
      <c r="O536" s="1"/>
      <c r="P536" s="1"/>
      <c r="Q536" s="1"/>
      <c r="R536" s="1"/>
      <c r="S536" s="1"/>
      <c r="T536" s="1"/>
      <c r="U536" s="1"/>
      <c r="V536" s="1"/>
      <c r="W536" s="1"/>
      <c r="X536" s="1"/>
    </row>
    <row r="537" ht="15.75" customHeight="1">
      <c r="A537" s="1"/>
      <c r="B537" s="73" t="str">
        <f>IFERROR(__xludf.DUMMYFUNCTION("""COMPUTED_VALUE"""),"1-5")</f>
        <v>1-5</v>
      </c>
      <c r="C537" s="1"/>
      <c r="D537" s="73" t="str">
        <f>IFERROR(__xludf.DUMMYFUNCTION("""COMPUTED_VALUE"""),"6-10")</f>
        <v>6-10</v>
      </c>
      <c r="E537" s="1"/>
      <c r="F537" s="73" t="str">
        <f>IFERROR(__xludf.DUMMYFUNCTION("""COMPUTED_VALUE"""),"11-15")</f>
        <v>11-15</v>
      </c>
      <c r="G537" s="1"/>
      <c r="H537" s="73" t="str">
        <f>IFERROR(__xludf.DUMMYFUNCTION("""COMPUTED_VALUE"""),"16-20")</f>
        <v>16-20</v>
      </c>
      <c r="I537" s="1"/>
      <c r="J537" s="73" t="str">
        <f>IFERROR(__xludf.DUMMYFUNCTION("""COMPUTED_VALUE"""),"21-25")</f>
        <v>21-25</v>
      </c>
      <c r="K537" s="1"/>
      <c r="L537" s="1"/>
      <c r="M537" s="1"/>
      <c r="N537" s="1"/>
      <c r="O537" s="1"/>
      <c r="P537" s="1"/>
      <c r="Q537" s="1"/>
      <c r="R537" s="1"/>
      <c r="S537" s="1"/>
      <c r="T537" s="1"/>
      <c r="U537" s="1"/>
      <c r="V537" s="1"/>
      <c r="W537" s="1"/>
      <c r="X537" s="1"/>
    </row>
    <row r="538" ht="15.75" customHeight="1">
      <c r="A538" s="1"/>
      <c r="B538" s="73" t="str">
        <f>IFERROR(__xludf.DUMMYFUNCTION("""COMPUTED_VALUE"""),"1-5")</f>
        <v>1-5</v>
      </c>
      <c r="C538" s="1"/>
      <c r="D538" s="73" t="str">
        <f>IFERROR(__xludf.DUMMYFUNCTION("""COMPUTED_VALUE"""),"6-10")</f>
        <v>6-10</v>
      </c>
      <c r="E538" s="1"/>
      <c r="F538" s="73" t="str">
        <f>IFERROR(__xludf.DUMMYFUNCTION("""COMPUTED_VALUE"""),"11-15")</f>
        <v>11-15</v>
      </c>
      <c r="G538" s="1"/>
      <c r="H538" s="73" t="str">
        <f>IFERROR(__xludf.DUMMYFUNCTION("""COMPUTED_VALUE"""),"16-20")</f>
        <v>16-20</v>
      </c>
      <c r="I538" s="1"/>
      <c r="J538" s="73" t="str">
        <f>IFERROR(__xludf.DUMMYFUNCTION("""COMPUTED_VALUE"""),"21-25")</f>
        <v>21-25</v>
      </c>
      <c r="K538" s="1"/>
      <c r="L538" s="1"/>
      <c r="M538" s="1"/>
      <c r="N538" s="1"/>
      <c r="O538" s="1"/>
      <c r="P538" s="1"/>
      <c r="Q538" s="1"/>
      <c r="R538" s="1"/>
      <c r="S538" s="1"/>
      <c r="T538" s="1"/>
      <c r="U538" s="1"/>
      <c r="V538" s="1"/>
      <c r="W538" s="1"/>
      <c r="X538" s="1"/>
    </row>
    <row r="539" ht="15.75" customHeight="1">
      <c r="A539" s="1"/>
      <c r="B539" s="73" t="str">
        <f>IFERROR(__xludf.DUMMYFUNCTION("""COMPUTED_VALUE"""),"1-5")</f>
        <v>1-5</v>
      </c>
      <c r="C539" s="1"/>
      <c r="D539" s="73" t="str">
        <f>IFERROR(__xludf.DUMMYFUNCTION("""COMPUTED_VALUE"""),"6-10")</f>
        <v>6-10</v>
      </c>
      <c r="E539" s="1"/>
      <c r="F539" s="73" t="str">
        <f>IFERROR(__xludf.DUMMYFUNCTION("""COMPUTED_VALUE"""),"11-15")</f>
        <v>11-15</v>
      </c>
      <c r="G539" s="1"/>
      <c r="H539" s="73" t="str">
        <f>IFERROR(__xludf.DUMMYFUNCTION("""COMPUTED_VALUE"""),"16-20")</f>
        <v>16-20</v>
      </c>
      <c r="I539" s="1"/>
      <c r="J539" s="73" t="str">
        <f>IFERROR(__xludf.DUMMYFUNCTION("""COMPUTED_VALUE"""),"21-25")</f>
        <v>21-25</v>
      </c>
      <c r="K539" s="1"/>
      <c r="L539" s="1"/>
      <c r="M539" s="1"/>
      <c r="N539" s="1"/>
      <c r="O539" s="1"/>
      <c r="P539" s="1"/>
      <c r="Q539" s="1"/>
      <c r="R539" s="1"/>
      <c r="S539" s="1"/>
      <c r="T539" s="1"/>
      <c r="U539" s="1"/>
      <c r="V539" s="1"/>
      <c r="W539" s="1"/>
      <c r="X539" s="1"/>
    </row>
    <row r="540" ht="15.75" customHeight="1">
      <c r="A540" s="1"/>
      <c r="B540" s="73" t="str">
        <f>IFERROR(__xludf.DUMMYFUNCTION("""COMPUTED_VALUE"""),"1-5")</f>
        <v>1-5</v>
      </c>
      <c r="C540" s="1"/>
      <c r="D540" s="73" t="str">
        <f>IFERROR(__xludf.DUMMYFUNCTION("""COMPUTED_VALUE"""),"6-10")</f>
        <v>6-10</v>
      </c>
      <c r="E540" s="1"/>
      <c r="F540" s="73" t="str">
        <f>IFERROR(__xludf.DUMMYFUNCTION("""COMPUTED_VALUE"""),"11-15")</f>
        <v>11-15</v>
      </c>
      <c r="G540" s="1"/>
      <c r="H540" s="73" t="str">
        <f>IFERROR(__xludf.DUMMYFUNCTION("""COMPUTED_VALUE"""),"16-20")</f>
        <v>16-20</v>
      </c>
      <c r="I540" s="1"/>
      <c r="J540" s="73" t="str">
        <f>IFERROR(__xludf.DUMMYFUNCTION("""COMPUTED_VALUE"""),"21-25")</f>
        <v>21-25</v>
      </c>
      <c r="K540" s="1"/>
      <c r="L540" s="1"/>
      <c r="M540" s="1"/>
      <c r="N540" s="1"/>
      <c r="O540" s="1"/>
      <c r="P540" s="1"/>
      <c r="Q540" s="1"/>
      <c r="R540" s="1"/>
      <c r="S540" s="1"/>
      <c r="T540" s="1"/>
      <c r="U540" s="1"/>
      <c r="V540" s="1"/>
      <c r="W540" s="1"/>
      <c r="X540" s="1"/>
    </row>
    <row r="541" ht="15.75" customHeight="1">
      <c r="A541" s="1"/>
      <c r="B541" s="73" t="str">
        <f>IFERROR(__xludf.DUMMYFUNCTION("""COMPUTED_VALUE"""),"1-5")</f>
        <v>1-5</v>
      </c>
      <c r="C541" s="1"/>
      <c r="D541" s="73" t="str">
        <f>IFERROR(__xludf.DUMMYFUNCTION("""COMPUTED_VALUE"""),"6-10")</f>
        <v>6-10</v>
      </c>
      <c r="E541" s="1"/>
      <c r="F541" s="73" t="str">
        <f>IFERROR(__xludf.DUMMYFUNCTION("""COMPUTED_VALUE"""),"11-15")</f>
        <v>11-15</v>
      </c>
      <c r="G541" s="1"/>
      <c r="H541" s="73" t="str">
        <f>IFERROR(__xludf.DUMMYFUNCTION("""COMPUTED_VALUE"""),"16-20")</f>
        <v>16-20</v>
      </c>
      <c r="I541" s="1"/>
      <c r="J541" s="73" t="str">
        <f>IFERROR(__xludf.DUMMYFUNCTION("""COMPUTED_VALUE"""),"21-25")</f>
        <v>21-25</v>
      </c>
      <c r="K541" s="1"/>
      <c r="L541" s="1"/>
      <c r="M541" s="1"/>
      <c r="N541" s="1"/>
      <c r="O541" s="1"/>
      <c r="P541" s="1"/>
      <c r="Q541" s="1"/>
      <c r="R541" s="1"/>
      <c r="S541" s="1"/>
      <c r="T541" s="1"/>
      <c r="U541" s="1"/>
      <c r="V541" s="1"/>
      <c r="W541" s="1"/>
      <c r="X541" s="1"/>
    </row>
    <row r="542" ht="15.75" customHeight="1">
      <c r="A542" s="1"/>
      <c r="B542" s="73" t="str">
        <f>IFERROR(__xludf.DUMMYFUNCTION("""COMPUTED_VALUE"""),"1-5")</f>
        <v>1-5</v>
      </c>
      <c r="C542" s="1"/>
      <c r="D542" s="73" t="str">
        <f>IFERROR(__xludf.DUMMYFUNCTION("""COMPUTED_VALUE"""),"6-10")</f>
        <v>6-10</v>
      </c>
      <c r="E542" s="1"/>
      <c r="F542" s="73" t="str">
        <f>IFERROR(__xludf.DUMMYFUNCTION("""COMPUTED_VALUE"""),"11-15")</f>
        <v>11-15</v>
      </c>
      <c r="G542" s="1"/>
      <c r="H542" s="73" t="str">
        <f>IFERROR(__xludf.DUMMYFUNCTION("""COMPUTED_VALUE"""),"16-20")</f>
        <v>16-20</v>
      </c>
      <c r="I542" s="1"/>
      <c r="J542" s="73" t="str">
        <f>IFERROR(__xludf.DUMMYFUNCTION("""COMPUTED_VALUE"""),"21-25")</f>
        <v>21-25</v>
      </c>
      <c r="K542" s="1"/>
      <c r="L542" s="1"/>
      <c r="M542" s="1"/>
      <c r="N542" s="1"/>
      <c r="O542" s="1"/>
      <c r="P542" s="1"/>
      <c r="Q542" s="1"/>
      <c r="R542" s="1"/>
      <c r="S542" s="1"/>
      <c r="T542" s="1"/>
      <c r="U542" s="1"/>
      <c r="V542" s="1"/>
      <c r="W542" s="1"/>
      <c r="X542" s="1"/>
    </row>
    <row r="543" ht="15.75" customHeight="1">
      <c r="A543" s="1"/>
      <c r="B543" s="73" t="str">
        <f>IFERROR(__xludf.DUMMYFUNCTION("""COMPUTED_VALUE"""),"1-5")</f>
        <v>1-5</v>
      </c>
      <c r="C543" s="1"/>
      <c r="D543" s="73" t="str">
        <f>IFERROR(__xludf.DUMMYFUNCTION("""COMPUTED_VALUE"""),"6-10")</f>
        <v>6-10</v>
      </c>
      <c r="E543" s="1"/>
      <c r="F543" s="73" t="str">
        <f>IFERROR(__xludf.DUMMYFUNCTION("""COMPUTED_VALUE"""),"11-15")</f>
        <v>11-15</v>
      </c>
      <c r="G543" s="1"/>
      <c r="H543" s="73" t="str">
        <f>IFERROR(__xludf.DUMMYFUNCTION("""COMPUTED_VALUE"""),"16-20")</f>
        <v>16-20</v>
      </c>
      <c r="I543" s="1"/>
      <c r="J543" s="73" t="str">
        <f>IFERROR(__xludf.DUMMYFUNCTION("""COMPUTED_VALUE"""),"21-25")</f>
        <v>21-25</v>
      </c>
      <c r="K543" s="1"/>
      <c r="L543" s="1"/>
      <c r="M543" s="1"/>
      <c r="N543" s="1"/>
      <c r="O543" s="1"/>
      <c r="P543" s="1"/>
      <c r="Q543" s="1"/>
      <c r="R543" s="1"/>
      <c r="S543" s="1"/>
      <c r="T543" s="1"/>
      <c r="U543" s="1"/>
      <c r="V543" s="1"/>
      <c r="W543" s="1"/>
      <c r="X543" s="1"/>
    </row>
    <row r="544" ht="15.75" customHeight="1">
      <c r="A544" s="1"/>
      <c r="B544" s="73" t="str">
        <f>IFERROR(__xludf.DUMMYFUNCTION("""COMPUTED_VALUE"""),"1-5")</f>
        <v>1-5</v>
      </c>
      <c r="C544" s="1"/>
      <c r="D544" s="73" t="str">
        <f>IFERROR(__xludf.DUMMYFUNCTION("""COMPUTED_VALUE"""),"6-10")</f>
        <v>6-10</v>
      </c>
      <c r="E544" s="1"/>
      <c r="F544" s="73" t="str">
        <f>IFERROR(__xludf.DUMMYFUNCTION("""COMPUTED_VALUE"""),"11-15")</f>
        <v>11-15</v>
      </c>
      <c r="G544" s="1"/>
      <c r="H544" s="73" t="str">
        <f>IFERROR(__xludf.DUMMYFUNCTION("""COMPUTED_VALUE"""),"16-20")</f>
        <v>16-20</v>
      </c>
      <c r="I544" s="1"/>
      <c r="J544" s="73" t="str">
        <f>IFERROR(__xludf.DUMMYFUNCTION("""COMPUTED_VALUE"""),"21-25")</f>
        <v>21-25</v>
      </c>
      <c r="K544" s="1"/>
      <c r="L544" s="1"/>
      <c r="M544" s="1"/>
      <c r="N544" s="1"/>
      <c r="O544" s="1"/>
      <c r="P544" s="1"/>
      <c r="Q544" s="1"/>
      <c r="R544" s="1"/>
      <c r="S544" s="1"/>
      <c r="T544" s="1"/>
      <c r="U544" s="1"/>
      <c r="V544" s="1"/>
      <c r="W544" s="1"/>
      <c r="X544" s="1"/>
    </row>
    <row r="545" ht="15.75" customHeight="1">
      <c r="A545" s="1"/>
      <c r="B545" s="73" t="str">
        <f>IFERROR(__xludf.DUMMYFUNCTION("""COMPUTED_VALUE"""),"1-5")</f>
        <v>1-5</v>
      </c>
      <c r="C545" s="1"/>
      <c r="D545" s="73" t="str">
        <f>IFERROR(__xludf.DUMMYFUNCTION("""COMPUTED_VALUE"""),"6-10")</f>
        <v>6-10</v>
      </c>
      <c r="E545" s="1"/>
      <c r="F545" s="73" t="str">
        <f>IFERROR(__xludf.DUMMYFUNCTION("""COMPUTED_VALUE"""),"11-15")</f>
        <v>11-15</v>
      </c>
      <c r="G545" s="1"/>
      <c r="H545" s="73" t="str">
        <f>IFERROR(__xludf.DUMMYFUNCTION("""COMPUTED_VALUE"""),"16-20")</f>
        <v>16-20</v>
      </c>
      <c r="I545" s="1"/>
      <c r="J545" s="73" t="str">
        <f>IFERROR(__xludf.DUMMYFUNCTION("""COMPUTED_VALUE"""),"21-25")</f>
        <v>21-25</v>
      </c>
      <c r="K545" s="1"/>
      <c r="L545" s="1"/>
      <c r="M545" s="1"/>
      <c r="N545" s="1"/>
      <c r="O545" s="1"/>
      <c r="P545" s="1"/>
      <c r="Q545" s="1"/>
      <c r="R545" s="1"/>
      <c r="S545" s="1"/>
      <c r="T545" s="1"/>
      <c r="U545" s="1"/>
      <c r="V545" s="1"/>
      <c r="W545" s="1"/>
      <c r="X545" s="1"/>
    </row>
    <row r="546" ht="15.75" customHeight="1">
      <c r="A546" s="1"/>
      <c r="B546" s="73" t="str">
        <f>IFERROR(__xludf.DUMMYFUNCTION("""COMPUTED_VALUE"""),"1-5")</f>
        <v>1-5</v>
      </c>
      <c r="C546" s="1"/>
      <c r="D546" s="73" t="str">
        <f>IFERROR(__xludf.DUMMYFUNCTION("""COMPUTED_VALUE"""),"6-10")</f>
        <v>6-10</v>
      </c>
      <c r="E546" s="1"/>
      <c r="F546" s="73" t="str">
        <f>IFERROR(__xludf.DUMMYFUNCTION("""COMPUTED_VALUE"""),"11-15")</f>
        <v>11-15</v>
      </c>
      <c r="G546" s="1"/>
      <c r="H546" s="73" t="str">
        <f>IFERROR(__xludf.DUMMYFUNCTION("""COMPUTED_VALUE"""),"16-20")</f>
        <v>16-20</v>
      </c>
      <c r="I546" s="1"/>
      <c r="J546" s="73" t="str">
        <f>IFERROR(__xludf.DUMMYFUNCTION("""COMPUTED_VALUE"""),"21-25")</f>
        <v>21-25</v>
      </c>
      <c r="K546" s="1"/>
      <c r="L546" s="1"/>
      <c r="M546" s="1"/>
      <c r="N546" s="1"/>
      <c r="O546" s="1"/>
      <c r="P546" s="1"/>
      <c r="Q546" s="1"/>
      <c r="R546" s="1"/>
      <c r="S546" s="1"/>
      <c r="T546" s="1"/>
      <c r="U546" s="1"/>
      <c r="V546" s="1"/>
      <c r="W546" s="1"/>
      <c r="X546" s="1"/>
    </row>
    <row r="547" ht="15.75" customHeight="1">
      <c r="A547" s="1"/>
      <c r="B547" s="73" t="str">
        <f>IFERROR(__xludf.DUMMYFUNCTION("""COMPUTED_VALUE"""),"1-5")</f>
        <v>1-5</v>
      </c>
      <c r="C547" s="1"/>
      <c r="D547" s="73" t="str">
        <f>IFERROR(__xludf.DUMMYFUNCTION("""COMPUTED_VALUE"""),"6-10")</f>
        <v>6-10</v>
      </c>
      <c r="E547" s="1"/>
      <c r="F547" s="73" t="str">
        <f>IFERROR(__xludf.DUMMYFUNCTION("""COMPUTED_VALUE"""),"11-15")</f>
        <v>11-15</v>
      </c>
      <c r="G547" s="1"/>
      <c r="H547" s="73" t="str">
        <f>IFERROR(__xludf.DUMMYFUNCTION("""COMPUTED_VALUE"""),"16-20")</f>
        <v>16-20</v>
      </c>
      <c r="I547" s="1"/>
      <c r="J547" s="73" t="str">
        <f>IFERROR(__xludf.DUMMYFUNCTION("""COMPUTED_VALUE"""),"21-25")</f>
        <v>21-25</v>
      </c>
      <c r="K547" s="1"/>
      <c r="L547" s="1"/>
      <c r="M547" s="1"/>
      <c r="N547" s="1"/>
      <c r="O547" s="1"/>
      <c r="P547" s="1"/>
      <c r="Q547" s="1"/>
      <c r="R547" s="1"/>
      <c r="S547" s="1"/>
      <c r="T547" s="1"/>
      <c r="U547" s="1"/>
      <c r="V547" s="1"/>
      <c r="W547" s="1"/>
      <c r="X547" s="1"/>
    </row>
    <row r="548" ht="15.75" customHeight="1">
      <c r="A548" s="1"/>
      <c r="B548" s="73" t="str">
        <f>IFERROR(__xludf.DUMMYFUNCTION("""COMPUTED_VALUE"""),"1-5")</f>
        <v>1-5</v>
      </c>
      <c r="C548" s="1"/>
      <c r="D548" s="73" t="str">
        <f>IFERROR(__xludf.DUMMYFUNCTION("""COMPUTED_VALUE"""),"6-10")</f>
        <v>6-10</v>
      </c>
      <c r="E548" s="1"/>
      <c r="F548" s="73" t="str">
        <f>IFERROR(__xludf.DUMMYFUNCTION("""COMPUTED_VALUE"""),"11-15")</f>
        <v>11-15</v>
      </c>
      <c r="G548" s="1"/>
      <c r="H548" s="73" t="str">
        <f>IFERROR(__xludf.DUMMYFUNCTION("""COMPUTED_VALUE"""),"16-20")</f>
        <v>16-20</v>
      </c>
      <c r="I548" s="1"/>
      <c r="J548" s="73" t="str">
        <f>IFERROR(__xludf.DUMMYFUNCTION("""COMPUTED_VALUE"""),"21-25")</f>
        <v>21-25</v>
      </c>
      <c r="K548" s="1"/>
      <c r="L548" s="1"/>
      <c r="M548" s="1"/>
      <c r="N548" s="1"/>
      <c r="O548" s="1"/>
      <c r="P548" s="1"/>
      <c r="Q548" s="1"/>
      <c r="R548" s="1"/>
      <c r="S548" s="1"/>
      <c r="T548" s="1"/>
      <c r="U548" s="1"/>
      <c r="V548" s="1"/>
      <c r="W548" s="1"/>
      <c r="X548" s="1"/>
    </row>
    <row r="549" ht="15.75" customHeight="1">
      <c r="A549" s="1"/>
      <c r="B549" s="73" t="str">
        <f>IFERROR(__xludf.DUMMYFUNCTION("""COMPUTED_VALUE"""),"1-5")</f>
        <v>1-5</v>
      </c>
      <c r="C549" s="1"/>
      <c r="D549" s="73" t="str">
        <f>IFERROR(__xludf.DUMMYFUNCTION("""COMPUTED_VALUE"""),"6-10")</f>
        <v>6-10</v>
      </c>
      <c r="E549" s="1"/>
      <c r="F549" s="73" t="str">
        <f>IFERROR(__xludf.DUMMYFUNCTION("""COMPUTED_VALUE"""),"11-15")</f>
        <v>11-15</v>
      </c>
      <c r="G549" s="1"/>
      <c r="H549" s="73" t="str">
        <f>IFERROR(__xludf.DUMMYFUNCTION("""COMPUTED_VALUE"""),"16-20")</f>
        <v>16-20</v>
      </c>
      <c r="I549" s="1"/>
      <c r="J549" s="73" t="str">
        <f>IFERROR(__xludf.DUMMYFUNCTION("""COMPUTED_VALUE"""),"21-25")</f>
        <v>21-25</v>
      </c>
      <c r="K549" s="1"/>
      <c r="L549" s="1"/>
      <c r="M549" s="1"/>
      <c r="N549" s="1"/>
      <c r="O549" s="1"/>
      <c r="P549" s="1"/>
      <c r="Q549" s="1"/>
      <c r="R549" s="1"/>
      <c r="S549" s="1"/>
      <c r="T549" s="1"/>
      <c r="U549" s="1"/>
      <c r="V549" s="1"/>
      <c r="W549" s="1"/>
      <c r="X549" s="1"/>
    </row>
    <row r="550" ht="15.75" customHeight="1">
      <c r="A550" s="1"/>
      <c r="B550" s="73" t="str">
        <f>IFERROR(__xludf.DUMMYFUNCTION("""COMPUTED_VALUE"""),"1-5")</f>
        <v>1-5</v>
      </c>
      <c r="C550" s="1"/>
      <c r="D550" s="73" t="str">
        <f>IFERROR(__xludf.DUMMYFUNCTION("""COMPUTED_VALUE"""),"6-10")</f>
        <v>6-10</v>
      </c>
      <c r="E550" s="1"/>
      <c r="F550" s="73" t="str">
        <f>IFERROR(__xludf.DUMMYFUNCTION("""COMPUTED_VALUE"""),"11-15")</f>
        <v>11-15</v>
      </c>
      <c r="G550" s="1"/>
      <c r="H550" s="73" t="str">
        <f>IFERROR(__xludf.DUMMYFUNCTION("""COMPUTED_VALUE"""),"16-20")</f>
        <v>16-20</v>
      </c>
      <c r="I550" s="1"/>
      <c r="J550" s="73" t="str">
        <f>IFERROR(__xludf.DUMMYFUNCTION("""COMPUTED_VALUE"""),"21-25")</f>
        <v>21-25</v>
      </c>
      <c r="K550" s="1"/>
      <c r="L550" s="1"/>
      <c r="M550" s="1"/>
      <c r="N550" s="1"/>
      <c r="O550" s="1"/>
      <c r="P550" s="1"/>
      <c r="Q550" s="1"/>
      <c r="R550" s="1"/>
      <c r="S550" s="1"/>
      <c r="T550" s="1"/>
      <c r="U550" s="1"/>
      <c r="V550" s="1"/>
      <c r="W550" s="1"/>
      <c r="X550" s="1"/>
    </row>
    <row r="551" ht="15.75" customHeight="1">
      <c r="A551" s="1"/>
      <c r="B551" s="73" t="str">
        <f>IFERROR(__xludf.DUMMYFUNCTION("""COMPUTED_VALUE"""),"1-5")</f>
        <v>1-5</v>
      </c>
      <c r="C551" s="1"/>
      <c r="D551" s="73" t="str">
        <f>IFERROR(__xludf.DUMMYFUNCTION("""COMPUTED_VALUE"""),"6-10")</f>
        <v>6-10</v>
      </c>
      <c r="E551" s="1"/>
      <c r="F551" s="73" t="str">
        <f>IFERROR(__xludf.DUMMYFUNCTION("""COMPUTED_VALUE"""),"11-15")</f>
        <v>11-15</v>
      </c>
      <c r="G551" s="1"/>
      <c r="H551" s="73" t="str">
        <f>IFERROR(__xludf.DUMMYFUNCTION("""COMPUTED_VALUE"""),"16-20")</f>
        <v>16-20</v>
      </c>
      <c r="I551" s="1"/>
      <c r="J551" s="73" t="str">
        <f>IFERROR(__xludf.DUMMYFUNCTION("""COMPUTED_VALUE"""),"21-25")</f>
        <v>21-25</v>
      </c>
      <c r="K551" s="1"/>
      <c r="L551" s="1"/>
      <c r="M551" s="1"/>
      <c r="N551" s="1"/>
      <c r="O551" s="1"/>
      <c r="P551" s="1"/>
      <c r="Q551" s="1"/>
      <c r="R551" s="1"/>
      <c r="S551" s="1"/>
      <c r="T551" s="1"/>
      <c r="U551" s="1"/>
      <c r="V551" s="1"/>
      <c r="W551" s="1"/>
      <c r="X551" s="1"/>
    </row>
    <row r="552" ht="15.75" customHeight="1">
      <c r="A552" s="1"/>
      <c r="B552" s="73" t="str">
        <f>IFERROR(__xludf.DUMMYFUNCTION("""COMPUTED_VALUE"""),"1-5")</f>
        <v>1-5</v>
      </c>
      <c r="C552" s="1"/>
      <c r="D552" s="73" t="str">
        <f>IFERROR(__xludf.DUMMYFUNCTION("""COMPUTED_VALUE"""),"6-10")</f>
        <v>6-10</v>
      </c>
      <c r="E552" s="1"/>
      <c r="F552" s="73" t="str">
        <f>IFERROR(__xludf.DUMMYFUNCTION("""COMPUTED_VALUE"""),"11-15")</f>
        <v>11-15</v>
      </c>
      <c r="G552" s="1"/>
      <c r="H552" s="73" t="str">
        <f>IFERROR(__xludf.DUMMYFUNCTION("""COMPUTED_VALUE"""),"16-20")</f>
        <v>16-20</v>
      </c>
      <c r="I552" s="1"/>
      <c r="J552" s="73" t="str">
        <f>IFERROR(__xludf.DUMMYFUNCTION("""COMPUTED_VALUE"""),"21-25")</f>
        <v>21-25</v>
      </c>
      <c r="K552" s="1"/>
      <c r="L552" s="1"/>
      <c r="M552" s="1"/>
      <c r="N552" s="1"/>
      <c r="O552" s="1"/>
      <c r="P552" s="1"/>
      <c r="Q552" s="1"/>
      <c r="R552" s="1"/>
      <c r="S552" s="1"/>
      <c r="T552" s="1"/>
      <c r="U552" s="1"/>
      <c r="V552" s="1"/>
      <c r="W552" s="1"/>
      <c r="X552" s="1"/>
    </row>
    <row r="553" ht="15.75" customHeight="1">
      <c r="A553" s="1"/>
      <c r="B553" s="73" t="str">
        <f>IFERROR(__xludf.DUMMYFUNCTION("""COMPUTED_VALUE"""),"1-5")</f>
        <v>1-5</v>
      </c>
      <c r="C553" s="1"/>
      <c r="D553" s="73" t="str">
        <f>IFERROR(__xludf.DUMMYFUNCTION("""COMPUTED_VALUE"""),"6-10")</f>
        <v>6-10</v>
      </c>
      <c r="E553" s="1"/>
      <c r="F553" s="73" t="str">
        <f>IFERROR(__xludf.DUMMYFUNCTION("""COMPUTED_VALUE"""),"11-15")</f>
        <v>11-15</v>
      </c>
      <c r="G553" s="1"/>
      <c r="H553" s="73" t="str">
        <f>IFERROR(__xludf.DUMMYFUNCTION("""COMPUTED_VALUE"""),"16-20")</f>
        <v>16-20</v>
      </c>
      <c r="I553" s="1"/>
      <c r="J553" s="73" t="str">
        <f>IFERROR(__xludf.DUMMYFUNCTION("""COMPUTED_VALUE"""),"21-25")</f>
        <v>21-25</v>
      </c>
      <c r="K553" s="1"/>
      <c r="L553" s="1"/>
      <c r="M553" s="1"/>
      <c r="N553" s="1"/>
      <c r="O553" s="1"/>
      <c r="P553" s="1"/>
      <c r="Q553" s="1"/>
      <c r="R553" s="1"/>
      <c r="S553" s="1"/>
      <c r="T553" s="1"/>
      <c r="U553" s="1"/>
      <c r="V553" s="1"/>
      <c r="W553" s="1"/>
      <c r="X553" s="1"/>
    </row>
    <row r="554" ht="15.75" customHeight="1">
      <c r="A554" s="1"/>
      <c r="B554" s="73" t="str">
        <f>IFERROR(__xludf.DUMMYFUNCTION("""COMPUTED_VALUE"""),"1-5")</f>
        <v>1-5</v>
      </c>
      <c r="C554" s="1"/>
      <c r="D554" s="73" t="str">
        <f>IFERROR(__xludf.DUMMYFUNCTION("""COMPUTED_VALUE"""),"6-10")</f>
        <v>6-10</v>
      </c>
      <c r="E554" s="1"/>
      <c r="F554" s="73" t="str">
        <f>IFERROR(__xludf.DUMMYFUNCTION("""COMPUTED_VALUE"""),"11-15")</f>
        <v>11-15</v>
      </c>
      <c r="G554" s="1"/>
      <c r="H554" s="73" t="str">
        <f>IFERROR(__xludf.DUMMYFUNCTION("""COMPUTED_VALUE"""),"16-20")</f>
        <v>16-20</v>
      </c>
      <c r="I554" s="1"/>
      <c r="J554" s="73" t="str">
        <f>IFERROR(__xludf.DUMMYFUNCTION("""COMPUTED_VALUE"""),"21-25")</f>
        <v>21-25</v>
      </c>
      <c r="K554" s="1"/>
      <c r="L554" s="1"/>
      <c r="M554" s="1"/>
      <c r="N554" s="1"/>
      <c r="O554" s="1"/>
      <c r="P554" s="1"/>
      <c r="Q554" s="1"/>
      <c r="R554" s="1"/>
      <c r="S554" s="1"/>
      <c r="T554" s="1"/>
      <c r="U554" s="1"/>
      <c r="V554" s="1"/>
      <c r="W554" s="1"/>
      <c r="X554" s="1"/>
    </row>
    <row r="555" ht="15.75" customHeight="1">
      <c r="A555" s="1"/>
      <c r="B555" s="73" t="str">
        <f>IFERROR(__xludf.DUMMYFUNCTION("""COMPUTED_VALUE"""),"1-5")</f>
        <v>1-5</v>
      </c>
      <c r="C555" s="1"/>
      <c r="D555" s="73" t="str">
        <f>IFERROR(__xludf.DUMMYFUNCTION("""COMPUTED_VALUE"""),"6-10")</f>
        <v>6-10</v>
      </c>
      <c r="E555" s="1"/>
      <c r="F555" s="73" t="str">
        <f>IFERROR(__xludf.DUMMYFUNCTION("""COMPUTED_VALUE"""),"11-15")</f>
        <v>11-15</v>
      </c>
      <c r="G555" s="1"/>
      <c r="H555" s="73" t="str">
        <f>IFERROR(__xludf.DUMMYFUNCTION("""COMPUTED_VALUE"""),"16-20")</f>
        <v>16-20</v>
      </c>
      <c r="I555" s="1"/>
      <c r="J555" s="73" t="str">
        <f>IFERROR(__xludf.DUMMYFUNCTION("""COMPUTED_VALUE"""),"21-25")</f>
        <v>21-25</v>
      </c>
      <c r="K555" s="1"/>
      <c r="L555" s="1"/>
      <c r="M555" s="1"/>
      <c r="N555" s="1"/>
      <c r="O555" s="1"/>
      <c r="P555" s="1"/>
      <c r="Q555" s="1"/>
      <c r="R555" s="1"/>
      <c r="S555" s="1"/>
      <c r="T555" s="1"/>
      <c r="U555" s="1"/>
      <c r="V555" s="1"/>
      <c r="W555" s="1"/>
      <c r="X555" s="1"/>
    </row>
    <row r="556" ht="15.75" customHeight="1">
      <c r="A556" s="1"/>
      <c r="B556" s="73" t="str">
        <f>IFERROR(__xludf.DUMMYFUNCTION("""COMPUTED_VALUE"""),"1-5")</f>
        <v>1-5</v>
      </c>
      <c r="C556" s="1"/>
      <c r="D556" s="73" t="str">
        <f>IFERROR(__xludf.DUMMYFUNCTION("""COMPUTED_VALUE"""),"6-10")</f>
        <v>6-10</v>
      </c>
      <c r="E556" s="1"/>
      <c r="F556" s="73" t="str">
        <f>IFERROR(__xludf.DUMMYFUNCTION("""COMPUTED_VALUE"""),"11-15")</f>
        <v>11-15</v>
      </c>
      <c r="G556" s="1"/>
      <c r="H556" s="73" t="str">
        <f>IFERROR(__xludf.DUMMYFUNCTION("""COMPUTED_VALUE"""),"16-20")</f>
        <v>16-20</v>
      </c>
      <c r="I556" s="1"/>
      <c r="J556" s="73" t="str">
        <f>IFERROR(__xludf.DUMMYFUNCTION("""COMPUTED_VALUE"""),"21-25")</f>
        <v>21-25</v>
      </c>
      <c r="K556" s="1"/>
      <c r="L556" s="1"/>
      <c r="M556" s="1"/>
      <c r="N556" s="1"/>
      <c r="O556" s="1"/>
      <c r="P556" s="1"/>
      <c r="Q556" s="1"/>
      <c r="R556" s="1"/>
      <c r="S556" s="1"/>
      <c r="T556" s="1"/>
      <c r="U556" s="1"/>
      <c r="V556" s="1"/>
      <c r="W556" s="1"/>
      <c r="X556" s="1"/>
    </row>
    <row r="557" ht="15.75" customHeight="1">
      <c r="A557" s="1"/>
      <c r="B557" s="73" t="str">
        <f>IFERROR(__xludf.DUMMYFUNCTION("""COMPUTED_VALUE"""),"1-5")</f>
        <v>1-5</v>
      </c>
      <c r="C557" s="1"/>
      <c r="D557" s="73" t="str">
        <f>IFERROR(__xludf.DUMMYFUNCTION("""COMPUTED_VALUE"""),"6-10")</f>
        <v>6-10</v>
      </c>
      <c r="E557" s="1"/>
      <c r="F557" s="73" t="str">
        <f>IFERROR(__xludf.DUMMYFUNCTION("""COMPUTED_VALUE"""),"11-15")</f>
        <v>11-15</v>
      </c>
      <c r="G557" s="1"/>
      <c r="H557" s="73" t="str">
        <f>IFERROR(__xludf.DUMMYFUNCTION("""COMPUTED_VALUE"""),"16-20")</f>
        <v>16-20</v>
      </c>
      <c r="I557" s="1"/>
      <c r="J557" s="73" t="str">
        <f>IFERROR(__xludf.DUMMYFUNCTION("""COMPUTED_VALUE"""),"21-25")</f>
        <v>21-25</v>
      </c>
      <c r="K557" s="1"/>
      <c r="L557" s="1"/>
      <c r="M557" s="1"/>
      <c r="N557" s="1"/>
      <c r="O557" s="1"/>
      <c r="P557" s="1"/>
      <c r="Q557" s="1"/>
      <c r="R557" s="1"/>
      <c r="S557" s="1"/>
      <c r="T557" s="1"/>
      <c r="U557" s="1"/>
      <c r="V557" s="1"/>
      <c r="W557" s="1"/>
      <c r="X557" s="1"/>
    </row>
    <row r="558" ht="15.75" customHeight="1">
      <c r="A558" s="1"/>
      <c r="B558" s="73" t="str">
        <f>IFERROR(__xludf.DUMMYFUNCTION("""COMPUTED_VALUE"""),"1-5")</f>
        <v>1-5</v>
      </c>
      <c r="C558" s="1"/>
      <c r="D558" s="73" t="str">
        <f>IFERROR(__xludf.DUMMYFUNCTION("""COMPUTED_VALUE"""),"6-10")</f>
        <v>6-10</v>
      </c>
      <c r="E558" s="1"/>
      <c r="F558" s="73" t="str">
        <f>IFERROR(__xludf.DUMMYFUNCTION("""COMPUTED_VALUE"""),"11-15")</f>
        <v>11-15</v>
      </c>
      <c r="G558" s="1"/>
      <c r="H558" s="73" t="str">
        <f>IFERROR(__xludf.DUMMYFUNCTION("""COMPUTED_VALUE"""),"16-20")</f>
        <v>16-20</v>
      </c>
      <c r="I558" s="1"/>
      <c r="J558" s="73" t="str">
        <f>IFERROR(__xludf.DUMMYFUNCTION("""COMPUTED_VALUE"""),"21-25")</f>
        <v>21-25</v>
      </c>
      <c r="K558" s="1"/>
      <c r="L558" s="1"/>
      <c r="M558" s="1"/>
      <c r="N558" s="1"/>
      <c r="O558" s="1"/>
      <c r="P558" s="1"/>
      <c r="Q558" s="1"/>
      <c r="R558" s="1"/>
      <c r="S558" s="1"/>
      <c r="T558" s="1"/>
      <c r="U558" s="1"/>
      <c r="V558" s="1"/>
      <c r="W558" s="1"/>
      <c r="X558" s="1"/>
    </row>
    <row r="559" ht="15.75" customHeight="1">
      <c r="A559" s="1"/>
      <c r="B559" s="73" t="str">
        <f>IFERROR(__xludf.DUMMYFUNCTION("""COMPUTED_VALUE"""),"1-5")</f>
        <v>1-5</v>
      </c>
      <c r="C559" s="1"/>
      <c r="D559" s="73" t="str">
        <f>IFERROR(__xludf.DUMMYFUNCTION("""COMPUTED_VALUE"""),"6-10")</f>
        <v>6-10</v>
      </c>
      <c r="E559" s="1"/>
      <c r="F559" s="73" t="str">
        <f>IFERROR(__xludf.DUMMYFUNCTION("""COMPUTED_VALUE"""),"11-15")</f>
        <v>11-15</v>
      </c>
      <c r="G559" s="1"/>
      <c r="H559" s="73" t="str">
        <f>IFERROR(__xludf.DUMMYFUNCTION("""COMPUTED_VALUE"""),"16-20")</f>
        <v>16-20</v>
      </c>
      <c r="I559" s="1"/>
      <c r="J559" s="73" t="str">
        <f>IFERROR(__xludf.DUMMYFUNCTION("""COMPUTED_VALUE"""),"21-25")</f>
        <v>21-25</v>
      </c>
      <c r="K559" s="1"/>
      <c r="L559" s="1"/>
      <c r="M559" s="1"/>
      <c r="N559" s="1"/>
      <c r="O559" s="1"/>
      <c r="P559" s="1"/>
      <c r="Q559" s="1"/>
      <c r="R559" s="1"/>
      <c r="S559" s="1"/>
      <c r="T559" s="1"/>
      <c r="U559" s="1"/>
      <c r="V559" s="1"/>
      <c r="W559" s="1"/>
      <c r="X559" s="1"/>
    </row>
    <row r="560" ht="15.75" customHeight="1">
      <c r="A560" s="1"/>
      <c r="B560" s="73" t="str">
        <f>IFERROR(__xludf.DUMMYFUNCTION("""COMPUTED_VALUE"""),"1-5")</f>
        <v>1-5</v>
      </c>
      <c r="C560" s="1"/>
      <c r="D560" s="73" t="str">
        <f>IFERROR(__xludf.DUMMYFUNCTION("""COMPUTED_VALUE"""),"6-10")</f>
        <v>6-10</v>
      </c>
      <c r="E560" s="1"/>
      <c r="F560" s="73" t="str">
        <f>IFERROR(__xludf.DUMMYFUNCTION("""COMPUTED_VALUE"""),"11-15")</f>
        <v>11-15</v>
      </c>
      <c r="G560" s="1"/>
      <c r="H560" s="73" t="str">
        <f>IFERROR(__xludf.DUMMYFUNCTION("""COMPUTED_VALUE"""),"16-20")</f>
        <v>16-20</v>
      </c>
      <c r="I560" s="1"/>
      <c r="J560" s="73" t="str">
        <f>IFERROR(__xludf.DUMMYFUNCTION("""COMPUTED_VALUE"""),"21-25")</f>
        <v>21-25</v>
      </c>
      <c r="K560" s="1"/>
      <c r="L560" s="1"/>
      <c r="M560" s="1"/>
      <c r="N560" s="1"/>
      <c r="O560" s="1"/>
      <c r="P560" s="1"/>
      <c r="Q560" s="1"/>
      <c r="R560" s="1"/>
      <c r="S560" s="1"/>
      <c r="T560" s="1"/>
      <c r="U560" s="1"/>
      <c r="V560" s="1"/>
      <c r="W560" s="1"/>
      <c r="X560" s="1"/>
    </row>
    <row r="561" ht="15.75" customHeight="1">
      <c r="A561" s="1"/>
      <c r="B561" s="73" t="str">
        <f>IFERROR(__xludf.DUMMYFUNCTION("""COMPUTED_VALUE"""),"1-5")</f>
        <v>1-5</v>
      </c>
      <c r="C561" s="1"/>
      <c r="D561" s="73" t="str">
        <f>IFERROR(__xludf.DUMMYFUNCTION("""COMPUTED_VALUE"""),"6-10")</f>
        <v>6-10</v>
      </c>
      <c r="E561" s="1"/>
      <c r="F561" s="73" t="str">
        <f>IFERROR(__xludf.DUMMYFUNCTION("""COMPUTED_VALUE"""),"11-15")</f>
        <v>11-15</v>
      </c>
      <c r="G561" s="1"/>
      <c r="H561" s="73" t="str">
        <f>IFERROR(__xludf.DUMMYFUNCTION("""COMPUTED_VALUE"""),"16-20")</f>
        <v>16-20</v>
      </c>
      <c r="I561" s="1"/>
      <c r="J561" s="73" t="str">
        <f>IFERROR(__xludf.DUMMYFUNCTION("""COMPUTED_VALUE"""),"21-25")</f>
        <v>21-25</v>
      </c>
      <c r="K561" s="1"/>
      <c r="L561" s="1"/>
      <c r="M561" s="1"/>
      <c r="N561" s="1"/>
      <c r="O561" s="1"/>
      <c r="P561" s="1"/>
      <c r="Q561" s="1"/>
      <c r="R561" s="1"/>
      <c r="S561" s="1"/>
      <c r="T561" s="1"/>
      <c r="U561" s="1"/>
      <c r="V561" s="1"/>
      <c r="W561" s="1"/>
      <c r="X561" s="1"/>
    </row>
    <row r="562" ht="15.75" customHeight="1">
      <c r="A562" s="1"/>
      <c r="B562" s="73" t="str">
        <f>IFERROR(__xludf.DUMMYFUNCTION("""COMPUTED_VALUE"""),"1-5")</f>
        <v>1-5</v>
      </c>
      <c r="C562" s="1"/>
      <c r="D562" s="73" t="str">
        <f>IFERROR(__xludf.DUMMYFUNCTION("""COMPUTED_VALUE"""),"6-10")</f>
        <v>6-10</v>
      </c>
      <c r="E562" s="1"/>
      <c r="F562" s="73" t="str">
        <f>IFERROR(__xludf.DUMMYFUNCTION("""COMPUTED_VALUE"""),"11-15")</f>
        <v>11-15</v>
      </c>
      <c r="G562" s="1"/>
      <c r="H562" s="73" t="str">
        <f>IFERROR(__xludf.DUMMYFUNCTION("""COMPUTED_VALUE"""),"16-20")</f>
        <v>16-20</v>
      </c>
      <c r="I562" s="1"/>
      <c r="J562" s="73" t="str">
        <f>IFERROR(__xludf.DUMMYFUNCTION("""COMPUTED_VALUE"""),"21-25")</f>
        <v>21-25</v>
      </c>
      <c r="K562" s="1"/>
      <c r="L562" s="1"/>
      <c r="M562" s="1"/>
      <c r="N562" s="1"/>
      <c r="O562" s="1"/>
      <c r="P562" s="1"/>
      <c r="Q562" s="1"/>
      <c r="R562" s="1"/>
      <c r="S562" s="1"/>
      <c r="T562" s="1"/>
      <c r="U562" s="1"/>
      <c r="V562" s="1"/>
      <c r="W562" s="1"/>
      <c r="X562" s="1"/>
    </row>
    <row r="563" ht="15.75" customHeight="1">
      <c r="A563" s="1"/>
      <c r="B563" s="73" t="str">
        <f>IFERROR(__xludf.DUMMYFUNCTION("""COMPUTED_VALUE"""),"1-5")</f>
        <v>1-5</v>
      </c>
      <c r="C563" s="1"/>
      <c r="D563" s="73" t="str">
        <f>IFERROR(__xludf.DUMMYFUNCTION("""COMPUTED_VALUE"""),"6-10")</f>
        <v>6-10</v>
      </c>
      <c r="E563" s="1"/>
      <c r="F563" s="73" t="str">
        <f>IFERROR(__xludf.DUMMYFUNCTION("""COMPUTED_VALUE"""),"11-15")</f>
        <v>11-15</v>
      </c>
      <c r="G563" s="1"/>
      <c r="H563" s="73" t="str">
        <f>IFERROR(__xludf.DUMMYFUNCTION("""COMPUTED_VALUE"""),"16-20")</f>
        <v>16-20</v>
      </c>
      <c r="I563" s="1"/>
      <c r="J563" s="73" t="str">
        <f>IFERROR(__xludf.DUMMYFUNCTION("""COMPUTED_VALUE"""),"21-25")</f>
        <v>21-25</v>
      </c>
      <c r="K563" s="1"/>
      <c r="L563" s="1"/>
      <c r="M563" s="1"/>
      <c r="N563" s="1"/>
      <c r="O563" s="1"/>
      <c r="P563" s="1"/>
      <c r="Q563" s="1"/>
      <c r="R563" s="1"/>
      <c r="S563" s="1"/>
      <c r="T563" s="1"/>
      <c r="U563" s="1"/>
      <c r="V563" s="1"/>
      <c r="W563" s="1"/>
      <c r="X563" s="1"/>
    </row>
    <row r="564" ht="15.75" customHeight="1">
      <c r="A564" s="1"/>
      <c r="B564" s="73" t="str">
        <f>IFERROR(__xludf.DUMMYFUNCTION("""COMPUTED_VALUE"""),"1-5")</f>
        <v>1-5</v>
      </c>
      <c r="C564" s="1"/>
      <c r="D564" s="73" t="str">
        <f>IFERROR(__xludf.DUMMYFUNCTION("""COMPUTED_VALUE"""),"6-10")</f>
        <v>6-10</v>
      </c>
      <c r="E564" s="1"/>
      <c r="F564" s="73" t="str">
        <f>IFERROR(__xludf.DUMMYFUNCTION("""COMPUTED_VALUE"""),"11-15")</f>
        <v>11-15</v>
      </c>
      <c r="G564" s="1"/>
      <c r="H564" s="73" t="str">
        <f>IFERROR(__xludf.DUMMYFUNCTION("""COMPUTED_VALUE"""),"16-20")</f>
        <v>16-20</v>
      </c>
      <c r="I564" s="1"/>
      <c r="J564" s="73" t="str">
        <f>IFERROR(__xludf.DUMMYFUNCTION("""COMPUTED_VALUE"""),"21-25")</f>
        <v>21-25</v>
      </c>
      <c r="K564" s="1"/>
      <c r="L564" s="1"/>
      <c r="M564" s="1"/>
      <c r="N564" s="1"/>
      <c r="O564" s="1"/>
      <c r="P564" s="1"/>
      <c r="Q564" s="1"/>
      <c r="R564" s="1"/>
      <c r="S564" s="1"/>
      <c r="T564" s="1"/>
      <c r="U564" s="1"/>
      <c r="V564" s="1"/>
      <c r="W564" s="1"/>
      <c r="X564" s="1"/>
    </row>
    <row r="565" ht="15.75" customHeight="1">
      <c r="A565" s="1"/>
      <c r="B565" s="73" t="str">
        <f>IFERROR(__xludf.DUMMYFUNCTION("""COMPUTED_VALUE"""),"1-5")</f>
        <v>1-5</v>
      </c>
      <c r="C565" s="1"/>
      <c r="D565" s="73" t="str">
        <f>IFERROR(__xludf.DUMMYFUNCTION("""COMPUTED_VALUE"""),"6-10")</f>
        <v>6-10</v>
      </c>
      <c r="E565" s="1"/>
      <c r="F565" s="73" t="str">
        <f>IFERROR(__xludf.DUMMYFUNCTION("""COMPUTED_VALUE"""),"11-15")</f>
        <v>11-15</v>
      </c>
      <c r="G565" s="1"/>
      <c r="H565" s="73" t="str">
        <f>IFERROR(__xludf.DUMMYFUNCTION("""COMPUTED_VALUE"""),"16-20")</f>
        <v>16-20</v>
      </c>
      <c r="I565" s="1"/>
      <c r="J565" s="73" t="str">
        <f>IFERROR(__xludf.DUMMYFUNCTION("""COMPUTED_VALUE"""),"21-25")</f>
        <v>21-25</v>
      </c>
      <c r="K565" s="1"/>
      <c r="L565" s="1"/>
      <c r="M565" s="1"/>
      <c r="N565" s="1"/>
      <c r="O565" s="1"/>
      <c r="P565" s="1"/>
      <c r="Q565" s="1"/>
      <c r="R565" s="1"/>
      <c r="S565" s="1"/>
      <c r="T565" s="1"/>
      <c r="U565" s="1"/>
      <c r="V565" s="1"/>
      <c r="W565" s="1"/>
      <c r="X565" s="1"/>
    </row>
    <row r="566" ht="15.75" customHeight="1">
      <c r="A566" s="1"/>
      <c r="B566" s="73" t="str">
        <f>IFERROR(__xludf.DUMMYFUNCTION("""COMPUTED_VALUE"""),"1-5")</f>
        <v>1-5</v>
      </c>
      <c r="C566" s="1"/>
      <c r="D566" s="73" t="str">
        <f>IFERROR(__xludf.DUMMYFUNCTION("""COMPUTED_VALUE"""),"6-10")</f>
        <v>6-10</v>
      </c>
      <c r="E566" s="1"/>
      <c r="F566" s="73" t="str">
        <f>IFERROR(__xludf.DUMMYFUNCTION("""COMPUTED_VALUE"""),"11-15")</f>
        <v>11-15</v>
      </c>
      <c r="G566" s="1"/>
      <c r="H566" s="73" t="str">
        <f>IFERROR(__xludf.DUMMYFUNCTION("""COMPUTED_VALUE"""),"16-20")</f>
        <v>16-20</v>
      </c>
      <c r="I566" s="1"/>
      <c r="J566" s="73" t="str">
        <f>IFERROR(__xludf.DUMMYFUNCTION("""COMPUTED_VALUE"""),"21-25")</f>
        <v>21-25</v>
      </c>
      <c r="K566" s="1"/>
      <c r="L566" s="1"/>
      <c r="M566" s="1"/>
      <c r="N566" s="1"/>
      <c r="O566" s="1"/>
      <c r="P566" s="1"/>
      <c r="Q566" s="1"/>
      <c r="R566" s="1"/>
      <c r="S566" s="1"/>
      <c r="T566" s="1"/>
      <c r="U566" s="1"/>
      <c r="V566" s="1"/>
      <c r="W566" s="1"/>
      <c r="X566" s="1"/>
    </row>
    <row r="567" ht="15.75" customHeight="1">
      <c r="A567" s="1"/>
      <c r="B567" s="73" t="str">
        <f>IFERROR(__xludf.DUMMYFUNCTION("""COMPUTED_VALUE"""),"1-5")</f>
        <v>1-5</v>
      </c>
      <c r="C567" s="1"/>
      <c r="D567" s="73" t="str">
        <f>IFERROR(__xludf.DUMMYFUNCTION("""COMPUTED_VALUE"""),"6-10")</f>
        <v>6-10</v>
      </c>
      <c r="E567" s="1"/>
      <c r="F567" s="73" t="str">
        <f>IFERROR(__xludf.DUMMYFUNCTION("""COMPUTED_VALUE"""),"11-15")</f>
        <v>11-15</v>
      </c>
      <c r="G567" s="1"/>
      <c r="H567" s="73" t="str">
        <f>IFERROR(__xludf.DUMMYFUNCTION("""COMPUTED_VALUE"""),"16-20")</f>
        <v>16-20</v>
      </c>
      <c r="I567" s="1"/>
      <c r="J567" s="73" t="str">
        <f>IFERROR(__xludf.DUMMYFUNCTION("""COMPUTED_VALUE"""),"21-25")</f>
        <v>21-25</v>
      </c>
      <c r="K567" s="1"/>
      <c r="L567" s="1"/>
      <c r="M567" s="1"/>
      <c r="N567" s="1"/>
      <c r="O567" s="1"/>
      <c r="P567" s="1"/>
      <c r="Q567" s="1"/>
      <c r="R567" s="1"/>
      <c r="S567" s="1"/>
      <c r="T567" s="1"/>
      <c r="U567" s="1"/>
      <c r="V567" s="1"/>
      <c r="W567" s="1"/>
      <c r="X567" s="1"/>
    </row>
    <row r="568" ht="15.75" customHeight="1">
      <c r="A568" s="1"/>
      <c r="B568" s="73" t="str">
        <f>IFERROR(__xludf.DUMMYFUNCTION("""COMPUTED_VALUE"""),"1-5")</f>
        <v>1-5</v>
      </c>
      <c r="C568" s="1"/>
      <c r="D568" s="73" t="str">
        <f>IFERROR(__xludf.DUMMYFUNCTION("""COMPUTED_VALUE"""),"6-10")</f>
        <v>6-10</v>
      </c>
      <c r="E568" s="1"/>
      <c r="F568" s="73" t="str">
        <f>IFERROR(__xludf.DUMMYFUNCTION("""COMPUTED_VALUE"""),"11-15")</f>
        <v>11-15</v>
      </c>
      <c r="G568" s="1"/>
      <c r="H568" s="73" t="str">
        <f>IFERROR(__xludf.DUMMYFUNCTION("""COMPUTED_VALUE"""),"16-20")</f>
        <v>16-20</v>
      </c>
      <c r="I568" s="1"/>
      <c r="J568" s="73" t="str">
        <f>IFERROR(__xludf.DUMMYFUNCTION("""COMPUTED_VALUE"""),"21-25")</f>
        <v>21-25</v>
      </c>
      <c r="K568" s="1"/>
      <c r="L568" s="1"/>
      <c r="M568" s="1"/>
      <c r="N568" s="1"/>
      <c r="O568" s="1"/>
      <c r="P568" s="1"/>
      <c r="Q568" s="1"/>
      <c r="R568" s="1"/>
      <c r="S568" s="1"/>
      <c r="T568" s="1"/>
      <c r="U568" s="1"/>
      <c r="V568" s="1"/>
      <c r="W568" s="1"/>
      <c r="X568" s="1"/>
    </row>
    <row r="569" ht="15.75" customHeight="1">
      <c r="A569" s="1"/>
      <c r="B569" s="73" t="str">
        <f>IFERROR(__xludf.DUMMYFUNCTION("""COMPUTED_VALUE"""),"1-5")</f>
        <v>1-5</v>
      </c>
      <c r="C569" s="1"/>
      <c r="D569" s="73" t="str">
        <f>IFERROR(__xludf.DUMMYFUNCTION("""COMPUTED_VALUE"""),"6-10")</f>
        <v>6-10</v>
      </c>
      <c r="E569" s="1"/>
      <c r="F569" s="73" t="str">
        <f>IFERROR(__xludf.DUMMYFUNCTION("""COMPUTED_VALUE"""),"11-15")</f>
        <v>11-15</v>
      </c>
      <c r="G569" s="1"/>
      <c r="H569" s="73" t="str">
        <f>IFERROR(__xludf.DUMMYFUNCTION("""COMPUTED_VALUE"""),"16-20")</f>
        <v>16-20</v>
      </c>
      <c r="I569" s="1"/>
      <c r="J569" s="73" t="str">
        <f>IFERROR(__xludf.DUMMYFUNCTION("""COMPUTED_VALUE"""),"21-25")</f>
        <v>21-25</v>
      </c>
      <c r="K569" s="1"/>
      <c r="L569" s="1"/>
      <c r="M569" s="1"/>
      <c r="N569" s="1"/>
      <c r="O569" s="1"/>
      <c r="P569" s="1"/>
      <c r="Q569" s="1"/>
      <c r="R569" s="1"/>
      <c r="S569" s="1"/>
      <c r="T569" s="1"/>
      <c r="U569" s="1"/>
      <c r="V569" s="1"/>
      <c r="W569" s="1"/>
      <c r="X569" s="1"/>
    </row>
    <row r="570" ht="15.75" customHeight="1">
      <c r="A570" s="1"/>
      <c r="B570" s="73" t="str">
        <f>IFERROR(__xludf.DUMMYFUNCTION("""COMPUTED_VALUE"""),"1-5")</f>
        <v>1-5</v>
      </c>
      <c r="C570" s="1"/>
      <c r="D570" s="73" t="str">
        <f>IFERROR(__xludf.DUMMYFUNCTION("""COMPUTED_VALUE"""),"6-10")</f>
        <v>6-10</v>
      </c>
      <c r="E570" s="1"/>
      <c r="F570" s="73" t="str">
        <f>IFERROR(__xludf.DUMMYFUNCTION("""COMPUTED_VALUE"""),"11-15")</f>
        <v>11-15</v>
      </c>
      <c r="G570" s="1"/>
      <c r="H570" s="73" t="str">
        <f>IFERROR(__xludf.DUMMYFUNCTION("""COMPUTED_VALUE"""),"16-20")</f>
        <v>16-20</v>
      </c>
      <c r="I570" s="1"/>
      <c r="J570" s="73" t="str">
        <f>IFERROR(__xludf.DUMMYFUNCTION("""COMPUTED_VALUE"""),"21-25")</f>
        <v>21-25</v>
      </c>
      <c r="K570" s="1"/>
      <c r="L570" s="1"/>
      <c r="M570" s="1"/>
      <c r="N570" s="1"/>
      <c r="O570" s="1"/>
      <c r="P570" s="1"/>
      <c r="Q570" s="1"/>
      <c r="R570" s="1"/>
      <c r="S570" s="1"/>
      <c r="T570" s="1"/>
      <c r="U570" s="1"/>
      <c r="V570" s="1"/>
      <c r="W570" s="1"/>
      <c r="X570" s="1"/>
    </row>
    <row r="571" ht="15.75" customHeight="1">
      <c r="A571" s="1"/>
      <c r="B571" s="73" t="str">
        <f>IFERROR(__xludf.DUMMYFUNCTION("""COMPUTED_VALUE"""),"1-5")</f>
        <v>1-5</v>
      </c>
      <c r="C571" s="1"/>
      <c r="D571" s="73" t="str">
        <f>IFERROR(__xludf.DUMMYFUNCTION("""COMPUTED_VALUE"""),"6-10")</f>
        <v>6-10</v>
      </c>
      <c r="E571" s="1"/>
      <c r="F571" s="73" t="str">
        <f>IFERROR(__xludf.DUMMYFUNCTION("""COMPUTED_VALUE"""),"11-15")</f>
        <v>11-15</v>
      </c>
      <c r="G571" s="1"/>
      <c r="H571" s="73" t="str">
        <f>IFERROR(__xludf.DUMMYFUNCTION("""COMPUTED_VALUE"""),"16-20")</f>
        <v>16-20</v>
      </c>
      <c r="I571" s="1"/>
      <c r="J571" s="73" t="str">
        <f>IFERROR(__xludf.DUMMYFUNCTION("""COMPUTED_VALUE"""),"21-25")</f>
        <v>21-25</v>
      </c>
      <c r="K571" s="1"/>
      <c r="L571" s="1"/>
      <c r="M571" s="1"/>
      <c r="N571" s="1"/>
      <c r="O571" s="1"/>
      <c r="P571" s="1"/>
      <c r="Q571" s="1"/>
      <c r="R571" s="1"/>
      <c r="S571" s="1"/>
      <c r="T571" s="1"/>
      <c r="U571" s="1"/>
      <c r="V571" s="1"/>
      <c r="W571" s="1"/>
      <c r="X571" s="1"/>
    </row>
    <row r="572" ht="15.75" customHeight="1">
      <c r="A572" s="1"/>
      <c r="B572" s="73" t="str">
        <f>IFERROR(__xludf.DUMMYFUNCTION("""COMPUTED_VALUE"""),"1-5")</f>
        <v>1-5</v>
      </c>
      <c r="C572" s="1"/>
      <c r="D572" s="73" t="str">
        <f>IFERROR(__xludf.DUMMYFUNCTION("""COMPUTED_VALUE"""),"6-10")</f>
        <v>6-10</v>
      </c>
      <c r="E572" s="1"/>
      <c r="F572" s="73" t="str">
        <f>IFERROR(__xludf.DUMMYFUNCTION("""COMPUTED_VALUE"""),"11-15")</f>
        <v>11-15</v>
      </c>
      <c r="G572" s="1"/>
      <c r="H572" s="73" t="str">
        <f>IFERROR(__xludf.DUMMYFUNCTION("""COMPUTED_VALUE"""),"16-20")</f>
        <v>16-20</v>
      </c>
      <c r="I572" s="1"/>
      <c r="J572" s="73" t="str">
        <f>IFERROR(__xludf.DUMMYFUNCTION("""COMPUTED_VALUE"""),"21-25")</f>
        <v>21-25</v>
      </c>
      <c r="K572" s="1"/>
      <c r="L572" s="1"/>
      <c r="M572" s="1"/>
      <c r="N572" s="1"/>
      <c r="O572" s="1"/>
      <c r="P572" s="1"/>
      <c r="Q572" s="1"/>
      <c r="R572" s="1"/>
      <c r="S572" s="1"/>
      <c r="T572" s="1"/>
      <c r="U572" s="1"/>
      <c r="V572" s="1"/>
      <c r="W572" s="1"/>
      <c r="X572" s="1"/>
    </row>
    <row r="573" ht="15.75" customHeight="1">
      <c r="A573" s="1"/>
      <c r="B573" s="73" t="str">
        <f>IFERROR(__xludf.DUMMYFUNCTION("""COMPUTED_VALUE"""),"1-5")</f>
        <v>1-5</v>
      </c>
      <c r="C573" s="1"/>
      <c r="D573" s="73" t="str">
        <f>IFERROR(__xludf.DUMMYFUNCTION("""COMPUTED_VALUE"""),"6-10")</f>
        <v>6-10</v>
      </c>
      <c r="E573" s="1"/>
      <c r="F573" s="73" t="str">
        <f>IFERROR(__xludf.DUMMYFUNCTION("""COMPUTED_VALUE"""),"11-15")</f>
        <v>11-15</v>
      </c>
      <c r="G573" s="1"/>
      <c r="H573" s="73" t="str">
        <f>IFERROR(__xludf.DUMMYFUNCTION("""COMPUTED_VALUE"""),"16-20")</f>
        <v>16-20</v>
      </c>
      <c r="I573" s="1"/>
      <c r="J573" s="73" t="str">
        <f>IFERROR(__xludf.DUMMYFUNCTION("""COMPUTED_VALUE"""),"21-25")</f>
        <v>21-25</v>
      </c>
      <c r="K573" s="1"/>
      <c r="L573" s="1"/>
      <c r="M573" s="1"/>
      <c r="N573" s="1"/>
      <c r="O573" s="1"/>
      <c r="P573" s="1"/>
      <c r="Q573" s="1"/>
      <c r="R573" s="1"/>
      <c r="S573" s="1"/>
      <c r="T573" s="1"/>
      <c r="U573" s="1"/>
      <c r="V573" s="1"/>
      <c r="W573" s="1"/>
      <c r="X573" s="1"/>
    </row>
    <row r="574" ht="15.75" customHeight="1">
      <c r="A574" s="1"/>
      <c r="B574" s="73" t="str">
        <f>IFERROR(__xludf.DUMMYFUNCTION("""COMPUTED_VALUE"""),"1-5")</f>
        <v>1-5</v>
      </c>
      <c r="C574" s="1"/>
      <c r="D574" s="73" t="str">
        <f>IFERROR(__xludf.DUMMYFUNCTION("""COMPUTED_VALUE"""),"6-10")</f>
        <v>6-10</v>
      </c>
      <c r="E574" s="1"/>
      <c r="F574" s="73" t="str">
        <f>IFERROR(__xludf.DUMMYFUNCTION("""COMPUTED_VALUE"""),"11-15")</f>
        <v>11-15</v>
      </c>
      <c r="G574" s="1"/>
      <c r="H574" s="73" t="str">
        <f>IFERROR(__xludf.DUMMYFUNCTION("""COMPUTED_VALUE"""),"16-20")</f>
        <v>16-20</v>
      </c>
      <c r="I574" s="1"/>
      <c r="J574" s="73" t="str">
        <f>IFERROR(__xludf.DUMMYFUNCTION("""COMPUTED_VALUE"""),"21-25")</f>
        <v>21-25</v>
      </c>
      <c r="K574" s="1"/>
      <c r="L574" s="1"/>
      <c r="M574" s="1"/>
      <c r="N574" s="1"/>
      <c r="O574" s="1"/>
      <c r="P574" s="1"/>
      <c r="Q574" s="1"/>
      <c r="R574" s="1"/>
      <c r="S574" s="1"/>
      <c r="T574" s="1"/>
      <c r="U574" s="1"/>
      <c r="V574" s="1"/>
      <c r="W574" s="1"/>
      <c r="X574" s="1"/>
    </row>
    <row r="575" ht="15.75" customHeight="1">
      <c r="A575" s="1"/>
      <c r="B575" s="73" t="str">
        <f>IFERROR(__xludf.DUMMYFUNCTION("""COMPUTED_VALUE"""),"1-5")</f>
        <v>1-5</v>
      </c>
      <c r="C575" s="1"/>
      <c r="D575" s="73" t="str">
        <f>IFERROR(__xludf.DUMMYFUNCTION("""COMPUTED_VALUE"""),"6-10")</f>
        <v>6-10</v>
      </c>
      <c r="E575" s="1"/>
      <c r="F575" s="73" t="str">
        <f>IFERROR(__xludf.DUMMYFUNCTION("""COMPUTED_VALUE"""),"11-15")</f>
        <v>11-15</v>
      </c>
      <c r="G575" s="1"/>
      <c r="H575" s="73" t="str">
        <f>IFERROR(__xludf.DUMMYFUNCTION("""COMPUTED_VALUE"""),"16-20")</f>
        <v>16-20</v>
      </c>
      <c r="I575" s="1"/>
      <c r="J575" s="73" t="str">
        <f>IFERROR(__xludf.DUMMYFUNCTION("""COMPUTED_VALUE"""),"21-25")</f>
        <v>21-25</v>
      </c>
      <c r="K575" s="1"/>
      <c r="L575" s="1"/>
      <c r="M575" s="1"/>
      <c r="N575" s="1"/>
      <c r="O575" s="1"/>
      <c r="P575" s="1"/>
      <c r="Q575" s="1"/>
      <c r="R575" s="1"/>
      <c r="S575" s="1"/>
      <c r="T575" s="1"/>
      <c r="U575" s="1"/>
      <c r="V575" s="1"/>
      <c r="W575" s="1"/>
      <c r="X575" s="1"/>
    </row>
    <row r="576" ht="15.75" customHeight="1">
      <c r="A576" s="1"/>
      <c r="B576" s="73" t="str">
        <f>IFERROR(__xludf.DUMMYFUNCTION("""COMPUTED_VALUE"""),"1-5")</f>
        <v>1-5</v>
      </c>
      <c r="C576" s="1"/>
      <c r="D576" s="73" t="str">
        <f>IFERROR(__xludf.DUMMYFUNCTION("""COMPUTED_VALUE"""),"6-10")</f>
        <v>6-10</v>
      </c>
      <c r="E576" s="1"/>
      <c r="F576" s="73" t="str">
        <f>IFERROR(__xludf.DUMMYFUNCTION("""COMPUTED_VALUE"""),"11-15")</f>
        <v>11-15</v>
      </c>
      <c r="G576" s="1"/>
      <c r="H576" s="73" t="str">
        <f>IFERROR(__xludf.DUMMYFUNCTION("""COMPUTED_VALUE"""),"16-20")</f>
        <v>16-20</v>
      </c>
      <c r="I576" s="1"/>
      <c r="J576" s="73" t="str">
        <f>IFERROR(__xludf.DUMMYFUNCTION("""COMPUTED_VALUE"""),"21-25")</f>
        <v>21-25</v>
      </c>
      <c r="K576" s="1"/>
      <c r="L576" s="1"/>
      <c r="M576" s="1"/>
      <c r="N576" s="1"/>
      <c r="O576" s="1"/>
      <c r="P576" s="1"/>
      <c r="Q576" s="1"/>
      <c r="R576" s="1"/>
      <c r="S576" s="1"/>
      <c r="T576" s="1"/>
      <c r="U576" s="1"/>
      <c r="V576" s="1"/>
      <c r="W576" s="1"/>
      <c r="X576" s="1"/>
    </row>
    <row r="577" ht="15.75" customHeight="1">
      <c r="A577" s="1"/>
      <c r="B577" s="73" t="str">
        <f>IFERROR(__xludf.DUMMYFUNCTION("""COMPUTED_VALUE"""),"1-5")</f>
        <v>1-5</v>
      </c>
      <c r="C577" s="1"/>
      <c r="D577" s="73" t="str">
        <f>IFERROR(__xludf.DUMMYFUNCTION("""COMPUTED_VALUE"""),"6-10")</f>
        <v>6-10</v>
      </c>
      <c r="E577" s="1"/>
      <c r="F577" s="73" t="str">
        <f>IFERROR(__xludf.DUMMYFUNCTION("""COMPUTED_VALUE"""),"11-15")</f>
        <v>11-15</v>
      </c>
      <c r="G577" s="1"/>
      <c r="H577" s="73" t="str">
        <f>IFERROR(__xludf.DUMMYFUNCTION("""COMPUTED_VALUE"""),"16-20")</f>
        <v>16-20</v>
      </c>
      <c r="I577" s="1"/>
      <c r="J577" s="73" t="str">
        <f>IFERROR(__xludf.DUMMYFUNCTION("""COMPUTED_VALUE"""),"21-25")</f>
        <v>21-25</v>
      </c>
      <c r="K577" s="1"/>
      <c r="L577" s="1"/>
      <c r="M577" s="1"/>
      <c r="N577" s="1"/>
      <c r="O577" s="1"/>
      <c r="P577" s="1"/>
      <c r="Q577" s="1"/>
      <c r="R577" s="1"/>
      <c r="S577" s="1"/>
      <c r="T577" s="1"/>
      <c r="U577" s="1"/>
      <c r="V577" s="1"/>
      <c r="W577" s="1"/>
      <c r="X577" s="1"/>
    </row>
    <row r="578" ht="15.75" customHeight="1">
      <c r="A578" s="1"/>
      <c r="B578" s="73" t="str">
        <f>IFERROR(__xludf.DUMMYFUNCTION("""COMPUTED_VALUE"""),"1-5")</f>
        <v>1-5</v>
      </c>
      <c r="C578" s="1"/>
      <c r="D578" s="73" t="str">
        <f>IFERROR(__xludf.DUMMYFUNCTION("""COMPUTED_VALUE"""),"6-10")</f>
        <v>6-10</v>
      </c>
      <c r="E578" s="1"/>
      <c r="F578" s="73" t="str">
        <f>IFERROR(__xludf.DUMMYFUNCTION("""COMPUTED_VALUE"""),"11-15")</f>
        <v>11-15</v>
      </c>
      <c r="G578" s="1"/>
      <c r="H578" s="73" t="str">
        <f>IFERROR(__xludf.DUMMYFUNCTION("""COMPUTED_VALUE"""),"16-20")</f>
        <v>16-20</v>
      </c>
      <c r="I578" s="1"/>
      <c r="J578" s="73" t="str">
        <f>IFERROR(__xludf.DUMMYFUNCTION("""COMPUTED_VALUE"""),"21-25")</f>
        <v>21-25</v>
      </c>
      <c r="K578" s="1"/>
      <c r="L578" s="1"/>
      <c r="M578" s="1"/>
      <c r="N578" s="1"/>
      <c r="O578" s="1"/>
      <c r="P578" s="1"/>
      <c r="Q578" s="1"/>
      <c r="R578" s="1"/>
      <c r="S578" s="1"/>
      <c r="T578" s="1"/>
      <c r="U578" s="1"/>
      <c r="V578" s="1"/>
      <c r="W578" s="1"/>
      <c r="X578" s="1"/>
    </row>
    <row r="579" ht="15.75" customHeight="1">
      <c r="A579" s="1"/>
      <c r="B579" s="73" t="str">
        <f>IFERROR(__xludf.DUMMYFUNCTION("""COMPUTED_VALUE"""),"1-5")</f>
        <v>1-5</v>
      </c>
      <c r="C579" s="1"/>
      <c r="D579" s="73" t="str">
        <f>IFERROR(__xludf.DUMMYFUNCTION("""COMPUTED_VALUE"""),"6-10")</f>
        <v>6-10</v>
      </c>
      <c r="E579" s="1"/>
      <c r="F579" s="73" t="str">
        <f>IFERROR(__xludf.DUMMYFUNCTION("""COMPUTED_VALUE"""),"11-15")</f>
        <v>11-15</v>
      </c>
      <c r="G579" s="1"/>
      <c r="H579" s="73" t="str">
        <f>IFERROR(__xludf.DUMMYFUNCTION("""COMPUTED_VALUE"""),"16-20")</f>
        <v>16-20</v>
      </c>
      <c r="I579" s="1"/>
      <c r="J579" s="73" t="str">
        <f>IFERROR(__xludf.DUMMYFUNCTION("""COMPUTED_VALUE"""),"21-25")</f>
        <v>21-25</v>
      </c>
      <c r="K579" s="1"/>
      <c r="L579" s="1"/>
      <c r="M579" s="1"/>
      <c r="N579" s="1"/>
      <c r="O579" s="1"/>
      <c r="P579" s="1"/>
      <c r="Q579" s="1"/>
      <c r="R579" s="1"/>
      <c r="S579" s="1"/>
      <c r="T579" s="1"/>
      <c r="U579" s="1"/>
      <c r="V579" s="1"/>
      <c r="W579" s="1"/>
      <c r="X579" s="1"/>
    </row>
    <row r="580" ht="15.75" customHeight="1">
      <c r="A580" s="1"/>
      <c r="B580" s="73" t="str">
        <f>IFERROR(__xludf.DUMMYFUNCTION("""COMPUTED_VALUE"""),"1-5")</f>
        <v>1-5</v>
      </c>
      <c r="C580" s="1"/>
      <c r="D580" s="73" t="str">
        <f>IFERROR(__xludf.DUMMYFUNCTION("""COMPUTED_VALUE"""),"6-10")</f>
        <v>6-10</v>
      </c>
      <c r="E580" s="1"/>
      <c r="F580" s="73" t="str">
        <f>IFERROR(__xludf.DUMMYFUNCTION("""COMPUTED_VALUE"""),"11-15")</f>
        <v>11-15</v>
      </c>
      <c r="G580" s="1"/>
      <c r="H580" s="73" t="str">
        <f>IFERROR(__xludf.DUMMYFUNCTION("""COMPUTED_VALUE"""),"16-20")</f>
        <v>16-20</v>
      </c>
      <c r="I580" s="1"/>
      <c r="J580" s="73" t="str">
        <f>IFERROR(__xludf.DUMMYFUNCTION("""COMPUTED_VALUE"""),"21-25")</f>
        <v>21-25</v>
      </c>
      <c r="K580" s="1"/>
      <c r="L580" s="1"/>
      <c r="M580" s="1"/>
      <c r="N580" s="1"/>
      <c r="O580" s="1"/>
      <c r="P580" s="1"/>
      <c r="Q580" s="1"/>
      <c r="R580" s="1"/>
      <c r="S580" s="1"/>
      <c r="T580" s="1"/>
      <c r="U580" s="1"/>
      <c r="V580" s="1"/>
      <c r="W580" s="1"/>
      <c r="X580" s="1"/>
    </row>
    <row r="581" ht="15.75" customHeight="1">
      <c r="A581" s="1"/>
      <c r="B581" s="73" t="str">
        <f>IFERROR(__xludf.DUMMYFUNCTION("""COMPUTED_VALUE"""),"1-5")</f>
        <v>1-5</v>
      </c>
      <c r="C581" s="1"/>
      <c r="D581" s="73" t="str">
        <f>IFERROR(__xludf.DUMMYFUNCTION("""COMPUTED_VALUE"""),"6-10")</f>
        <v>6-10</v>
      </c>
      <c r="E581" s="1"/>
      <c r="F581" s="73" t="str">
        <f>IFERROR(__xludf.DUMMYFUNCTION("""COMPUTED_VALUE"""),"11-15")</f>
        <v>11-15</v>
      </c>
      <c r="G581" s="1"/>
      <c r="H581" s="73" t="str">
        <f>IFERROR(__xludf.DUMMYFUNCTION("""COMPUTED_VALUE"""),"16-20")</f>
        <v>16-20</v>
      </c>
      <c r="I581" s="1"/>
      <c r="J581" s="73" t="str">
        <f>IFERROR(__xludf.DUMMYFUNCTION("""COMPUTED_VALUE"""),"21-25")</f>
        <v>21-25</v>
      </c>
      <c r="K581" s="1"/>
      <c r="L581" s="1"/>
      <c r="M581" s="1"/>
      <c r="N581" s="1"/>
      <c r="O581" s="1"/>
      <c r="P581" s="1"/>
      <c r="Q581" s="1"/>
      <c r="R581" s="1"/>
      <c r="S581" s="1"/>
      <c r="T581" s="1"/>
      <c r="U581" s="1"/>
      <c r="V581" s="1"/>
      <c r="W581" s="1"/>
      <c r="X581" s="1"/>
    </row>
    <row r="582" ht="15.75" customHeight="1">
      <c r="A582" s="1"/>
      <c r="B582" s="73" t="str">
        <f>IFERROR(__xludf.DUMMYFUNCTION("""COMPUTED_VALUE"""),"1-5")</f>
        <v>1-5</v>
      </c>
      <c r="C582" s="1"/>
      <c r="D582" s="73" t="str">
        <f>IFERROR(__xludf.DUMMYFUNCTION("""COMPUTED_VALUE"""),"6-10")</f>
        <v>6-10</v>
      </c>
      <c r="E582" s="1"/>
      <c r="F582" s="73" t="str">
        <f>IFERROR(__xludf.DUMMYFUNCTION("""COMPUTED_VALUE"""),"11-15")</f>
        <v>11-15</v>
      </c>
      <c r="G582" s="1"/>
      <c r="H582" s="73" t="str">
        <f>IFERROR(__xludf.DUMMYFUNCTION("""COMPUTED_VALUE"""),"16-20")</f>
        <v>16-20</v>
      </c>
      <c r="I582" s="1"/>
      <c r="J582" s="73" t="str">
        <f>IFERROR(__xludf.DUMMYFUNCTION("""COMPUTED_VALUE"""),"21-25")</f>
        <v>21-25</v>
      </c>
      <c r="K582" s="1"/>
      <c r="L582" s="1"/>
      <c r="M582" s="1"/>
      <c r="N582" s="1"/>
      <c r="O582" s="1"/>
      <c r="P582" s="1"/>
      <c r="Q582" s="1"/>
      <c r="R582" s="1"/>
      <c r="S582" s="1"/>
      <c r="T582" s="1"/>
      <c r="U582" s="1"/>
      <c r="V582" s="1"/>
      <c r="W582" s="1"/>
      <c r="X582" s="1"/>
    </row>
    <row r="583" ht="15.75" customHeight="1">
      <c r="A583" s="1"/>
      <c r="B583" s="73" t="str">
        <f>IFERROR(__xludf.DUMMYFUNCTION("""COMPUTED_VALUE"""),"1-5")</f>
        <v>1-5</v>
      </c>
      <c r="C583" s="1"/>
      <c r="D583" s="73" t="str">
        <f>IFERROR(__xludf.DUMMYFUNCTION("""COMPUTED_VALUE"""),"6-10")</f>
        <v>6-10</v>
      </c>
      <c r="E583" s="1"/>
      <c r="F583" s="73" t="str">
        <f>IFERROR(__xludf.DUMMYFUNCTION("""COMPUTED_VALUE"""),"11-15")</f>
        <v>11-15</v>
      </c>
      <c r="G583" s="1"/>
      <c r="H583" s="73" t="str">
        <f>IFERROR(__xludf.DUMMYFUNCTION("""COMPUTED_VALUE"""),"16-20")</f>
        <v>16-20</v>
      </c>
      <c r="I583" s="1"/>
      <c r="J583" s="73" t="str">
        <f>IFERROR(__xludf.DUMMYFUNCTION("""COMPUTED_VALUE"""),"21-25")</f>
        <v>21-25</v>
      </c>
      <c r="K583" s="1"/>
      <c r="L583" s="1"/>
      <c r="M583" s="1"/>
      <c r="N583" s="1"/>
      <c r="O583" s="1"/>
      <c r="P583" s="1"/>
      <c r="Q583" s="1"/>
      <c r="R583" s="1"/>
      <c r="S583" s="1"/>
      <c r="T583" s="1"/>
      <c r="U583" s="1"/>
      <c r="V583" s="1"/>
      <c r="W583" s="1"/>
      <c r="X583" s="1"/>
    </row>
    <row r="584" ht="15.75" customHeight="1">
      <c r="A584" s="1"/>
      <c r="B584" s="73" t="str">
        <f>IFERROR(__xludf.DUMMYFUNCTION("""COMPUTED_VALUE"""),"1-5")</f>
        <v>1-5</v>
      </c>
      <c r="C584" s="1"/>
      <c r="D584" s="73" t="str">
        <f>IFERROR(__xludf.DUMMYFUNCTION("""COMPUTED_VALUE"""),"6-10")</f>
        <v>6-10</v>
      </c>
      <c r="E584" s="1"/>
      <c r="F584" s="73" t="str">
        <f>IFERROR(__xludf.DUMMYFUNCTION("""COMPUTED_VALUE"""),"11-15")</f>
        <v>11-15</v>
      </c>
      <c r="G584" s="1"/>
      <c r="H584" s="73" t="str">
        <f>IFERROR(__xludf.DUMMYFUNCTION("""COMPUTED_VALUE"""),"16-20")</f>
        <v>16-20</v>
      </c>
      <c r="I584" s="1"/>
      <c r="J584" s="73" t="str">
        <f>IFERROR(__xludf.DUMMYFUNCTION("""COMPUTED_VALUE"""),"21-25")</f>
        <v>21-25</v>
      </c>
      <c r="K584" s="1"/>
      <c r="L584" s="1"/>
      <c r="M584" s="1"/>
      <c r="N584" s="1"/>
      <c r="O584" s="1"/>
      <c r="P584" s="1"/>
      <c r="Q584" s="1"/>
      <c r="R584" s="1"/>
      <c r="S584" s="1"/>
      <c r="T584" s="1"/>
      <c r="U584" s="1"/>
      <c r="V584" s="1"/>
      <c r="W584" s="1"/>
      <c r="X584" s="1"/>
    </row>
    <row r="585" ht="15.75" customHeight="1">
      <c r="A585" s="1"/>
      <c r="B585" s="73" t="str">
        <f>IFERROR(__xludf.DUMMYFUNCTION("""COMPUTED_VALUE"""),"1-5")</f>
        <v>1-5</v>
      </c>
      <c r="C585" s="1"/>
      <c r="D585" s="73" t="str">
        <f>IFERROR(__xludf.DUMMYFUNCTION("""COMPUTED_VALUE"""),"6-10")</f>
        <v>6-10</v>
      </c>
      <c r="E585" s="1"/>
      <c r="F585" s="73" t="str">
        <f>IFERROR(__xludf.DUMMYFUNCTION("""COMPUTED_VALUE"""),"11-15")</f>
        <v>11-15</v>
      </c>
      <c r="G585" s="1"/>
      <c r="H585" s="73" t="str">
        <f>IFERROR(__xludf.DUMMYFUNCTION("""COMPUTED_VALUE"""),"16-20")</f>
        <v>16-20</v>
      </c>
      <c r="I585" s="1"/>
      <c r="J585" s="73" t="str">
        <f>IFERROR(__xludf.DUMMYFUNCTION("""COMPUTED_VALUE"""),"21-25")</f>
        <v>21-25</v>
      </c>
      <c r="K585" s="1"/>
      <c r="L585" s="1"/>
      <c r="M585" s="1"/>
      <c r="N585" s="1"/>
      <c r="O585" s="1"/>
      <c r="P585" s="1"/>
      <c r="Q585" s="1"/>
      <c r="R585" s="1"/>
      <c r="S585" s="1"/>
      <c r="T585" s="1"/>
      <c r="U585" s="1"/>
      <c r="V585" s="1"/>
      <c r="W585" s="1"/>
      <c r="X585" s="1"/>
    </row>
    <row r="586" ht="15.75" customHeight="1">
      <c r="A586" s="1"/>
      <c r="B586" s="73" t="str">
        <f>IFERROR(__xludf.DUMMYFUNCTION("""COMPUTED_VALUE"""),"1-5")</f>
        <v>1-5</v>
      </c>
      <c r="C586" s="1"/>
      <c r="D586" s="73" t="str">
        <f>IFERROR(__xludf.DUMMYFUNCTION("""COMPUTED_VALUE"""),"6-10")</f>
        <v>6-10</v>
      </c>
      <c r="E586" s="1"/>
      <c r="F586" s="73" t="str">
        <f>IFERROR(__xludf.DUMMYFUNCTION("""COMPUTED_VALUE"""),"11-15")</f>
        <v>11-15</v>
      </c>
      <c r="G586" s="1"/>
      <c r="H586" s="73" t="str">
        <f>IFERROR(__xludf.DUMMYFUNCTION("""COMPUTED_VALUE"""),"16-20")</f>
        <v>16-20</v>
      </c>
      <c r="I586" s="1"/>
      <c r="J586" s="73" t="str">
        <f>IFERROR(__xludf.DUMMYFUNCTION("""COMPUTED_VALUE"""),"21-25")</f>
        <v>21-25</v>
      </c>
      <c r="K586" s="1"/>
      <c r="L586" s="1"/>
      <c r="M586" s="1"/>
      <c r="N586" s="1"/>
      <c r="O586" s="1"/>
      <c r="P586" s="1"/>
      <c r="Q586" s="1"/>
      <c r="R586" s="1"/>
      <c r="S586" s="1"/>
      <c r="T586" s="1"/>
      <c r="U586" s="1"/>
      <c r="V586" s="1"/>
      <c r="W586" s="1"/>
      <c r="X586" s="1"/>
    </row>
    <row r="587" ht="15.75" customHeight="1">
      <c r="A587" s="1"/>
      <c r="B587" s="73" t="str">
        <f>IFERROR(__xludf.DUMMYFUNCTION("""COMPUTED_VALUE"""),"1-5")</f>
        <v>1-5</v>
      </c>
      <c r="C587" s="1"/>
      <c r="D587" s="73" t="str">
        <f>IFERROR(__xludf.DUMMYFUNCTION("""COMPUTED_VALUE"""),"6-10")</f>
        <v>6-10</v>
      </c>
      <c r="E587" s="1"/>
      <c r="F587" s="73" t="str">
        <f>IFERROR(__xludf.DUMMYFUNCTION("""COMPUTED_VALUE"""),"11-15")</f>
        <v>11-15</v>
      </c>
      <c r="G587" s="1"/>
      <c r="H587" s="73" t="str">
        <f>IFERROR(__xludf.DUMMYFUNCTION("""COMPUTED_VALUE"""),"16-20")</f>
        <v>16-20</v>
      </c>
      <c r="I587" s="1"/>
      <c r="J587" s="73" t="str">
        <f>IFERROR(__xludf.DUMMYFUNCTION("""COMPUTED_VALUE"""),"21-25")</f>
        <v>21-25</v>
      </c>
      <c r="K587" s="1"/>
      <c r="L587" s="1"/>
      <c r="M587" s="1"/>
      <c r="N587" s="1"/>
      <c r="O587" s="1"/>
      <c r="P587" s="1"/>
      <c r="Q587" s="1"/>
      <c r="R587" s="1"/>
      <c r="S587" s="1"/>
      <c r="T587" s="1"/>
      <c r="U587" s="1"/>
      <c r="V587" s="1"/>
      <c r="W587" s="1"/>
      <c r="X587" s="1"/>
    </row>
    <row r="588" ht="15.75" customHeight="1">
      <c r="A588" s="1"/>
      <c r="B588" s="73" t="str">
        <f>IFERROR(__xludf.DUMMYFUNCTION("""COMPUTED_VALUE"""),"1-5")</f>
        <v>1-5</v>
      </c>
      <c r="C588" s="1"/>
      <c r="D588" s="73" t="str">
        <f>IFERROR(__xludf.DUMMYFUNCTION("""COMPUTED_VALUE"""),"6-10")</f>
        <v>6-10</v>
      </c>
      <c r="E588" s="1"/>
      <c r="F588" s="73" t="str">
        <f>IFERROR(__xludf.DUMMYFUNCTION("""COMPUTED_VALUE"""),"11-15")</f>
        <v>11-15</v>
      </c>
      <c r="G588" s="1"/>
      <c r="H588" s="73" t="str">
        <f>IFERROR(__xludf.DUMMYFUNCTION("""COMPUTED_VALUE"""),"16-20")</f>
        <v>16-20</v>
      </c>
      <c r="I588" s="1"/>
      <c r="J588" s="73" t="str">
        <f>IFERROR(__xludf.DUMMYFUNCTION("""COMPUTED_VALUE"""),"21-25")</f>
        <v>21-25</v>
      </c>
      <c r="K588" s="1"/>
      <c r="L588" s="1"/>
      <c r="M588" s="1"/>
      <c r="N588" s="1"/>
      <c r="O588" s="1"/>
      <c r="P588" s="1"/>
      <c r="Q588" s="1"/>
      <c r="R588" s="1"/>
      <c r="S588" s="1"/>
      <c r="T588" s="1"/>
      <c r="U588" s="1"/>
      <c r="V588" s="1"/>
      <c r="W588" s="1"/>
      <c r="X588" s="1"/>
    </row>
    <row r="589" ht="15.75" customHeight="1">
      <c r="A589" s="1"/>
      <c r="B589" s="73" t="str">
        <f>IFERROR(__xludf.DUMMYFUNCTION("""COMPUTED_VALUE"""),"1-5")</f>
        <v>1-5</v>
      </c>
      <c r="C589" s="1"/>
      <c r="D589" s="73" t="str">
        <f>IFERROR(__xludf.DUMMYFUNCTION("""COMPUTED_VALUE"""),"6-10")</f>
        <v>6-10</v>
      </c>
      <c r="E589" s="1"/>
      <c r="F589" s="73" t="str">
        <f>IFERROR(__xludf.DUMMYFUNCTION("""COMPUTED_VALUE"""),"11-15")</f>
        <v>11-15</v>
      </c>
      <c r="G589" s="1"/>
      <c r="H589" s="73" t="str">
        <f>IFERROR(__xludf.DUMMYFUNCTION("""COMPUTED_VALUE"""),"16-20")</f>
        <v>16-20</v>
      </c>
      <c r="I589" s="1"/>
      <c r="J589" s="73" t="str">
        <f>IFERROR(__xludf.DUMMYFUNCTION("""COMPUTED_VALUE"""),"21-25")</f>
        <v>21-25</v>
      </c>
      <c r="K589" s="1"/>
      <c r="L589" s="1"/>
      <c r="M589" s="1"/>
      <c r="N589" s="1"/>
      <c r="O589" s="1"/>
      <c r="P589" s="1"/>
      <c r="Q589" s="1"/>
      <c r="R589" s="1"/>
      <c r="S589" s="1"/>
      <c r="T589" s="1"/>
      <c r="U589" s="1"/>
      <c r="V589" s="1"/>
      <c r="W589" s="1"/>
      <c r="X589" s="1"/>
    </row>
    <row r="590" ht="15.75" customHeight="1">
      <c r="A590" s="1"/>
      <c r="B590" s="73" t="str">
        <f>IFERROR(__xludf.DUMMYFUNCTION("""COMPUTED_VALUE"""),"1-5")</f>
        <v>1-5</v>
      </c>
      <c r="C590" s="1"/>
      <c r="D590" s="73" t="str">
        <f>IFERROR(__xludf.DUMMYFUNCTION("""COMPUTED_VALUE"""),"6-10")</f>
        <v>6-10</v>
      </c>
      <c r="E590" s="1"/>
      <c r="F590" s="73" t="str">
        <f>IFERROR(__xludf.DUMMYFUNCTION("""COMPUTED_VALUE"""),"11-15")</f>
        <v>11-15</v>
      </c>
      <c r="G590" s="1"/>
      <c r="H590" s="73" t="str">
        <f>IFERROR(__xludf.DUMMYFUNCTION("""COMPUTED_VALUE"""),"16-20")</f>
        <v>16-20</v>
      </c>
      <c r="I590" s="1"/>
      <c r="J590" s="73" t="str">
        <f>IFERROR(__xludf.DUMMYFUNCTION("""COMPUTED_VALUE"""),"21-25")</f>
        <v>21-25</v>
      </c>
      <c r="K590" s="1"/>
      <c r="L590" s="1"/>
      <c r="M590" s="1"/>
      <c r="N590" s="1"/>
      <c r="O590" s="1"/>
      <c r="P590" s="1"/>
      <c r="Q590" s="1"/>
      <c r="R590" s="1"/>
      <c r="S590" s="1"/>
      <c r="T590" s="1"/>
      <c r="U590" s="1"/>
      <c r="V590" s="1"/>
      <c r="W590" s="1"/>
      <c r="X590" s="1"/>
    </row>
    <row r="591" ht="15.75" customHeight="1">
      <c r="A591" s="1"/>
      <c r="B591" s="73" t="str">
        <f>IFERROR(__xludf.DUMMYFUNCTION("""COMPUTED_VALUE"""),"1-5")</f>
        <v>1-5</v>
      </c>
      <c r="C591" s="1"/>
      <c r="D591" s="73" t="str">
        <f>IFERROR(__xludf.DUMMYFUNCTION("""COMPUTED_VALUE"""),"6-10")</f>
        <v>6-10</v>
      </c>
      <c r="E591" s="1"/>
      <c r="F591" s="73" t="str">
        <f>IFERROR(__xludf.DUMMYFUNCTION("""COMPUTED_VALUE"""),"11-15")</f>
        <v>11-15</v>
      </c>
      <c r="G591" s="1"/>
      <c r="H591" s="73" t="str">
        <f>IFERROR(__xludf.DUMMYFUNCTION("""COMPUTED_VALUE"""),"16-20")</f>
        <v>16-20</v>
      </c>
      <c r="I591" s="1"/>
      <c r="J591" s="73" t="str">
        <f>IFERROR(__xludf.DUMMYFUNCTION("""COMPUTED_VALUE"""),"21-25")</f>
        <v>21-25</v>
      </c>
      <c r="K591" s="1"/>
      <c r="L591" s="1"/>
      <c r="M591" s="1"/>
      <c r="N591" s="1"/>
      <c r="O591" s="1"/>
      <c r="P591" s="1"/>
      <c r="Q591" s="1"/>
      <c r="R591" s="1"/>
      <c r="S591" s="1"/>
      <c r="T591" s="1"/>
      <c r="U591" s="1"/>
      <c r="V591" s="1"/>
      <c r="W591" s="1"/>
      <c r="X591" s="1"/>
    </row>
    <row r="592" ht="15.75" customHeight="1">
      <c r="A592" s="1"/>
      <c r="B592" s="73" t="str">
        <f>IFERROR(__xludf.DUMMYFUNCTION("""COMPUTED_VALUE"""),"1-5")</f>
        <v>1-5</v>
      </c>
      <c r="C592" s="1"/>
      <c r="D592" s="73" t="str">
        <f>IFERROR(__xludf.DUMMYFUNCTION("""COMPUTED_VALUE"""),"6-10")</f>
        <v>6-10</v>
      </c>
      <c r="E592" s="1"/>
      <c r="F592" s="73" t="str">
        <f>IFERROR(__xludf.DUMMYFUNCTION("""COMPUTED_VALUE"""),"11-15")</f>
        <v>11-15</v>
      </c>
      <c r="G592" s="1"/>
      <c r="H592" s="73" t="str">
        <f>IFERROR(__xludf.DUMMYFUNCTION("""COMPUTED_VALUE"""),"16-20")</f>
        <v>16-20</v>
      </c>
      <c r="I592" s="1"/>
      <c r="J592" s="73" t="str">
        <f>IFERROR(__xludf.DUMMYFUNCTION("""COMPUTED_VALUE"""),"21-25")</f>
        <v>21-25</v>
      </c>
      <c r="K592" s="1"/>
      <c r="L592" s="1"/>
      <c r="M592" s="1"/>
      <c r="N592" s="1"/>
      <c r="O592" s="1"/>
      <c r="P592" s="1"/>
      <c r="Q592" s="1"/>
      <c r="R592" s="1"/>
      <c r="S592" s="1"/>
      <c r="T592" s="1"/>
      <c r="U592" s="1"/>
      <c r="V592" s="1"/>
      <c r="W592" s="1"/>
      <c r="X592" s="1"/>
    </row>
    <row r="593" ht="15.75" customHeight="1">
      <c r="A593" s="1"/>
      <c r="B593" s="73" t="str">
        <f>IFERROR(__xludf.DUMMYFUNCTION("""COMPUTED_VALUE"""),"1-5")</f>
        <v>1-5</v>
      </c>
      <c r="C593" s="1"/>
      <c r="D593" s="73" t="str">
        <f>IFERROR(__xludf.DUMMYFUNCTION("""COMPUTED_VALUE"""),"6-10")</f>
        <v>6-10</v>
      </c>
      <c r="E593" s="1"/>
      <c r="F593" s="73" t="str">
        <f>IFERROR(__xludf.DUMMYFUNCTION("""COMPUTED_VALUE"""),"11-15")</f>
        <v>11-15</v>
      </c>
      <c r="G593" s="1"/>
      <c r="H593" s="73" t="str">
        <f>IFERROR(__xludf.DUMMYFUNCTION("""COMPUTED_VALUE"""),"16-20")</f>
        <v>16-20</v>
      </c>
      <c r="I593" s="1"/>
      <c r="J593" s="73" t="str">
        <f>IFERROR(__xludf.DUMMYFUNCTION("""COMPUTED_VALUE"""),"21-25")</f>
        <v>21-25</v>
      </c>
      <c r="K593" s="1"/>
      <c r="L593" s="1"/>
      <c r="M593" s="1"/>
      <c r="N593" s="1"/>
      <c r="O593" s="1"/>
      <c r="P593" s="1"/>
      <c r="Q593" s="1"/>
      <c r="R593" s="1"/>
      <c r="S593" s="1"/>
      <c r="T593" s="1"/>
      <c r="U593" s="1"/>
      <c r="V593" s="1"/>
      <c r="W593" s="1"/>
      <c r="X593" s="1"/>
    </row>
    <row r="594" ht="15.75" customHeight="1">
      <c r="A594" s="1"/>
      <c r="B594" s="73" t="str">
        <f>IFERROR(__xludf.DUMMYFUNCTION("""COMPUTED_VALUE"""),"1-5")</f>
        <v>1-5</v>
      </c>
      <c r="C594" s="1"/>
      <c r="D594" s="73" t="str">
        <f>IFERROR(__xludf.DUMMYFUNCTION("""COMPUTED_VALUE"""),"6-10")</f>
        <v>6-10</v>
      </c>
      <c r="E594" s="1"/>
      <c r="F594" s="73" t="str">
        <f>IFERROR(__xludf.DUMMYFUNCTION("""COMPUTED_VALUE"""),"11-15")</f>
        <v>11-15</v>
      </c>
      <c r="G594" s="1"/>
      <c r="H594" s="73" t="str">
        <f>IFERROR(__xludf.DUMMYFUNCTION("""COMPUTED_VALUE"""),"16-20")</f>
        <v>16-20</v>
      </c>
      <c r="I594" s="1"/>
      <c r="J594" s="73" t="str">
        <f>IFERROR(__xludf.DUMMYFUNCTION("""COMPUTED_VALUE"""),"21-25")</f>
        <v>21-25</v>
      </c>
      <c r="K594" s="1"/>
      <c r="L594" s="1"/>
      <c r="M594" s="1"/>
      <c r="N594" s="1"/>
      <c r="O594" s="1"/>
      <c r="P594" s="1"/>
      <c r="Q594" s="1"/>
      <c r="R594" s="1"/>
      <c r="S594" s="1"/>
      <c r="T594" s="1"/>
      <c r="U594" s="1"/>
      <c r="V594" s="1"/>
      <c r="W594" s="1"/>
      <c r="X594" s="1"/>
    </row>
    <row r="595" ht="15.75" customHeight="1">
      <c r="A595" s="1"/>
      <c r="B595" s="73" t="str">
        <f>IFERROR(__xludf.DUMMYFUNCTION("""COMPUTED_VALUE"""),"1-5")</f>
        <v>1-5</v>
      </c>
      <c r="C595" s="1"/>
      <c r="D595" s="73" t="str">
        <f>IFERROR(__xludf.DUMMYFUNCTION("""COMPUTED_VALUE"""),"6-10")</f>
        <v>6-10</v>
      </c>
      <c r="E595" s="1"/>
      <c r="F595" s="73" t="str">
        <f>IFERROR(__xludf.DUMMYFUNCTION("""COMPUTED_VALUE"""),"11-15")</f>
        <v>11-15</v>
      </c>
      <c r="G595" s="1"/>
      <c r="H595" s="73" t="str">
        <f>IFERROR(__xludf.DUMMYFUNCTION("""COMPUTED_VALUE"""),"16-20")</f>
        <v>16-20</v>
      </c>
      <c r="I595" s="1"/>
      <c r="J595" s="73" t="str">
        <f>IFERROR(__xludf.DUMMYFUNCTION("""COMPUTED_VALUE"""),"21-25")</f>
        <v>21-25</v>
      </c>
      <c r="K595" s="1"/>
      <c r="L595" s="1"/>
      <c r="M595" s="1"/>
      <c r="N595" s="1"/>
      <c r="O595" s="1"/>
      <c r="P595" s="1"/>
      <c r="Q595" s="1"/>
      <c r="R595" s="1"/>
      <c r="S595" s="1"/>
      <c r="T595" s="1"/>
      <c r="U595" s="1"/>
      <c r="V595" s="1"/>
      <c r="W595" s="1"/>
      <c r="X595" s="1"/>
    </row>
    <row r="596" ht="15.75" customHeight="1">
      <c r="A596" s="1"/>
      <c r="B596" s="73" t="str">
        <f>IFERROR(__xludf.DUMMYFUNCTION("""COMPUTED_VALUE"""),"1-5")</f>
        <v>1-5</v>
      </c>
      <c r="C596" s="1"/>
      <c r="D596" s="73" t="str">
        <f>IFERROR(__xludf.DUMMYFUNCTION("""COMPUTED_VALUE"""),"6-10")</f>
        <v>6-10</v>
      </c>
      <c r="E596" s="1"/>
      <c r="F596" s="73" t="str">
        <f>IFERROR(__xludf.DUMMYFUNCTION("""COMPUTED_VALUE"""),"11-15")</f>
        <v>11-15</v>
      </c>
      <c r="G596" s="1"/>
      <c r="H596" s="73" t="str">
        <f>IFERROR(__xludf.DUMMYFUNCTION("""COMPUTED_VALUE"""),"16-20")</f>
        <v>16-20</v>
      </c>
      <c r="I596" s="1"/>
      <c r="J596" s="73" t="str">
        <f>IFERROR(__xludf.DUMMYFUNCTION("""COMPUTED_VALUE"""),"21-25")</f>
        <v>21-25</v>
      </c>
      <c r="K596" s="1"/>
      <c r="L596" s="1"/>
      <c r="M596" s="1"/>
      <c r="N596" s="1"/>
      <c r="O596" s="1"/>
      <c r="P596" s="1"/>
      <c r="Q596" s="1"/>
      <c r="R596" s="1"/>
      <c r="S596" s="1"/>
      <c r="T596" s="1"/>
      <c r="U596" s="1"/>
      <c r="V596" s="1"/>
      <c r="W596" s="1"/>
      <c r="X596" s="1"/>
    </row>
    <row r="597" ht="15.75" customHeight="1">
      <c r="A597" s="1"/>
      <c r="B597" s="73" t="str">
        <f>IFERROR(__xludf.DUMMYFUNCTION("""COMPUTED_VALUE"""),"1-5")</f>
        <v>1-5</v>
      </c>
      <c r="C597" s="1"/>
      <c r="D597" s="73" t="str">
        <f>IFERROR(__xludf.DUMMYFUNCTION("""COMPUTED_VALUE"""),"6-10")</f>
        <v>6-10</v>
      </c>
      <c r="E597" s="1"/>
      <c r="F597" s="73" t="str">
        <f>IFERROR(__xludf.DUMMYFUNCTION("""COMPUTED_VALUE"""),"11-15")</f>
        <v>11-15</v>
      </c>
      <c r="G597" s="1"/>
      <c r="H597" s="73" t="str">
        <f>IFERROR(__xludf.DUMMYFUNCTION("""COMPUTED_VALUE"""),"16-20")</f>
        <v>16-20</v>
      </c>
      <c r="I597" s="1"/>
      <c r="J597" s="73" t="str">
        <f>IFERROR(__xludf.DUMMYFUNCTION("""COMPUTED_VALUE"""),"21-25")</f>
        <v>21-25</v>
      </c>
      <c r="K597" s="1"/>
      <c r="L597" s="1"/>
      <c r="M597" s="1"/>
      <c r="N597" s="1"/>
      <c r="O597" s="1"/>
      <c r="P597" s="1"/>
      <c r="Q597" s="1"/>
      <c r="R597" s="1"/>
      <c r="S597" s="1"/>
      <c r="T597" s="1"/>
      <c r="U597" s="1"/>
      <c r="V597" s="1"/>
      <c r="W597" s="1"/>
      <c r="X597" s="1"/>
    </row>
    <row r="598" ht="15.75" customHeight="1">
      <c r="A598" s="1"/>
      <c r="B598" s="73" t="str">
        <f>IFERROR(__xludf.DUMMYFUNCTION("""COMPUTED_VALUE"""),"1-5")</f>
        <v>1-5</v>
      </c>
      <c r="C598" s="1"/>
      <c r="D598" s="73" t="str">
        <f>IFERROR(__xludf.DUMMYFUNCTION("""COMPUTED_VALUE"""),"6-10")</f>
        <v>6-10</v>
      </c>
      <c r="E598" s="1"/>
      <c r="F598" s="73" t="str">
        <f>IFERROR(__xludf.DUMMYFUNCTION("""COMPUTED_VALUE"""),"11-15")</f>
        <v>11-15</v>
      </c>
      <c r="G598" s="1"/>
      <c r="H598" s="73" t="str">
        <f>IFERROR(__xludf.DUMMYFUNCTION("""COMPUTED_VALUE"""),"16-20")</f>
        <v>16-20</v>
      </c>
      <c r="I598" s="1"/>
      <c r="J598" s="73" t="str">
        <f>IFERROR(__xludf.DUMMYFUNCTION("""COMPUTED_VALUE"""),"21-25")</f>
        <v>21-25</v>
      </c>
      <c r="K598" s="1"/>
      <c r="L598" s="1"/>
      <c r="M598" s="1"/>
      <c r="N598" s="1"/>
      <c r="O598" s="1"/>
      <c r="P598" s="1"/>
      <c r="Q598" s="1"/>
      <c r="R598" s="1"/>
      <c r="S598" s="1"/>
      <c r="T598" s="1"/>
      <c r="U598" s="1"/>
      <c r="V598" s="1"/>
      <c r="W598" s="1"/>
      <c r="X598" s="1"/>
    </row>
    <row r="599" ht="15.75" customHeight="1">
      <c r="A599" s="1"/>
      <c r="B599" s="73" t="str">
        <f>IFERROR(__xludf.DUMMYFUNCTION("""COMPUTED_VALUE"""),"1-5")</f>
        <v>1-5</v>
      </c>
      <c r="C599" s="1"/>
      <c r="D599" s="73" t="str">
        <f>IFERROR(__xludf.DUMMYFUNCTION("""COMPUTED_VALUE"""),"6-10")</f>
        <v>6-10</v>
      </c>
      <c r="E599" s="1"/>
      <c r="F599" s="73" t="str">
        <f>IFERROR(__xludf.DUMMYFUNCTION("""COMPUTED_VALUE"""),"11-15")</f>
        <v>11-15</v>
      </c>
      <c r="G599" s="1"/>
      <c r="H599" s="73" t="str">
        <f>IFERROR(__xludf.DUMMYFUNCTION("""COMPUTED_VALUE"""),"16-20")</f>
        <v>16-20</v>
      </c>
      <c r="I599" s="1"/>
      <c r="J599" s="73" t="str">
        <f>IFERROR(__xludf.DUMMYFUNCTION("""COMPUTED_VALUE"""),"21-25")</f>
        <v>21-25</v>
      </c>
      <c r="K599" s="1"/>
      <c r="L599" s="1"/>
      <c r="M599" s="1"/>
      <c r="N599" s="1"/>
      <c r="O599" s="1"/>
      <c r="P599" s="1"/>
      <c r="Q599" s="1"/>
      <c r="R599" s="1"/>
      <c r="S599" s="1"/>
      <c r="T599" s="1"/>
      <c r="U599" s="1"/>
      <c r="V599" s="1"/>
      <c r="W599" s="1"/>
      <c r="X599" s="1"/>
    </row>
    <row r="600" ht="15.75" customHeight="1">
      <c r="A600" s="1"/>
      <c r="B600" s="73" t="str">
        <f>IFERROR(__xludf.DUMMYFUNCTION("""COMPUTED_VALUE"""),"1-5")</f>
        <v>1-5</v>
      </c>
      <c r="C600" s="1"/>
      <c r="D600" s="73" t="str">
        <f>IFERROR(__xludf.DUMMYFUNCTION("""COMPUTED_VALUE"""),"6-10")</f>
        <v>6-10</v>
      </c>
      <c r="E600" s="1"/>
      <c r="F600" s="73" t="str">
        <f>IFERROR(__xludf.DUMMYFUNCTION("""COMPUTED_VALUE"""),"11-15")</f>
        <v>11-15</v>
      </c>
      <c r="G600" s="1"/>
      <c r="H600" s="73" t="str">
        <f>IFERROR(__xludf.DUMMYFUNCTION("""COMPUTED_VALUE"""),"16-20")</f>
        <v>16-20</v>
      </c>
      <c r="I600" s="1"/>
      <c r="J600" s="73" t="str">
        <f>IFERROR(__xludf.DUMMYFUNCTION("""COMPUTED_VALUE"""),"21-25")</f>
        <v>21-25</v>
      </c>
      <c r="K600" s="1"/>
      <c r="L600" s="1"/>
      <c r="M600" s="1"/>
      <c r="N600" s="1"/>
      <c r="O600" s="1"/>
      <c r="P600" s="1"/>
      <c r="Q600" s="1"/>
      <c r="R600" s="1"/>
      <c r="S600" s="1"/>
      <c r="T600" s="1"/>
      <c r="U600" s="1"/>
      <c r="V600" s="1"/>
      <c r="W600" s="1"/>
      <c r="X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row>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qref="C2:C209 E2:E209 G2:G209 I2:I209 K2:K209">
      <formula1>Items!$A:$A</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7.75"/>
    <col customWidth="1" min="2" max="2" width="103.88"/>
    <col customWidth="1" min="3" max="6" width="12.63"/>
  </cols>
  <sheetData>
    <row r="1" ht="15.75" customHeight="1">
      <c r="A1" s="21" t="str">
        <f>IFERROR(__xludf.DUMMYFUNCTION("IMPORTRANGE(""https://docs.google.com/spreadsheets/d/1HXoAI5UG3zq1UHqU5n7fPdbQk93qOha2VQb1r7iRi1o"",""Items!A:BJ"")"),"Name")</f>
        <v>Name</v>
      </c>
      <c r="B1" s="21" t="str">
        <f>IFERROR(__xludf.DUMMYFUNCTION("""COMPUTED_VALUE"""),"Description")</f>
        <v>Description</v>
      </c>
      <c r="C1" s="1" t="str">
        <f>IFERROR(__xludf.DUMMYFUNCTION("""COMPUTED_VALUE"""),"Type")</f>
        <v>Type</v>
      </c>
      <c r="D1" s="1" t="str">
        <f>IFERROR(__xludf.DUMMYFUNCTION("""COMPUTED_VALUE"""),"ItemLoc")</f>
        <v>ItemLoc</v>
      </c>
      <c r="E1" s="1" t="str">
        <f>IFERROR(__xludf.DUMMYFUNCTION("""COMPUTED_VALUE"""),"Needs Revising")</f>
        <v>Needs Revising</v>
      </c>
      <c r="F1" s="1"/>
      <c r="G1" s="1"/>
      <c r="H1" s="1"/>
      <c r="I1" s="1"/>
      <c r="J1" s="1"/>
      <c r="K1" s="1"/>
      <c r="L1" s="1"/>
      <c r="M1" s="1"/>
      <c r="N1" s="1"/>
      <c r="O1" s="1"/>
      <c r="P1" s="1"/>
      <c r="Q1" s="1"/>
      <c r="R1" s="1"/>
      <c r="S1" s="1"/>
      <c r="T1" s="1"/>
      <c r="U1" s="1"/>
      <c r="V1" s="1"/>
      <c r="W1" s="1"/>
      <c r="X1" s="1"/>
      <c r="Y1" s="1"/>
      <c r="Z1" s="1"/>
    </row>
    <row r="2" ht="15.75" customHeight="1">
      <c r="A2" s="21" t="str">
        <f>IFERROR(__xludf.DUMMYFUNCTION("""COMPUTED_VALUE"""),"Nothing")</f>
        <v>Nothing</v>
      </c>
      <c r="B2" s="21"/>
      <c r="C2" s="1"/>
      <c r="D2" s="1" t="str">
        <f>IFERROR(__xludf.DUMMYFUNCTION("""COMPUTED_VALUE"""),"Land of Spira")</f>
        <v>Land of Spira</v>
      </c>
      <c r="E2" s="1" t="b">
        <f>IFERROR(__xludf.DUMMYFUNCTION("""COMPUTED_VALUE"""),TRUE)</f>
        <v>1</v>
      </c>
      <c r="F2" s="1"/>
      <c r="G2" s="1"/>
      <c r="H2" s="1"/>
      <c r="I2" s="1"/>
      <c r="J2" s="1"/>
      <c r="K2" s="1"/>
      <c r="L2" s="1"/>
      <c r="M2" s="1"/>
      <c r="N2" s="1"/>
      <c r="O2" s="1"/>
      <c r="P2" s="1"/>
      <c r="Q2" s="1"/>
      <c r="R2" s="1"/>
      <c r="S2" s="1"/>
      <c r="T2" s="1"/>
      <c r="U2" s="1"/>
      <c r="V2" s="1"/>
      <c r="W2" s="1"/>
      <c r="X2" s="1"/>
      <c r="Y2" s="1"/>
      <c r="Z2" s="1"/>
    </row>
    <row r="3" ht="15.75" customHeight="1">
      <c r="A3" s="71" t="str">
        <f>IFERROR(__xludf.DUMMYFUNCTION("""COMPUTED_VALUE"""),"Slime core")</f>
        <v>Slime core</v>
      </c>
      <c r="B3" s="21" t="str">
        <f>IFERROR(__xludf.DUMMYFUNCTION("""COMPUTED_VALUE"""),"restores 5 SP; can be used to make mana potions")</f>
        <v>restores 5 SP; can be used to make mana potions</v>
      </c>
      <c r="C3" s="1" t="str">
        <f>IFERROR(__xludf.DUMMYFUNCTION("""COMPUTED_VALUE"""),"Item")</f>
        <v>Item</v>
      </c>
      <c r="D3" s="1" t="str">
        <f>IFERROR(__xludf.DUMMYFUNCTION("""COMPUTED_VALUE"""),"Land of Spira")</f>
        <v>Land of Spira</v>
      </c>
      <c r="E3" s="1" t="b">
        <f>IFERROR(__xludf.DUMMYFUNCTION("""COMPUTED_VALUE"""),FALSE)</f>
        <v>0</v>
      </c>
      <c r="F3" s="1"/>
      <c r="G3" s="1"/>
      <c r="H3" s="1"/>
      <c r="I3" s="1"/>
      <c r="J3" s="1"/>
      <c r="K3" s="1"/>
      <c r="L3" s="1"/>
      <c r="M3" s="1"/>
      <c r="N3" s="1"/>
      <c r="O3" s="1"/>
      <c r="P3" s="1"/>
      <c r="Q3" s="1"/>
      <c r="R3" s="1"/>
      <c r="S3" s="1"/>
      <c r="T3" s="1"/>
      <c r="U3" s="1"/>
      <c r="V3" s="1"/>
      <c r="W3" s="1"/>
      <c r="X3" s="1"/>
      <c r="Y3" s="1"/>
      <c r="Z3" s="1"/>
    </row>
    <row r="4" ht="15.75" customHeight="1">
      <c r="A4" s="71" t="str">
        <f>IFERROR(__xludf.DUMMYFUNCTION("""COMPUTED_VALUE"""),"Mysterious egg")</f>
        <v>Mysterious egg</v>
      </c>
      <c r="B4" s="71" t="str">
        <f>IFERROR(__xludf.DUMMYFUNCTION("""COMPUTED_VALUE"""),"This egg will be determined by DM/GM")</f>
        <v>This egg will be determined by DM/GM</v>
      </c>
      <c r="C4" s="1" t="str">
        <f>IFERROR(__xludf.DUMMYFUNCTION("""COMPUTED_VALUE"""),"Item")</f>
        <v>Item</v>
      </c>
      <c r="D4" s="1" t="str">
        <f>IFERROR(__xludf.DUMMYFUNCTION("""COMPUTED_VALUE"""),"Land of Spira")</f>
        <v>Land of Spira</v>
      </c>
      <c r="E4" s="1" t="b">
        <f>IFERROR(__xludf.DUMMYFUNCTION("""COMPUTED_VALUE"""),FALSE)</f>
        <v>0</v>
      </c>
      <c r="F4" s="1"/>
      <c r="G4" s="1"/>
      <c r="H4" s="1"/>
      <c r="I4" s="1"/>
      <c r="J4" s="1"/>
      <c r="K4" s="1"/>
      <c r="L4" s="1"/>
      <c r="M4" s="1"/>
      <c r="N4" s="1"/>
      <c r="O4" s="1"/>
      <c r="P4" s="1"/>
      <c r="Q4" s="1"/>
      <c r="R4" s="1"/>
      <c r="S4" s="1"/>
      <c r="T4" s="1"/>
      <c r="U4" s="1"/>
      <c r="V4" s="1"/>
      <c r="W4" s="1"/>
      <c r="X4" s="1"/>
      <c r="Y4" s="1"/>
      <c r="Z4" s="1"/>
    </row>
    <row r="5" ht="15.75" customHeight="1">
      <c r="A5" s="71" t="str">
        <f>IFERROR(__xludf.DUMMYFUNCTION("""COMPUTED_VALUE"""),"Emerald of Luck")</f>
        <v>Emerald of Luck</v>
      </c>
      <c r="B5" s="71" t="str">
        <f>IFERROR(__xludf.DUMMYFUNCTION("""COMPUTED_VALUE"""),"It’s said when holding one of these you feel like it's a happy spring day...")</f>
        <v>It’s said when holding one of these you feel like it's a happy spring day...</v>
      </c>
      <c r="C5" s="1" t="str">
        <f>IFERROR(__xludf.DUMMYFUNCTION("""COMPUTED_VALUE"""),"Item")</f>
        <v>Item</v>
      </c>
      <c r="D5" s="1" t="str">
        <f>IFERROR(__xludf.DUMMYFUNCTION("""COMPUTED_VALUE"""),"Land of Spira")</f>
        <v>Land of Spira</v>
      </c>
      <c r="E5" s="1" t="b">
        <f>IFERROR(__xludf.DUMMYFUNCTION("""COMPUTED_VALUE"""),FALSE)</f>
        <v>0</v>
      </c>
      <c r="F5" s="1"/>
      <c r="G5" s="1"/>
      <c r="H5" s="1"/>
      <c r="I5" s="1"/>
      <c r="J5" s="1"/>
      <c r="K5" s="1"/>
      <c r="L5" s="1"/>
      <c r="M5" s="1"/>
      <c r="N5" s="1"/>
      <c r="O5" s="1"/>
      <c r="P5" s="1"/>
      <c r="Q5" s="1"/>
      <c r="R5" s="1"/>
      <c r="S5" s="1"/>
      <c r="T5" s="1"/>
      <c r="U5" s="1"/>
      <c r="V5" s="1"/>
      <c r="W5" s="1"/>
      <c r="X5" s="1"/>
      <c r="Y5" s="1"/>
      <c r="Z5" s="1"/>
    </row>
    <row r="6" ht="15.75" customHeight="1">
      <c r="A6" s="21" t="str">
        <f>IFERROR(__xludf.DUMMYFUNCTION("""COMPUTED_VALUE"""),"Gold")</f>
        <v>Gold</v>
      </c>
      <c r="B6" s="16" t="str">
        <f>IFERROR(__xludf.DUMMYFUNCTION("""COMPUTED_VALUE"""),"Crafting Material, roll a d20 to see how many you get if this is a loot drop.l. Can be used to repair an item.")</f>
        <v>Crafting Material, roll a d20 to see how many you get if this is a loot drop.l. Can be used to repair an item.</v>
      </c>
      <c r="C6" s="1" t="str">
        <f>IFERROR(__xludf.DUMMYFUNCTION("""COMPUTED_VALUE"""),"Item")</f>
        <v>Item</v>
      </c>
      <c r="D6" s="1" t="str">
        <f>IFERROR(__xludf.DUMMYFUNCTION("""COMPUTED_VALUE"""),"Land of Spira")</f>
        <v>Land of Spira</v>
      </c>
      <c r="E6" s="1" t="b">
        <f>IFERROR(__xludf.DUMMYFUNCTION("""COMPUTED_VALUE"""),FALSE)</f>
        <v>0</v>
      </c>
      <c r="F6" s="1"/>
      <c r="G6" s="1"/>
      <c r="H6" s="1"/>
      <c r="I6" s="1"/>
      <c r="J6" s="1"/>
      <c r="K6" s="1"/>
      <c r="L6" s="1"/>
      <c r="M6" s="1"/>
      <c r="N6" s="1"/>
      <c r="O6" s="1"/>
      <c r="P6" s="1"/>
      <c r="Q6" s="1"/>
      <c r="R6" s="1"/>
      <c r="S6" s="1"/>
      <c r="T6" s="1"/>
      <c r="U6" s="1"/>
      <c r="V6" s="1"/>
      <c r="W6" s="1"/>
      <c r="X6" s="1"/>
      <c r="Y6" s="1"/>
      <c r="Z6" s="1"/>
    </row>
    <row r="7" ht="15.75" customHeight="1">
      <c r="A7" s="21" t="str">
        <f>IFERROR(__xludf.DUMMYFUNCTION("""COMPUTED_VALUE"""),"Iron")</f>
        <v>Iron</v>
      </c>
      <c r="B7" s="21" t="str">
        <f>IFERROR(__xludf.DUMMYFUNCTION("""COMPUTED_VALUE"""),"Crafting Material, roll a d20 to see how many you get if this is a loot drop.. Can be used to repair an item.")</f>
        <v>Crafting Material, roll a d20 to see how many you get if this is a loot drop.. Can be used to repair an item.</v>
      </c>
      <c r="C7" s="1" t="str">
        <f>IFERROR(__xludf.DUMMYFUNCTION("""COMPUTED_VALUE"""),"Item")</f>
        <v>Item</v>
      </c>
      <c r="D7" s="1" t="str">
        <f>IFERROR(__xludf.DUMMYFUNCTION("""COMPUTED_VALUE"""),"Land of Spira")</f>
        <v>Land of Spira</v>
      </c>
      <c r="E7" s="1" t="b">
        <f>IFERROR(__xludf.DUMMYFUNCTION("""COMPUTED_VALUE"""),FALSE)</f>
        <v>0</v>
      </c>
      <c r="F7" s="1"/>
      <c r="G7" s="1"/>
      <c r="H7" s="1"/>
      <c r="I7" s="1"/>
      <c r="J7" s="1"/>
      <c r="K7" s="1"/>
      <c r="L7" s="1"/>
      <c r="M7" s="1"/>
      <c r="N7" s="1"/>
      <c r="O7" s="1"/>
      <c r="P7" s="1"/>
      <c r="Q7" s="1"/>
      <c r="R7" s="1"/>
      <c r="S7" s="1"/>
      <c r="T7" s="1"/>
      <c r="U7" s="1"/>
      <c r="V7" s="1"/>
      <c r="W7" s="1"/>
      <c r="X7" s="1"/>
      <c r="Y7" s="1"/>
      <c r="Z7" s="1"/>
    </row>
    <row r="8" ht="15.75" customHeight="1">
      <c r="A8" s="21" t="str">
        <f>IFERROR(__xludf.DUMMYFUNCTION("""COMPUTED_VALUE"""),"Dragon scales")</f>
        <v>Dragon scales</v>
      </c>
      <c r="B8" s="21" t="str">
        <f>IFERROR(__xludf.DUMMYFUNCTION("""COMPUTED_VALUE"""),"Crafting Material, roll a d20 to see how many you get if this is a loot drop.. Can be used to repair an item.")</f>
        <v>Crafting Material, roll a d20 to see how many you get if this is a loot drop.. Can be used to repair an item.</v>
      </c>
      <c r="C8" s="1" t="str">
        <f>IFERROR(__xludf.DUMMYFUNCTION("""COMPUTED_VALUE"""),"Item")</f>
        <v>Item</v>
      </c>
      <c r="D8" s="1" t="str">
        <f>IFERROR(__xludf.DUMMYFUNCTION("""COMPUTED_VALUE"""),"Land of Spira")</f>
        <v>Land of Spira</v>
      </c>
      <c r="E8" s="1" t="b">
        <f>IFERROR(__xludf.DUMMYFUNCTION("""COMPUTED_VALUE"""),FALSE)</f>
        <v>0</v>
      </c>
      <c r="F8" s="1"/>
      <c r="G8" s="1"/>
      <c r="H8" s="1"/>
      <c r="I8" s="1"/>
      <c r="J8" s="1"/>
      <c r="K8" s="1"/>
      <c r="L8" s="1"/>
      <c r="M8" s="1"/>
      <c r="N8" s="1"/>
      <c r="O8" s="1"/>
      <c r="P8" s="1"/>
      <c r="Q8" s="1"/>
      <c r="R8" s="1"/>
      <c r="S8" s="1"/>
      <c r="T8" s="1"/>
      <c r="U8" s="1"/>
      <c r="V8" s="1"/>
      <c r="W8" s="1"/>
      <c r="X8" s="1"/>
      <c r="Y8" s="1"/>
      <c r="Z8" s="1"/>
    </row>
    <row r="9" ht="15.75" customHeight="1">
      <c r="A9" s="21" t="str">
        <f>IFERROR(__xludf.DUMMYFUNCTION("""COMPUTED_VALUE"""),"Desert Emerald")</f>
        <v>Desert Emerald</v>
      </c>
      <c r="B9" s="21" t="str">
        <f>IFERROR(__xludf.DUMMYFUNCTION("""COMPUTED_VALUE"""),"Crafting Material, roll a d20 to see how many you get if this is a loot drop.. Can be used to repair an item.")</f>
        <v>Crafting Material, roll a d20 to see how many you get if this is a loot drop.. Can be used to repair an item.</v>
      </c>
      <c r="C9" s="1" t="str">
        <f>IFERROR(__xludf.DUMMYFUNCTION("""COMPUTED_VALUE"""),"Item")</f>
        <v>Item</v>
      </c>
      <c r="D9" s="1" t="str">
        <f>IFERROR(__xludf.DUMMYFUNCTION("""COMPUTED_VALUE"""),"Land of Spira")</f>
        <v>Land of Spira</v>
      </c>
      <c r="E9" s="1" t="b">
        <f>IFERROR(__xludf.DUMMYFUNCTION("""COMPUTED_VALUE"""),FALSE)</f>
        <v>0</v>
      </c>
      <c r="F9" s="1"/>
      <c r="G9" s="1"/>
      <c r="H9" s="1"/>
      <c r="I9" s="1"/>
      <c r="J9" s="1"/>
      <c r="K9" s="1"/>
      <c r="L9" s="1"/>
      <c r="M9" s="1"/>
      <c r="N9" s="1"/>
      <c r="O9" s="1"/>
      <c r="P9" s="1"/>
      <c r="Q9" s="1"/>
      <c r="R9" s="1"/>
      <c r="S9" s="1"/>
      <c r="T9" s="1"/>
      <c r="U9" s="1"/>
      <c r="V9" s="1"/>
      <c r="W9" s="1"/>
      <c r="X9" s="1"/>
      <c r="Y9" s="1"/>
      <c r="Z9" s="1"/>
    </row>
    <row r="10" ht="15.75" customHeight="1">
      <c r="A10" s="21" t="str">
        <f>IFERROR(__xludf.DUMMYFUNCTION("""COMPUTED_VALUE"""),"Desert Ruby")</f>
        <v>Desert Ruby</v>
      </c>
      <c r="B10" s="21" t="str">
        <f>IFERROR(__xludf.DUMMYFUNCTION("""COMPUTED_VALUE"""),"Crafting Material, roll a d20 to see how many you get if this is a loot drop.. Can be used to repair an item.")</f>
        <v>Crafting Material, roll a d20 to see how many you get if this is a loot drop.. Can be used to repair an item.</v>
      </c>
      <c r="C10" s="1" t="str">
        <f>IFERROR(__xludf.DUMMYFUNCTION("""COMPUTED_VALUE"""),"Item")</f>
        <v>Item</v>
      </c>
      <c r="D10" s="1" t="str">
        <f>IFERROR(__xludf.DUMMYFUNCTION("""COMPUTED_VALUE"""),"Land of Spira")</f>
        <v>Land of Spira</v>
      </c>
      <c r="E10" s="1" t="b">
        <f>IFERROR(__xludf.DUMMYFUNCTION("""COMPUTED_VALUE"""),FALSE)</f>
        <v>0</v>
      </c>
      <c r="F10" s="1"/>
      <c r="G10" s="1"/>
      <c r="H10" s="1"/>
      <c r="I10" s="1"/>
      <c r="J10" s="1"/>
      <c r="K10" s="1"/>
      <c r="L10" s="1"/>
      <c r="M10" s="1"/>
      <c r="N10" s="1"/>
      <c r="O10" s="1"/>
      <c r="P10" s="1"/>
      <c r="Q10" s="1"/>
      <c r="R10" s="1"/>
      <c r="S10" s="1"/>
      <c r="T10" s="1"/>
      <c r="U10" s="1"/>
      <c r="V10" s="1"/>
      <c r="W10" s="1"/>
      <c r="X10" s="1"/>
      <c r="Y10" s="1"/>
      <c r="Z10" s="1"/>
    </row>
    <row r="11" ht="15.75" customHeight="1">
      <c r="A11" s="21" t="str">
        <f>IFERROR(__xludf.DUMMYFUNCTION("""COMPUTED_VALUE"""),"Diamonds")</f>
        <v>Diamonds</v>
      </c>
      <c r="B11" s="21" t="str">
        <f>IFERROR(__xludf.DUMMYFUNCTION("""COMPUTED_VALUE"""),"Crafting Material, roll a d20 to see how many you get if this is a loot drop.. Can be used to repair an item.")</f>
        <v>Crafting Material, roll a d20 to see how many you get if this is a loot drop.. Can be used to repair an item.</v>
      </c>
      <c r="C11" s="1" t="str">
        <f>IFERROR(__xludf.DUMMYFUNCTION("""COMPUTED_VALUE"""),"Item")</f>
        <v>Item</v>
      </c>
      <c r="D11" s="1" t="str">
        <f>IFERROR(__xludf.DUMMYFUNCTION("""COMPUTED_VALUE"""),"Land of Spira")</f>
        <v>Land of Spira</v>
      </c>
      <c r="E11" s="1" t="b">
        <f>IFERROR(__xludf.DUMMYFUNCTION("""COMPUTED_VALUE"""),FALSE)</f>
        <v>0</v>
      </c>
      <c r="F11" s="1"/>
      <c r="G11" s="1"/>
      <c r="H11" s="1"/>
      <c r="I11" s="1"/>
      <c r="J11" s="1"/>
      <c r="K11" s="1"/>
      <c r="L11" s="1"/>
      <c r="M11" s="1"/>
      <c r="N11" s="1"/>
      <c r="O11" s="1"/>
      <c r="P11" s="1"/>
      <c r="Q11" s="1"/>
      <c r="R11" s="1"/>
      <c r="S11" s="1"/>
      <c r="T11" s="1"/>
      <c r="U11" s="1"/>
      <c r="V11" s="1"/>
      <c r="W11" s="1"/>
      <c r="X11" s="1"/>
      <c r="Y11" s="1"/>
      <c r="Z11" s="1"/>
    </row>
    <row r="12" ht="15.75" customHeight="1">
      <c r="A12" s="21" t="str">
        <f>IFERROR(__xludf.DUMMYFUNCTION("""COMPUTED_VALUE"""),"Bricks")</f>
        <v>Bricks</v>
      </c>
      <c r="B12" s="16" t="str">
        <f>IFERROR(__xludf.DUMMYFUNCTION("""COMPUTED_VALUE"""),"Crafting Material, roll a d20 to see how many you get if this is a loot drop.. Can be used to repair an item.")</f>
        <v>Crafting Material, roll a d20 to see how many you get if this is a loot drop.. Can be used to repair an item.</v>
      </c>
      <c r="C12" s="1" t="str">
        <f>IFERROR(__xludf.DUMMYFUNCTION("""COMPUTED_VALUE"""),"Item")</f>
        <v>Item</v>
      </c>
      <c r="D12" s="1" t="str">
        <f>IFERROR(__xludf.DUMMYFUNCTION("""COMPUTED_VALUE"""),"Land of Spira")</f>
        <v>Land of Spira</v>
      </c>
      <c r="E12" s="1" t="b">
        <f>IFERROR(__xludf.DUMMYFUNCTION("""COMPUTED_VALUE"""),FALSE)</f>
        <v>0</v>
      </c>
      <c r="F12" s="1"/>
      <c r="G12" s="1"/>
      <c r="H12" s="1"/>
      <c r="I12" s="1"/>
      <c r="J12" s="1"/>
      <c r="K12" s="1"/>
      <c r="L12" s="1"/>
      <c r="M12" s="1"/>
      <c r="N12" s="1"/>
      <c r="O12" s="1"/>
      <c r="P12" s="1"/>
      <c r="Q12" s="1"/>
      <c r="R12" s="1"/>
      <c r="S12" s="1"/>
      <c r="T12" s="1"/>
      <c r="U12" s="1"/>
      <c r="V12" s="1"/>
      <c r="W12" s="1"/>
      <c r="X12" s="1"/>
      <c r="Y12" s="1"/>
      <c r="Z12" s="1"/>
    </row>
    <row r="13" ht="15.75" customHeight="1">
      <c r="A13" s="21" t="str">
        <f>IFERROR(__xludf.DUMMYFUNCTION("""COMPUTED_VALUE"""),"Obsidian")</f>
        <v>Obsidian</v>
      </c>
      <c r="B13" s="21"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1" t="str">
        <f>IFERROR(__xludf.DUMMYFUNCTION("""COMPUTED_VALUE"""),"Item")</f>
        <v>Item</v>
      </c>
      <c r="D13" s="1" t="str">
        <f>IFERROR(__xludf.DUMMYFUNCTION("""COMPUTED_VALUE"""),"Land of Spira")</f>
        <v>Land of Spira</v>
      </c>
      <c r="E13" s="1" t="b">
        <f>IFERROR(__xludf.DUMMYFUNCTION("""COMPUTED_VALUE"""),FALSE)</f>
        <v>0</v>
      </c>
      <c r="F13" s="1"/>
      <c r="G13" s="1"/>
      <c r="H13" s="1"/>
      <c r="I13" s="1"/>
      <c r="J13" s="1"/>
      <c r="K13" s="1"/>
      <c r="L13" s="1"/>
      <c r="M13" s="1"/>
      <c r="N13" s="1"/>
      <c r="O13" s="1"/>
      <c r="P13" s="1"/>
      <c r="Q13" s="1"/>
      <c r="R13" s="1"/>
      <c r="S13" s="1"/>
      <c r="T13" s="1"/>
      <c r="U13" s="1"/>
      <c r="V13" s="1"/>
      <c r="W13" s="1"/>
      <c r="X13" s="1"/>
      <c r="Y13" s="1"/>
      <c r="Z13" s="1"/>
    </row>
    <row r="14" ht="15.75" customHeight="1">
      <c r="A14" s="21" t="str">
        <f>IFERROR(__xludf.DUMMYFUNCTION("""COMPUTED_VALUE"""),"Sand")</f>
        <v>Sand</v>
      </c>
      <c r="B14" s="21"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1" t="str">
        <f>IFERROR(__xludf.DUMMYFUNCTION("""COMPUTED_VALUE"""),"Item")</f>
        <v>Item</v>
      </c>
      <c r="D14" s="1" t="str">
        <f>IFERROR(__xludf.DUMMYFUNCTION("""COMPUTED_VALUE"""),"Land of Spira")</f>
        <v>Land of Spira</v>
      </c>
      <c r="E14" s="1" t="b">
        <f>IFERROR(__xludf.DUMMYFUNCTION("""COMPUTED_VALUE"""),FALSE)</f>
        <v>0</v>
      </c>
      <c r="F14" s="1"/>
      <c r="G14" s="1"/>
      <c r="H14" s="1"/>
      <c r="I14" s="1"/>
      <c r="J14" s="1"/>
      <c r="K14" s="1"/>
      <c r="L14" s="1"/>
      <c r="M14" s="1"/>
      <c r="N14" s="1"/>
      <c r="O14" s="1"/>
      <c r="P14" s="1"/>
      <c r="Q14" s="1"/>
      <c r="R14" s="1"/>
      <c r="S14" s="1"/>
      <c r="T14" s="1"/>
      <c r="U14" s="1"/>
      <c r="V14" s="1"/>
      <c r="W14" s="1"/>
      <c r="X14" s="1"/>
      <c r="Y14" s="1"/>
      <c r="Z14" s="1"/>
    </row>
    <row r="15" ht="15.75" customHeight="1">
      <c r="A15" s="21" t="str">
        <f>IFERROR(__xludf.DUMMYFUNCTION("""COMPUTED_VALUE"""),"Glowing rocks")</f>
        <v>Glowing rocks</v>
      </c>
      <c r="B15" s="21" t="str">
        <f>IFERROR(__xludf.DUMMYFUNCTION("""COMPUTED_VALUE""")," Can be forged into armor or a weapon to give it +200 additional light damage or resistance")</f>
        <v> Can be forged into armor or a weapon to give it +200 additional light damage or resistance</v>
      </c>
      <c r="C15" s="1" t="str">
        <f>IFERROR(__xludf.DUMMYFUNCTION("""COMPUTED_VALUE"""),"Item")</f>
        <v>Item</v>
      </c>
      <c r="D15" s="1" t="str">
        <f>IFERROR(__xludf.DUMMYFUNCTION("""COMPUTED_VALUE"""),"Land of Spira")</f>
        <v>Land of Spira</v>
      </c>
      <c r="E15" s="1" t="b">
        <f>IFERROR(__xludf.DUMMYFUNCTION("""COMPUTED_VALUE"""),FALSE)</f>
        <v>0</v>
      </c>
      <c r="F15" s="1"/>
      <c r="G15" s="1"/>
      <c r="H15" s="1"/>
      <c r="I15" s="1"/>
      <c r="J15" s="1"/>
      <c r="K15" s="1"/>
      <c r="L15" s="1"/>
      <c r="M15" s="1"/>
      <c r="N15" s="1"/>
      <c r="O15" s="1"/>
      <c r="P15" s="1"/>
      <c r="Q15" s="1"/>
      <c r="R15" s="1"/>
      <c r="S15" s="1"/>
      <c r="T15" s="1"/>
      <c r="U15" s="1"/>
      <c r="V15" s="1"/>
      <c r="W15" s="1"/>
      <c r="X15" s="1"/>
      <c r="Y15" s="1"/>
      <c r="Z15" s="1"/>
    </row>
    <row r="16" ht="15.75" customHeight="1">
      <c r="A16" s="21" t="str">
        <f>IFERROR(__xludf.DUMMYFUNCTION("""COMPUTED_VALUE"""),"Steel")</f>
        <v>Steel</v>
      </c>
      <c r="B16" s="21" t="str">
        <f>IFERROR(__xludf.DUMMYFUNCTION("""COMPUTED_VALUE"""),"Crafting Material, roll a d20 to see how many you get if this is a loot drop. Can be used to repair an item. ")</f>
        <v>Crafting Material, roll a d20 to see how many you get if this is a loot drop. Can be used to repair an item. </v>
      </c>
      <c r="C16" s="1" t="str">
        <f>IFERROR(__xludf.DUMMYFUNCTION("""COMPUTED_VALUE"""),"Item")</f>
        <v>Item</v>
      </c>
      <c r="D16" s="1" t="str">
        <f>IFERROR(__xludf.DUMMYFUNCTION("""COMPUTED_VALUE"""),"Land of Spira")</f>
        <v>Land of Spira</v>
      </c>
      <c r="E16" s="1" t="b">
        <f>IFERROR(__xludf.DUMMYFUNCTION("""COMPUTED_VALUE"""),FALSE)</f>
        <v>0</v>
      </c>
      <c r="F16" s="1"/>
      <c r="G16" s="1"/>
      <c r="H16" s="1"/>
      <c r="I16" s="1"/>
      <c r="J16" s="1"/>
      <c r="K16" s="1"/>
      <c r="L16" s="1"/>
      <c r="M16" s="1"/>
      <c r="N16" s="1"/>
      <c r="O16" s="1"/>
      <c r="P16" s="1"/>
      <c r="Q16" s="1"/>
      <c r="R16" s="1"/>
      <c r="S16" s="1"/>
      <c r="T16" s="1"/>
      <c r="U16" s="1"/>
      <c r="V16" s="1"/>
      <c r="W16" s="1"/>
      <c r="X16" s="1"/>
      <c r="Y16" s="1"/>
      <c r="Z16" s="1"/>
    </row>
    <row r="17" ht="15.75" customHeight="1">
      <c r="A17" s="21" t="str">
        <f>IFERROR(__xludf.DUMMYFUNCTION("""COMPUTED_VALUE"""),"Silver")</f>
        <v>Silver</v>
      </c>
      <c r="B17" s="21"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1" t="str">
        <f>IFERROR(__xludf.DUMMYFUNCTION("""COMPUTED_VALUE"""),"Item")</f>
        <v>Item</v>
      </c>
      <c r="D17" s="1" t="str">
        <f>IFERROR(__xludf.DUMMYFUNCTION("""COMPUTED_VALUE"""),"Land of Spira")</f>
        <v>Land of Spira</v>
      </c>
      <c r="E17" s="1" t="b">
        <f>IFERROR(__xludf.DUMMYFUNCTION("""COMPUTED_VALUE"""),FALSE)</f>
        <v>0</v>
      </c>
      <c r="F17" s="1"/>
      <c r="G17" s="1"/>
      <c r="H17" s="1"/>
      <c r="I17" s="1"/>
      <c r="J17" s="1"/>
      <c r="K17" s="1"/>
      <c r="L17" s="1"/>
      <c r="M17" s="1"/>
      <c r="N17" s="1"/>
      <c r="O17" s="1"/>
      <c r="P17" s="1"/>
      <c r="Q17" s="1"/>
      <c r="R17" s="1"/>
      <c r="S17" s="1"/>
      <c r="T17" s="1"/>
      <c r="U17" s="1"/>
      <c r="V17" s="1"/>
      <c r="W17" s="1"/>
      <c r="X17" s="1"/>
      <c r="Y17" s="1"/>
      <c r="Z17" s="1"/>
    </row>
    <row r="18" ht="15.75" customHeight="1">
      <c r="A18" s="21" t="str">
        <f>IFERROR(__xludf.DUMMYFUNCTION("""COMPUTED_VALUE"""),"Chains")</f>
        <v>Chains</v>
      </c>
      <c r="B18" s="21"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1" t="str">
        <f>IFERROR(__xludf.DUMMYFUNCTION("""COMPUTED_VALUE"""),"Item")</f>
        <v>Item</v>
      </c>
      <c r="D18" s="1" t="str">
        <f>IFERROR(__xludf.DUMMYFUNCTION("""COMPUTED_VALUE"""),"Land of Spira")</f>
        <v>Land of Spira</v>
      </c>
      <c r="E18" s="1" t="b">
        <f>IFERROR(__xludf.DUMMYFUNCTION("""COMPUTED_VALUE"""),FALSE)</f>
        <v>0</v>
      </c>
      <c r="F18" s="1"/>
      <c r="G18" s="1"/>
      <c r="H18" s="1"/>
      <c r="I18" s="1"/>
      <c r="J18" s="1"/>
      <c r="K18" s="1"/>
      <c r="L18" s="1"/>
      <c r="M18" s="1"/>
      <c r="N18" s="1"/>
      <c r="O18" s="1"/>
      <c r="P18" s="1"/>
      <c r="Q18" s="1"/>
      <c r="R18" s="1"/>
      <c r="S18" s="1"/>
      <c r="T18" s="1"/>
      <c r="U18" s="1"/>
      <c r="V18" s="1"/>
      <c r="W18" s="1"/>
      <c r="X18" s="1"/>
      <c r="Y18" s="1"/>
      <c r="Z18" s="1"/>
    </row>
    <row r="19" ht="15.75" customHeight="1">
      <c r="A19" s="71" t="str">
        <f>IFERROR(__xludf.DUMMYFUNCTION("""COMPUTED_VALUE"""),"Steel Pickaxe ")</f>
        <v>Steel Pickaxe </v>
      </c>
      <c r="B19" s="16" t="str">
        <f>IFERROR(__xludf.DUMMYFUNCTION("""COMPUTED_VALUE"""),"40/40 Uses. Used for mining.")</f>
        <v>40/40 Uses. Used for mining.</v>
      </c>
      <c r="C19" s="1" t="str">
        <f>IFERROR(__xludf.DUMMYFUNCTION("""COMPUTED_VALUE"""),"Item")</f>
        <v>Item</v>
      </c>
      <c r="D19" s="1" t="str">
        <f>IFERROR(__xludf.DUMMYFUNCTION("""COMPUTED_VALUE"""),"Land of Spira")</f>
        <v>Land of Spira</v>
      </c>
      <c r="E19" s="1" t="b">
        <f>IFERROR(__xludf.DUMMYFUNCTION("""COMPUTED_VALUE"""),FALSE)</f>
        <v>0</v>
      </c>
      <c r="F19" s="1"/>
      <c r="G19" s="1"/>
      <c r="H19" s="1"/>
      <c r="I19" s="1"/>
      <c r="J19" s="1"/>
      <c r="K19" s="1"/>
      <c r="L19" s="1"/>
      <c r="M19" s="1"/>
      <c r="N19" s="1"/>
      <c r="O19" s="1"/>
      <c r="P19" s="1"/>
      <c r="Q19" s="1"/>
      <c r="R19" s="1"/>
      <c r="S19" s="1"/>
      <c r="T19" s="1"/>
      <c r="U19" s="1"/>
      <c r="V19" s="1"/>
      <c r="W19" s="1"/>
      <c r="X19" s="1"/>
      <c r="Y19" s="1"/>
      <c r="Z19" s="1"/>
    </row>
    <row r="20" ht="15.75" customHeight="1">
      <c r="A20" s="71" t="str">
        <f>IFERROR(__xludf.DUMMYFUNCTION("""COMPUTED_VALUE"""),"Haggis Bowl")</f>
        <v>Haggis Bowl</v>
      </c>
      <c r="B20" s="71" t="str">
        <f>IFERROR(__xludf.DUMMYFUNCTION("""COMPUTED_VALUE"""),"Restores 75 Hunger +50 energy")</f>
        <v>Restores 75 Hunger +50 energy</v>
      </c>
      <c r="C20" s="1" t="str">
        <f>IFERROR(__xludf.DUMMYFUNCTION("""COMPUTED_VALUE"""),"Crop")</f>
        <v>Crop</v>
      </c>
      <c r="D20" s="1" t="str">
        <f>IFERROR(__xludf.DUMMYFUNCTION("""COMPUTED_VALUE"""),"Land of Spira")</f>
        <v>Land of Spira</v>
      </c>
      <c r="E20" s="1" t="b">
        <f>IFERROR(__xludf.DUMMYFUNCTION("""COMPUTED_VALUE"""),FALSE)</f>
        <v>0</v>
      </c>
      <c r="F20" s="1"/>
      <c r="G20" s="1"/>
      <c r="H20" s="1"/>
      <c r="I20" s="1"/>
      <c r="J20" s="1"/>
      <c r="K20" s="1"/>
      <c r="L20" s="1"/>
      <c r="M20" s="1"/>
      <c r="N20" s="1"/>
      <c r="O20" s="1"/>
      <c r="P20" s="1"/>
      <c r="Q20" s="1"/>
      <c r="R20" s="1"/>
      <c r="S20" s="1"/>
      <c r="T20" s="1"/>
      <c r="U20" s="1"/>
      <c r="V20" s="1"/>
      <c r="W20" s="1"/>
      <c r="X20" s="1"/>
      <c r="Y20" s="1"/>
      <c r="Z20" s="1"/>
    </row>
    <row r="21" ht="15.75" customHeight="1">
      <c r="A21" s="71" t="str">
        <f>IFERROR(__xludf.DUMMYFUNCTION("""COMPUTED_VALUE"""),"Chunk of Salmon")</f>
        <v>Chunk of Salmon</v>
      </c>
      <c r="B21" s="21" t="str">
        <f>IFERROR(__xludf.DUMMYFUNCTION("""COMPUTED_VALUE"""),"Restores 10 Hunger +5 energy")</f>
        <v>Restores 10 Hunger +5 energy</v>
      </c>
      <c r="C21" s="1" t="str">
        <f>IFERROR(__xludf.DUMMYFUNCTION("""COMPUTED_VALUE"""),"Crop")</f>
        <v>Crop</v>
      </c>
      <c r="D21" s="1" t="str">
        <f>IFERROR(__xludf.DUMMYFUNCTION("""COMPUTED_VALUE"""),"Land of Spira")</f>
        <v>Land of Spira</v>
      </c>
      <c r="E21" s="1" t="b">
        <f>IFERROR(__xludf.DUMMYFUNCTION("""COMPUTED_VALUE"""),FALSE)</f>
        <v>0</v>
      </c>
      <c r="F21" s="1"/>
      <c r="G21" s="1"/>
      <c r="H21" s="1"/>
      <c r="I21" s="1"/>
      <c r="J21" s="1"/>
      <c r="K21" s="1"/>
      <c r="L21" s="1"/>
      <c r="M21" s="1"/>
      <c r="N21" s="1"/>
      <c r="O21" s="1"/>
      <c r="P21" s="1"/>
      <c r="Q21" s="1"/>
      <c r="R21" s="1"/>
      <c r="S21" s="1"/>
      <c r="T21" s="1"/>
      <c r="U21" s="1"/>
      <c r="V21" s="1"/>
      <c r="W21" s="1"/>
      <c r="X21" s="1"/>
      <c r="Y21" s="1"/>
      <c r="Z21" s="1"/>
    </row>
    <row r="22" ht="15.75" customHeight="1">
      <c r="A22" s="71" t="str">
        <f>IFERROR(__xludf.DUMMYFUNCTION("""COMPUTED_VALUE"""),"Dragon Jerky")</f>
        <v>Dragon Jerky</v>
      </c>
      <c r="B22" s="21" t="str">
        <f>IFERROR(__xludf.DUMMYFUNCTION("""COMPUTED_VALUE"""),"Restores 100 Hunger + 100 energy")</f>
        <v>Restores 100 Hunger + 100 energy</v>
      </c>
      <c r="C22" s="1" t="str">
        <f>IFERROR(__xludf.DUMMYFUNCTION("""COMPUTED_VALUE"""),"Crop")</f>
        <v>Crop</v>
      </c>
      <c r="D22" s="1" t="str">
        <f>IFERROR(__xludf.DUMMYFUNCTION("""COMPUTED_VALUE"""),"Land of Spira")</f>
        <v>Land of Spira</v>
      </c>
      <c r="E22" s="1" t="b">
        <f>IFERROR(__xludf.DUMMYFUNCTION("""COMPUTED_VALUE"""),FALSE)</f>
        <v>0</v>
      </c>
      <c r="F22" s="1"/>
      <c r="G22" s="1"/>
      <c r="H22" s="1"/>
      <c r="I22" s="1"/>
      <c r="J22" s="1"/>
      <c r="K22" s="1"/>
      <c r="L22" s="1"/>
      <c r="M22" s="1"/>
      <c r="N22" s="1"/>
      <c r="O22" s="1"/>
      <c r="P22" s="1"/>
      <c r="Q22" s="1"/>
      <c r="R22" s="1"/>
      <c r="S22" s="1"/>
      <c r="T22" s="1"/>
      <c r="U22" s="1"/>
      <c r="V22" s="1"/>
      <c r="W22" s="1"/>
      <c r="X22" s="1"/>
      <c r="Y22" s="1"/>
      <c r="Z22" s="1"/>
    </row>
    <row r="23" ht="15.75" customHeight="1">
      <c r="A23" s="71" t="str">
        <f>IFERROR(__xludf.DUMMYFUNCTION("""COMPUTED_VALUE"""),"Bacon Strip")</f>
        <v>Bacon Strip</v>
      </c>
      <c r="B23" s="21" t="str">
        <f>IFERROR(__xludf.DUMMYFUNCTION("""COMPUTED_VALUE"""),"Restores 5 Hunger +4 energy")</f>
        <v>Restores 5 Hunger +4 energy</v>
      </c>
      <c r="C23" s="1" t="str">
        <f>IFERROR(__xludf.DUMMYFUNCTION("""COMPUTED_VALUE"""),"Crop")</f>
        <v>Crop</v>
      </c>
      <c r="D23" s="1" t="str">
        <f>IFERROR(__xludf.DUMMYFUNCTION("""COMPUTED_VALUE"""),"Land of Spira")</f>
        <v>Land of Spira</v>
      </c>
      <c r="E23" s="1" t="b">
        <f>IFERROR(__xludf.DUMMYFUNCTION("""COMPUTED_VALUE"""),FALSE)</f>
        <v>0</v>
      </c>
      <c r="F23" s="1"/>
      <c r="G23" s="1"/>
      <c r="H23" s="1"/>
      <c r="I23" s="1"/>
      <c r="J23" s="1"/>
      <c r="K23" s="1"/>
      <c r="L23" s="1"/>
      <c r="M23" s="1"/>
      <c r="N23" s="1"/>
      <c r="O23" s="1"/>
      <c r="P23" s="1"/>
      <c r="Q23" s="1"/>
      <c r="R23" s="1"/>
      <c r="S23" s="1"/>
      <c r="T23" s="1"/>
      <c r="U23" s="1"/>
      <c r="V23" s="1"/>
      <c r="W23" s="1"/>
      <c r="X23" s="1"/>
      <c r="Y23" s="1"/>
      <c r="Z23" s="1"/>
    </row>
    <row r="24" ht="15.75" customHeight="1">
      <c r="A24" s="71" t="str">
        <f>IFERROR(__xludf.DUMMYFUNCTION("""COMPUTED_VALUE"""),"Smoked Salmon")</f>
        <v>Smoked Salmon</v>
      </c>
      <c r="B24" s="21" t="str">
        <f>IFERROR(__xludf.DUMMYFUNCTION("""COMPUTED_VALUE"""),"Restores 20 Hunger +10 energy")</f>
        <v>Restores 20 Hunger +10 energy</v>
      </c>
      <c r="C24" s="1" t="str">
        <f>IFERROR(__xludf.DUMMYFUNCTION("""COMPUTED_VALUE"""),"Crop")</f>
        <v>Crop</v>
      </c>
      <c r="D24" s="1" t="str">
        <f>IFERROR(__xludf.DUMMYFUNCTION("""COMPUTED_VALUE"""),"Land of Spira")</f>
        <v>Land of Spira</v>
      </c>
      <c r="E24" s="1" t="b">
        <f>IFERROR(__xludf.DUMMYFUNCTION("""COMPUTED_VALUE"""),FALSE)</f>
        <v>0</v>
      </c>
      <c r="F24" s="1"/>
      <c r="G24" s="1"/>
      <c r="H24" s="1"/>
      <c r="I24" s="1"/>
      <c r="J24" s="1"/>
      <c r="K24" s="1"/>
      <c r="L24" s="1"/>
      <c r="M24" s="1"/>
      <c r="N24" s="1"/>
      <c r="O24" s="1"/>
      <c r="P24" s="1"/>
      <c r="Q24" s="1"/>
      <c r="R24" s="1"/>
      <c r="S24" s="1"/>
      <c r="T24" s="1"/>
      <c r="U24" s="1"/>
      <c r="V24" s="1"/>
      <c r="W24" s="1"/>
      <c r="X24" s="1"/>
      <c r="Y24" s="1"/>
      <c r="Z24" s="1"/>
    </row>
    <row r="25" ht="15.75" customHeight="1">
      <c r="A25" s="71" t="str">
        <f>IFERROR(__xludf.DUMMYFUNCTION("""COMPUTED_VALUE"""),"Smoked Lamb")</f>
        <v>Smoked Lamb</v>
      </c>
      <c r="B25" s="16" t="str">
        <f>IFERROR(__xludf.DUMMYFUNCTION("""COMPUTED_VALUE"""),"Restores 25 Hunger")</f>
        <v>Restores 25 Hunger</v>
      </c>
      <c r="C25" s="1" t="str">
        <f>IFERROR(__xludf.DUMMYFUNCTION("""COMPUTED_VALUE"""),"Crop")</f>
        <v>Crop</v>
      </c>
      <c r="D25" s="1" t="str">
        <f>IFERROR(__xludf.DUMMYFUNCTION("""COMPUTED_VALUE"""),"Land of Spira")</f>
        <v>Land of Spira</v>
      </c>
      <c r="E25" s="1" t="b">
        <f>IFERROR(__xludf.DUMMYFUNCTION("""COMPUTED_VALUE"""),FALSE)</f>
        <v>0</v>
      </c>
      <c r="F25" s="1"/>
      <c r="G25" s="1"/>
      <c r="H25" s="1"/>
      <c r="I25" s="1"/>
      <c r="J25" s="1"/>
      <c r="K25" s="1"/>
      <c r="L25" s="1"/>
      <c r="M25" s="1"/>
      <c r="N25" s="1"/>
      <c r="O25" s="1"/>
      <c r="P25" s="1"/>
      <c r="Q25" s="1"/>
      <c r="R25" s="1"/>
      <c r="S25" s="1"/>
      <c r="T25" s="1"/>
      <c r="U25" s="1"/>
      <c r="V25" s="1"/>
      <c r="W25" s="1"/>
      <c r="X25" s="1"/>
      <c r="Y25" s="1"/>
      <c r="Z25" s="1"/>
    </row>
    <row r="26" ht="15.75" customHeight="1">
      <c r="A26" s="16" t="str">
        <f>IFERROR(__xludf.DUMMYFUNCTION("""COMPUTED_VALUE"""),"Volcanic Venison")</f>
        <v>Volcanic Venison</v>
      </c>
      <c r="B26" s="16" t="str">
        <f>IFERROR(__xludf.DUMMYFUNCTION("""COMPUTED_VALUE"""),"Restores 50 Hunger")</f>
        <v>Restores 50 Hunger</v>
      </c>
      <c r="C26" s="1" t="str">
        <f>IFERROR(__xludf.DUMMYFUNCTION("""COMPUTED_VALUE"""),"Crop")</f>
        <v>Crop</v>
      </c>
      <c r="D26" s="1" t="str">
        <f>IFERROR(__xludf.DUMMYFUNCTION("""COMPUTED_VALUE"""),"Land of Spira")</f>
        <v>Land of Spira</v>
      </c>
      <c r="E26" s="1" t="b">
        <f>IFERROR(__xludf.DUMMYFUNCTION("""COMPUTED_VALUE"""),FALSE)</f>
        <v>0</v>
      </c>
      <c r="F26" s="1"/>
      <c r="G26" s="1"/>
      <c r="H26" s="1"/>
      <c r="I26" s="1"/>
      <c r="J26" s="1"/>
      <c r="K26" s="1"/>
      <c r="L26" s="1"/>
      <c r="M26" s="1"/>
      <c r="N26" s="1"/>
      <c r="O26" s="1"/>
      <c r="P26" s="1"/>
      <c r="Q26" s="1"/>
      <c r="R26" s="1"/>
      <c r="S26" s="1"/>
      <c r="T26" s="1"/>
      <c r="U26" s="1"/>
      <c r="V26" s="1"/>
      <c r="W26" s="1"/>
      <c r="X26" s="1"/>
      <c r="Y26" s="1"/>
      <c r="Z26" s="1"/>
    </row>
    <row r="27" ht="15.75" customHeight="1">
      <c r="A27" s="16" t="str">
        <f>IFERROR(__xludf.DUMMYFUNCTION("""COMPUTED_VALUE"""),"Pulled Pork")</f>
        <v>Pulled Pork</v>
      </c>
      <c r="B27" s="16" t="str">
        <f>IFERROR(__xludf.DUMMYFUNCTION("""COMPUTED_VALUE"""),"Restores 40 Hunger")</f>
        <v>Restores 40 Hunger</v>
      </c>
      <c r="C27" s="1" t="str">
        <f>IFERROR(__xludf.DUMMYFUNCTION("""COMPUTED_VALUE"""),"Crop")</f>
        <v>Crop</v>
      </c>
      <c r="D27" s="1" t="str">
        <f>IFERROR(__xludf.DUMMYFUNCTION("""COMPUTED_VALUE"""),"Land of Spira")</f>
        <v>Land of Spira</v>
      </c>
      <c r="E27" s="1" t="b">
        <f>IFERROR(__xludf.DUMMYFUNCTION("""COMPUTED_VALUE"""),FALSE)</f>
        <v>0</v>
      </c>
      <c r="F27" s="1"/>
      <c r="G27" s="1"/>
      <c r="H27" s="1"/>
      <c r="I27" s="1"/>
      <c r="J27" s="1"/>
      <c r="K27" s="1"/>
      <c r="L27" s="1"/>
      <c r="M27" s="1"/>
      <c r="N27" s="1"/>
      <c r="O27" s="1"/>
      <c r="P27" s="1"/>
      <c r="Q27" s="1"/>
      <c r="R27" s="1"/>
      <c r="S27" s="1"/>
      <c r="T27" s="1"/>
      <c r="U27" s="1"/>
      <c r="V27" s="1"/>
      <c r="W27" s="1"/>
      <c r="X27" s="1"/>
      <c r="Y27" s="1"/>
      <c r="Z27" s="1"/>
    </row>
    <row r="28" ht="15.75" customHeight="1">
      <c r="A28" s="71" t="str">
        <f>IFERROR(__xludf.DUMMYFUNCTION("""COMPUTED_VALUE"""),"Honeyed Nordic Mead")</f>
        <v>Honeyed Nordic Mead</v>
      </c>
      <c r="B28" s="16" t="str">
        <f>IFERROR(__xludf.DUMMYFUNCTION("""COMPUTED_VALUE"""),"Restores 100 Thirst +100 energy")</f>
        <v>Restores 100 Thirst +100 energy</v>
      </c>
      <c r="C28" s="1" t="str">
        <f>IFERROR(__xludf.DUMMYFUNCTION("""COMPUTED_VALUE"""),"Item")</f>
        <v>Item</v>
      </c>
      <c r="D28" s="1" t="str">
        <f>IFERROR(__xludf.DUMMYFUNCTION("""COMPUTED_VALUE"""),"Land of Spira")</f>
        <v>Land of Spira</v>
      </c>
      <c r="E28" s="1" t="b">
        <f>IFERROR(__xludf.DUMMYFUNCTION("""COMPUTED_VALUE"""),FALSE)</f>
        <v>0</v>
      </c>
      <c r="F28" s="1"/>
      <c r="G28" s="1"/>
      <c r="H28" s="1"/>
      <c r="I28" s="1"/>
      <c r="J28" s="1"/>
      <c r="K28" s="1"/>
      <c r="L28" s="1"/>
      <c r="M28" s="1"/>
      <c r="N28" s="1"/>
      <c r="O28" s="1"/>
      <c r="P28" s="1"/>
      <c r="Q28" s="1"/>
      <c r="R28" s="1"/>
      <c r="S28" s="1"/>
      <c r="T28" s="1"/>
      <c r="U28" s="1"/>
      <c r="V28" s="1"/>
      <c r="W28" s="1"/>
      <c r="X28" s="1"/>
      <c r="Y28" s="1"/>
      <c r="Z28" s="1"/>
    </row>
    <row r="29" ht="15.75" customHeight="1">
      <c r="A29" s="16" t="str">
        <f>IFERROR(__xludf.DUMMYFUNCTION("""COMPUTED_VALUE"""),"Wine")</f>
        <v>Wine</v>
      </c>
      <c r="B29" s="16" t="str">
        <f>IFERROR(__xludf.DUMMYFUNCTION("""COMPUTED_VALUE"""),"Restores 25 Thirst +15 energy")</f>
        <v>Restores 25 Thirst +15 energy</v>
      </c>
      <c r="C29" s="1" t="str">
        <f>IFERROR(__xludf.DUMMYFUNCTION("""COMPUTED_VALUE"""),"Item")</f>
        <v>Item</v>
      </c>
      <c r="D29" s="1" t="str">
        <f>IFERROR(__xludf.DUMMYFUNCTION("""COMPUTED_VALUE"""),"Land of Spira")</f>
        <v>Land of Spira</v>
      </c>
      <c r="E29" s="1" t="b">
        <f>IFERROR(__xludf.DUMMYFUNCTION("""COMPUTED_VALUE"""),FALSE)</f>
        <v>0</v>
      </c>
      <c r="F29" s="1"/>
      <c r="G29" s="1"/>
      <c r="H29" s="1"/>
      <c r="I29" s="1"/>
      <c r="J29" s="1"/>
      <c r="K29" s="1"/>
      <c r="L29" s="1"/>
      <c r="M29" s="1"/>
      <c r="N29" s="1"/>
      <c r="O29" s="1"/>
      <c r="P29" s="1"/>
      <c r="Q29" s="1"/>
      <c r="R29" s="1"/>
      <c r="S29" s="1"/>
      <c r="T29" s="1"/>
      <c r="U29" s="1"/>
      <c r="V29" s="1"/>
      <c r="W29" s="1"/>
      <c r="X29" s="1"/>
      <c r="Y29" s="1"/>
      <c r="Z29" s="1"/>
    </row>
    <row r="30" ht="15.75" customHeight="1">
      <c r="A30" s="21" t="str">
        <f>IFERROR(__xludf.DUMMYFUNCTION("""COMPUTED_VALUE"""),"Melomel (Mead w/ fruit added)")</f>
        <v>Melomel (Mead w/ fruit added)</v>
      </c>
      <c r="B30" s="16" t="str">
        <f>IFERROR(__xludf.DUMMYFUNCTION("""COMPUTED_VALUE"""),"Restores 50 Thirst and hunger +25 energy")</f>
        <v>Restores 50 Thirst and hunger +25 energy</v>
      </c>
      <c r="C30" s="1" t="str">
        <f>IFERROR(__xludf.DUMMYFUNCTION("""COMPUTED_VALUE"""),"Crop")</f>
        <v>Crop</v>
      </c>
      <c r="D30" s="1" t="str">
        <f>IFERROR(__xludf.DUMMYFUNCTION("""COMPUTED_VALUE"""),"Land of Spira")</f>
        <v>Land of Spira</v>
      </c>
      <c r="E30" s="1" t="b">
        <f>IFERROR(__xludf.DUMMYFUNCTION("""COMPUTED_VALUE"""),FALSE)</f>
        <v>0</v>
      </c>
      <c r="F30" s="1"/>
      <c r="G30" s="1"/>
      <c r="H30" s="1"/>
      <c r="I30" s="1"/>
      <c r="J30" s="1"/>
      <c r="K30" s="1"/>
      <c r="L30" s="1"/>
      <c r="M30" s="1"/>
      <c r="N30" s="1"/>
      <c r="O30" s="1"/>
      <c r="P30" s="1"/>
      <c r="Q30" s="1"/>
      <c r="R30" s="1"/>
      <c r="S30" s="1"/>
      <c r="T30" s="1"/>
      <c r="U30" s="1"/>
      <c r="V30" s="1"/>
      <c r="W30" s="1"/>
      <c r="X30" s="1"/>
      <c r="Y30" s="1"/>
      <c r="Z30" s="1"/>
    </row>
    <row r="31" ht="15.75" customHeight="1">
      <c r="A31" s="16" t="str">
        <f>IFERROR(__xludf.DUMMYFUNCTION("""COMPUTED_VALUE"""),"Docile Desert Djinn Gin")</f>
        <v>Docile Desert Djinn Gin</v>
      </c>
      <c r="B31"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1" t="str">
        <f>IFERROR(__xludf.DUMMYFUNCTION("""COMPUTED_VALUE"""),"Item")</f>
        <v>Item</v>
      </c>
      <c r="D31" s="1" t="str">
        <f>IFERROR(__xludf.DUMMYFUNCTION("""COMPUTED_VALUE"""),"Land of Spira")</f>
        <v>Land of Spira</v>
      </c>
      <c r="E31" s="1" t="b">
        <f>IFERROR(__xludf.DUMMYFUNCTION("""COMPUTED_VALUE"""),FALSE)</f>
        <v>0</v>
      </c>
      <c r="F31" s="1"/>
      <c r="G31" s="1"/>
      <c r="H31" s="1"/>
      <c r="I31" s="1"/>
      <c r="J31" s="1"/>
      <c r="K31" s="1"/>
      <c r="L31" s="1"/>
      <c r="M31" s="1"/>
      <c r="N31" s="1"/>
      <c r="O31" s="1"/>
      <c r="P31" s="1"/>
      <c r="Q31" s="1"/>
      <c r="R31" s="1"/>
      <c r="S31" s="1"/>
      <c r="T31" s="1"/>
      <c r="U31" s="1"/>
      <c r="V31" s="1"/>
      <c r="W31" s="1"/>
      <c r="X31" s="1"/>
      <c r="Y31" s="1"/>
      <c r="Z31" s="1"/>
    </row>
    <row r="32" ht="15.75" customHeight="1">
      <c r="A32" s="16" t="str">
        <f>IFERROR(__xludf.DUMMYFUNCTION("""COMPUTED_VALUE"""),"Small Battery")</f>
        <v>Small Battery</v>
      </c>
      <c r="B32" s="16" t="str">
        <f>IFERROR(__xludf.DUMMYFUNCTION("""COMPUTED_VALUE"""),"Restores 100 energy.")</f>
        <v>Restores 100 energy.</v>
      </c>
      <c r="C32" s="1" t="str">
        <f>IFERROR(__xludf.DUMMYFUNCTION("""COMPUTED_VALUE"""),"Item")</f>
        <v>Item</v>
      </c>
      <c r="D32" s="1" t="str">
        <f>IFERROR(__xludf.DUMMYFUNCTION("""COMPUTED_VALUE"""),"Land of Spira")</f>
        <v>Land of Spira</v>
      </c>
      <c r="E32" s="1" t="b">
        <f>IFERROR(__xludf.DUMMYFUNCTION("""COMPUTED_VALUE"""),FALSE)</f>
        <v>0</v>
      </c>
      <c r="F32" s="1"/>
      <c r="G32" s="1"/>
      <c r="H32" s="1"/>
      <c r="I32" s="1"/>
      <c r="J32" s="1"/>
      <c r="K32" s="1"/>
      <c r="L32" s="1"/>
      <c r="M32" s="1"/>
      <c r="N32" s="1"/>
      <c r="O32" s="1"/>
      <c r="P32" s="1"/>
      <c r="Q32" s="1"/>
      <c r="R32" s="1"/>
      <c r="S32" s="1"/>
      <c r="T32" s="1"/>
      <c r="U32" s="1"/>
      <c r="V32" s="1"/>
      <c r="W32" s="1"/>
      <c r="X32" s="1"/>
      <c r="Y32" s="1"/>
      <c r="Z32" s="1"/>
    </row>
    <row r="33" ht="15.75" customHeight="1">
      <c r="A33" s="16" t="str">
        <f>IFERROR(__xludf.DUMMYFUNCTION("""COMPUTED_VALUE"""),"Medium Battery")</f>
        <v>Medium Battery</v>
      </c>
      <c r="B33" s="16" t="str">
        <f>IFERROR(__xludf.DUMMYFUNCTION("""COMPUTED_VALUE"""),"Restores 250 energy.")</f>
        <v>Restores 250 energy.</v>
      </c>
      <c r="C33" s="1" t="str">
        <f>IFERROR(__xludf.DUMMYFUNCTION("""COMPUTED_VALUE"""),"Item")</f>
        <v>Item</v>
      </c>
      <c r="D33" s="1" t="str">
        <f>IFERROR(__xludf.DUMMYFUNCTION("""COMPUTED_VALUE"""),"Land of Spira")</f>
        <v>Land of Spira</v>
      </c>
      <c r="E33" s="1" t="b">
        <f>IFERROR(__xludf.DUMMYFUNCTION("""COMPUTED_VALUE"""),FALSE)</f>
        <v>0</v>
      </c>
      <c r="F33" s="1"/>
      <c r="G33" s="1"/>
      <c r="H33" s="1"/>
      <c r="I33" s="1"/>
      <c r="J33" s="1"/>
      <c r="K33" s="1"/>
      <c r="L33" s="1"/>
      <c r="M33" s="1"/>
      <c r="N33" s="1"/>
      <c r="O33" s="1"/>
      <c r="P33" s="1"/>
      <c r="Q33" s="1"/>
      <c r="R33" s="1"/>
      <c r="S33" s="1"/>
      <c r="T33" s="1"/>
      <c r="U33" s="1"/>
      <c r="V33" s="1"/>
      <c r="W33" s="1"/>
      <c r="X33" s="1"/>
      <c r="Y33" s="1"/>
      <c r="Z33" s="1"/>
    </row>
    <row r="34" ht="15.75" customHeight="1">
      <c r="A34" s="16" t="str">
        <f>IFERROR(__xludf.DUMMYFUNCTION("""COMPUTED_VALUE"""),"Large Battery")</f>
        <v>Large Battery</v>
      </c>
      <c r="B34" s="16" t="str">
        <f>IFERROR(__xludf.DUMMYFUNCTION("""COMPUTED_VALUE"""),"Restores 500 energy.")</f>
        <v>Restores 500 energy.</v>
      </c>
      <c r="C34" s="1" t="str">
        <f>IFERROR(__xludf.DUMMYFUNCTION("""COMPUTED_VALUE"""),"Item")</f>
        <v>Item</v>
      </c>
      <c r="D34" s="1" t="str">
        <f>IFERROR(__xludf.DUMMYFUNCTION("""COMPUTED_VALUE"""),"Land of Spira")</f>
        <v>Land of Spira</v>
      </c>
      <c r="E34" s="1" t="b">
        <f>IFERROR(__xludf.DUMMYFUNCTION("""COMPUTED_VALUE"""),FALSE)</f>
        <v>0</v>
      </c>
      <c r="F34" s="1"/>
      <c r="G34" s="1"/>
      <c r="H34" s="1"/>
      <c r="I34" s="1"/>
      <c r="J34" s="1"/>
      <c r="K34" s="1"/>
      <c r="L34" s="1"/>
      <c r="M34" s="1"/>
      <c r="N34" s="1"/>
      <c r="O34" s="1"/>
      <c r="P34" s="1"/>
      <c r="Q34" s="1"/>
      <c r="R34" s="1"/>
      <c r="S34" s="1"/>
      <c r="T34" s="1"/>
      <c r="U34" s="1"/>
      <c r="V34" s="1"/>
      <c r="W34" s="1"/>
      <c r="X34" s="1"/>
      <c r="Y34" s="1"/>
      <c r="Z34" s="1"/>
    </row>
    <row r="35" ht="15.75" customHeight="1">
      <c r="A35" s="16" t="str">
        <f>IFERROR(__xludf.DUMMYFUNCTION("""COMPUTED_VALUE"""),"Wind Queen's Soul")</f>
        <v>Wind Queen's Soul</v>
      </c>
      <c r="B35" s="16" t="str">
        <f>IFERROR(__xludf.DUMMYFUNCTION("""COMPUTED_VALUE"""),"(Quest Item) It pulses with a dark energy")</f>
        <v>(Quest Item) It pulses with a dark energy</v>
      </c>
      <c r="C35" s="1" t="str">
        <f>IFERROR(__xludf.DUMMYFUNCTION("""COMPUTED_VALUE"""),"Item")</f>
        <v>Item</v>
      </c>
      <c r="D35" s="1" t="str">
        <f>IFERROR(__xludf.DUMMYFUNCTION("""COMPUTED_VALUE"""),"Land of Spira")</f>
        <v>Land of Spira</v>
      </c>
      <c r="E35" s="1" t="b">
        <f>IFERROR(__xludf.DUMMYFUNCTION("""COMPUTED_VALUE"""),FALSE)</f>
        <v>0</v>
      </c>
      <c r="F35" s="1"/>
      <c r="G35" s="1"/>
      <c r="H35" s="1"/>
      <c r="I35" s="1"/>
      <c r="J35" s="1"/>
      <c r="K35" s="1"/>
      <c r="L35" s="1"/>
      <c r="M35" s="1"/>
      <c r="N35" s="1"/>
      <c r="O35" s="1"/>
      <c r="P35" s="1"/>
      <c r="Q35" s="1"/>
      <c r="R35" s="1"/>
      <c r="S35" s="1"/>
      <c r="T35" s="1"/>
      <c r="U35" s="1"/>
      <c r="V35" s="1"/>
      <c r="W35" s="1"/>
      <c r="X35" s="1"/>
      <c r="Y35" s="1"/>
      <c r="Z35" s="1"/>
    </row>
    <row r="36" ht="15.75" customHeight="1">
      <c r="A36" s="71" t="str">
        <f>IFERROR(__xludf.DUMMYFUNCTION("""COMPUTED_VALUE"""),"Wave Queen's Soul")</f>
        <v>Wave Queen's Soul</v>
      </c>
      <c r="B36" s="16" t="str">
        <f>IFERROR(__xludf.DUMMYFUNCTION("""COMPUTED_VALUE"""),"(Quest Item) It pulses with a dark energy")</f>
        <v>(Quest Item) It pulses with a dark energy</v>
      </c>
      <c r="C36" s="1" t="str">
        <f>IFERROR(__xludf.DUMMYFUNCTION("""COMPUTED_VALUE"""),"Item")</f>
        <v>Item</v>
      </c>
      <c r="D36" s="1" t="str">
        <f>IFERROR(__xludf.DUMMYFUNCTION("""COMPUTED_VALUE"""),"Land of Spira")</f>
        <v>Land of Spira</v>
      </c>
      <c r="E36" s="1" t="b">
        <f>IFERROR(__xludf.DUMMYFUNCTION("""COMPUTED_VALUE"""),FALSE)</f>
        <v>0</v>
      </c>
      <c r="F36" s="1"/>
      <c r="G36" s="1"/>
      <c r="H36" s="1"/>
      <c r="I36" s="1"/>
      <c r="J36" s="1"/>
      <c r="K36" s="1"/>
      <c r="L36" s="1"/>
      <c r="M36" s="1"/>
      <c r="N36" s="1"/>
      <c r="O36" s="1"/>
      <c r="P36" s="1"/>
      <c r="Q36" s="1"/>
      <c r="R36" s="1"/>
      <c r="S36" s="1"/>
      <c r="T36" s="1"/>
      <c r="U36" s="1"/>
      <c r="V36" s="1"/>
      <c r="W36" s="1"/>
      <c r="X36" s="1"/>
      <c r="Y36" s="1"/>
      <c r="Z36" s="1"/>
    </row>
    <row r="37" ht="15.75" customHeight="1">
      <c r="A37" s="71" t="str">
        <f>IFERROR(__xludf.DUMMYFUNCTION("""COMPUTED_VALUE"""),"Storm King's Soul")</f>
        <v>Storm King's Soul</v>
      </c>
      <c r="B37" s="16" t="str">
        <f>IFERROR(__xludf.DUMMYFUNCTION("""COMPUTED_VALUE"""),"(Quest Item) It pulses with a dark energy")</f>
        <v>(Quest Item) It pulses with a dark energy</v>
      </c>
      <c r="C37" s="1" t="str">
        <f>IFERROR(__xludf.DUMMYFUNCTION("""COMPUTED_VALUE"""),"Item")</f>
        <v>Item</v>
      </c>
      <c r="D37" s="1" t="str">
        <f>IFERROR(__xludf.DUMMYFUNCTION("""COMPUTED_VALUE"""),"Land of Spira")</f>
        <v>Land of Spira</v>
      </c>
      <c r="E37" s="1" t="b">
        <f>IFERROR(__xludf.DUMMYFUNCTION("""COMPUTED_VALUE"""),FALSE)</f>
        <v>0</v>
      </c>
      <c r="F37" s="1"/>
      <c r="G37" s="1"/>
      <c r="H37" s="1"/>
      <c r="I37" s="1"/>
      <c r="J37" s="1"/>
      <c r="K37" s="1"/>
      <c r="L37" s="1"/>
      <c r="M37" s="1"/>
      <c r="N37" s="1"/>
      <c r="O37" s="1"/>
      <c r="P37" s="1"/>
      <c r="Q37" s="1"/>
      <c r="R37" s="1"/>
      <c r="S37" s="1"/>
      <c r="T37" s="1"/>
      <c r="U37" s="1"/>
      <c r="V37" s="1"/>
      <c r="W37" s="1"/>
      <c r="X37" s="1"/>
      <c r="Y37" s="1"/>
      <c r="Z37" s="1"/>
    </row>
    <row r="38" ht="15.75" customHeight="1">
      <c r="A38" s="71" t="str">
        <f>IFERROR(__xludf.DUMMYFUNCTION("""COMPUTED_VALUE"""),"Stone King's Soul")</f>
        <v>Stone King's Soul</v>
      </c>
      <c r="B38" s="16" t="str">
        <f>IFERROR(__xludf.DUMMYFUNCTION("""COMPUTED_VALUE"""),"(Quest Item) It pulses with a dark energy")</f>
        <v>(Quest Item) It pulses with a dark energy</v>
      </c>
      <c r="C38" s="1" t="str">
        <f>IFERROR(__xludf.DUMMYFUNCTION("""COMPUTED_VALUE"""),"Item")</f>
        <v>Item</v>
      </c>
      <c r="D38" s="1" t="str">
        <f>IFERROR(__xludf.DUMMYFUNCTION("""COMPUTED_VALUE"""),"Land of Spira")</f>
        <v>Land of Spira</v>
      </c>
      <c r="E38" s="1" t="b">
        <f>IFERROR(__xludf.DUMMYFUNCTION("""COMPUTED_VALUE"""),FALSE)</f>
        <v>0</v>
      </c>
      <c r="F38" s="1"/>
      <c r="G38" s="1"/>
      <c r="H38" s="1"/>
      <c r="I38" s="1"/>
      <c r="J38" s="1"/>
      <c r="K38" s="1"/>
      <c r="L38" s="1"/>
      <c r="M38" s="1"/>
      <c r="N38" s="1"/>
      <c r="O38" s="1"/>
      <c r="P38" s="1"/>
      <c r="Q38" s="1"/>
      <c r="R38" s="1"/>
      <c r="S38" s="1"/>
      <c r="T38" s="1"/>
      <c r="U38" s="1"/>
      <c r="V38" s="1"/>
      <c r="W38" s="1"/>
      <c r="X38" s="1"/>
      <c r="Y38" s="1"/>
      <c r="Z38" s="1"/>
    </row>
    <row r="39" ht="15.75" customHeight="1">
      <c r="A39" s="16" t="str">
        <f>IFERROR(__xludf.DUMMYFUNCTION("""COMPUTED_VALUE"""),"Inferno King Soul")</f>
        <v>Inferno King Soul</v>
      </c>
      <c r="B39" s="16" t="str">
        <f>IFERROR(__xludf.DUMMYFUNCTION("""COMPUTED_VALUE"""),"(Quest Item) It pulses with a dark energy")</f>
        <v>(Quest Item) It pulses with a dark energy</v>
      </c>
      <c r="C39" s="1" t="str">
        <f>IFERROR(__xludf.DUMMYFUNCTION("""COMPUTED_VALUE"""),"Item")</f>
        <v>Item</v>
      </c>
      <c r="D39" s="1" t="str">
        <f>IFERROR(__xludf.DUMMYFUNCTION("""COMPUTED_VALUE"""),"Land of Spira")</f>
        <v>Land of Spira</v>
      </c>
      <c r="E39" s="1" t="b">
        <f>IFERROR(__xludf.DUMMYFUNCTION("""COMPUTED_VALUE"""),FALSE)</f>
        <v>0</v>
      </c>
      <c r="F39" s="1"/>
      <c r="G39" s="1"/>
      <c r="H39" s="1"/>
      <c r="I39" s="1"/>
      <c r="J39" s="1"/>
      <c r="K39" s="1"/>
      <c r="L39" s="1"/>
      <c r="M39" s="1"/>
      <c r="N39" s="1"/>
      <c r="O39" s="1"/>
      <c r="P39" s="1"/>
      <c r="Q39" s="1"/>
      <c r="R39" s="1"/>
      <c r="S39" s="1"/>
      <c r="T39" s="1"/>
      <c r="U39" s="1"/>
      <c r="V39" s="1"/>
      <c r="W39" s="1"/>
      <c r="X39" s="1"/>
      <c r="Y39" s="1"/>
      <c r="Z39" s="1"/>
    </row>
    <row r="40" ht="15.75" customHeight="1">
      <c r="A40" s="16"/>
      <c r="B40" s="16"/>
      <c r="C40" s="1" t="str">
        <f>IFERROR(__xludf.DUMMYFUNCTION("""COMPUTED_VALUE"""),"Item")</f>
        <v>Item</v>
      </c>
      <c r="D40" s="1" t="str">
        <f>IFERROR(__xludf.DUMMYFUNCTION("""COMPUTED_VALUE"""),"Land of Spira")</f>
        <v>Land of Spira</v>
      </c>
      <c r="E40" s="1" t="b">
        <f>IFERROR(__xludf.DUMMYFUNCTION("""COMPUTED_VALUE"""),FALSE)</f>
        <v>0</v>
      </c>
      <c r="F40" s="1"/>
      <c r="G40" s="1"/>
      <c r="H40" s="1"/>
      <c r="I40" s="1"/>
      <c r="J40" s="1"/>
      <c r="K40" s="1"/>
      <c r="L40" s="1"/>
      <c r="M40" s="1"/>
      <c r="N40" s="1"/>
      <c r="O40" s="1"/>
      <c r="P40" s="1"/>
      <c r="Q40" s="1"/>
      <c r="R40" s="1"/>
      <c r="S40" s="1"/>
      <c r="T40" s="1"/>
      <c r="U40" s="1"/>
      <c r="V40" s="1"/>
      <c r="W40" s="1"/>
      <c r="X40" s="1"/>
      <c r="Y40" s="1"/>
      <c r="Z40" s="1"/>
    </row>
    <row r="41" ht="15.75" customHeight="1">
      <c r="A41" s="16"/>
      <c r="B41" s="16"/>
      <c r="C41" s="1" t="str">
        <f>IFERROR(__xludf.DUMMYFUNCTION("""COMPUTED_VALUE"""),"Item")</f>
        <v>Item</v>
      </c>
      <c r="D41" s="1" t="str">
        <f>IFERROR(__xludf.DUMMYFUNCTION("""COMPUTED_VALUE"""),"Land of Spira")</f>
        <v>Land of Spira</v>
      </c>
      <c r="E41" s="1" t="b">
        <f>IFERROR(__xludf.DUMMYFUNCTION("""COMPUTED_VALUE"""),FALSE)</f>
        <v>0</v>
      </c>
      <c r="F41" s="1"/>
      <c r="G41" s="1"/>
      <c r="H41" s="1"/>
      <c r="I41" s="1"/>
      <c r="J41" s="1"/>
      <c r="K41" s="1"/>
      <c r="L41" s="1"/>
      <c r="M41" s="1"/>
      <c r="N41" s="1"/>
      <c r="O41" s="1"/>
      <c r="P41" s="1"/>
      <c r="Q41" s="1"/>
      <c r="R41" s="1"/>
      <c r="S41" s="1"/>
      <c r="T41" s="1"/>
      <c r="U41" s="1"/>
      <c r="V41" s="1"/>
      <c r="W41" s="1"/>
      <c r="X41" s="1"/>
      <c r="Y41" s="1"/>
      <c r="Z41" s="1"/>
    </row>
    <row r="42" ht="15.75" customHeight="1">
      <c r="A42" s="16"/>
      <c r="B42" s="16"/>
      <c r="C42" s="1" t="str">
        <f>IFERROR(__xludf.DUMMYFUNCTION("""COMPUTED_VALUE"""),"Item")</f>
        <v>Item</v>
      </c>
      <c r="D42" s="1" t="str">
        <f>IFERROR(__xludf.DUMMYFUNCTION("""COMPUTED_VALUE"""),"Land of Spira")</f>
        <v>Land of Spira</v>
      </c>
      <c r="E42" s="1" t="b">
        <f>IFERROR(__xludf.DUMMYFUNCTION("""COMPUTED_VALUE"""),FALSE)</f>
        <v>0</v>
      </c>
      <c r="F42" s="1"/>
      <c r="G42" s="1"/>
      <c r="H42" s="1"/>
      <c r="I42" s="1"/>
      <c r="J42" s="1"/>
      <c r="K42" s="1"/>
      <c r="L42" s="1"/>
      <c r="M42" s="1"/>
      <c r="N42" s="1"/>
      <c r="O42" s="1"/>
      <c r="P42" s="1"/>
      <c r="Q42" s="1"/>
      <c r="R42" s="1"/>
      <c r="S42" s="1"/>
      <c r="T42" s="1"/>
      <c r="U42" s="1"/>
      <c r="V42" s="1"/>
      <c r="W42" s="1"/>
      <c r="X42" s="1"/>
      <c r="Y42" s="1"/>
      <c r="Z42" s="1"/>
    </row>
    <row r="43" ht="15.75" customHeight="1">
      <c r="A43" s="16"/>
      <c r="B43" s="16"/>
      <c r="C43" s="1" t="str">
        <f>IFERROR(__xludf.DUMMYFUNCTION("""COMPUTED_VALUE"""),"Item")</f>
        <v>Item</v>
      </c>
      <c r="D43" s="1" t="str">
        <f>IFERROR(__xludf.DUMMYFUNCTION("""COMPUTED_VALUE"""),"Land of Spira")</f>
        <v>Land of Spira</v>
      </c>
      <c r="E43" s="1" t="b">
        <f>IFERROR(__xludf.DUMMYFUNCTION("""COMPUTED_VALUE"""),FALSE)</f>
        <v>0</v>
      </c>
      <c r="F43" s="1"/>
      <c r="G43" s="1"/>
      <c r="H43" s="1"/>
      <c r="I43" s="1"/>
      <c r="J43" s="1"/>
      <c r="K43" s="1"/>
      <c r="L43" s="1"/>
      <c r="M43" s="1"/>
      <c r="N43" s="1"/>
      <c r="O43" s="1"/>
      <c r="P43" s="1"/>
      <c r="Q43" s="1"/>
      <c r="R43" s="1"/>
      <c r="S43" s="1"/>
      <c r="T43" s="1"/>
      <c r="U43" s="1"/>
      <c r="V43" s="1"/>
      <c r="W43" s="1"/>
      <c r="X43" s="1"/>
      <c r="Y43" s="1"/>
      <c r="Z43" s="1"/>
    </row>
    <row r="44" ht="15.75" customHeight="1">
      <c r="A44" s="16"/>
      <c r="B44" s="16"/>
      <c r="C44" s="1" t="str">
        <f>IFERROR(__xludf.DUMMYFUNCTION("""COMPUTED_VALUE"""),"Item")</f>
        <v>Item</v>
      </c>
      <c r="D44" s="1" t="str">
        <f>IFERROR(__xludf.DUMMYFUNCTION("""COMPUTED_VALUE"""),"Land of Spira")</f>
        <v>Land of Spira</v>
      </c>
      <c r="E44" s="1" t="b">
        <f>IFERROR(__xludf.DUMMYFUNCTION("""COMPUTED_VALUE"""),FALSE)</f>
        <v>0</v>
      </c>
      <c r="F44" s="1"/>
      <c r="G44" s="1"/>
      <c r="H44" s="1"/>
      <c r="I44" s="1"/>
      <c r="J44" s="1"/>
      <c r="K44" s="1"/>
      <c r="L44" s="1"/>
      <c r="M44" s="1"/>
      <c r="N44" s="1"/>
      <c r="O44" s="1"/>
      <c r="P44" s="1"/>
      <c r="Q44" s="1"/>
      <c r="R44" s="1"/>
      <c r="S44" s="1"/>
      <c r="T44" s="1"/>
      <c r="U44" s="1"/>
      <c r="V44" s="1"/>
      <c r="W44" s="1"/>
      <c r="X44" s="1"/>
      <c r="Y44" s="1"/>
      <c r="Z44" s="1"/>
    </row>
    <row r="45" ht="15.75" customHeight="1">
      <c r="A45" s="16"/>
      <c r="B45" s="16"/>
      <c r="C45" s="1" t="str">
        <f>IFERROR(__xludf.DUMMYFUNCTION("""COMPUTED_VALUE"""),"Item")</f>
        <v>Item</v>
      </c>
      <c r="D45" s="1" t="str">
        <f>IFERROR(__xludf.DUMMYFUNCTION("""COMPUTED_VALUE"""),"Land of Spira")</f>
        <v>Land of Spira</v>
      </c>
      <c r="E45" s="1" t="b">
        <f>IFERROR(__xludf.DUMMYFUNCTION("""COMPUTED_VALUE"""),FALSE)</f>
        <v>0</v>
      </c>
      <c r="F45" s="1"/>
      <c r="G45" s="1"/>
      <c r="H45" s="1"/>
      <c r="I45" s="1"/>
      <c r="J45" s="1"/>
      <c r="K45" s="1"/>
      <c r="L45" s="1"/>
      <c r="M45" s="1"/>
      <c r="N45" s="1"/>
      <c r="O45" s="1"/>
      <c r="P45" s="1"/>
      <c r="Q45" s="1"/>
      <c r="R45" s="1"/>
      <c r="S45" s="1"/>
      <c r="T45" s="1"/>
      <c r="U45" s="1"/>
      <c r="V45" s="1"/>
      <c r="W45" s="1"/>
      <c r="X45" s="1"/>
      <c r="Y45" s="1"/>
      <c r="Z45" s="1"/>
    </row>
    <row r="46" ht="15.75" customHeight="1">
      <c r="A46" s="16"/>
      <c r="B46" s="16"/>
      <c r="C46" s="1" t="str">
        <f>IFERROR(__xludf.DUMMYFUNCTION("""COMPUTED_VALUE"""),"Item")</f>
        <v>Item</v>
      </c>
      <c r="D46" s="1" t="str">
        <f>IFERROR(__xludf.DUMMYFUNCTION("""COMPUTED_VALUE"""),"Land of Spira")</f>
        <v>Land of Spira</v>
      </c>
      <c r="E46" s="1" t="b">
        <f>IFERROR(__xludf.DUMMYFUNCTION("""COMPUTED_VALUE"""),FALSE)</f>
        <v>0</v>
      </c>
      <c r="F46" s="1"/>
      <c r="G46" s="1"/>
      <c r="H46" s="1"/>
      <c r="I46" s="1"/>
      <c r="J46" s="1"/>
      <c r="K46" s="1"/>
      <c r="L46" s="1"/>
      <c r="M46" s="1"/>
      <c r="N46" s="1"/>
      <c r="O46" s="1"/>
      <c r="P46" s="1"/>
      <c r="Q46" s="1"/>
      <c r="R46" s="1"/>
      <c r="S46" s="1"/>
      <c r="T46" s="1"/>
      <c r="U46" s="1"/>
      <c r="V46" s="1"/>
      <c r="W46" s="1"/>
      <c r="X46" s="1"/>
      <c r="Y46" s="1"/>
      <c r="Z46" s="1"/>
    </row>
    <row r="47" ht="15.75" customHeight="1">
      <c r="A47" s="16"/>
      <c r="B47" s="16"/>
      <c r="C47" s="1" t="str">
        <f>IFERROR(__xludf.DUMMYFUNCTION("""COMPUTED_VALUE"""),"Item")</f>
        <v>Item</v>
      </c>
      <c r="D47" s="1" t="str">
        <f>IFERROR(__xludf.DUMMYFUNCTION("""COMPUTED_VALUE"""),"Land of Spira")</f>
        <v>Land of Spira</v>
      </c>
      <c r="E47" s="1" t="b">
        <f>IFERROR(__xludf.DUMMYFUNCTION("""COMPUTED_VALUE"""),FALSE)</f>
        <v>0</v>
      </c>
      <c r="F47" s="1"/>
      <c r="G47" s="1"/>
      <c r="H47" s="1"/>
      <c r="I47" s="1"/>
      <c r="J47" s="1"/>
      <c r="K47" s="1"/>
      <c r="L47" s="1"/>
      <c r="M47" s="1"/>
      <c r="N47" s="1"/>
      <c r="O47" s="1"/>
      <c r="P47" s="1"/>
      <c r="Q47" s="1"/>
      <c r="R47" s="1"/>
      <c r="S47" s="1"/>
      <c r="T47" s="1"/>
      <c r="U47" s="1"/>
      <c r="V47" s="1"/>
      <c r="W47" s="1"/>
      <c r="X47" s="1"/>
      <c r="Y47" s="1"/>
      <c r="Z47" s="1"/>
    </row>
    <row r="48" ht="15.75" customHeight="1">
      <c r="A48" s="16"/>
      <c r="B48" s="16"/>
      <c r="C48" s="1" t="str">
        <f>IFERROR(__xludf.DUMMYFUNCTION("""COMPUTED_VALUE"""),"Item")</f>
        <v>Item</v>
      </c>
      <c r="D48" s="1" t="str">
        <f>IFERROR(__xludf.DUMMYFUNCTION("""COMPUTED_VALUE"""),"Land of Spira")</f>
        <v>Land of Spira</v>
      </c>
      <c r="E48" s="1" t="b">
        <f>IFERROR(__xludf.DUMMYFUNCTION("""COMPUTED_VALUE"""),FALSE)</f>
        <v>0</v>
      </c>
      <c r="F48" s="1"/>
      <c r="G48" s="1"/>
      <c r="H48" s="1"/>
      <c r="I48" s="1"/>
      <c r="J48" s="1"/>
      <c r="K48" s="1"/>
      <c r="L48" s="1"/>
      <c r="M48" s="1"/>
      <c r="N48" s="1"/>
      <c r="O48" s="1"/>
      <c r="P48" s="1"/>
      <c r="Q48" s="1"/>
      <c r="R48" s="1"/>
      <c r="S48" s="1"/>
      <c r="T48" s="1"/>
      <c r="U48" s="1"/>
      <c r="V48" s="1"/>
      <c r="W48" s="1"/>
      <c r="X48" s="1"/>
      <c r="Y48" s="1"/>
      <c r="Z48" s="1"/>
    </row>
    <row r="49" ht="15.75" customHeight="1">
      <c r="A49" s="16" t="str">
        <f>IFERROR(__xludf.DUMMYFUNCTION("""COMPUTED_VALUE"""),"Docile Desert Djinn’s Gin")</f>
        <v>Docile Desert Djinn’s Gin</v>
      </c>
      <c r="B49" s="16"/>
      <c r="C49" s="1" t="str">
        <f>IFERROR(__xludf.DUMMYFUNCTION("""COMPUTED_VALUE"""),"Item")</f>
        <v>Item</v>
      </c>
      <c r="D49" s="1" t="str">
        <f>IFERROR(__xludf.DUMMYFUNCTION("""COMPUTED_VALUE"""),"Land of Spira")</f>
        <v>Land of Spira</v>
      </c>
      <c r="E49" s="1" t="b">
        <f>IFERROR(__xludf.DUMMYFUNCTION("""COMPUTED_VALUE"""),FALSE)</f>
        <v>0</v>
      </c>
      <c r="F49" s="1"/>
      <c r="G49" s="1"/>
      <c r="H49" s="1"/>
      <c r="I49" s="1"/>
      <c r="J49" s="1"/>
      <c r="K49" s="1"/>
      <c r="L49" s="1"/>
      <c r="M49" s="1"/>
      <c r="N49" s="1"/>
      <c r="O49" s="1"/>
      <c r="P49" s="1"/>
      <c r="Q49" s="1"/>
      <c r="R49" s="1"/>
      <c r="S49" s="1"/>
      <c r="T49" s="1"/>
      <c r="U49" s="1"/>
      <c r="V49" s="1"/>
      <c r="W49" s="1"/>
      <c r="X49" s="1"/>
      <c r="Y49" s="1"/>
      <c r="Z49" s="1"/>
    </row>
    <row r="50" ht="15.75" customHeight="1">
      <c r="A50" s="16" t="str">
        <f>IFERROR(__xludf.DUMMYFUNCTION("""COMPUTED_VALUE"""),"Minor Health Potion")</f>
        <v>Minor Health Potion</v>
      </c>
      <c r="B50" s="16" t="str">
        <f>IFERROR(__xludf.DUMMYFUNCTION("""COMPUTED_VALUE"""),"Restores 20HP")</f>
        <v>Restores 20HP</v>
      </c>
      <c r="C50" s="1" t="str">
        <f>IFERROR(__xludf.DUMMYFUNCTION("""COMPUTED_VALUE"""),"Item")</f>
        <v>Item</v>
      </c>
      <c r="D50" s="1" t="str">
        <f>IFERROR(__xludf.DUMMYFUNCTION("""COMPUTED_VALUE"""),"Land of Spira")</f>
        <v>Land of Spira</v>
      </c>
      <c r="E50" s="1" t="b">
        <f>IFERROR(__xludf.DUMMYFUNCTION("""COMPUTED_VALUE"""),FALSE)</f>
        <v>0</v>
      </c>
      <c r="F50" s="1"/>
      <c r="G50" s="1"/>
      <c r="H50" s="1"/>
      <c r="I50" s="1"/>
      <c r="J50" s="1"/>
      <c r="K50" s="1"/>
      <c r="L50" s="1"/>
      <c r="M50" s="1"/>
      <c r="N50" s="1"/>
      <c r="O50" s="1"/>
      <c r="P50" s="1"/>
      <c r="Q50" s="1"/>
      <c r="R50" s="1"/>
      <c r="S50" s="1"/>
      <c r="T50" s="1"/>
      <c r="U50" s="1"/>
      <c r="V50" s="1"/>
      <c r="W50" s="1"/>
      <c r="X50" s="1"/>
      <c r="Y50" s="1"/>
      <c r="Z50" s="1"/>
    </row>
    <row r="51" ht="15.75" customHeight="1">
      <c r="A51" s="16" t="str">
        <f>IFERROR(__xludf.DUMMYFUNCTION("""COMPUTED_VALUE"""),"Medium Health Potion")</f>
        <v>Medium Health Potion</v>
      </c>
      <c r="B51" s="16" t="str">
        <f>IFERROR(__xludf.DUMMYFUNCTION("""COMPUTED_VALUE"""),"Restores 50HP")</f>
        <v>Restores 50HP</v>
      </c>
      <c r="C51" s="1" t="str">
        <f>IFERROR(__xludf.DUMMYFUNCTION("""COMPUTED_VALUE"""),"Item")</f>
        <v>Item</v>
      </c>
      <c r="D51" s="1" t="str">
        <f>IFERROR(__xludf.DUMMYFUNCTION("""COMPUTED_VALUE"""),"Land of Spira")</f>
        <v>Land of Spira</v>
      </c>
      <c r="E51" s="1" t="b">
        <f>IFERROR(__xludf.DUMMYFUNCTION("""COMPUTED_VALUE"""),FALSE)</f>
        <v>0</v>
      </c>
      <c r="F51" s="1"/>
      <c r="G51" s="1"/>
      <c r="H51" s="1"/>
      <c r="I51" s="1"/>
      <c r="J51" s="1"/>
      <c r="K51" s="1"/>
      <c r="L51" s="1"/>
      <c r="M51" s="1"/>
      <c r="N51" s="1"/>
      <c r="O51" s="1"/>
      <c r="P51" s="1"/>
      <c r="Q51" s="1"/>
      <c r="R51" s="1"/>
      <c r="S51" s="1"/>
      <c r="T51" s="1"/>
      <c r="U51" s="1"/>
      <c r="V51" s="1"/>
      <c r="W51" s="1"/>
      <c r="X51" s="1"/>
      <c r="Y51" s="1"/>
      <c r="Z51" s="1"/>
    </row>
    <row r="52" ht="15.75" customHeight="1">
      <c r="A52" s="71" t="str">
        <f>IFERROR(__xludf.DUMMYFUNCTION("""COMPUTED_VALUE"""),"Max Health Potion")</f>
        <v>Max Health Potion</v>
      </c>
      <c r="B52" s="21" t="str">
        <f>IFERROR(__xludf.DUMMYFUNCTION("""COMPUTED_VALUE"""),"Restores 100HP")</f>
        <v>Restores 100HP</v>
      </c>
      <c r="C52" s="1" t="str">
        <f>IFERROR(__xludf.DUMMYFUNCTION("""COMPUTED_VALUE"""),"Item")</f>
        <v>Item</v>
      </c>
      <c r="D52" s="1" t="str">
        <f>IFERROR(__xludf.DUMMYFUNCTION("""COMPUTED_VALUE"""),"Land of Spira")</f>
        <v>Land of Spira</v>
      </c>
      <c r="E52" s="1" t="b">
        <f>IFERROR(__xludf.DUMMYFUNCTION("""COMPUTED_VALUE"""),FALSE)</f>
        <v>0</v>
      </c>
      <c r="F52" s="1"/>
      <c r="G52" s="1"/>
      <c r="H52" s="1"/>
      <c r="I52" s="1"/>
      <c r="J52" s="1"/>
      <c r="K52" s="1"/>
      <c r="L52" s="1"/>
      <c r="M52" s="1"/>
      <c r="N52" s="1"/>
      <c r="O52" s="1"/>
      <c r="P52" s="1"/>
      <c r="Q52" s="1"/>
      <c r="R52" s="1"/>
      <c r="S52" s="1"/>
      <c r="T52" s="1"/>
      <c r="U52" s="1"/>
      <c r="V52" s="1"/>
      <c r="W52" s="1"/>
      <c r="X52" s="1"/>
      <c r="Y52" s="1"/>
      <c r="Z52" s="1"/>
    </row>
    <row r="53" ht="15.75" customHeight="1">
      <c r="A53" s="71" t="str">
        <f>IFERROR(__xludf.DUMMYFUNCTION("""COMPUTED_VALUE"""),"Minor Mana Potion")</f>
        <v>Minor Mana Potion</v>
      </c>
      <c r="B53" s="21" t="str">
        <f>IFERROR(__xludf.DUMMYFUNCTION("""COMPUTED_VALUE"""),"Restores 20SP")</f>
        <v>Restores 20SP</v>
      </c>
      <c r="C53" s="1" t="str">
        <f>IFERROR(__xludf.DUMMYFUNCTION("""COMPUTED_VALUE"""),"Item")</f>
        <v>Item</v>
      </c>
      <c r="D53" s="1" t="str">
        <f>IFERROR(__xludf.DUMMYFUNCTION("""COMPUTED_VALUE"""),"Land of Spira")</f>
        <v>Land of Spira</v>
      </c>
      <c r="E53" s="1" t="b">
        <f>IFERROR(__xludf.DUMMYFUNCTION("""COMPUTED_VALUE"""),FALSE)</f>
        <v>0</v>
      </c>
      <c r="F53" s="1"/>
      <c r="G53" s="1"/>
      <c r="H53" s="1"/>
      <c r="I53" s="1"/>
      <c r="J53" s="1"/>
      <c r="K53" s="1"/>
      <c r="L53" s="1"/>
      <c r="M53" s="1"/>
      <c r="N53" s="1"/>
      <c r="O53" s="1"/>
      <c r="P53" s="1"/>
      <c r="Q53" s="1"/>
      <c r="R53" s="1"/>
      <c r="S53" s="1"/>
      <c r="T53" s="1"/>
      <c r="U53" s="1"/>
      <c r="V53" s="1"/>
      <c r="W53" s="1"/>
      <c r="X53" s="1"/>
      <c r="Y53" s="1"/>
      <c r="Z53" s="1"/>
    </row>
    <row r="54" ht="15.75" customHeight="1">
      <c r="A54" s="21" t="str">
        <f>IFERROR(__xludf.DUMMYFUNCTION("""COMPUTED_VALUE"""),"Medium Mana Potion")</f>
        <v>Medium Mana Potion</v>
      </c>
      <c r="B54" s="16" t="str">
        <f>IFERROR(__xludf.DUMMYFUNCTION("""COMPUTED_VALUE"""),"Restores 50SP")</f>
        <v>Restores 50SP</v>
      </c>
      <c r="C54" s="1" t="str">
        <f>IFERROR(__xludf.DUMMYFUNCTION("""COMPUTED_VALUE"""),"Item")</f>
        <v>Item</v>
      </c>
      <c r="D54" s="1" t="str">
        <f>IFERROR(__xludf.DUMMYFUNCTION("""COMPUTED_VALUE"""),"Land of Spira")</f>
        <v>Land of Spira</v>
      </c>
      <c r="E54" s="1" t="b">
        <f>IFERROR(__xludf.DUMMYFUNCTION("""COMPUTED_VALUE"""),FALSE)</f>
        <v>0</v>
      </c>
      <c r="F54" s="1"/>
      <c r="G54" s="1"/>
      <c r="H54" s="1"/>
      <c r="I54" s="1"/>
      <c r="J54" s="1"/>
      <c r="K54" s="1"/>
      <c r="L54" s="1"/>
      <c r="M54" s="1"/>
      <c r="N54" s="1"/>
      <c r="O54" s="1"/>
      <c r="P54" s="1"/>
      <c r="Q54" s="1"/>
      <c r="R54" s="1"/>
      <c r="S54" s="1"/>
      <c r="T54" s="1"/>
      <c r="U54" s="1"/>
      <c r="V54" s="1"/>
      <c r="W54" s="1"/>
      <c r="X54" s="1"/>
      <c r="Y54" s="1"/>
      <c r="Z54" s="1"/>
    </row>
    <row r="55" ht="15.75" customHeight="1">
      <c r="A55" s="21" t="str">
        <f>IFERROR(__xludf.DUMMYFUNCTION("""COMPUTED_VALUE"""),"Max Mana Potion")</f>
        <v>Max Mana Potion</v>
      </c>
      <c r="B55" s="16" t="str">
        <f>IFERROR(__xludf.DUMMYFUNCTION("""COMPUTED_VALUE"""),"Restores 100SP")</f>
        <v>Restores 100SP</v>
      </c>
      <c r="C55" s="1" t="str">
        <f>IFERROR(__xludf.DUMMYFUNCTION("""COMPUTED_VALUE"""),"Item")</f>
        <v>Item</v>
      </c>
      <c r="D55" s="1" t="str">
        <f>IFERROR(__xludf.DUMMYFUNCTION("""COMPUTED_VALUE"""),"Land of Spira")</f>
        <v>Land of Spira</v>
      </c>
      <c r="E55" s="1" t="b">
        <f>IFERROR(__xludf.DUMMYFUNCTION("""COMPUTED_VALUE"""),FALSE)</f>
        <v>0</v>
      </c>
      <c r="F55" s="1"/>
      <c r="G55" s="1"/>
      <c r="H55" s="1"/>
      <c r="I55" s="1"/>
      <c r="J55" s="1"/>
      <c r="K55" s="1"/>
      <c r="L55" s="1"/>
      <c r="M55" s="1"/>
      <c r="N55" s="1"/>
      <c r="O55" s="1"/>
      <c r="P55" s="1"/>
      <c r="Q55" s="1"/>
      <c r="R55" s="1"/>
      <c r="S55" s="1"/>
      <c r="T55" s="1"/>
      <c r="U55" s="1"/>
      <c r="V55" s="1"/>
      <c r="W55" s="1"/>
      <c r="X55" s="1"/>
      <c r="Y55" s="1"/>
      <c r="Z55" s="1"/>
    </row>
    <row r="56" ht="15.75" customHeight="1">
      <c r="A56" s="21" t="str">
        <f>IFERROR(__xludf.DUMMYFUNCTION("""COMPUTED_VALUE"""),"Potion of Multishot")</f>
        <v>Potion of Multishot</v>
      </c>
      <c r="B56" s="16" t="str">
        <f>IFERROR(__xludf.DUMMYFUNCTION("""COMPUTED_VALUE"""),"Allows multishot use without consuming mana")</f>
        <v>Allows multishot use without consuming mana</v>
      </c>
      <c r="C56" s="1" t="str">
        <f>IFERROR(__xludf.DUMMYFUNCTION("""COMPUTED_VALUE"""),"Item")</f>
        <v>Item</v>
      </c>
      <c r="D56" s="1" t="str">
        <f>IFERROR(__xludf.DUMMYFUNCTION("""COMPUTED_VALUE"""),"Land of Spira")</f>
        <v>Land of Spira</v>
      </c>
      <c r="E56" s="1" t="b">
        <f>IFERROR(__xludf.DUMMYFUNCTION("""COMPUTED_VALUE"""),FALSE)</f>
        <v>0</v>
      </c>
      <c r="F56" s="1"/>
      <c r="G56" s="1"/>
      <c r="H56" s="1"/>
      <c r="I56" s="1"/>
      <c r="J56" s="1"/>
      <c r="K56" s="1"/>
      <c r="L56" s="1"/>
      <c r="M56" s="1"/>
      <c r="N56" s="1"/>
      <c r="O56" s="1"/>
      <c r="P56" s="1"/>
      <c r="Q56" s="1"/>
      <c r="R56" s="1"/>
      <c r="S56" s="1"/>
      <c r="T56" s="1"/>
      <c r="U56" s="1"/>
      <c r="V56" s="1"/>
      <c r="W56" s="1"/>
      <c r="X56" s="1"/>
      <c r="Y56" s="1"/>
      <c r="Z56" s="1"/>
    </row>
    <row r="57" ht="15.75" customHeight="1">
      <c r="A57" s="21" t="str">
        <f>IFERROR(__xludf.DUMMYFUNCTION("""COMPUTED_VALUE"""),"Potion of Eel Nado")</f>
        <v>Potion of Eel Nado</v>
      </c>
      <c r="B57" s="16" t="str">
        <f>IFERROR(__xludf.DUMMYFUNCTION("""COMPUTED_VALUE"""),"Allows use of Eel Nado without consuming mana")</f>
        <v>Allows use of Eel Nado without consuming mana</v>
      </c>
      <c r="C57" s="1" t="str">
        <f>IFERROR(__xludf.DUMMYFUNCTION("""COMPUTED_VALUE"""),"Item")</f>
        <v>Item</v>
      </c>
      <c r="D57" s="1" t="str">
        <f>IFERROR(__xludf.DUMMYFUNCTION("""COMPUTED_VALUE"""),"Land of Spira")</f>
        <v>Land of Spira</v>
      </c>
      <c r="E57" s="1" t="b">
        <f>IFERROR(__xludf.DUMMYFUNCTION("""COMPUTED_VALUE"""),FALSE)</f>
        <v>0</v>
      </c>
      <c r="F57" s="1"/>
      <c r="G57" s="1"/>
      <c r="H57" s="1"/>
      <c r="I57" s="1"/>
      <c r="J57" s="1"/>
      <c r="K57" s="1"/>
      <c r="L57" s="1"/>
      <c r="M57" s="1"/>
      <c r="N57" s="1"/>
      <c r="O57" s="1"/>
      <c r="P57" s="1"/>
      <c r="Q57" s="1"/>
      <c r="R57" s="1"/>
      <c r="S57" s="1"/>
      <c r="T57" s="1"/>
      <c r="U57" s="1"/>
      <c r="V57" s="1"/>
      <c r="W57" s="1"/>
      <c r="X57" s="1"/>
      <c r="Y57" s="1"/>
      <c r="Z57" s="1"/>
    </row>
    <row r="58" ht="15.75" customHeight="1">
      <c r="A58" s="21" t="str">
        <f>IFERROR(__xludf.DUMMYFUNCTION("""COMPUTED_VALUE"""),"Potion of Minor Health")</f>
        <v>Potion of Minor Health</v>
      </c>
      <c r="B58" s="16" t="str">
        <f>IFERROR(__xludf.DUMMYFUNCTION("""COMPUTED_VALUE"""),"Restores 10 Health")</f>
        <v>Restores 10 Health</v>
      </c>
      <c r="C58" s="1" t="str">
        <f>IFERROR(__xludf.DUMMYFUNCTION("""COMPUTED_VALUE"""),"Item")</f>
        <v>Item</v>
      </c>
      <c r="D58" s="1" t="str">
        <f>IFERROR(__xludf.DUMMYFUNCTION("""COMPUTED_VALUE"""),"Land of Spira")</f>
        <v>Land of Spira</v>
      </c>
      <c r="E58" s="1" t="b">
        <f>IFERROR(__xludf.DUMMYFUNCTION("""COMPUTED_VALUE"""),FALSE)</f>
        <v>0</v>
      </c>
      <c r="F58" s="1"/>
      <c r="G58" s="1"/>
      <c r="H58" s="1"/>
      <c r="I58" s="1"/>
      <c r="J58" s="1"/>
      <c r="K58" s="1"/>
      <c r="L58" s="1"/>
      <c r="M58" s="1"/>
      <c r="N58" s="1"/>
      <c r="O58" s="1"/>
      <c r="P58" s="1"/>
      <c r="Q58" s="1"/>
      <c r="R58" s="1"/>
      <c r="S58" s="1"/>
      <c r="T58" s="1"/>
      <c r="U58" s="1"/>
      <c r="V58" s="1"/>
      <c r="W58" s="1"/>
      <c r="X58" s="1"/>
      <c r="Y58" s="1"/>
      <c r="Z58" s="1"/>
    </row>
    <row r="59" ht="15.75" customHeight="1">
      <c r="A59" s="21" t="str">
        <f>IFERROR(__xludf.DUMMYFUNCTION("""COMPUTED_VALUE"""),"Potion of Health")</f>
        <v>Potion of Health</v>
      </c>
      <c r="B59" s="16" t="str">
        <f>IFERROR(__xludf.DUMMYFUNCTION("""COMPUTED_VALUE"""),"Restores 50 Health")</f>
        <v>Restores 50 Health</v>
      </c>
      <c r="C59" s="1" t="str">
        <f>IFERROR(__xludf.DUMMYFUNCTION("""COMPUTED_VALUE"""),"Item")</f>
        <v>Item</v>
      </c>
      <c r="D59" s="1" t="str">
        <f>IFERROR(__xludf.DUMMYFUNCTION("""COMPUTED_VALUE"""),"Land of Spira")</f>
        <v>Land of Spira</v>
      </c>
      <c r="E59" s="1" t="b">
        <f>IFERROR(__xludf.DUMMYFUNCTION("""COMPUTED_VALUE"""),FALSE)</f>
        <v>0</v>
      </c>
      <c r="F59" s="1"/>
      <c r="G59" s="1"/>
      <c r="H59" s="1"/>
      <c r="I59" s="1"/>
      <c r="J59" s="1"/>
      <c r="K59" s="1"/>
      <c r="L59" s="1"/>
      <c r="M59" s="1"/>
      <c r="N59" s="1"/>
      <c r="O59" s="1"/>
      <c r="P59" s="1"/>
      <c r="Q59" s="1"/>
      <c r="R59" s="1"/>
      <c r="S59" s="1"/>
      <c r="T59" s="1"/>
      <c r="U59" s="1"/>
      <c r="V59" s="1"/>
      <c r="W59" s="1"/>
      <c r="X59" s="1"/>
      <c r="Y59" s="1"/>
      <c r="Z59" s="1"/>
    </row>
    <row r="60" ht="15.75" customHeight="1">
      <c r="A60" s="21" t="str">
        <f>IFERROR(__xludf.DUMMYFUNCTION("""COMPUTED_VALUE"""),"Potion of Major Health")</f>
        <v>Potion of Major Health</v>
      </c>
      <c r="B60" s="16" t="str">
        <f>IFERROR(__xludf.DUMMYFUNCTION("""COMPUTED_VALUE"""),"Restores 100 Health")</f>
        <v>Restores 100 Health</v>
      </c>
      <c r="C60" s="1" t="str">
        <f>IFERROR(__xludf.DUMMYFUNCTION("""COMPUTED_VALUE"""),"Item")</f>
        <v>Item</v>
      </c>
      <c r="D60" s="1" t="str">
        <f>IFERROR(__xludf.DUMMYFUNCTION("""COMPUTED_VALUE"""),"Land of Spira")</f>
        <v>Land of Spira</v>
      </c>
      <c r="E60" s="1" t="b">
        <f>IFERROR(__xludf.DUMMYFUNCTION("""COMPUTED_VALUE"""),FALSE)</f>
        <v>0</v>
      </c>
      <c r="F60" s="1"/>
      <c r="G60" s="1"/>
      <c r="H60" s="1"/>
      <c r="I60" s="1"/>
      <c r="J60" s="1"/>
      <c r="K60" s="1"/>
      <c r="L60" s="1"/>
      <c r="M60" s="1"/>
      <c r="N60" s="1"/>
      <c r="O60" s="1"/>
      <c r="P60" s="1"/>
      <c r="Q60" s="1"/>
      <c r="R60" s="1"/>
      <c r="S60" s="1"/>
      <c r="T60" s="1"/>
      <c r="U60" s="1"/>
      <c r="V60" s="1"/>
      <c r="W60" s="1"/>
      <c r="X60" s="1"/>
      <c r="Y60" s="1"/>
      <c r="Z60" s="1"/>
    </row>
    <row r="61" ht="15.75" customHeight="1">
      <c r="A61" s="71"/>
      <c r="B61" s="16"/>
      <c r="C61" s="1" t="str">
        <f>IFERROR(__xludf.DUMMYFUNCTION("""COMPUTED_VALUE"""),"Item")</f>
        <v>Item</v>
      </c>
      <c r="D61" s="1" t="str">
        <f>IFERROR(__xludf.DUMMYFUNCTION("""COMPUTED_VALUE"""),"Land of Spira")</f>
        <v>Land of Spira</v>
      </c>
      <c r="E61" s="1" t="b">
        <f>IFERROR(__xludf.DUMMYFUNCTION("""COMPUTED_VALUE"""),FALSE)</f>
        <v>0</v>
      </c>
      <c r="F61" s="1"/>
      <c r="G61" s="1"/>
      <c r="H61" s="1"/>
      <c r="I61" s="1"/>
      <c r="J61" s="1"/>
      <c r="K61" s="1"/>
      <c r="L61" s="1"/>
      <c r="M61" s="1"/>
      <c r="N61" s="1"/>
      <c r="O61" s="1"/>
      <c r="P61" s="1"/>
      <c r="Q61" s="1"/>
      <c r="R61" s="1"/>
      <c r="S61" s="1"/>
      <c r="T61" s="1"/>
      <c r="U61" s="1"/>
      <c r="V61" s="1"/>
      <c r="W61" s="1"/>
      <c r="X61" s="1"/>
      <c r="Y61" s="1"/>
      <c r="Z61" s="1"/>
    </row>
    <row r="62" ht="15.75" customHeight="1">
      <c r="A62" s="16" t="str">
        <f>IFERROR(__xludf.DUMMYFUNCTION("""COMPUTED_VALUE"""),"Potion of Minor Mana")</f>
        <v>Potion of Minor Mana</v>
      </c>
      <c r="B62" s="16" t="str">
        <f>IFERROR(__xludf.DUMMYFUNCTION("""COMPUTED_VALUE"""),"Restores 10 SP")</f>
        <v>Restores 10 SP</v>
      </c>
      <c r="C62" s="1" t="str">
        <f>IFERROR(__xludf.DUMMYFUNCTION("""COMPUTED_VALUE"""),"Item")</f>
        <v>Item</v>
      </c>
      <c r="D62" s="1" t="str">
        <f>IFERROR(__xludf.DUMMYFUNCTION("""COMPUTED_VALUE"""),"Land of Spira")</f>
        <v>Land of Spira</v>
      </c>
      <c r="E62" s="1" t="b">
        <f>IFERROR(__xludf.DUMMYFUNCTION("""COMPUTED_VALUE"""),FALSE)</f>
        <v>0</v>
      </c>
      <c r="F62" s="1"/>
      <c r="G62" s="1"/>
      <c r="H62" s="1"/>
      <c r="I62" s="1"/>
      <c r="J62" s="1"/>
      <c r="K62" s="1"/>
      <c r="L62" s="1"/>
      <c r="M62" s="1"/>
      <c r="N62" s="1"/>
      <c r="O62" s="1"/>
      <c r="P62" s="1"/>
      <c r="Q62" s="1"/>
      <c r="R62" s="1"/>
      <c r="S62" s="1"/>
      <c r="T62" s="1"/>
      <c r="U62" s="1"/>
      <c r="V62" s="1"/>
      <c r="W62" s="1"/>
      <c r="X62" s="1"/>
      <c r="Y62" s="1"/>
      <c r="Z62" s="1"/>
    </row>
    <row r="63" ht="15.75" customHeight="1">
      <c r="A63" s="16" t="str">
        <f>IFERROR(__xludf.DUMMYFUNCTION("""COMPUTED_VALUE"""),"Potion of Mana")</f>
        <v>Potion of Mana</v>
      </c>
      <c r="B63" s="16" t="str">
        <f>IFERROR(__xludf.DUMMYFUNCTION("""COMPUTED_VALUE"""),"Restores 50 SP")</f>
        <v>Restores 50 SP</v>
      </c>
      <c r="C63" s="1" t="str">
        <f>IFERROR(__xludf.DUMMYFUNCTION("""COMPUTED_VALUE"""),"Item")</f>
        <v>Item</v>
      </c>
      <c r="D63" s="1" t="str">
        <f>IFERROR(__xludf.DUMMYFUNCTION("""COMPUTED_VALUE"""),"Land of Spira")</f>
        <v>Land of Spira</v>
      </c>
      <c r="E63" s="1" t="b">
        <f>IFERROR(__xludf.DUMMYFUNCTION("""COMPUTED_VALUE"""),FALSE)</f>
        <v>0</v>
      </c>
      <c r="F63" s="1"/>
      <c r="G63" s="1"/>
      <c r="H63" s="1"/>
      <c r="I63" s="1"/>
      <c r="J63" s="1"/>
      <c r="K63" s="1"/>
      <c r="L63" s="1"/>
      <c r="M63" s="1"/>
      <c r="N63" s="1"/>
      <c r="O63" s="1"/>
      <c r="P63" s="1"/>
      <c r="Q63" s="1"/>
      <c r="R63" s="1"/>
      <c r="S63" s="1"/>
      <c r="T63" s="1"/>
      <c r="U63" s="1"/>
      <c r="V63" s="1"/>
      <c r="W63" s="1"/>
      <c r="X63" s="1"/>
      <c r="Y63" s="1"/>
      <c r="Z63" s="1"/>
    </row>
    <row r="64" ht="15.75" customHeight="1">
      <c r="A64" s="16" t="str">
        <f>IFERROR(__xludf.DUMMYFUNCTION("""COMPUTED_VALUE"""),"Potion of Extreme Mana")</f>
        <v>Potion of Extreme Mana</v>
      </c>
      <c r="B64" s="16" t="str">
        <f>IFERROR(__xludf.DUMMYFUNCTION("""COMPUTED_VALUE"""),"Restores 100 SP")</f>
        <v>Restores 100 SP</v>
      </c>
      <c r="C64" s="1" t="str">
        <f>IFERROR(__xludf.DUMMYFUNCTION("""COMPUTED_VALUE"""),"Item")</f>
        <v>Item</v>
      </c>
      <c r="D64" s="1" t="str">
        <f>IFERROR(__xludf.DUMMYFUNCTION("""COMPUTED_VALUE"""),"Land of Spira")</f>
        <v>Land of Spira</v>
      </c>
      <c r="E64" s="1" t="b">
        <f>IFERROR(__xludf.DUMMYFUNCTION("""COMPUTED_VALUE"""),FALSE)</f>
        <v>0</v>
      </c>
      <c r="F64" s="1"/>
      <c r="G64" s="1"/>
      <c r="H64" s="1"/>
      <c r="I64" s="1"/>
      <c r="J64" s="1"/>
      <c r="K64" s="1"/>
      <c r="L64" s="1"/>
      <c r="M64" s="1"/>
      <c r="N64" s="1"/>
      <c r="O64" s="1"/>
      <c r="P64" s="1"/>
      <c r="Q64" s="1"/>
      <c r="R64" s="1"/>
      <c r="S64" s="1"/>
      <c r="T64" s="1"/>
      <c r="U64" s="1"/>
      <c r="V64" s="1"/>
      <c r="W64" s="1"/>
      <c r="X64" s="1"/>
      <c r="Y64" s="1"/>
      <c r="Z64" s="1"/>
    </row>
    <row r="65" ht="15.75" customHeight="1">
      <c r="A65" s="16" t="str">
        <f>IFERROR(__xludf.DUMMYFUNCTION("""COMPUTED_VALUE"""),"Potion of Invigoration")</f>
        <v>Potion of Invigoration</v>
      </c>
      <c r="B65" s="16" t="str">
        <f>IFERROR(__xludf.DUMMYFUNCTION("""COMPUTED_VALUE"""),"Restores 50 SP each turn for 3 rounds")</f>
        <v>Restores 50 SP each turn for 3 rounds</v>
      </c>
      <c r="C65" s="1" t="str">
        <f>IFERROR(__xludf.DUMMYFUNCTION("""COMPUTED_VALUE"""),"Item")</f>
        <v>Item</v>
      </c>
      <c r="D65" s="1" t="str">
        <f>IFERROR(__xludf.DUMMYFUNCTION("""COMPUTED_VALUE"""),"Land of Spira")</f>
        <v>Land of Spira</v>
      </c>
      <c r="E65" s="1" t="b">
        <f>IFERROR(__xludf.DUMMYFUNCTION("""COMPUTED_VALUE"""),FALSE)</f>
        <v>0</v>
      </c>
      <c r="F65" s="1"/>
      <c r="G65" s="1"/>
      <c r="H65" s="1"/>
      <c r="I65" s="1"/>
      <c r="J65" s="1"/>
      <c r="K65" s="1"/>
      <c r="L65" s="1"/>
      <c r="M65" s="1"/>
      <c r="N65" s="1"/>
      <c r="O65" s="1"/>
      <c r="P65" s="1"/>
      <c r="Q65" s="1"/>
      <c r="R65" s="1"/>
      <c r="S65" s="1"/>
      <c r="T65" s="1"/>
      <c r="U65" s="1"/>
      <c r="V65" s="1"/>
      <c r="W65" s="1"/>
      <c r="X65" s="1"/>
      <c r="Y65" s="1"/>
      <c r="Z65" s="1"/>
    </row>
    <row r="66" ht="15.75" customHeight="1">
      <c r="A66" s="16" t="str">
        <f>IFERROR(__xludf.DUMMYFUNCTION("""COMPUTED_VALUE"""),"Potion of Invulnerability")</f>
        <v>Potion of Invulnerability</v>
      </c>
      <c r="B66" s="16" t="str">
        <f>IFERROR(__xludf.DUMMYFUNCTION("""COMPUTED_VALUE"""),"Immune to damage for 3 rounds")</f>
        <v>Immune to damage for 3 rounds</v>
      </c>
      <c r="C66" s="1" t="str">
        <f>IFERROR(__xludf.DUMMYFUNCTION("""COMPUTED_VALUE"""),"Item")</f>
        <v>Item</v>
      </c>
      <c r="D66" s="1" t="str">
        <f>IFERROR(__xludf.DUMMYFUNCTION("""COMPUTED_VALUE"""),"Land of Spira")</f>
        <v>Land of Spira</v>
      </c>
      <c r="E66" s="1" t="b">
        <f>IFERROR(__xludf.DUMMYFUNCTION("""COMPUTED_VALUE"""),FALSE)</f>
        <v>0</v>
      </c>
      <c r="F66" s="1"/>
      <c r="G66" s="1"/>
      <c r="H66" s="1"/>
      <c r="I66" s="1"/>
      <c r="J66" s="1"/>
      <c r="K66" s="1"/>
      <c r="L66" s="1"/>
      <c r="M66" s="1"/>
      <c r="N66" s="1"/>
      <c r="O66" s="1"/>
      <c r="P66" s="1"/>
      <c r="Q66" s="1"/>
      <c r="R66" s="1"/>
      <c r="S66" s="1"/>
      <c r="T66" s="1"/>
      <c r="U66" s="1"/>
      <c r="V66" s="1"/>
      <c r="W66" s="1"/>
      <c r="X66" s="1"/>
      <c r="Y66" s="1"/>
      <c r="Z66" s="1"/>
    </row>
    <row r="67" ht="15.75" customHeight="1">
      <c r="A67" s="16" t="str">
        <f>IFERROR(__xludf.DUMMYFUNCTION("""COMPUTED_VALUE"""),"Potion of Stun Resist")</f>
        <v>Potion of Stun Resist</v>
      </c>
      <c r="B67" s="16" t="str">
        <f>IFERROR(__xludf.DUMMYFUNCTION("""COMPUTED_VALUE"""),"Immune to Stun for 3 rounds")</f>
        <v>Immune to Stun for 3 rounds</v>
      </c>
      <c r="C67" s="1" t="str">
        <f>IFERROR(__xludf.DUMMYFUNCTION("""COMPUTED_VALUE"""),"Item")</f>
        <v>Item</v>
      </c>
      <c r="D67" s="1" t="str">
        <f>IFERROR(__xludf.DUMMYFUNCTION("""COMPUTED_VALUE"""),"Land of Spira")</f>
        <v>Land of Spira</v>
      </c>
      <c r="E67" s="1" t="b">
        <f>IFERROR(__xludf.DUMMYFUNCTION("""COMPUTED_VALUE"""),FALSE)</f>
        <v>0</v>
      </c>
      <c r="F67" s="1"/>
      <c r="G67" s="1"/>
      <c r="H67" s="1"/>
      <c r="I67" s="1"/>
      <c r="J67" s="1"/>
      <c r="K67" s="1"/>
      <c r="L67" s="1"/>
      <c r="M67" s="1"/>
      <c r="N67" s="1"/>
      <c r="O67" s="1"/>
      <c r="P67" s="1"/>
      <c r="Q67" s="1"/>
      <c r="R67" s="1"/>
      <c r="S67" s="1"/>
      <c r="T67" s="1"/>
      <c r="U67" s="1"/>
      <c r="V67" s="1"/>
      <c r="W67" s="1"/>
      <c r="X67" s="1"/>
      <c r="Y67" s="1"/>
      <c r="Z67" s="1"/>
    </row>
    <row r="68" ht="15.75" customHeight="1">
      <c r="A68" s="16" t="str">
        <f>IFERROR(__xludf.DUMMYFUNCTION("""COMPUTED_VALUE"""),"Potion Of Sobriety")</f>
        <v>Potion Of Sobriety</v>
      </c>
      <c r="B68"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1" t="str">
        <f>IFERROR(__xludf.DUMMYFUNCTION("""COMPUTED_VALUE"""),"Item")</f>
        <v>Item</v>
      </c>
      <c r="D68" s="1" t="str">
        <f>IFERROR(__xludf.DUMMYFUNCTION("""COMPUTED_VALUE"""),"Land of Spira")</f>
        <v>Land of Spira</v>
      </c>
      <c r="E68" s="1" t="b">
        <f>IFERROR(__xludf.DUMMYFUNCTION("""COMPUTED_VALUE"""),FALSE)</f>
        <v>0</v>
      </c>
      <c r="F68" s="1"/>
      <c r="G68" s="1"/>
      <c r="H68" s="1"/>
      <c r="I68" s="1"/>
      <c r="J68" s="1"/>
      <c r="K68" s="1"/>
      <c r="L68" s="1"/>
      <c r="M68" s="1"/>
      <c r="N68" s="1"/>
      <c r="O68" s="1"/>
      <c r="P68" s="1"/>
      <c r="Q68" s="1"/>
      <c r="R68" s="1"/>
      <c r="S68" s="1"/>
      <c r="T68" s="1"/>
      <c r="U68" s="1"/>
      <c r="V68" s="1"/>
      <c r="W68" s="1"/>
      <c r="X68" s="1"/>
      <c r="Y68" s="1"/>
      <c r="Z68" s="1"/>
    </row>
    <row r="69" ht="15.75" customHeight="1">
      <c r="A69" s="16" t="str">
        <f>IFERROR(__xludf.DUMMYFUNCTION("""COMPUTED_VALUE"""),"Legendary Tome")</f>
        <v>Legendary Tome</v>
      </c>
      <c r="B69" s="16" t="str">
        <f>IFERROR(__xludf.DUMMYFUNCTION("""COMPUTED_VALUE"""),"(Quest item)")</f>
        <v>(Quest item)</v>
      </c>
      <c r="C69" s="1" t="str">
        <f>IFERROR(__xludf.DUMMYFUNCTION("""COMPUTED_VALUE"""),"Item")</f>
        <v>Item</v>
      </c>
      <c r="D69" s="1" t="str">
        <f>IFERROR(__xludf.DUMMYFUNCTION("""COMPUTED_VALUE"""),"Land of Spira")</f>
        <v>Land of Spira</v>
      </c>
      <c r="E69" s="1" t="b">
        <f>IFERROR(__xludf.DUMMYFUNCTION("""COMPUTED_VALUE"""),FALSE)</f>
        <v>0</v>
      </c>
      <c r="F69" s="1"/>
      <c r="G69" s="1"/>
      <c r="H69" s="1"/>
      <c r="I69" s="1"/>
      <c r="J69" s="1"/>
      <c r="K69" s="1"/>
      <c r="L69" s="1"/>
      <c r="M69" s="1"/>
      <c r="N69" s="1"/>
      <c r="O69" s="1"/>
      <c r="P69" s="1"/>
      <c r="Q69" s="1"/>
      <c r="R69" s="1"/>
      <c r="S69" s="1"/>
      <c r="T69" s="1"/>
      <c r="U69" s="1"/>
      <c r="V69" s="1"/>
      <c r="W69" s="1"/>
      <c r="X69" s="1"/>
      <c r="Y69" s="1"/>
      <c r="Z69" s="1"/>
    </row>
    <row r="70" ht="15.75" customHeight="1">
      <c r="A70" s="16" t="str">
        <f>IFERROR(__xludf.DUMMYFUNCTION("""COMPUTED_VALUE"""),"Murky Emerald")</f>
        <v>Murky Emerald</v>
      </c>
      <c r="B70" s="16" t="str">
        <f>IFERROR(__xludf.DUMMYFUNCTION("""COMPUTED_VALUE"""),"Crafting Material, roll a d20 to see how many you get if this is a loot drop.")</f>
        <v>Crafting Material, roll a d20 to see how many you get if this is a loot drop.</v>
      </c>
      <c r="C70" s="1" t="str">
        <f>IFERROR(__xludf.DUMMYFUNCTION("""COMPUTED_VALUE"""),"Item")</f>
        <v>Item</v>
      </c>
      <c r="D70" s="1" t="str">
        <f>IFERROR(__xludf.DUMMYFUNCTION("""COMPUTED_VALUE"""),"Land of Spira")</f>
        <v>Land of Spira</v>
      </c>
      <c r="E70" s="1" t="b">
        <f>IFERROR(__xludf.DUMMYFUNCTION("""COMPUTED_VALUE"""),FALSE)</f>
        <v>0</v>
      </c>
      <c r="F70" s="1"/>
      <c r="G70" s="1"/>
      <c r="H70" s="1"/>
      <c r="I70" s="1"/>
      <c r="J70" s="1"/>
      <c r="K70" s="1"/>
      <c r="L70" s="1"/>
      <c r="M70" s="1"/>
      <c r="N70" s="1"/>
      <c r="O70" s="1"/>
      <c r="P70" s="1"/>
      <c r="Q70" s="1"/>
      <c r="R70" s="1"/>
      <c r="S70" s="1"/>
      <c r="T70" s="1"/>
      <c r="U70" s="1"/>
      <c r="V70" s="1"/>
      <c r="W70" s="1"/>
      <c r="X70" s="1"/>
      <c r="Y70" s="1"/>
      <c r="Z70" s="1"/>
    </row>
    <row r="71" ht="15.75" customHeight="1">
      <c r="A71" s="16" t="str">
        <f>IFERROR(__xludf.DUMMYFUNCTION("""COMPUTED_VALUE"""),"Foul Night Swamp water vile")</f>
        <v>Foul Night Swamp water vile</v>
      </c>
      <c r="B71" s="16" t="str">
        <f>IFERROR(__xludf.DUMMYFUNCTION("""COMPUTED_VALUE"""),"Immunity to Nature for 3 rounds.")</f>
        <v>Immunity to Nature for 3 rounds.</v>
      </c>
      <c r="C71" s="1" t="str">
        <f>IFERROR(__xludf.DUMMYFUNCTION("""COMPUTED_VALUE"""),"Item")</f>
        <v>Item</v>
      </c>
      <c r="D71" s="1" t="str">
        <f>IFERROR(__xludf.DUMMYFUNCTION("""COMPUTED_VALUE"""),"Land of Spira")</f>
        <v>Land of Spira</v>
      </c>
      <c r="E71" s="1" t="b">
        <f>IFERROR(__xludf.DUMMYFUNCTION("""COMPUTED_VALUE"""),FALSE)</f>
        <v>0</v>
      </c>
      <c r="F71" s="1"/>
      <c r="G71" s="1"/>
      <c r="H71" s="1"/>
      <c r="I71" s="1"/>
      <c r="J71" s="1"/>
      <c r="K71" s="1"/>
      <c r="L71" s="1"/>
      <c r="M71" s="1"/>
      <c r="N71" s="1"/>
      <c r="O71" s="1"/>
      <c r="P71" s="1"/>
      <c r="Q71" s="1"/>
      <c r="R71" s="1"/>
      <c r="S71" s="1"/>
      <c r="T71" s="1"/>
      <c r="U71" s="1"/>
      <c r="V71" s="1"/>
      <c r="W71" s="1"/>
      <c r="X71" s="1"/>
      <c r="Y71" s="1"/>
      <c r="Z71" s="1"/>
    </row>
    <row r="72" ht="15.75" customHeight="1">
      <c r="A72" s="16" t="str">
        <f>IFERROR(__xludf.DUMMYFUNCTION("""COMPUTED_VALUE"""),"Foul Night Foul Smelling potion")</f>
        <v>Foul Night Foul Smelling potion</v>
      </c>
      <c r="B72" s="16" t="str">
        <f>IFERROR(__xludf.DUMMYFUNCTION("""COMPUTED_VALUE"""),"2500 damage and 2500 nature damage and 500 poison damage for 3 rounds")</f>
        <v>2500 damage and 2500 nature damage and 500 poison damage for 3 rounds</v>
      </c>
      <c r="C72" s="1" t="str">
        <f>IFERROR(__xludf.DUMMYFUNCTION("""COMPUTED_VALUE"""),"Item")</f>
        <v>Item</v>
      </c>
      <c r="D72" s="1" t="str">
        <f>IFERROR(__xludf.DUMMYFUNCTION("""COMPUTED_VALUE"""),"Land of Spira")</f>
        <v>Land of Spira</v>
      </c>
      <c r="E72" s="1" t="b">
        <f>IFERROR(__xludf.DUMMYFUNCTION("""COMPUTED_VALUE"""),FALSE)</f>
        <v>0</v>
      </c>
      <c r="F72" s="1"/>
      <c r="G72" s="1"/>
      <c r="H72" s="1"/>
      <c r="I72" s="1"/>
      <c r="J72" s="1"/>
      <c r="K72" s="1"/>
      <c r="L72" s="1"/>
      <c r="M72" s="1"/>
      <c r="N72" s="1"/>
      <c r="O72" s="1"/>
      <c r="P72" s="1"/>
      <c r="Q72" s="1"/>
      <c r="R72" s="1"/>
      <c r="S72" s="1"/>
      <c r="T72" s="1"/>
      <c r="U72" s="1"/>
      <c r="V72" s="1"/>
      <c r="W72" s="1"/>
      <c r="X72" s="1"/>
      <c r="Y72" s="1"/>
      <c r="Z72" s="1"/>
    </row>
    <row r="73" ht="15.75" customHeight="1">
      <c r="A73" s="16" t="str">
        <f>IFERROR(__xludf.DUMMYFUNCTION("""COMPUTED_VALUE"""),"Swampy Seaweed")</f>
        <v>Swampy Seaweed</v>
      </c>
      <c r="B73" s="16" t="str">
        <f>IFERROR(__xludf.DUMMYFUNCTION("""COMPUTED_VALUE""")," Restores 5000 HP and SP.")</f>
        <v> Restores 5000 HP and SP.</v>
      </c>
      <c r="C73" s="1" t="str">
        <f>IFERROR(__xludf.DUMMYFUNCTION("""COMPUTED_VALUE"""),"Item")</f>
        <v>Item</v>
      </c>
      <c r="D73" s="1" t="str">
        <f>IFERROR(__xludf.DUMMYFUNCTION("""COMPUTED_VALUE"""),"Land of Spira")</f>
        <v>Land of Spira</v>
      </c>
      <c r="E73" s="1" t="b">
        <f>IFERROR(__xludf.DUMMYFUNCTION("""COMPUTED_VALUE"""),FALSE)</f>
        <v>0</v>
      </c>
      <c r="F73" s="1"/>
      <c r="G73" s="1"/>
      <c r="H73" s="1"/>
      <c r="I73" s="1"/>
      <c r="J73" s="1"/>
      <c r="K73" s="1"/>
      <c r="L73" s="1"/>
      <c r="M73" s="1"/>
      <c r="N73" s="1"/>
      <c r="O73" s="1"/>
      <c r="P73" s="1"/>
      <c r="Q73" s="1"/>
      <c r="R73" s="1"/>
      <c r="S73" s="1"/>
      <c r="T73" s="1"/>
      <c r="U73" s="1"/>
      <c r="V73" s="1"/>
      <c r="W73" s="1"/>
      <c r="X73" s="1"/>
      <c r="Y73" s="1"/>
      <c r="Z73" s="1"/>
    </row>
    <row r="74" ht="15.75" customHeight="1">
      <c r="A74" s="71" t="str">
        <f>IFERROR(__xludf.DUMMYFUNCTION("""COMPUTED_VALUE"""),"Foul Night Swamp Bubble Grenade")</f>
        <v>Foul Night Swamp Bubble Grenade</v>
      </c>
      <c r="B74" s="16" t="str">
        <f>IFERROR(__xludf.DUMMYFUNCTION("""COMPUTED_VALUE"""),"Poison 10,000 for 3 rounds.")</f>
        <v>Poison 10,000 for 3 rounds.</v>
      </c>
      <c r="C74" s="1" t="str">
        <f>IFERROR(__xludf.DUMMYFUNCTION("""COMPUTED_VALUE"""),"Item")</f>
        <v>Item</v>
      </c>
      <c r="D74" s="1" t="str">
        <f>IFERROR(__xludf.DUMMYFUNCTION("""COMPUTED_VALUE"""),"Land of Spira")</f>
        <v>Land of Spira</v>
      </c>
      <c r="E74" s="1" t="b">
        <f>IFERROR(__xludf.DUMMYFUNCTION("""COMPUTED_VALUE"""),FALSE)</f>
        <v>0</v>
      </c>
      <c r="F74" s="1"/>
      <c r="G74" s="1"/>
      <c r="H74" s="1"/>
      <c r="I74" s="1"/>
      <c r="J74" s="1"/>
      <c r="K74" s="1"/>
      <c r="L74" s="1"/>
      <c r="M74" s="1"/>
      <c r="N74" s="1"/>
      <c r="O74" s="1"/>
      <c r="P74" s="1"/>
      <c r="Q74" s="1"/>
      <c r="R74" s="1"/>
      <c r="S74" s="1"/>
      <c r="T74" s="1"/>
      <c r="U74" s="1"/>
      <c r="V74" s="1"/>
      <c r="W74" s="1"/>
      <c r="X74" s="1"/>
      <c r="Y74" s="1"/>
      <c r="Z74" s="1"/>
    </row>
    <row r="75" ht="15.75" customHeight="1">
      <c r="A75" s="71" t="str">
        <f>IFERROR(__xludf.DUMMYFUNCTION("""COMPUTED_VALUE"""),"Block of Ice")</f>
        <v>Block of Ice</v>
      </c>
      <c r="B75" s="71" t="str">
        <f>IFERROR(__xludf.DUMMYFUNCTION("""COMPUTED_VALUE"""),"Crafting Material, roll a d20 to see how many you get if this is a loot drop.")</f>
        <v>Crafting Material, roll a d20 to see how many you get if this is a loot drop.</v>
      </c>
      <c r="C75" s="1" t="str">
        <f>IFERROR(__xludf.DUMMYFUNCTION("""COMPUTED_VALUE"""),"Item")</f>
        <v>Item</v>
      </c>
      <c r="D75" s="1" t="str">
        <f>IFERROR(__xludf.DUMMYFUNCTION("""COMPUTED_VALUE"""),"Land of Spira")</f>
        <v>Land of Spira</v>
      </c>
      <c r="E75" s="1" t="b">
        <f>IFERROR(__xludf.DUMMYFUNCTION("""COMPUTED_VALUE"""),FALSE)</f>
        <v>0</v>
      </c>
      <c r="F75" s="1"/>
      <c r="G75" s="1"/>
      <c r="H75" s="1"/>
      <c r="I75" s="1"/>
      <c r="J75" s="1"/>
      <c r="K75" s="1"/>
      <c r="L75" s="1"/>
      <c r="M75" s="1"/>
      <c r="N75" s="1"/>
      <c r="O75" s="1"/>
      <c r="P75" s="1"/>
      <c r="Q75" s="1"/>
      <c r="R75" s="1"/>
      <c r="S75" s="1"/>
      <c r="T75" s="1"/>
      <c r="U75" s="1"/>
      <c r="V75" s="1"/>
      <c r="W75" s="1"/>
      <c r="X75" s="1"/>
      <c r="Y75" s="1"/>
      <c r="Z75" s="1"/>
    </row>
    <row r="76" ht="15.75" customHeight="1">
      <c r="A76" s="71" t="str">
        <f>IFERROR(__xludf.DUMMYFUNCTION("""COMPUTED_VALUE"""),"Frost Kings Map")</f>
        <v>Frost Kings Map</v>
      </c>
      <c r="B76" s="71" t="str">
        <f>IFERROR(__xludf.DUMMYFUNCTION("""COMPUTED_VALUE"""),"Special quest item. Speak to the frost king for more info.")</f>
        <v>Special quest item. Speak to the frost king for more info.</v>
      </c>
      <c r="C76" s="1" t="str">
        <f>IFERROR(__xludf.DUMMYFUNCTION("""COMPUTED_VALUE"""),"Item")</f>
        <v>Item</v>
      </c>
      <c r="D76" s="1" t="str">
        <f>IFERROR(__xludf.DUMMYFUNCTION("""COMPUTED_VALUE"""),"Land of Spira")</f>
        <v>Land of Spira</v>
      </c>
      <c r="E76" s="1" t="b">
        <f>IFERROR(__xludf.DUMMYFUNCTION("""COMPUTED_VALUE"""),FALSE)</f>
        <v>0</v>
      </c>
      <c r="F76" s="1"/>
      <c r="G76" s="1"/>
      <c r="H76" s="1"/>
      <c r="I76" s="1"/>
      <c r="J76" s="1"/>
      <c r="K76" s="1"/>
      <c r="L76" s="1"/>
      <c r="M76" s="1"/>
      <c r="N76" s="1"/>
      <c r="O76" s="1"/>
      <c r="P76" s="1"/>
      <c r="Q76" s="1"/>
      <c r="R76" s="1"/>
      <c r="S76" s="1"/>
      <c r="T76" s="1"/>
      <c r="U76" s="1"/>
      <c r="V76" s="1"/>
      <c r="W76" s="1"/>
      <c r="X76" s="1"/>
      <c r="Y76" s="1"/>
      <c r="Z76" s="1"/>
    </row>
    <row r="77" ht="15.75" customHeight="1">
      <c r="A77" s="71" t="str">
        <f>IFERROR(__xludf.DUMMYFUNCTION("""COMPUTED_VALUE"""),"Bacon")</f>
        <v>Bacon</v>
      </c>
      <c r="B77" s="16" t="str">
        <f>IFERROR(__xludf.DUMMYFUNCTION("""COMPUTED_VALUE"""),"Restores 5 health and 5 hunger")</f>
        <v>Restores 5 health and 5 hunger</v>
      </c>
      <c r="C77" s="1" t="str">
        <f>IFERROR(__xludf.DUMMYFUNCTION("""COMPUTED_VALUE"""),"Crop")</f>
        <v>Crop</v>
      </c>
      <c r="D77" s="1" t="str">
        <f>IFERROR(__xludf.DUMMYFUNCTION("""COMPUTED_VALUE"""),"Land of Spira")</f>
        <v>Land of Spira</v>
      </c>
      <c r="E77" s="1" t="b">
        <f>IFERROR(__xludf.DUMMYFUNCTION("""COMPUTED_VALUE"""),FALSE)</f>
        <v>0</v>
      </c>
      <c r="F77" s="1"/>
      <c r="G77" s="1"/>
      <c r="H77" s="1"/>
      <c r="I77" s="1"/>
      <c r="J77" s="1"/>
      <c r="K77" s="1"/>
      <c r="L77" s="1"/>
      <c r="M77" s="1"/>
      <c r="N77" s="1"/>
      <c r="O77" s="1"/>
      <c r="P77" s="1"/>
      <c r="Q77" s="1"/>
      <c r="R77" s="1"/>
      <c r="S77" s="1"/>
      <c r="T77" s="1"/>
      <c r="U77" s="1"/>
      <c r="V77" s="1"/>
      <c r="W77" s="1"/>
      <c r="X77" s="1"/>
      <c r="Y77" s="1"/>
      <c r="Z77" s="1"/>
    </row>
    <row r="78" ht="15.75" customHeight="1">
      <c r="A78" s="71" t="str">
        <f>IFERROR(__xludf.DUMMYFUNCTION("""COMPUTED_VALUE"""),"Bread")</f>
        <v>Bread</v>
      </c>
      <c r="B78" s="16" t="str">
        <f>IFERROR(__xludf.DUMMYFUNCTION("""COMPUTED_VALUE"""),"10 Hunger")</f>
        <v>10 Hunger</v>
      </c>
      <c r="C78" s="1" t="str">
        <f>IFERROR(__xludf.DUMMYFUNCTION("""COMPUTED_VALUE"""),"Crop")</f>
        <v>Crop</v>
      </c>
      <c r="D78" s="1" t="str">
        <f>IFERROR(__xludf.DUMMYFUNCTION("""COMPUTED_VALUE"""),"Land of Spira")</f>
        <v>Land of Spira</v>
      </c>
      <c r="E78" s="1" t="b">
        <f>IFERROR(__xludf.DUMMYFUNCTION("""COMPUTED_VALUE"""),FALSE)</f>
        <v>0</v>
      </c>
      <c r="F78" s="1"/>
      <c r="G78" s="1"/>
      <c r="H78" s="1"/>
      <c r="I78" s="1"/>
      <c r="J78" s="1"/>
      <c r="K78" s="1"/>
      <c r="L78" s="1"/>
      <c r="M78" s="1"/>
      <c r="N78" s="1"/>
      <c r="O78" s="1"/>
      <c r="P78" s="1"/>
      <c r="Q78" s="1"/>
      <c r="R78" s="1"/>
      <c r="S78" s="1"/>
      <c r="T78" s="1"/>
      <c r="U78" s="1"/>
      <c r="V78" s="1"/>
      <c r="W78" s="1"/>
      <c r="X78" s="1"/>
      <c r="Y78" s="1"/>
      <c r="Z78" s="1"/>
    </row>
    <row r="79" ht="15.75" customHeight="1">
      <c r="A79" s="71" t="str">
        <f>IFERROR(__xludf.DUMMYFUNCTION("""COMPUTED_VALUE"""),"Unknown dried meat")</f>
        <v>Unknown dried meat</v>
      </c>
      <c r="B79" s="16" t="str">
        <f>IFERROR(__xludf.DUMMYFUNCTION("""COMPUTED_VALUE"""),"15 Hunger, 5% chance to lose 10 HP")</f>
        <v>15 Hunger, 5% chance to lose 10 HP</v>
      </c>
      <c r="C79" s="1" t="str">
        <f>IFERROR(__xludf.DUMMYFUNCTION("""COMPUTED_VALUE"""),"Crop")</f>
        <v>Crop</v>
      </c>
      <c r="D79" s="1" t="str">
        <f>IFERROR(__xludf.DUMMYFUNCTION("""COMPUTED_VALUE"""),"Land of Spira")</f>
        <v>Land of Spira</v>
      </c>
      <c r="E79" s="1" t="b">
        <f>IFERROR(__xludf.DUMMYFUNCTION("""COMPUTED_VALUE"""),FALSE)</f>
        <v>0</v>
      </c>
      <c r="F79" s="1"/>
      <c r="G79" s="1"/>
      <c r="H79" s="1"/>
      <c r="I79" s="1"/>
      <c r="J79" s="1"/>
      <c r="K79" s="1"/>
      <c r="L79" s="1"/>
      <c r="M79" s="1"/>
      <c r="N79" s="1"/>
      <c r="O79" s="1"/>
      <c r="P79" s="1"/>
      <c r="Q79" s="1"/>
      <c r="R79" s="1"/>
      <c r="S79" s="1"/>
      <c r="T79" s="1"/>
      <c r="U79" s="1"/>
      <c r="V79" s="1"/>
      <c r="W79" s="1"/>
      <c r="X79" s="1"/>
      <c r="Y79" s="1"/>
      <c r="Z79" s="1"/>
    </row>
    <row r="80" ht="15.75" customHeight="1">
      <c r="A80" s="71" t="str">
        <f>IFERROR(__xludf.DUMMYFUNCTION("""COMPUTED_VALUE"""),"Water")</f>
        <v>Water</v>
      </c>
      <c r="B80" s="16" t="str">
        <f>IFERROR(__xludf.DUMMYFUNCTION("""COMPUTED_VALUE"""),"10 Thirst")</f>
        <v>10 Thirst</v>
      </c>
      <c r="C80" s="1" t="str">
        <f>IFERROR(__xludf.DUMMYFUNCTION("""COMPUTED_VALUE"""),"Item")</f>
        <v>Item</v>
      </c>
      <c r="D80" s="1" t="str">
        <f>IFERROR(__xludf.DUMMYFUNCTION("""COMPUTED_VALUE"""),"Land of Spira")</f>
        <v>Land of Spira</v>
      </c>
      <c r="E80" s="1" t="b">
        <f>IFERROR(__xludf.DUMMYFUNCTION("""COMPUTED_VALUE"""),FALSE)</f>
        <v>0</v>
      </c>
      <c r="F80" s="1"/>
      <c r="G80" s="1"/>
      <c r="H80" s="1"/>
      <c r="I80" s="1"/>
      <c r="J80" s="1"/>
      <c r="K80" s="1"/>
      <c r="L80" s="1"/>
      <c r="M80" s="1"/>
      <c r="N80" s="1"/>
      <c r="O80" s="1"/>
      <c r="P80" s="1"/>
      <c r="Q80" s="1"/>
      <c r="R80" s="1"/>
      <c r="S80" s="1"/>
      <c r="T80" s="1"/>
      <c r="U80" s="1"/>
      <c r="V80" s="1"/>
      <c r="W80" s="1"/>
      <c r="X80" s="1"/>
      <c r="Y80" s="1"/>
      <c r="Z80" s="1"/>
    </row>
    <row r="81" ht="15.75" customHeight="1">
      <c r="A81" s="71" t="str">
        <f>IFERROR(__xludf.DUMMYFUNCTION("""COMPUTED_VALUE"""),"Rum")</f>
        <v>Rum</v>
      </c>
      <c r="B81" s="16" t="str">
        <f>IFERROR(__xludf.DUMMYFUNCTION("""COMPUTED_VALUE"""),"50 Thirst, -1 SP")</f>
        <v>50 Thirst, -1 SP</v>
      </c>
      <c r="C81" s="1" t="str">
        <f>IFERROR(__xludf.DUMMYFUNCTION("""COMPUTED_VALUE"""),"Item")</f>
        <v>Item</v>
      </c>
      <c r="D81" s="1" t="str">
        <f>IFERROR(__xludf.DUMMYFUNCTION("""COMPUTED_VALUE"""),"Land of Spira")</f>
        <v>Land of Spira</v>
      </c>
      <c r="E81" s="1" t="b">
        <f>IFERROR(__xludf.DUMMYFUNCTION("""COMPUTED_VALUE"""),FALSE)</f>
        <v>0</v>
      </c>
      <c r="F81" s="1"/>
      <c r="G81" s="1"/>
      <c r="H81" s="1"/>
      <c r="I81" s="1"/>
      <c r="J81" s="1"/>
      <c r="K81" s="1"/>
      <c r="L81" s="1"/>
      <c r="M81" s="1"/>
      <c r="N81" s="1"/>
      <c r="O81" s="1"/>
      <c r="P81" s="1"/>
      <c r="Q81" s="1"/>
      <c r="R81" s="1"/>
      <c r="S81" s="1"/>
      <c r="T81" s="1"/>
      <c r="U81" s="1"/>
      <c r="V81" s="1"/>
      <c r="W81" s="1"/>
      <c r="X81" s="1"/>
      <c r="Y81" s="1"/>
      <c r="Z81" s="1"/>
    </row>
    <row r="82" ht="15.75" customHeight="1">
      <c r="A82" s="71" t="str">
        <f>IFERROR(__xludf.DUMMYFUNCTION("""COMPUTED_VALUE"""),"Spirits")</f>
        <v>Spirits</v>
      </c>
      <c r="B82" s="16" t="str">
        <f>IFERROR(__xludf.DUMMYFUNCTION("""COMPUTED_VALUE"""),"20 Thirst, +2 SP")</f>
        <v>20 Thirst, +2 SP</v>
      </c>
      <c r="C82" s="1" t="str">
        <f>IFERROR(__xludf.DUMMYFUNCTION("""COMPUTED_VALUE"""),"Item")</f>
        <v>Item</v>
      </c>
      <c r="D82" s="1" t="str">
        <f>IFERROR(__xludf.DUMMYFUNCTION("""COMPUTED_VALUE"""),"Land of Spira")</f>
        <v>Land of Spira</v>
      </c>
      <c r="E82" s="1" t="b">
        <f>IFERROR(__xludf.DUMMYFUNCTION("""COMPUTED_VALUE"""),FALSE)</f>
        <v>0</v>
      </c>
      <c r="F82" s="1"/>
      <c r="G82" s="1"/>
      <c r="H82" s="1"/>
      <c r="I82" s="1"/>
      <c r="J82" s="1"/>
      <c r="K82" s="1"/>
      <c r="L82" s="1"/>
      <c r="M82" s="1"/>
      <c r="N82" s="1"/>
      <c r="O82" s="1"/>
      <c r="P82" s="1"/>
      <c r="Q82" s="1"/>
      <c r="R82" s="1"/>
      <c r="S82" s="1"/>
      <c r="T82" s="1"/>
      <c r="U82" s="1"/>
      <c r="V82" s="1"/>
      <c r="W82" s="1"/>
      <c r="X82" s="1"/>
      <c r="Y82" s="1"/>
      <c r="Z82" s="1"/>
    </row>
    <row r="83" ht="15.75" customHeight="1">
      <c r="A83" s="71" t="str">
        <f>IFERROR(__xludf.DUMMYFUNCTION("""COMPUTED_VALUE"""),"Yeast")</f>
        <v>Yeast</v>
      </c>
      <c r="B83" s="21" t="str">
        <f>IFERROR(__xludf.DUMMYFUNCTION("""COMPUTED_VALUE"""),"Crafting Material, roll a d20 to see how many you get if this is a loot drop.")</f>
        <v>Crafting Material, roll a d20 to see how many you get if this is a loot drop.</v>
      </c>
      <c r="C83" s="1" t="str">
        <f>IFERROR(__xludf.DUMMYFUNCTION("""COMPUTED_VALUE"""),"Item")</f>
        <v>Item</v>
      </c>
      <c r="D83" s="1" t="str">
        <f>IFERROR(__xludf.DUMMYFUNCTION("""COMPUTED_VALUE"""),"Land of Spira")</f>
        <v>Land of Spira</v>
      </c>
      <c r="E83" s="1" t="b">
        <f>IFERROR(__xludf.DUMMYFUNCTION("""COMPUTED_VALUE"""),FALSE)</f>
        <v>0</v>
      </c>
      <c r="F83" s="1"/>
      <c r="G83" s="1"/>
      <c r="H83" s="1"/>
      <c r="I83" s="1"/>
      <c r="J83" s="1"/>
      <c r="K83" s="1"/>
      <c r="L83" s="1"/>
      <c r="M83" s="1"/>
      <c r="N83" s="1"/>
      <c r="O83" s="1"/>
      <c r="P83" s="1"/>
      <c r="Q83" s="1"/>
      <c r="R83" s="1"/>
      <c r="S83" s="1"/>
      <c r="T83" s="1"/>
      <c r="U83" s="1"/>
      <c r="V83" s="1"/>
      <c r="W83" s="1"/>
      <c r="X83" s="1"/>
      <c r="Y83" s="1"/>
      <c r="Z83" s="1"/>
    </row>
    <row r="84" ht="15.75" customHeight="1">
      <c r="A84" s="16" t="str">
        <f>IFERROR(__xludf.DUMMYFUNCTION("""COMPUTED_VALUE"""),"Mead")</f>
        <v>Mead</v>
      </c>
      <c r="B84" s="71" t="str">
        <f>IFERROR(__xludf.DUMMYFUNCTION("""COMPUTED_VALUE"""),"25 Thirst")</f>
        <v>25 Thirst</v>
      </c>
      <c r="C84" s="1" t="str">
        <f>IFERROR(__xludf.DUMMYFUNCTION("""COMPUTED_VALUE"""),"Item")</f>
        <v>Item</v>
      </c>
      <c r="D84" s="1" t="str">
        <f>IFERROR(__xludf.DUMMYFUNCTION("""COMPUTED_VALUE"""),"Land of Spira")</f>
        <v>Land of Spira</v>
      </c>
      <c r="E84" s="1" t="b">
        <f>IFERROR(__xludf.DUMMYFUNCTION("""COMPUTED_VALUE"""),FALSE)</f>
        <v>0</v>
      </c>
      <c r="F84" s="1"/>
      <c r="G84" s="1"/>
      <c r="H84" s="1"/>
      <c r="I84" s="1"/>
      <c r="J84" s="1"/>
      <c r="K84" s="1"/>
      <c r="L84" s="1"/>
      <c r="M84" s="1"/>
      <c r="N84" s="1"/>
      <c r="O84" s="1"/>
      <c r="P84" s="1"/>
      <c r="Q84" s="1"/>
      <c r="R84" s="1"/>
      <c r="S84" s="1"/>
      <c r="T84" s="1"/>
      <c r="U84" s="1"/>
      <c r="V84" s="1"/>
      <c r="W84" s="1"/>
      <c r="X84" s="1"/>
      <c r="Y84" s="1"/>
      <c r="Z84" s="1"/>
    </row>
    <row r="85" ht="15.75" customHeight="1">
      <c r="A85" s="21" t="str">
        <f>IFERROR(__xludf.DUMMYFUNCTION("""COMPUTED_VALUE"""),"Water Tome Rank 9")</f>
        <v>Water Tome Rank 9</v>
      </c>
      <c r="B85" s="67" t="str">
        <f>IFERROR(__xludf.DUMMYFUNCTION("""COMPUTED_VALUE"""),"Can use up to Rank 9 Water Spells")</f>
        <v>Can use up to Rank 9 Water Spells</v>
      </c>
      <c r="C85" s="1" t="str">
        <f>IFERROR(__xludf.DUMMYFUNCTION("""COMPUTED_VALUE"""),"Item")</f>
        <v>Item</v>
      </c>
      <c r="D85" s="1" t="str">
        <f>IFERROR(__xludf.DUMMYFUNCTION("""COMPUTED_VALUE"""),"Land of Spira")</f>
        <v>Land of Spira</v>
      </c>
      <c r="E85" s="1" t="b">
        <f>IFERROR(__xludf.DUMMYFUNCTION("""COMPUTED_VALUE"""),FALSE)</f>
        <v>0</v>
      </c>
      <c r="F85" s="1"/>
      <c r="G85" s="1"/>
      <c r="H85" s="1"/>
      <c r="I85" s="1"/>
      <c r="J85" s="1"/>
      <c r="K85" s="1"/>
      <c r="L85" s="1"/>
      <c r="M85" s="1"/>
      <c r="N85" s="1"/>
      <c r="O85" s="1"/>
      <c r="P85" s="1"/>
      <c r="Q85" s="1"/>
      <c r="R85" s="1"/>
      <c r="S85" s="1"/>
      <c r="T85" s="1"/>
      <c r="U85" s="1"/>
      <c r="V85" s="1"/>
      <c r="W85" s="1"/>
      <c r="X85" s="1"/>
      <c r="Y85" s="1"/>
      <c r="Z85" s="1"/>
    </row>
    <row r="86" ht="15.75" customHeight="1">
      <c r="A86" s="67" t="str">
        <f>IFERROR(__xludf.DUMMYFUNCTION("""COMPUTED_VALUE"""),"Dragon Flute")</f>
        <v>Dragon Flute</v>
      </c>
      <c r="B86"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1" t="str">
        <f>IFERROR(__xludf.DUMMYFUNCTION("""COMPUTED_VALUE"""),"Item")</f>
        <v>Item</v>
      </c>
      <c r="D86" s="1" t="str">
        <f>IFERROR(__xludf.DUMMYFUNCTION("""COMPUTED_VALUE"""),"Land of Spira")</f>
        <v>Land of Spira</v>
      </c>
      <c r="E86" s="1" t="b">
        <f>IFERROR(__xludf.DUMMYFUNCTION("""COMPUTED_VALUE"""),FALSE)</f>
        <v>0</v>
      </c>
      <c r="F86" s="1"/>
      <c r="G86" s="1"/>
      <c r="H86" s="1"/>
      <c r="I86" s="1"/>
      <c r="J86" s="1"/>
      <c r="K86" s="1"/>
      <c r="L86" s="1"/>
      <c r="M86" s="1"/>
      <c r="N86" s="1"/>
      <c r="O86" s="1"/>
      <c r="P86" s="1"/>
      <c r="Q86" s="1"/>
      <c r="R86" s="1"/>
      <c r="S86" s="1"/>
      <c r="T86" s="1"/>
      <c r="U86" s="1"/>
      <c r="V86" s="1"/>
      <c r="W86" s="1"/>
      <c r="X86" s="1"/>
      <c r="Y86" s="1"/>
      <c r="Z86" s="1"/>
    </row>
    <row r="87" ht="15.75" customHeight="1">
      <c r="A87" s="21" t="str">
        <f>IFERROR(__xludf.DUMMYFUNCTION("""COMPUTED_VALUE"""),"Last Resort Potion")</f>
        <v>Last Resort Potion</v>
      </c>
      <c r="B87" s="21"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1" t="str">
        <f>IFERROR(__xludf.DUMMYFUNCTION("""COMPUTED_VALUE"""),"Item")</f>
        <v>Item</v>
      </c>
      <c r="D87" s="1" t="str">
        <f>IFERROR(__xludf.DUMMYFUNCTION("""COMPUTED_VALUE"""),"Land of Spira")</f>
        <v>Land of Spira</v>
      </c>
      <c r="E87" s="1" t="b">
        <f>IFERROR(__xludf.DUMMYFUNCTION("""COMPUTED_VALUE"""),FALSE)</f>
        <v>0</v>
      </c>
      <c r="F87" s="1"/>
      <c r="G87" s="1"/>
      <c r="H87" s="1"/>
      <c r="I87" s="1"/>
      <c r="J87" s="1"/>
      <c r="K87" s="1"/>
      <c r="L87" s="1"/>
      <c r="M87" s="1"/>
      <c r="N87" s="1"/>
      <c r="O87" s="1"/>
      <c r="P87" s="1"/>
      <c r="Q87" s="1"/>
      <c r="R87" s="1"/>
      <c r="S87" s="1"/>
      <c r="T87" s="1"/>
      <c r="U87" s="1"/>
      <c r="V87" s="1"/>
      <c r="W87" s="1"/>
      <c r="X87" s="1"/>
      <c r="Y87" s="1"/>
      <c r="Z87" s="1"/>
    </row>
    <row r="88" ht="15.75" customHeight="1">
      <c r="A88" s="67" t="str">
        <f>IFERROR(__xludf.DUMMYFUNCTION("""COMPUTED_VALUE"""),"Fish in a Bottle")</f>
        <v>Fish in a Bottle</v>
      </c>
      <c r="B88" s="21" t="str">
        <f>IFERROR(__xludf.DUMMYFUNCTION("""COMPUTED_VALUE"""),"Consume to regain 50HP and 50SP")</f>
        <v>Consume to regain 50HP and 50SP</v>
      </c>
      <c r="C88" s="1" t="str">
        <f>IFERROR(__xludf.DUMMYFUNCTION("""COMPUTED_VALUE"""),"Item")</f>
        <v>Item</v>
      </c>
      <c r="D88" s="1" t="str">
        <f>IFERROR(__xludf.DUMMYFUNCTION("""COMPUTED_VALUE"""),"Land of Spira")</f>
        <v>Land of Spira</v>
      </c>
      <c r="E88" s="1" t="b">
        <f>IFERROR(__xludf.DUMMYFUNCTION("""COMPUTED_VALUE"""),FALSE)</f>
        <v>0</v>
      </c>
      <c r="F88" s="1"/>
      <c r="G88" s="1"/>
      <c r="H88" s="1"/>
      <c r="I88" s="1"/>
      <c r="J88" s="1"/>
      <c r="K88" s="1"/>
      <c r="L88" s="1"/>
      <c r="M88" s="1"/>
      <c r="N88" s="1"/>
      <c r="O88" s="1"/>
      <c r="P88" s="1"/>
      <c r="Q88" s="1"/>
      <c r="R88" s="1"/>
      <c r="S88" s="1"/>
      <c r="T88" s="1"/>
      <c r="U88" s="1"/>
      <c r="V88" s="1"/>
      <c r="W88" s="1"/>
      <c r="X88" s="1"/>
      <c r="Y88" s="1"/>
      <c r="Z88" s="1"/>
    </row>
    <row r="89" ht="15.75" customHeight="1">
      <c r="A89" s="8"/>
      <c r="B89" s="16"/>
      <c r="C89" s="1"/>
      <c r="D89" s="1"/>
      <c r="E89" s="1" t="b">
        <f>IFERROR(__xludf.DUMMYFUNCTION("""COMPUTED_VALUE"""),FALSE)</f>
        <v>0</v>
      </c>
      <c r="F89" s="1"/>
      <c r="G89" s="1"/>
      <c r="H89" s="1"/>
      <c r="I89" s="1"/>
      <c r="J89" s="1"/>
      <c r="K89" s="1"/>
      <c r="L89" s="1"/>
      <c r="M89" s="1"/>
      <c r="N89" s="1"/>
      <c r="O89" s="1"/>
      <c r="P89" s="1"/>
      <c r="Q89" s="1"/>
      <c r="R89" s="1"/>
      <c r="S89" s="1"/>
      <c r="T89" s="1"/>
      <c r="U89" s="1"/>
      <c r="V89" s="1"/>
      <c r="W89" s="1"/>
      <c r="X89" s="1"/>
      <c r="Y89" s="1"/>
      <c r="Z89" s="1"/>
    </row>
    <row r="90" ht="15.75" customHeight="1">
      <c r="A90" s="16" t="str">
        <f>IFERROR(__xludf.DUMMYFUNCTION("""COMPUTED_VALUE"""),"Barrel of Poisonous Water")</f>
        <v>Barrel of Poisonous Water</v>
      </c>
      <c r="B90" s="21" t="str">
        <f>IFERROR(__xludf.DUMMYFUNCTION("""COMPUTED_VALUE"""),"POISON THE QUEEN!")</f>
        <v>POISON THE QUEEN!</v>
      </c>
      <c r="C90" s="1" t="str">
        <f>IFERROR(__xludf.DUMMYFUNCTION("""COMPUTED_VALUE"""),"Item")</f>
        <v>Item</v>
      </c>
      <c r="D90" s="1" t="str">
        <f>IFERROR(__xludf.DUMMYFUNCTION("""COMPUTED_VALUE"""),"Land of Spira")</f>
        <v>Land of Spira</v>
      </c>
      <c r="E90" s="1" t="b">
        <f>IFERROR(__xludf.DUMMYFUNCTION("""COMPUTED_VALUE"""),FALSE)</f>
        <v>0</v>
      </c>
      <c r="F90" s="1"/>
      <c r="G90" s="1"/>
      <c r="H90" s="1"/>
      <c r="I90" s="1"/>
      <c r="J90" s="1"/>
      <c r="K90" s="1"/>
      <c r="L90" s="1"/>
      <c r="M90" s="1"/>
      <c r="N90" s="1"/>
      <c r="O90" s="1"/>
      <c r="P90" s="1"/>
      <c r="Q90" s="1"/>
      <c r="R90" s="1"/>
      <c r="S90" s="1"/>
      <c r="T90" s="1"/>
      <c r="U90" s="1"/>
      <c r="V90" s="1"/>
      <c r="W90" s="1"/>
      <c r="X90" s="1"/>
      <c r="Y90" s="1"/>
      <c r="Z90" s="1"/>
    </row>
    <row r="91" ht="15.75" customHeight="1">
      <c r="A91" s="16" t="str">
        <f>IFERROR(__xludf.DUMMYFUNCTION("""COMPUTED_VALUE"""),"Live Worm")</f>
        <v>Live Worm</v>
      </c>
      <c r="B91" s="16" t="str">
        <f>IFERROR(__xludf.DUMMYFUNCTION("""COMPUTED_VALUE"""),"Can be used as bait. 1 use per worm")</f>
        <v>Can be used as bait. 1 use per worm</v>
      </c>
      <c r="C91" s="1" t="str">
        <f>IFERROR(__xludf.DUMMYFUNCTION("""COMPUTED_VALUE"""),"Item")</f>
        <v>Item</v>
      </c>
      <c r="D91" s="1" t="str">
        <f>IFERROR(__xludf.DUMMYFUNCTION("""COMPUTED_VALUE"""),"Land of Spira")</f>
        <v>Land of Spira</v>
      </c>
      <c r="E91" s="1" t="b">
        <f>IFERROR(__xludf.DUMMYFUNCTION("""COMPUTED_VALUE"""),FALSE)</f>
        <v>0</v>
      </c>
      <c r="F91" s="1"/>
      <c r="G91" s="1"/>
      <c r="H91" s="1"/>
      <c r="I91" s="1"/>
      <c r="J91" s="1"/>
      <c r="K91" s="1"/>
      <c r="L91" s="1"/>
      <c r="M91" s="1"/>
      <c r="N91" s="1"/>
      <c r="O91" s="1"/>
      <c r="P91" s="1"/>
      <c r="Q91" s="1"/>
      <c r="R91" s="1"/>
      <c r="S91" s="1"/>
      <c r="T91" s="1"/>
      <c r="U91" s="1"/>
      <c r="V91" s="1"/>
      <c r="W91" s="1"/>
      <c r="X91" s="1"/>
      <c r="Y91" s="1"/>
      <c r="Z91" s="1"/>
    </row>
    <row r="92" ht="15.75" customHeight="1">
      <c r="A92" s="21" t="str">
        <f>IFERROR(__xludf.DUMMYFUNCTION("""COMPUTED_VALUE"""),"Iron Fishing Pole")</f>
        <v>Iron Fishing Pole</v>
      </c>
      <c r="B92" s="21" t="str">
        <f>IFERROR(__xludf.DUMMYFUNCTION("""COMPUTED_VALUE"""),"20/20 Uses. Used for fishing.")</f>
        <v>20/20 Uses. Used for fishing.</v>
      </c>
      <c r="C92" s="1" t="str">
        <f>IFERROR(__xludf.DUMMYFUNCTION("""COMPUTED_VALUE"""),"Item")</f>
        <v>Item</v>
      </c>
      <c r="D92" s="1" t="str">
        <f>IFERROR(__xludf.DUMMYFUNCTION("""COMPUTED_VALUE"""),"Land of Spira")</f>
        <v>Land of Spira</v>
      </c>
      <c r="E92" s="1" t="b">
        <f>IFERROR(__xludf.DUMMYFUNCTION("""COMPUTED_VALUE"""),FALSE)</f>
        <v>0</v>
      </c>
      <c r="F92" s="1"/>
      <c r="G92" s="1"/>
      <c r="H92" s="1"/>
      <c r="I92" s="1"/>
      <c r="J92" s="1"/>
      <c r="K92" s="1"/>
      <c r="L92" s="1"/>
      <c r="M92" s="1"/>
      <c r="N92" s="1"/>
      <c r="O92" s="1"/>
      <c r="P92" s="1"/>
      <c r="Q92" s="1"/>
      <c r="R92" s="1"/>
      <c r="S92" s="1"/>
      <c r="T92" s="1"/>
      <c r="U92" s="1"/>
      <c r="V92" s="1"/>
      <c r="W92" s="1"/>
      <c r="X92" s="1"/>
      <c r="Y92" s="1"/>
      <c r="Z92" s="1"/>
    </row>
    <row r="93" ht="15.75" customHeight="1">
      <c r="A93" s="16" t="str">
        <f>IFERROR(__xludf.DUMMYFUNCTION("""COMPUTED_VALUE"""),"Fishing Lure Beginner")</f>
        <v>Fishing Lure Beginner</v>
      </c>
      <c r="B93" s="16" t="str">
        <f>IFERROR(__xludf.DUMMYFUNCTION("""COMPUTED_VALUE"""),"Used for fishing competition, add a +1 or -1 to your fishing rolls")</f>
        <v>Used for fishing competition, add a +1 or -1 to your fishing rolls</v>
      </c>
      <c r="C93" s="1" t="str">
        <f>IFERROR(__xludf.DUMMYFUNCTION("""COMPUTED_VALUE"""),"Item")</f>
        <v>Item</v>
      </c>
      <c r="D93" s="1" t="str">
        <f>IFERROR(__xludf.DUMMYFUNCTION("""COMPUTED_VALUE"""),"Land of Spira")</f>
        <v>Land of Spira</v>
      </c>
      <c r="E93" s="1" t="b">
        <f>IFERROR(__xludf.DUMMYFUNCTION("""COMPUTED_VALUE"""),FALSE)</f>
        <v>0</v>
      </c>
      <c r="F93" s="1"/>
      <c r="G93" s="1"/>
      <c r="H93" s="1"/>
      <c r="I93" s="1"/>
      <c r="J93" s="1"/>
      <c r="K93" s="1"/>
      <c r="L93" s="1"/>
      <c r="M93" s="1"/>
      <c r="N93" s="1"/>
      <c r="O93" s="1"/>
      <c r="P93" s="1"/>
      <c r="Q93" s="1"/>
      <c r="R93" s="1"/>
      <c r="S93" s="1"/>
      <c r="T93" s="1"/>
      <c r="U93" s="1"/>
      <c r="V93" s="1"/>
      <c r="W93" s="1"/>
      <c r="X93" s="1"/>
      <c r="Y93" s="1"/>
      <c r="Z93" s="1"/>
    </row>
    <row r="94" ht="15.75" customHeight="1">
      <c r="A94" s="21" t="str">
        <f>IFERROR(__xludf.DUMMYFUNCTION("""COMPUTED_VALUE"""),"Fishing Lure Moderate")</f>
        <v>Fishing Lure Moderate</v>
      </c>
      <c r="B94" s="21" t="str">
        <f>IFERROR(__xludf.DUMMYFUNCTION("""COMPUTED_VALUE"""),"Used for fishing competition, add a +3 or -3 to your fishing rolls")</f>
        <v>Used for fishing competition, add a +3 or -3 to your fishing rolls</v>
      </c>
      <c r="C94" s="1" t="str">
        <f>IFERROR(__xludf.DUMMYFUNCTION("""COMPUTED_VALUE"""),"Item")</f>
        <v>Item</v>
      </c>
      <c r="D94" s="1" t="str">
        <f>IFERROR(__xludf.DUMMYFUNCTION("""COMPUTED_VALUE"""),"Land of Spira")</f>
        <v>Land of Spira</v>
      </c>
      <c r="E94" s="1" t="b">
        <f>IFERROR(__xludf.DUMMYFUNCTION("""COMPUTED_VALUE"""),FALSE)</f>
        <v>0</v>
      </c>
      <c r="F94" s="1"/>
      <c r="G94" s="1"/>
      <c r="H94" s="1"/>
      <c r="I94" s="1"/>
      <c r="J94" s="1"/>
      <c r="K94" s="1"/>
      <c r="L94" s="1"/>
      <c r="M94" s="1"/>
      <c r="N94" s="1"/>
      <c r="O94" s="1"/>
      <c r="P94" s="1"/>
      <c r="Q94" s="1"/>
      <c r="R94" s="1"/>
      <c r="S94" s="1"/>
      <c r="T94" s="1"/>
      <c r="U94" s="1"/>
      <c r="V94" s="1"/>
      <c r="W94" s="1"/>
      <c r="X94" s="1"/>
      <c r="Y94" s="1"/>
      <c r="Z94" s="1"/>
    </row>
    <row r="95" ht="15.75" customHeight="1">
      <c r="A95" s="21" t="str">
        <f>IFERROR(__xludf.DUMMYFUNCTION("""COMPUTED_VALUE"""),"Fishing Lure Expert")</f>
        <v>Fishing Lure Expert</v>
      </c>
      <c r="B95" s="21" t="str">
        <f>IFERROR(__xludf.DUMMYFUNCTION("""COMPUTED_VALUE"""),"Used for fishing competition, add a +5 or -5 to your fishing rolls")</f>
        <v>Used for fishing competition, add a +5 or -5 to your fishing rolls</v>
      </c>
      <c r="C95" s="1" t="str">
        <f>IFERROR(__xludf.DUMMYFUNCTION("""COMPUTED_VALUE"""),"Item")</f>
        <v>Item</v>
      </c>
      <c r="D95" s="1" t="str">
        <f>IFERROR(__xludf.DUMMYFUNCTION("""COMPUTED_VALUE"""),"Land of Spira")</f>
        <v>Land of Spira</v>
      </c>
      <c r="E95" s="1" t="b">
        <f>IFERROR(__xludf.DUMMYFUNCTION("""COMPUTED_VALUE"""),FALSE)</f>
        <v>0</v>
      </c>
      <c r="F95" s="1"/>
      <c r="G95" s="1"/>
      <c r="H95" s="1"/>
      <c r="I95" s="1"/>
      <c r="J95" s="1"/>
      <c r="K95" s="1"/>
      <c r="L95" s="1"/>
      <c r="M95" s="1"/>
      <c r="N95" s="1"/>
      <c r="O95" s="1"/>
      <c r="P95" s="1"/>
      <c r="Q95" s="1"/>
      <c r="R95" s="1"/>
      <c r="S95" s="1"/>
      <c r="T95" s="1"/>
      <c r="U95" s="1"/>
      <c r="V95" s="1"/>
      <c r="W95" s="1"/>
      <c r="X95" s="1"/>
      <c r="Y95" s="1"/>
      <c r="Z95" s="1"/>
    </row>
    <row r="96" ht="15.75" customHeight="1">
      <c r="A96" s="21" t="str">
        <f>IFERROR(__xludf.DUMMYFUNCTION("""COMPUTED_VALUE"""),"Fossilized Water Dragon Bones")</f>
        <v>Fossilized Water Dragon Bones</v>
      </c>
      <c r="B96" s="16" t="str">
        <f>IFERROR(__xludf.DUMMYFUNCTION("""COMPUTED_VALUE"""),"Crafting Material, roll a d20 to see how many you get if this is a loot drop.")</f>
        <v>Crafting Material, roll a d20 to see how many you get if this is a loot drop.</v>
      </c>
      <c r="C96" s="1" t="str">
        <f>IFERROR(__xludf.DUMMYFUNCTION("""COMPUTED_VALUE"""),"Item")</f>
        <v>Item</v>
      </c>
      <c r="D96" s="1" t="str">
        <f>IFERROR(__xludf.DUMMYFUNCTION("""COMPUTED_VALUE"""),"Land of Spira")</f>
        <v>Land of Spira</v>
      </c>
      <c r="E96" s="1" t="b">
        <f>IFERROR(__xludf.DUMMYFUNCTION("""COMPUTED_VALUE"""),FALSE)</f>
        <v>0</v>
      </c>
      <c r="F96" s="1"/>
      <c r="G96" s="1"/>
      <c r="H96" s="1"/>
      <c r="I96" s="1"/>
      <c r="J96" s="1"/>
      <c r="K96" s="1"/>
      <c r="L96" s="1"/>
      <c r="M96" s="1"/>
      <c r="N96" s="1"/>
      <c r="O96" s="1"/>
      <c r="P96" s="1"/>
      <c r="Q96" s="1"/>
      <c r="R96" s="1"/>
      <c r="S96" s="1"/>
      <c r="T96" s="1"/>
      <c r="U96" s="1"/>
      <c r="V96" s="1"/>
      <c r="W96" s="1"/>
      <c r="X96" s="1"/>
      <c r="Y96" s="1"/>
      <c r="Z96" s="1"/>
    </row>
    <row r="97" ht="15.75" customHeight="1">
      <c r="A97" s="21" t="str">
        <f>IFERROR(__xludf.DUMMYFUNCTION("""COMPUTED_VALUE"""),"Return Home Gem")</f>
        <v>Return Home Gem</v>
      </c>
      <c r="B97" s="21" t="str">
        <f>IFERROR(__xludf.DUMMYFUNCTION("""COMPUTED_VALUE"""),"Only one per player in backpack. Instantly teleports you to the last town you were at without fail.")</f>
        <v>Only one per player in backpack. Instantly teleports you to the last town you were at without fail.</v>
      </c>
      <c r="C97" s="1" t="str">
        <f>IFERROR(__xludf.DUMMYFUNCTION("""COMPUTED_VALUE"""),"Item")</f>
        <v>Item</v>
      </c>
      <c r="D97" s="1" t="str">
        <f>IFERROR(__xludf.DUMMYFUNCTION("""COMPUTED_VALUE"""),"Land of Spira")</f>
        <v>Land of Spira</v>
      </c>
      <c r="E97" s="1" t="b">
        <f>IFERROR(__xludf.DUMMYFUNCTION("""COMPUTED_VALUE"""),FALSE)</f>
        <v>0</v>
      </c>
      <c r="F97" s="1"/>
      <c r="G97" s="1"/>
      <c r="H97" s="1"/>
      <c r="I97" s="1"/>
      <c r="J97" s="1"/>
      <c r="K97" s="1"/>
      <c r="L97" s="1"/>
      <c r="M97" s="1"/>
      <c r="N97" s="1"/>
      <c r="O97" s="1"/>
      <c r="P97" s="1"/>
      <c r="Q97" s="1"/>
      <c r="R97" s="1"/>
      <c r="S97" s="1"/>
      <c r="T97" s="1"/>
      <c r="U97" s="1"/>
      <c r="V97" s="1"/>
      <c r="W97" s="1"/>
      <c r="X97" s="1"/>
      <c r="Y97" s="1"/>
      <c r="Z97" s="1"/>
    </row>
    <row r="98" ht="15.75" customHeight="1">
      <c r="A98" s="21" t="str">
        <f>IFERROR(__xludf.DUMMYFUNCTION("""COMPUTED_VALUE"""),"Immunity to water potion temp")</f>
        <v>Immunity to water potion temp</v>
      </c>
      <c r="B98" s="21" t="str">
        <f>IFERROR(__xludf.DUMMYFUNCTION("""COMPUTED_VALUE"""),"Immune to water based attacks for one battle (does not count as a turn)")</f>
        <v>Immune to water based attacks for one battle (does not count as a turn)</v>
      </c>
      <c r="C98" s="1" t="str">
        <f>IFERROR(__xludf.DUMMYFUNCTION("""COMPUTED_VALUE"""),"Item")</f>
        <v>Item</v>
      </c>
      <c r="D98" s="1" t="str">
        <f>IFERROR(__xludf.DUMMYFUNCTION("""COMPUTED_VALUE"""),"Land of Spira")</f>
        <v>Land of Spira</v>
      </c>
      <c r="E98" s="1" t="b">
        <f>IFERROR(__xludf.DUMMYFUNCTION("""COMPUTED_VALUE"""),FALSE)</f>
        <v>0</v>
      </c>
      <c r="F98" s="1"/>
      <c r="G98" s="1"/>
      <c r="H98" s="1"/>
      <c r="I98" s="1"/>
      <c r="J98" s="1"/>
      <c r="K98" s="1"/>
      <c r="L98" s="1"/>
      <c r="M98" s="1"/>
      <c r="N98" s="1"/>
      <c r="O98" s="1"/>
      <c r="P98" s="1"/>
      <c r="Q98" s="1"/>
      <c r="R98" s="1"/>
      <c r="S98" s="1"/>
      <c r="T98" s="1"/>
      <c r="U98" s="1"/>
      <c r="V98" s="1"/>
      <c r="W98" s="1"/>
      <c r="X98" s="1"/>
      <c r="Y98" s="1"/>
      <c r="Z98" s="1"/>
    </row>
    <row r="99" ht="15.75" customHeight="1">
      <c r="A99" s="21" t="str">
        <f>IFERROR(__xludf.DUMMYFUNCTION("""COMPUTED_VALUE"""),"Legendary Sea Monster Meat")</f>
        <v>Legendary Sea Monster Meat</v>
      </c>
      <c r="B99" s="21"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1" t="str">
        <f>IFERROR(__xludf.DUMMYFUNCTION("""COMPUTED_VALUE"""),"Item")</f>
        <v>Item</v>
      </c>
      <c r="D99" s="1" t="str">
        <f>IFERROR(__xludf.DUMMYFUNCTION("""COMPUTED_VALUE"""),"Land of Spira")</f>
        <v>Land of Spira</v>
      </c>
      <c r="E99" s="1" t="b">
        <f>IFERROR(__xludf.DUMMYFUNCTION("""COMPUTED_VALUE"""),FALSE)</f>
        <v>0</v>
      </c>
      <c r="F99" s="1"/>
      <c r="G99" s="1"/>
      <c r="H99" s="1"/>
      <c r="I99" s="1"/>
      <c r="J99" s="1"/>
      <c r="K99" s="1"/>
      <c r="L99" s="1"/>
      <c r="M99" s="1"/>
      <c r="N99" s="1"/>
      <c r="O99" s="1"/>
      <c r="P99" s="1"/>
      <c r="Q99" s="1"/>
      <c r="R99" s="1"/>
      <c r="S99" s="1"/>
      <c r="T99" s="1"/>
      <c r="U99" s="1"/>
      <c r="V99" s="1"/>
      <c r="W99" s="1"/>
      <c r="X99" s="1"/>
      <c r="Y99" s="1"/>
      <c r="Z99" s="1"/>
    </row>
    <row r="100" ht="15.75" customHeight="1">
      <c r="A100" s="21" t="str">
        <f>IFERROR(__xludf.DUMMYFUNCTION("""COMPUTED_VALUE"""),"Scroll of The Sea Monster")</f>
        <v>Scroll of The Sea Monster</v>
      </c>
      <c r="B100" s="21" t="str">
        <f>IFERROR(__xludf.DUMMYFUNCTION("""COMPUTED_VALUE"""),"X2 to water damage for the caster until end of battle, water spells also become unblockable for 3 rounds.")</f>
        <v>X2 to water damage for the caster until end of battle, water spells also become unblockable for 3 rounds.</v>
      </c>
      <c r="C100" s="1" t="str">
        <f>IFERROR(__xludf.DUMMYFUNCTION("""COMPUTED_VALUE"""),"Item")</f>
        <v>Item</v>
      </c>
      <c r="D100" s="1" t="str">
        <f>IFERROR(__xludf.DUMMYFUNCTION("""COMPUTED_VALUE"""),"Land of Spira")</f>
        <v>Land of Spira</v>
      </c>
      <c r="E100" s="1" t="b">
        <f>IFERROR(__xludf.DUMMYFUNCTION("""COMPUTED_VALUE"""),FALSE)</f>
        <v>0</v>
      </c>
      <c r="F100" s="1"/>
      <c r="G100" s="1"/>
      <c r="H100" s="1"/>
      <c r="I100" s="1"/>
      <c r="J100" s="1"/>
      <c r="K100" s="1"/>
      <c r="L100" s="1"/>
      <c r="M100" s="1"/>
      <c r="N100" s="1"/>
      <c r="O100" s="1"/>
      <c r="P100" s="1"/>
      <c r="Q100" s="1"/>
      <c r="R100" s="1"/>
      <c r="S100" s="1"/>
      <c r="T100" s="1"/>
      <c r="U100" s="1"/>
      <c r="V100" s="1"/>
      <c r="W100" s="1"/>
      <c r="X100" s="1"/>
      <c r="Y100" s="1"/>
      <c r="Z100" s="1"/>
    </row>
    <row r="101" ht="15.75" customHeight="1">
      <c r="A101" s="21" t="str">
        <f>IFERROR(__xludf.DUMMYFUNCTION("""COMPUTED_VALUE"""),"Paper scraps")</f>
        <v>Paper scraps</v>
      </c>
      <c r="B101" s="21" t="str">
        <f>IFERROR(__xludf.DUMMYFUNCTION("""COMPUTED_VALUE"""),"Crafting Material, roll a d20 to see how many you get if this is a loot drop.")</f>
        <v>Crafting Material, roll a d20 to see how many you get if this is a loot drop.</v>
      </c>
      <c r="C101" s="1" t="str">
        <f>IFERROR(__xludf.DUMMYFUNCTION("""COMPUTED_VALUE"""),"Item")</f>
        <v>Item</v>
      </c>
      <c r="D101" s="1" t="str">
        <f>IFERROR(__xludf.DUMMYFUNCTION("""COMPUTED_VALUE"""),"Land of Spira")</f>
        <v>Land of Spira</v>
      </c>
      <c r="E101" s="1" t="b">
        <f>IFERROR(__xludf.DUMMYFUNCTION("""COMPUTED_VALUE"""),FALSE)</f>
        <v>0</v>
      </c>
      <c r="F101" s="1"/>
      <c r="G101" s="1"/>
      <c r="H101" s="1"/>
      <c r="I101" s="1"/>
      <c r="J101" s="1"/>
      <c r="K101" s="1"/>
      <c r="L101" s="1"/>
      <c r="M101" s="1"/>
      <c r="N101" s="1"/>
      <c r="O101" s="1"/>
      <c r="P101" s="1"/>
      <c r="Q101" s="1"/>
      <c r="R101" s="1"/>
      <c r="S101" s="1"/>
      <c r="T101" s="1"/>
      <c r="U101" s="1"/>
      <c r="V101" s="1"/>
      <c r="W101" s="1"/>
      <c r="X101" s="1"/>
      <c r="Y101" s="1"/>
      <c r="Z101" s="1"/>
    </row>
    <row r="102" ht="15.75" customHeight="1">
      <c r="A102" s="67" t="str">
        <f>IFERROR(__xludf.DUMMYFUNCTION("""COMPUTED_VALUE"""),"Blank piece of paper")</f>
        <v>Blank piece of paper</v>
      </c>
      <c r="B102" s="16" t="str">
        <f>IFERROR(__xludf.DUMMYFUNCTION("""COMPUTED_VALUE"""),"Crafting Material, roll a d20 to see how many you get if this is a loot drop.")</f>
        <v>Crafting Material, roll a d20 to see how many you get if this is a loot drop.</v>
      </c>
      <c r="C102" s="1" t="str">
        <f>IFERROR(__xludf.DUMMYFUNCTION("""COMPUTED_VALUE"""),"Item")</f>
        <v>Item</v>
      </c>
      <c r="D102" s="1" t="str">
        <f>IFERROR(__xludf.DUMMYFUNCTION("""COMPUTED_VALUE"""),"Land of Spira")</f>
        <v>Land of Spira</v>
      </c>
      <c r="E102" s="1" t="b">
        <f>IFERROR(__xludf.DUMMYFUNCTION("""COMPUTED_VALUE"""),FALSE)</f>
        <v>0</v>
      </c>
      <c r="F102" s="1"/>
      <c r="G102" s="1"/>
      <c r="H102" s="1"/>
      <c r="I102" s="1"/>
      <c r="J102" s="1"/>
      <c r="K102" s="1"/>
      <c r="L102" s="1"/>
      <c r="M102" s="1"/>
      <c r="N102" s="1"/>
      <c r="O102" s="1"/>
      <c r="P102" s="1"/>
      <c r="Q102" s="1"/>
      <c r="R102" s="1"/>
      <c r="S102" s="1"/>
      <c r="T102" s="1"/>
      <c r="U102" s="1"/>
      <c r="V102" s="1"/>
      <c r="W102" s="1"/>
      <c r="X102" s="1"/>
      <c r="Y102" s="1"/>
      <c r="Z102" s="1"/>
    </row>
    <row r="103" ht="15.75" customHeight="1">
      <c r="A103" s="67" t="str">
        <f>IFERROR(__xludf.DUMMYFUNCTION("""COMPUTED_VALUE"""),"Broken pistol")</f>
        <v>Broken pistol</v>
      </c>
      <c r="B103" s="67" t="str">
        <f>IFERROR(__xludf.DUMMYFUNCTION("""COMPUTED_VALUE"""),"Crafting Material, roll a d20 to see how many you get if this is a loot drop.")</f>
        <v>Crafting Material, roll a d20 to see how many you get if this is a loot drop.</v>
      </c>
      <c r="C103" s="1" t="str">
        <f>IFERROR(__xludf.DUMMYFUNCTION("""COMPUTED_VALUE"""),"Item")</f>
        <v>Item</v>
      </c>
      <c r="D103" s="1" t="str">
        <f>IFERROR(__xludf.DUMMYFUNCTION("""COMPUTED_VALUE"""),"Land of Spira")</f>
        <v>Land of Spira</v>
      </c>
      <c r="E103" s="1" t="b">
        <f>IFERROR(__xludf.DUMMYFUNCTION("""COMPUTED_VALUE"""),FALSE)</f>
        <v>0</v>
      </c>
      <c r="F103" s="1"/>
      <c r="G103" s="1"/>
      <c r="H103" s="1"/>
      <c r="I103" s="1"/>
      <c r="J103" s="1"/>
      <c r="K103" s="1"/>
      <c r="L103" s="1"/>
      <c r="M103" s="1"/>
      <c r="N103" s="1"/>
      <c r="O103" s="1"/>
      <c r="P103" s="1"/>
      <c r="Q103" s="1"/>
      <c r="R103" s="1"/>
      <c r="S103" s="1"/>
      <c r="T103" s="1"/>
      <c r="U103" s="1"/>
      <c r="V103" s="1"/>
      <c r="W103" s="1"/>
      <c r="X103" s="1"/>
      <c r="Y103" s="1"/>
      <c r="Z103" s="1"/>
    </row>
    <row r="104" ht="15.75" customHeight="1">
      <c r="A104" s="21" t="str">
        <f>IFERROR(__xludf.DUMMYFUNCTION("""COMPUTED_VALUE"""),"Cannon Ball")</f>
        <v>Cannon Ball</v>
      </c>
      <c r="B104" s="67" t="str">
        <f>IFERROR(__xludf.DUMMYFUNCTION("""COMPUTED_VALUE"""),"Cannon Ammunition, +1000 damage. roll a d20 to see how many you get if this is a loot drop.")</f>
        <v>Cannon Ammunition, +1000 damage. roll a d20 to see how many you get if this is a loot drop.</v>
      </c>
      <c r="C104" s="1" t="str">
        <f>IFERROR(__xludf.DUMMYFUNCTION("""COMPUTED_VALUE"""),"Item")</f>
        <v>Item</v>
      </c>
      <c r="D104" s="1" t="str">
        <f>IFERROR(__xludf.DUMMYFUNCTION("""COMPUTED_VALUE"""),"Land of Spira")</f>
        <v>Land of Spira</v>
      </c>
      <c r="E104" s="1" t="b">
        <f>IFERROR(__xludf.DUMMYFUNCTION("""COMPUTED_VALUE"""),FALSE)</f>
        <v>0</v>
      </c>
      <c r="F104" s="1"/>
      <c r="G104" s="1"/>
      <c r="H104" s="1"/>
      <c r="I104" s="1"/>
      <c r="J104" s="1"/>
      <c r="K104" s="1"/>
      <c r="L104" s="1"/>
      <c r="M104" s="1"/>
      <c r="N104" s="1"/>
      <c r="O104" s="1"/>
      <c r="P104" s="1"/>
      <c r="Q104" s="1"/>
      <c r="R104" s="1"/>
      <c r="S104" s="1"/>
      <c r="T104" s="1"/>
      <c r="U104" s="1"/>
      <c r="V104" s="1"/>
      <c r="W104" s="1"/>
      <c r="X104" s="1"/>
      <c r="Y104" s="1"/>
      <c r="Z104" s="1"/>
    </row>
    <row r="105" ht="15.75" customHeight="1">
      <c r="A105" s="21" t="str">
        <f>IFERROR(__xludf.DUMMYFUNCTION("""COMPUTED_VALUE"""),"Blank Book")</f>
        <v>Blank Book</v>
      </c>
      <c r="B105" s="67" t="str">
        <f>IFERROR(__xludf.DUMMYFUNCTION("""COMPUTED_VALUE"""),"Crafting Material, roll a d20 to see how many you get.")</f>
        <v>Crafting Material, roll a d20 to see how many you get.</v>
      </c>
      <c r="C105" s="1" t="str">
        <f>IFERROR(__xludf.DUMMYFUNCTION("""COMPUTED_VALUE"""),"Item")</f>
        <v>Item</v>
      </c>
      <c r="D105" s="1" t="str">
        <f>IFERROR(__xludf.DUMMYFUNCTION("""COMPUTED_VALUE"""),"Land of Spira")</f>
        <v>Land of Spira</v>
      </c>
      <c r="E105" s="1" t="b">
        <f>IFERROR(__xludf.DUMMYFUNCTION("""COMPUTED_VALUE"""),FALSE)</f>
        <v>0</v>
      </c>
      <c r="F105" s="1"/>
      <c r="G105" s="1"/>
      <c r="H105" s="1"/>
      <c r="I105" s="1"/>
      <c r="J105" s="1"/>
      <c r="K105" s="1"/>
      <c r="L105" s="1"/>
      <c r="M105" s="1"/>
      <c r="N105" s="1"/>
      <c r="O105" s="1"/>
      <c r="P105" s="1"/>
      <c r="Q105" s="1"/>
      <c r="R105" s="1"/>
      <c r="S105" s="1"/>
      <c r="T105" s="1"/>
      <c r="U105" s="1"/>
      <c r="V105" s="1"/>
      <c r="W105" s="1"/>
      <c r="X105" s="1"/>
      <c r="Y105" s="1"/>
      <c r="Z105" s="1"/>
    </row>
    <row r="106" ht="15.75" customHeight="1">
      <c r="A106" s="67" t="str">
        <f>IFERROR(__xludf.DUMMYFUNCTION("""COMPUTED_VALUE"""),"Bronze")</f>
        <v>Bronze</v>
      </c>
      <c r="B106" s="67" t="str">
        <f>IFERROR(__xludf.DUMMYFUNCTION("""COMPUTED_VALUE"""),"Crafting Material, roll a d20 to see how many you get.")</f>
        <v>Crafting Material, roll a d20 to see how many you get.</v>
      </c>
      <c r="C106" s="1" t="str">
        <f>IFERROR(__xludf.DUMMYFUNCTION("""COMPUTED_VALUE"""),"Item")</f>
        <v>Item</v>
      </c>
      <c r="D106" s="1" t="str">
        <f>IFERROR(__xludf.DUMMYFUNCTION("""COMPUTED_VALUE"""),"Land of Spira")</f>
        <v>Land of Spira</v>
      </c>
      <c r="E106" s="1" t="b">
        <f>IFERROR(__xludf.DUMMYFUNCTION("""COMPUTED_VALUE"""),FALSE)</f>
        <v>0</v>
      </c>
      <c r="F106" s="1"/>
      <c r="G106" s="1"/>
      <c r="H106" s="1"/>
      <c r="I106" s="1"/>
      <c r="J106" s="1"/>
      <c r="K106" s="1"/>
      <c r="L106" s="1"/>
      <c r="M106" s="1"/>
      <c r="N106" s="1"/>
      <c r="O106" s="1"/>
      <c r="P106" s="1"/>
      <c r="Q106" s="1"/>
      <c r="R106" s="1"/>
      <c r="S106" s="1"/>
      <c r="T106" s="1"/>
      <c r="U106" s="1"/>
      <c r="V106" s="1"/>
      <c r="W106" s="1"/>
      <c r="X106" s="1"/>
      <c r="Y106" s="1"/>
      <c r="Z106" s="1"/>
    </row>
    <row r="107" ht="15.75" customHeight="1">
      <c r="A107" s="67" t="str">
        <f>IFERROR(__xludf.DUMMYFUNCTION("""COMPUTED_VALUE"""),"Diamond")</f>
        <v>Diamond</v>
      </c>
      <c r="B107" s="67" t="str">
        <f>IFERROR(__xludf.DUMMYFUNCTION("""COMPUTED_VALUE"""),"Crafting Material, roll a d20 to see how many you get.")</f>
        <v>Crafting Material, roll a d20 to see how many you get.</v>
      </c>
      <c r="C107" s="1" t="str">
        <f>IFERROR(__xludf.DUMMYFUNCTION("""COMPUTED_VALUE"""),"Item")</f>
        <v>Item</v>
      </c>
      <c r="D107" s="1" t="str">
        <f>IFERROR(__xludf.DUMMYFUNCTION("""COMPUTED_VALUE"""),"Land of Spira")</f>
        <v>Land of Spira</v>
      </c>
      <c r="E107" s="1" t="b">
        <f>IFERROR(__xludf.DUMMYFUNCTION("""COMPUTED_VALUE"""),FALSE)</f>
        <v>0</v>
      </c>
      <c r="F107" s="1"/>
      <c r="G107" s="1"/>
      <c r="H107" s="1"/>
      <c r="I107" s="1"/>
      <c r="J107" s="1"/>
      <c r="K107" s="1"/>
      <c r="L107" s="1"/>
      <c r="M107" s="1"/>
      <c r="N107" s="1"/>
      <c r="O107" s="1"/>
      <c r="P107" s="1"/>
      <c r="Q107" s="1"/>
      <c r="R107" s="1"/>
      <c r="S107" s="1"/>
      <c r="T107" s="1"/>
      <c r="U107" s="1"/>
      <c r="V107" s="1"/>
      <c r="W107" s="1"/>
      <c r="X107" s="1"/>
      <c r="Y107" s="1"/>
      <c r="Z107" s="1"/>
    </row>
    <row r="108" ht="15.75" customHeight="1">
      <c r="A108" s="67" t="str">
        <f>IFERROR(__xludf.DUMMYFUNCTION("""COMPUTED_VALUE"""),"Wood")</f>
        <v>Wood</v>
      </c>
      <c r="B108" s="67" t="str">
        <f>IFERROR(__xludf.DUMMYFUNCTION("""COMPUTED_VALUE"""),"Crafting Material, roll a d20 to see how many you get.")</f>
        <v>Crafting Material, roll a d20 to see how many you get.</v>
      </c>
      <c r="C108" s="1" t="str">
        <f>IFERROR(__xludf.DUMMYFUNCTION("""COMPUTED_VALUE"""),"Item")</f>
        <v>Item</v>
      </c>
      <c r="D108" s="1" t="str">
        <f>IFERROR(__xludf.DUMMYFUNCTION("""COMPUTED_VALUE"""),"Land of Spira")</f>
        <v>Land of Spira</v>
      </c>
      <c r="E108" s="1" t="b">
        <f>IFERROR(__xludf.DUMMYFUNCTION("""COMPUTED_VALUE"""),FALSE)</f>
        <v>0</v>
      </c>
      <c r="F108" s="1"/>
      <c r="G108" s="1"/>
      <c r="H108" s="1"/>
      <c r="I108" s="1"/>
      <c r="J108" s="1"/>
      <c r="K108" s="1"/>
      <c r="L108" s="1"/>
      <c r="M108" s="1"/>
      <c r="N108" s="1"/>
      <c r="O108" s="1"/>
      <c r="P108" s="1"/>
      <c r="Q108" s="1"/>
      <c r="R108" s="1"/>
      <c r="S108" s="1"/>
      <c r="T108" s="1"/>
      <c r="U108" s="1"/>
      <c r="V108" s="1"/>
      <c r="W108" s="1"/>
      <c r="X108" s="1"/>
      <c r="Y108" s="1"/>
      <c r="Z108" s="1"/>
    </row>
    <row r="109" ht="15.75" customHeight="1">
      <c r="A109" s="21" t="str">
        <f>IFERROR(__xludf.DUMMYFUNCTION("""COMPUTED_VALUE"""),"Stone")</f>
        <v>Stone</v>
      </c>
      <c r="B109" s="67" t="str">
        <f>IFERROR(__xludf.DUMMYFUNCTION("""COMPUTED_VALUE"""),"Crafting Material, roll a d20 to see how many you get.")</f>
        <v>Crafting Material, roll a d20 to see how many you get.</v>
      </c>
      <c r="C109" s="1" t="str">
        <f>IFERROR(__xludf.DUMMYFUNCTION("""COMPUTED_VALUE"""),"Item")</f>
        <v>Item</v>
      </c>
      <c r="D109" s="1" t="str">
        <f>IFERROR(__xludf.DUMMYFUNCTION("""COMPUTED_VALUE"""),"Land of Spira")</f>
        <v>Land of Spira</v>
      </c>
      <c r="E109" s="1" t="b">
        <f>IFERROR(__xludf.DUMMYFUNCTION("""COMPUTED_VALUE"""),FALSE)</f>
        <v>0</v>
      </c>
      <c r="F109" s="1"/>
      <c r="G109" s="1"/>
      <c r="H109" s="1"/>
      <c r="I109" s="1"/>
      <c r="J109" s="1"/>
      <c r="K109" s="1"/>
      <c r="L109" s="1"/>
      <c r="M109" s="1"/>
      <c r="N109" s="1"/>
      <c r="O109" s="1"/>
      <c r="P109" s="1"/>
      <c r="Q109" s="1"/>
      <c r="R109" s="1"/>
      <c r="S109" s="1"/>
      <c r="T109" s="1"/>
      <c r="U109" s="1"/>
      <c r="V109" s="1"/>
      <c r="W109" s="1"/>
      <c r="X109" s="1"/>
      <c r="Y109" s="1"/>
      <c r="Z109" s="1"/>
    </row>
    <row r="110" ht="15.75" customHeight="1">
      <c r="A110" s="67" t="str">
        <f>IFERROR(__xludf.DUMMYFUNCTION("""COMPUTED_VALUE"""),"Raw Meat")</f>
        <v>Raw Meat</v>
      </c>
      <c r="B110" s="67" t="str">
        <f>IFERROR(__xludf.DUMMYFUNCTION("""COMPUTED_VALUE"""),"-100 Hunger")</f>
        <v>-100 Hunger</v>
      </c>
      <c r="C110" s="1" t="str">
        <f>IFERROR(__xludf.DUMMYFUNCTION("""COMPUTED_VALUE"""),"Crop")</f>
        <v>Crop</v>
      </c>
      <c r="D110" s="1" t="str">
        <f>IFERROR(__xludf.DUMMYFUNCTION("""COMPUTED_VALUE"""),"Land of Spira")</f>
        <v>Land of Spira</v>
      </c>
      <c r="E110" s="1" t="b">
        <f>IFERROR(__xludf.DUMMYFUNCTION("""COMPUTED_VALUE"""),FALSE)</f>
        <v>0</v>
      </c>
      <c r="F110" s="1"/>
      <c r="G110" s="1"/>
      <c r="H110" s="1"/>
      <c r="I110" s="1"/>
      <c r="J110" s="1"/>
      <c r="K110" s="1"/>
      <c r="L110" s="1"/>
      <c r="M110" s="1"/>
      <c r="N110" s="1"/>
      <c r="O110" s="1"/>
      <c r="P110" s="1"/>
      <c r="Q110" s="1"/>
      <c r="R110" s="1"/>
      <c r="S110" s="1"/>
      <c r="T110" s="1"/>
      <c r="U110" s="1"/>
      <c r="V110" s="1"/>
      <c r="W110" s="1"/>
      <c r="X110" s="1"/>
      <c r="Y110" s="1"/>
      <c r="Z110" s="1"/>
    </row>
    <row r="111" ht="15.75" customHeight="1">
      <c r="A111" s="67" t="str">
        <f>IFERROR(__xludf.DUMMYFUNCTION("""COMPUTED_VALUE"""),"Cooked Meat")</f>
        <v>Cooked Meat</v>
      </c>
      <c r="B111" s="67" t="str">
        <f>IFERROR(__xludf.DUMMYFUNCTION("""COMPUTED_VALUE"""),"Restores 35 Hunger")</f>
        <v>Restores 35 Hunger</v>
      </c>
      <c r="C111" s="1" t="str">
        <f>IFERROR(__xludf.DUMMYFUNCTION("""COMPUTED_VALUE"""),"Crop")</f>
        <v>Crop</v>
      </c>
      <c r="D111" s="1" t="str">
        <f>IFERROR(__xludf.DUMMYFUNCTION("""COMPUTED_VALUE"""),"Land of Spira")</f>
        <v>Land of Spira</v>
      </c>
      <c r="E111" s="1" t="b">
        <f>IFERROR(__xludf.DUMMYFUNCTION("""COMPUTED_VALUE"""),FALSE)</f>
        <v>0</v>
      </c>
      <c r="F111" s="1"/>
      <c r="G111" s="1"/>
      <c r="H111" s="1"/>
      <c r="I111" s="1"/>
      <c r="J111" s="1"/>
      <c r="K111" s="1"/>
      <c r="L111" s="1"/>
      <c r="M111" s="1"/>
      <c r="N111" s="1"/>
      <c r="O111" s="1"/>
      <c r="P111" s="1"/>
      <c r="Q111" s="1"/>
      <c r="R111" s="1"/>
      <c r="S111" s="1"/>
      <c r="T111" s="1"/>
      <c r="U111" s="1"/>
      <c r="V111" s="1"/>
      <c r="W111" s="1"/>
      <c r="X111" s="1"/>
      <c r="Y111" s="1"/>
      <c r="Z111" s="1"/>
    </row>
    <row r="112" ht="15.75" customHeight="1">
      <c r="A112" s="67" t="str">
        <f>IFERROR(__xludf.DUMMYFUNCTION("""COMPUTED_VALUE"""),"Dried Meat")</f>
        <v>Dried Meat</v>
      </c>
      <c r="B112" s="67" t="str">
        <f>IFERROR(__xludf.DUMMYFUNCTION("""COMPUTED_VALUE"""),"25 Hunger")</f>
        <v>25 Hunger</v>
      </c>
      <c r="C112" s="1" t="str">
        <f>IFERROR(__xludf.DUMMYFUNCTION("""COMPUTED_VALUE"""),"Crop")</f>
        <v>Crop</v>
      </c>
      <c r="D112" s="1" t="str">
        <f>IFERROR(__xludf.DUMMYFUNCTION("""COMPUTED_VALUE"""),"Land of Spira")</f>
        <v>Land of Spira</v>
      </c>
      <c r="E112" s="1" t="b">
        <f>IFERROR(__xludf.DUMMYFUNCTION("""COMPUTED_VALUE"""),FALSE)</f>
        <v>0</v>
      </c>
      <c r="F112" s="1"/>
      <c r="G112" s="1"/>
      <c r="H112" s="1"/>
      <c r="I112" s="1"/>
      <c r="J112" s="1"/>
      <c r="K112" s="1"/>
      <c r="L112" s="1"/>
      <c r="M112" s="1"/>
      <c r="N112" s="1"/>
      <c r="O112" s="1"/>
      <c r="P112" s="1"/>
      <c r="Q112" s="1"/>
      <c r="R112" s="1"/>
      <c r="S112" s="1"/>
      <c r="T112" s="1"/>
      <c r="U112" s="1"/>
      <c r="V112" s="1"/>
      <c r="W112" s="1"/>
      <c r="X112" s="1"/>
      <c r="Y112" s="1"/>
      <c r="Z112" s="1"/>
    </row>
    <row r="113" ht="15.75" customHeight="1">
      <c r="A113" s="67" t="str">
        <f>IFERROR(__xludf.DUMMYFUNCTION("""COMPUTED_VALUE"""),"Medium Rare Steak")</f>
        <v>Medium Rare Steak</v>
      </c>
      <c r="B113" s="67" t="str">
        <f>IFERROR(__xludf.DUMMYFUNCTION("""COMPUTED_VALUE"""),"Restores 30 Hunger and 5 HP")</f>
        <v>Restores 30 Hunger and 5 HP</v>
      </c>
      <c r="C113" s="1" t="str">
        <f>IFERROR(__xludf.DUMMYFUNCTION("""COMPUTED_VALUE"""),"Crop")</f>
        <v>Crop</v>
      </c>
      <c r="D113" s="1" t="str">
        <f>IFERROR(__xludf.DUMMYFUNCTION("""COMPUTED_VALUE"""),"Land of Spira")</f>
        <v>Land of Spira</v>
      </c>
      <c r="E113" s="1" t="b">
        <f>IFERROR(__xludf.DUMMYFUNCTION("""COMPUTED_VALUE"""),FALSE)</f>
        <v>0</v>
      </c>
      <c r="F113" s="1"/>
      <c r="G113" s="1"/>
      <c r="H113" s="1"/>
      <c r="I113" s="1"/>
      <c r="J113" s="1"/>
      <c r="K113" s="1"/>
      <c r="L113" s="1"/>
      <c r="M113" s="1"/>
      <c r="N113" s="1"/>
      <c r="O113" s="1"/>
      <c r="P113" s="1"/>
      <c r="Q113" s="1"/>
      <c r="R113" s="1"/>
      <c r="S113" s="1"/>
      <c r="T113" s="1"/>
      <c r="U113" s="1"/>
      <c r="V113" s="1"/>
      <c r="W113" s="1"/>
      <c r="X113" s="1"/>
      <c r="Y113" s="1"/>
      <c r="Z113" s="1"/>
    </row>
    <row r="114" ht="15.75" customHeight="1">
      <c r="A114" s="67" t="str">
        <f>IFERROR(__xludf.DUMMYFUNCTION("""COMPUTED_VALUE"""),"Well Done Steak")</f>
        <v>Well Done Steak</v>
      </c>
      <c r="B114" s="67" t="str">
        <f>IFERROR(__xludf.DUMMYFUNCTION("""COMPUTED_VALUE"""),"10 Hunger and 3 HP are restored each turn for the next three turns")</f>
        <v>10 Hunger and 3 HP are restored each turn for the next three turns</v>
      </c>
      <c r="C114" s="1" t="str">
        <f>IFERROR(__xludf.DUMMYFUNCTION("""COMPUTED_VALUE"""),"Crop")</f>
        <v>Crop</v>
      </c>
      <c r="D114" s="1" t="str">
        <f>IFERROR(__xludf.DUMMYFUNCTION("""COMPUTED_VALUE"""),"Land of Spira")</f>
        <v>Land of Spira</v>
      </c>
      <c r="E114" s="1" t="b">
        <f>IFERROR(__xludf.DUMMYFUNCTION("""COMPUTED_VALUE"""),FALSE)</f>
        <v>0</v>
      </c>
      <c r="F114" s="1"/>
      <c r="G114" s="1"/>
      <c r="H114" s="1"/>
      <c r="I114" s="1"/>
      <c r="J114" s="1"/>
      <c r="K114" s="1"/>
      <c r="L114" s="1"/>
      <c r="M114" s="1"/>
      <c r="N114" s="1"/>
      <c r="O114" s="1"/>
      <c r="P114" s="1"/>
      <c r="Q114" s="1"/>
      <c r="R114" s="1"/>
      <c r="S114" s="1"/>
      <c r="T114" s="1"/>
      <c r="U114" s="1"/>
      <c r="V114" s="1"/>
      <c r="W114" s="1"/>
      <c r="X114" s="1"/>
      <c r="Y114" s="1"/>
      <c r="Z114" s="1"/>
    </row>
    <row r="115" ht="15.75" customHeight="1">
      <c r="A115" s="67" t="str">
        <f>IFERROR(__xludf.DUMMYFUNCTION("""COMPUTED_VALUE"""),"Kebab")</f>
        <v>Kebab</v>
      </c>
      <c r="B115" s="67" t="str">
        <f>IFERROR(__xludf.DUMMYFUNCTION("""COMPUTED_VALUE"""),"Restores 10 Hunger, 5 HP, and 15 SP")</f>
        <v>Restores 10 Hunger, 5 HP, and 15 SP</v>
      </c>
      <c r="C115" s="1" t="str">
        <f>IFERROR(__xludf.DUMMYFUNCTION("""COMPUTED_VALUE"""),"Crop")</f>
        <v>Crop</v>
      </c>
      <c r="D115" s="1" t="str">
        <f>IFERROR(__xludf.DUMMYFUNCTION("""COMPUTED_VALUE"""),"Land of Spira")</f>
        <v>Land of Spira</v>
      </c>
      <c r="E115" s="1" t="b">
        <f>IFERROR(__xludf.DUMMYFUNCTION("""COMPUTED_VALUE"""),FALSE)</f>
        <v>0</v>
      </c>
      <c r="F115" s="1"/>
      <c r="G115" s="1"/>
      <c r="H115" s="1"/>
      <c r="I115" s="1"/>
      <c r="J115" s="1"/>
      <c r="K115" s="1"/>
      <c r="L115" s="1"/>
      <c r="M115" s="1"/>
      <c r="N115" s="1"/>
      <c r="O115" s="1"/>
      <c r="P115" s="1"/>
      <c r="Q115" s="1"/>
      <c r="R115" s="1"/>
      <c r="S115" s="1"/>
      <c r="T115" s="1"/>
      <c r="U115" s="1"/>
      <c r="V115" s="1"/>
      <c r="W115" s="1"/>
      <c r="X115" s="1"/>
      <c r="Y115" s="1"/>
      <c r="Z115" s="1"/>
    </row>
    <row r="116" ht="15.75" customHeight="1">
      <c r="A116" s="67" t="str">
        <f>IFERROR(__xludf.DUMMYFUNCTION("""COMPUTED_VALUE"""),"Melon Bread")</f>
        <v>Melon Bread</v>
      </c>
      <c r="B116" s="67" t="str">
        <f>IFERROR(__xludf.DUMMYFUNCTION("""COMPUTED_VALUE"""),"15 Hunger")</f>
        <v>15 Hunger</v>
      </c>
      <c r="C116" s="1" t="str">
        <f>IFERROR(__xludf.DUMMYFUNCTION("""COMPUTED_VALUE"""),"Crop")</f>
        <v>Crop</v>
      </c>
      <c r="D116" s="1" t="str">
        <f>IFERROR(__xludf.DUMMYFUNCTION("""COMPUTED_VALUE"""),"Land of Spira")</f>
        <v>Land of Spira</v>
      </c>
      <c r="E116" s="1" t="b">
        <f>IFERROR(__xludf.DUMMYFUNCTION("""COMPUTED_VALUE"""),FALSE)</f>
        <v>0</v>
      </c>
      <c r="F116" s="1"/>
      <c r="G116" s="1"/>
      <c r="H116" s="1"/>
      <c r="I116" s="1"/>
      <c r="J116" s="1"/>
      <c r="K116" s="1"/>
      <c r="L116" s="1"/>
      <c r="M116" s="1"/>
      <c r="N116" s="1"/>
      <c r="O116" s="1"/>
      <c r="P116" s="1"/>
      <c r="Q116" s="1"/>
      <c r="R116" s="1"/>
      <c r="S116" s="1"/>
      <c r="T116" s="1"/>
      <c r="U116" s="1"/>
      <c r="V116" s="1"/>
      <c r="W116" s="1"/>
      <c r="X116" s="1"/>
      <c r="Y116" s="1"/>
      <c r="Z116" s="1"/>
    </row>
    <row r="117" ht="15.75" customHeight="1">
      <c r="A117" s="21" t="str">
        <f>IFERROR(__xludf.DUMMYFUNCTION("""COMPUTED_VALUE"""),"Cake")</f>
        <v>Cake</v>
      </c>
      <c r="B117" s="67" t="str">
        <f>IFERROR(__xludf.DUMMYFUNCTION("""COMPUTED_VALUE"""),"8 uses, each use restores 20 Hunger")</f>
        <v>8 uses, each use restores 20 Hunger</v>
      </c>
      <c r="C117" s="1" t="str">
        <f>IFERROR(__xludf.DUMMYFUNCTION("""COMPUTED_VALUE"""),"Crop")</f>
        <v>Crop</v>
      </c>
      <c r="D117" s="1" t="str">
        <f>IFERROR(__xludf.DUMMYFUNCTION("""COMPUTED_VALUE"""),"Land of Spira")</f>
        <v>Land of Spira</v>
      </c>
      <c r="E117" s="1" t="b">
        <f>IFERROR(__xludf.DUMMYFUNCTION("""COMPUTED_VALUE"""),FALSE)</f>
        <v>0</v>
      </c>
      <c r="F117" s="1"/>
      <c r="G117" s="1"/>
      <c r="H117" s="1"/>
      <c r="I117" s="1"/>
      <c r="J117" s="1"/>
      <c r="K117" s="1"/>
      <c r="L117" s="1"/>
      <c r="M117" s="1"/>
      <c r="N117" s="1"/>
      <c r="O117" s="1"/>
      <c r="P117" s="1"/>
      <c r="Q117" s="1"/>
      <c r="R117" s="1"/>
      <c r="S117" s="1"/>
      <c r="T117" s="1"/>
      <c r="U117" s="1"/>
      <c r="V117" s="1"/>
      <c r="W117" s="1"/>
      <c r="X117" s="1"/>
      <c r="Y117" s="1"/>
      <c r="Z117" s="1"/>
    </row>
    <row r="118" ht="15.75" customHeight="1">
      <c r="A118" s="67" t="str">
        <f>IFERROR(__xludf.DUMMYFUNCTION("""COMPUTED_VALUE"""),"Cherry Pie")</f>
        <v>Cherry Pie</v>
      </c>
      <c r="B118" s="67" t="str">
        <f>IFERROR(__xludf.DUMMYFUNCTION("""COMPUTED_VALUE"""),"4 uses, restores 20 Hunger, 10 HP, and 5 SP with each use")</f>
        <v>4 uses, restores 20 Hunger, 10 HP, and 5 SP with each use</v>
      </c>
      <c r="C118" s="1" t="str">
        <f>IFERROR(__xludf.DUMMYFUNCTION("""COMPUTED_VALUE"""),"Crop")</f>
        <v>Crop</v>
      </c>
      <c r="D118" s="1" t="str">
        <f>IFERROR(__xludf.DUMMYFUNCTION("""COMPUTED_VALUE"""),"Land of Spira")</f>
        <v>Land of Spira</v>
      </c>
      <c r="E118" s="1" t="b">
        <f>IFERROR(__xludf.DUMMYFUNCTION("""COMPUTED_VALUE"""),FALSE)</f>
        <v>0</v>
      </c>
      <c r="F118" s="1"/>
      <c r="G118" s="1"/>
      <c r="H118" s="1"/>
      <c r="I118" s="1"/>
      <c r="J118" s="1"/>
      <c r="K118" s="1"/>
      <c r="L118" s="1"/>
      <c r="M118" s="1"/>
      <c r="N118" s="1"/>
      <c r="O118" s="1"/>
      <c r="P118" s="1"/>
      <c r="Q118" s="1"/>
      <c r="R118" s="1"/>
      <c r="S118" s="1"/>
      <c r="T118" s="1"/>
      <c r="U118" s="1"/>
      <c r="V118" s="1"/>
      <c r="W118" s="1"/>
      <c r="X118" s="1"/>
      <c r="Y118" s="1"/>
      <c r="Z118" s="1"/>
    </row>
    <row r="119" ht="15.75" customHeight="1">
      <c r="A119" s="21" t="str">
        <f>IFERROR(__xludf.DUMMYFUNCTION("""COMPUTED_VALUE"""),"Saltwater")</f>
        <v>Saltwater</v>
      </c>
      <c r="B119" s="67" t="str">
        <f>IFERROR(__xludf.DUMMYFUNCTION("""COMPUTED_VALUE"""),"Crafting Material, roll a d20 to see how many you get if this is a loot drop.")</f>
        <v>Crafting Material, roll a d20 to see how many you get if this is a loot drop.</v>
      </c>
      <c r="C119" s="1" t="str">
        <f>IFERROR(__xludf.DUMMYFUNCTION("""COMPUTED_VALUE"""),"Item")</f>
        <v>Item</v>
      </c>
      <c r="D119" s="1" t="str">
        <f>IFERROR(__xludf.DUMMYFUNCTION("""COMPUTED_VALUE"""),"Land of Spira")</f>
        <v>Land of Spira</v>
      </c>
      <c r="E119" s="1" t="b">
        <f>IFERROR(__xludf.DUMMYFUNCTION("""COMPUTED_VALUE"""),FALSE)</f>
        <v>0</v>
      </c>
      <c r="F119" s="1"/>
      <c r="G119" s="1"/>
      <c r="H119" s="1"/>
      <c r="I119" s="1"/>
      <c r="J119" s="1"/>
      <c r="K119" s="1"/>
      <c r="L119" s="1"/>
      <c r="M119" s="1"/>
      <c r="N119" s="1"/>
      <c r="O119" s="1"/>
      <c r="P119" s="1"/>
      <c r="Q119" s="1"/>
      <c r="R119" s="1"/>
      <c r="S119" s="1"/>
      <c r="T119" s="1"/>
      <c r="U119" s="1"/>
      <c r="V119" s="1"/>
      <c r="W119" s="1"/>
      <c r="X119" s="1"/>
      <c r="Y119" s="1"/>
      <c r="Z119" s="1"/>
    </row>
    <row r="120" ht="15.75" customHeight="1">
      <c r="A120" s="21" t="str">
        <f>IFERROR(__xludf.DUMMYFUNCTION("""COMPUTED_VALUE"""),"Fisherman’s Lucky Totem")</f>
        <v>Fisherman’s Lucky Totem</v>
      </c>
      <c r="B120" s="67" t="str">
        <f>IFERROR(__xludf.DUMMYFUNCTION("""COMPUTED_VALUE"""),"This will Guarantee you 1 fish from a quest")</f>
        <v>This will Guarantee you 1 fish from a quest</v>
      </c>
      <c r="C120" s="1" t="str">
        <f>IFERROR(__xludf.DUMMYFUNCTION("""COMPUTED_VALUE"""),"Item")</f>
        <v>Item</v>
      </c>
      <c r="D120" s="1" t="str">
        <f>IFERROR(__xludf.DUMMYFUNCTION("""COMPUTED_VALUE"""),"Land of Spira")</f>
        <v>Land of Spira</v>
      </c>
      <c r="E120" s="1" t="b">
        <f>IFERROR(__xludf.DUMMYFUNCTION("""COMPUTED_VALUE"""),FALSE)</f>
        <v>0</v>
      </c>
      <c r="F120" s="1"/>
      <c r="G120" s="1"/>
      <c r="H120" s="1"/>
      <c r="I120" s="1"/>
      <c r="J120" s="1"/>
      <c r="K120" s="1"/>
      <c r="L120" s="1"/>
      <c r="M120" s="1"/>
      <c r="N120" s="1"/>
      <c r="O120" s="1"/>
      <c r="P120" s="1"/>
      <c r="Q120" s="1"/>
      <c r="R120" s="1"/>
      <c r="S120" s="1"/>
      <c r="T120" s="1"/>
      <c r="U120" s="1"/>
      <c r="V120" s="1"/>
      <c r="W120" s="1"/>
      <c r="X120" s="1"/>
      <c r="Y120" s="1"/>
      <c r="Z120" s="1"/>
    </row>
    <row r="121" ht="15.75" customHeight="1">
      <c r="A121" s="21" t="str">
        <f>IFERROR(__xludf.DUMMYFUNCTION("""COMPUTED_VALUE"""),"The Fish Pendant")</f>
        <v>The Fish Pendant</v>
      </c>
      <c r="B121" s="67" t="str">
        <f>IFERROR(__xludf.DUMMYFUNCTION("""COMPUTED_VALUE"""),"Choose the rarity of the fish when fishing during a quest.")</f>
        <v>Choose the rarity of the fish when fishing during a quest.</v>
      </c>
      <c r="C121" s="1" t="str">
        <f>IFERROR(__xludf.DUMMYFUNCTION("""COMPUTED_VALUE"""),"Item")</f>
        <v>Item</v>
      </c>
      <c r="D121" s="1" t="str">
        <f>IFERROR(__xludf.DUMMYFUNCTION("""COMPUTED_VALUE"""),"Land of Spira")</f>
        <v>Land of Spira</v>
      </c>
      <c r="E121" s="1" t="b">
        <f>IFERROR(__xludf.DUMMYFUNCTION("""COMPUTED_VALUE"""),FALSE)</f>
        <v>0</v>
      </c>
      <c r="F121" s="1"/>
      <c r="G121" s="1"/>
      <c r="H121" s="1"/>
      <c r="I121" s="1"/>
      <c r="J121" s="1"/>
      <c r="K121" s="1"/>
      <c r="L121" s="1"/>
      <c r="M121" s="1"/>
      <c r="N121" s="1"/>
      <c r="O121" s="1"/>
      <c r="P121" s="1"/>
      <c r="Q121" s="1"/>
      <c r="R121" s="1"/>
      <c r="S121" s="1"/>
      <c r="T121" s="1"/>
      <c r="U121" s="1"/>
      <c r="V121" s="1"/>
      <c r="W121" s="1"/>
      <c r="X121" s="1"/>
      <c r="Y121" s="1"/>
      <c r="Z121" s="1"/>
    </row>
    <row r="122" ht="15.75" customHeight="1">
      <c r="A122" s="67" t="str">
        <f>IFERROR(__xludf.DUMMYFUNCTION("""COMPUTED_VALUE"""),"Fish Stone")</f>
        <v>Fish Stone</v>
      </c>
      <c r="B122" s="67" t="str">
        <f>IFERROR(__xludf.DUMMYFUNCTION("""COMPUTED_VALUE"""),"if you catch this when fishing you get 2 of the fish you caught with this item.")</f>
        <v>if you catch this when fishing you get 2 of the fish you caught with this item.</v>
      </c>
      <c r="C122" s="1" t="str">
        <f>IFERROR(__xludf.DUMMYFUNCTION("""COMPUTED_VALUE"""),"Item")</f>
        <v>Item</v>
      </c>
      <c r="D122" s="1" t="str">
        <f>IFERROR(__xludf.DUMMYFUNCTION("""COMPUTED_VALUE"""),"Land of Spira")</f>
        <v>Land of Spira</v>
      </c>
      <c r="E122" s="1" t="b">
        <f>IFERROR(__xludf.DUMMYFUNCTION("""COMPUTED_VALUE"""),FALSE)</f>
        <v>0</v>
      </c>
      <c r="F122" s="1"/>
      <c r="G122" s="1"/>
      <c r="H122" s="1"/>
      <c r="I122" s="1"/>
      <c r="J122" s="1"/>
      <c r="K122" s="1"/>
      <c r="L122" s="1"/>
      <c r="M122" s="1"/>
      <c r="N122" s="1"/>
      <c r="O122" s="1"/>
      <c r="P122" s="1"/>
      <c r="Q122" s="1"/>
      <c r="R122" s="1"/>
      <c r="S122" s="1"/>
      <c r="T122" s="1"/>
      <c r="U122" s="1"/>
      <c r="V122" s="1"/>
      <c r="W122" s="1"/>
      <c r="X122" s="1"/>
      <c r="Y122" s="1"/>
      <c r="Z122" s="1"/>
    </row>
    <row r="123" ht="15.75" customHeight="1">
      <c r="A123" s="21" t="str">
        <f>IFERROR(__xludf.DUMMYFUNCTION("""COMPUTED_VALUE"""),"Pumpkin")</f>
        <v>Pumpkin</v>
      </c>
      <c r="B123" s="21" t="str">
        <f>IFERROR(__xludf.DUMMYFUNCTION("""COMPUTED_VALUE"""),"100 hunger for self and up to 2 party members.")</f>
        <v>100 hunger for self and up to 2 party members.</v>
      </c>
      <c r="C123" s="1" t="str">
        <f>IFERROR(__xludf.DUMMYFUNCTION("""COMPUTED_VALUE"""),"Crop")</f>
        <v>Crop</v>
      </c>
      <c r="D123" s="1" t="str">
        <f>IFERROR(__xludf.DUMMYFUNCTION("""COMPUTED_VALUE"""),"Land of Spira")</f>
        <v>Land of Spira</v>
      </c>
      <c r="E123" s="1" t="b">
        <f>IFERROR(__xludf.DUMMYFUNCTION("""COMPUTED_VALUE"""),FALSE)</f>
        <v>0</v>
      </c>
      <c r="F123" s="1"/>
      <c r="G123" s="1"/>
      <c r="H123" s="1"/>
      <c r="I123" s="1"/>
      <c r="J123" s="1"/>
      <c r="K123" s="1"/>
      <c r="L123" s="1"/>
      <c r="M123" s="1"/>
      <c r="N123" s="1"/>
      <c r="O123" s="1"/>
      <c r="P123" s="1"/>
      <c r="Q123" s="1"/>
      <c r="R123" s="1"/>
      <c r="S123" s="1"/>
      <c r="T123" s="1"/>
      <c r="U123" s="1"/>
      <c r="V123" s="1"/>
      <c r="W123" s="1"/>
      <c r="X123" s="1"/>
      <c r="Y123" s="1"/>
      <c r="Z123" s="1"/>
    </row>
    <row r="124" ht="15.75" customHeight="1">
      <c r="A124" s="21" t="str">
        <f>IFERROR(__xludf.DUMMYFUNCTION("""COMPUTED_VALUE"""),"Premium Pumpkin")</f>
        <v>Premium Pumpkin</v>
      </c>
      <c r="B124" s="21" t="str">
        <f>IFERROR(__xludf.DUMMYFUNCTION("""COMPUTED_VALUE"""),"200 hunger for self and up to 2 party members.")</f>
        <v>200 hunger for self and up to 2 party members.</v>
      </c>
      <c r="C124" s="1" t="str">
        <f>IFERROR(__xludf.DUMMYFUNCTION("""COMPUTED_VALUE"""),"Crop")</f>
        <v>Crop</v>
      </c>
      <c r="D124" s="1" t="str">
        <f>IFERROR(__xludf.DUMMYFUNCTION("""COMPUTED_VALUE"""),"Land of Spira")</f>
        <v>Land of Spira</v>
      </c>
      <c r="E124" s="1" t="b">
        <f>IFERROR(__xludf.DUMMYFUNCTION("""COMPUTED_VALUE"""),FALSE)</f>
        <v>0</v>
      </c>
      <c r="F124" s="1"/>
      <c r="G124" s="1"/>
      <c r="H124" s="1"/>
      <c r="I124" s="1"/>
      <c r="J124" s="1"/>
      <c r="K124" s="1"/>
      <c r="L124" s="1"/>
      <c r="M124" s="1"/>
      <c r="N124" s="1"/>
      <c r="O124" s="1"/>
      <c r="P124" s="1"/>
      <c r="Q124" s="1"/>
      <c r="R124" s="1"/>
      <c r="S124" s="1"/>
      <c r="T124" s="1"/>
      <c r="U124" s="1"/>
      <c r="V124" s="1"/>
      <c r="W124" s="1"/>
      <c r="X124" s="1"/>
      <c r="Y124" s="1"/>
      <c r="Z124" s="1"/>
    </row>
    <row r="125" ht="15.75" customHeight="1">
      <c r="A125" s="21" t="str">
        <f>IFERROR(__xludf.DUMMYFUNCTION("""COMPUTED_VALUE"""),"Pumpkin Soup")</f>
        <v>Pumpkin Soup</v>
      </c>
      <c r="B125" s="21" t="str">
        <f>IFERROR(__xludf.DUMMYFUNCTION("""COMPUTED_VALUE"""),"100 hunger for self and up to 4 party members.")</f>
        <v>100 hunger for self and up to 4 party members.</v>
      </c>
      <c r="C125" s="1" t="str">
        <f>IFERROR(__xludf.DUMMYFUNCTION("""COMPUTED_VALUE"""),"Crop")</f>
        <v>Crop</v>
      </c>
      <c r="D125" s="1" t="str">
        <f>IFERROR(__xludf.DUMMYFUNCTION("""COMPUTED_VALUE"""),"Land of Spira")</f>
        <v>Land of Spira</v>
      </c>
      <c r="E125" s="1" t="b">
        <f>IFERROR(__xludf.DUMMYFUNCTION("""COMPUTED_VALUE"""),FALSE)</f>
        <v>0</v>
      </c>
      <c r="F125" s="1"/>
      <c r="G125" s="1"/>
      <c r="H125" s="1"/>
      <c r="I125" s="1"/>
      <c r="J125" s="1"/>
      <c r="K125" s="1"/>
      <c r="L125" s="1"/>
      <c r="M125" s="1"/>
      <c r="N125" s="1"/>
      <c r="O125" s="1"/>
      <c r="P125" s="1"/>
      <c r="Q125" s="1"/>
      <c r="R125" s="1"/>
      <c r="S125" s="1"/>
      <c r="T125" s="1"/>
      <c r="U125" s="1"/>
      <c r="V125" s="1"/>
      <c r="W125" s="1"/>
      <c r="X125" s="1"/>
      <c r="Y125" s="1"/>
      <c r="Z125" s="1"/>
    </row>
    <row r="126" ht="15.75" customHeight="1">
      <c r="A126" s="21" t="str">
        <f>IFERROR(__xludf.DUMMYFUNCTION("""COMPUTED_VALUE"""),"Premium Pumpkin Soup")</f>
        <v>Premium Pumpkin Soup</v>
      </c>
      <c r="B126" s="21" t="str">
        <f>IFERROR(__xludf.DUMMYFUNCTION("""COMPUTED_VALUE"""),"200 hunger for self and up to 4 party members.")</f>
        <v>200 hunger for self and up to 4 party members.</v>
      </c>
      <c r="C126" s="1" t="str">
        <f>IFERROR(__xludf.DUMMYFUNCTION("""COMPUTED_VALUE"""),"Crop")</f>
        <v>Crop</v>
      </c>
      <c r="D126" s="1" t="str">
        <f>IFERROR(__xludf.DUMMYFUNCTION("""COMPUTED_VALUE"""),"Land of Spira")</f>
        <v>Land of Spira</v>
      </c>
      <c r="E126" s="1" t="b">
        <f>IFERROR(__xludf.DUMMYFUNCTION("""COMPUTED_VALUE"""),FALSE)</f>
        <v>0</v>
      </c>
      <c r="F126" s="1"/>
      <c r="G126" s="1"/>
      <c r="H126" s="1"/>
      <c r="I126" s="1"/>
      <c r="J126" s="1"/>
      <c r="K126" s="1"/>
      <c r="L126" s="1"/>
      <c r="M126" s="1"/>
      <c r="N126" s="1"/>
      <c r="O126" s="1"/>
      <c r="P126" s="1"/>
      <c r="Q126" s="1"/>
      <c r="R126" s="1"/>
      <c r="S126" s="1"/>
      <c r="T126" s="1"/>
      <c r="U126" s="1"/>
      <c r="V126" s="1"/>
      <c r="W126" s="1"/>
      <c r="X126" s="1"/>
      <c r="Y126" s="1"/>
      <c r="Z126" s="1"/>
    </row>
    <row r="127" ht="15.75" customHeight="1">
      <c r="A127" s="21" t="str">
        <f>IFERROR(__xludf.DUMMYFUNCTION("""COMPUTED_VALUE"""),"Forbidden Book")</f>
        <v>Forbidden Book</v>
      </c>
      <c r="B127" s="21" t="str">
        <f>IFERROR(__xludf.DUMMYFUNCTION("""COMPUTED_VALUE"""),"A forbidden book. if the guards see it in your inventory they will autmatically confiscate it and arrest you.")</f>
        <v>A forbidden book. if the guards see it in your inventory they will autmatically confiscate it and arrest you.</v>
      </c>
      <c r="C127" s="1" t="str">
        <f>IFERROR(__xludf.DUMMYFUNCTION("""COMPUTED_VALUE"""),"Item")</f>
        <v>Item</v>
      </c>
      <c r="D127" s="1" t="str">
        <f>IFERROR(__xludf.DUMMYFUNCTION("""COMPUTED_VALUE"""),"Land of Spira")</f>
        <v>Land of Spira</v>
      </c>
      <c r="E127" s="1" t="b">
        <f>IFERROR(__xludf.DUMMYFUNCTION("""COMPUTED_VALUE"""),FALSE)</f>
        <v>0</v>
      </c>
      <c r="F127" s="1"/>
      <c r="G127" s="1"/>
      <c r="H127" s="1"/>
      <c r="I127" s="1"/>
      <c r="J127" s="1"/>
      <c r="K127" s="1"/>
      <c r="L127" s="1"/>
      <c r="M127" s="1"/>
      <c r="N127" s="1"/>
      <c r="O127" s="1"/>
      <c r="P127" s="1"/>
      <c r="Q127" s="1"/>
      <c r="R127" s="1"/>
      <c r="S127" s="1"/>
      <c r="T127" s="1"/>
      <c r="U127" s="1"/>
      <c r="V127" s="1"/>
      <c r="W127" s="1"/>
      <c r="X127" s="1"/>
      <c r="Y127" s="1"/>
      <c r="Z127" s="1"/>
    </row>
    <row r="128" ht="15.75" customHeight="1">
      <c r="A128" s="21" t="str">
        <f>IFERROR(__xludf.DUMMYFUNCTION("""COMPUTED_VALUE"""),"a random stick")</f>
        <v>a random stick</v>
      </c>
      <c r="B128" s="21" t="str">
        <f>IFERROR(__xludf.DUMMYFUNCTION("""COMPUTED_VALUE"""),"A random stick the shopkeeper found out back")</f>
        <v>A random stick the shopkeeper found out back</v>
      </c>
      <c r="C128" s="1" t="str">
        <f>IFERROR(__xludf.DUMMYFUNCTION("""COMPUTED_VALUE"""),"Item")</f>
        <v>Item</v>
      </c>
      <c r="D128" s="1" t="str">
        <f>IFERROR(__xludf.DUMMYFUNCTION("""COMPUTED_VALUE"""),"Land of Spira")</f>
        <v>Land of Spira</v>
      </c>
      <c r="E128" s="1" t="b">
        <f>IFERROR(__xludf.DUMMYFUNCTION("""COMPUTED_VALUE"""),FALSE)</f>
        <v>0</v>
      </c>
      <c r="F128" s="1"/>
      <c r="G128" s="1"/>
      <c r="H128" s="1"/>
      <c r="I128" s="1"/>
      <c r="J128" s="1"/>
      <c r="K128" s="1"/>
      <c r="L128" s="1"/>
      <c r="M128" s="1"/>
      <c r="N128" s="1"/>
      <c r="O128" s="1"/>
      <c r="P128" s="1"/>
      <c r="Q128" s="1"/>
      <c r="R128" s="1"/>
      <c r="S128" s="1"/>
      <c r="T128" s="1"/>
      <c r="U128" s="1"/>
      <c r="V128" s="1"/>
      <c r="W128" s="1"/>
      <c r="X128" s="1"/>
      <c r="Y128" s="1"/>
      <c r="Z128" s="1"/>
    </row>
    <row r="129" ht="15.75" customHeight="1">
      <c r="A129" s="21" t="str">
        <f>IFERROR(__xludf.DUMMYFUNCTION("""COMPUTED_VALUE"""),"Rank 9 Storm Tome")</f>
        <v>Rank 9 Storm Tome</v>
      </c>
      <c r="B129" s="21" t="str">
        <f>IFERROR(__xludf.DUMMYFUNCTION("""COMPUTED_VALUE"""),"Can use up to Rank 9 Storm Spells")</f>
        <v>Can use up to Rank 9 Storm Spells</v>
      </c>
      <c r="C129" s="1" t="str">
        <f>IFERROR(__xludf.DUMMYFUNCTION("""COMPUTED_VALUE"""),"Item")</f>
        <v>Item</v>
      </c>
      <c r="D129" s="1" t="str">
        <f>IFERROR(__xludf.DUMMYFUNCTION("""COMPUTED_VALUE"""),"Land of Spira")</f>
        <v>Land of Spira</v>
      </c>
      <c r="E129" s="1" t="b">
        <f>IFERROR(__xludf.DUMMYFUNCTION("""COMPUTED_VALUE"""),FALSE)</f>
        <v>0</v>
      </c>
      <c r="F129" s="1"/>
      <c r="G129" s="1"/>
      <c r="H129" s="1"/>
      <c r="I129" s="1"/>
      <c r="J129" s="1"/>
      <c r="K129" s="1"/>
      <c r="L129" s="1"/>
      <c r="M129" s="1"/>
      <c r="N129" s="1"/>
      <c r="O129" s="1"/>
      <c r="P129" s="1"/>
      <c r="Q129" s="1"/>
      <c r="R129" s="1"/>
      <c r="S129" s="1"/>
      <c r="T129" s="1"/>
      <c r="U129" s="1"/>
      <c r="V129" s="1"/>
      <c r="W129" s="1"/>
      <c r="X129" s="1"/>
      <c r="Y129" s="1"/>
      <c r="Z129" s="1"/>
    </row>
    <row r="130" ht="15.75" customHeight="1">
      <c r="A130" s="21"/>
      <c r="B130" s="21"/>
      <c r="C130" s="1"/>
      <c r="D130" s="1"/>
      <c r="E130" s="1" t="b">
        <f>IFERROR(__xludf.DUMMYFUNCTION("""COMPUTED_VALUE"""),FALSE)</f>
        <v>0</v>
      </c>
      <c r="F130" s="1"/>
      <c r="G130" s="1"/>
      <c r="H130" s="1"/>
      <c r="I130" s="1"/>
      <c r="J130" s="1"/>
      <c r="K130" s="1"/>
      <c r="L130" s="1"/>
      <c r="M130" s="1"/>
      <c r="N130" s="1"/>
      <c r="O130" s="1"/>
      <c r="P130" s="1"/>
      <c r="Q130" s="1"/>
      <c r="R130" s="1"/>
      <c r="S130" s="1"/>
      <c r="T130" s="1"/>
      <c r="U130" s="1"/>
      <c r="V130" s="1"/>
      <c r="W130" s="1"/>
      <c r="X130" s="1"/>
      <c r="Y130" s="1"/>
      <c r="Z130" s="1"/>
    </row>
    <row r="131" ht="15.75" customHeight="1">
      <c r="A131" s="21" t="str">
        <f>IFERROR(__xludf.DUMMYFUNCTION("""COMPUTED_VALUE"""),"Common Tree Branch")</f>
        <v>Common Tree Branch</v>
      </c>
      <c r="B131" s="21" t="str">
        <f>IFERROR(__xludf.DUMMYFUNCTION("""COMPUTED_VALUE"""),"When thrown, each enemy has a 25% chance to be distracted, skipping their next turn")</f>
        <v>When thrown, each enemy has a 25% chance to be distracted, skipping their next turn</v>
      </c>
      <c r="C131" s="1" t="str">
        <f>IFERROR(__xludf.DUMMYFUNCTION("""COMPUTED_VALUE"""),"Item")</f>
        <v>Item</v>
      </c>
      <c r="D131" s="1" t="str">
        <f>IFERROR(__xludf.DUMMYFUNCTION("""COMPUTED_VALUE"""),"Land of Spira")</f>
        <v>Land of Spira</v>
      </c>
      <c r="E131" s="1" t="b">
        <f>IFERROR(__xludf.DUMMYFUNCTION("""COMPUTED_VALUE"""),FALSE)</f>
        <v>0</v>
      </c>
      <c r="F131" s="1"/>
      <c r="G131" s="1"/>
      <c r="H131" s="1"/>
      <c r="I131" s="1"/>
      <c r="J131" s="1"/>
      <c r="K131" s="1"/>
      <c r="L131" s="1"/>
      <c r="M131" s="1"/>
      <c r="N131" s="1"/>
      <c r="O131" s="1"/>
      <c r="P131" s="1"/>
      <c r="Q131" s="1"/>
      <c r="R131" s="1"/>
      <c r="S131" s="1"/>
      <c r="T131" s="1"/>
      <c r="U131" s="1"/>
      <c r="V131" s="1"/>
      <c r="W131" s="1"/>
      <c r="X131" s="1"/>
      <c r="Y131" s="1"/>
      <c r="Z131" s="1"/>
    </row>
    <row r="132" ht="15.75" customHeight="1">
      <c r="A132" s="16" t="str">
        <f>IFERROR(__xludf.DUMMYFUNCTION("""COMPUTED_VALUE"""),"Uncommon Tree branch")</f>
        <v>Uncommon Tree branch</v>
      </c>
      <c r="B132"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1" t="str">
        <f>IFERROR(__xludf.DUMMYFUNCTION("""COMPUTED_VALUE"""),"Item")</f>
        <v>Item</v>
      </c>
      <c r="D132" s="1" t="str">
        <f>IFERROR(__xludf.DUMMYFUNCTION("""COMPUTED_VALUE"""),"Land of Spira")</f>
        <v>Land of Spira</v>
      </c>
      <c r="E132" s="1" t="b">
        <f>IFERROR(__xludf.DUMMYFUNCTION("""COMPUTED_VALUE"""),FALSE)</f>
        <v>0</v>
      </c>
      <c r="F132" s="1"/>
      <c r="G132" s="1"/>
      <c r="H132" s="1"/>
      <c r="I132" s="1"/>
      <c r="J132" s="1"/>
      <c r="K132" s="1"/>
      <c r="L132" s="1"/>
      <c r="M132" s="1"/>
      <c r="N132" s="1"/>
      <c r="O132" s="1"/>
      <c r="P132" s="1"/>
      <c r="Q132" s="1"/>
      <c r="R132" s="1"/>
      <c r="S132" s="1"/>
      <c r="T132" s="1"/>
      <c r="U132" s="1"/>
      <c r="V132" s="1"/>
      <c r="W132" s="1"/>
      <c r="X132" s="1"/>
      <c r="Y132" s="1"/>
      <c r="Z132" s="1"/>
    </row>
    <row r="133" ht="15.75" customHeight="1">
      <c r="A133" s="16" t="str">
        <f>IFERROR(__xludf.DUMMYFUNCTION("""COMPUTED_VALUE"""),"Stale bread")</f>
        <v>Stale bread</v>
      </c>
      <c r="B133" s="16" t="str">
        <f>IFERROR(__xludf.DUMMYFUNCTION("""COMPUTED_VALUE"""),"Recovers 9 hunger")</f>
        <v>Recovers 9 hunger</v>
      </c>
      <c r="C133" s="1" t="str">
        <f>IFERROR(__xludf.DUMMYFUNCTION("""COMPUTED_VALUE"""),"Crop")</f>
        <v>Crop</v>
      </c>
      <c r="D133" s="1" t="str">
        <f>IFERROR(__xludf.DUMMYFUNCTION("""COMPUTED_VALUE"""),"Land of Spira")</f>
        <v>Land of Spira</v>
      </c>
      <c r="E133" s="1" t="b">
        <f>IFERROR(__xludf.DUMMYFUNCTION("""COMPUTED_VALUE"""),FALSE)</f>
        <v>0</v>
      </c>
      <c r="F133" s="1"/>
      <c r="G133" s="1"/>
      <c r="H133" s="1"/>
      <c r="I133" s="1"/>
      <c r="J133" s="1"/>
      <c r="K133" s="1"/>
      <c r="L133" s="1"/>
      <c r="M133" s="1"/>
      <c r="N133" s="1"/>
      <c r="O133" s="1"/>
      <c r="P133" s="1"/>
      <c r="Q133" s="1"/>
      <c r="R133" s="1"/>
      <c r="S133" s="1"/>
      <c r="T133" s="1"/>
      <c r="U133" s="1"/>
      <c r="V133" s="1"/>
      <c r="W133" s="1"/>
      <c r="X133" s="1"/>
      <c r="Y133" s="1"/>
      <c r="Z133" s="1"/>
    </row>
    <row r="134" ht="15.75" customHeight="1">
      <c r="A134" s="16" t="str">
        <f>IFERROR(__xludf.DUMMYFUNCTION("""COMPUTED_VALUE"""),"Coal")</f>
        <v>Coal</v>
      </c>
      <c r="B134" s="16" t="str">
        <f>IFERROR(__xludf.DUMMYFUNCTION("""COMPUTED_VALUE"""),"Crafting Material, roll a d20 to see how many you get if this is a loot drop.")</f>
        <v>Crafting Material, roll a d20 to see how many you get if this is a loot drop.</v>
      </c>
      <c r="C134" s="1" t="str">
        <f>IFERROR(__xludf.DUMMYFUNCTION("""COMPUTED_VALUE"""),"Item")</f>
        <v>Item</v>
      </c>
      <c r="D134" s="1" t="str">
        <f>IFERROR(__xludf.DUMMYFUNCTION("""COMPUTED_VALUE"""),"Land of Spira")</f>
        <v>Land of Spira</v>
      </c>
      <c r="E134" s="1" t="b">
        <f>IFERROR(__xludf.DUMMYFUNCTION("""COMPUTED_VALUE"""),FALSE)</f>
        <v>0</v>
      </c>
      <c r="F134" s="1"/>
      <c r="G134" s="1"/>
      <c r="H134" s="1"/>
      <c r="I134" s="1"/>
      <c r="J134" s="1"/>
      <c r="K134" s="1"/>
      <c r="L134" s="1"/>
      <c r="M134" s="1"/>
      <c r="N134" s="1"/>
      <c r="O134" s="1"/>
      <c r="P134" s="1"/>
      <c r="Q134" s="1"/>
      <c r="R134" s="1"/>
      <c r="S134" s="1"/>
      <c r="T134" s="1"/>
      <c r="U134" s="1"/>
      <c r="V134" s="1"/>
      <c r="W134" s="1"/>
      <c r="X134" s="1"/>
      <c r="Y134" s="1"/>
      <c r="Z134" s="1"/>
    </row>
    <row r="135" ht="15.75" customHeight="1">
      <c r="A135" s="16"/>
      <c r="B135" s="16"/>
      <c r="C135" s="1" t="str">
        <f>IFERROR(__xludf.DUMMYFUNCTION("""COMPUTED_VALUE"""),"Item")</f>
        <v>Item</v>
      </c>
      <c r="D135" s="1" t="str">
        <f>IFERROR(__xludf.DUMMYFUNCTION("""COMPUTED_VALUE"""),"Land of Spira")</f>
        <v>Land of Spira</v>
      </c>
      <c r="E135" s="1" t="b">
        <f>IFERROR(__xludf.DUMMYFUNCTION("""COMPUTED_VALUE"""),FALSE)</f>
        <v>0</v>
      </c>
      <c r="F135" s="1"/>
      <c r="G135" s="1"/>
      <c r="H135" s="1"/>
      <c r="I135" s="1"/>
      <c r="J135" s="1"/>
      <c r="K135" s="1"/>
      <c r="L135" s="1"/>
      <c r="M135" s="1"/>
      <c r="N135" s="1"/>
      <c r="O135" s="1"/>
      <c r="P135" s="1"/>
      <c r="Q135" s="1"/>
      <c r="R135" s="1"/>
      <c r="S135" s="1"/>
      <c r="T135" s="1"/>
      <c r="U135" s="1"/>
      <c r="V135" s="1"/>
      <c r="W135" s="1"/>
      <c r="X135" s="1"/>
      <c r="Y135" s="1"/>
      <c r="Z135" s="1"/>
    </row>
    <row r="136" ht="15.75" customHeight="1">
      <c r="A136" s="16"/>
      <c r="B136" s="16"/>
      <c r="C136" s="1" t="str">
        <f>IFERROR(__xludf.DUMMYFUNCTION("""COMPUTED_VALUE"""),"Item")</f>
        <v>Item</v>
      </c>
      <c r="D136" s="1" t="str">
        <f>IFERROR(__xludf.DUMMYFUNCTION("""COMPUTED_VALUE"""),"Land of Spira")</f>
        <v>Land of Spira</v>
      </c>
      <c r="E136" s="1" t="b">
        <f>IFERROR(__xludf.DUMMYFUNCTION("""COMPUTED_VALUE"""),FALSE)</f>
        <v>0</v>
      </c>
      <c r="F136" s="1"/>
      <c r="G136" s="1"/>
      <c r="H136" s="1"/>
      <c r="I136" s="1"/>
      <c r="J136" s="1"/>
      <c r="K136" s="1"/>
      <c r="L136" s="1"/>
      <c r="M136" s="1"/>
      <c r="N136" s="1"/>
      <c r="O136" s="1"/>
      <c r="P136" s="1"/>
      <c r="Q136" s="1"/>
      <c r="R136" s="1"/>
      <c r="S136" s="1"/>
      <c r="T136" s="1"/>
      <c r="U136" s="1"/>
      <c r="V136" s="1"/>
      <c r="W136" s="1"/>
      <c r="X136" s="1"/>
      <c r="Y136" s="1"/>
      <c r="Z136" s="1"/>
    </row>
    <row r="137" ht="15.75" customHeight="1">
      <c r="A137" s="16"/>
      <c r="B137" s="16"/>
      <c r="C137" s="1" t="str">
        <f>IFERROR(__xludf.DUMMYFUNCTION("""COMPUTED_VALUE"""),"Item")</f>
        <v>Item</v>
      </c>
      <c r="D137" s="1" t="str">
        <f>IFERROR(__xludf.DUMMYFUNCTION("""COMPUTED_VALUE"""),"Land of Spira")</f>
        <v>Land of Spira</v>
      </c>
      <c r="E137" s="1" t="b">
        <f>IFERROR(__xludf.DUMMYFUNCTION("""COMPUTED_VALUE"""),FALSE)</f>
        <v>0</v>
      </c>
      <c r="F137" s="1"/>
      <c r="G137" s="1"/>
      <c r="H137" s="1"/>
      <c r="I137" s="1"/>
      <c r="J137" s="1"/>
      <c r="K137" s="1"/>
      <c r="L137" s="1"/>
      <c r="M137" s="1"/>
      <c r="N137" s="1"/>
      <c r="O137" s="1"/>
      <c r="P137" s="1"/>
      <c r="Q137" s="1"/>
      <c r="R137" s="1"/>
      <c r="S137" s="1"/>
      <c r="T137" s="1"/>
      <c r="U137" s="1"/>
      <c r="V137" s="1"/>
      <c r="W137" s="1"/>
      <c r="X137" s="1"/>
      <c r="Y137" s="1"/>
      <c r="Z137" s="1"/>
    </row>
    <row r="138" ht="15.75" customHeight="1">
      <c r="A138" s="16" t="str">
        <f>IFERROR(__xludf.DUMMYFUNCTION("""COMPUTED_VALUE"""),"Red Coral Gem")</f>
        <v>Red Coral Gem</v>
      </c>
      <c r="B138" s="16" t="str">
        <f>IFERROR(__xludf.DUMMYFUNCTION("""COMPUTED_VALUE"""),"500 Fire dmg or Resistance")</f>
        <v>500 Fire dmg or Resistance</v>
      </c>
      <c r="C138" s="1" t="str">
        <f>IFERROR(__xludf.DUMMYFUNCTION("""COMPUTED_VALUE"""),"Item")</f>
        <v>Item</v>
      </c>
      <c r="D138" s="1" t="str">
        <f>IFERROR(__xludf.DUMMYFUNCTION("""COMPUTED_VALUE"""),"Land of Spira")</f>
        <v>Land of Spira</v>
      </c>
      <c r="E138" s="1" t="b">
        <f>IFERROR(__xludf.DUMMYFUNCTION("""COMPUTED_VALUE"""),FALSE)</f>
        <v>0</v>
      </c>
      <c r="F138" s="1"/>
      <c r="G138" s="1"/>
      <c r="H138" s="1"/>
      <c r="I138" s="1"/>
      <c r="J138" s="1"/>
      <c r="K138" s="1"/>
      <c r="L138" s="1"/>
      <c r="M138" s="1"/>
      <c r="N138" s="1"/>
      <c r="O138" s="1"/>
      <c r="P138" s="1"/>
      <c r="Q138" s="1"/>
      <c r="R138" s="1"/>
      <c r="S138" s="1"/>
      <c r="T138" s="1"/>
      <c r="U138" s="1"/>
      <c r="V138" s="1"/>
      <c r="W138" s="1"/>
      <c r="X138" s="1"/>
      <c r="Y138" s="1"/>
      <c r="Z138" s="1"/>
    </row>
    <row r="139" ht="15.75" customHeight="1">
      <c r="A139" s="16" t="str">
        <f>IFERROR(__xludf.DUMMYFUNCTION("""COMPUTED_VALUE"""),"Blue Coral Gem")</f>
        <v>Blue Coral Gem</v>
      </c>
      <c r="B139" s="16" t="str">
        <f>IFERROR(__xludf.DUMMYFUNCTION("""COMPUTED_VALUE"""),"500 Water dmg or Resistance")</f>
        <v>500 Water dmg or Resistance</v>
      </c>
      <c r="C139" s="1" t="str">
        <f>IFERROR(__xludf.DUMMYFUNCTION("""COMPUTED_VALUE"""),"Item")</f>
        <v>Item</v>
      </c>
      <c r="D139" s="1" t="str">
        <f>IFERROR(__xludf.DUMMYFUNCTION("""COMPUTED_VALUE"""),"Land of Spira")</f>
        <v>Land of Spira</v>
      </c>
      <c r="E139" s="1" t="b">
        <f>IFERROR(__xludf.DUMMYFUNCTION("""COMPUTED_VALUE"""),FALSE)</f>
        <v>0</v>
      </c>
      <c r="F139" s="1"/>
      <c r="G139" s="1"/>
      <c r="H139" s="1"/>
      <c r="I139" s="1"/>
      <c r="J139" s="1"/>
      <c r="K139" s="1"/>
      <c r="L139" s="1"/>
      <c r="M139" s="1"/>
      <c r="N139" s="1"/>
      <c r="O139" s="1"/>
      <c r="P139" s="1"/>
      <c r="Q139" s="1"/>
      <c r="R139" s="1"/>
      <c r="S139" s="1"/>
      <c r="T139" s="1"/>
      <c r="U139" s="1"/>
      <c r="V139" s="1"/>
      <c r="W139" s="1"/>
      <c r="X139" s="1"/>
      <c r="Y139" s="1"/>
      <c r="Z139" s="1"/>
    </row>
    <row r="140" ht="15.75" customHeight="1">
      <c r="A140" s="16" t="str">
        <f>IFERROR(__xludf.DUMMYFUNCTION("""COMPUTED_VALUE"""),"Yellow Coral Gem")</f>
        <v>Yellow Coral Gem</v>
      </c>
      <c r="B140" s="16" t="str">
        <f>IFERROR(__xludf.DUMMYFUNCTION("""COMPUTED_VALUE"""),"500 Strom dmg or Resistance")</f>
        <v>500 Strom dmg or Resistance</v>
      </c>
      <c r="C140" s="1" t="str">
        <f>IFERROR(__xludf.DUMMYFUNCTION("""COMPUTED_VALUE"""),"Item")</f>
        <v>Item</v>
      </c>
      <c r="D140" s="1" t="str">
        <f>IFERROR(__xludf.DUMMYFUNCTION("""COMPUTED_VALUE"""),"Land of Spira")</f>
        <v>Land of Spira</v>
      </c>
      <c r="E140" s="1" t="b">
        <f>IFERROR(__xludf.DUMMYFUNCTION("""COMPUTED_VALUE"""),FALSE)</f>
        <v>0</v>
      </c>
      <c r="F140" s="1"/>
      <c r="G140" s="1"/>
      <c r="H140" s="1"/>
      <c r="I140" s="1"/>
      <c r="J140" s="1"/>
      <c r="K140" s="1"/>
      <c r="L140" s="1"/>
      <c r="M140" s="1"/>
      <c r="N140" s="1"/>
      <c r="O140" s="1"/>
      <c r="P140" s="1"/>
      <c r="Q140" s="1"/>
      <c r="R140" s="1"/>
      <c r="S140" s="1"/>
      <c r="T140" s="1"/>
      <c r="U140" s="1"/>
      <c r="V140" s="1"/>
      <c r="W140" s="1"/>
      <c r="X140" s="1"/>
      <c r="Y140" s="1"/>
      <c r="Z140" s="1"/>
    </row>
    <row r="141" ht="15.75" customHeight="1">
      <c r="A141" s="21" t="str">
        <f>IFERROR(__xludf.DUMMYFUNCTION("""COMPUTED_VALUE"""),"Green Coral Gem")</f>
        <v>Green Coral Gem</v>
      </c>
      <c r="B141" s="21" t="str">
        <f>IFERROR(__xludf.DUMMYFUNCTION("""COMPUTED_VALUE"""),"500 nature dmg or Resistance")</f>
        <v>500 nature dmg or Resistance</v>
      </c>
      <c r="C141" s="1" t="str">
        <f>IFERROR(__xludf.DUMMYFUNCTION("""COMPUTED_VALUE"""),"Item")</f>
        <v>Item</v>
      </c>
      <c r="D141" s="1" t="str">
        <f>IFERROR(__xludf.DUMMYFUNCTION("""COMPUTED_VALUE"""),"Land of Spira")</f>
        <v>Land of Spira</v>
      </c>
      <c r="E141" s="1" t="b">
        <f>IFERROR(__xludf.DUMMYFUNCTION("""COMPUTED_VALUE"""),FALSE)</f>
        <v>0</v>
      </c>
      <c r="F141" s="1"/>
      <c r="G141" s="1"/>
      <c r="H141" s="1"/>
      <c r="I141" s="1"/>
      <c r="J141" s="1"/>
      <c r="K141" s="1"/>
      <c r="L141" s="1"/>
      <c r="M141" s="1"/>
      <c r="N141" s="1"/>
      <c r="O141" s="1"/>
      <c r="P141" s="1"/>
      <c r="Q141" s="1"/>
      <c r="R141" s="1"/>
      <c r="S141" s="1"/>
      <c r="T141" s="1"/>
      <c r="U141" s="1"/>
      <c r="V141" s="1"/>
      <c r="W141" s="1"/>
      <c r="X141" s="1"/>
      <c r="Y141" s="1"/>
      <c r="Z141" s="1"/>
    </row>
    <row r="142" ht="15.75" customHeight="1">
      <c r="A142" s="67" t="str">
        <f>IFERROR(__xludf.DUMMYFUNCTION("""COMPUTED_VALUE"""),"White Coral Gem")</f>
        <v>White Coral Gem</v>
      </c>
      <c r="B142" s="16" t="str">
        <f>IFERROR(__xludf.DUMMYFUNCTION("""COMPUTED_VALUE"""),"500 Spirit dmg or Resistance")</f>
        <v>500 Spirit dmg or Resistance</v>
      </c>
      <c r="C142" s="1" t="str">
        <f>IFERROR(__xludf.DUMMYFUNCTION("""COMPUTED_VALUE"""),"Item")</f>
        <v>Item</v>
      </c>
      <c r="D142" s="1" t="str">
        <f>IFERROR(__xludf.DUMMYFUNCTION("""COMPUTED_VALUE"""),"Land of Spira")</f>
        <v>Land of Spira</v>
      </c>
      <c r="E142" s="1" t="b">
        <f>IFERROR(__xludf.DUMMYFUNCTION("""COMPUTED_VALUE"""),FALSE)</f>
        <v>0</v>
      </c>
      <c r="F142" s="1"/>
      <c r="G142" s="1"/>
      <c r="H142" s="1"/>
      <c r="I142" s="1"/>
      <c r="J142" s="1"/>
      <c r="K142" s="1"/>
      <c r="L142" s="1"/>
      <c r="M142" s="1"/>
      <c r="N142" s="1"/>
      <c r="O142" s="1"/>
      <c r="P142" s="1"/>
      <c r="Q142" s="1"/>
      <c r="R142" s="1"/>
      <c r="S142" s="1"/>
      <c r="T142" s="1"/>
      <c r="U142" s="1"/>
      <c r="V142" s="1"/>
      <c r="W142" s="1"/>
      <c r="X142" s="1"/>
      <c r="Y142" s="1"/>
      <c r="Z142" s="1"/>
    </row>
    <row r="143" ht="15.75" customHeight="1">
      <c r="A143" s="16" t="str">
        <f>IFERROR(__xludf.DUMMYFUNCTION("""COMPUTED_VALUE"""),"Black Coral Gem")</f>
        <v>Black Coral Gem</v>
      </c>
      <c r="B143" s="16" t="str">
        <f>IFERROR(__xludf.DUMMYFUNCTION("""COMPUTED_VALUE"""),"500 Dark dmg or Resistance")</f>
        <v>500 Dark dmg or Resistance</v>
      </c>
      <c r="C143" s="1" t="str">
        <f>IFERROR(__xludf.DUMMYFUNCTION("""COMPUTED_VALUE"""),"Item")</f>
        <v>Item</v>
      </c>
      <c r="D143" s="1" t="str">
        <f>IFERROR(__xludf.DUMMYFUNCTION("""COMPUTED_VALUE"""),"Land of Spira")</f>
        <v>Land of Spira</v>
      </c>
      <c r="E143" s="1" t="b">
        <f>IFERROR(__xludf.DUMMYFUNCTION("""COMPUTED_VALUE"""),FALSE)</f>
        <v>0</v>
      </c>
      <c r="F143" s="1"/>
      <c r="G143" s="1"/>
      <c r="H143" s="1"/>
      <c r="I143" s="1"/>
      <c r="J143" s="1"/>
      <c r="K143" s="1"/>
      <c r="L143" s="1"/>
      <c r="M143" s="1"/>
      <c r="N143" s="1"/>
      <c r="O143" s="1"/>
      <c r="P143" s="1"/>
      <c r="Q143" s="1"/>
      <c r="R143" s="1"/>
      <c r="S143" s="1"/>
      <c r="T143" s="1"/>
      <c r="U143" s="1"/>
      <c r="V143" s="1"/>
      <c r="W143" s="1"/>
      <c r="X143" s="1"/>
      <c r="Y143" s="1"/>
      <c r="Z143" s="1"/>
    </row>
    <row r="144" ht="15.75" customHeight="1">
      <c r="A144" s="16" t="str">
        <f>IFERROR(__xludf.DUMMYFUNCTION("""COMPUTED_VALUE"""),"Pink Coral Gem")</f>
        <v>Pink Coral Gem</v>
      </c>
      <c r="B144" s="16" t="str">
        <f>IFERROR(__xludf.DUMMYFUNCTION("""COMPUTED_VALUE"""),"500 dmg or resistance")</f>
        <v>500 dmg or resistance</v>
      </c>
      <c r="C144" s="1" t="str">
        <f>IFERROR(__xludf.DUMMYFUNCTION("""COMPUTED_VALUE"""),"Item")</f>
        <v>Item</v>
      </c>
      <c r="D144" s="1" t="str">
        <f>IFERROR(__xludf.DUMMYFUNCTION("""COMPUTED_VALUE"""),"Land of Spira")</f>
        <v>Land of Spira</v>
      </c>
      <c r="E144" s="1" t="b">
        <f>IFERROR(__xludf.DUMMYFUNCTION("""COMPUTED_VALUE"""),FALSE)</f>
        <v>0</v>
      </c>
      <c r="F144" s="1"/>
      <c r="G144" s="1"/>
      <c r="H144" s="1"/>
      <c r="I144" s="1"/>
      <c r="J144" s="1"/>
      <c r="K144" s="1"/>
      <c r="L144" s="1"/>
      <c r="M144" s="1"/>
      <c r="N144" s="1"/>
      <c r="O144" s="1"/>
      <c r="P144" s="1"/>
      <c r="Q144" s="1"/>
      <c r="R144" s="1"/>
      <c r="S144" s="1"/>
      <c r="T144" s="1"/>
      <c r="U144" s="1"/>
      <c r="V144" s="1"/>
      <c r="W144" s="1"/>
      <c r="X144" s="1"/>
      <c r="Y144" s="1"/>
      <c r="Z144" s="1"/>
    </row>
    <row r="145" ht="15.75" customHeight="1">
      <c r="A145" s="16" t="str">
        <f>IFERROR(__xludf.DUMMYFUNCTION("""COMPUTED_VALUE"""),"Coral")</f>
        <v>Coral</v>
      </c>
      <c r="B145" s="16" t="str">
        <f>IFERROR(__xludf.DUMMYFUNCTION("""COMPUTED_VALUE"""),"Crafting Material, roll a d20 to see how many you get if this is a loot drop.")</f>
        <v>Crafting Material, roll a d20 to see how many you get if this is a loot drop.</v>
      </c>
      <c r="C145" s="1" t="str">
        <f>IFERROR(__xludf.DUMMYFUNCTION("""COMPUTED_VALUE"""),"Item")</f>
        <v>Item</v>
      </c>
      <c r="D145" s="1" t="str">
        <f>IFERROR(__xludf.DUMMYFUNCTION("""COMPUTED_VALUE"""),"Land of Spira")</f>
        <v>Land of Spira</v>
      </c>
      <c r="E145" s="1" t="b">
        <f>IFERROR(__xludf.DUMMYFUNCTION("""COMPUTED_VALUE"""),FALSE)</f>
        <v>0</v>
      </c>
      <c r="F145" s="1"/>
      <c r="G145" s="1"/>
      <c r="H145" s="1"/>
      <c r="I145" s="1"/>
      <c r="J145" s="1"/>
      <c r="K145" s="1"/>
      <c r="L145" s="1"/>
      <c r="M145" s="1"/>
      <c r="N145" s="1"/>
      <c r="O145" s="1"/>
      <c r="P145" s="1"/>
      <c r="Q145" s="1"/>
      <c r="R145" s="1"/>
      <c r="S145" s="1"/>
      <c r="T145" s="1"/>
      <c r="U145" s="1"/>
      <c r="V145" s="1"/>
      <c r="W145" s="1"/>
      <c r="X145" s="1"/>
      <c r="Y145" s="1"/>
      <c r="Z145" s="1"/>
    </row>
    <row r="146" ht="15.75" customHeight="1">
      <c r="A146" s="21" t="str">
        <f>IFERROR(__xludf.DUMMYFUNCTION("""COMPUTED_VALUE"""),"Ivory")</f>
        <v>Ivory</v>
      </c>
      <c r="B146" s="16" t="str">
        <f>IFERROR(__xludf.DUMMYFUNCTION("""COMPUTED_VALUE"""),"Crafting Material, roll a d20 to see how many you get if this is a loot drop.")</f>
        <v>Crafting Material, roll a d20 to see how many you get if this is a loot drop.</v>
      </c>
      <c r="C146" s="1" t="str">
        <f>IFERROR(__xludf.DUMMYFUNCTION("""COMPUTED_VALUE"""),"Item")</f>
        <v>Item</v>
      </c>
      <c r="D146" s="1" t="str">
        <f>IFERROR(__xludf.DUMMYFUNCTION("""COMPUTED_VALUE"""),"Land of Spira")</f>
        <v>Land of Spira</v>
      </c>
      <c r="E146" s="1" t="b">
        <f>IFERROR(__xludf.DUMMYFUNCTION("""COMPUTED_VALUE"""),FALSE)</f>
        <v>0</v>
      </c>
      <c r="F146" s="1"/>
      <c r="G146" s="1"/>
      <c r="H146" s="1"/>
      <c r="I146" s="1"/>
      <c r="J146" s="1"/>
      <c r="K146" s="1"/>
      <c r="L146" s="1"/>
      <c r="M146" s="1"/>
      <c r="N146" s="1"/>
      <c r="O146" s="1"/>
      <c r="P146" s="1"/>
      <c r="Q146" s="1"/>
      <c r="R146" s="1"/>
      <c r="S146" s="1"/>
      <c r="T146" s="1"/>
      <c r="U146" s="1"/>
      <c r="V146" s="1"/>
      <c r="W146" s="1"/>
      <c r="X146" s="1"/>
      <c r="Y146" s="1"/>
      <c r="Z146" s="1"/>
    </row>
    <row r="147" ht="15.75" customHeight="1">
      <c r="A147" s="21" t="str">
        <f>IFERROR(__xludf.DUMMYFUNCTION("""COMPUTED_VALUE"""),"Onyx")</f>
        <v>Onyx</v>
      </c>
      <c r="B147" s="16" t="str">
        <f>IFERROR(__xludf.DUMMYFUNCTION("""COMPUTED_VALUE"""),"Crafting Material, roll a d20 to see how many you get if this is a loot drop.")</f>
        <v>Crafting Material, roll a d20 to see how many you get if this is a loot drop.</v>
      </c>
      <c r="C147" s="1" t="str">
        <f>IFERROR(__xludf.DUMMYFUNCTION("""COMPUTED_VALUE"""),"Item")</f>
        <v>Item</v>
      </c>
      <c r="D147" s="1" t="str">
        <f>IFERROR(__xludf.DUMMYFUNCTION("""COMPUTED_VALUE"""),"Land of Spira")</f>
        <v>Land of Spira</v>
      </c>
      <c r="E147" s="1" t="b">
        <f>IFERROR(__xludf.DUMMYFUNCTION("""COMPUTED_VALUE"""),FALSE)</f>
        <v>0</v>
      </c>
      <c r="F147" s="1"/>
      <c r="G147" s="1"/>
      <c r="H147" s="1"/>
      <c r="I147" s="1"/>
      <c r="J147" s="1"/>
      <c r="K147" s="1"/>
      <c r="L147" s="1"/>
      <c r="M147" s="1"/>
      <c r="N147" s="1"/>
      <c r="O147" s="1"/>
      <c r="P147" s="1"/>
      <c r="Q147" s="1"/>
      <c r="R147" s="1"/>
      <c r="S147" s="1"/>
      <c r="T147" s="1"/>
      <c r="U147" s="1"/>
      <c r="V147" s="1"/>
      <c r="W147" s="1"/>
      <c r="X147" s="1"/>
      <c r="Y147" s="1"/>
      <c r="Z147" s="1"/>
    </row>
    <row r="148" ht="15.75" customHeight="1">
      <c r="A148" s="21" t="str">
        <f>IFERROR(__xludf.DUMMYFUNCTION("""COMPUTED_VALUE"""),"Jade")</f>
        <v>Jade</v>
      </c>
      <c r="B148" s="16" t="str">
        <f>IFERROR(__xludf.DUMMYFUNCTION("""COMPUTED_VALUE"""),"Crafting Material, roll a d20 to see how many you get if this is a loot drop.")</f>
        <v>Crafting Material, roll a d20 to see how many you get if this is a loot drop.</v>
      </c>
      <c r="C148" s="1" t="str">
        <f>IFERROR(__xludf.DUMMYFUNCTION("""COMPUTED_VALUE"""),"Item")</f>
        <v>Item</v>
      </c>
      <c r="D148" s="1" t="str">
        <f>IFERROR(__xludf.DUMMYFUNCTION("""COMPUTED_VALUE"""),"Land of Spira")</f>
        <v>Land of Spira</v>
      </c>
      <c r="E148" s="1" t="b">
        <f>IFERROR(__xludf.DUMMYFUNCTION("""COMPUTED_VALUE"""),FALSE)</f>
        <v>0</v>
      </c>
      <c r="F148" s="1"/>
      <c r="G148" s="1"/>
      <c r="H148" s="1"/>
      <c r="I148" s="1"/>
      <c r="J148" s="1"/>
      <c r="K148" s="1"/>
      <c r="L148" s="1"/>
      <c r="M148" s="1"/>
      <c r="N148" s="1"/>
      <c r="O148" s="1"/>
      <c r="P148" s="1"/>
      <c r="Q148" s="1"/>
      <c r="R148" s="1"/>
      <c r="S148" s="1"/>
      <c r="T148" s="1"/>
      <c r="U148" s="1"/>
      <c r="V148" s="1"/>
      <c r="W148" s="1"/>
      <c r="X148" s="1"/>
      <c r="Y148" s="1"/>
      <c r="Z148" s="1"/>
    </row>
    <row r="149" ht="15.75" customHeight="1">
      <c r="A149" s="21" t="str">
        <f>IFERROR(__xludf.DUMMYFUNCTION("""COMPUTED_VALUE"""),"Emerald")</f>
        <v>Emerald</v>
      </c>
      <c r="B149" s="16" t="str">
        <f>IFERROR(__xludf.DUMMYFUNCTION("""COMPUTED_VALUE"""),"Crafting Material, roll a d20 to see how many you get if this is a loot drop.")</f>
        <v>Crafting Material, roll a d20 to see how many you get if this is a loot drop.</v>
      </c>
      <c r="C149" s="1" t="str">
        <f>IFERROR(__xludf.DUMMYFUNCTION("""COMPUTED_VALUE"""),"Item")</f>
        <v>Item</v>
      </c>
      <c r="D149" s="1" t="str">
        <f>IFERROR(__xludf.DUMMYFUNCTION("""COMPUTED_VALUE"""),"Land of Spira")</f>
        <v>Land of Spira</v>
      </c>
      <c r="E149" s="1" t="b">
        <f>IFERROR(__xludf.DUMMYFUNCTION("""COMPUTED_VALUE"""),FALSE)</f>
        <v>0</v>
      </c>
      <c r="F149" s="1"/>
      <c r="G149" s="1"/>
      <c r="H149" s="1"/>
      <c r="I149" s="1"/>
      <c r="J149" s="1"/>
      <c r="K149" s="1"/>
      <c r="L149" s="1"/>
      <c r="M149" s="1"/>
      <c r="N149" s="1"/>
      <c r="O149" s="1"/>
      <c r="P149" s="1"/>
      <c r="Q149" s="1"/>
      <c r="R149" s="1"/>
      <c r="S149" s="1"/>
      <c r="T149" s="1"/>
      <c r="U149" s="1"/>
      <c r="V149" s="1"/>
      <c r="W149" s="1"/>
      <c r="X149" s="1"/>
      <c r="Y149" s="1"/>
      <c r="Z149" s="1"/>
    </row>
    <row r="150" ht="15.75" customHeight="1">
      <c r="A150" s="21" t="str">
        <f>IFERROR(__xludf.DUMMYFUNCTION("""COMPUTED_VALUE"""),"Ruby")</f>
        <v>Ruby</v>
      </c>
      <c r="B150" s="16" t="str">
        <f>IFERROR(__xludf.DUMMYFUNCTION("""COMPUTED_VALUE"""),"Crafting Material, roll a d20 to see how many you get if this is a loot drop.")</f>
        <v>Crafting Material, roll a d20 to see how many you get if this is a loot drop.</v>
      </c>
      <c r="C150" s="1" t="str">
        <f>IFERROR(__xludf.DUMMYFUNCTION("""COMPUTED_VALUE"""),"Item")</f>
        <v>Item</v>
      </c>
      <c r="D150" s="1" t="str">
        <f>IFERROR(__xludf.DUMMYFUNCTION("""COMPUTED_VALUE"""),"Land of Spira")</f>
        <v>Land of Spira</v>
      </c>
      <c r="E150" s="1" t="b">
        <f>IFERROR(__xludf.DUMMYFUNCTION("""COMPUTED_VALUE"""),FALSE)</f>
        <v>0</v>
      </c>
      <c r="F150" s="1"/>
      <c r="G150" s="1"/>
      <c r="H150" s="1"/>
      <c r="I150" s="1"/>
      <c r="J150" s="1"/>
      <c r="K150" s="1"/>
      <c r="L150" s="1"/>
      <c r="M150" s="1"/>
      <c r="N150" s="1"/>
      <c r="O150" s="1"/>
      <c r="P150" s="1"/>
      <c r="Q150" s="1"/>
      <c r="R150" s="1"/>
      <c r="S150" s="1"/>
      <c r="T150" s="1"/>
      <c r="U150" s="1"/>
      <c r="V150" s="1"/>
      <c r="W150" s="1"/>
      <c r="X150" s="1"/>
      <c r="Y150" s="1"/>
      <c r="Z150" s="1"/>
    </row>
    <row r="151" ht="15.75" customHeight="1">
      <c r="A151" s="21" t="str">
        <f>IFERROR(__xludf.DUMMYFUNCTION("""COMPUTED_VALUE"""),"Sapphire")</f>
        <v>Sapphire</v>
      </c>
      <c r="B151" s="16" t="str">
        <f>IFERROR(__xludf.DUMMYFUNCTION("""COMPUTED_VALUE"""),"Crafting Material, roll a d20 to see how many you get if this is a loot drop.")</f>
        <v>Crafting Material, roll a d20 to see how many you get if this is a loot drop.</v>
      </c>
      <c r="C151" s="1" t="str">
        <f>IFERROR(__xludf.DUMMYFUNCTION("""COMPUTED_VALUE"""),"Item")</f>
        <v>Item</v>
      </c>
      <c r="D151" s="1" t="str">
        <f>IFERROR(__xludf.DUMMYFUNCTION("""COMPUTED_VALUE"""),"Land of Spira")</f>
        <v>Land of Spira</v>
      </c>
      <c r="E151" s="1" t="b">
        <f>IFERROR(__xludf.DUMMYFUNCTION("""COMPUTED_VALUE"""),FALSE)</f>
        <v>0</v>
      </c>
      <c r="F151" s="1"/>
      <c r="G151" s="1"/>
      <c r="H151" s="1"/>
      <c r="I151" s="1"/>
      <c r="J151" s="1"/>
      <c r="K151" s="1"/>
      <c r="L151" s="1"/>
      <c r="M151" s="1"/>
      <c r="N151" s="1"/>
      <c r="O151" s="1"/>
      <c r="P151" s="1"/>
      <c r="Q151" s="1"/>
      <c r="R151" s="1"/>
      <c r="S151" s="1"/>
      <c r="T151" s="1"/>
      <c r="U151" s="1"/>
      <c r="V151" s="1"/>
      <c r="W151" s="1"/>
      <c r="X151" s="1"/>
      <c r="Y151" s="1"/>
      <c r="Z151" s="1"/>
    </row>
    <row r="152" ht="15.75" customHeight="1">
      <c r="A152" s="21" t="str">
        <f>IFERROR(__xludf.DUMMYFUNCTION("""COMPUTED_VALUE"""),"Candy Corn")</f>
        <v>Candy Corn</v>
      </c>
      <c r="B152" s="16" t="str">
        <f>IFERROR(__xludf.DUMMYFUNCTION("""COMPUTED_VALUE"""),"Gun ammunition. 5000 damage, +5000 fire damage.")</f>
        <v>Gun ammunition. 5000 damage, +5000 fire damage.</v>
      </c>
      <c r="C152" s="1" t="str">
        <f>IFERROR(__xludf.DUMMYFUNCTION("""COMPUTED_VALUE"""),"Item")</f>
        <v>Item</v>
      </c>
      <c r="D152" s="1" t="str">
        <f>IFERROR(__xludf.DUMMYFUNCTION("""COMPUTED_VALUE"""),"Land of Spira")</f>
        <v>Land of Spira</v>
      </c>
      <c r="E152" s="1" t="b">
        <f>IFERROR(__xludf.DUMMYFUNCTION("""COMPUTED_VALUE"""),FALSE)</f>
        <v>0</v>
      </c>
      <c r="F152" s="1"/>
      <c r="G152" s="1"/>
      <c r="H152" s="1"/>
      <c r="I152" s="1"/>
      <c r="J152" s="1"/>
      <c r="K152" s="1"/>
      <c r="L152" s="1"/>
      <c r="M152" s="1"/>
      <c r="N152" s="1"/>
      <c r="O152" s="1"/>
      <c r="P152" s="1"/>
      <c r="Q152" s="1"/>
      <c r="R152" s="1"/>
      <c r="S152" s="1"/>
      <c r="T152" s="1"/>
      <c r="U152" s="1"/>
      <c r="V152" s="1"/>
      <c r="W152" s="1"/>
      <c r="X152" s="1"/>
      <c r="Y152" s="1"/>
      <c r="Z152" s="1"/>
    </row>
    <row r="153" ht="15.75" customHeight="1">
      <c r="A153" s="21" t="str">
        <f>IFERROR(__xludf.DUMMYFUNCTION("""COMPUTED_VALUE"""),"Pumpkin Arrow")</f>
        <v>Pumpkin Arrow</v>
      </c>
      <c r="B153" s="16" t="str">
        <f>IFERROR(__xludf.DUMMYFUNCTION("""COMPUTED_VALUE"""),"Bow Ammunition. +5000 fire damage. roll a d20 to see how many you get if this is a loot drop.")</f>
        <v>Bow Ammunition. +5000 fire damage. roll a d20 to see how many you get if this is a loot drop.</v>
      </c>
      <c r="C153" s="1" t="str">
        <f>IFERROR(__xludf.DUMMYFUNCTION("""COMPUTED_VALUE"""),"Item")</f>
        <v>Item</v>
      </c>
      <c r="D153" s="1" t="str">
        <f>IFERROR(__xludf.DUMMYFUNCTION("""COMPUTED_VALUE"""),"Land of Spira")</f>
        <v>Land of Spira</v>
      </c>
      <c r="E153" s="1" t="b">
        <f>IFERROR(__xludf.DUMMYFUNCTION("""COMPUTED_VALUE"""),FALSE)</f>
        <v>0</v>
      </c>
      <c r="F153" s="1"/>
      <c r="G153" s="1"/>
      <c r="H153" s="1"/>
      <c r="I153" s="1"/>
      <c r="J153" s="1"/>
      <c r="K153" s="1"/>
      <c r="L153" s="1"/>
      <c r="M153" s="1"/>
      <c r="N153" s="1"/>
      <c r="O153" s="1"/>
      <c r="P153" s="1"/>
      <c r="Q153" s="1"/>
      <c r="R153" s="1"/>
      <c r="S153" s="1"/>
      <c r="T153" s="1"/>
      <c r="U153" s="1"/>
      <c r="V153" s="1"/>
      <c r="W153" s="1"/>
      <c r="X153" s="1"/>
      <c r="Y153" s="1"/>
      <c r="Z153" s="1"/>
    </row>
    <row r="154" ht="15.75" customHeight="1">
      <c r="A154" s="69" t="str">
        <f>IFERROR(__xludf.DUMMYFUNCTION("""COMPUTED_VALUE"""),"Candy Corn Gem")</f>
        <v>Candy Corn Gem</v>
      </c>
      <c r="B154" s="21" t="str">
        <f>IFERROR(__xludf.DUMMYFUNCTION("""COMPUTED_VALUE"""),"(Can be turned in for Halloween Coins Decided by the current DM / GM )")</f>
        <v>(Can be turned in for Halloween Coins Decided by the current DM / GM )</v>
      </c>
      <c r="C154" s="1" t="str">
        <f>IFERROR(__xludf.DUMMYFUNCTION("""COMPUTED_VALUE"""),"Item")</f>
        <v>Item</v>
      </c>
      <c r="D154" s="1" t="str">
        <f>IFERROR(__xludf.DUMMYFUNCTION("""COMPUTED_VALUE"""),"Land of Spira")</f>
        <v>Land of Spira</v>
      </c>
      <c r="E154" s="1" t="b">
        <f>IFERROR(__xludf.DUMMYFUNCTION("""COMPUTED_VALUE"""),FALSE)</f>
        <v>0</v>
      </c>
      <c r="F154" s="1"/>
      <c r="G154" s="1"/>
      <c r="H154" s="1"/>
      <c r="I154" s="1"/>
      <c r="J154" s="1"/>
      <c r="K154" s="1"/>
      <c r="L154" s="1"/>
      <c r="M154" s="1"/>
      <c r="N154" s="1"/>
      <c r="O154" s="1"/>
      <c r="P154" s="1"/>
      <c r="Q154" s="1"/>
      <c r="R154" s="1"/>
      <c r="S154" s="1"/>
      <c r="T154" s="1"/>
      <c r="U154" s="1"/>
      <c r="V154" s="1"/>
      <c r="W154" s="1"/>
      <c r="X154" s="1"/>
      <c r="Y154" s="1"/>
      <c r="Z154" s="1"/>
    </row>
    <row r="155" ht="15.75" customHeight="1">
      <c r="A155" s="21" t="str">
        <f>IFERROR(__xludf.DUMMYFUNCTION("""COMPUTED_VALUE"""),"Steel Arrow")</f>
        <v>Steel Arrow</v>
      </c>
      <c r="B155" s="16" t="str">
        <f>IFERROR(__xludf.DUMMYFUNCTION("""COMPUTED_VALUE"""),"Bow Ammunition. +100 damage. roll a d20 to see how many you get if this is a loot drop.")</f>
        <v>Bow Ammunition. +100 damage. roll a d20 to see how many you get if this is a loot drop.</v>
      </c>
      <c r="C155" s="1" t="str">
        <f>IFERROR(__xludf.DUMMYFUNCTION("""COMPUTED_VALUE"""),"Item")</f>
        <v>Item</v>
      </c>
      <c r="D155" s="1" t="str">
        <f>IFERROR(__xludf.DUMMYFUNCTION("""COMPUTED_VALUE"""),"Land of Spira")</f>
        <v>Land of Spira</v>
      </c>
      <c r="E155" s="1" t="b">
        <f>IFERROR(__xludf.DUMMYFUNCTION("""COMPUTED_VALUE"""),FALSE)</f>
        <v>0</v>
      </c>
      <c r="F155" s="1"/>
      <c r="G155" s="1"/>
      <c r="H155" s="1"/>
      <c r="I155" s="1"/>
      <c r="J155" s="1"/>
      <c r="K155" s="1"/>
      <c r="L155" s="1"/>
      <c r="M155" s="1"/>
      <c r="N155" s="1"/>
      <c r="O155" s="1"/>
      <c r="P155" s="1"/>
      <c r="Q155" s="1"/>
      <c r="R155" s="1"/>
      <c r="S155" s="1"/>
      <c r="T155" s="1"/>
      <c r="U155" s="1"/>
      <c r="V155" s="1"/>
      <c r="W155" s="1"/>
      <c r="X155" s="1"/>
      <c r="Y155" s="1"/>
      <c r="Z155" s="1"/>
    </row>
    <row r="156" ht="15.75" customHeight="1">
      <c r="A156" s="21" t="str">
        <f>IFERROR(__xludf.DUMMYFUNCTION("""COMPUTED_VALUE"""),"Bone Key")</f>
        <v>Bone Key</v>
      </c>
      <c r="B156" s="21" t="str">
        <f>IFERROR(__xludf.DUMMYFUNCTION("""COMPUTED_VALUE"""),"Opens bone chest")</f>
        <v>Opens bone chest</v>
      </c>
      <c r="C156" s="1" t="str">
        <f>IFERROR(__xludf.DUMMYFUNCTION("""COMPUTED_VALUE"""),"Item")</f>
        <v>Item</v>
      </c>
      <c r="D156" s="1" t="str">
        <f>IFERROR(__xludf.DUMMYFUNCTION("""COMPUTED_VALUE"""),"Land of Spira")</f>
        <v>Land of Spira</v>
      </c>
      <c r="E156" s="1" t="b">
        <f>IFERROR(__xludf.DUMMYFUNCTION("""COMPUTED_VALUE"""),FALSE)</f>
        <v>0</v>
      </c>
      <c r="F156" s="1"/>
      <c r="G156" s="1"/>
      <c r="H156" s="1"/>
      <c r="I156" s="1"/>
      <c r="J156" s="1"/>
      <c r="K156" s="1"/>
      <c r="L156" s="1"/>
      <c r="M156" s="1"/>
      <c r="N156" s="1"/>
      <c r="O156" s="1"/>
      <c r="P156" s="1"/>
      <c r="Q156" s="1"/>
      <c r="R156" s="1"/>
      <c r="S156" s="1"/>
      <c r="T156" s="1"/>
      <c r="U156" s="1"/>
      <c r="V156" s="1"/>
      <c r="W156" s="1"/>
      <c r="X156" s="1"/>
      <c r="Y156" s="1"/>
      <c r="Z156" s="1"/>
    </row>
    <row r="157" ht="15.75" customHeight="1">
      <c r="A157" s="21" t="str">
        <f>IFERROR(__xludf.DUMMYFUNCTION("""COMPUTED_VALUE"""),"Bone")</f>
        <v>Bone</v>
      </c>
      <c r="B157" s="21" t="str">
        <f>IFERROR(__xludf.DUMMYFUNCTION("""COMPUTED_VALUE"""),"Crafting Material, roll a d20 to see how many you get if this is a loot drop.")</f>
        <v>Crafting Material, roll a d20 to see how many you get if this is a loot drop.</v>
      </c>
      <c r="C157" s="1" t="str">
        <f>IFERROR(__xludf.DUMMYFUNCTION("""COMPUTED_VALUE"""),"Item")</f>
        <v>Item</v>
      </c>
      <c r="D157" s="1" t="str">
        <f>IFERROR(__xludf.DUMMYFUNCTION("""COMPUTED_VALUE"""),"Land of Spira")</f>
        <v>Land of Spira</v>
      </c>
      <c r="E157" s="1" t="b">
        <f>IFERROR(__xludf.DUMMYFUNCTION("""COMPUTED_VALUE"""),FALSE)</f>
        <v>0</v>
      </c>
      <c r="F157" s="1"/>
      <c r="G157" s="1"/>
      <c r="H157" s="1"/>
      <c r="I157" s="1"/>
      <c r="J157" s="1"/>
      <c r="K157" s="1"/>
      <c r="L157" s="1"/>
      <c r="M157" s="1"/>
      <c r="N157" s="1"/>
      <c r="O157" s="1"/>
      <c r="P157" s="1"/>
      <c r="Q157" s="1"/>
      <c r="R157" s="1"/>
      <c r="S157" s="1"/>
      <c r="T157" s="1"/>
      <c r="U157" s="1"/>
      <c r="V157" s="1"/>
      <c r="W157" s="1"/>
      <c r="X157" s="1"/>
      <c r="Y157" s="1"/>
      <c r="Z157" s="1"/>
    </row>
    <row r="158" ht="15.75" customHeight="1">
      <c r="A158" s="21" t="str">
        <f>IFERROR(__xludf.DUMMYFUNCTION("""COMPUTED_VALUE"""),"Bone Chest")</f>
        <v>Bone Chest</v>
      </c>
      <c r="B158" s="21" t="str">
        <f>IFERROR(__xludf.DUMMYFUNCTION("""COMPUTED_VALUE"""),"Determine the tier by a d10 roll.")</f>
        <v>Determine the tier by a d10 roll.</v>
      </c>
      <c r="C158" s="1" t="str">
        <f>IFERROR(__xludf.DUMMYFUNCTION("""COMPUTED_VALUE"""),"Item")</f>
        <v>Item</v>
      </c>
      <c r="D158" s="1" t="str">
        <f>IFERROR(__xludf.DUMMYFUNCTION("""COMPUTED_VALUE"""),"Land of Spira")</f>
        <v>Land of Spira</v>
      </c>
      <c r="E158" s="1" t="b">
        <f>IFERROR(__xludf.DUMMYFUNCTION("""COMPUTED_VALUE"""),FALSE)</f>
        <v>0</v>
      </c>
      <c r="F158" s="1"/>
      <c r="G158" s="1"/>
      <c r="H158" s="1"/>
      <c r="I158" s="1"/>
      <c r="J158" s="1"/>
      <c r="K158" s="1"/>
      <c r="L158" s="1"/>
      <c r="M158" s="1"/>
      <c r="N158" s="1"/>
      <c r="O158" s="1"/>
      <c r="P158" s="1"/>
      <c r="Q158" s="1"/>
      <c r="R158" s="1"/>
      <c r="S158" s="1"/>
      <c r="T158" s="1"/>
      <c r="U158" s="1"/>
      <c r="V158" s="1"/>
      <c r="W158" s="1"/>
      <c r="X158" s="1"/>
      <c r="Y158" s="1"/>
      <c r="Z158" s="1"/>
    </row>
    <row r="159" ht="15.75" customHeight="1">
      <c r="A159" s="21" t="str">
        <f>IFERROR(__xludf.DUMMYFUNCTION("""COMPUTED_VALUE"""),"Viking Key")</f>
        <v>Viking Key</v>
      </c>
      <c r="B159" s="21" t="str">
        <f>IFERROR(__xludf.DUMMYFUNCTION("""COMPUTED_VALUE"""),"Opens the Viking Chest")</f>
        <v>Opens the Viking Chest</v>
      </c>
      <c r="C159" s="1" t="str">
        <f>IFERROR(__xludf.DUMMYFUNCTION("""COMPUTED_VALUE"""),"Item")</f>
        <v>Item</v>
      </c>
      <c r="D159" s="1" t="str">
        <f>IFERROR(__xludf.DUMMYFUNCTION("""COMPUTED_VALUE"""),"Land of Spira")</f>
        <v>Land of Spira</v>
      </c>
      <c r="E159" s="1" t="b">
        <f>IFERROR(__xludf.DUMMYFUNCTION("""COMPUTED_VALUE"""),FALSE)</f>
        <v>0</v>
      </c>
      <c r="F159" s="1"/>
      <c r="G159" s="1"/>
      <c r="H159" s="1"/>
      <c r="I159" s="1"/>
      <c r="J159" s="1"/>
      <c r="K159" s="1"/>
      <c r="L159" s="1"/>
      <c r="M159" s="1"/>
      <c r="N159" s="1"/>
      <c r="O159" s="1"/>
      <c r="P159" s="1"/>
      <c r="Q159" s="1"/>
      <c r="R159" s="1"/>
      <c r="S159" s="1"/>
      <c r="T159" s="1"/>
      <c r="U159" s="1"/>
      <c r="V159" s="1"/>
      <c r="W159" s="1"/>
      <c r="X159" s="1"/>
      <c r="Y159" s="1"/>
      <c r="Z159" s="1"/>
    </row>
    <row r="160" ht="15.75" customHeight="1">
      <c r="A160" s="21" t="str">
        <f>IFERROR(__xludf.DUMMYFUNCTION("""COMPUTED_VALUE"""),"Viking Chest")</f>
        <v>Viking Chest</v>
      </c>
      <c r="B160" s="21" t="str">
        <f>IFERROR(__xludf.DUMMYFUNCTION("""COMPUTED_VALUE"""),"Determine the tier by a d10 roll.")</f>
        <v>Determine the tier by a d10 roll.</v>
      </c>
      <c r="C160" s="1" t="str">
        <f>IFERROR(__xludf.DUMMYFUNCTION("""COMPUTED_VALUE"""),"Item")</f>
        <v>Item</v>
      </c>
      <c r="D160" s="1" t="str">
        <f>IFERROR(__xludf.DUMMYFUNCTION("""COMPUTED_VALUE"""),"Land of Spira")</f>
        <v>Land of Spira</v>
      </c>
      <c r="E160" s="1" t="b">
        <f>IFERROR(__xludf.DUMMYFUNCTION("""COMPUTED_VALUE"""),FALSE)</f>
        <v>0</v>
      </c>
      <c r="F160" s="1"/>
      <c r="G160" s="1"/>
      <c r="H160" s="1"/>
      <c r="I160" s="1"/>
      <c r="J160" s="1"/>
      <c r="K160" s="1"/>
      <c r="L160" s="1"/>
      <c r="M160" s="1"/>
      <c r="N160" s="1"/>
      <c r="O160" s="1"/>
      <c r="P160" s="1"/>
      <c r="Q160" s="1"/>
      <c r="R160" s="1"/>
      <c r="S160" s="1"/>
      <c r="T160" s="1"/>
      <c r="U160" s="1"/>
      <c r="V160" s="1"/>
      <c r="W160" s="1"/>
      <c r="X160" s="1"/>
      <c r="Y160" s="1"/>
      <c r="Z160" s="1"/>
    </row>
    <row r="161" ht="15.75" customHeight="1">
      <c r="A161" s="21" t="str">
        <f>IFERROR(__xludf.DUMMYFUNCTION("""COMPUTED_VALUE"""),"Vikings Cove Key")</f>
        <v>Vikings Cove Key</v>
      </c>
      <c r="B161" s="21" t="str">
        <f>IFERROR(__xludf.DUMMYFUNCTION("""COMPUTED_VALUE"""),"Gain access to Vikings Cove")</f>
        <v>Gain access to Vikings Cove</v>
      </c>
      <c r="C161" s="1" t="str">
        <f>IFERROR(__xludf.DUMMYFUNCTION("""COMPUTED_VALUE"""),"Item")</f>
        <v>Item</v>
      </c>
      <c r="D161" s="1" t="str">
        <f>IFERROR(__xludf.DUMMYFUNCTION("""COMPUTED_VALUE"""),"Land of Spira")</f>
        <v>Land of Spira</v>
      </c>
      <c r="E161" s="1" t="b">
        <f>IFERROR(__xludf.DUMMYFUNCTION("""COMPUTED_VALUE"""),FALSE)</f>
        <v>0</v>
      </c>
      <c r="F161" s="1"/>
      <c r="G161" s="1"/>
      <c r="H161" s="1"/>
      <c r="I161" s="1"/>
      <c r="J161" s="1"/>
      <c r="K161" s="1"/>
      <c r="L161" s="1"/>
      <c r="M161" s="1"/>
      <c r="N161" s="1"/>
      <c r="O161" s="1"/>
      <c r="P161" s="1"/>
      <c r="Q161" s="1"/>
      <c r="R161" s="1"/>
      <c r="S161" s="1"/>
      <c r="T161" s="1"/>
      <c r="U161" s="1"/>
      <c r="V161" s="1"/>
      <c r="W161" s="1"/>
      <c r="X161" s="1"/>
      <c r="Y161" s="1"/>
      <c r="Z161" s="1"/>
    </row>
    <row r="162" ht="15.75" customHeight="1">
      <c r="A162" s="16" t="str">
        <f>IFERROR(__xludf.DUMMYFUNCTION("""COMPUTED_VALUE"""),"Baboon meat")</f>
        <v>Baboon meat</v>
      </c>
      <c r="B162" s="16" t="str">
        <f>IFERROR(__xludf.DUMMYFUNCTION("""COMPUTED_VALUE""")," +2 hunger")</f>
        <v> +2 hunger</v>
      </c>
      <c r="C162" s="1" t="str">
        <f>IFERROR(__xludf.DUMMYFUNCTION("""COMPUTED_VALUE"""),"Crop")</f>
        <v>Crop</v>
      </c>
      <c r="D162" s="1" t="str">
        <f>IFERROR(__xludf.DUMMYFUNCTION("""COMPUTED_VALUE"""),"Land of Spira")</f>
        <v>Land of Spira</v>
      </c>
      <c r="E162" s="1" t="b">
        <f>IFERROR(__xludf.DUMMYFUNCTION("""COMPUTED_VALUE"""),FALSE)</f>
        <v>0</v>
      </c>
      <c r="F162" s="1"/>
      <c r="G162" s="1"/>
      <c r="H162" s="1"/>
      <c r="I162" s="1"/>
      <c r="J162" s="1"/>
      <c r="K162" s="1"/>
      <c r="L162" s="1"/>
      <c r="M162" s="1"/>
      <c r="N162" s="1"/>
      <c r="O162" s="1"/>
      <c r="P162" s="1"/>
      <c r="Q162" s="1"/>
      <c r="R162" s="1"/>
      <c r="S162" s="1"/>
      <c r="T162" s="1"/>
      <c r="U162" s="1"/>
      <c r="V162" s="1"/>
      <c r="W162" s="1"/>
      <c r="X162" s="1"/>
      <c r="Y162" s="1"/>
      <c r="Z162" s="1"/>
    </row>
    <row r="163" ht="15.75" customHeight="1">
      <c r="A163" s="16" t="str">
        <f>IFERROR(__xludf.DUMMYFUNCTION("""COMPUTED_VALUE"""),"Eagle Feathers")</f>
        <v>Eagle Feathers</v>
      </c>
      <c r="B163" s="16" t="str">
        <f>IFERROR(__xludf.DUMMYFUNCTION("""COMPUTED_VALUE"""),"Crafting Material, roll a d20 to see how many you get if this is a loot drop.")</f>
        <v>Crafting Material, roll a d20 to see how many you get if this is a loot drop.</v>
      </c>
      <c r="C163" s="1" t="str">
        <f>IFERROR(__xludf.DUMMYFUNCTION("""COMPUTED_VALUE"""),"Item")</f>
        <v>Item</v>
      </c>
      <c r="D163" s="1" t="str">
        <f>IFERROR(__xludf.DUMMYFUNCTION("""COMPUTED_VALUE"""),"Land of Spira")</f>
        <v>Land of Spira</v>
      </c>
      <c r="E163" s="1" t="b">
        <f>IFERROR(__xludf.DUMMYFUNCTION("""COMPUTED_VALUE"""),FALSE)</f>
        <v>0</v>
      </c>
      <c r="F163" s="1"/>
      <c r="G163" s="1"/>
      <c r="H163" s="1"/>
      <c r="I163" s="1"/>
      <c r="J163" s="1"/>
      <c r="K163" s="1"/>
      <c r="L163" s="1"/>
      <c r="M163" s="1"/>
      <c r="N163" s="1"/>
      <c r="O163" s="1"/>
      <c r="P163" s="1"/>
      <c r="Q163" s="1"/>
      <c r="R163" s="1"/>
      <c r="S163" s="1"/>
      <c r="T163" s="1"/>
      <c r="U163" s="1"/>
      <c r="V163" s="1"/>
      <c r="W163" s="1"/>
      <c r="X163" s="1"/>
      <c r="Y163" s="1"/>
      <c r="Z163" s="1"/>
    </row>
    <row r="164" ht="15.75" customHeight="1">
      <c r="A164" s="16" t="str">
        <f>IFERROR(__xludf.DUMMYFUNCTION("""COMPUTED_VALUE"""),"The Cycle")</f>
        <v>The Cycle</v>
      </c>
      <c r="B164"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1" t="str">
        <f>IFERROR(__xludf.DUMMYFUNCTION("""COMPUTED_VALUE"""),"Item")</f>
        <v>Item</v>
      </c>
      <c r="D164" s="1" t="str">
        <f>IFERROR(__xludf.DUMMYFUNCTION("""COMPUTED_VALUE"""),"Land of Spira")</f>
        <v>Land of Spira</v>
      </c>
      <c r="E164" s="1" t="b">
        <f>IFERROR(__xludf.DUMMYFUNCTION("""COMPUTED_VALUE"""),FALSE)</f>
        <v>0</v>
      </c>
      <c r="F164" s="1"/>
      <c r="G164" s="1"/>
      <c r="H164" s="1"/>
      <c r="I164" s="1"/>
      <c r="J164" s="1"/>
      <c r="K164" s="1"/>
      <c r="L164" s="1"/>
      <c r="M164" s="1"/>
      <c r="N164" s="1"/>
      <c r="O164" s="1"/>
      <c r="P164" s="1"/>
      <c r="Q164" s="1"/>
      <c r="R164" s="1"/>
      <c r="S164" s="1"/>
      <c r="T164" s="1"/>
      <c r="U164" s="1"/>
      <c r="V164" s="1"/>
      <c r="W164" s="1"/>
      <c r="X164" s="1"/>
      <c r="Y164" s="1"/>
      <c r="Z164" s="1"/>
    </row>
    <row r="165" ht="15.75" customHeight="1">
      <c r="A165" s="16" t="str">
        <f>IFERROR(__xludf.DUMMYFUNCTION("""COMPUTED_VALUE"""),"Scale")</f>
        <v>Scale</v>
      </c>
      <c r="B165" s="16" t="str">
        <f>IFERROR(__xludf.DUMMYFUNCTION("""COMPUTED_VALUE"""),"can be added to armor to give it +1 Earth resistance, once added to armor it can’t be removed")</f>
        <v>can be added to armor to give it +1 Earth resistance, once added to armor it can’t be removed</v>
      </c>
      <c r="C165" s="1" t="str">
        <f>IFERROR(__xludf.DUMMYFUNCTION("""COMPUTED_VALUE"""),"Item")</f>
        <v>Item</v>
      </c>
      <c r="D165" s="1" t="str">
        <f>IFERROR(__xludf.DUMMYFUNCTION("""COMPUTED_VALUE"""),"Land of Spira")</f>
        <v>Land of Spira</v>
      </c>
      <c r="E165" s="1" t="b">
        <f>IFERROR(__xludf.DUMMYFUNCTION("""COMPUTED_VALUE"""),FALSE)</f>
        <v>0</v>
      </c>
      <c r="F165" s="1"/>
      <c r="G165" s="1"/>
      <c r="H165" s="1"/>
      <c r="I165" s="1"/>
      <c r="J165" s="1"/>
      <c r="K165" s="1"/>
      <c r="L165" s="1"/>
      <c r="M165" s="1"/>
      <c r="N165" s="1"/>
      <c r="O165" s="1"/>
      <c r="P165" s="1"/>
      <c r="Q165" s="1"/>
      <c r="R165" s="1"/>
      <c r="S165" s="1"/>
      <c r="T165" s="1"/>
      <c r="U165" s="1"/>
      <c r="V165" s="1"/>
      <c r="W165" s="1"/>
      <c r="X165" s="1"/>
      <c r="Y165" s="1"/>
      <c r="Z165" s="1"/>
    </row>
    <row r="166" ht="15.75" customHeight="1">
      <c r="A166" s="16" t="str">
        <f>IFERROR(__xludf.DUMMYFUNCTION("""COMPUTED_VALUE"""),"Egg")</f>
        <v>Egg</v>
      </c>
      <c r="B166" s="16" t="str">
        <f>IFERROR(__xludf.DUMMYFUNCTION("""COMPUTED_VALUE"""),"Will hatch in X/X days.")</f>
        <v>Will hatch in X/X days.</v>
      </c>
      <c r="C166" s="1" t="str">
        <f>IFERROR(__xludf.DUMMYFUNCTION("""COMPUTED_VALUE"""),"Item")</f>
        <v>Item</v>
      </c>
      <c r="D166" s="1" t="str">
        <f>IFERROR(__xludf.DUMMYFUNCTION("""COMPUTED_VALUE"""),"Land of Spira")</f>
        <v>Land of Spira</v>
      </c>
      <c r="E166" s="1" t="b">
        <f>IFERROR(__xludf.DUMMYFUNCTION("""COMPUTED_VALUE"""),FALSE)</f>
        <v>0</v>
      </c>
      <c r="F166" s="1"/>
      <c r="G166" s="1"/>
      <c r="H166" s="1"/>
      <c r="I166" s="1"/>
      <c r="J166" s="1"/>
      <c r="K166" s="1"/>
      <c r="L166" s="1"/>
      <c r="M166" s="1"/>
      <c r="N166" s="1"/>
      <c r="O166" s="1"/>
      <c r="P166" s="1"/>
      <c r="Q166" s="1"/>
      <c r="R166" s="1"/>
      <c r="S166" s="1"/>
      <c r="T166" s="1"/>
      <c r="U166" s="1"/>
      <c r="V166" s="1"/>
      <c r="W166" s="1"/>
      <c r="X166" s="1"/>
      <c r="Y166" s="1"/>
      <c r="Z166" s="1"/>
    </row>
    <row r="167" ht="15.75" customHeight="1">
      <c r="A167" s="16" t="str">
        <f>IFERROR(__xludf.DUMMYFUNCTION("""COMPUTED_VALUE"""),"Soul")</f>
        <v>Soul</v>
      </c>
      <c r="B167"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1" t="str">
        <f>IFERROR(__xludf.DUMMYFUNCTION("""COMPUTED_VALUE"""),"Item")</f>
        <v>Item</v>
      </c>
      <c r="D167" s="1" t="str">
        <f>IFERROR(__xludf.DUMMYFUNCTION("""COMPUTED_VALUE"""),"Land of Spira")</f>
        <v>Land of Spira</v>
      </c>
      <c r="E167" s="1" t="b">
        <f>IFERROR(__xludf.DUMMYFUNCTION("""COMPUTED_VALUE"""),FALSE)</f>
        <v>0</v>
      </c>
      <c r="F167" s="1"/>
      <c r="G167" s="1"/>
      <c r="H167" s="1"/>
      <c r="I167" s="1"/>
      <c r="J167" s="1"/>
      <c r="K167" s="1"/>
      <c r="L167" s="1"/>
      <c r="M167" s="1"/>
      <c r="N167" s="1"/>
      <c r="O167" s="1"/>
      <c r="P167" s="1"/>
      <c r="Q167" s="1"/>
      <c r="R167" s="1"/>
      <c r="S167" s="1"/>
      <c r="T167" s="1"/>
      <c r="U167" s="1"/>
      <c r="V167" s="1"/>
      <c r="W167" s="1"/>
      <c r="X167" s="1"/>
      <c r="Y167" s="1"/>
      <c r="Z167" s="1"/>
    </row>
    <row r="168" ht="15.75" customHeight="1">
      <c r="A168" s="16" t="str">
        <f>IFERROR(__xludf.DUMMYFUNCTION("""COMPUTED_VALUE"""),"Crystal")</f>
        <v>Crystal</v>
      </c>
      <c r="B168" s="16" t="str">
        <f>IFERROR(__xludf.DUMMYFUNCTION("""COMPUTED_VALUE"""),"Crafting Material, roll a d20 to see how many you get if this is a loot drop.")</f>
        <v>Crafting Material, roll a d20 to see how many you get if this is a loot drop.</v>
      </c>
      <c r="C168" s="1" t="str">
        <f>IFERROR(__xludf.DUMMYFUNCTION("""COMPUTED_VALUE"""),"Item")</f>
        <v>Item</v>
      </c>
      <c r="D168" s="1" t="str">
        <f>IFERROR(__xludf.DUMMYFUNCTION("""COMPUTED_VALUE"""),"Land of Spira")</f>
        <v>Land of Spira</v>
      </c>
      <c r="E168" s="1" t="b">
        <f>IFERROR(__xludf.DUMMYFUNCTION("""COMPUTED_VALUE"""),FALSE)</f>
        <v>0</v>
      </c>
      <c r="F168" s="1"/>
      <c r="G168" s="1"/>
      <c r="H168" s="1"/>
      <c r="I168" s="1"/>
      <c r="J168" s="1"/>
      <c r="K168" s="1"/>
      <c r="L168" s="1"/>
      <c r="M168" s="1"/>
      <c r="N168" s="1"/>
      <c r="O168" s="1"/>
      <c r="P168" s="1"/>
      <c r="Q168" s="1"/>
      <c r="R168" s="1"/>
      <c r="S168" s="1"/>
      <c r="T168" s="1"/>
      <c r="U168" s="1"/>
      <c r="V168" s="1"/>
      <c r="W168" s="1"/>
      <c r="X168" s="1"/>
      <c r="Y168" s="1"/>
      <c r="Z168" s="1"/>
    </row>
    <row r="169" ht="15.75" customHeight="1">
      <c r="A169" s="16" t="str">
        <f>IFERROR(__xludf.DUMMYFUNCTION("""COMPUTED_VALUE"""),"Delta Gems")</f>
        <v>Delta Gems</v>
      </c>
      <c r="B169" s="16" t="str">
        <f>IFERROR(__xludf.DUMMYFUNCTION("""COMPUTED_VALUE"""),"Crafting Material, roll a d20 to see how many you get if this is a loot drop.")</f>
        <v>Crafting Material, roll a d20 to see how many you get if this is a loot drop.</v>
      </c>
      <c r="C169" s="1" t="str">
        <f>IFERROR(__xludf.DUMMYFUNCTION("""COMPUTED_VALUE"""),"Item")</f>
        <v>Item</v>
      </c>
      <c r="D169" s="1" t="str">
        <f>IFERROR(__xludf.DUMMYFUNCTION("""COMPUTED_VALUE"""),"Land of Spira")</f>
        <v>Land of Spira</v>
      </c>
      <c r="E169" s="1" t="b">
        <f>IFERROR(__xludf.DUMMYFUNCTION("""COMPUTED_VALUE"""),FALSE)</f>
        <v>0</v>
      </c>
      <c r="F169" s="1"/>
      <c r="G169" s="1"/>
      <c r="H169" s="1"/>
      <c r="I169" s="1"/>
      <c r="J169" s="1"/>
      <c r="K169" s="1"/>
      <c r="L169" s="1"/>
      <c r="M169" s="1"/>
      <c r="N169" s="1"/>
      <c r="O169" s="1"/>
      <c r="P169" s="1"/>
      <c r="Q169" s="1"/>
      <c r="R169" s="1"/>
      <c r="S169" s="1"/>
      <c r="T169" s="1"/>
      <c r="U169" s="1"/>
      <c r="V169" s="1"/>
      <c r="W169" s="1"/>
      <c r="X169" s="1"/>
      <c r="Y169" s="1"/>
      <c r="Z169" s="1"/>
    </row>
    <row r="170" ht="15.75" customHeight="1">
      <c r="A170" s="16" t="str">
        <f>IFERROR(__xludf.DUMMYFUNCTION("""COMPUTED_VALUE"""),"Fire Diamonds")</f>
        <v>Fire Diamonds</v>
      </c>
      <c r="B170" s="16" t="str">
        <f>IFERROR(__xludf.DUMMYFUNCTION("""COMPUTED_VALUE"""),"Crafting Material, roll a d20 to see how many you get if this is a loot drop.")</f>
        <v>Crafting Material, roll a d20 to see how many you get if this is a loot drop.</v>
      </c>
      <c r="C170" s="1" t="str">
        <f>IFERROR(__xludf.DUMMYFUNCTION("""COMPUTED_VALUE"""),"Item")</f>
        <v>Item</v>
      </c>
      <c r="D170" s="1" t="str">
        <f>IFERROR(__xludf.DUMMYFUNCTION("""COMPUTED_VALUE"""),"Land of Spira")</f>
        <v>Land of Spira</v>
      </c>
      <c r="E170" s="1" t="b">
        <f>IFERROR(__xludf.DUMMYFUNCTION("""COMPUTED_VALUE"""),FALSE)</f>
        <v>0</v>
      </c>
      <c r="F170" s="1"/>
      <c r="G170" s="1"/>
      <c r="H170" s="1"/>
      <c r="I170" s="1"/>
      <c r="J170" s="1"/>
      <c r="K170" s="1"/>
      <c r="L170" s="1"/>
      <c r="M170" s="1"/>
      <c r="N170" s="1"/>
      <c r="O170" s="1"/>
      <c r="P170" s="1"/>
      <c r="Q170" s="1"/>
      <c r="R170" s="1"/>
      <c r="S170" s="1"/>
      <c r="T170" s="1"/>
      <c r="U170" s="1"/>
      <c r="V170" s="1"/>
      <c r="W170" s="1"/>
      <c r="X170" s="1"/>
      <c r="Y170" s="1"/>
      <c r="Z170" s="1"/>
    </row>
    <row r="171" ht="15.75" customHeight="1">
      <c r="A171" s="16" t="str">
        <f>IFERROR(__xludf.DUMMYFUNCTION("""COMPUTED_VALUE"""),"plant containing the ‘instant death status effect’")</f>
        <v>plant containing the ‘instant death status effect’</v>
      </c>
      <c r="B171" s="16" t="str">
        <f>IFERROR(__xludf.DUMMYFUNCTION("""COMPUTED_VALUE"""),"Quest item")</f>
        <v>Quest item</v>
      </c>
      <c r="C171" s="1" t="str">
        <f>IFERROR(__xludf.DUMMYFUNCTION("""COMPUTED_VALUE"""),"Item")</f>
        <v>Item</v>
      </c>
      <c r="D171" s="1" t="str">
        <f>IFERROR(__xludf.DUMMYFUNCTION("""COMPUTED_VALUE"""),"Land of Spira")</f>
        <v>Land of Spira</v>
      </c>
      <c r="E171" s="1" t="b">
        <f>IFERROR(__xludf.DUMMYFUNCTION("""COMPUTED_VALUE"""),FALSE)</f>
        <v>0</v>
      </c>
      <c r="F171" s="1"/>
      <c r="G171" s="1"/>
      <c r="H171" s="1"/>
      <c r="I171" s="1"/>
      <c r="J171" s="1"/>
      <c r="K171" s="1"/>
      <c r="L171" s="1"/>
      <c r="M171" s="1"/>
      <c r="N171" s="1"/>
      <c r="O171" s="1"/>
      <c r="P171" s="1"/>
      <c r="Q171" s="1"/>
      <c r="R171" s="1"/>
      <c r="S171" s="1"/>
      <c r="T171" s="1"/>
      <c r="U171" s="1"/>
      <c r="V171" s="1"/>
      <c r="W171" s="1"/>
      <c r="X171" s="1"/>
      <c r="Y171" s="1"/>
      <c r="Z171" s="1"/>
    </row>
    <row r="172" ht="15.75" customHeight="1">
      <c r="A172" s="16"/>
      <c r="B172" s="16"/>
      <c r="C172" s="1"/>
      <c r="D172" s="1"/>
      <c r="E172" s="1" t="b">
        <f>IFERROR(__xludf.DUMMYFUNCTION("""COMPUTED_VALUE"""),FALSE)</f>
        <v>0</v>
      </c>
      <c r="F172" s="1"/>
      <c r="G172" s="1"/>
      <c r="H172" s="1"/>
      <c r="I172" s="1"/>
      <c r="J172" s="1"/>
      <c r="K172" s="1"/>
      <c r="L172" s="1"/>
      <c r="M172" s="1"/>
      <c r="N172" s="1"/>
      <c r="O172" s="1"/>
      <c r="P172" s="1"/>
      <c r="Q172" s="1"/>
      <c r="R172" s="1"/>
      <c r="S172" s="1"/>
      <c r="T172" s="1"/>
      <c r="U172" s="1"/>
      <c r="V172" s="1"/>
      <c r="W172" s="1"/>
      <c r="X172" s="1"/>
      <c r="Y172" s="1"/>
      <c r="Z172" s="1"/>
    </row>
    <row r="173" ht="15.75" customHeight="1">
      <c r="A173" s="16" t="str">
        <f>IFERROR(__xludf.DUMMYFUNCTION("""COMPUTED_VALUE"""),"Potion of Cure Curse")</f>
        <v>Potion of Cure Curse</v>
      </c>
      <c r="B173" s="16" t="str">
        <f>IFERROR(__xludf.DUMMYFUNCTION("""COMPUTED_VALUE"""),"Curse Antidote")</f>
        <v>Curse Antidote</v>
      </c>
      <c r="C173" s="1" t="str">
        <f>IFERROR(__xludf.DUMMYFUNCTION("""COMPUTED_VALUE"""),"Item")</f>
        <v>Item</v>
      </c>
      <c r="D173" s="1" t="str">
        <f>IFERROR(__xludf.DUMMYFUNCTION("""COMPUTED_VALUE"""),"Land of Spira")</f>
        <v>Land of Spira</v>
      </c>
      <c r="E173" s="1" t="b">
        <f>IFERROR(__xludf.DUMMYFUNCTION("""COMPUTED_VALUE"""),FALSE)</f>
        <v>0</v>
      </c>
      <c r="F173" s="1"/>
      <c r="G173" s="1"/>
      <c r="H173" s="1"/>
      <c r="I173" s="1"/>
      <c r="J173" s="1"/>
      <c r="K173" s="1"/>
      <c r="L173" s="1"/>
      <c r="M173" s="1"/>
      <c r="N173" s="1"/>
      <c r="O173" s="1"/>
      <c r="P173" s="1"/>
      <c r="Q173" s="1"/>
      <c r="R173" s="1"/>
      <c r="S173" s="1"/>
      <c r="T173" s="1"/>
      <c r="U173" s="1"/>
      <c r="V173" s="1"/>
      <c r="W173" s="1"/>
      <c r="X173" s="1"/>
      <c r="Y173" s="1"/>
      <c r="Z173" s="1"/>
    </row>
    <row r="174" ht="15.75" customHeight="1">
      <c r="A174" s="16" t="str">
        <f>IFERROR(__xludf.DUMMYFUNCTION("""COMPUTED_VALUE"""),"Glowing Blue Jelly")</f>
        <v>Glowing Blue Jelly</v>
      </c>
      <c r="B174" s="16" t="str">
        <f>IFERROR(__xludf.DUMMYFUNCTION("""COMPUTED_VALUE"""),"Crafting Material, roll a d20 to see how many you get if this is a loot drop.")</f>
        <v>Crafting Material, roll a d20 to see how many you get if this is a loot drop.</v>
      </c>
      <c r="C174" s="1" t="str">
        <f>IFERROR(__xludf.DUMMYFUNCTION("""COMPUTED_VALUE"""),"Item")</f>
        <v>Item</v>
      </c>
      <c r="D174" s="1" t="str">
        <f>IFERROR(__xludf.DUMMYFUNCTION("""COMPUTED_VALUE"""),"Land of Spira")</f>
        <v>Land of Spira</v>
      </c>
      <c r="E174" s="1" t="b">
        <f>IFERROR(__xludf.DUMMYFUNCTION("""COMPUTED_VALUE"""),FALSE)</f>
        <v>0</v>
      </c>
      <c r="F174" s="1"/>
      <c r="G174" s="1"/>
      <c r="H174" s="1"/>
      <c r="I174" s="1"/>
      <c r="J174" s="1"/>
      <c r="K174" s="1"/>
      <c r="L174" s="1"/>
      <c r="M174" s="1"/>
      <c r="N174" s="1"/>
      <c r="O174" s="1"/>
      <c r="P174" s="1"/>
      <c r="Q174" s="1"/>
      <c r="R174" s="1"/>
      <c r="S174" s="1"/>
      <c r="T174" s="1"/>
      <c r="U174" s="1"/>
      <c r="V174" s="1"/>
      <c r="W174" s="1"/>
      <c r="X174" s="1"/>
      <c r="Y174" s="1"/>
      <c r="Z174" s="1"/>
    </row>
    <row r="175" ht="15.75" customHeight="1">
      <c r="A175" s="16" t="str">
        <f>IFERROR(__xludf.DUMMYFUNCTION("""COMPUTED_VALUE"""),"Feather")</f>
        <v>Feather</v>
      </c>
      <c r="B175" s="16" t="str">
        <f>IFERROR(__xludf.DUMMYFUNCTION("""COMPUTED_VALUE"""),"Crafting Material, roll a d20 to see how many you get if this is a loot drop.")</f>
        <v>Crafting Material, roll a d20 to see how many you get if this is a loot drop.</v>
      </c>
      <c r="C175" s="1" t="str">
        <f>IFERROR(__xludf.DUMMYFUNCTION("""COMPUTED_VALUE"""),"Item")</f>
        <v>Item</v>
      </c>
      <c r="D175" s="1" t="str">
        <f>IFERROR(__xludf.DUMMYFUNCTION("""COMPUTED_VALUE"""),"Land of Spira")</f>
        <v>Land of Spira</v>
      </c>
      <c r="E175" s="1" t="b">
        <f>IFERROR(__xludf.DUMMYFUNCTION("""COMPUTED_VALUE"""),FALSE)</f>
        <v>0</v>
      </c>
      <c r="F175" s="1"/>
      <c r="G175" s="1"/>
      <c r="H175" s="1"/>
      <c r="I175" s="1"/>
      <c r="J175" s="1"/>
      <c r="K175" s="1"/>
      <c r="L175" s="1"/>
      <c r="M175" s="1"/>
      <c r="N175" s="1"/>
      <c r="O175" s="1"/>
      <c r="P175" s="1"/>
      <c r="Q175" s="1"/>
      <c r="R175" s="1"/>
      <c r="S175" s="1"/>
      <c r="T175" s="1"/>
      <c r="U175" s="1"/>
      <c r="V175" s="1"/>
      <c r="W175" s="1"/>
      <c r="X175" s="1"/>
      <c r="Y175" s="1"/>
      <c r="Z175" s="1"/>
    </row>
    <row r="176" ht="15.75" customHeight="1">
      <c r="A176" s="21" t="str">
        <f>IFERROR(__xludf.DUMMYFUNCTION("""COMPUTED_VALUE"""),"Talon")</f>
        <v>Talon</v>
      </c>
      <c r="B176" s="21" t="str">
        <f>IFERROR(__xludf.DUMMYFUNCTION("""COMPUTED_VALUE"""),"Crafting Material, roll a d20 to see how many you get if this is a loot drop.")</f>
        <v>Crafting Material, roll a d20 to see how many you get if this is a loot drop.</v>
      </c>
      <c r="C176" s="1" t="str">
        <f>IFERROR(__xludf.DUMMYFUNCTION("""COMPUTED_VALUE"""),"Item")</f>
        <v>Item</v>
      </c>
      <c r="D176" s="1" t="str">
        <f>IFERROR(__xludf.DUMMYFUNCTION("""COMPUTED_VALUE"""),"Land of Spira")</f>
        <v>Land of Spira</v>
      </c>
      <c r="E176" s="1" t="b">
        <f>IFERROR(__xludf.DUMMYFUNCTION("""COMPUTED_VALUE"""),FALSE)</f>
        <v>0</v>
      </c>
      <c r="F176" s="1"/>
      <c r="G176" s="1"/>
      <c r="H176" s="1"/>
      <c r="I176" s="1"/>
      <c r="J176" s="1"/>
      <c r="K176" s="1"/>
      <c r="L176" s="1"/>
      <c r="M176" s="1"/>
      <c r="N176" s="1"/>
      <c r="O176" s="1"/>
      <c r="P176" s="1"/>
      <c r="Q176" s="1"/>
      <c r="R176" s="1"/>
      <c r="S176" s="1"/>
      <c r="T176" s="1"/>
      <c r="U176" s="1"/>
      <c r="V176" s="1"/>
      <c r="W176" s="1"/>
      <c r="X176" s="1"/>
      <c r="Y176" s="1"/>
      <c r="Z176" s="1"/>
    </row>
    <row r="177" ht="15.75" customHeight="1">
      <c r="A177" s="21" t="str">
        <f>IFERROR(__xludf.DUMMYFUNCTION("""COMPUTED_VALUE"""),"Eyeball")</f>
        <v>Eyeball</v>
      </c>
      <c r="B177" s="21" t="str">
        <f>IFERROR(__xludf.DUMMYFUNCTION("""COMPUTED_VALUE"""),"Crafting Material, roll a d20 to see how many you get if this is a loot drop.")</f>
        <v>Crafting Material, roll a d20 to see how many you get if this is a loot drop.</v>
      </c>
      <c r="C177" s="1" t="str">
        <f>IFERROR(__xludf.DUMMYFUNCTION("""COMPUTED_VALUE"""),"Item")</f>
        <v>Item</v>
      </c>
      <c r="D177" s="1" t="str">
        <f>IFERROR(__xludf.DUMMYFUNCTION("""COMPUTED_VALUE"""),"Land of Spira")</f>
        <v>Land of Spira</v>
      </c>
      <c r="E177" s="1" t="b">
        <f>IFERROR(__xludf.DUMMYFUNCTION("""COMPUTED_VALUE"""),FALSE)</f>
        <v>0</v>
      </c>
      <c r="F177" s="1"/>
      <c r="G177" s="1"/>
      <c r="H177" s="1"/>
      <c r="I177" s="1"/>
      <c r="J177" s="1"/>
      <c r="K177" s="1"/>
      <c r="L177" s="1"/>
      <c r="M177" s="1"/>
      <c r="N177" s="1"/>
      <c r="O177" s="1"/>
      <c r="P177" s="1"/>
      <c r="Q177" s="1"/>
      <c r="R177" s="1"/>
      <c r="S177" s="1"/>
      <c r="T177" s="1"/>
      <c r="U177" s="1"/>
      <c r="V177" s="1"/>
      <c r="W177" s="1"/>
      <c r="X177" s="1"/>
      <c r="Y177" s="1"/>
      <c r="Z177" s="1"/>
    </row>
    <row r="178" ht="15.75" customHeight="1">
      <c r="A178" s="67" t="str">
        <f>IFERROR(__xludf.DUMMYFUNCTION("""COMPUTED_VALUE"""),"Spider Egg")</f>
        <v>Spider Egg</v>
      </c>
      <c r="B178" s="67" t="str">
        <f>IFERROR(__xludf.DUMMYFUNCTION("""COMPUTED_VALUE"""),"Crafting Material, roll a d20 to see how many you get if this is a loot drop.")</f>
        <v>Crafting Material, roll a d20 to see how many you get if this is a loot drop.</v>
      </c>
      <c r="C178" s="1" t="str">
        <f>IFERROR(__xludf.DUMMYFUNCTION("""COMPUTED_VALUE"""),"Item")</f>
        <v>Item</v>
      </c>
      <c r="D178" s="1" t="str">
        <f>IFERROR(__xludf.DUMMYFUNCTION("""COMPUTED_VALUE"""),"Land of Spira")</f>
        <v>Land of Spira</v>
      </c>
      <c r="E178" s="1" t="b">
        <f>IFERROR(__xludf.DUMMYFUNCTION("""COMPUTED_VALUE"""),FALSE)</f>
        <v>0</v>
      </c>
      <c r="F178" s="1"/>
      <c r="G178" s="1"/>
      <c r="H178" s="1"/>
      <c r="I178" s="1"/>
      <c r="J178" s="1"/>
      <c r="K178" s="1"/>
      <c r="L178" s="1"/>
      <c r="M178" s="1"/>
      <c r="N178" s="1"/>
      <c r="O178" s="1"/>
      <c r="P178" s="1"/>
      <c r="Q178" s="1"/>
      <c r="R178" s="1"/>
      <c r="S178" s="1"/>
      <c r="T178" s="1"/>
      <c r="U178" s="1"/>
      <c r="V178" s="1"/>
      <c r="W178" s="1"/>
      <c r="X178" s="1"/>
      <c r="Y178" s="1"/>
      <c r="Z178" s="1"/>
    </row>
    <row r="179" ht="15.75" customHeight="1">
      <c r="A179" s="67" t="str">
        <f>IFERROR(__xludf.DUMMYFUNCTION("""COMPUTED_VALUE"""),"Giant Spider Exoskeleton")</f>
        <v>Giant Spider Exoskeleton</v>
      </c>
      <c r="B179" s="67" t="str">
        <f>IFERROR(__xludf.DUMMYFUNCTION("""COMPUTED_VALUE"""),"Crafting Material, roll a d20 to see how many you get if this is a loot drop.")</f>
        <v>Crafting Material, roll a d20 to see how many you get if this is a loot drop.</v>
      </c>
      <c r="C179" s="1" t="str">
        <f>IFERROR(__xludf.DUMMYFUNCTION("""COMPUTED_VALUE"""),"Item")</f>
        <v>Item</v>
      </c>
      <c r="D179" s="1" t="str">
        <f>IFERROR(__xludf.DUMMYFUNCTION("""COMPUTED_VALUE"""),"Land of Spira")</f>
        <v>Land of Spira</v>
      </c>
      <c r="E179" s="1" t="b">
        <f>IFERROR(__xludf.DUMMYFUNCTION("""COMPUTED_VALUE"""),FALSE)</f>
        <v>0</v>
      </c>
      <c r="F179" s="1"/>
      <c r="G179" s="1"/>
      <c r="H179" s="1"/>
      <c r="I179" s="1"/>
      <c r="J179" s="1"/>
      <c r="K179" s="1"/>
      <c r="L179" s="1"/>
      <c r="M179" s="1"/>
      <c r="N179" s="1"/>
      <c r="O179" s="1"/>
      <c r="P179" s="1"/>
      <c r="Q179" s="1"/>
      <c r="R179" s="1"/>
      <c r="S179" s="1"/>
      <c r="T179" s="1"/>
      <c r="U179" s="1"/>
      <c r="V179" s="1"/>
      <c r="W179" s="1"/>
      <c r="X179" s="1"/>
      <c r="Y179" s="1"/>
      <c r="Z179" s="1"/>
    </row>
    <row r="180" ht="15.75" customHeight="1">
      <c r="A180" s="37" t="str">
        <f>IFERROR(__xludf.DUMMYFUNCTION("""COMPUTED_VALUE"""),"Giant Spider Poison")</f>
        <v>Giant Spider Poison</v>
      </c>
      <c r="B180" s="37" t="str">
        <f>IFERROR(__xludf.DUMMYFUNCTION("""COMPUTED_VALUE"""),"Crafting Material, roll a d20 to see how many you get if this is a loot drop.")</f>
        <v>Crafting Material, roll a d20 to see how many you get if this is a loot drop.</v>
      </c>
      <c r="C180" s="1" t="str">
        <f>IFERROR(__xludf.DUMMYFUNCTION("""COMPUTED_VALUE"""),"Item")</f>
        <v>Item</v>
      </c>
      <c r="D180" s="1" t="str">
        <f>IFERROR(__xludf.DUMMYFUNCTION("""COMPUTED_VALUE"""),"Land of Spira")</f>
        <v>Land of Spira</v>
      </c>
      <c r="E180" s="1" t="b">
        <f>IFERROR(__xludf.DUMMYFUNCTION("""COMPUTED_VALUE"""),FALSE)</f>
        <v>0</v>
      </c>
      <c r="F180" s="1"/>
      <c r="G180" s="1"/>
      <c r="H180" s="1"/>
      <c r="I180" s="1"/>
      <c r="J180" s="1"/>
      <c r="K180" s="1"/>
      <c r="L180" s="1"/>
      <c r="M180" s="1"/>
      <c r="N180" s="1"/>
      <c r="O180" s="1"/>
      <c r="P180" s="1"/>
      <c r="Q180" s="1"/>
      <c r="R180" s="1"/>
      <c r="S180" s="1"/>
      <c r="T180" s="1"/>
      <c r="U180" s="1"/>
      <c r="V180" s="1"/>
      <c r="W180" s="1"/>
      <c r="X180" s="1"/>
      <c r="Y180" s="1"/>
      <c r="Z180" s="1"/>
    </row>
    <row r="181" ht="15.75" customHeight="1">
      <c r="A181" s="21" t="str">
        <f>IFERROR(__xludf.DUMMYFUNCTION("""COMPUTED_VALUE"""),"Poison Gem")</f>
        <v>Poison Gem</v>
      </c>
      <c r="B181" s="21" t="str">
        <f>IFERROR(__xludf.DUMMYFUNCTION("""COMPUTED_VALUE"""),"Crafting Material, roll a d20 to see how many you get if this is a loot drop.")</f>
        <v>Crafting Material, roll a d20 to see how many you get if this is a loot drop.</v>
      </c>
      <c r="C181" s="1" t="str">
        <f>IFERROR(__xludf.DUMMYFUNCTION("""COMPUTED_VALUE"""),"Item")</f>
        <v>Item</v>
      </c>
      <c r="D181" s="1" t="str">
        <f>IFERROR(__xludf.DUMMYFUNCTION("""COMPUTED_VALUE"""),"Land of Spira")</f>
        <v>Land of Spira</v>
      </c>
      <c r="E181" s="1" t="b">
        <f>IFERROR(__xludf.DUMMYFUNCTION("""COMPUTED_VALUE"""),FALSE)</f>
        <v>0</v>
      </c>
      <c r="F181" s="1"/>
      <c r="G181" s="1"/>
      <c r="H181" s="1"/>
      <c r="I181" s="1"/>
      <c r="J181" s="1"/>
      <c r="K181" s="1"/>
      <c r="L181" s="1"/>
      <c r="M181" s="1"/>
      <c r="N181" s="1"/>
      <c r="O181" s="1"/>
      <c r="P181" s="1"/>
      <c r="Q181" s="1"/>
      <c r="R181" s="1"/>
      <c r="S181" s="1"/>
      <c r="T181" s="1"/>
      <c r="U181" s="1"/>
      <c r="V181" s="1"/>
      <c r="W181" s="1"/>
      <c r="X181" s="1"/>
      <c r="Y181" s="1"/>
      <c r="Z181" s="1"/>
    </row>
    <row r="182" ht="15.75" customHeight="1">
      <c r="A182" s="21" t="str">
        <f>IFERROR(__xludf.DUMMYFUNCTION("""COMPUTED_VALUE"""),"Returning Arrow")</f>
        <v>Returning Arrow</v>
      </c>
      <c r="B182" s="21" t="str">
        <f>IFERROR(__xludf.DUMMYFUNCTION("""COMPUTED_VALUE"""),"Bow Ammunition. +500 damage.  returns to the user. roll a d20 to see how many you get if this is a loot drop.")</f>
        <v>Bow Ammunition. +500 damage.  returns to the user. roll a d20 to see how many you get if this is a loot drop.</v>
      </c>
      <c r="C182" s="1" t="str">
        <f>IFERROR(__xludf.DUMMYFUNCTION("""COMPUTED_VALUE"""),"Item")</f>
        <v>Item</v>
      </c>
      <c r="D182" s="1" t="str">
        <f>IFERROR(__xludf.DUMMYFUNCTION("""COMPUTED_VALUE"""),"Land of Spira")</f>
        <v>Land of Spira</v>
      </c>
      <c r="E182" s="1" t="b">
        <f>IFERROR(__xludf.DUMMYFUNCTION("""COMPUTED_VALUE"""),FALSE)</f>
        <v>0</v>
      </c>
      <c r="F182" s="1"/>
      <c r="G182" s="1"/>
      <c r="H182" s="1"/>
      <c r="I182" s="1"/>
      <c r="J182" s="1"/>
      <c r="K182" s="1"/>
      <c r="L182" s="1"/>
      <c r="M182" s="1"/>
      <c r="N182" s="1"/>
      <c r="O182" s="1"/>
      <c r="P182" s="1"/>
      <c r="Q182" s="1"/>
      <c r="R182" s="1"/>
      <c r="S182" s="1"/>
      <c r="T182" s="1"/>
      <c r="U182" s="1"/>
      <c r="V182" s="1"/>
      <c r="W182" s="1"/>
      <c r="X182" s="1"/>
      <c r="Y182" s="1"/>
      <c r="Z182" s="1"/>
    </row>
    <row r="183" ht="15.75" customHeight="1">
      <c r="A183" s="21" t="str">
        <f>IFERROR(__xludf.DUMMYFUNCTION("""COMPUTED_VALUE"""),"Shadow Fluid")</f>
        <v>Shadow Fluid</v>
      </c>
      <c r="B183" s="21" t="str">
        <f>IFERROR(__xludf.DUMMYFUNCTION("""COMPUTED_VALUE"""),"Crafting Material, roll a d20 to see how many you get if this is a loot drop.")</f>
        <v>Crafting Material, roll a d20 to see how many you get if this is a loot drop.</v>
      </c>
      <c r="C183" s="1" t="str">
        <f>IFERROR(__xludf.DUMMYFUNCTION("""COMPUTED_VALUE"""),"Item")</f>
        <v>Item</v>
      </c>
      <c r="D183" s="1" t="str">
        <f>IFERROR(__xludf.DUMMYFUNCTION("""COMPUTED_VALUE"""),"Land of Spira")</f>
        <v>Land of Spira</v>
      </c>
      <c r="E183" s="1" t="b">
        <f>IFERROR(__xludf.DUMMYFUNCTION("""COMPUTED_VALUE"""),FALSE)</f>
        <v>0</v>
      </c>
      <c r="F183" s="1"/>
      <c r="G183" s="1"/>
      <c r="H183" s="1"/>
      <c r="I183" s="1"/>
      <c r="J183" s="1"/>
      <c r="K183" s="1"/>
      <c r="L183" s="1"/>
      <c r="M183" s="1"/>
      <c r="N183" s="1"/>
      <c r="O183" s="1"/>
      <c r="P183" s="1"/>
      <c r="Q183" s="1"/>
      <c r="R183" s="1"/>
      <c r="S183" s="1"/>
      <c r="T183" s="1"/>
      <c r="U183" s="1"/>
      <c r="V183" s="1"/>
      <c r="W183" s="1"/>
      <c r="X183" s="1"/>
      <c r="Y183" s="1"/>
      <c r="Z183" s="1"/>
    </row>
    <row r="184" ht="15.75" customHeight="1">
      <c r="A184" s="21" t="str">
        <f>IFERROR(__xludf.DUMMYFUNCTION("""COMPUTED_VALUE"""),"Skull")</f>
        <v>Skull</v>
      </c>
      <c r="B184" s="21" t="str">
        <f>IFERROR(__xludf.DUMMYFUNCTION("""COMPUTED_VALUE"""),"Crafting Material, roll a d20 to see how many you get if this is a loot drop.")</f>
        <v>Crafting Material, roll a d20 to see how many you get if this is a loot drop.</v>
      </c>
      <c r="C184" s="1" t="str">
        <f>IFERROR(__xludf.DUMMYFUNCTION("""COMPUTED_VALUE"""),"Item")</f>
        <v>Item</v>
      </c>
      <c r="D184" s="1" t="str">
        <f>IFERROR(__xludf.DUMMYFUNCTION("""COMPUTED_VALUE"""),"Land of Spira")</f>
        <v>Land of Spira</v>
      </c>
      <c r="E184" s="1" t="b">
        <f>IFERROR(__xludf.DUMMYFUNCTION("""COMPUTED_VALUE"""),FALSE)</f>
        <v>0</v>
      </c>
      <c r="F184" s="1"/>
      <c r="G184" s="1"/>
      <c r="H184" s="1"/>
      <c r="I184" s="1"/>
      <c r="J184" s="1"/>
      <c r="K184" s="1"/>
      <c r="L184" s="1"/>
      <c r="M184" s="1"/>
      <c r="N184" s="1"/>
      <c r="O184" s="1"/>
      <c r="P184" s="1"/>
      <c r="Q184" s="1"/>
      <c r="R184" s="1"/>
      <c r="S184" s="1"/>
      <c r="T184" s="1"/>
      <c r="U184" s="1"/>
      <c r="V184" s="1"/>
      <c r="W184" s="1"/>
      <c r="X184" s="1"/>
      <c r="Y184" s="1"/>
      <c r="Z184" s="1"/>
    </row>
    <row r="185" ht="15.75" customHeight="1">
      <c r="A185" s="21" t="str">
        <f>IFERROR(__xludf.DUMMYFUNCTION("""COMPUTED_VALUE"""),"pumpkin gem")</f>
        <v>pumpkin gem</v>
      </c>
      <c r="B185" s="21" t="str">
        <f>IFERROR(__xludf.DUMMYFUNCTION("""COMPUTED_VALUE"""),"Crafting Material, roll a d20 to see how many you get if this is a loot drop.")</f>
        <v>Crafting Material, roll a d20 to see how many you get if this is a loot drop.</v>
      </c>
      <c r="C185" s="1" t="str">
        <f>IFERROR(__xludf.DUMMYFUNCTION("""COMPUTED_VALUE"""),"Item")</f>
        <v>Item</v>
      </c>
      <c r="D185" s="1" t="str">
        <f>IFERROR(__xludf.DUMMYFUNCTION("""COMPUTED_VALUE"""),"Land of Spira")</f>
        <v>Land of Spira</v>
      </c>
      <c r="E185" s="1" t="b">
        <f>IFERROR(__xludf.DUMMYFUNCTION("""COMPUTED_VALUE"""),FALSE)</f>
        <v>0</v>
      </c>
      <c r="F185" s="1"/>
      <c r="G185" s="1"/>
      <c r="H185" s="1"/>
      <c r="I185" s="1"/>
      <c r="J185" s="1"/>
      <c r="K185" s="1"/>
      <c r="L185" s="1"/>
      <c r="M185" s="1"/>
      <c r="N185" s="1"/>
      <c r="O185" s="1"/>
      <c r="P185" s="1"/>
      <c r="Q185" s="1"/>
      <c r="R185" s="1"/>
      <c r="S185" s="1"/>
      <c r="T185" s="1"/>
      <c r="U185" s="1"/>
      <c r="V185" s="1"/>
      <c r="W185" s="1"/>
      <c r="X185" s="1"/>
      <c r="Y185" s="1"/>
      <c r="Z185" s="1"/>
    </row>
    <row r="186" ht="15.75" customHeight="1">
      <c r="A186" s="21" t="str">
        <f>IFERROR(__xludf.DUMMYFUNCTION("""COMPUTED_VALUE"""),"Rotton Flesh")</f>
        <v>Rotton Flesh</v>
      </c>
      <c r="B186" s="21" t="str">
        <f>IFERROR(__xludf.DUMMYFUNCTION("""COMPUTED_VALUE"""),"-100 Hunger if you are not undead. +200 hunger and energy if you are undead.")</f>
        <v>-100 Hunger if you are not undead. +200 hunger and energy if you are undead.</v>
      </c>
      <c r="C186" s="1" t="str">
        <f>IFERROR(__xludf.DUMMYFUNCTION("""COMPUTED_VALUE"""),"Crop")</f>
        <v>Crop</v>
      </c>
      <c r="D186" s="1" t="str">
        <f>IFERROR(__xludf.DUMMYFUNCTION("""COMPUTED_VALUE"""),"Land of Spira")</f>
        <v>Land of Spira</v>
      </c>
      <c r="E186" s="1" t="b">
        <f>IFERROR(__xludf.DUMMYFUNCTION("""COMPUTED_VALUE"""),FALSE)</f>
        <v>0</v>
      </c>
      <c r="F186" s="1"/>
      <c r="G186" s="1"/>
      <c r="H186" s="1"/>
      <c r="I186" s="1"/>
      <c r="J186" s="1"/>
      <c r="K186" s="1"/>
      <c r="L186" s="1"/>
      <c r="M186" s="1"/>
      <c r="N186" s="1"/>
      <c r="O186" s="1"/>
      <c r="P186" s="1"/>
      <c r="Q186" s="1"/>
      <c r="R186" s="1"/>
      <c r="S186" s="1"/>
      <c r="T186" s="1"/>
      <c r="U186" s="1"/>
      <c r="V186" s="1"/>
      <c r="W186" s="1"/>
      <c r="X186" s="1"/>
      <c r="Y186" s="1"/>
      <c r="Z186" s="1"/>
    </row>
    <row r="187" ht="15.75" customHeight="1">
      <c r="A187" s="21" t="str">
        <f>IFERROR(__xludf.DUMMYFUNCTION("""COMPUTED_VALUE"""),"Bag of Sand")</f>
        <v>Bag of Sand</v>
      </c>
      <c r="B187" s="21" t="str">
        <f>IFERROR(__xludf.DUMMYFUNCTION("""COMPUTED_VALUE"""),"Crafting Material, roll a d20 to see how many you get if this is a loot drop.")</f>
        <v>Crafting Material, roll a d20 to see how many you get if this is a loot drop.</v>
      </c>
      <c r="C187" s="1" t="str">
        <f>IFERROR(__xludf.DUMMYFUNCTION("""COMPUTED_VALUE"""),"Item")</f>
        <v>Item</v>
      </c>
      <c r="D187" s="1" t="str">
        <f>IFERROR(__xludf.DUMMYFUNCTION("""COMPUTED_VALUE"""),"Land of Spira")</f>
        <v>Land of Spira</v>
      </c>
      <c r="E187" s="1" t="b">
        <f>IFERROR(__xludf.DUMMYFUNCTION("""COMPUTED_VALUE"""),FALSE)</f>
        <v>0</v>
      </c>
      <c r="F187" s="1"/>
      <c r="G187" s="1"/>
      <c r="H187" s="1"/>
      <c r="I187" s="1"/>
      <c r="J187" s="1"/>
      <c r="K187" s="1"/>
      <c r="L187" s="1"/>
      <c r="M187" s="1"/>
      <c r="N187" s="1"/>
      <c r="O187" s="1"/>
      <c r="P187" s="1"/>
      <c r="Q187" s="1"/>
      <c r="R187" s="1"/>
      <c r="S187" s="1"/>
      <c r="T187" s="1"/>
      <c r="U187" s="1"/>
      <c r="V187" s="1"/>
      <c r="W187" s="1"/>
      <c r="X187" s="1"/>
      <c r="Y187" s="1"/>
      <c r="Z187" s="1"/>
    </row>
    <row r="188" ht="15.75" customHeight="1">
      <c r="A188" s="21" t="str">
        <f>IFERROR(__xludf.DUMMYFUNCTION("""COMPUTED_VALUE"""),"Glowing Red eye")</f>
        <v>Glowing Red eye</v>
      </c>
      <c r="B188" s="21" t="str">
        <f>IFERROR(__xludf.DUMMYFUNCTION("""COMPUTED_VALUE""")," +10SP")</f>
        <v> +10SP</v>
      </c>
      <c r="C188" s="1" t="str">
        <f>IFERROR(__xludf.DUMMYFUNCTION("""COMPUTED_VALUE"""),"Item")</f>
        <v>Item</v>
      </c>
      <c r="D188" s="1" t="str">
        <f>IFERROR(__xludf.DUMMYFUNCTION("""COMPUTED_VALUE"""),"Land of Spira")</f>
        <v>Land of Spira</v>
      </c>
      <c r="E188" s="1" t="b">
        <f>IFERROR(__xludf.DUMMYFUNCTION("""COMPUTED_VALUE"""),FALSE)</f>
        <v>0</v>
      </c>
      <c r="F188" s="1"/>
      <c r="G188" s="1"/>
      <c r="H188" s="1"/>
      <c r="I188" s="1"/>
      <c r="J188" s="1"/>
      <c r="K188" s="1"/>
      <c r="L188" s="1"/>
      <c r="M188" s="1"/>
      <c r="N188" s="1"/>
      <c r="O188" s="1"/>
      <c r="P188" s="1"/>
      <c r="Q188" s="1"/>
      <c r="R188" s="1"/>
      <c r="S188" s="1"/>
      <c r="T188" s="1"/>
      <c r="U188" s="1"/>
      <c r="V188" s="1"/>
      <c r="W188" s="1"/>
      <c r="X188" s="1"/>
      <c r="Y188" s="1"/>
      <c r="Z188" s="1"/>
    </row>
    <row r="189" ht="15.75" customHeight="1">
      <c r="A189" s="21" t="str">
        <f>IFERROR(__xludf.DUMMYFUNCTION("""COMPUTED_VALUE"""),"Sand Gem")</f>
        <v>Sand Gem</v>
      </c>
      <c r="B189" s="21" t="str">
        <f>IFERROR(__xludf.DUMMYFUNCTION("""COMPUTED_VALUE"""),"Crafting Material, roll a d20 to see how many you get if this is a loot drop.")</f>
        <v>Crafting Material, roll a d20 to see how many you get if this is a loot drop.</v>
      </c>
      <c r="C189" s="1" t="str">
        <f>IFERROR(__xludf.DUMMYFUNCTION("""COMPUTED_VALUE"""),"Item")</f>
        <v>Item</v>
      </c>
      <c r="D189" s="1" t="str">
        <f>IFERROR(__xludf.DUMMYFUNCTION("""COMPUTED_VALUE"""),"Land of Spira")</f>
        <v>Land of Spira</v>
      </c>
      <c r="E189" s="1" t="b">
        <f>IFERROR(__xludf.DUMMYFUNCTION("""COMPUTED_VALUE"""),FALSE)</f>
        <v>0</v>
      </c>
      <c r="F189" s="1"/>
      <c r="G189" s="1"/>
      <c r="H189" s="1"/>
      <c r="I189" s="1"/>
      <c r="J189" s="1"/>
      <c r="K189" s="1"/>
      <c r="L189" s="1"/>
      <c r="M189" s="1"/>
      <c r="N189" s="1"/>
      <c r="O189" s="1"/>
      <c r="P189" s="1"/>
      <c r="Q189" s="1"/>
      <c r="R189" s="1"/>
      <c r="S189" s="1"/>
      <c r="T189" s="1"/>
      <c r="U189" s="1"/>
      <c r="V189" s="1"/>
      <c r="W189" s="1"/>
      <c r="X189" s="1"/>
      <c r="Y189" s="1"/>
      <c r="Z189" s="1"/>
    </row>
    <row r="190" ht="15.75" customHeight="1">
      <c r="A190" s="21" t="str">
        <f>IFERROR(__xludf.DUMMYFUNCTION("""COMPUTED_VALUE"""),"Poison water")</f>
        <v>Poison water</v>
      </c>
      <c r="B190" s="21"/>
      <c r="C190" s="1" t="str">
        <f>IFERROR(__xludf.DUMMYFUNCTION("""COMPUTED_VALUE"""),"Item")</f>
        <v>Item</v>
      </c>
      <c r="D190" s="1" t="str">
        <f>IFERROR(__xludf.DUMMYFUNCTION("""COMPUTED_VALUE"""),"Land of Spira")</f>
        <v>Land of Spira</v>
      </c>
      <c r="E190" s="1" t="b">
        <f>IFERROR(__xludf.DUMMYFUNCTION("""COMPUTED_VALUE"""),FALSE)</f>
        <v>0</v>
      </c>
      <c r="F190" s="1"/>
      <c r="G190" s="1"/>
      <c r="H190" s="1"/>
      <c r="I190" s="1"/>
      <c r="J190" s="1"/>
      <c r="K190" s="1"/>
      <c r="L190" s="1"/>
      <c r="M190" s="1"/>
      <c r="N190" s="1"/>
      <c r="O190" s="1"/>
      <c r="P190" s="1"/>
      <c r="Q190" s="1"/>
      <c r="R190" s="1"/>
      <c r="S190" s="1"/>
      <c r="T190" s="1"/>
      <c r="U190" s="1"/>
      <c r="V190" s="1"/>
      <c r="W190" s="1"/>
      <c r="X190" s="1"/>
      <c r="Y190" s="1"/>
      <c r="Z190" s="1"/>
    </row>
    <row r="191" ht="15.75" customHeight="1">
      <c r="A191" s="21" t="str">
        <f>IFERROR(__xludf.DUMMYFUNCTION("""COMPUTED_VALUE"""),"Poison Mushroom")</f>
        <v>Poison Mushroom</v>
      </c>
      <c r="B191" s="21" t="str">
        <f>IFERROR(__xludf.DUMMYFUNCTION("""COMPUTED_VALUE"""),"-100 Hunger, Causes poison 100 for 10 days of travel.")</f>
        <v>-100 Hunger, Causes poison 100 for 10 days of travel.</v>
      </c>
      <c r="C191" s="1" t="str">
        <f>IFERROR(__xludf.DUMMYFUNCTION("""COMPUTED_VALUE"""),"Crop")</f>
        <v>Crop</v>
      </c>
      <c r="D191" s="1" t="str">
        <f>IFERROR(__xludf.DUMMYFUNCTION("""COMPUTED_VALUE"""),"Land of Spira")</f>
        <v>Land of Spira</v>
      </c>
      <c r="E191" s="1" t="b">
        <f>IFERROR(__xludf.DUMMYFUNCTION("""COMPUTED_VALUE"""),FALSE)</f>
        <v>0</v>
      </c>
      <c r="F191" s="1"/>
      <c r="G191" s="1"/>
      <c r="H191" s="1"/>
      <c r="I191" s="1"/>
      <c r="J191" s="1"/>
      <c r="K191" s="1"/>
      <c r="L191" s="1"/>
      <c r="M191" s="1"/>
      <c r="N191" s="1"/>
      <c r="O191" s="1"/>
      <c r="P191" s="1"/>
      <c r="Q191" s="1"/>
      <c r="R191" s="1"/>
      <c r="S191" s="1"/>
      <c r="T191" s="1"/>
      <c r="U191" s="1"/>
      <c r="V191" s="1"/>
      <c r="W191" s="1"/>
      <c r="X191" s="1"/>
      <c r="Y191" s="1"/>
      <c r="Z191" s="1"/>
    </row>
    <row r="192" ht="15.75" customHeight="1">
      <c r="A192" s="21" t="str">
        <f>IFERROR(__xludf.DUMMYFUNCTION("""COMPUTED_VALUE"""),"Vile of Poison")</f>
        <v>Vile of Poison</v>
      </c>
      <c r="B192" s="21" t="str">
        <f>IFERROR(__xludf.DUMMYFUNCTION("""COMPUTED_VALUE"""),"Crafting Material, roll a d20 to see how many you get if this is a loot drop.")</f>
        <v>Crafting Material, roll a d20 to see how many you get if this is a loot drop.</v>
      </c>
      <c r="C192" s="1" t="str">
        <f>IFERROR(__xludf.DUMMYFUNCTION("""COMPUTED_VALUE"""),"Item")</f>
        <v>Item</v>
      </c>
      <c r="D192" s="1" t="str">
        <f>IFERROR(__xludf.DUMMYFUNCTION("""COMPUTED_VALUE"""),"Land of Spira")</f>
        <v>Land of Spira</v>
      </c>
      <c r="E192" s="1" t="b">
        <f>IFERROR(__xludf.DUMMYFUNCTION("""COMPUTED_VALUE"""),FALSE)</f>
        <v>0</v>
      </c>
      <c r="F192" s="1"/>
      <c r="G192" s="1"/>
      <c r="H192" s="1"/>
      <c r="I192" s="1"/>
      <c r="J192" s="1"/>
      <c r="K192" s="1"/>
      <c r="L192" s="1"/>
      <c r="M192" s="1"/>
      <c r="N192" s="1"/>
      <c r="O192" s="1"/>
      <c r="P192" s="1"/>
      <c r="Q192" s="1"/>
      <c r="R192" s="1"/>
      <c r="S192" s="1"/>
      <c r="T192" s="1"/>
      <c r="U192" s="1"/>
      <c r="V192" s="1"/>
      <c r="W192" s="1"/>
      <c r="X192" s="1"/>
      <c r="Y192" s="1"/>
      <c r="Z192" s="1"/>
    </row>
    <row r="193" ht="15.75" customHeight="1">
      <c r="A193" s="21" t="str">
        <f>IFERROR(__xludf.DUMMYFUNCTION("""COMPUTED_VALUE"""),"Explosive Arrow")</f>
        <v>Explosive Arrow</v>
      </c>
      <c r="B193" s="21"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1" t="str">
        <f>IFERROR(__xludf.DUMMYFUNCTION("""COMPUTED_VALUE"""),"Item")</f>
        <v>Item</v>
      </c>
      <c r="D193" s="1" t="str">
        <f>IFERROR(__xludf.DUMMYFUNCTION("""COMPUTED_VALUE"""),"Land of Spira")</f>
        <v>Land of Spira</v>
      </c>
      <c r="E193" s="1" t="b">
        <f>IFERROR(__xludf.DUMMYFUNCTION("""COMPUTED_VALUE"""),FALSE)</f>
        <v>0</v>
      </c>
      <c r="F193" s="1"/>
      <c r="G193" s="1"/>
      <c r="H193" s="1"/>
      <c r="I193" s="1"/>
      <c r="J193" s="1"/>
      <c r="K193" s="1"/>
      <c r="L193" s="1"/>
      <c r="M193" s="1"/>
      <c r="N193" s="1"/>
      <c r="O193" s="1"/>
      <c r="P193" s="1"/>
      <c r="Q193" s="1"/>
      <c r="R193" s="1"/>
      <c r="S193" s="1"/>
      <c r="T193" s="1"/>
      <c r="U193" s="1"/>
      <c r="V193" s="1"/>
      <c r="W193" s="1"/>
      <c r="X193" s="1"/>
      <c r="Y193" s="1"/>
      <c r="Z193" s="1"/>
    </row>
    <row r="194" ht="15.75" customHeight="1">
      <c r="A194" s="21" t="str">
        <f>IFERROR(__xludf.DUMMYFUNCTION("""COMPUTED_VALUE"""),"Frost diamond")</f>
        <v>Frost diamond</v>
      </c>
      <c r="B194" s="21" t="str">
        <f>IFERROR(__xludf.DUMMYFUNCTION("""COMPUTED_VALUE"""),"Crafting Material, roll a d20 to see how many you get if this is a loot drop.")</f>
        <v>Crafting Material, roll a d20 to see how many you get if this is a loot drop.</v>
      </c>
      <c r="C194" s="1" t="str">
        <f>IFERROR(__xludf.DUMMYFUNCTION("""COMPUTED_VALUE"""),"Item")</f>
        <v>Item</v>
      </c>
      <c r="D194" s="1" t="str">
        <f>IFERROR(__xludf.DUMMYFUNCTION("""COMPUTED_VALUE"""),"Land of Spira")</f>
        <v>Land of Spira</v>
      </c>
      <c r="E194" s="1" t="b">
        <f>IFERROR(__xludf.DUMMYFUNCTION("""COMPUTED_VALUE"""),FALSE)</f>
        <v>0</v>
      </c>
      <c r="F194" s="1"/>
      <c r="G194" s="1"/>
      <c r="H194" s="1"/>
      <c r="I194" s="1"/>
      <c r="J194" s="1"/>
      <c r="K194" s="1"/>
      <c r="L194" s="1"/>
      <c r="M194" s="1"/>
      <c r="N194" s="1"/>
      <c r="O194" s="1"/>
      <c r="P194" s="1"/>
      <c r="Q194" s="1"/>
      <c r="R194" s="1"/>
      <c r="S194" s="1"/>
      <c r="T194" s="1"/>
      <c r="U194" s="1"/>
      <c r="V194" s="1"/>
      <c r="W194" s="1"/>
      <c r="X194" s="1"/>
      <c r="Y194" s="1"/>
      <c r="Z194" s="1"/>
    </row>
    <row r="195" ht="15.75" customHeight="1">
      <c r="A195" s="21" t="str">
        <f>IFERROR(__xludf.DUMMYFUNCTION("""COMPUTED_VALUE"""),"Big Frost Owl Feathers")</f>
        <v>Big Frost Owl Feathers</v>
      </c>
      <c r="B195" s="21" t="str">
        <f>IFERROR(__xludf.DUMMYFUNCTION("""COMPUTED_VALUE"""),"Crafting Material, roll a d20 to see how many you get if this is a loot drop.")</f>
        <v>Crafting Material, roll a d20 to see how many you get if this is a loot drop.</v>
      </c>
      <c r="C195" s="1" t="str">
        <f>IFERROR(__xludf.DUMMYFUNCTION("""COMPUTED_VALUE"""),"Item")</f>
        <v>Item</v>
      </c>
      <c r="D195" s="1" t="str">
        <f>IFERROR(__xludf.DUMMYFUNCTION("""COMPUTED_VALUE"""),"Land of Spira")</f>
        <v>Land of Spira</v>
      </c>
      <c r="E195" s="1" t="b">
        <f>IFERROR(__xludf.DUMMYFUNCTION("""COMPUTED_VALUE"""),FALSE)</f>
        <v>0</v>
      </c>
      <c r="F195" s="1"/>
      <c r="G195" s="1"/>
      <c r="H195" s="1"/>
      <c r="I195" s="1"/>
      <c r="J195" s="1"/>
      <c r="K195" s="1"/>
      <c r="L195" s="1"/>
      <c r="M195" s="1"/>
      <c r="N195" s="1"/>
      <c r="O195" s="1"/>
      <c r="P195" s="1"/>
      <c r="Q195" s="1"/>
      <c r="R195" s="1"/>
      <c r="S195" s="1"/>
      <c r="T195" s="1"/>
      <c r="U195" s="1"/>
      <c r="V195" s="1"/>
      <c r="W195" s="1"/>
      <c r="X195" s="1"/>
      <c r="Y195" s="1"/>
      <c r="Z195" s="1"/>
    </row>
    <row r="196" ht="15.75" customHeight="1">
      <c r="A196" s="21" t="str">
        <f>IFERROR(__xludf.DUMMYFUNCTION("""COMPUTED_VALUE"""),"Big Frost Owl egg")</f>
        <v>Big Frost Owl egg</v>
      </c>
      <c r="B196" s="21"/>
      <c r="C196" s="1" t="str">
        <f>IFERROR(__xludf.DUMMYFUNCTION("""COMPUTED_VALUE"""),"Item")</f>
        <v>Item</v>
      </c>
      <c r="D196" s="1" t="str">
        <f>IFERROR(__xludf.DUMMYFUNCTION("""COMPUTED_VALUE"""),"Land of Spira")</f>
        <v>Land of Spira</v>
      </c>
      <c r="E196" s="1" t="b">
        <f>IFERROR(__xludf.DUMMYFUNCTION("""COMPUTED_VALUE"""),FALSE)</f>
        <v>0</v>
      </c>
      <c r="F196" s="1"/>
      <c r="G196" s="1"/>
      <c r="H196" s="1"/>
      <c r="I196" s="1"/>
      <c r="J196" s="1"/>
      <c r="K196" s="1"/>
      <c r="L196" s="1"/>
      <c r="M196" s="1"/>
      <c r="N196" s="1"/>
      <c r="O196" s="1"/>
      <c r="P196" s="1"/>
      <c r="Q196" s="1"/>
      <c r="R196" s="1"/>
      <c r="S196" s="1"/>
      <c r="T196" s="1"/>
      <c r="U196" s="1"/>
      <c r="V196" s="1"/>
      <c r="W196" s="1"/>
      <c r="X196" s="1"/>
      <c r="Y196" s="1"/>
      <c r="Z196" s="1"/>
    </row>
    <row r="197" ht="15.75" customHeight="1">
      <c r="A197" s="21" t="str">
        <f>IFERROR(__xludf.DUMMYFUNCTION("""COMPUTED_VALUE"""),"Giant Frost Diamond")</f>
        <v>Giant Frost Diamond</v>
      </c>
      <c r="B197" s="21" t="str">
        <f>IFERROR(__xludf.DUMMYFUNCTION("""COMPUTED_VALUE"""),"Crafting Material, roll a d20 to see how many you get if this is a loot drop.")</f>
        <v>Crafting Material, roll a d20 to see how many you get if this is a loot drop.</v>
      </c>
      <c r="C197" s="1" t="str">
        <f>IFERROR(__xludf.DUMMYFUNCTION("""COMPUTED_VALUE"""),"Item")</f>
        <v>Item</v>
      </c>
      <c r="D197" s="1" t="str">
        <f>IFERROR(__xludf.DUMMYFUNCTION("""COMPUTED_VALUE"""),"Land of Spira")</f>
        <v>Land of Spira</v>
      </c>
      <c r="E197" s="1" t="b">
        <f>IFERROR(__xludf.DUMMYFUNCTION("""COMPUTED_VALUE"""),FALSE)</f>
        <v>0</v>
      </c>
      <c r="F197" s="1"/>
      <c r="G197" s="1"/>
      <c r="H197" s="1"/>
      <c r="I197" s="1"/>
      <c r="J197" s="1"/>
      <c r="K197" s="1"/>
      <c r="L197" s="1"/>
      <c r="M197" s="1"/>
      <c r="N197" s="1"/>
      <c r="O197" s="1"/>
      <c r="P197" s="1"/>
      <c r="Q197" s="1"/>
      <c r="R197" s="1"/>
      <c r="S197" s="1"/>
      <c r="T197" s="1"/>
      <c r="U197" s="1"/>
      <c r="V197" s="1"/>
      <c r="W197" s="1"/>
      <c r="X197" s="1"/>
      <c r="Y197" s="1"/>
      <c r="Z197" s="1"/>
    </row>
    <row r="198" ht="15.75" customHeight="1">
      <c r="A198" s="21" t="str">
        <f>IFERROR(__xludf.DUMMYFUNCTION("""COMPUTED_VALUE"""),"Gold Brick")</f>
        <v>Gold Brick</v>
      </c>
      <c r="B198" s="21" t="str">
        <f>IFERROR(__xludf.DUMMYFUNCTION("""COMPUTED_VALUE"""),"Crafting Material, roll a d20 to see how many you get if this is a loot drop.")</f>
        <v>Crafting Material, roll a d20 to see how many you get if this is a loot drop.</v>
      </c>
      <c r="C198" s="1" t="str">
        <f>IFERROR(__xludf.DUMMYFUNCTION("""COMPUTED_VALUE"""),"Item")</f>
        <v>Item</v>
      </c>
      <c r="D198" s="1" t="str">
        <f>IFERROR(__xludf.DUMMYFUNCTION("""COMPUTED_VALUE"""),"Land of Spira")</f>
        <v>Land of Spira</v>
      </c>
      <c r="E198" s="1" t="b">
        <f>IFERROR(__xludf.DUMMYFUNCTION("""COMPUTED_VALUE"""),FALSE)</f>
        <v>0</v>
      </c>
      <c r="F198" s="1"/>
      <c r="G198" s="1"/>
      <c r="H198" s="1"/>
      <c r="I198" s="1"/>
      <c r="J198" s="1"/>
      <c r="K198" s="1"/>
      <c r="L198" s="1"/>
      <c r="M198" s="1"/>
      <c r="N198" s="1"/>
      <c r="O198" s="1"/>
      <c r="P198" s="1"/>
      <c r="Q198" s="1"/>
      <c r="R198" s="1"/>
      <c r="S198" s="1"/>
      <c r="T198" s="1"/>
      <c r="U198" s="1"/>
      <c r="V198" s="1"/>
      <c r="W198" s="1"/>
      <c r="X198" s="1"/>
      <c r="Y198" s="1"/>
      <c r="Z198" s="1"/>
    </row>
    <row r="199" ht="15.75" customHeight="1">
      <c r="A199" s="21" t="str">
        <f>IFERROR(__xludf.DUMMYFUNCTION("""COMPUTED_VALUE"""),"Arrow of Mutiplying ")</f>
        <v>Arrow of Mutiplying </v>
      </c>
      <c r="B199" s="21"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1" t="str">
        <f>IFERROR(__xludf.DUMMYFUNCTION("""COMPUTED_VALUE"""),"Item")</f>
        <v>Item</v>
      </c>
      <c r="D199" s="1" t="str">
        <f>IFERROR(__xludf.DUMMYFUNCTION("""COMPUTED_VALUE"""),"Land of Spira")</f>
        <v>Land of Spira</v>
      </c>
      <c r="E199" s="1" t="b">
        <f>IFERROR(__xludf.DUMMYFUNCTION("""COMPUTED_VALUE"""),FALSE)</f>
        <v>0</v>
      </c>
      <c r="F199" s="1"/>
      <c r="G199" s="1"/>
      <c r="H199" s="1"/>
      <c r="I199" s="1"/>
      <c r="J199" s="1"/>
      <c r="K199" s="1"/>
      <c r="L199" s="1"/>
      <c r="M199" s="1"/>
      <c r="N199" s="1"/>
      <c r="O199" s="1"/>
      <c r="P199" s="1"/>
      <c r="Q199" s="1"/>
      <c r="R199" s="1"/>
      <c r="S199" s="1"/>
      <c r="T199" s="1"/>
      <c r="U199" s="1"/>
      <c r="V199" s="1"/>
      <c r="W199" s="1"/>
      <c r="X199" s="1"/>
      <c r="Y199" s="1"/>
      <c r="Z199" s="1"/>
    </row>
    <row r="200" ht="15.75" customHeight="1">
      <c r="A200" s="21" t="str">
        <f>IFERROR(__xludf.DUMMYFUNCTION("""COMPUTED_VALUE"""),"Water Gem")</f>
        <v>Water Gem</v>
      </c>
      <c r="B200" s="21" t="str">
        <f>IFERROR(__xludf.DUMMYFUNCTION("""COMPUTED_VALUE"""),"Crafting Material, roll a d20 to see how many you get if this is a loot drop.")</f>
        <v>Crafting Material, roll a d20 to see how many you get if this is a loot drop.</v>
      </c>
      <c r="C200" s="1" t="str">
        <f>IFERROR(__xludf.DUMMYFUNCTION("""COMPUTED_VALUE"""),"Item")</f>
        <v>Item</v>
      </c>
      <c r="D200" s="1" t="str">
        <f>IFERROR(__xludf.DUMMYFUNCTION("""COMPUTED_VALUE"""),"Land of Spira")</f>
        <v>Land of Spira</v>
      </c>
      <c r="E200" s="1" t="b">
        <f>IFERROR(__xludf.DUMMYFUNCTION("""COMPUTED_VALUE"""),FALSE)</f>
        <v>0</v>
      </c>
      <c r="F200" s="1"/>
      <c r="G200" s="1"/>
      <c r="H200" s="1"/>
      <c r="I200" s="1"/>
      <c r="J200" s="1"/>
      <c r="K200" s="1"/>
      <c r="L200" s="1"/>
      <c r="M200" s="1"/>
      <c r="N200" s="1"/>
      <c r="O200" s="1"/>
      <c r="P200" s="1"/>
      <c r="Q200" s="1"/>
      <c r="R200" s="1"/>
      <c r="S200" s="1"/>
      <c r="T200" s="1"/>
      <c r="U200" s="1"/>
      <c r="V200" s="1"/>
      <c r="W200" s="1"/>
      <c r="X200" s="1"/>
      <c r="Y200" s="1"/>
      <c r="Z200" s="1"/>
    </row>
    <row r="201" ht="15.75" customHeight="1">
      <c r="A201" s="21" t="str">
        <f>IFERROR(__xludf.DUMMYFUNCTION("""COMPUTED_VALUE"""),"Goose Meat")</f>
        <v>Goose Meat</v>
      </c>
      <c r="B201" s="21" t="str">
        <f>IFERROR(__xludf.DUMMYFUNCTION("""COMPUTED_VALUE"""),"-200 hunger to any character that is not owner by Hunter Gooseman. +500 Hunger to any character Hunter Owns.")</f>
        <v>-200 hunger to any character that is not owner by Hunter Gooseman. +500 Hunger to any character Hunter Owns.</v>
      </c>
      <c r="C201" s="1" t="str">
        <f>IFERROR(__xludf.DUMMYFUNCTION("""COMPUTED_VALUE"""),"Crop")</f>
        <v>Crop</v>
      </c>
      <c r="D201" s="1" t="str">
        <f>IFERROR(__xludf.DUMMYFUNCTION("""COMPUTED_VALUE"""),"Land of Spira")</f>
        <v>Land of Spira</v>
      </c>
      <c r="E201" s="1" t="b">
        <f>IFERROR(__xludf.DUMMYFUNCTION("""COMPUTED_VALUE"""),FALSE)</f>
        <v>0</v>
      </c>
      <c r="F201" s="1"/>
      <c r="G201" s="1"/>
      <c r="H201" s="1"/>
      <c r="I201" s="1"/>
      <c r="J201" s="1"/>
      <c r="K201" s="1"/>
      <c r="L201" s="1"/>
      <c r="M201" s="1"/>
      <c r="N201" s="1"/>
      <c r="O201" s="1"/>
      <c r="P201" s="1"/>
      <c r="Q201" s="1"/>
      <c r="R201" s="1"/>
      <c r="S201" s="1"/>
      <c r="T201" s="1"/>
      <c r="U201" s="1"/>
      <c r="V201" s="1"/>
      <c r="W201" s="1"/>
      <c r="X201" s="1"/>
      <c r="Y201" s="1"/>
      <c r="Z201" s="1"/>
    </row>
    <row r="202" ht="15.75" customHeight="1">
      <c r="A202" s="21" t="str">
        <f>IFERROR(__xludf.DUMMYFUNCTION("""COMPUTED_VALUE"""),"Mysterious Gem")</f>
        <v>Mysterious Gem</v>
      </c>
      <c r="B202" s="21" t="str">
        <f>IFERROR(__xludf.DUMMYFUNCTION("""COMPUTED_VALUE"""),"Crafting Material, roll a d20 to see how many you get if this is a loot drop.")</f>
        <v>Crafting Material, roll a d20 to see how many you get if this is a loot drop.</v>
      </c>
      <c r="C202" s="1" t="str">
        <f>IFERROR(__xludf.DUMMYFUNCTION("""COMPUTED_VALUE"""),"Item")</f>
        <v>Item</v>
      </c>
      <c r="D202" s="1" t="str">
        <f>IFERROR(__xludf.DUMMYFUNCTION("""COMPUTED_VALUE"""),"Land of Spira")</f>
        <v>Land of Spira</v>
      </c>
      <c r="E202" s="1" t="b">
        <f>IFERROR(__xludf.DUMMYFUNCTION("""COMPUTED_VALUE"""),FALSE)</f>
        <v>0</v>
      </c>
      <c r="F202" s="1"/>
      <c r="G202" s="1"/>
      <c r="H202" s="1"/>
      <c r="I202" s="1"/>
      <c r="J202" s="1"/>
      <c r="K202" s="1"/>
      <c r="L202" s="1"/>
      <c r="M202" s="1"/>
      <c r="N202" s="1"/>
      <c r="O202" s="1"/>
      <c r="P202" s="1"/>
      <c r="Q202" s="1"/>
      <c r="R202" s="1"/>
      <c r="S202" s="1"/>
      <c r="T202" s="1"/>
      <c r="U202" s="1"/>
      <c r="V202" s="1"/>
      <c r="W202" s="1"/>
      <c r="X202" s="1"/>
      <c r="Y202" s="1"/>
      <c r="Z202" s="1"/>
    </row>
    <row r="203" ht="15.75" customHeight="1">
      <c r="A203" s="21" t="str">
        <f>IFERROR(__xludf.DUMMYFUNCTION("""COMPUTED_VALUE"""),"Turtle Shell")</f>
        <v>Turtle Shell</v>
      </c>
      <c r="B203" s="21" t="str">
        <f>IFERROR(__xludf.DUMMYFUNCTION("""COMPUTED_VALUE"""),"Crafting Material, roll a d20 to see how many you get if this is a loot drop.")</f>
        <v>Crafting Material, roll a d20 to see how many you get if this is a loot drop.</v>
      </c>
      <c r="C203" s="1" t="str">
        <f>IFERROR(__xludf.DUMMYFUNCTION("""COMPUTED_VALUE"""),"Item")</f>
        <v>Item</v>
      </c>
      <c r="D203" s="1" t="str">
        <f>IFERROR(__xludf.DUMMYFUNCTION("""COMPUTED_VALUE"""),"Land of Spira")</f>
        <v>Land of Spira</v>
      </c>
      <c r="E203" s="1" t="b">
        <f>IFERROR(__xludf.DUMMYFUNCTION("""COMPUTED_VALUE"""),FALSE)</f>
        <v>0</v>
      </c>
      <c r="F203" s="1"/>
      <c r="G203" s="1"/>
      <c r="H203" s="1"/>
      <c r="I203" s="1"/>
      <c r="J203" s="1"/>
      <c r="K203" s="1"/>
      <c r="L203" s="1"/>
      <c r="M203" s="1"/>
      <c r="N203" s="1"/>
      <c r="O203" s="1"/>
      <c r="P203" s="1"/>
      <c r="Q203" s="1"/>
      <c r="R203" s="1"/>
      <c r="S203" s="1"/>
      <c r="T203" s="1"/>
      <c r="U203" s="1"/>
      <c r="V203" s="1"/>
      <c r="W203" s="1"/>
      <c r="X203" s="1"/>
      <c r="Y203" s="1"/>
      <c r="Z203" s="1"/>
    </row>
    <row r="204" ht="15.75" customHeight="1">
      <c r="A204" s="21" t="str">
        <f>IFERROR(__xludf.DUMMYFUNCTION("""COMPUTED_VALUE"""),"Pumpkin Diamond")</f>
        <v>Pumpkin Diamond</v>
      </c>
      <c r="B204" s="21" t="str">
        <f>IFERROR(__xludf.DUMMYFUNCTION("""COMPUTED_VALUE"""),"Crafting Material, roll a d20 to see how many you get if this is a loot drop.")</f>
        <v>Crafting Material, roll a d20 to see how many you get if this is a loot drop.</v>
      </c>
      <c r="C204" s="1" t="str">
        <f>IFERROR(__xludf.DUMMYFUNCTION("""COMPUTED_VALUE"""),"Item")</f>
        <v>Item</v>
      </c>
      <c r="D204" s="1" t="str">
        <f>IFERROR(__xludf.DUMMYFUNCTION("""COMPUTED_VALUE"""),"Land of Spira")</f>
        <v>Land of Spira</v>
      </c>
      <c r="E204" s="1" t="b">
        <f>IFERROR(__xludf.DUMMYFUNCTION("""COMPUTED_VALUE"""),FALSE)</f>
        <v>0</v>
      </c>
      <c r="F204" s="1"/>
      <c r="G204" s="1"/>
      <c r="H204" s="1"/>
      <c r="I204" s="1"/>
      <c r="J204" s="1"/>
      <c r="K204" s="1"/>
      <c r="L204" s="1"/>
      <c r="M204" s="1"/>
      <c r="N204" s="1"/>
      <c r="O204" s="1"/>
      <c r="P204" s="1"/>
      <c r="Q204" s="1"/>
      <c r="R204" s="1"/>
      <c r="S204" s="1"/>
      <c r="T204" s="1"/>
      <c r="U204" s="1"/>
      <c r="V204" s="1"/>
      <c r="W204" s="1"/>
      <c r="X204" s="1"/>
      <c r="Y204" s="1"/>
      <c r="Z204" s="1"/>
    </row>
    <row r="205" ht="15.75" customHeight="1">
      <c r="A205" s="21" t="str">
        <f>IFERROR(__xludf.DUMMYFUNCTION("""COMPUTED_VALUE"""),"Shadow Diamond")</f>
        <v>Shadow Diamond</v>
      </c>
      <c r="B205" s="21" t="str">
        <f>IFERROR(__xludf.DUMMYFUNCTION("""COMPUTED_VALUE"""),"Crafting Material, roll a d20 to see how many you get if this is a loot drop.")</f>
        <v>Crafting Material, roll a d20 to see how many you get if this is a loot drop.</v>
      </c>
      <c r="C205" s="1" t="str">
        <f>IFERROR(__xludf.DUMMYFUNCTION("""COMPUTED_VALUE"""),"Item")</f>
        <v>Item</v>
      </c>
      <c r="D205" s="1" t="str">
        <f>IFERROR(__xludf.DUMMYFUNCTION("""COMPUTED_VALUE"""),"Land of Spira")</f>
        <v>Land of Spira</v>
      </c>
      <c r="E205" s="1" t="b">
        <f>IFERROR(__xludf.DUMMYFUNCTION("""COMPUTED_VALUE"""),FALSE)</f>
        <v>0</v>
      </c>
      <c r="F205" s="1"/>
      <c r="G205" s="1"/>
      <c r="H205" s="1"/>
      <c r="I205" s="1"/>
      <c r="J205" s="1"/>
      <c r="K205" s="1"/>
      <c r="L205" s="1"/>
      <c r="M205" s="1"/>
      <c r="N205" s="1"/>
      <c r="O205" s="1"/>
      <c r="P205" s="1"/>
      <c r="Q205" s="1"/>
      <c r="R205" s="1"/>
      <c r="S205" s="1"/>
      <c r="T205" s="1"/>
      <c r="U205" s="1"/>
      <c r="V205" s="1"/>
      <c r="W205" s="1"/>
      <c r="X205" s="1"/>
      <c r="Y205" s="1"/>
      <c r="Z205" s="1"/>
    </row>
    <row r="206" ht="15.75" customHeight="1">
      <c r="A206" s="21" t="str">
        <f>IFERROR(__xludf.DUMMYFUNCTION("""COMPUTED_VALUE"""),"Rank 6 Earth tome")</f>
        <v>Rank 6 Earth tome</v>
      </c>
      <c r="B206" s="21" t="str">
        <f>IFERROR(__xludf.DUMMYFUNCTION("""COMPUTED_VALUE"""),"Allows use of up to Rank 6 Earth Powers")</f>
        <v>Allows use of up to Rank 6 Earth Powers</v>
      </c>
      <c r="C206" s="1" t="str">
        <f>IFERROR(__xludf.DUMMYFUNCTION("""COMPUTED_VALUE"""),"Item")</f>
        <v>Item</v>
      </c>
      <c r="D206" s="1" t="str">
        <f>IFERROR(__xludf.DUMMYFUNCTION("""COMPUTED_VALUE"""),"Land of Spira")</f>
        <v>Land of Spira</v>
      </c>
      <c r="E206" s="1" t="b">
        <f>IFERROR(__xludf.DUMMYFUNCTION("""COMPUTED_VALUE"""),FALSE)</f>
        <v>0</v>
      </c>
      <c r="F206" s="1"/>
      <c r="G206" s="1"/>
      <c r="H206" s="1"/>
      <c r="I206" s="1"/>
      <c r="J206" s="1"/>
      <c r="K206" s="1"/>
      <c r="L206" s="1"/>
      <c r="M206" s="1"/>
      <c r="N206" s="1"/>
      <c r="O206" s="1"/>
      <c r="P206" s="1"/>
      <c r="Q206" s="1"/>
      <c r="R206" s="1"/>
      <c r="S206" s="1"/>
      <c r="T206" s="1"/>
      <c r="U206" s="1"/>
      <c r="V206" s="1"/>
      <c r="W206" s="1"/>
      <c r="X206" s="1"/>
      <c r="Y206" s="1"/>
      <c r="Z206" s="1"/>
    </row>
    <row r="207" ht="15.75" customHeight="1">
      <c r="A207" s="21" t="str">
        <f>IFERROR(__xludf.DUMMYFUNCTION("""COMPUTED_VALUE"""),"Demon Claw")</f>
        <v>Demon Claw</v>
      </c>
      <c r="B207" s="21" t="str">
        <f>IFERROR(__xludf.DUMMYFUNCTION("""COMPUTED_VALUE"""),"Crafting Material, roll a d20 to see how many you get if this is a loot drop.")</f>
        <v>Crafting Material, roll a d20 to see how many you get if this is a loot drop.</v>
      </c>
      <c r="C207" s="1" t="str">
        <f>IFERROR(__xludf.DUMMYFUNCTION("""COMPUTED_VALUE"""),"Item")</f>
        <v>Item</v>
      </c>
      <c r="D207" s="1" t="str">
        <f>IFERROR(__xludf.DUMMYFUNCTION("""COMPUTED_VALUE"""),"Land of Spira")</f>
        <v>Land of Spira</v>
      </c>
      <c r="E207" s="1" t="b">
        <f>IFERROR(__xludf.DUMMYFUNCTION("""COMPUTED_VALUE"""),FALSE)</f>
        <v>0</v>
      </c>
      <c r="F207" s="1"/>
      <c r="G207" s="1"/>
      <c r="H207" s="1"/>
      <c r="I207" s="1"/>
      <c r="J207" s="1"/>
      <c r="K207" s="1"/>
      <c r="L207" s="1"/>
      <c r="M207" s="1"/>
      <c r="N207" s="1"/>
      <c r="O207" s="1"/>
      <c r="P207" s="1"/>
      <c r="Q207" s="1"/>
      <c r="R207" s="1"/>
      <c r="S207" s="1"/>
      <c r="T207" s="1"/>
      <c r="U207" s="1"/>
      <c r="V207" s="1"/>
      <c r="W207" s="1"/>
      <c r="X207" s="1"/>
      <c r="Y207" s="1"/>
      <c r="Z207" s="1"/>
    </row>
    <row r="208" ht="15.75" customHeight="1">
      <c r="A208" s="21" t="str">
        <f>IFERROR(__xludf.DUMMYFUNCTION("""COMPUTED_VALUE"""),"Golden Bug")</f>
        <v>Golden Bug</v>
      </c>
      <c r="B208" s="21" t="str">
        <f>IFERROR(__xludf.DUMMYFUNCTION("""COMPUTED_VALUE"""),"Crafting Material, roll a d20 to see how many you get if this is a loot drop.")</f>
        <v>Crafting Material, roll a d20 to see how many you get if this is a loot drop.</v>
      </c>
      <c r="C208" s="1" t="str">
        <f>IFERROR(__xludf.DUMMYFUNCTION("""COMPUTED_VALUE"""),"Item")</f>
        <v>Item</v>
      </c>
      <c r="D208" s="1" t="str">
        <f>IFERROR(__xludf.DUMMYFUNCTION("""COMPUTED_VALUE"""),"Land of Spira")</f>
        <v>Land of Spira</v>
      </c>
      <c r="E208" s="1" t="b">
        <f>IFERROR(__xludf.DUMMYFUNCTION("""COMPUTED_VALUE"""),FALSE)</f>
        <v>0</v>
      </c>
      <c r="F208" s="1"/>
      <c r="G208" s="1"/>
      <c r="H208" s="1"/>
      <c r="I208" s="1"/>
      <c r="J208" s="1"/>
      <c r="K208" s="1"/>
      <c r="L208" s="1"/>
      <c r="M208" s="1"/>
      <c r="N208" s="1"/>
      <c r="O208" s="1"/>
      <c r="P208" s="1"/>
      <c r="Q208" s="1"/>
      <c r="R208" s="1"/>
      <c r="S208" s="1"/>
      <c r="T208" s="1"/>
      <c r="U208" s="1"/>
      <c r="V208" s="1"/>
      <c r="W208" s="1"/>
      <c r="X208" s="1"/>
      <c r="Y208" s="1"/>
      <c r="Z208" s="1"/>
    </row>
    <row r="209" ht="15.75" customHeight="1">
      <c r="A209" s="21" t="str">
        <f>IFERROR(__xludf.DUMMYFUNCTION("""COMPUTED_VALUE"""),"Dragon Orb")</f>
        <v>Dragon Orb</v>
      </c>
      <c r="B209" s="21" t="str">
        <f>IFERROR(__xludf.DUMMYFUNCTION("""COMPUTED_VALUE"""),"Crafting Material, roll a d20 to see how many you get if this is a loot drop.")</f>
        <v>Crafting Material, roll a d20 to see how many you get if this is a loot drop.</v>
      </c>
      <c r="C209" s="1" t="str">
        <f>IFERROR(__xludf.DUMMYFUNCTION("""COMPUTED_VALUE"""),"Item")</f>
        <v>Item</v>
      </c>
      <c r="D209" s="1" t="str">
        <f>IFERROR(__xludf.DUMMYFUNCTION("""COMPUTED_VALUE"""),"Land of Spira")</f>
        <v>Land of Spira</v>
      </c>
      <c r="E209" s="1" t="b">
        <f>IFERROR(__xludf.DUMMYFUNCTION("""COMPUTED_VALUE"""),FALSE)</f>
        <v>0</v>
      </c>
      <c r="F209" s="1"/>
      <c r="G209" s="1"/>
      <c r="H209" s="1"/>
      <c r="I209" s="1"/>
      <c r="J209" s="1"/>
      <c r="K209" s="1"/>
      <c r="L209" s="1"/>
      <c r="M209" s="1"/>
      <c r="N209" s="1"/>
      <c r="O209" s="1"/>
      <c r="P209" s="1"/>
      <c r="Q209" s="1"/>
      <c r="R209" s="1"/>
      <c r="S209" s="1"/>
      <c r="T209" s="1"/>
      <c r="U209" s="1"/>
      <c r="V209" s="1"/>
      <c r="W209" s="1"/>
      <c r="X209" s="1"/>
      <c r="Y209" s="1"/>
      <c r="Z209" s="1"/>
    </row>
    <row r="210" ht="15.75" customHeight="1">
      <c r="A210" s="21" t="str">
        <f>IFERROR(__xludf.DUMMYFUNCTION("""COMPUTED_VALUE"""),"Water potion")</f>
        <v>Water potion</v>
      </c>
      <c r="B210" s="21" t="str">
        <f>IFERROR(__xludf.DUMMYFUNCTION("""COMPUTED_VALUE"""),"Gives water immunity for 1 round")</f>
        <v>Gives water immunity for 1 round</v>
      </c>
      <c r="C210" s="1" t="str">
        <f>IFERROR(__xludf.DUMMYFUNCTION("""COMPUTED_VALUE"""),"Item")</f>
        <v>Item</v>
      </c>
      <c r="D210" s="1" t="str">
        <f>IFERROR(__xludf.DUMMYFUNCTION("""COMPUTED_VALUE"""),"Land of Spira")</f>
        <v>Land of Spira</v>
      </c>
      <c r="E210" s="1" t="b">
        <f>IFERROR(__xludf.DUMMYFUNCTION("""COMPUTED_VALUE"""),FALSE)</f>
        <v>0</v>
      </c>
      <c r="F210" s="1"/>
      <c r="G210" s="1"/>
      <c r="H210" s="1"/>
      <c r="I210" s="1"/>
      <c r="J210" s="1"/>
      <c r="K210" s="1"/>
      <c r="L210" s="1"/>
      <c r="M210" s="1"/>
      <c r="N210" s="1"/>
      <c r="O210" s="1"/>
      <c r="P210" s="1"/>
      <c r="Q210" s="1"/>
      <c r="R210" s="1"/>
      <c r="S210" s="1"/>
      <c r="T210" s="1"/>
      <c r="U210" s="1"/>
      <c r="V210" s="1"/>
      <c r="W210" s="1"/>
      <c r="X210" s="1"/>
      <c r="Y210" s="1"/>
      <c r="Z210" s="1"/>
    </row>
    <row r="211" ht="15.75" customHeight="1">
      <c r="A211" s="21" t="str">
        <f>IFERROR(__xludf.DUMMYFUNCTION("""COMPUTED_VALUE"""),"Jellyfish Stinger")</f>
        <v>Jellyfish Stinger</v>
      </c>
      <c r="B211" s="21" t="str">
        <f>IFERROR(__xludf.DUMMYFUNCTION("""COMPUTED_VALUE"""),"Crafting Material, roll a d20 to see how many you get if this is a loot drop.")</f>
        <v>Crafting Material, roll a d20 to see how many you get if this is a loot drop.</v>
      </c>
      <c r="C211" s="1" t="str">
        <f>IFERROR(__xludf.DUMMYFUNCTION("""COMPUTED_VALUE"""),"Item")</f>
        <v>Item</v>
      </c>
      <c r="D211" s="1" t="str">
        <f>IFERROR(__xludf.DUMMYFUNCTION("""COMPUTED_VALUE"""),"Land of Spira")</f>
        <v>Land of Spira</v>
      </c>
      <c r="E211" s="1" t="b">
        <f>IFERROR(__xludf.DUMMYFUNCTION("""COMPUTED_VALUE"""),FALSE)</f>
        <v>0</v>
      </c>
      <c r="F211" s="1"/>
      <c r="G211" s="1"/>
      <c r="H211" s="1"/>
      <c r="I211" s="1"/>
      <c r="J211" s="1"/>
      <c r="K211" s="1"/>
      <c r="L211" s="1"/>
      <c r="M211" s="1"/>
      <c r="N211" s="1"/>
      <c r="O211" s="1"/>
      <c r="P211" s="1"/>
      <c r="Q211" s="1"/>
      <c r="R211" s="1"/>
      <c r="S211" s="1"/>
      <c r="T211" s="1"/>
      <c r="U211" s="1"/>
      <c r="V211" s="1"/>
      <c r="W211" s="1"/>
      <c r="X211" s="1"/>
      <c r="Y211" s="1"/>
      <c r="Z211" s="1"/>
    </row>
    <row r="212" ht="15.75" customHeight="1">
      <c r="A212" s="21" t="str">
        <f>IFERROR(__xludf.DUMMYFUNCTION("""COMPUTED_VALUE"""),"Bee Stinger ")</f>
        <v>Bee Stinger </v>
      </c>
      <c r="B212" s="21" t="str">
        <f>IFERROR(__xludf.DUMMYFUNCTION("""COMPUTED_VALUE"""),"Crafting Material, roll a d20 to see how many you get if this is a loot drop.")</f>
        <v>Crafting Material, roll a d20 to see how many you get if this is a loot drop.</v>
      </c>
      <c r="C212" s="1" t="str">
        <f>IFERROR(__xludf.DUMMYFUNCTION("""COMPUTED_VALUE"""),"Item")</f>
        <v>Item</v>
      </c>
      <c r="D212" s="1" t="str">
        <f>IFERROR(__xludf.DUMMYFUNCTION("""COMPUTED_VALUE"""),"Land of Spira")</f>
        <v>Land of Spira</v>
      </c>
      <c r="E212" s="1" t="b">
        <f>IFERROR(__xludf.DUMMYFUNCTION("""COMPUTED_VALUE"""),FALSE)</f>
        <v>0</v>
      </c>
      <c r="F212" s="1"/>
      <c r="G212" s="1"/>
      <c r="H212" s="1"/>
      <c r="I212" s="1"/>
      <c r="J212" s="1"/>
      <c r="K212" s="1"/>
      <c r="L212" s="1"/>
      <c r="M212" s="1"/>
      <c r="N212" s="1"/>
      <c r="O212" s="1"/>
      <c r="P212" s="1"/>
      <c r="Q212" s="1"/>
      <c r="R212" s="1"/>
      <c r="S212" s="1"/>
      <c r="T212" s="1"/>
      <c r="U212" s="1"/>
      <c r="V212" s="1"/>
      <c r="W212" s="1"/>
      <c r="X212" s="1"/>
      <c r="Y212" s="1"/>
      <c r="Z212" s="1"/>
    </row>
    <row r="213" ht="15.75" customHeight="1">
      <c r="A213" s="21" t="str">
        <f>IFERROR(__xludf.DUMMYFUNCTION("""COMPUTED_VALUE"""),"Squid Ink")</f>
        <v>Squid Ink</v>
      </c>
      <c r="B213" s="21" t="str">
        <f>IFERROR(__xludf.DUMMYFUNCTION("""COMPUTED_VALUE"""),"Crafting Material, roll a d20 to see how many you get if this is a loot drop.")</f>
        <v>Crafting Material, roll a d20 to see how many you get if this is a loot drop.</v>
      </c>
      <c r="C213" s="1" t="str">
        <f>IFERROR(__xludf.DUMMYFUNCTION("""COMPUTED_VALUE"""),"Item")</f>
        <v>Item</v>
      </c>
      <c r="D213" s="1" t="str">
        <f>IFERROR(__xludf.DUMMYFUNCTION("""COMPUTED_VALUE"""),"Land of Spira")</f>
        <v>Land of Spira</v>
      </c>
      <c r="E213" s="1" t="b">
        <f>IFERROR(__xludf.DUMMYFUNCTION("""COMPUTED_VALUE"""),FALSE)</f>
        <v>0</v>
      </c>
      <c r="F213" s="1"/>
      <c r="G213" s="1"/>
      <c r="H213" s="1"/>
      <c r="I213" s="1"/>
      <c r="J213" s="1"/>
      <c r="K213" s="1"/>
      <c r="L213" s="1"/>
      <c r="M213" s="1"/>
      <c r="N213" s="1"/>
      <c r="O213" s="1"/>
      <c r="P213" s="1"/>
      <c r="Q213" s="1"/>
      <c r="R213" s="1"/>
      <c r="S213" s="1"/>
      <c r="T213" s="1"/>
      <c r="U213" s="1"/>
      <c r="V213" s="1"/>
      <c r="W213" s="1"/>
      <c r="X213" s="1"/>
      <c r="Y213" s="1"/>
      <c r="Z213" s="1"/>
    </row>
    <row r="214" ht="15.75" customHeight="1">
      <c r="A214" s="21" t="str">
        <f>IFERROR(__xludf.DUMMYFUNCTION("""COMPUTED_VALUE"""),"Potion of Water Breathing")</f>
        <v>Potion of Water Breathing</v>
      </c>
      <c r="B214" s="21" t="str">
        <f>IFERROR(__xludf.DUMMYFUNCTION("""COMPUTED_VALUE"""),"Immune to water for for 3 rounds in battle or 3 days of travel.")</f>
        <v>Immune to water for for 3 rounds in battle or 3 days of travel.</v>
      </c>
      <c r="C214" s="1" t="str">
        <f>IFERROR(__xludf.DUMMYFUNCTION("""COMPUTED_VALUE"""),"Item")</f>
        <v>Item</v>
      </c>
      <c r="D214" s="1" t="str">
        <f>IFERROR(__xludf.DUMMYFUNCTION("""COMPUTED_VALUE"""),"Land of Spira")</f>
        <v>Land of Spira</v>
      </c>
      <c r="E214" s="1" t="b">
        <f>IFERROR(__xludf.DUMMYFUNCTION("""COMPUTED_VALUE"""),FALSE)</f>
        <v>0</v>
      </c>
      <c r="F214" s="1"/>
      <c r="G214" s="1"/>
      <c r="H214" s="1"/>
      <c r="I214" s="1"/>
      <c r="J214" s="1"/>
      <c r="K214" s="1"/>
      <c r="L214" s="1"/>
      <c r="M214" s="1"/>
      <c r="N214" s="1"/>
      <c r="O214" s="1"/>
      <c r="P214" s="1"/>
      <c r="Q214" s="1"/>
      <c r="R214" s="1"/>
      <c r="S214" s="1"/>
      <c r="T214" s="1"/>
      <c r="U214" s="1"/>
      <c r="V214" s="1"/>
      <c r="W214" s="1"/>
      <c r="X214" s="1"/>
      <c r="Y214" s="1"/>
      <c r="Z214" s="1"/>
    </row>
    <row r="215" ht="15.75" customHeight="1">
      <c r="A215" s="21" t="str">
        <f>IFERROR(__xludf.DUMMYFUNCTION("""COMPUTED_VALUE"""),"Shark Fin")</f>
        <v>Shark Fin</v>
      </c>
      <c r="B215" s="21" t="str">
        <f>IFERROR(__xludf.DUMMYFUNCTION("""COMPUTED_VALUE"""),"Restores 10 Hunger, +1 ATK until rest")</f>
        <v>Restores 10 Hunger, +1 ATK until rest</v>
      </c>
      <c r="C215" s="1" t="str">
        <f>IFERROR(__xludf.DUMMYFUNCTION("""COMPUTED_VALUE"""),"Crop")</f>
        <v>Crop</v>
      </c>
      <c r="D215" s="1" t="str">
        <f>IFERROR(__xludf.DUMMYFUNCTION("""COMPUTED_VALUE"""),"Land of Spira")</f>
        <v>Land of Spira</v>
      </c>
      <c r="E215" s="1" t="b">
        <f>IFERROR(__xludf.DUMMYFUNCTION("""COMPUTED_VALUE"""),FALSE)</f>
        <v>0</v>
      </c>
      <c r="F215" s="1"/>
      <c r="G215" s="1"/>
      <c r="H215" s="1"/>
      <c r="I215" s="1"/>
      <c r="J215" s="1"/>
      <c r="K215" s="1"/>
      <c r="L215" s="1"/>
      <c r="M215" s="1"/>
      <c r="N215" s="1"/>
      <c r="O215" s="1"/>
      <c r="P215" s="1"/>
      <c r="Q215" s="1"/>
      <c r="R215" s="1"/>
      <c r="S215" s="1"/>
      <c r="T215" s="1"/>
      <c r="U215" s="1"/>
      <c r="V215" s="1"/>
      <c r="W215" s="1"/>
      <c r="X215" s="1"/>
      <c r="Y215" s="1"/>
      <c r="Z215" s="1"/>
    </row>
    <row r="216" ht="15.75" customHeight="1">
      <c r="A216" s="21" t="str">
        <f>IFERROR(__xludf.DUMMYFUNCTION("""COMPUTED_VALUE"""),"Shark Teeth")</f>
        <v>Shark Teeth</v>
      </c>
      <c r="B216" s="21" t="str">
        <f>IFERROR(__xludf.DUMMYFUNCTION("""COMPUTED_VALUE"""),"100 = permanently increase Atk by 1")</f>
        <v>100 = permanently increase Atk by 1</v>
      </c>
      <c r="C216" s="1" t="str">
        <f>IFERROR(__xludf.DUMMYFUNCTION("""COMPUTED_VALUE"""),"Item")</f>
        <v>Item</v>
      </c>
      <c r="D216" s="1" t="str">
        <f>IFERROR(__xludf.DUMMYFUNCTION("""COMPUTED_VALUE"""),"Land of Spira")</f>
        <v>Land of Spira</v>
      </c>
      <c r="E216" s="1" t="b">
        <f>IFERROR(__xludf.DUMMYFUNCTION("""COMPUTED_VALUE"""),FALSE)</f>
        <v>0</v>
      </c>
      <c r="F216" s="1"/>
      <c r="G216" s="1"/>
      <c r="H216" s="1"/>
      <c r="I216" s="1"/>
      <c r="J216" s="1"/>
      <c r="K216" s="1"/>
      <c r="L216" s="1"/>
      <c r="M216" s="1"/>
      <c r="N216" s="1"/>
      <c r="O216" s="1"/>
      <c r="P216" s="1"/>
      <c r="Q216" s="1"/>
      <c r="R216" s="1"/>
      <c r="S216" s="1"/>
      <c r="T216" s="1"/>
      <c r="U216" s="1"/>
      <c r="V216" s="1"/>
      <c r="W216" s="1"/>
      <c r="X216" s="1"/>
      <c r="Y216" s="1"/>
      <c r="Z216" s="1"/>
    </row>
    <row r="217" ht="15.75" customHeight="1">
      <c r="A217" s="21" t="str">
        <f>IFERROR(__xludf.DUMMYFUNCTION("""COMPUTED_VALUE"""),"Fish")</f>
        <v>Fish</v>
      </c>
      <c r="B217" s="21" t="str">
        <f>IFERROR(__xludf.DUMMYFUNCTION("""COMPUTED_VALUE"""),"5 Hunger, +100 water Resist until rest")</f>
        <v>5 Hunger, +100 water Resist until rest</v>
      </c>
      <c r="C217" s="1" t="str">
        <f>IFERROR(__xludf.DUMMYFUNCTION("""COMPUTED_VALUE"""),"Crop")</f>
        <v>Crop</v>
      </c>
      <c r="D217" s="1" t="str">
        <f>IFERROR(__xludf.DUMMYFUNCTION("""COMPUTED_VALUE"""),"Land of Spira")</f>
        <v>Land of Spira</v>
      </c>
      <c r="E217" s="1" t="b">
        <f>IFERROR(__xludf.DUMMYFUNCTION("""COMPUTED_VALUE"""),FALSE)</f>
        <v>0</v>
      </c>
      <c r="F217" s="1"/>
      <c r="G217" s="1"/>
      <c r="H217" s="1"/>
      <c r="I217" s="1"/>
      <c r="J217" s="1"/>
      <c r="K217" s="1"/>
      <c r="L217" s="1"/>
      <c r="M217" s="1"/>
      <c r="N217" s="1"/>
      <c r="O217" s="1"/>
      <c r="P217" s="1"/>
      <c r="Q217" s="1"/>
      <c r="R217" s="1"/>
      <c r="S217" s="1"/>
      <c r="T217" s="1"/>
      <c r="U217" s="1"/>
      <c r="V217" s="1"/>
      <c r="W217" s="1"/>
      <c r="X217" s="1"/>
      <c r="Y217" s="1"/>
      <c r="Z217" s="1"/>
    </row>
    <row r="218" ht="15.75" customHeight="1">
      <c r="A218" s="21" t="str">
        <f>IFERROR(__xludf.DUMMYFUNCTION("""COMPUTED_VALUE"""),"Huge Teeth")</f>
        <v>Huge Teeth</v>
      </c>
      <c r="B218" s="21" t="str">
        <f>IFERROR(__xludf.DUMMYFUNCTION("""COMPUTED_VALUE"""),"Worth 1000G at a shop.")</f>
        <v>Worth 1000G at a shop.</v>
      </c>
      <c r="C218" s="1" t="str">
        <f>IFERROR(__xludf.DUMMYFUNCTION("""COMPUTED_VALUE"""),"Item")</f>
        <v>Item</v>
      </c>
      <c r="D218" s="1" t="str">
        <f>IFERROR(__xludf.DUMMYFUNCTION("""COMPUTED_VALUE"""),"Land of Spira")</f>
        <v>Land of Spira</v>
      </c>
      <c r="E218" s="1" t="b">
        <f>IFERROR(__xludf.DUMMYFUNCTION("""COMPUTED_VALUE"""),FALSE)</f>
        <v>0</v>
      </c>
      <c r="F218" s="1"/>
      <c r="G218" s="1"/>
      <c r="H218" s="1"/>
      <c r="I218" s="1"/>
      <c r="J218" s="1"/>
      <c r="K218" s="1"/>
      <c r="L218" s="1"/>
      <c r="M218" s="1"/>
      <c r="N218" s="1"/>
      <c r="O218" s="1"/>
      <c r="P218" s="1"/>
      <c r="Q218" s="1"/>
      <c r="R218" s="1"/>
      <c r="S218" s="1"/>
      <c r="T218" s="1"/>
      <c r="U218" s="1"/>
      <c r="V218" s="1"/>
      <c r="W218" s="1"/>
      <c r="X218" s="1"/>
      <c r="Y218" s="1"/>
      <c r="Z218" s="1"/>
    </row>
    <row r="219" ht="15.75" customHeight="1">
      <c r="A219" s="21" t="str">
        <f>IFERROR(__xludf.DUMMYFUNCTION("""COMPUTED_VALUE"""),"Enchanted Teeth")</f>
        <v>Enchanted Teeth</v>
      </c>
      <c r="B219" s="21" t="str">
        <f>IFERROR(__xludf.DUMMYFUNCTION("""COMPUTED_VALUE"""),"Worth 5000G at a shop.")</f>
        <v>Worth 5000G at a shop.</v>
      </c>
      <c r="C219" s="1" t="str">
        <f>IFERROR(__xludf.DUMMYFUNCTION("""COMPUTED_VALUE"""),"Item")</f>
        <v>Item</v>
      </c>
      <c r="D219" s="1" t="str">
        <f>IFERROR(__xludf.DUMMYFUNCTION("""COMPUTED_VALUE"""),"Land of Spira")</f>
        <v>Land of Spira</v>
      </c>
      <c r="E219" s="1" t="b">
        <f>IFERROR(__xludf.DUMMYFUNCTION("""COMPUTED_VALUE"""),FALSE)</f>
        <v>0</v>
      </c>
      <c r="F219" s="1"/>
      <c r="G219" s="1"/>
      <c r="H219" s="1"/>
      <c r="I219" s="1"/>
      <c r="J219" s="1"/>
      <c r="K219" s="1"/>
      <c r="L219" s="1"/>
      <c r="M219" s="1"/>
      <c r="N219" s="1"/>
      <c r="O219" s="1"/>
      <c r="P219" s="1"/>
      <c r="Q219" s="1"/>
      <c r="R219" s="1"/>
      <c r="S219" s="1"/>
      <c r="T219" s="1"/>
      <c r="U219" s="1"/>
      <c r="V219" s="1"/>
      <c r="W219" s="1"/>
      <c r="X219" s="1"/>
      <c r="Y219" s="1"/>
      <c r="Z219" s="1"/>
    </row>
    <row r="220" ht="15.75" customHeight="1">
      <c r="A220" s="21"/>
      <c r="B220" s="21"/>
      <c r="C220" s="1" t="str">
        <f>IFERROR(__xludf.DUMMYFUNCTION("""COMPUTED_VALUE"""),"Item")</f>
        <v>Item</v>
      </c>
      <c r="D220" s="1" t="str">
        <f>IFERROR(__xludf.DUMMYFUNCTION("""COMPUTED_VALUE"""),"Land of Spira")</f>
        <v>Land of Spira</v>
      </c>
      <c r="E220" s="1" t="b">
        <f>IFERROR(__xludf.DUMMYFUNCTION("""COMPUTED_VALUE"""),FALSE)</f>
        <v>0</v>
      </c>
      <c r="F220" s="1"/>
      <c r="G220" s="1"/>
      <c r="H220" s="1"/>
      <c r="I220" s="1"/>
      <c r="J220" s="1"/>
      <c r="K220" s="1"/>
      <c r="L220" s="1"/>
      <c r="M220" s="1"/>
      <c r="N220" s="1"/>
      <c r="O220" s="1"/>
      <c r="P220" s="1"/>
      <c r="Q220" s="1"/>
      <c r="R220" s="1"/>
      <c r="S220" s="1"/>
      <c r="T220" s="1"/>
      <c r="U220" s="1"/>
      <c r="V220" s="1"/>
      <c r="W220" s="1"/>
      <c r="X220" s="1"/>
      <c r="Y220" s="1"/>
      <c r="Z220" s="1"/>
    </row>
    <row r="221" ht="15.75" customHeight="1">
      <c r="A221" s="21" t="str">
        <f>IFERROR(__xludf.DUMMYFUNCTION("""COMPUTED_VALUE"""),"Sea Dinosaur Bones")</f>
        <v>Sea Dinosaur Bones</v>
      </c>
      <c r="B221" s="21" t="str">
        <f>IFERROR(__xludf.DUMMYFUNCTION("""COMPUTED_VALUE"""),"Crafting Material, roll a d20 to see how many you get if this is a loot drop.")</f>
        <v>Crafting Material, roll a d20 to see how many you get if this is a loot drop.</v>
      </c>
      <c r="C221" s="1" t="str">
        <f>IFERROR(__xludf.DUMMYFUNCTION("""COMPUTED_VALUE"""),"Item")</f>
        <v>Item</v>
      </c>
      <c r="D221" s="1" t="str">
        <f>IFERROR(__xludf.DUMMYFUNCTION("""COMPUTED_VALUE"""),"Land of Spira")</f>
        <v>Land of Spira</v>
      </c>
      <c r="E221" s="1" t="b">
        <f>IFERROR(__xludf.DUMMYFUNCTION("""COMPUTED_VALUE"""),FALSE)</f>
        <v>0</v>
      </c>
      <c r="F221" s="1"/>
      <c r="G221" s="1"/>
      <c r="H221" s="1"/>
      <c r="I221" s="1"/>
      <c r="J221" s="1"/>
      <c r="K221" s="1"/>
      <c r="L221" s="1"/>
      <c r="M221" s="1"/>
      <c r="N221" s="1"/>
      <c r="O221" s="1"/>
      <c r="P221" s="1"/>
      <c r="Q221" s="1"/>
      <c r="R221" s="1"/>
      <c r="S221" s="1"/>
      <c r="T221" s="1"/>
      <c r="U221" s="1"/>
      <c r="V221" s="1"/>
      <c r="W221" s="1"/>
      <c r="X221" s="1"/>
      <c r="Y221" s="1"/>
      <c r="Z221" s="1"/>
    </row>
    <row r="222" ht="15.75" customHeight="1">
      <c r="A222" s="21" t="str">
        <f>IFERROR(__xludf.DUMMYFUNCTION("""COMPUTED_VALUE"""),"Ancient Sea Dinosaur Egg")</f>
        <v>Ancient Sea Dinosaur Egg</v>
      </c>
      <c r="B222" s="21"/>
      <c r="C222" s="1" t="str">
        <f>IFERROR(__xludf.DUMMYFUNCTION("""COMPUTED_VALUE"""),"Item")</f>
        <v>Item</v>
      </c>
      <c r="D222" s="1" t="str">
        <f>IFERROR(__xludf.DUMMYFUNCTION("""COMPUTED_VALUE"""),"Land of Spira")</f>
        <v>Land of Spira</v>
      </c>
      <c r="E222" s="1" t="b">
        <f>IFERROR(__xludf.DUMMYFUNCTION("""COMPUTED_VALUE"""),FALSE)</f>
        <v>0</v>
      </c>
      <c r="F222" s="1"/>
      <c r="G222" s="1"/>
      <c r="H222" s="1"/>
      <c r="I222" s="1"/>
      <c r="J222" s="1"/>
      <c r="K222" s="1"/>
      <c r="L222" s="1"/>
      <c r="M222" s="1"/>
      <c r="N222" s="1"/>
      <c r="O222" s="1"/>
      <c r="P222" s="1"/>
      <c r="Q222" s="1"/>
      <c r="R222" s="1"/>
      <c r="S222" s="1"/>
      <c r="T222" s="1"/>
      <c r="U222" s="1"/>
      <c r="V222" s="1"/>
      <c r="W222" s="1"/>
      <c r="X222" s="1"/>
      <c r="Y222" s="1"/>
      <c r="Z222" s="1"/>
    </row>
    <row r="223" ht="15.75" customHeight="1">
      <c r="A223" s="21" t="str">
        <f>IFERROR(__xludf.DUMMYFUNCTION("""COMPUTED_VALUE"""),"Water Abyss Key")</f>
        <v>Water Abyss Key</v>
      </c>
      <c r="B223" s="21" t="str">
        <f>IFERROR(__xludf.DUMMYFUNCTION("""COMPUTED_VALUE"""),"Gain access to the Abyss Dungeon. Cannot be duplicated")</f>
        <v>Gain access to the Abyss Dungeon. Cannot be duplicated</v>
      </c>
      <c r="C223" s="1" t="str">
        <f>IFERROR(__xludf.DUMMYFUNCTION("""COMPUTED_VALUE"""),"Item")</f>
        <v>Item</v>
      </c>
      <c r="D223" s="1" t="str">
        <f>IFERROR(__xludf.DUMMYFUNCTION("""COMPUTED_VALUE"""),"Land of Spira")</f>
        <v>Land of Spira</v>
      </c>
      <c r="E223" s="1" t="b">
        <f>IFERROR(__xludf.DUMMYFUNCTION("""COMPUTED_VALUE"""),FALSE)</f>
        <v>0</v>
      </c>
      <c r="F223" s="1"/>
      <c r="G223" s="1"/>
      <c r="H223" s="1"/>
      <c r="I223" s="1"/>
      <c r="J223" s="1"/>
      <c r="K223" s="1"/>
      <c r="L223" s="1"/>
      <c r="M223" s="1"/>
      <c r="N223" s="1"/>
      <c r="O223" s="1"/>
      <c r="P223" s="1"/>
      <c r="Q223" s="1"/>
      <c r="R223" s="1"/>
      <c r="S223" s="1"/>
      <c r="T223" s="1"/>
      <c r="U223" s="1"/>
      <c r="V223" s="1"/>
      <c r="W223" s="1"/>
      <c r="X223" s="1"/>
      <c r="Y223" s="1"/>
      <c r="Z223" s="1"/>
    </row>
    <row r="224" ht="15.75" customHeight="1">
      <c r="A224" s="21" t="str">
        <f>IFERROR(__xludf.DUMMYFUNCTION("""COMPUTED_VALUE"""),"Fire Diamond")</f>
        <v>Fire Diamond</v>
      </c>
      <c r="B224" s="21" t="str">
        <f>IFERROR(__xludf.DUMMYFUNCTION("""COMPUTED_VALUE"""),"Crafting Material, roll a d20 to see how many you get if this is a loot drop.")</f>
        <v>Crafting Material, roll a d20 to see how many you get if this is a loot drop.</v>
      </c>
      <c r="C224" s="1" t="str">
        <f>IFERROR(__xludf.DUMMYFUNCTION("""COMPUTED_VALUE"""),"Item")</f>
        <v>Item</v>
      </c>
      <c r="D224" s="1" t="str">
        <f>IFERROR(__xludf.DUMMYFUNCTION("""COMPUTED_VALUE"""),"Land of Spira")</f>
        <v>Land of Spira</v>
      </c>
      <c r="E224" s="1" t="b">
        <f>IFERROR(__xludf.DUMMYFUNCTION("""COMPUTED_VALUE"""),FALSE)</f>
        <v>0</v>
      </c>
      <c r="F224" s="1"/>
      <c r="G224" s="1"/>
      <c r="H224" s="1"/>
      <c r="I224" s="1"/>
      <c r="J224" s="1"/>
      <c r="K224" s="1"/>
      <c r="L224" s="1"/>
      <c r="M224" s="1"/>
      <c r="N224" s="1"/>
      <c r="O224" s="1"/>
      <c r="P224" s="1"/>
      <c r="Q224" s="1"/>
      <c r="R224" s="1"/>
      <c r="S224" s="1"/>
      <c r="T224" s="1"/>
      <c r="U224" s="1"/>
      <c r="V224" s="1"/>
      <c r="W224" s="1"/>
      <c r="X224" s="1"/>
      <c r="Y224" s="1"/>
      <c r="Z224" s="1"/>
    </row>
    <row r="225" ht="15.75" customHeight="1">
      <c r="A225" s="21" t="str">
        <f>IFERROR(__xludf.DUMMYFUNCTION("""COMPUTED_VALUE"""),"Giant Fire Diamond")</f>
        <v>Giant Fire Diamond</v>
      </c>
      <c r="B225" s="21" t="str">
        <f>IFERROR(__xludf.DUMMYFUNCTION("""COMPUTED_VALUE"""),"Crafting Material, roll a d20 to see how many you get if this is a loot drop.")</f>
        <v>Crafting Material, roll a d20 to see how many you get if this is a loot drop.</v>
      </c>
      <c r="C225" s="1" t="str">
        <f>IFERROR(__xludf.DUMMYFUNCTION("""COMPUTED_VALUE"""),"Item")</f>
        <v>Item</v>
      </c>
      <c r="D225" s="1" t="str">
        <f>IFERROR(__xludf.DUMMYFUNCTION("""COMPUTED_VALUE"""),"Land of Spira")</f>
        <v>Land of Spira</v>
      </c>
      <c r="E225" s="1" t="b">
        <f>IFERROR(__xludf.DUMMYFUNCTION("""COMPUTED_VALUE"""),FALSE)</f>
        <v>0</v>
      </c>
      <c r="F225" s="1"/>
      <c r="G225" s="1"/>
      <c r="H225" s="1"/>
      <c r="I225" s="1"/>
      <c r="J225" s="1"/>
      <c r="K225" s="1"/>
      <c r="L225" s="1"/>
      <c r="M225" s="1"/>
      <c r="N225" s="1"/>
      <c r="O225" s="1"/>
      <c r="P225" s="1"/>
      <c r="Q225" s="1"/>
      <c r="R225" s="1"/>
      <c r="S225" s="1"/>
      <c r="T225" s="1"/>
      <c r="U225" s="1"/>
      <c r="V225" s="1"/>
      <c r="W225" s="1"/>
      <c r="X225" s="1"/>
      <c r="Y225" s="1"/>
      <c r="Z225" s="1"/>
    </row>
    <row r="226" ht="15.75" customHeight="1">
      <c r="A226" s="21" t="str">
        <f>IFERROR(__xludf.DUMMYFUNCTION("""COMPUTED_VALUE"""),"Heatmore Flame Golem Soul")</f>
        <v>Heatmore Flame Golem Soul</v>
      </c>
      <c r="B226" s="21"/>
      <c r="C226" s="1" t="str">
        <f>IFERROR(__xludf.DUMMYFUNCTION("""COMPUTED_VALUE"""),"Item")</f>
        <v>Item</v>
      </c>
      <c r="D226" s="1" t="str">
        <f>IFERROR(__xludf.DUMMYFUNCTION("""COMPUTED_VALUE"""),"Land of Spira")</f>
        <v>Land of Spira</v>
      </c>
      <c r="E226" s="1" t="b">
        <f>IFERROR(__xludf.DUMMYFUNCTION("""COMPUTED_VALUE"""),FALSE)</f>
        <v>0</v>
      </c>
      <c r="F226" s="1"/>
      <c r="G226" s="1"/>
      <c r="H226" s="1"/>
      <c r="I226" s="1"/>
      <c r="J226" s="1"/>
      <c r="K226" s="1"/>
      <c r="L226" s="1"/>
      <c r="M226" s="1"/>
      <c r="N226" s="1"/>
      <c r="O226" s="1"/>
      <c r="P226" s="1"/>
      <c r="Q226" s="1"/>
      <c r="R226" s="1"/>
      <c r="S226" s="1"/>
      <c r="T226" s="1"/>
      <c r="U226" s="1"/>
      <c r="V226" s="1"/>
      <c r="W226" s="1"/>
      <c r="X226" s="1"/>
      <c r="Y226" s="1"/>
      <c r="Z226" s="1"/>
    </row>
    <row r="227" ht="15.75" customHeight="1">
      <c r="A227" s="21" t="str">
        <f>IFERROR(__xludf.DUMMYFUNCTION("""COMPUTED_VALUE"""),"Flaming Feathers")</f>
        <v>Flaming Feathers</v>
      </c>
      <c r="B227" s="21" t="str">
        <f>IFERROR(__xludf.DUMMYFUNCTION("""COMPUTED_VALUE"""),"Crafting Material, roll a d20 to see how many you get if this is a loot drop.")</f>
        <v>Crafting Material, roll a d20 to see how many you get if this is a loot drop.</v>
      </c>
      <c r="C227" s="1" t="str">
        <f>IFERROR(__xludf.DUMMYFUNCTION("""COMPUTED_VALUE"""),"Item")</f>
        <v>Item</v>
      </c>
      <c r="D227" s="1" t="str">
        <f>IFERROR(__xludf.DUMMYFUNCTION("""COMPUTED_VALUE"""),"Land of Spira")</f>
        <v>Land of Spira</v>
      </c>
      <c r="E227" s="1" t="b">
        <f>IFERROR(__xludf.DUMMYFUNCTION("""COMPUTED_VALUE"""),FALSE)</f>
        <v>0</v>
      </c>
      <c r="F227" s="1"/>
      <c r="G227" s="1"/>
      <c r="H227" s="1"/>
      <c r="I227" s="1"/>
      <c r="J227" s="1"/>
      <c r="K227" s="1"/>
      <c r="L227" s="1"/>
      <c r="M227" s="1"/>
      <c r="N227" s="1"/>
      <c r="O227" s="1"/>
      <c r="P227" s="1"/>
      <c r="Q227" s="1"/>
      <c r="R227" s="1"/>
      <c r="S227" s="1"/>
      <c r="T227" s="1"/>
      <c r="U227" s="1"/>
      <c r="V227" s="1"/>
      <c r="W227" s="1"/>
      <c r="X227" s="1"/>
      <c r="Y227" s="1"/>
      <c r="Z227" s="1"/>
    </row>
    <row r="228" ht="15.75" customHeight="1">
      <c r="A228" s="21" t="str">
        <f>IFERROR(__xludf.DUMMYFUNCTION("""COMPUTED_VALUE"""),"Flaming Horns")</f>
        <v>Flaming Horns</v>
      </c>
      <c r="B228" s="21" t="str">
        <f>IFERROR(__xludf.DUMMYFUNCTION("""COMPUTED_VALUE"""),"Crafting Material, roll a d20 to see how many you get if this is a loot drop.")</f>
        <v>Crafting Material, roll a d20 to see how many you get if this is a loot drop.</v>
      </c>
      <c r="C228" s="1" t="str">
        <f>IFERROR(__xludf.DUMMYFUNCTION("""COMPUTED_VALUE"""),"Item")</f>
        <v>Item</v>
      </c>
      <c r="D228" s="1" t="str">
        <f>IFERROR(__xludf.DUMMYFUNCTION("""COMPUTED_VALUE"""),"Land of Spira")</f>
        <v>Land of Spira</v>
      </c>
      <c r="E228" s="1" t="b">
        <f>IFERROR(__xludf.DUMMYFUNCTION("""COMPUTED_VALUE"""),FALSE)</f>
        <v>0</v>
      </c>
      <c r="F228" s="1"/>
      <c r="G228" s="1"/>
      <c r="H228" s="1"/>
      <c r="I228" s="1"/>
      <c r="J228" s="1"/>
      <c r="K228" s="1"/>
      <c r="L228" s="1"/>
      <c r="M228" s="1"/>
      <c r="N228" s="1"/>
      <c r="O228" s="1"/>
      <c r="P228" s="1"/>
      <c r="Q228" s="1"/>
      <c r="R228" s="1"/>
      <c r="S228" s="1"/>
      <c r="T228" s="1"/>
      <c r="U228" s="1"/>
      <c r="V228" s="1"/>
      <c r="W228" s="1"/>
      <c r="X228" s="1"/>
      <c r="Y228" s="1"/>
      <c r="Z228" s="1"/>
    </row>
    <row r="229" ht="15.75" customHeight="1">
      <c r="A229" s="21" t="str">
        <f>IFERROR(__xludf.DUMMYFUNCTION("""COMPUTED_VALUE"""),"Cooked Yak Meat")</f>
        <v>Cooked Yak Meat</v>
      </c>
      <c r="B229" s="21" t="str">
        <f>IFERROR(__xludf.DUMMYFUNCTION("""COMPUTED_VALUE"""),"Restores 10 hunger and energy")</f>
        <v>Restores 10 hunger and energy</v>
      </c>
      <c r="C229" s="1" t="str">
        <f>IFERROR(__xludf.DUMMYFUNCTION("""COMPUTED_VALUE"""),"Crop")</f>
        <v>Crop</v>
      </c>
      <c r="D229" s="1" t="str">
        <f>IFERROR(__xludf.DUMMYFUNCTION("""COMPUTED_VALUE"""),"Land of Spira")</f>
        <v>Land of Spira</v>
      </c>
      <c r="E229" s="1" t="b">
        <f>IFERROR(__xludf.DUMMYFUNCTION("""COMPUTED_VALUE"""),FALSE)</f>
        <v>0</v>
      </c>
      <c r="F229" s="1"/>
      <c r="G229" s="1"/>
      <c r="H229" s="1"/>
      <c r="I229" s="1"/>
      <c r="J229" s="1"/>
      <c r="K229" s="1"/>
      <c r="L229" s="1"/>
      <c r="M229" s="1"/>
      <c r="N229" s="1"/>
      <c r="O229" s="1"/>
      <c r="P229" s="1"/>
      <c r="Q229" s="1"/>
      <c r="R229" s="1"/>
      <c r="S229" s="1"/>
      <c r="T229" s="1"/>
      <c r="U229" s="1"/>
      <c r="V229" s="1"/>
      <c r="W229" s="1"/>
      <c r="X229" s="1"/>
      <c r="Y229" s="1"/>
      <c r="Z229" s="1"/>
    </row>
    <row r="230" ht="15.75" customHeight="1">
      <c r="A230" s="21" t="str">
        <f>IFERROR(__xludf.DUMMYFUNCTION("""COMPUTED_VALUE"""),"Leaf Of The Ancient Tree Of Flames")</f>
        <v>Leaf Of The Ancient Tree Of Flames</v>
      </c>
      <c r="B230" s="21" t="str">
        <f>IFERROR(__xludf.DUMMYFUNCTION("""COMPUTED_VALUE"""),"Gain 1 free fire power of choosing. (Can only be obtained once per player)")</f>
        <v>Gain 1 free fire power of choosing. (Can only be obtained once per player)</v>
      </c>
      <c r="C230" s="1" t="str">
        <f>IFERROR(__xludf.DUMMYFUNCTION("""COMPUTED_VALUE"""),"Item")</f>
        <v>Item</v>
      </c>
      <c r="D230" s="1" t="str">
        <f>IFERROR(__xludf.DUMMYFUNCTION("""COMPUTED_VALUE"""),"Land of Spira")</f>
        <v>Land of Spira</v>
      </c>
      <c r="E230" s="1" t="b">
        <f>IFERROR(__xludf.DUMMYFUNCTION("""COMPUTED_VALUE"""),FALSE)</f>
        <v>0</v>
      </c>
      <c r="F230" s="1"/>
      <c r="G230" s="1"/>
      <c r="H230" s="1"/>
      <c r="I230" s="1"/>
      <c r="J230" s="1"/>
      <c r="K230" s="1"/>
      <c r="L230" s="1"/>
      <c r="M230" s="1"/>
      <c r="N230" s="1"/>
      <c r="O230" s="1"/>
      <c r="P230" s="1"/>
      <c r="Q230" s="1"/>
      <c r="R230" s="1"/>
      <c r="S230" s="1"/>
      <c r="T230" s="1"/>
      <c r="U230" s="1"/>
      <c r="V230" s="1"/>
      <c r="W230" s="1"/>
      <c r="X230" s="1"/>
      <c r="Y230" s="1"/>
      <c r="Z230" s="1"/>
    </row>
    <row r="231" ht="15.75" customHeight="1">
      <c r="A231" s="21" t="str">
        <f>IFERROR(__xludf.DUMMYFUNCTION("""COMPUTED_VALUE"""),"Ancient Volcanic Worm Egg")</f>
        <v>Ancient Volcanic Worm Egg</v>
      </c>
      <c r="B231" s="21"/>
      <c r="C231" s="1" t="str">
        <f>IFERROR(__xludf.DUMMYFUNCTION("""COMPUTED_VALUE"""),"Item")</f>
        <v>Item</v>
      </c>
      <c r="D231" s="1" t="str">
        <f>IFERROR(__xludf.DUMMYFUNCTION("""COMPUTED_VALUE"""),"Land of Spira")</f>
        <v>Land of Spira</v>
      </c>
      <c r="E231" s="1" t="b">
        <f>IFERROR(__xludf.DUMMYFUNCTION("""COMPUTED_VALUE"""),FALSE)</f>
        <v>0</v>
      </c>
      <c r="F231" s="1"/>
      <c r="G231" s="1"/>
      <c r="H231" s="1"/>
      <c r="I231" s="1"/>
      <c r="J231" s="1"/>
      <c r="K231" s="1"/>
      <c r="L231" s="1"/>
      <c r="M231" s="1"/>
      <c r="N231" s="1"/>
      <c r="O231" s="1"/>
      <c r="P231" s="1"/>
      <c r="Q231" s="1"/>
      <c r="R231" s="1"/>
      <c r="S231" s="1"/>
      <c r="T231" s="1"/>
      <c r="U231" s="1"/>
      <c r="V231" s="1"/>
      <c r="W231" s="1"/>
      <c r="X231" s="1"/>
      <c r="Y231" s="1"/>
      <c r="Z231" s="1"/>
    </row>
    <row r="232" ht="15.75" customHeight="1">
      <c r="A232" s="21" t="str">
        <f>IFERROR(__xludf.DUMMYFUNCTION("""COMPUTED_VALUE"""),"Ancient Volcanic Worm Core")</f>
        <v>Ancient Volcanic Worm Core</v>
      </c>
      <c r="B232" s="21" t="str">
        <f>IFERROR(__xludf.DUMMYFUNCTION("""COMPUTED_VALUE"""),"Consume to gain permanent 2000 fire resistance. (Can only obtain 1 per player)")</f>
        <v>Consume to gain permanent 2000 fire resistance. (Can only obtain 1 per player)</v>
      </c>
      <c r="C232" s="1" t="str">
        <f>IFERROR(__xludf.DUMMYFUNCTION("""COMPUTED_VALUE"""),"Item")</f>
        <v>Item</v>
      </c>
      <c r="D232" s="1" t="str">
        <f>IFERROR(__xludf.DUMMYFUNCTION("""COMPUTED_VALUE"""),"Land of Spira")</f>
        <v>Land of Spira</v>
      </c>
      <c r="E232" s="1" t="b">
        <f>IFERROR(__xludf.DUMMYFUNCTION("""COMPUTED_VALUE"""),FALSE)</f>
        <v>0</v>
      </c>
      <c r="F232" s="1"/>
      <c r="G232" s="1"/>
      <c r="H232" s="1"/>
      <c r="I232" s="1"/>
      <c r="J232" s="1"/>
      <c r="K232" s="1"/>
      <c r="L232" s="1"/>
      <c r="M232" s="1"/>
      <c r="N232" s="1"/>
      <c r="O232" s="1"/>
      <c r="P232" s="1"/>
      <c r="Q232" s="1"/>
      <c r="R232" s="1"/>
      <c r="S232" s="1"/>
      <c r="T232" s="1"/>
      <c r="U232" s="1"/>
      <c r="V232" s="1"/>
      <c r="W232" s="1"/>
      <c r="X232" s="1"/>
      <c r="Y232" s="1"/>
      <c r="Z232" s="1"/>
    </row>
    <row r="233" ht="15.75" customHeight="1">
      <c r="A233" s="21" t="str">
        <f>IFERROR(__xludf.DUMMYFUNCTION("""COMPUTED_VALUE"""),"Lava Tiger Skin")</f>
        <v>Lava Tiger Skin</v>
      </c>
      <c r="B233" s="21" t="str">
        <f>IFERROR(__xludf.DUMMYFUNCTION("""COMPUTED_VALUE"""),"Crafting Material, roll a d20 to see how many you get if this is a loot drop.")</f>
        <v>Crafting Material, roll a d20 to see how many you get if this is a loot drop.</v>
      </c>
      <c r="C233" s="1" t="str">
        <f>IFERROR(__xludf.DUMMYFUNCTION("""COMPUTED_VALUE"""),"Item")</f>
        <v>Item</v>
      </c>
      <c r="D233" s="1" t="str">
        <f>IFERROR(__xludf.DUMMYFUNCTION("""COMPUTED_VALUE"""),"Land of Spira")</f>
        <v>Land of Spira</v>
      </c>
      <c r="E233" s="1" t="b">
        <f>IFERROR(__xludf.DUMMYFUNCTION("""COMPUTED_VALUE"""),FALSE)</f>
        <v>0</v>
      </c>
      <c r="F233" s="1"/>
      <c r="G233" s="1"/>
      <c r="H233" s="1"/>
      <c r="I233" s="1"/>
      <c r="J233" s="1"/>
      <c r="K233" s="1"/>
      <c r="L233" s="1"/>
      <c r="M233" s="1"/>
      <c r="N233" s="1"/>
      <c r="O233" s="1"/>
      <c r="P233" s="1"/>
      <c r="Q233" s="1"/>
      <c r="R233" s="1"/>
      <c r="S233" s="1"/>
      <c r="T233" s="1"/>
      <c r="U233" s="1"/>
      <c r="V233" s="1"/>
      <c r="W233" s="1"/>
      <c r="X233" s="1"/>
      <c r="Y233" s="1"/>
      <c r="Z233" s="1"/>
    </row>
    <row r="234" ht="15.75" customHeight="1">
      <c r="A234" s="21" t="str">
        <f>IFERROR(__xludf.DUMMYFUNCTION("""COMPUTED_VALUE"""),"Cooked Tiger Meat")</f>
        <v>Cooked Tiger Meat</v>
      </c>
      <c r="B234" s="21" t="str">
        <f>IFERROR(__xludf.DUMMYFUNCTION("""COMPUTED_VALUE"""),"restores 20 hunger and energy")</f>
        <v>restores 20 hunger and energy</v>
      </c>
      <c r="C234" s="1" t="str">
        <f>IFERROR(__xludf.DUMMYFUNCTION("""COMPUTED_VALUE"""),"Crop")</f>
        <v>Crop</v>
      </c>
      <c r="D234" s="1" t="str">
        <f>IFERROR(__xludf.DUMMYFUNCTION("""COMPUTED_VALUE"""),"Land of Spira")</f>
        <v>Land of Spira</v>
      </c>
      <c r="E234" s="1" t="b">
        <f>IFERROR(__xludf.DUMMYFUNCTION("""COMPUTED_VALUE"""),FALSE)</f>
        <v>0</v>
      </c>
      <c r="F234" s="1"/>
      <c r="G234" s="1"/>
      <c r="H234" s="1"/>
      <c r="I234" s="1"/>
      <c r="J234" s="1"/>
      <c r="K234" s="1"/>
      <c r="L234" s="1"/>
      <c r="M234" s="1"/>
      <c r="N234" s="1"/>
      <c r="O234" s="1"/>
      <c r="P234" s="1"/>
      <c r="Q234" s="1"/>
      <c r="R234" s="1"/>
      <c r="S234" s="1"/>
      <c r="T234" s="1"/>
      <c r="U234" s="1"/>
      <c r="V234" s="1"/>
      <c r="W234" s="1"/>
      <c r="X234" s="1"/>
      <c r="Y234" s="1"/>
      <c r="Z234" s="1"/>
    </row>
    <row r="235" ht="15.75" customHeight="1">
      <c r="A235" s="21" t="str">
        <f>IFERROR(__xludf.DUMMYFUNCTION("""COMPUTED_VALUE"""),"Liches Eye")</f>
        <v>Liches Eye</v>
      </c>
      <c r="B235" s="21" t="str">
        <f>IFERROR(__xludf.DUMMYFUNCTION("""COMPUTED_VALUE"""),"Consumable, 100= permanent +5 to accuracy")</f>
        <v>Consumable, 100= permanent +5 to accuracy</v>
      </c>
      <c r="C235" s="1" t="str">
        <f>IFERROR(__xludf.DUMMYFUNCTION("""COMPUTED_VALUE"""),"Item")</f>
        <v>Item</v>
      </c>
      <c r="D235" s="1" t="str">
        <f>IFERROR(__xludf.DUMMYFUNCTION("""COMPUTED_VALUE"""),"Land of Spira")</f>
        <v>Land of Spira</v>
      </c>
      <c r="E235" s="1" t="b">
        <f>IFERROR(__xludf.DUMMYFUNCTION("""COMPUTED_VALUE"""),FALSE)</f>
        <v>0</v>
      </c>
      <c r="F235" s="1"/>
      <c r="G235" s="1"/>
      <c r="H235" s="1"/>
      <c r="I235" s="1"/>
      <c r="J235" s="1"/>
      <c r="K235" s="1"/>
      <c r="L235" s="1"/>
      <c r="M235" s="1"/>
      <c r="N235" s="1"/>
      <c r="O235" s="1"/>
      <c r="P235" s="1"/>
      <c r="Q235" s="1"/>
      <c r="R235" s="1"/>
      <c r="S235" s="1"/>
      <c r="T235" s="1"/>
      <c r="U235" s="1"/>
      <c r="V235" s="1"/>
      <c r="W235" s="1"/>
      <c r="X235" s="1"/>
      <c r="Y235" s="1"/>
      <c r="Z235" s="1"/>
    </row>
    <row r="236" ht="15.75" customHeight="1">
      <c r="A236" s="21" t="str">
        <f>IFERROR(__xludf.DUMMYFUNCTION("""COMPUTED_VALUE"""),"Rank 9 Fire Tome")</f>
        <v>Rank 9 Fire Tome</v>
      </c>
      <c r="B236" s="21" t="str">
        <f>IFERROR(__xludf.DUMMYFUNCTION("""COMPUTED_VALUE"""),"Can only obtain 1 per player")</f>
        <v>Can only obtain 1 per player</v>
      </c>
      <c r="C236" s="1" t="str">
        <f>IFERROR(__xludf.DUMMYFUNCTION("""COMPUTED_VALUE"""),"Item")</f>
        <v>Item</v>
      </c>
      <c r="D236" s="1" t="str">
        <f>IFERROR(__xludf.DUMMYFUNCTION("""COMPUTED_VALUE"""),"Land of Spira")</f>
        <v>Land of Spira</v>
      </c>
      <c r="E236" s="1" t="b">
        <f>IFERROR(__xludf.DUMMYFUNCTION("""COMPUTED_VALUE"""),FALSE)</f>
        <v>0</v>
      </c>
      <c r="F236" s="1"/>
      <c r="G236" s="1"/>
      <c r="H236" s="1"/>
      <c r="I236" s="1"/>
      <c r="J236" s="1"/>
      <c r="K236" s="1"/>
      <c r="L236" s="1"/>
      <c r="M236" s="1"/>
      <c r="N236" s="1"/>
      <c r="O236" s="1"/>
      <c r="P236" s="1"/>
      <c r="Q236" s="1"/>
      <c r="R236" s="1"/>
      <c r="S236" s="1"/>
      <c r="T236" s="1"/>
      <c r="U236" s="1"/>
      <c r="V236" s="1"/>
      <c r="W236" s="1"/>
      <c r="X236" s="1"/>
      <c r="Y236" s="1"/>
      <c r="Z236" s="1"/>
    </row>
    <row r="237" ht="15.75" customHeight="1">
      <c r="A237" s="21" t="str">
        <f>IFERROR(__xludf.DUMMYFUNCTION("""COMPUTED_VALUE"""),"Ancient Fire Serpent Egg")</f>
        <v>Ancient Fire Serpent Egg</v>
      </c>
      <c r="B237" s="21"/>
      <c r="C237" s="1" t="str">
        <f>IFERROR(__xludf.DUMMYFUNCTION("""COMPUTED_VALUE"""),"Item")</f>
        <v>Item</v>
      </c>
      <c r="D237" s="1" t="str">
        <f>IFERROR(__xludf.DUMMYFUNCTION("""COMPUTED_VALUE"""),"Land of Spira")</f>
        <v>Land of Spira</v>
      </c>
      <c r="E237" s="1" t="b">
        <f>IFERROR(__xludf.DUMMYFUNCTION("""COMPUTED_VALUE"""),FALSE)</f>
        <v>0</v>
      </c>
      <c r="F237" s="1"/>
      <c r="G237" s="1"/>
      <c r="H237" s="1"/>
      <c r="I237" s="1"/>
      <c r="J237" s="1"/>
      <c r="K237" s="1"/>
      <c r="L237" s="1"/>
      <c r="M237" s="1"/>
      <c r="N237" s="1"/>
      <c r="O237" s="1"/>
      <c r="P237" s="1"/>
      <c r="Q237" s="1"/>
      <c r="R237" s="1"/>
      <c r="S237" s="1"/>
      <c r="T237" s="1"/>
      <c r="U237" s="1"/>
      <c r="V237" s="1"/>
      <c r="W237" s="1"/>
      <c r="X237" s="1"/>
      <c r="Y237" s="1"/>
      <c r="Z237" s="1"/>
    </row>
    <row r="238" ht="15.75" customHeight="1">
      <c r="A238" s="21" t="str">
        <f>IFERROR(__xludf.DUMMYFUNCTION("""COMPUTED_VALUE"""),"Demons Eye")</f>
        <v>Demons Eye</v>
      </c>
      <c r="B238" s="21" t="str">
        <f>IFERROR(__xludf.DUMMYFUNCTION("""COMPUTED_VALUE"""),"Crafting Material, roll a d20 to see how many you get if this is a loot drop.")</f>
        <v>Crafting Material, roll a d20 to see how many you get if this is a loot drop.</v>
      </c>
      <c r="C238" s="1" t="str">
        <f>IFERROR(__xludf.DUMMYFUNCTION("""COMPUTED_VALUE"""),"Item")</f>
        <v>Item</v>
      </c>
      <c r="D238" s="1" t="str">
        <f>IFERROR(__xludf.DUMMYFUNCTION("""COMPUTED_VALUE"""),"Land of Spira")</f>
        <v>Land of Spira</v>
      </c>
      <c r="E238" s="1" t="b">
        <f>IFERROR(__xludf.DUMMYFUNCTION("""COMPUTED_VALUE"""),FALSE)</f>
        <v>0</v>
      </c>
      <c r="F238" s="1"/>
      <c r="G238" s="1"/>
      <c r="H238" s="1"/>
      <c r="I238" s="1"/>
      <c r="J238" s="1"/>
      <c r="K238" s="1"/>
      <c r="L238" s="1"/>
      <c r="M238" s="1"/>
      <c r="N238" s="1"/>
      <c r="O238" s="1"/>
      <c r="P238" s="1"/>
      <c r="Q238" s="1"/>
      <c r="R238" s="1"/>
      <c r="S238" s="1"/>
      <c r="T238" s="1"/>
      <c r="U238" s="1"/>
      <c r="V238" s="1"/>
      <c r="W238" s="1"/>
      <c r="X238" s="1"/>
      <c r="Y238" s="1"/>
      <c r="Z238" s="1"/>
    </row>
    <row r="239" ht="15.75" customHeight="1">
      <c r="A239" s="21" t="str">
        <f>IFERROR(__xludf.DUMMYFUNCTION("""COMPUTED_VALUE"""),"Demon Core")</f>
        <v>Demon Core</v>
      </c>
      <c r="B239" s="21" t="str">
        <f>IFERROR(__xludf.DUMMYFUNCTION("""COMPUTED_VALUE"""),"Consumable, 1 free chaos power of choice. (Can only obtain 1 per player)")</f>
        <v>Consumable, 1 free chaos power of choice. (Can only obtain 1 per player)</v>
      </c>
      <c r="C239" s="1" t="str">
        <f>IFERROR(__xludf.DUMMYFUNCTION("""COMPUTED_VALUE"""),"Item")</f>
        <v>Item</v>
      </c>
      <c r="D239" s="1" t="str">
        <f>IFERROR(__xludf.DUMMYFUNCTION("""COMPUTED_VALUE"""),"Land of Spira")</f>
        <v>Land of Spira</v>
      </c>
      <c r="E239" s="1" t="b">
        <f>IFERROR(__xludf.DUMMYFUNCTION("""COMPUTED_VALUE"""),FALSE)</f>
        <v>0</v>
      </c>
      <c r="F239" s="1"/>
      <c r="G239" s="1"/>
      <c r="H239" s="1"/>
      <c r="I239" s="1"/>
      <c r="J239" s="1"/>
      <c r="K239" s="1"/>
      <c r="L239" s="1"/>
      <c r="M239" s="1"/>
      <c r="N239" s="1"/>
      <c r="O239" s="1"/>
      <c r="P239" s="1"/>
      <c r="Q239" s="1"/>
      <c r="R239" s="1"/>
      <c r="S239" s="1"/>
      <c r="T239" s="1"/>
      <c r="U239" s="1"/>
      <c r="V239" s="1"/>
      <c r="W239" s="1"/>
      <c r="X239" s="1"/>
      <c r="Y239" s="1"/>
      <c r="Z239" s="1"/>
    </row>
    <row r="240" ht="15.75" customHeight="1">
      <c r="A240" s="21" t="str">
        <f>IFERROR(__xludf.DUMMYFUNCTION("""COMPUTED_VALUE"""),"Sentinel Core")</f>
        <v>Sentinel Core</v>
      </c>
      <c r="B240" s="21" t="str">
        <f>IFERROR(__xludf.DUMMYFUNCTION("""COMPUTED_VALUE"""),"Summon an Ancient Fire Sentinel to battle, Level determined by DM/GM. Can only be used once.")</f>
        <v>Summon an Ancient Fire Sentinel to battle, Level determined by DM/GM. Can only be used once.</v>
      </c>
      <c r="C240" s="1" t="str">
        <f>IFERROR(__xludf.DUMMYFUNCTION("""COMPUTED_VALUE"""),"Item")</f>
        <v>Item</v>
      </c>
      <c r="D240" s="1" t="str">
        <f>IFERROR(__xludf.DUMMYFUNCTION("""COMPUTED_VALUE"""),"Land of Spira")</f>
        <v>Land of Spira</v>
      </c>
      <c r="E240" s="1" t="b">
        <f>IFERROR(__xludf.DUMMYFUNCTION("""COMPUTED_VALUE"""),FALSE)</f>
        <v>0</v>
      </c>
      <c r="F240" s="1"/>
      <c r="G240" s="1"/>
      <c r="H240" s="1"/>
      <c r="I240" s="1"/>
      <c r="J240" s="1"/>
      <c r="K240" s="1"/>
      <c r="L240" s="1"/>
      <c r="M240" s="1"/>
      <c r="N240" s="1"/>
      <c r="O240" s="1"/>
      <c r="P240" s="1"/>
      <c r="Q240" s="1"/>
      <c r="R240" s="1"/>
      <c r="S240" s="1"/>
      <c r="T240" s="1"/>
      <c r="U240" s="1"/>
      <c r="V240" s="1"/>
      <c r="W240" s="1"/>
      <c r="X240" s="1"/>
      <c r="Y240" s="1"/>
      <c r="Z240" s="1"/>
    </row>
    <row r="241" ht="15.75" customHeight="1">
      <c r="A241" s="21" t="str">
        <f>IFERROR(__xludf.DUMMYFUNCTION("""COMPUTED_VALUE"""),"Fire Gem")</f>
        <v>Fire Gem</v>
      </c>
      <c r="B241" s="21" t="str">
        <f>IFERROR(__xludf.DUMMYFUNCTION("""COMPUTED_VALUE"""),"Crafting Material, roll a d20 to see how many you get if this is a loot drop.")</f>
        <v>Crafting Material, roll a d20 to see how many you get if this is a loot drop.</v>
      </c>
      <c r="C241" s="1" t="str">
        <f>IFERROR(__xludf.DUMMYFUNCTION("""COMPUTED_VALUE"""),"Item")</f>
        <v>Item</v>
      </c>
      <c r="D241" s="1" t="str">
        <f>IFERROR(__xludf.DUMMYFUNCTION("""COMPUTED_VALUE"""),"Land of Spira")</f>
        <v>Land of Spira</v>
      </c>
      <c r="E241" s="1" t="b">
        <f>IFERROR(__xludf.DUMMYFUNCTION("""COMPUTED_VALUE"""),FALSE)</f>
        <v>0</v>
      </c>
      <c r="F241" s="1"/>
      <c r="G241" s="1"/>
      <c r="H241" s="1"/>
      <c r="I241" s="1"/>
      <c r="J241" s="1"/>
      <c r="K241" s="1"/>
      <c r="L241" s="1"/>
      <c r="M241" s="1"/>
      <c r="N241" s="1"/>
      <c r="O241" s="1"/>
      <c r="P241" s="1"/>
      <c r="Q241" s="1"/>
      <c r="R241" s="1"/>
      <c r="S241" s="1"/>
      <c r="T241" s="1"/>
      <c r="U241" s="1"/>
      <c r="V241" s="1"/>
      <c r="W241" s="1"/>
      <c r="X241" s="1"/>
      <c r="Y241" s="1"/>
      <c r="Z241" s="1"/>
    </row>
    <row r="242" ht="15.75" customHeight="1">
      <c r="A242" s="21" t="str">
        <f>IFERROR(__xludf.DUMMYFUNCTION("""COMPUTED_VALUE"""),"Aquatic Diamond")</f>
        <v>Aquatic Diamond</v>
      </c>
      <c r="B242" s="21" t="str">
        <f>IFERROR(__xludf.DUMMYFUNCTION("""COMPUTED_VALUE"""),"Crafting Material, roll a d20 to see how many you get if this is a loot drop.")</f>
        <v>Crafting Material, roll a d20 to see how many you get if this is a loot drop.</v>
      </c>
      <c r="C242" s="1" t="str">
        <f>IFERROR(__xludf.DUMMYFUNCTION("""COMPUTED_VALUE"""),"Item")</f>
        <v>Item</v>
      </c>
      <c r="D242" s="1" t="str">
        <f>IFERROR(__xludf.DUMMYFUNCTION("""COMPUTED_VALUE"""),"Land of Spira")</f>
        <v>Land of Spira</v>
      </c>
      <c r="E242" s="1" t="b">
        <f>IFERROR(__xludf.DUMMYFUNCTION("""COMPUTED_VALUE"""),FALSE)</f>
        <v>0</v>
      </c>
      <c r="F242" s="1"/>
      <c r="G242" s="1"/>
      <c r="H242" s="1"/>
      <c r="I242" s="1"/>
      <c r="J242" s="1"/>
      <c r="K242" s="1"/>
      <c r="L242" s="1"/>
      <c r="M242" s="1"/>
      <c r="N242" s="1"/>
      <c r="O242" s="1"/>
      <c r="P242" s="1"/>
      <c r="Q242" s="1"/>
      <c r="R242" s="1"/>
      <c r="S242" s="1"/>
      <c r="T242" s="1"/>
      <c r="U242" s="1"/>
      <c r="V242" s="1"/>
      <c r="W242" s="1"/>
      <c r="X242" s="1"/>
      <c r="Y242" s="1"/>
      <c r="Z242" s="1"/>
    </row>
    <row r="243" ht="15.75" customHeight="1">
      <c r="A243" s="21" t="str">
        <f>IFERROR(__xludf.DUMMYFUNCTION("""COMPUTED_VALUE"""),"Corrupted Twilight Knight Soul")</f>
        <v>Corrupted Twilight Knight Soul</v>
      </c>
      <c r="B243" s="21"/>
      <c r="C243" s="1" t="str">
        <f>IFERROR(__xludf.DUMMYFUNCTION("""COMPUTED_VALUE"""),"Item")</f>
        <v>Item</v>
      </c>
      <c r="D243" s="1" t="str">
        <f>IFERROR(__xludf.DUMMYFUNCTION("""COMPUTED_VALUE"""),"Land of Spira")</f>
        <v>Land of Spira</v>
      </c>
      <c r="E243" s="1" t="b">
        <f>IFERROR(__xludf.DUMMYFUNCTION("""COMPUTED_VALUE"""),FALSE)</f>
        <v>0</v>
      </c>
      <c r="F243" s="1"/>
      <c r="G243" s="1"/>
      <c r="H243" s="1"/>
      <c r="I243" s="1"/>
      <c r="J243" s="1"/>
      <c r="K243" s="1"/>
      <c r="L243" s="1"/>
      <c r="M243" s="1"/>
      <c r="N243" s="1"/>
      <c r="O243" s="1"/>
      <c r="P243" s="1"/>
      <c r="Q243" s="1"/>
      <c r="R243" s="1"/>
      <c r="S243" s="1"/>
      <c r="T243" s="1"/>
      <c r="U243" s="1"/>
      <c r="V243" s="1"/>
      <c r="W243" s="1"/>
      <c r="X243" s="1"/>
      <c r="Y243" s="1"/>
      <c r="Z243" s="1"/>
    </row>
    <row r="244" ht="15.75" customHeight="1">
      <c r="A244" s="21" t="str">
        <f>IFERROR(__xludf.DUMMYFUNCTION("""COMPUTED_VALUE"""),"Hay")</f>
        <v>Hay</v>
      </c>
      <c r="B244" s="21" t="str">
        <f>IFERROR(__xludf.DUMMYFUNCTION("""COMPUTED_VALUE"""),"Restores 5 hunger.")</f>
        <v>Restores 5 hunger.</v>
      </c>
      <c r="C244" s="1" t="str">
        <f>IFERROR(__xludf.DUMMYFUNCTION("""COMPUTED_VALUE"""),"Crop")</f>
        <v>Crop</v>
      </c>
      <c r="D244" s="1" t="str">
        <f>IFERROR(__xludf.DUMMYFUNCTION("""COMPUTED_VALUE"""),"Land of Spira")</f>
        <v>Land of Spira</v>
      </c>
      <c r="E244" s="1" t="b">
        <f>IFERROR(__xludf.DUMMYFUNCTION("""COMPUTED_VALUE"""),FALSE)</f>
        <v>0</v>
      </c>
      <c r="F244" s="1"/>
      <c r="G244" s="1"/>
      <c r="H244" s="1"/>
      <c r="I244" s="1"/>
      <c r="J244" s="1"/>
      <c r="K244" s="1"/>
      <c r="L244" s="1"/>
      <c r="M244" s="1"/>
      <c r="N244" s="1"/>
      <c r="O244" s="1"/>
      <c r="P244" s="1"/>
      <c r="Q244" s="1"/>
      <c r="R244" s="1"/>
      <c r="S244" s="1"/>
      <c r="T244" s="1"/>
      <c r="U244" s="1"/>
      <c r="V244" s="1"/>
      <c r="W244" s="1"/>
      <c r="X244" s="1"/>
      <c r="Y244" s="1"/>
      <c r="Z244" s="1"/>
    </row>
    <row r="245" ht="15.75" customHeight="1">
      <c r="A245" s="21" t="str">
        <f>IFERROR(__xludf.DUMMYFUNCTION("""COMPUTED_VALUE"""),"Shadow Suit of armor Soul")</f>
        <v>Shadow Suit of armor Soul</v>
      </c>
      <c r="B245" s="21"/>
      <c r="C245" s="1" t="str">
        <f>IFERROR(__xludf.DUMMYFUNCTION("""COMPUTED_VALUE"""),"Item")</f>
        <v>Item</v>
      </c>
      <c r="D245" s="1" t="str">
        <f>IFERROR(__xludf.DUMMYFUNCTION("""COMPUTED_VALUE"""),"Land of Spira")</f>
        <v>Land of Spira</v>
      </c>
      <c r="E245" s="1" t="b">
        <f>IFERROR(__xludf.DUMMYFUNCTION("""COMPUTED_VALUE"""),FALSE)</f>
        <v>0</v>
      </c>
      <c r="F245" s="1"/>
      <c r="G245" s="1"/>
      <c r="H245" s="1"/>
      <c r="I245" s="1"/>
      <c r="J245" s="1"/>
      <c r="K245" s="1"/>
      <c r="L245" s="1"/>
      <c r="M245" s="1"/>
      <c r="N245" s="1"/>
      <c r="O245" s="1"/>
      <c r="P245" s="1"/>
      <c r="Q245" s="1"/>
      <c r="R245" s="1"/>
      <c r="S245" s="1"/>
      <c r="T245" s="1"/>
      <c r="U245" s="1"/>
      <c r="V245" s="1"/>
      <c r="W245" s="1"/>
      <c r="X245" s="1"/>
      <c r="Y245" s="1"/>
      <c r="Z245" s="1"/>
    </row>
    <row r="246" ht="15.75" customHeight="1">
      <c r="A246" s="21" t="str">
        <f>IFERROR(__xludf.DUMMYFUNCTION("""COMPUTED_VALUE"""),"Mana Potion")</f>
        <v>Mana Potion</v>
      </c>
      <c r="B246" s="21" t="str">
        <f>IFERROR(__xludf.DUMMYFUNCTION("""COMPUTED_VALUE"""),"Regain 10 SP")</f>
        <v>Regain 10 SP</v>
      </c>
      <c r="C246" s="1" t="str">
        <f>IFERROR(__xludf.DUMMYFUNCTION("""COMPUTED_VALUE"""),"Item")</f>
        <v>Item</v>
      </c>
      <c r="D246" s="1" t="str">
        <f>IFERROR(__xludf.DUMMYFUNCTION("""COMPUTED_VALUE"""),"Land of Spira")</f>
        <v>Land of Spira</v>
      </c>
      <c r="E246" s="1" t="b">
        <f>IFERROR(__xludf.DUMMYFUNCTION("""COMPUTED_VALUE"""),FALSE)</f>
        <v>0</v>
      </c>
      <c r="F246" s="1"/>
      <c r="G246" s="1"/>
      <c r="H246" s="1"/>
      <c r="I246" s="1"/>
      <c r="J246" s="1"/>
      <c r="K246" s="1"/>
      <c r="L246" s="1"/>
      <c r="M246" s="1"/>
      <c r="N246" s="1"/>
      <c r="O246" s="1"/>
      <c r="P246" s="1"/>
      <c r="Q246" s="1"/>
      <c r="R246" s="1"/>
      <c r="S246" s="1"/>
      <c r="T246" s="1"/>
      <c r="U246" s="1"/>
      <c r="V246" s="1"/>
      <c r="W246" s="1"/>
      <c r="X246" s="1"/>
      <c r="Y246" s="1"/>
      <c r="Z246" s="1"/>
    </row>
    <row r="247" ht="15.75" customHeight="1">
      <c r="A247" s="21" t="str">
        <f>IFERROR(__xludf.DUMMYFUNCTION("""COMPUTED_VALUE"""),"Werewolf Pelt")</f>
        <v>Werewolf Pelt</v>
      </c>
      <c r="B247" s="21" t="str">
        <f>IFERROR(__xludf.DUMMYFUNCTION("""COMPUTED_VALUE"""),"Crafting Material, roll a d20 to see how many you get if this is a loot drop.")</f>
        <v>Crafting Material, roll a d20 to see how many you get if this is a loot drop.</v>
      </c>
      <c r="C247" s="1" t="str">
        <f>IFERROR(__xludf.DUMMYFUNCTION("""COMPUTED_VALUE"""),"Item")</f>
        <v>Item</v>
      </c>
      <c r="D247" s="1" t="str">
        <f>IFERROR(__xludf.DUMMYFUNCTION("""COMPUTED_VALUE"""),"Land of Spira")</f>
        <v>Land of Spira</v>
      </c>
      <c r="E247" s="1" t="b">
        <f>IFERROR(__xludf.DUMMYFUNCTION("""COMPUTED_VALUE"""),FALSE)</f>
        <v>0</v>
      </c>
      <c r="F247" s="1"/>
      <c r="G247" s="1"/>
      <c r="H247" s="1"/>
      <c r="I247" s="1"/>
      <c r="J247" s="1"/>
      <c r="K247" s="1"/>
      <c r="L247" s="1"/>
      <c r="M247" s="1"/>
      <c r="N247" s="1"/>
      <c r="O247" s="1"/>
      <c r="P247" s="1"/>
      <c r="Q247" s="1"/>
      <c r="R247" s="1"/>
      <c r="S247" s="1"/>
      <c r="T247" s="1"/>
      <c r="U247" s="1"/>
      <c r="V247" s="1"/>
      <c r="W247" s="1"/>
      <c r="X247" s="1"/>
      <c r="Y247" s="1"/>
      <c r="Z247" s="1"/>
    </row>
    <row r="248" ht="15.75" customHeight="1">
      <c r="A248" s="21" t="str">
        <f>IFERROR(__xludf.DUMMYFUNCTION("""COMPUTED_VALUE"""),"Halloween Emerald")</f>
        <v>Halloween Emerald</v>
      </c>
      <c r="B248" s="21" t="str">
        <f>IFERROR(__xludf.DUMMYFUNCTION("""COMPUTED_VALUE"""),"Crafting Material, roll a d20 to see how many you get if this is a loot drop.")</f>
        <v>Crafting Material, roll a d20 to see how many you get if this is a loot drop.</v>
      </c>
      <c r="C248" s="1" t="str">
        <f>IFERROR(__xludf.DUMMYFUNCTION("""COMPUTED_VALUE"""),"Item")</f>
        <v>Item</v>
      </c>
      <c r="D248" s="1" t="str">
        <f>IFERROR(__xludf.DUMMYFUNCTION("""COMPUTED_VALUE"""),"Halloween Kingdom")</f>
        <v>Halloween Kingdom</v>
      </c>
      <c r="E248" s="1" t="b">
        <f>IFERROR(__xludf.DUMMYFUNCTION("""COMPUTED_VALUE"""),FALSE)</f>
        <v>0</v>
      </c>
      <c r="F248" s="1"/>
      <c r="G248" s="1"/>
      <c r="H248" s="1"/>
      <c r="I248" s="1"/>
      <c r="J248" s="1"/>
      <c r="K248" s="1"/>
      <c r="L248" s="1"/>
      <c r="M248" s="1"/>
      <c r="N248" s="1"/>
      <c r="O248" s="1"/>
      <c r="P248" s="1"/>
      <c r="Q248" s="1"/>
      <c r="R248" s="1"/>
      <c r="S248" s="1"/>
      <c r="T248" s="1"/>
      <c r="U248" s="1"/>
      <c r="V248" s="1"/>
      <c r="W248" s="1"/>
      <c r="X248" s="1"/>
      <c r="Y248" s="1"/>
      <c r="Z248" s="1"/>
    </row>
    <row r="249" ht="15.75" customHeight="1">
      <c r="A249" s="21" t="str">
        <f>IFERROR(__xludf.DUMMYFUNCTION("""COMPUTED_VALUE"""),"Giant Halloween Diamond")</f>
        <v>Giant Halloween Diamond</v>
      </c>
      <c r="B249" s="21" t="str">
        <f>IFERROR(__xludf.DUMMYFUNCTION("""COMPUTED_VALUE"""),"Crafting Material, roll a d20 to see how many you get if this is a loot drop.")</f>
        <v>Crafting Material, roll a d20 to see how many you get if this is a loot drop.</v>
      </c>
      <c r="C249" s="1" t="str">
        <f>IFERROR(__xludf.DUMMYFUNCTION("""COMPUTED_VALUE"""),"Item")</f>
        <v>Item</v>
      </c>
      <c r="D249" s="1" t="str">
        <f>IFERROR(__xludf.DUMMYFUNCTION("""COMPUTED_VALUE"""),"Halloween Kingdom")</f>
        <v>Halloween Kingdom</v>
      </c>
      <c r="E249" s="1" t="b">
        <f>IFERROR(__xludf.DUMMYFUNCTION("""COMPUTED_VALUE"""),FALSE)</f>
        <v>0</v>
      </c>
      <c r="F249" s="1"/>
      <c r="G249" s="1"/>
      <c r="H249" s="1"/>
      <c r="I249" s="1"/>
      <c r="J249" s="1"/>
      <c r="K249" s="1"/>
      <c r="L249" s="1"/>
      <c r="M249" s="1"/>
      <c r="N249" s="1"/>
      <c r="O249" s="1"/>
      <c r="P249" s="1"/>
      <c r="Q249" s="1"/>
      <c r="R249" s="1"/>
      <c r="S249" s="1"/>
      <c r="T249" s="1"/>
      <c r="U249" s="1"/>
      <c r="V249" s="1"/>
      <c r="W249" s="1"/>
      <c r="X249" s="1"/>
      <c r="Y249" s="1"/>
      <c r="Z249" s="1"/>
    </row>
    <row r="250" ht="15.75" customHeight="1">
      <c r="A250" s="21" t="str">
        <f>IFERROR(__xludf.DUMMYFUNCTION("""COMPUTED_VALUE"""),"Rank 9 Twilight Tome")</f>
        <v>Rank 9 Twilight Tome</v>
      </c>
      <c r="B250" s="21" t="str">
        <f>IFERROR(__xludf.DUMMYFUNCTION("""COMPUTED_VALUE"""),"Allows use of up to Rank 9 Twilight Powers")</f>
        <v>Allows use of up to Rank 9 Twilight Powers</v>
      </c>
      <c r="C250" s="1" t="str">
        <f>IFERROR(__xludf.DUMMYFUNCTION("""COMPUTED_VALUE"""),"Item")</f>
        <v>Item</v>
      </c>
      <c r="D250" s="1" t="str">
        <f>IFERROR(__xludf.DUMMYFUNCTION("""COMPUTED_VALUE"""),"Land of Spira")</f>
        <v>Land of Spira</v>
      </c>
      <c r="E250" s="1" t="b">
        <f>IFERROR(__xludf.DUMMYFUNCTION("""COMPUTED_VALUE"""),FALSE)</f>
        <v>0</v>
      </c>
      <c r="F250" s="1"/>
      <c r="G250" s="1"/>
      <c r="H250" s="1"/>
      <c r="I250" s="1"/>
      <c r="J250" s="1"/>
      <c r="K250" s="1"/>
      <c r="L250" s="1"/>
      <c r="M250" s="1"/>
      <c r="N250" s="1"/>
      <c r="O250" s="1"/>
      <c r="P250" s="1"/>
      <c r="Q250" s="1"/>
      <c r="R250" s="1"/>
      <c r="S250" s="1"/>
      <c r="T250" s="1"/>
      <c r="U250" s="1"/>
      <c r="V250" s="1"/>
      <c r="W250" s="1"/>
      <c r="X250" s="1"/>
      <c r="Y250" s="1"/>
      <c r="Z250" s="1"/>
    </row>
    <row r="251" ht="15.75" customHeight="1">
      <c r="A251" s="21" t="str">
        <f>IFERROR(__xludf.DUMMYFUNCTION("""COMPUTED_VALUE"""),"Stasis Tome Rank 9")</f>
        <v>Stasis Tome Rank 9</v>
      </c>
      <c r="B251" s="21" t="str">
        <f>IFERROR(__xludf.DUMMYFUNCTION("""COMPUTED_VALUE"""),"Allows use of up to Rank 9 Stasis Powers")</f>
        <v>Allows use of up to Rank 9 Stasis Powers</v>
      </c>
      <c r="C251" s="1" t="str">
        <f>IFERROR(__xludf.DUMMYFUNCTION("""COMPUTED_VALUE"""),"Item")</f>
        <v>Item</v>
      </c>
      <c r="D251" s="1" t="str">
        <f>IFERROR(__xludf.DUMMYFUNCTION("""COMPUTED_VALUE"""),"Land of Spira")</f>
        <v>Land of Spira</v>
      </c>
      <c r="E251" s="1" t="b">
        <f>IFERROR(__xludf.DUMMYFUNCTION("""COMPUTED_VALUE"""),FALSE)</f>
        <v>0</v>
      </c>
      <c r="F251" s="1"/>
      <c r="G251" s="1"/>
      <c r="H251" s="1"/>
      <c r="I251" s="1"/>
      <c r="J251" s="1"/>
      <c r="K251" s="1"/>
      <c r="L251" s="1"/>
      <c r="M251" s="1"/>
      <c r="N251" s="1"/>
      <c r="O251" s="1"/>
      <c r="P251" s="1"/>
      <c r="Q251" s="1"/>
      <c r="R251" s="1"/>
      <c r="S251" s="1"/>
      <c r="T251" s="1"/>
      <c r="U251" s="1"/>
      <c r="V251" s="1"/>
      <c r="W251" s="1"/>
      <c r="X251" s="1"/>
      <c r="Y251" s="1"/>
      <c r="Z251" s="1"/>
    </row>
    <row r="252" ht="15.75" customHeight="1">
      <c r="A252" s="21" t="str">
        <f>IFERROR(__xludf.DUMMYFUNCTION("""COMPUTED_VALUE"""),"Celestial Core")</f>
        <v>Celestial Core</v>
      </c>
      <c r="B252" s="21" t="str">
        <f>IFERROR(__xludf.DUMMYFUNCTION("""COMPUTED_VALUE"""),"Crafting Material, roll a d20 to see how many you get if this is a loot drop.")</f>
        <v>Crafting Material, roll a d20 to see how many you get if this is a loot drop.</v>
      </c>
      <c r="C252" s="1" t="str">
        <f>IFERROR(__xludf.DUMMYFUNCTION("""COMPUTED_VALUE"""),"Item")</f>
        <v>Item</v>
      </c>
      <c r="D252" s="1" t="str">
        <f>IFERROR(__xludf.DUMMYFUNCTION("""COMPUTED_VALUE"""),"Land of Spira")</f>
        <v>Land of Spira</v>
      </c>
      <c r="E252" s="1" t="b">
        <f>IFERROR(__xludf.DUMMYFUNCTION("""COMPUTED_VALUE"""),FALSE)</f>
        <v>0</v>
      </c>
      <c r="F252" s="1"/>
      <c r="G252" s="1"/>
      <c r="H252" s="1"/>
      <c r="I252" s="1"/>
      <c r="J252" s="1"/>
      <c r="K252" s="1"/>
      <c r="L252" s="1"/>
      <c r="M252" s="1"/>
      <c r="N252" s="1"/>
      <c r="O252" s="1"/>
      <c r="P252" s="1"/>
      <c r="Q252" s="1"/>
      <c r="R252" s="1"/>
      <c r="S252" s="1"/>
      <c r="T252" s="1"/>
      <c r="U252" s="1"/>
      <c r="V252" s="1"/>
      <c r="W252" s="1"/>
      <c r="X252" s="1"/>
      <c r="Y252" s="1"/>
      <c r="Z252" s="1"/>
    </row>
    <row r="253" ht="15.75" customHeight="1">
      <c r="A253" s="21" t="str">
        <f>IFERROR(__xludf.DUMMYFUNCTION("""COMPUTED_VALUE"""),"Vampires Tooth")</f>
        <v>Vampires Tooth</v>
      </c>
      <c r="B253" s="21" t="str">
        <f>IFERROR(__xludf.DUMMYFUNCTION("""COMPUTED_VALUE"""),"Crafting Material, roll a d20 to see how many you get if this is a loot drop.")</f>
        <v>Crafting Material, roll a d20 to see how many you get if this is a loot drop.</v>
      </c>
      <c r="C253" s="1" t="str">
        <f>IFERROR(__xludf.DUMMYFUNCTION("""COMPUTED_VALUE"""),"Item")</f>
        <v>Item</v>
      </c>
      <c r="D253" s="1" t="str">
        <f>IFERROR(__xludf.DUMMYFUNCTION("""COMPUTED_VALUE"""),"Land of Spira")</f>
        <v>Land of Spira</v>
      </c>
      <c r="E253" s="1" t="b">
        <f>IFERROR(__xludf.DUMMYFUNCTION("""COMPUTED_VALUE"""),FALSE)</f>
        <v>0</v>
      </c>
      <c r="F253" s="1"/>
      <c r="G253" s="1"/>
      <c r="H253" s="1"/>
      <c r="I253" s="1"/>
      <c r="J253" s="1"/>
      <c r="K253" s="1"/>
      <c r="L253" s="1"/>
      <c r="M253" s="1"/>
      <c r="N253" s="1"/>
      <c r="O253" s="1"/>
      <c r="P253" s="1"/>
      <c r="Q253" s="1"/>
      <c r="R253" s="1"/>
      <c r="S253" s="1"/>
      <c r="T253" s="1"/>
      <c r="U253" s="1"/>
      <c r="V253" s="1"/>
      <c r="W253" s="1"/>
      <c r="X253" s="1"/>
      <c r="Y253" s="1"/>
      <c r="Z253" s="1"/>
    </row>
    <row r="254" ht="15.75" customHeight="1">
      <c r="A254" s="21" t="str">
        <f>IFERROR(__xludf.DUMMYFUNCTION("""COMPUTED_VALUE"""),"Cursed Statue Of Knowing")</f>
        <v>Cursed Statue Of Knowing</v>
      </c>
      <c r="B254" s="21" t="str">
        <f>IFERROR(__xludf.DUMMYFUNCTION("""COMPUTED_VALUE"""),"Quest item.")</f>
        <v>Quest item.</v>
      </c>
      <c r="C254" s="1" t="str">
        <f>IFERROR(__xludf.DUMMYFUNCTION("""COMPUTED_VALUE"""),"Item")</f>
        <v>Item</v>
      </c>
      <c r="D254" s="1" t="str">
        <f>IFERROR(__xludf.DUMMYFUNCTION("""COMPUTED_VALUE"""),"Land of Spira")</f>
        <v>Land of Spira</v>
      </c>
      <c r="E254" s="1" t="b">
        <f>IFERROR(__xludf.DUMMYFUNCTION("""COMPUTED_VALUE"""),FALSE)</f>
        <v>0</v>
      </c>
      <c r="F254" s="1"/>
      <c r="G254" s="1"/>
      <c r="H254" s="1"/>
      <c r="I254" s="1"/>
      <c r="J254" s="1"/>
      <c r="K254" s="1"/>
      <c r="L254" s="1"/>
      <c r="M254" s="1"/>
      <c r="N254" s="1"/>
      <c r="O254" s="1"/>
      <c r="P254" s="1"/>
      <c r="Q254" s="1"/>
      <c r="R254" s="1"/>
      <c r="S254" s="1"/>
      <c r="T254" s="1"/>
      <c r="U254" s="1"/>
      <c r="V254" s="1"/>
      <c r="W254" s="1"/>
      <c r="X254" s="1"/>
      <c r="Y254" s="1"/>
      <c r="Z254" s="1"/>
    </row>
    <row r="255" ht="15.75" customHeight="1">
      <c r="A255" s="21" t="str">
        <f>IFERROR(__xludf.DUMMYFUNCTION("""COMPUTED_VALUE"""),"Orb Of Shadows")</f>
        <v>Orb Of Shadows</v>
      </c>
      <c r="B255" s="21" t="str">
        <f>IFERROR(__xludf.DUMMYFUNCTION("""COMPUTED_VALUE"""),"Quest item.")</f>
        <v>Quest item.</v>
      </c>
      <c r="C255" s="1" t="str">
        <f>IFERROR(__xludf.DUMMYFUNCTION("""COMPUTED_VALUE"""),"Item")</f>
        <v>Item</v>
      </c>
      <c r="D255" s="1" t="str">
        <f>IFERROR(__xludf.DUMMYFUNCTION("""COMPUTED_VALUE"""),"Land of Spira")</f>
        <v>Land of Spira</v>
      </c>
      <c r="E255" s="1" t="b">
        <f>IFERROR(__xludf.DUMMYFUNCTION("""COMPUTED_VALUE"""),FALSE)</f>
        <v>0</v>
      </c>
      <c r="F255" s="1"/>
      <c r="G255" s="1"/>
      <c r="H255" s="1"/>
      <c r="I255" s="1"/>
      <c r="J255" s="1"/>
      <c r="K255" s="1"/>
      <c r="L255" s="1"/>
      <c r="M255" s="1"/>
      <c r="N255" s="1"/>
      <c r="O255" s="1"/>
      <c r="P255" s="1"/>
      <c r="Q255" s="1"/>
      <c r="R255" s="1"/>
      <c r="S255" s="1"/>
      <c r="T255" s="1"/>
      <c r="U255" s="1"/>
      <c r="V255" s="1"/>
      <c r="W255" s="1"/>
      <c r="X255" s="1"/>
      <c r="Y255" s="1"/>
      <c r="Z255" s="1"/>
    </row>
    <row r="256" ht="15.75" customHeight="1">
      <c r="A256" s="21" t="str">
        <f>IFERROR(__xludf.DUMMYFUNCTION("""COMPUTED_VALUE"""),"Blessed Torch")</f>
        <v>Blessed Torch</v>
      </c>
      <c r="B256" s="21" t="str">
        <f>IFERROR(__xludf.DUMMYFUNCTION("""COMPUTED_VALUE"""),"Lights a bonfire. (guaranteed drop)")</f>
        <v>Lights a bonfire. (guaranteed drop)</v>
      </c>
      <c r="C256" s="1" t="str">
        <f>IFERROR(__xludf.DUMMYFUNCTION("""COMPUTED_VALUE"""),"Item")</f>
        <v>Item</v>
      </c>
      <c r="D256" s="1" t="str">
        <f>IFERROR(__xludf.DUMMYFUNCTION("""COMPUTED_VALUE"""),"Land of Spira")</f>
        <v>Land of Spira</v>
      </c>
      <c r="E256" s="1" t="b">
        <f>IFERROR(__xludf.DUMMYFUNCTION("""COMPUTED_VALUE"""),FALSE)</f>
        <v>0</v>
      </c>
      <c r="F256" s="1"/>
      <c r="G256" s="1"/>
      <c r="H256" s="1"/>
      <c r="I256" s="1"/>
      <c r="J256" s="1"/>
      <c r="K256" s="1"/>
      <c r="L256" s="1"/>
      <c r="M256" s="1"/>
      <c r="N256" s="1"/>
      <c r="O256" s="1"/>
      <c r="P256" s="1"/>
      <c r="Q256" s="1"/>
      <c r="R256" s="1"/>
      <c r="S256" s="1"/>
      <c r="T256" s="1"/>
      <c r="U256" s="1"/>
      <c r="V256" s="1"/>
      <c r="W256" s="1"/>
      <c r="X256" s="1"/>
      <c r="Y256" s="1"/>
      <c r="Z256" s="1"/>
    </row>
    <row r="257" ht="15.75" customHeight="1">
      <c r="A257" s="21" t="str">
        <f>IFERROR(__xludf.DUMMYFUNCTION("""COMPUTED_VALUE"""),"Pebble of Fertility")</f>
        <v>Pebble of Fertility</v>
      </c>
      <c r="B257" s="21" t="str">
        <f>IFERROR(__xludf.DUMMYFUNCTION("""COMPUTED_VALUE"""),"double the loot when consumed before battle.")</f>
        <v>double the loot when consumed before battle.</v>
      </c>
      <c r="C257" s="1" t="str">
        <f>IFERROR(__xludf.DUMMYFUNCTION("""COMPUTED_VALUE"""),"Item")</f>
        <v>Item</v>
      </c>
      <c r="D257" s="1" t="str">
        <f>IFERROR(__xludf.DUMMYFUNCTION("""COMPUTED_VALUE"""),"Land of Spira")</f>
        <v>Land of Spira</v>
      </c>
      <c r="E257" s="1" t="b">
        <f>IFERROR(__xludf.DUMMYFUNCTION("""COMPUTED_VALUE"""),FALSE)</f>
        <v>0</v>
      </c>
      <c r="F257" s="1"/>
      <c r="G257" s="1"/>
      <c r="H257" s="1"/>
      <c r="I257" s="1"/>
      <c r="J257" s="1"/>
      <c r="K257" s="1"/>
      <c r="L257" s="1"/>
      <c r="M257" s="1"/>
      <c r="N257" s="1"/>
      <c r="O257" s="1"/>
      <c r="P257" s="1"/>
      <c r="Q257" s="1"/>
      <c r="R257" s="1"/>
      <c r="S257" s="1"/>
      <c r="T257" s="1"/>
      <c r="U257" s="1"/>
      <c r="V257" s="1"/>
      <c r="W257" s="1"/>
      <c r="X257" s="1"/>
      <c r="Y257" s="1"/>
      <c r="Z257" s="1"/>
    </row>
    <row r="258" ht="15.75" customHeight="1">
      <c r="A258" s="21" t="str">
        <f>IFERROR(__xludf.DUMMYFUNCTION("""COMPUTED_VALUE"""),"Forest Faery Egg")</f>
        <v>Forest Faery Egg</v>
      </c>
      <c r="B258" s="21" t="str">
        <f>IFERROR(__xludf.DUMMYFUNCTION("""COMPUTED_VALUE"""),"Gives a Faery companion (60) (must be in a forest for the egg to hatch)")</f>
        <v>Gives a Faery companion (60) (must be in a forest for the egg to hatch)</v>
      </c>
      <c r="C258" s="1" t="str">
        <f>IFERROR(__xludf.DUMMYFUNCTION("""COMPUTED_VALUE"""),"Item")</f>
        <v>Item</v>
      </c>
      <c r="D258" s="1" t="str">
        <f>IFERROR(__xludf.DUMMYFUNCTION("""COMPUTED_VALUE"""),"Land of Spira")</f>
        <v>Land of Spira</v>
      </c>
      <c r="E258" s="1" t="b">
        <f>IFERROR(__xludf.DUMMYFUNCTION("""COMPUTED_VALUE"""),FALSE)</f>
        <v>0</v>
      </c>
      <c r="F258" s="1"/>
      <c r="G258" s="1"/>
      <c r="H258" s="1"/>
      <c r="I258" s="1"/>
      <c r="J258" s="1"/>
      <c r="K258" s="1"/>
      <c r="L258" s="1"/>
      <c r="M258" s="1"/>
      <c r="N258" s="1"/>
      <c r="O258" s="1"/>
      <c r="P258" s="1"/>
      <c r="Q258" s="1"/>
      <c r="R258" s="1"/>
      <c r="S258" s="1"/>
      <c r="T258" s="1"/>
      <c r="U258" s="1"/>
      <c r="V258" s="1"/>
      <c r="W258" s="1"/>
      <c r="X258" s="1"/>
      <c r="Y258" s="1"/>
      <c r="Z258" s="1"/>
    </row>
    <row r="259" ht="15.75" customHeight="1">
      <c r="A259" s="21" t="str">
        <f>IFERROR(__xludf.DUMMYFUNCTION("""COMPUTED_VALUE"""),"Pandan flower")</f>
        <v>Pandan flower</v>
      </c>
      <c r="B259" s="21" t="str">
        <f>IFERROR(__xludf.DUMMYFUNCTION("""COMPUTED_VALUE"""),"Cures 1 curse")</f>
        <v>Cures 1 curse</v>
      </c>
      <c r="C259" s="1" t="str">
        <f>IFERROR(__xludf.DUMMYFUNCTION("""COMPUTED_VALUE"""),"Item")</f>
        <v>Item</v>
      </c>
      <c r="D259" s="1" t="str">
        <f>IFERROR(__xludf.DUMMYFUNCTION("""COMPUTED_VALUE"""),"Land of Spira")</f>
        <v>Land of Spira</v>
      </c>
      <c r="E259" s="1" t="b">
        <f>IFERROR(__xludf.DUMMYFUNCTION("""COMPUTED_VALUE"""),FALSE)</f>
        <v>0</v>
      </c>
      <c r="F259" s="1"/>
      <c r="G259" s="1"/>
      <c r="H259" s="1"/>
      <c r="I259" s="1"/>
      <c r="J259" s="1"/>
      <c r="K259" s="1"/>
      <c r="L259" s="1"/>
      <c r="M259" s="1"/>
      <c r="N259" s="1"/>
      <c r="O259" s="1"/>
      <c r="P259" s="1"/>
      <c r="Q259" s="1"/>
      <c r="R259" s="1"/>
      <c r="S259" s="1"/>
      <c r="T259" s="1"/>
      <c r="U259" s="1"/>
      <c r="V259" s="1"/>
      <c r="W259" s="1"/>
      <c r="X259" s="1"/>
      <c r="Y259" s="1"/>
      <c r="Z259" s="1"/>
    </row>
    <row r="260" ht="15.75" customHeight="1">
      <c r="A260" s="21" t="str">
        <f>IFERROR(__xludf.DUMMYFUNCTION("""COMPUTED_VALUE"""),"Rank 5 Earth Tome")</f>
        <v>Rank 5 Earth Tome</v>
      </c>
      <c r="B260" s="21" t="str">
        <f>IFERROR(__xludf.DUMMYFUNCTION("""COMPUTED_VALUE"""),"Allows use of up to Rank 5 Earth Powers")</f>
        <v>Allows use of up to Rank 5 Earth Powers</v>
      </c>
      <c r="C260" s="1" t="str">
        <f>IFERROR(__xludf.DUMMYFUNCTION("""COMPUTED_VALUE"""),"Item")</f>
        <v>Item</v>
      </c>
      <c r="D260" s="1" t="str">
        <f>IFERROR(__xludf.DUMMYFUNCTION("""COMPUTED_VALUE"""),"Land of Spira")</f>
        <v>Land of Spira</v>
      </c>
      <c r="E260" s="1" t="b">
        <f>IFERROR(__xludf.DUMMYFUNCTION("""COMPUTED_VALUE"""),FALSE)</f>
        <v>0</v>
      </c>
      <c r="F260" s="1"/>
      <c r="G260" s="1"/>
      <c r="H260" s="1"/>
      <c r="I260" s="1"/>
      <c r="J260" s="1"/>
      <c r="K260" s="1"/>
      <c r="L260" s="1"/>
      <c r="M260" s="1"/>
      <c r="N260" s="1"/>
      <c r="O260" s="1"/>
      <c r="P260" s="1"/>
      <c r="Q260" s="1"/>
      <c r="R260" s="1"/>
      <c r="S260" s="1"/>
      <c r="T260" s="1"/>
      <c r="U260" s="1"/>
      <c r="V260" s="1"/>
      <c r="W260" s="1"/>
      <c r="X260" s="1"/>
      <c r="Y260" s="1"/>
      <c r="Z260" s="1"/>
    </row>
    <row r="261" ht="15.75" customHeight="1">
      <c r="A261" s="21" t="str">
        <f>IFERROR(__xludf.DUMMYFUNCTION("""COMPUTED_VALUE"""),"Earth Gem")</f>
        <v>Earth Gem</v>
      </c>
      <c r="B261" s="21" t="str">
        <f>IFERROR(__xludf.DUMMYFUNCTION("""COMPUTED_VALUE"""),"Crafting Material, roll a d20 to see how many you get if this is a loot drop.")</f>
        <v>Crafting Material, roll a d20 to see how many you get if this is a loot drop.</v>
      </c>
      <c r="C261" s="1" t="str">
        <f>IFERROR(__xludf.DUMMYFUNCTION("""COMPUTED_VALUE"""),"Item")</f>
        <v>Item</v>
      </c>
      <c r="D261" s="1" t="str">
        <f>IFERROR(__xludf.DUMMYFUNCTION("""COMPUTED_VALUE"""),"Land of Spira")</f>
        <v>Land of Spira</v>
      </c>
      <c r="E261" s="1" t="b">
        <f>IFERROR(__xludf.DUMMYFUNCTION("""COMPUTED_VALUE"""),FALSE)</f>
        <v>0</v>
      </c>
      <c r="F261" s="1"/>
      <c r="G261" s="1"/>
      <c r="H261" s="1"/>
      <c r="I261" s="1"/>
      <c r="J261" s="1"/>
      <c r="K261" s="1"/>
      <c r="L261" s="1"/>
      <c r="M261" s="1"/>
      <c r="N261" s="1"/>
      <c r="O261" s="1"/>
      <c r="P261" s="1"/>
      <c r="Q261" s="1"/>
      <c r="R261" s="1"/>
      <c r="S261" s="1"/>
      <c r="T261" s="1"/>
      <c r="U261" s="1"/>
      <c r="V261" s="1"/>
      <c r="W261" s="1"/>
      <c r="X261" s="1"/>
      <c r="Y261" s="1"/>
      <c r="Z261" s="1"/>
    </row>
    <row r="262" ht="15.75" customHeight="1">
      <c r="A262" s="21" t="str">
        <f>IFERROR(__xludf.DUMMYFUNCTION("""COMPUTED_VALUE"""),"Key Of Knowledge")</f>
        <v>Key Of Knowledge</v>
      </c>
      <c r="B262" s="21" t="str">
        <f>IFERROR(__xludf.DUMMYFUNCTION("""COMPUTED_VALUE"""),"grants access to the room of knowledge")</f>
        <v>grants access to the room of knowledge</v>
      </c>
      <c r="C262" s="1" t="str">
        <f>IFERROR(__xludf.DUMMYFUNCTION("""COMPUTED_VALUE"""),"Item")</f>
        <v>Item</v>
      </c>
      <c r="D262" s="1" t="str">
        <f>IFERROR(__xludf.DUMMYFUNCTION("""COMPUTED_VALUE"""),"Land of Spira")</f>
        <v>Land of Spira</v>
      </c>
      <c r="E262" s="1" t="b">
        <f>IFERROR(__xludf.DUMMYFUNCTION("""COMPUTED_VALUE"""),FALSE)</f>
        <v>0</v>
      </c>
      <c r="F262" s="1"/>
      <c r="G262" s="1"/>
      <c r="H262" s="1"/>
      <c r="I262" s="1"/>
      <c r="J262" s="1"/>
      <c r="K262" s="1"/>
      <c r="L262" s="1"/>
      <c r="M262" s="1"/>
      <c r="N262" s="1"/>
      <c r="O262" s="1"/>
      <c r="P262" s="1"/>
      <c r="Q262" s="1"/>
      <c r="R262" s="1"/>
      <c r="S262" s="1"/>
      <c r="T262" s="1"/>
      <c r="U262" s="1"/>
      <c r="V262" s="1"/>
      <c r="W262" s="1"/>
      <c r="X262" s="1"/>
      <c r="Y262" s="1"/>
      <c r="Z262" s="1"/>
    </row>
    <row r="263" ht="15.75" customHeight="1">
      <c r="A263" s="21" t="str">
        <f>IFERROR(__xludf.DUMMYFUNCTION("""COMPUTED_VALUE"""),"Medallion 1")</f>
        <v>Medallion 1</v>
      </c>
      <c r="B263" s="21" t="str">
        <f>IFERROR(__xludf.DUMMYFUNCTION("""COMPUTED_VALUE"""),"Grants access to the Ruins of Mana.")</f>
        <v>Grants access to the Ruins of Mana.</v>
      </c>
      <c r="C263" s="1" t="str">
        <f>IFERROR(__xludf.DUMMYFUNCTION("""COMPUTED_VALUE"""),"Item")</f>
        <v>Item</v>
      </c>
      <c r="D263" s="1" t="str">
        <f>IFERROR(__xludf.DUMMYFUNCTION("""COMPUTED_VALUE"""),"Land of Spira")</f>
        <v>Land of Spira</v>
      </c>
      <c r="E263" s="1" t="b">
        <f>IFERROR(__xludf.DUMMYFUNCTION("""COMPUTED_VALUE"""),FALSE)</f>
        <v>0</v>
      </c>
      <c r="F263" s="1"/>
      <c r="G263" s="1"/>
      <c r="H263" s="1"/>
      <c r="I263" s="1"/>
      <c r="J263" s="1"/>
      <c r="K263" s="1"/>
      <c r="L263" s="1"/>
      <c r="M263" s="1"/>
      <c r="N263" s="1"/>
      <c r="O263" s="1"/>
      <c r="P263" s="1"/>
      <c r="Q263" s="1"/>
      <c r="R263" s="1"/>
      <c r="S263" s="1"/>
      <c r="T263" s="1"/>
      <c r="U263" s="1"/>
      <c r="V263" s="1"/>
      <c r="W263" s="1"/>
      <c r="X263" s="1"/>
      <c r="Y263" s="1"/>
      <c r="Z263" s="1"/>
    </row>
    <row r="264" ht="15.75" customHeight="1">
      <c r="A264" s="21" t="str">
        <f>IFERROR(__xludf.DUMMYFUNCTION("""COMPUTED_VALUE"""),"Medallion 2")</f>
        <v>Medallion 2</v>
      </c>
      <c r="B264" s="21" t="str">
        <f>IFERROR(__xludf.DUMMYFUNCTION("""COMPUTED_VALUE"""),"Grants access to the Ruins of Mana.")</f>
        <v>Grants access to the Ruins of Mana.</v>
      </c>
      <c r="C264" s="1" t="str">
        <f>IFERROR(__xludf.DUMMYFUNCTION("""COMPUTED_VALUE"""),"Item")</f>
        <v>Item</v>
      </c>
      <c r="D264" s="1" t="str">
        <f>IFERROR(__xludf.DUMMYFUNCTION("""COMPUTED_VALUE"""),"Land of Spira")</f>
        <v>Land of Spira</v>
      </c>
      <c r="E264" s="1" t="b">
        <f>IFERROR(__xludf.DUMMYFUNCTION("""COMPUTED_VALUE"""),FALSE)</f>
        <v>0</v>
      </c>
      <c r="F264" s="1"/>
      <c r="G264" s="1"/>
      <c r="H264" s="1"/>
      <c r="I264" s="1"/>
      <c r="J264" s="1"/>
      <c r="K264" s="1"/>
      <c r="L264" s="1"/>
      <c r="M264" s="1"/>
      <c r="N264" s="1"/>
      <c r="O264" s="1"/>
      <c r="P264" s="1"/>
      <c r="Q264" s="1"/>
      <c r="R264" s="1"/>
      <c r="S264" s="1"/>
      <c r="T264" s="1"/>
      <c r="U264" s="1"/>
      <c r="V264" s="1"/>
      <c r="W264" s="1"/>
      <c r="X264" s="1"/>
      <c r="Y264" s="1"/>
      <c r="Z264" s="1"/>
    </row>
    <row r="265" ht="15.75" customHeight="1">
      <c r="A265" s="21" t="str">
        <f>IFERROR(__xludf.DUMMYFUNCTION("""COMPUTED_VALUE"""),"Medallion 3")</f>
        <v>Medallion 3</v>
      </c>
      <c r="B265" s="21" t="str">
        <f>IFERROR(__xludf.DUMMYFUNCTION("""COMPUTED_VALUE"""),"Grants access to the Ruins of Mana.")</f>
        <v>Grants access to the Ruins of Mana.</v>
      </c>
      <c r="C265" s="1" t="str">
        <f>IFERROR(__xludf.DUMMYFUNCTION("""COMPUTED_VALUE"""),"Item")</f>
        <v>Item</v>
      </c>
      <c r="D265" s="1" t="str">
        <f>IFERROR(__xludf.DUMMYFUNCTION("""COMPUTED_VALUE"""),"Land of Spira")</f>
        <v>Land of Spira</v>
      </c>
      <c r="E265" s="1" t="b">
        <f>IFERROR(__xludf.DUMMYFUNCTION("""COMPUTED_VALUE"""),FALSE)</f>
        <v>0</v>
      </c>
      <c r="F265" s="1"/>
      <c r="G265" s="1"/>
      <c r="H265" s="1"/>
      <c r="I265" s="1"/>
      <c r="J265" s="1"/>
      <c r="K265" s="1"/>
      <c r="L265" s="1"/>
      <c r="M265" s="1"/>
      <c r="N265" s="1"/>
      <c r="O265" s="1"/>
      <c r="P265" s="1"/>
      <c r="Q265" s="1"/>
      <c r="R265" s="1"/>
      <c r="S265" s="1"/>
      <c r="T265" s="1"/>
      <c r="U265" s="1"/>
      <c r="V265" s="1"/>
      <c r="W265" s="1"/>
      <c r="X265" s="1"/>
      <c r="Y265" s="1"/>
      <c r="Z265" s="1"/>
    </row>
    <row r="266" ht="15.75" customHeight="1">
      <c r="A266" s="21" t="str">
        <f>IFERROR(__xludf.DUMMYFUNCTION("""COMPUTED_VALUE"""),"Medallion 4")</f>
        <v>Medallion 4</v>
      </c>
      <c r="B266" s="21" t="str">
        <f>IFERROR(__xludf.DUMMYFUNCTION("""COMPUTED_VALUE"""),"Grants access to the Ruins of Mana.")</f>
        <v>Grants access to the Ruins of Mana.</v>
      </c>
      <c r="C266" s="1" t="str">
        <f>IFERROR(__xludf.DUMMYFUNCTION("""COMPUTED_VALUE"""),"Item")</f>
        <v>Item</v>
      </c>
      <c r="D266" s="1" t="str">
        <f>IFERROR(__xludf.DUMMYFUNCTION("""COMPUTED_VALUE"""),"Land of Spira")</f>
        <v>Land of Spira</v>
      </c>
      <c r="E266" s="1" t="b">
        <f>IFERROR(__xludf.DUMMYFUNCTION("""COMPUTED_VALUE"""),FALSE)</f>
        <v>0</v>
      </c>
      <c r="F266" s="1"/>
      <c r="G266" s="1"/>
      <c r="H266" s="1"/>
      <c r="I266" s="1"/>
      <c r="J266" s="1"/>
      <c r="K266" s="1"/>
      <c r="L266" s="1"/>
      <c r="M266" s="1"/>
      <c r="N266" s="1"/>
      <c r="O266" s="1"/>
      <c r="P266" s="1"/>
      <c r="Q266" s="1"/>
      <c r="R266" s="1"/>
      <c r="S266" s="1"/>
      <c r="T266" s="1"/>
      <c r="U266" s="1"/>
      <c r="V266" s="1"/>
      <c r="W266" s="1"/>
      <c r="X266" s="1"/>
      <c r="Y266" s="1"/>
      <c r="Z266" s="1"/>
    </row>
    <row r="267" ht="15.75" customHeight="1">
      <c r="A267" s="21" t="str">
        <f>IFERROR(__xludf.DUMMYFUNCTION("""COMPUTED_VALUE"""),"Enchanted Ice Gem")</f>
        <v>Enchanted Ice Gem</v>
      </c>
      <c r="B267" s="21"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1" t="str">
        <f>IFERROR(__xludf.DUMMYFUNCTION("""COMPUTED_VALUE"""),"Item")</f>
        <v>Item</v>
      </c>
      <c r="D267" s="1" t="str">
        <f>IFERROR(__xludf.DUMMYFUNCTION("""COMPUTED_VALUE"""),"Land of Spira")</f>
        <v>Land of Spira</v>
      </c>
      <c r="E267" s="1" t="b">
        <f>IFERROR(__xludf.DUMMYFUNCTION("""COMPUTED_VALUE"""),FALSE)</f>
        <v>0</v>
      </c>
      <c r="F267" s="1"/>
      <c r="G267" s="1"/>
      <c r="H267" s="1"/>
      <c r="I267" s="1"/>
      <c r="J267" s="1"/>
      <c r="K267" s="1"/>
      <c r="L267" s="1"/>
      <c r="M267" s="1"/>
      <c r="N267" s="1"/>
      <c r="O267" s="1"/>
      <c r="P267" s="1"/>
      <c r="Q267" s="1"/>
      <c r="R267" s="1"/>
      <c r="S267" s="1"/>
      <c r="T267" s="1"/>
      <c r="U267" s="1"/>
      <c r="V267" s="1"/>
      <c r="W267" s="1"/>
      <c r="X267" s="1"/>
      <c r="Y267" s="1"/>
      <c r="Z267" s="1"/>
    </row>
    <row r="268" ht="15.75" customHeight="1">
      <c r="A268" s="21" t="str">
        <f>IFERROR(__xludf.DUMMYFUNCTION("""COMPUTED_VALUE"""),"Carnelian Crystal")</f>
        <v>Carnelian Crystal</v>
      </c>
      <c r="B268" s="21" t="str">
        <f>IFERROR(__xludf.DUMMYFUNCTION("""COMPUTED_VALUE"""),"Can be forged into armor, one crystal max inside forged equipment. +2 Mobility  ")</f>
        <v>Can be forged into armor, one crystal max inside forged equipment. +2 Mobility  </v>
      </c>
      <c r="C268" s="1" t="str">
        <f>IFERROR(__xludf.DUMMYFUNCTION("""COMPUTED_VALUE"""),"Item")</f>
        <v>Item</v>
      </c>
      <c r="D268" s="1" t="str">
        <f>IFERROR(__xludf.DUMMYFUNCTION("""COMPUTED_VALUE"""),"Land of Spira")</f>
        <v>Land of Spira</v>
      </c>
      <c r="E268" s="1" t="b">
        <f>IFERROR(__xludf.DUMMYFUNCTION("""COMPUTED_VALUE"""),FALSE)</f>
        <v>0</v>
      </c>
      <c r="F268" s="1"/>
      <c r="G268" s="1"/>
      <c r="H268" s="1"/>
      <c r="I268" s="1"/>
      <c r="J268" s="1"/>
      <c r="K268" s="1"/>
      <c r="L268" s="1"/>
      <c r="M268" s="1"/>
      <c r="N268" s="1"/>
      <c r="O268" s="1"/>
      <c r="P268" s="1"/>
      <c r="Q268" s="1"/>
      <c r="R268" s="1"/>
      <c r="S268" s="1"/>
      <c r="T268" s="1"/>
      <c r="U268" s="1"/>
      <c r="V268" s="1"/>
      <c r="W268" s="1"/>
      <c r="X268" s="1"/>
      <c r="Y268" s="1"/>
      <c r="Z268" s="1"/>
    </row>
    <row r="269" ht="15.75" customHeight="1">
      <c r="A269" s="21" t="str">
        <f>IFERROR(__xludf.DUMMYFUNCTION("""COMPUTED_VALUE"""),"Citrine Crystal")</f>
        <v>Citrine Crystal</v>
      </c>
      <c r="B269" s="21"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1" t="str">
        <f>IFERROR(__xludf.DUMMYFUNCTION("""COMPUTED_VALUE"""),"Item")</f>
        <v>Item</v>
      </c>
      <c r="D269" s="1" t="str">
        <f>IFERROR(__xludf.DUMMYFUNCTION("""COMPUTED_VALUE"""),"Land of Spira")</f>
        <v>Land of Spira</v>
      </c>
      <c r="E269" s="1" t="b">
        <f>IFERROR(__xludf.DUMMYFUNCTION("""COMPUTED_VALUE"""),FALSE)</f>
        <v>0</v>
      </c>
      <c r="F269" s="1"/>
      <c r="G269" s="1"/>
      <c r="H269" s="1"/>
      <c r="I269" s="1"/>
      <c r="J269" s="1"/>
      <c r="K269" s="1"/>
      <c r="L269" s="1"/>
      <c r="M269" s="1"/>
      <c r="N269" s="1"/>
      <c r="O269" s="1"/>
      <c r="P269" s="1"/>
      <c r="Q269" s="1"/>
      <c r="R269" s="1"/>
      <c r="S269" s="1"/>
      <c r="T269" s="1"/>
      <c r="U269" s="1"/>
      <c r="V269" s="1"/>
      <c r="W269" s="1"/>
      <c r="X269" s="1"/>
      <c r="Y269" s="1"/>
      <c r="Z269" s="1"/>
    </row>
    <row r="270" ht="15.75" customHeight="1">
      <c r="A270" s="21" t="str">
        <f>IFERROR(__xludf.DUMMYFUNCTION("""COMPUTED_VALUE"""),"Tiger's Eye Crystal")</f>
        <v>Tiger's Eye Crystal</v>
      </c>
      <c r="B270" s="21"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1" t="str">
        <f>IFERROR(__xludf.DUMMYFUNCTION("""COMPUTED_VALUE"""),"Item")</f>
        <v>Item</v>
      </c>
      <c r="D270" s="1" t="str">
        <f>IFERROR(__xludf.DUMMYFUNCTION("""COMPUTED_VALUE"""),"Land of Spira")</f>
        <v>Land of Spira</v>
      </c>
      <c r="E270" s="1" t="b">
        <f>IFERROR(__xludf.DUMMYFUNCTION("""COMPUTED_VALUE"""),FALSE)</f>
        <v>0</v>
      </c>
      <c r="F270" s="1"/>
      <c r="G270" s="1"/>
      <c r="H270" s="1"/>
      <c r="I270" s="1"/>
      <c r="J270" s="1"/>
      <c r="K270" s="1"/>
      <c r="L270" s="1"/>
      <c r="M270" s="1"/>
      <c r="N270" s="1"/>
      <c r="O270" s="1"/>
      <c r="P270" s="1"/>
      <c r="Q270" s="1"/>
      <c r="R270" s="1"/>
      <c r="S270" s="1"/>
      <c r="T270" s="1"/>
      <c r="U270" s="1"/>
      <c r="V270" s="1"/>
      <c r="W270" s="1"/>
      <c r="X270" s="1"/>
      <c r="Y270" s="1"/>
      <c r="Z270" s="1"/>
    </row>
    <row r="271" ht="15.75" customHeight="1">
      <c r="A271" s="21" t="str">
        <f>IFERROR(__xludf.DUMMYFUNCTION("""COMPUTED_VALUE"""),"Lodestone Crystal")</f>
        <v>Lodestone Crystal</v>
      </c>
      <c r="B271" s="21" t="str">
        <f>IFERROR(__xludf.DUMMYFUNCTION("""COMPUTED_VALUE"""),"Can be forged into a weapon, one crystal max inside forged equipment. absorbs the first attack of each battle.")</f>
        <v>Can be forged into a weapon, one crystal max inside forged equipment. absorbs the first attack of each battle.</v>
      </c>
      <c r="C271" s="1" t="str">
        <f>IFERROR(__xludf.DUMMYFUNCTION("""COMPUTED_VALUE"""),"Item")</f>
        <v>Item</v>
      </c>
      <c r="D271" s="1" t="str">
        <f>IFERROR(__xludf.DUMMYFUNCTION("""COMPUTED_VALUE"""),"Land of Spira")</f>
        <v>Land of Spira</v>
      </c>
      <c r="E271" s="1" t="b">
        <f>IFERROR(__xludf.DUMMYFUNCTION("""COMPUTED_VALUE"""),FALSE)</f>
        <v>0</v>
      </c>
      <c r="F271" s="1"/>
      <c r="G271" s="1"/>
      <c r="H271" s="1"/>
      <c r="I271" s="1"/>
      <c r="J271" s="1"/>
      <c r="K271" s="1"/>
      <c r="L271" s="1"/>
      <c r="M271" s="1"/>
      <c r="N271" s="1"/>
      <c r="O271" s="1"/>
      <c r="P271" s="1"/>
      <c r="Q271" s="1"/>
      <c r="R271" s="1"/>
      <c r="S271" s="1"/>
      <c r="T271" s="1"/>
      <c r="U271" s="1"/>
      <c r="V271" s="1"/>
      <c r="W271" s="1"/>
      <c r="X271" s="1"/>
      <c r="Y271" s="1"/>
      <c r="Z271" s="1"/>
    </row>
    <row r="272" ht="15.75" customHeight="1">
      <c r="A272" s="21" t="str">
        <f>IFERROR(__xludf.DUMMYFUNCTION("""COMPUTED_VALUE"""),"Peridot Crystal")</f>
        <v>Peridot Crystal</v>
      </c>
      <c r="B272" s="21" t="str">
        <f>IFERROR(__xludf.DUMMYFUNCTION("""COMPUTED_VALUE"""),"Can be forged into a armor, one crystal max inside forged equipment. +300HP per round.")</f>
        <v>Can be forged into a armor, one crystal max inside forged equipment. +300HP per round.</v>
      </c>
      <c r="C272" s="1" t="str">
        <f>IFERROR(__xludf.DUMMYFUNCTION("""COMPUTED_VALUE"""),"Item")</f>
        <v>Item</v>
      </c>
      <c r="D272" s="1" t="str">
        <f>IFERROR(__xludf.DUMMYFUNCTION("""COMPUTED_VALUE"""),"Land of Spira")</f>
        <v>Land of Spira</v>
      </c>
      <c r="E272" s="1" t="b">
        <f>IFERROR(__xludf.DUMMYFUNCTION("""COMPUTED_VALUE"""),FALSE)</f>
        <v>0</v>
      </c>
      <c r="F272" s="1"/>
      <c r="G272" s="1"/>
      <c r="H272" s="1"/>
      <c r="I272" s="1"/>
      <c r="J272" s="1"/>
      <c r="K272" s="1"/>
      <c r="L272" s="1"/>
      <c r="M272" s="1"/>
      <c r="N272" s="1"/>
      <c r="O272" s="1"/>
      <c r="P272" s="1"/>
      <c r="Q272" s="1"/>
      <c r="R272" s="1"/>
      <c r="S272" s="1"/>
      <c r="T272" s="1"/>
      <c r="U272" s="1"/>
      <c r="V272" s="1"/>
      <c r="W272" s="1"/>
      <c r="X272" s="1"/>
      <c r="Y272" s="1"/>
      <c r="Z272" s="1"/>
    </row>
    <row r="273" ht="15.75" customHeight="1">
      <c r="A273" s="21" t="str">
        <f>IFERROR(__xludf.DUMMYFUNCTION("""COMPUTED_VALUE"""),"Golden Topaz")</f>
        <v>Golden Topaz</v>
      </c>
      <c r="B273" s="21"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1" t="str">
        <f>IFERROR(__xludf.DUMMYFUNCTION("""COMPUTED_VALUE"""),"Item")</f>
        <v>Item</v>
      </c>
      <c r="D273" s="1" t="str">
        <f>IFERROR(__xludf.DUMMYFUNCTION("""COMPUTED_VALUE"""),"Land of Spira")</f>
        <v>Land of Spira</v>
      </c>
      <c r="E273" s="1" t="b">
        <f>IFERROR(__xludf.DUMMYFUNCTION("""COMPUTED_VALUE"""),FALSE)</f>
        <v>0</v>
      </c>
      <c r="F273" s="1"/>
      <c r="G273" s="1"/>
      <c r="H273" s="1"/>
      <c r="I273" s="1"/>
      <c r="J273" s="1"/>
      <c r="K273" s="1"/>
      <c r="L273" s="1"/>
      <c r="M273" s="1"/>
      <c r="N273" s="1"/>
      <c r="O273" s="1"/>
      <c r="P273" s="1"/>
      <c r="Q273" s="1"/>
      <c r="R273" s="1"/>
      <c r="S273" s="1"/>
      <c r="T273" s="1"/>
      <c r="U273" s="1"/>
      <c r="V273" s="1"/>
      <c r="W273" s="1"/>
      <c r="X273" s="1"/>
      <c r="Y273" s="1"/>
      <c r="Z273" s="1"/>
    </row>
    <row r="274" ht="15.75" customHeight="1">
      <c r="A274" s="21" t="str">
        <f>IFERROR(__xludf.DUMMYFUNCTION("""COMPUTED_VALUE"""),"Sea Crystal ")</f>
        <v>Sea Crystal </v>
      </c>
      <c r="B274" s="21"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1" t="str">
        <f>IFERROR(__xludf.DUMMYFUNCTION("""COMPUTED_VALUE"""),"Item")</f>
        <v>Item</v>
      </c>
      <c r="D274" s="1" t="str">
        <f>IFERROR(__xludf.DUMMYFUNCTION("""COMPUTED_VALUE"""),"Land of The Forgotten")</f>
        <v>Land of The Forgotten</v>
      </c>
      <c r="E274" s="1" t="b">
        <f>IFERROR(__xludf.DUMMYFUNCTION("""COMPUTED_VALUE"""),FALSE)</f>
        <v>0</v>
      </c>
      <c r="F274" s="1"/>
      <c r="G274" s="1"/>
      <c r="H274" s="1"/>
      <c r="I274" s="1"/>
      <c r="J274" s="1"/>
      <c r="K274" s="1"/>
      <c r="L274" s="1"/>
      <c r="M274" s="1"/>
      <c r="N274" s="1"/>
      <c r="O274" s="1"/>
      <c r="P274" s="1"/>
      <c r="Q274" s="1"/>
      <c r="R274" s="1"/>
      <c r="S274" s="1"/>
      <c r="T274" s="1"/>
      <c r="U274" s="1"/>
      <c r="V274" s="1"/>
      <c r="W274" s="1"/>
      <c r="X274" s="1"/>
      <c r="Y274" s="1"/>
      <c r="Z274" s="1"/>
    </row>
    <row r="275" ht="15.75" customHeight="1">
      <c r="A275" s="21" t="str">
        <f>IFERROR(__xludf.DUMMYFUNCTION("""COMPUTED_VALUE"""),"The Root Of Nature")</f>
        <v>The Root Of Nature</v>
      </c>
      <c r="B275" s="21"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1" t="str">
        <f>IFERROR(__xludf.DUMMYFUNCTION("""COMPUTED_VALUE"""),"Item")</f>
        <v>Item</v>
      </c>
      <c r="D275" s="1" t="str">
        <f>IFERROR(__xludf.DUMMYFUNCTION("""COMPUTED_VALUE"""),"Land of The Forgotten")</f>
        <v>Land of The Forgotten</v>
      </c>
      <c r="E275" s="1" t="b">
        <f>IFERROR(__xludf.DUMMYFUNCTION("""COMPUTED_VALUE"""),FALSE)</f>
        <v>0</v>
      </c>
      <c r="F275" s="1"/>
      <c r="G275" s="1"/>
      <c r="H275" s="1"/>
      <c r="I275" s="1"/>
      <c r="J275" s="1"/>
      <c r="K275" s="1"/>
      <c r="L275" s="1"/>
      <c r="M275" s="1"/>
      <c r="N275" s="1"/>
      <c r="O275" s="1"/>
      <c r="P275" s="1"/>
      <c r="Q275" s="1"/>
      <c r="R275" s="1"/>
      <c r="S275" s="1"/>
      <c r="T275" s="1"/>
      <c r="U275" s="1"/>
      <c r="V275" s="1"/>
      <c r="W275" s="1"/>
      <c r="X275" s="1"/>
      <c r="Y275" s="1"/>
      <c r="Z275" s="1"/>
    </row>
    <row r="276" ht="15.75" customHeight="1">
      <c r="A276" s="21" t="str">
        <f>IFERROR(__xludf.DUMMYFUNCTION("""COMPUTED_VALUE"""),"Rich Sand")</f>
        <v>Rich Sand</v>
      </c>
      <c r="B276" s="21" t="str">
        <f>IFERROR(__xludf.DUMMYFUNCTION("""COMPUTED_VALUE"""),"can be forged into armor to give the user an immunity to earth and X10 earth damage. Cannot be duplicated.")</f>
        <v>can be forged into armor to give the user an immunity to earth and X10 earth damage. Cannot be duplicated.</v>
      </c>
      <c r="C276" s="1" t="str">
        <f>IFERROR(__xludf.DUMMYFUNCTION("""COMPUTED_VALUE"""),"Item")</f>
        <v>Item</v>
      </c>
      <c r="D276" s="1" t="str">
        <f>IFERROR(__xludf.DUMMYFUNCTION("""COMPUTED_VALUE"""),"Land of The Forgotten")</f>
        <v>Land of The Forgotten</v>
      </c>
      <c r="E276" s="1" t="b">
        <f>IFERROR(__xludf.DUMMYFUNCTION("""COMPUTED_VALUE"""),FALSE)</f>
        <v>0</v>
      </c>
      <c r="F276" s="1"/>
      <c r="G276" s="1"/>
      <c r="H276" s="1"/>
      <c r="I276" s="1"/>
      <c r="J276" s="1"/>
      <c r="K276" s="1"/>
      <c r="L276" s="1"/>
      <c r="M276" s="1"/>
      <c r="N276" s="1"/>
      <c r="O276" s="1"/>
      <c r="P276" s="1"/>
      <c r="Q276" s="1"/>
      <c r="R276" s="1"/>
      <c r="S276" s="1"/>
      <c r="T276" s="1"/>
      <c r="U276" s="1"/>
      <c r="V276" s="1"/>
      <c r="W276" s="1"/>
      <c r="X276" s="1"/>
      <c r="Y276" s="1"/>
      <c r="Z276" s="1"/>
    </row>
    <row r="277" ht="15.75" customHeight="1">
      <c r="A277" s="21" t="str">
        <f>IFERROR(__xludf.DUMMYFUNCTION("""COMPUTED_VALUE"""),"Sacred Sap")</f>
        <v>Sacred Sap</v>
      </c>
      <c r="B277" s="21" t="str">
        <f>IFERROR(__xludf.DUMMYFUNCTION("""COMPUTED_VALUE"""),"Can be brewed into a potion then consumed to gain 200 levels. Cannot be duplicated.")</f>
        <v>Can be brewed into a potion then consumed to gain 200 levels. Cannot be duplicated.</v>
      </c>
      <c r="C277" s="1" t="str">
        <f>IFERROR(__xludf.DUMMYFUNCTION("""COMPUTED_VALUE"""),"Item")</f>
        <v>Item</v>
      </c>
      <c r="D277" s="1" t="str">
        <f>IFERROR(__xludf.DUMMYFUNCTION("""COMPUTED_VALUE"""),"Land of The Forgotten")</f>
        <v>Land of The Forgotten</v>
      </c>
      <c r="E277" s="1" t="b">
        <f>IFERROR(__xludf.DUMMYFUNCTION("""COMPUTED_VALUE"""),FALSE)</f>
        <v>0</v>
      </c>
      <c r="F277" s="1"/>
      <c r="G277" s="1"/>
      <c r="H277" s="1"/>
      <c r="I277" s="1"/>
      <c r="J277" s="1"/>
      <c r="K277" s="1"/>
      <c r="L277" s="1"/>
      <c r="M277" s="1"/>
      <c r="N277" s="1"/>
      <c r="O277" s="1"/>
      <c r="P277" s="1"/>
      <c r="Q277" s="1"/>
      <c r="R277" s="1"/>
      <c r="S277" s="1"/>
      <c r="T277" s="1"/>
      <c r="U277" s="1"/>
      <c r="V277" s="1"/>
      <c r="W277" s="1"/>
      <c r="X277" s="1"/>
      <c r="Y277" s="1"/>
      <c r="Z277" s="1"/>
    </row>
    <row r="278" ht="15.75" customHeight="1">
      <c r="A278" s="21" t="str">
        <f>IFERROR(__xludf.DUMMYFUNCTION("""COMPUTED_VALUE"""),"Frozen Shard")</f>
        <v>Frozen Shard</v>
      </c>
      <c r="B278" s="21"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1" t="str">
        <f>IFERROR(__xludf.DUMMYFUNCTION("""COMPUTED_VALUE"""),"Item")</f>
        <v>Item</v>
      </c>
      <c r="D278" s="1" t="str">
        <f>IFERROR(__xludf.DUMMYFUNCTION("""COMPUTED_VALUE"""),"Land of The Forgotten")</f>
        <v>Land of The Forgotten</v>
      </c>
      <c r="E278" s="1" t="b">
        <f>IFERROR(__xludf.DUMMYFUNCTION("""COMPUTED_VALUE"""),FALSE)</f>
        <v>0</v>
      </c>
      <c r="F278" s="1"/>
      <c r="G278" s="1"/>
      <c r="H278" s="1"/>
      <c r="I278" s="1"/>
      <c r="J278" s="1"/>
      <c r="K278" s="1"/>
      <c r="L278" s="1"/>
      <c r="M278" s="1"/>
      <c r="N278" s="1"/>
      <c r="O278" s="1"/>
      <c r="P278" s="1"/>
      <c r="Q278" s="1"/>
      <c r="R278" s="1"/>
      <c r="S278" s="1"/>
      <c r="T278" s="1"/>
      <c r="U278" s="1"/>
      <c r="V278" s="1"/>
      <c r="W278" s="1"/>
      <c r="X278" s="1"/>
      <c r="Y278" s="1"/>
      <c r="Z278" s="1"/>
    </row>
    <row r="279" ht="15.75" customHeight="1">
      <c r="A279" s="21" t="str">
        <f>IFERROR(__xludf.DUMMYFUNCTION("""COMPUTED_VALUE"""),"Tome of Chaotic Darkness")</f>
        <v>Tome of Chaotic Darkness</v>
      </c>
      <c r="B279" s="21" t="str">
        <f>IFERROR(__xludf.DUMMYFUNCTION("""COMPUTED_VALUE"""),"Allows use of up to Rank 9 Dark and Chaos Powers.")</f>
        <v>Allows use of up to Rank 9 Dark and Chaos Powers.</v>
      </c>
      <c r="C279" s="1" t="str">
        <f>IFERROR(__xludf.DUMMYFUNCTION("""COMPUTED_VALUE"""),"Item")</f>
        <v>Item</v>
      </c>
      <c r="D279" s="1" t="str">
        <f>IFERROR(__xludf.DUMMYFUNCTION("""COMPUTED_VALUE"""),"Abstara")</f>
        <v>Abstara</v>
      </c>
      <c r="E279" s="1" t="b">
        <f>IFERROR(__xludf.DUMMYFUNCTION("""COMPUTED_VALUE"""),TRUE)</f>
        <v>1</v>
      </c>
      <c r="F279" s="1"/>
      <c r="G279" s="1"/>
      <c r="H279" s="1"/>
      <c r="I279" s="1"/>
      <c r="J279" s="1"/>
      <c r="K279" s="1"/>
      <c r="L279" s="1"/>
      <c r="M279" s="1"/>
      <c r="N279" s="1"/>
      <c r="O279" s="1"/>
      <c r="P279" s="1"/>
      <c r="Q279" s="1"/>
      <c r="R279" s="1"/>
      <c r="S279" s="1"/>
      <c r="T279" s="1"/>
      <c r="U279" s="1"/>
      <c r="V279" s="1"/>
      <c r="W279" s="1"/>
      <c r="X279" s="1"/>
      <c r="Y279" s="1"/>
      <c r="Z279" s="1"/>
    </row>
    <row r="280" ht="15.75" customHeight="1">
      <c r="A280" s="21" t="str">
        <f>IFERROR(__xludf.DUMMYFUNCTION("""COMPUTED_VALUE"""),"The Land of The Forgotten Map")</f>
        <v>The Land of The Forgotten Map</v>
      </c>
      <c r="B280" s="21" t="str">
        <f>IFERROR(__xludf.DUMMYFUNCTION("""COMPUTED_VALUE"""),"Shows you where to find The Land of The Forgotten.")</f>
        <v>Shows you where to find The Land of The Forgotten.</v>
      </c>
      <c r="C280" s="1" t="str">
        <f>IFERROR(__xludf.DUMMYFUNCTION("""COMPUTED_VALUE"""),"Item")</f>
        <v>Item</v>
      </c>
      <c r="D280" s="1" t="str">
        <f>IFERROR(__xludf.DUMMYFUNCTION("""COMPUTED_VALUE"""),"Land of The Forgotten")</f>
        <v>Land of The Forgotten</v>
      </c>
      <c r="E280" s="1" t="b">
        <f>IFERROR(__xludf.DUMMYFUNCTION("""COMPUTED_VALUE"""),TRUE)</f>
        <v>1</v>
      </c>
      <c r="F280" s="1"/>
      <c r="G280" s="1"/>
      <c r="H280" s="1"/>
      <c r="I280" s="1"/>
      <c r="J280" s="1"/>
      <c r="K280" s="1"/>
      <c r="L280" s="1"/>
      <c r="M280" s="1"/>
      <c r="N280" s="1"/>
      <c r="O280" s="1"/>
      <c r="P280" s="1"/>
      <c r="Q280" s="1"/>
      <c r="R280" s="1"/>
      <c r="S280" s="1"/>
      <c r="T280" s="1"/>
      <c r="U280" s="1"/>
      <c r="V280" s="1"/>
      <c r="W280" s="1"/>
      <c r="X280" s="1"/>
      <c r="Y280" s="1"/>
      <c r="Z280" s="1"/>
    </row>
    <row r="281" ht="15.75" customHeight="1">
      <c r="A281" s="21" t="str">
        <f>IFERROR(__xludf.DUMMYFUNCTION("""COMPUTED_VALUE"""),"Corn On The Cob")</f>
        <v>Corn On The Cob</v>
      </c>
      <c r="B281" s="21" t="str">
        <f>IFERROR(__xludf.DUMMYFUNCTION("""COMPUTED_VALUE"""),"Restores 10 hunger.")</f>
        <v>Restores 10 hunger.</v>
      </c>
      <c r="C281" s="1" t="str">
        <f>IFERROR(__xludf.DUMMYFUNCTION("""COMPUTED_VALUE"""),"Crop")</f>
        <v>Crop</v>
      </c>
      <c r="D281" s="1" t="str">
        <f>IFERROR(__xludf.DUMMYFUNCTION("""COMPUTED_VALUE"""),"Land of Spira")</f>
        <v>Land of Spira</v>
      </c>
      <c r="E281" s="1" t="b">
        <f>IFERROR(__xludf.DUMMYFUNCTION("""COMPUTED_VALUE"""),TRUE)</f>
        <v>1</v>
      </c>
      <c r="F281" s="1"/>
      <c r="G281" s="1"/>
      <c r="H281" s="1"/>
      <c r="I281" s="1"/>
      <c r="J281" s="1"/>
      <c r="K281" s="1"/>
      <c r="L281" s="1"/>
      <c r="M281" s="1"/>
      <c r="N281" s="1"/>
      <c r="O281" s="1"/>
      <c r="P281" s="1"/>
      <c r="Q281" s="1"/>
      <c r="R281" s="1"/>
      <c r="S281" s="1"/>
      <c r="T281" s="1"/>
      <c r="U281" s="1"/>
      <c r="V281" s="1"/>
      <c r="W281" s="1"/>
      <c r="X281" s="1"/>
      <c r="Y281" s="1"/>
      <c r="Z281" s="1"/>
    </row>
    <row r="282" ht="15.75" customHeight="1">
      <c r="A282" s="21" t="str">
        <f>IFERROR(__xludf.DUMMYFUNCTION("""COMPUTED_VALUE"""),"Festival Bread Loaf")</f>
        <v>Festival Bread Loaf</v>
      </c>
      <c r="B282" s="21" t="str">
        <f>IFERROR(__xludf.DUMMYFUNCTION("""COMPUTED_VALUE"""),"Restores 30 hunger and decreases 10 thirst.")</f>
        <v>Restores 30 hunger and decreases 10 thirst.</v>
      </c>
      <c r="C282" s="1" t="str">
        <f>IFERROR(__xludf.DUMMYFUNCTION("""COMPUTED_VALUE"""),"Crop")</f>
        <v>Crop</v>
      </c>
      <c r="D282" s="1" t="str">
        <f>IFERROR(__xludf.DUMMYFUNCTION("""COMPUTED_VALUE"""),"Land of Spira")</f>
        <v>Land of Spira</v>
      </c>
      <c r="E282" s="1" t="b">
        <f>IFERROR(__xludf.DUMMYFUNCTION("""COMPUTED_VALUE"""),FALSE)</f>
        <v>0</v>
      </c>
      <c r="F282" s="1"/>
      <c r="G282" s="1"/>
      <c r="H282" s="1"/>
      <c r="I282" s="1"/>
      <c r="J282" s="1"/>
      <c r="K282" s="1"/>
      <c r="L282" s="1"/>
      <c r="M282" s="1"/>
      <c r="N282" s="1"/>
      <c r="O282" s="1"/>
      <c r="P282" s="1"/>
      <c r="Q282" s="1"/>
      <c r="R282" s="1"/>
      <c r="S282" s="1"/>
      <c r="T282" s="1"/>
      <c r="U282" s="1"/>
      <c r="V282" s="1"/>
      <c r="W282" s="1"/>
      <c r="X282" s="1"/>
      <c r="Y282" s="1"/>
      <c r="Z282" s="1"/>
    </row>
    <row r="283" ht="15.75" customHeight="1">
      <c r="A283" s="21" t="str">
        <f>IFERROR(__xludf.DUMMYFUNCTION("""COMPUTED_VALUE"""),"Fruit Cake")</f>
        <v>Fruit Cake</v>
      </c>
      <c r="B283" s="21" t="str">
        <f>IFERROR(__xludf.DUMMYFUNCTION("""COMPUTED_VALUE"""),"Restores 20 energy and hunger")</f>
        <v>Restores 20 energy and hunger</v>
      </c>
      <c r="C283" s="1" t="str">
        <f>IFERROR(__xludf.DUMMYFUNCTION("""COMPUTED_VALUE"""),"Crop")</f>
        <v>Crop</v>
      </c>
      <c r="D283" s="1" t="str">
        <f>IFERROR(__xludf.DUMMYFUNCTION("""COMPUTED_VALUE"""),"Land of Spira")</f>
        <v>Land of Spira</v>
      </c>
      <c r="E283" s="1" t="b">
        <f>IFERROR(__xludf.DUMMYFUNCTION("""COMPUTED_VALUE"""),TRUE)</f>
        <v>1</v>
      </c>
      <c r="F283" s="1"/>
      <c r="G283" s="1"/>
      <c r="H283" s="1"/>
      <c r="I283" s="1"/>
      <c r="J283" s="1"/>
      <c r="K283" s="1"/>
      <c r="L283" s="1"/>
      <c r="M283" s="1"/>
      <c r="N283" s="1"/>
      <c r="O283" s="1"/>
      <c r="P283" s="1"/>
      <c r="Q283" s="1"/>
      <c r="R283" s="1"/>
      <c r="S283" s="1"/>
      <c r="T283" s="1"/>
      <c r="U283" s="1"/>
      <c r="V283" s="1"/>
      <c r="W283" s="1"/>
      <c r="X283" s="1"/>
      <c r="Y283" s="1"/>
      <c r="Z283" s="1"/>
    </row>
    <row r="284" ht="15.75" customHeight="1">
      <c r="A284" s="21" t="str">
        <f>IFERROR(__xludf.DUMMYFUNCTION("""COMPUTED_VALUE"""),"Festival Mead")</f>
        <v>Festival Mead</v>
      </c>
      <c r="B284" s="21" t="str">
        <f>IFERROR(__xludf.DUMMYFUNCTION("""COMPUTED_VALUE"""),"Restores 20 thirst.")</f>
        <v>Restores 20 thirst.</v>
      </c>
      <c r="C284" s="1" t="str">
        <f>IFERROR(__xludf.DUMMYFUNCTION("""COMPUTED_VALUE"""),"Item")</f>
        <v>Item</v>
      </c>
      <c r="D284" s="1" t="str">
        <f>IFERROR(__xludf.DUMMYFUNCTION("""COMPUTED_VALUE"""),"Land of Spira")</f>
        <v>Land of Spira</v>
      </c>
      <c r="E284" s="1" t="b">
        <f>IFERROR(__xludf.DUMMYFUNCTION("""COMPUTED_VALUE"""),TRUE)</f>
        <v>1</v>
      </c>
      <c r="F284" s="1"/>
      <c r="G284" s="1"/>
      <c r="H284" s="1"/>
      <c r="I284" s="1"/>
      <c r="J284" s="1"/>
      <c r="K284" s="1"/>
      <c r="L284" s="1"/>
      <c r="M284" s="1"/>
      <c r="N284" s="1"/>
      <c r="O284" s="1"/>
      <c r="P284" s="1"/>
      <c r="Q284" s="1"/>
      <c r="R284" s="1"/>
      <c r="S284" s="1"/>
      <c r="T284" s="1"/>
      <c r="U284" s="1"/>
      <c r="V284" s="1"/>
      <c r="W284" s="1"/>
      <c r="X284" s="1"/>
      <c r="Y284" s="1"/>
      <c r="Z284" s="1"/>
    </row>
    <row r="285" ht="15.75" customHeight="1">
      <c r="A285" s="21" t="str">
        <f>IFERROR(__xludf.DUMMYFUNCTION("""COMPUTED_VALUE"""),"Lemonade")</f>
        <v>Lemonade</v>
      </c>
      <c r="B285" s="21" t="str">
        <f>IFERROR(__xludf.DUMMYFUNCTION("""COMPUTED_VALUE"""),"Restores 10 thirst and energy.")</f>
        <v>Restores 10 thirst and energy.</v>
      </c>
      <c r="C285" s="1" t="str">
        <f>IFERROR(__xludf.DUMMYFUNCTION("""COMPUTED_VALUE"""),"Item")</f>
        <v>Item</v>
      </c>
      <c r="D285" s="1" t="str">
        <f>IFERROR(__xludf.DUMMYFUNCTION("""COMPUTED_VALUE"""),"Land of Spira")</f>
        <v>Land of Spira</v>
      </c>
      <c r="E285" s="1" t="b">
        <f>IFERROR(__xludf.DUMMYFUNCTION("""COMPUTED_VALUE"""),TRUE)</f>
        <v>1</v>
      </c>
      <c r="F285" s="1"/>
      <c r="G285" s="1"/>
      <c r="H285" s="1"/>
      <c r="I285" s="1"/>
      <c r="J285" s="1"/>
      <c r="K285" s="1"/>
      <c r="L285" s="1"/>
      <c r="M285" s="1"/>
      <c r="N285" s="1"/>
      <c r="O285" s="1"/>
      <c r="P285" s="1"/>
      <c r="Q285" s="1"/>
      <c r="R285" s="1"/>
      <c r="S285" s="1"/>
      <c r="T285" s="1"/>
      <c r="U285" s="1"/>
      <c r="V285" s="1"/>
      <c r="W285" s="1"/>
      <c r="X285" s="1"/>
      <c r="Y285" s="1"/>
      <c r="Z285" s="1"/>
    </row>
    <row r="286" ht="15.75" customHeight="1">
      <c r="A286" s="21" t="str">
        <f>IFERROR(__xludf.DUMMYFUNCTION("""COMPUTED_VALUE"""),"Forbidden Amulet Shard")</f>
        <v>Forbidden Amulet Shard</v>
      </c>
      <c r="B286" s="21"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1" t="str">
        <f>IFERROR(__xludf.DUMMYFUNCTION("""COMPUTED_VALUE"""),"Item")</f>
        <v>Item</v>
      </c>
      <c r="D286" s="1" t="str">
        <f>IFERROR(__xludf.DUMMYFUNCTION("""COMPUTED_VALUE"""),"Halloween Kingdom")</f>
        <v>Halloween Kingdom</v>
      </c>
      <c r="E286" s="1" t="b">
        <f>IFERROR(__xludf.DUMMYFUNCTION("""COMPUTED_VALUE"""),TRUE)</f>
        <v>1</v>
      </c>
      <c r="F286" s="1"/>
      <c r="G286" s="1"/>
      <c r="H286" s="1"/>
      <c r="I286" s="1"/>
      <c r="J286" s="1"/>
      <c r="K286" s="1"/>
      <c r="L286" s="1"/>
      <c r="M286" s="1"/>
      <c r="N286" s="1"/>
      <c r="O286" s="1"/>
      <c r="P286" s="1"/>
      <c r="Q286" s="1"/>
      <c r="R286" s="1"/>
      <c r="S286" s="1"/>
      <c r="T286" s="1"/>
      <c r="U286" s="1"/>
      <c r="V286" s="1"/>
      <c r="W286" s="1"/>
      <c r="X286" s="1"/>
      <c r="Y286" s="1"/>
      <c r="Z286" s="1"/>
    </row>
    <row r="287" ht="15.75" customHeight="1">
      <c r="A287" s="21" t="str">
        <f>IFERROR(__xludf.DUMMYFUNCTION("""COMPUTED_VALUE"""),"The Forbidden Amulet of The Halloween Kingdom.")</f>
        <v>The Forbidden Amulet of The Halloween Kingdom.</v>
      </c>
      <c r="B287" s="21" t="str">
        <f>IFERROR(__xludf.DUMMYFUNCTION("""COMPUTED_VALUE"""),"An amulet used to break the barrier on Lord Dreadfuls castle in the Halloween Kingdom.")</f>
        <v>An amulet used to break the barrier on Lord Dreadfuls castle in the Halloween Kingdom.</v>
      </c>
      <c r="C287" s="1" t="str">
        <f>IFERROR(__xludf.DUMMYFUNCTION("""COMPUTED_VALUE"""),"Item")</f>
        <v>Item</v>
      </c>
      <c r="D287" s="1" t="str">
        <f>IFERROR(__xludf.DUMMYFUNCTION("""COMPUTED_VALUE"""),"Halloween Kingdom")</f>
        <v>Halloween Kingdom</v>
      </c>
      <c r="E287" s="1" t="b">
        <f>IFERROR(__xludf.DUMMYFUNCTION("""COMPUTED_VALUE"""),TRUE)</f>
        <v>1</v>
      </c>
      <c r="F287" s="1"/>
      <c r="G287" s="1"/>
      <c r="H287" s="1"/>
      <c r="I287" s="1"/>
      <c r="J287" s="1"/>
      <c r="K287" s="1"/>
      <c r="L287" s="1"/>
      <c r="M287" s="1"/>
      <c r="N287" s="1"/>
      <c r="O287" s="1"/>
      <c r="P287" s="1"/>
      <c r="Q287" s="1"/>
      <c r="R287" s="1"/>
      <c r="S287" s="1"/>
      <c r="T287" s="1"/>
      <c r="U287" s="1"/>
      <c r="V287" s="1"/>
      <c r="W287" s="1"/>
      <c r="X287" s="1"/>
      <c r="Y287" s="1"/>
      <c r="Z287" s="1"/>
    </row>
    <row r="288" ht="15.75" customHeight="1">
      <c r="A288" s="21" t="str">
        <f>IFERROR(__xludf.DUMMYFUNCTION("""COMPUTED_VALUE"""),"Slime Jelly")</f>
        <v>Slime Jelly</v>
      </c>
      <c r="B288" s="21" t="str">
        <f>IFERROR(__xludf.DUMMYFUNCTION("""COMPUTED_VALUE"""),"Restores 50 HP, 75 Mana, 50 Hunger, and 50 Thirst, -30 Energy cause it tastes bad")</f>
        <v>Restores 50 HP, 75 Mana, 50 Hunger, and 50 Thirst, -30 Energy cause it tastes bad</v>
      </c>
      <c r="C288" s="1" t="str">
        <f>IFERROR(__xludf.DUMMYFUNCTION("""COMPUTED_VALUE"""),"Crop")</f>
        <v>Crop</v>
      </c>
      <c r="D288" s="1" t="str">
        <f>IFERROR(__xludf.DUMMYFUNCTION("""COMPUTED_VALUE"""),"Land of Spira")</f>
        <v>Land of Spira</v>
      </c>
      <c r="E288" s="1" t="b">
        <f>IFERROR(__xludf.DUMMYFUNCTION("""COMPUTED_VALUE"""),FALSE)</f>
        <v>0</v>
      </c>
      <c r="F288" s="1"/>
      <c r="G288" s="1"/>
      <c r="H288" s="1"/>
      <c r="I288" s="1"/>
      <c r="J288" s="1"/>
      <c r="K288" s="1"/>
      <c r="L288" s="1"/>
      <c r="M288" s="1"/>
      <c r="N288" s="1"/>
      <c r="O288" s="1"/>
      <c r="P288" s="1"/>
      <c r="Q288" s="1"/>
      <c r="R288" s="1"/>
      <c r="S288" s="1"/>
      <c r="T288" s="1"/>
      <c r="U288" s="1"/>
      <c r="V288" s="1"/>
      <c r="W288" s="1"/>
      <c r="X288" s="1"/>
      <c r="Y288" s="1"/>
      <c r="Z288" s="1"/>
    </row>
    <row r="289" ht="15.75" customHeight="1">
      <c r="A289" s="21" t="str">
        <f>IFERROR(__xludf.DUMMYFUNCTION("""COMPUTED_VALUE"""),"Broken Robot")</f>
        <v>Broken Robot</v>
      </c>
      <c r="B289" s="21" t="str">
        <f>IFERROR(__xludf.DUMMYFUNCTION("""COMPUTED_VALUE"""),"An item that is purchased and given to a mysterious cloaked figure. ")</f>
        <v>An item that is purchased and given to a mysterious cloaked figure. </v>
      </c>
      <c r="C289" s="1" t="str">
        <f>IFERROR(__xludf.DUMMYFUNCTION("""COMPUTED_VALUE"""),"Item")</f>
        <v>Item</v>
      </c>
      <c r="D289" s="1" t="str">
        <f>IFERROR(__xludf.DUMMYFUNCTION("""COMPUTED_VALUE"""),"Land of Spira")</f>
        <v>Land of Spira</v>
      </c>
      <c r="E289" s="1" t="b">
        <f>IFERROR(__xludf.DUMMYFUNCTION("""COMPUTED_VALUE"""),FALSE)</f>
        <v>0</v>
      </c>
      <c r="F289" s="1"/>
      <c r="G289" s="1"/>
      <c r="H289" s="1"/>
      <c r="I289" s="1"/>
      <c r="J289" s="1"/>
      <c r="K289" s="1"/>
      <c r="L289" s="1"/>
      <c r="M289" s="1"/>
      <c r="N289" s="1"/>
      <c r="O289" s="1"/>
      <c r="P289" s="1"/>
      <c r="Q289" s="1"/>
      <c r="R289" s="1"/>
      <c r="S289" s="1"/>
      <c r="T289" s="1"/>
      <c r="U289" s="1"/>
      <c r="V289" s="1"/>
      <c r="W289" s="1"/>
      <c r="X289" s="1"/>
      <c r="Y289" s="1"/>
      <c r="Z289" s="1"/>
    </row>
    <row r="290" ht="15.75" customHeight="1">
      <c r="A290" s="21" t="str">
        <f>IFERROR(__xludf.DUMMYFUNCTION("""COMPUTED_VALUE"""),"Boar Hide")</f>
        <v>Boar Hide</v>
      </c>
      <c r="B290" s="21" t="str">
        <f>IFERROR(__xludf.DUMMYFUNCTION("""COMPUTED_VALUE"""),"Crafting Material, roll a d20 to see how many you get if this is a loot drop.")</f>
        <v>Crafting Material, roll a d20 to see how many you get if this is a loot drop.</v>
      </c>
      <c r="C290" s="1" t="str">
        <f>IFERROR(__xludf.DUMMYFUNCTION("""COMPUTED_VALUE"""),"Item")</f>
        <v>Item</v>
      </c>
      <c r="D290" s="1" t="str">
        <f>IFERROR(__xludf.DUMMYFUNCTION("""COMPUTED_VALUE"""),"Land of Spira")</f>
        <v>Land of Spira</v>
      </c>
      <c r="E290" s="1" t="b">
        <f>IFERROR(__xludf.DUMMYFUNCTION("""COMPUTED_VALUE"""),TRUE)</f>
        <v>1</v>
      </c>
      <c r="F290" s="1"/>
      <c r="G290" s="1"/>
      <c r="H290" s="1"/>
      <c r="I290" s="1"/>
      <c r="J290" s="1"/>
      <c r="K290" s="1"/>
      <c r="L290" s="1"/>
      <c r="M290" s="1"/>
      <c r="N290" s="1"/>
      <c r="O290" s="1"/>
      <c r="P290" s="1"/>
      <c r="Q290" s="1"/>
      <c r="R290" s="1"/>
      <c r="S290" s="1"/>
      <c r="T290" s="1"/>
      <c r="U290" s="1"/>
      <c r="V290" s="1"/>
      <c r="W290" s="1"/>
      <c r="X290" s="1"/>
      <c r="Y290" s="1"/>
      <c r="Z290" s="1"/>
    </row>
    <row r="291" ht="15.75" customHeight="1">
      <c r="A291" s="21" t="str">
        <f>IFERROR(__xludf.DUMMYFUNCTION("""COMPUTED_VALUE"""),"Bullet")</f>
        <v>Bullet</v>
      </c>
      <c r="B291" s="21" t="str">
        <f>IFERROR(__xludf.DUMMYFUNCTION("""COMPUTED_VALUE"""),"Firearm Ammunition. +100 damage. roll a d20 to see how many you get if this is a loot drop.")</f>
        <v>Firearm Ammunition. +100 damage. roll a d20 to see how many you get if this is a loot drop.</v>
      </c>
      <c r="C291" s="1" t="str">
        <f>IFERROR(__xludf.DUMMYFUNCTION("""COMPUTED_VALUE"""),"Item")</f>
        <v>Item</v>
      </c>
      <c r="D291" s="1" t="str">
        <f>IFERROR(__xludf.DUMMYFUNCTION("""COMPUTED_VALUE"""),"Land of Spira")</f>
        <v>Land of Spira</v>
      </c>
      <c r="E291" s="1" t="b">
        <f>IFERROR(__xludf.DUMMYFUNCTION("""COMPUTED_VALUE"""),TRUE)</f>
        <v>1</v>
      </c>
      <c r="F291" s="1"/>
      <c r="G291" s="1"/>
      <c r="H291" s="1"/>
      <c r="I291" s="1"/>
      <c r="J291" s="1"/>
      <c r="K291" s="1"/>
      <c r="L291" s="1"/>
      <c r="M291" s="1"/>
      <c r="N291" s="1"/>
      <c r="O291" s="1"/>
      <c r="P291" s="1"/>
      <c r="Q291" s="1"/>
      <c r="R291" s="1"/>
      <c r="S291" s="1"/>
      <c r="T291" s="1"/>
      <c r="U291" s="1"/>
      <c r="V291" s="1"/>
      <c r="W291" s="1"/>
      <c r="X291" s="1"/>
      <c r="Y291" s="1"/>
      <c r="Z291" s="1"/>
    </row>
    <row r="292" ht="15.75" customHeight="1">
      <c r="A292" s="21" t="str">
        <f>IFERROR(__xludf.DUMMYFUNCTION("""COMPUTED_VALUE"""),"The Ancient Medallion of Frost")</f>
        <v>The Ancient Medallion of Frost</v>
      </c>
      <c r="B292" s="21" t="str">
        <f>IFERROR(__xludf.DUMMYFUNCTION("""COMPUTED_VALUE"""),"The key to getting into the final tower of the winter event.")</f>
        <v>The key to getting into the final tower of the winter event.</v>
      </c>
      <c r="C292" s="1" t="str">
        <f>IFERROR(__xludf.DUMMYFUNCTION("""COMPUTED_VALUE"""),"Item")</f>
        <v>Item</v>
      </c>
      <c r="D292" s="1" t="str">
        <f>IFERROR(__xludf.DUMMYFUNCTION("""COMPUTED_VALUE"""),"Land of Spira")</f>
        <v>Land of Spira</v>
      </c>
      <c r="E292" s="1" t="b">
        <f>IFERROR(__xludf.DUMMYFUNCTION("""COMPUTED_VALUE"""),FALSE)</f>
        <v>0</v>
      </c>
      <c r="F292" s="1"/>
      <c r="G292" s="1"/>
      <c r="H292" s="1"/>
      <c r="I292" s="1"/>
      <c r="J292" s="1"/>
      <c r="K292" s="1"/>
      <c r="L292" s="1"/>
      <c r="M292" s="1"/>
      <c r="N292" s="1"/>
      <c r="O292" s="1"/>
      <c r="P292" s="1"/>
      <c r="Q292" s="1"/>
      <c r="R292" s="1"/>
      <c r="S292" s="1"/>
      <c r="T292" s="1"/>
      <c r="U292" s="1"/>
      <c r="V292" s="1"/>
      <c r="W292" s="1"/>
      <c r="X292" s="1"/>
      <c r="Y292" s="1"/>
      <c r="Z292" s="1"/>
    </row>
    <row r="293" ht="15.75" customHeight="1">
      <c r="A293" s="21" t="str">
        <f>IFERROR(__xludf.DUMMYFUNCTION("""COMPUTED_VALUE"""),"Gargoyle Stone Tablet")</f>
        <v>Gargoyle Stone Tablet</v>
      </c>
      <c r="B293" s="21" t="str">
        <f>IFERROR(__xludf.DUMMYFUNCTION("""COMPUTED_VALUE"""),"Tells you the Location of 3 Tiny Gargoyles. This item can only be used once.")</f>
        <v>Tells you the Location of 3 Tiny Gargoyles. This item can only be used once.</v>
      </c>
      <c r="C293" s="1" t="str">
        <f>IFERROR(__xludf.DUMMYFUNCTION("""COMPUTED_VALUE"""),"Item")</f>
        <v>Item</v>
      </c>
      <c r="D293" s="1" t="str">
        <f>IFERROR(__xludf.DUMMYFUNCTION("""COMPUTED_VALUE"""),"Abstara")</f>
        <v>Abstara</v>
      </c>
      <c r="E293" s="1" t="b">
        <f>IFERROR(__xludf.DUMMYFUNCTION("""COMPUTED_VALUE"""),FALSE)</f>
        <v>0</v>
      </c>
      <c r="F293" s="1"/>
      <c r="G293" s="1"/>
      <c r="H293" s="1"/>
      <c r="I293" s="1"/>
      <c r="J293" s="1"/>
      <c r="K293" s="1"/>
      <c r="L293" s="1"/>
      <c r="M293" s="1"/>
      <c r="N293" s="1"/>
      <c r="O293" s="1"/>
      <c r="P293" s="1"/>
      <c r="Q293" s="1"/>
      <c r="R293" s="1"/>
      <c r="S293" s="1"/>
      <c r="T293" s="1"/>
      <c r="U293" s="1"/>
      <c r="V293" s="1"/>
      <c r="W293" s="1"/>
      <c r="X293" s="1"/>
      <c r="Y293" s="1"/>
      <c r="Z293" s="1"/>
    </row>
    <row r="294" ht="15.75" customHeight="1">
      <c r="A294" s="21" t="str">
        <f>IFERROR(__xludf.DUMMYFUNCTION("""COMPUTED_VALUE"""),"Map of the Gargoyle’s")</f>
        <v>Map of the Gargoyle’s</v>
      </c>
      <c r="B294" s="21" t="str">
        <f>IFERROR(__xludf.DUMMYFUNCTION("""COMPUTED_VALUE"""),"Allows Use to see Special Gargoyle’s")</f>
        <v>Allows Use to see Special Gargoyle’s</v>
      </c>
      <c r="C294" s="1" t="str">
        <f>IFERROR(__xludf.DUMMYFUNCTION("""COMPUTED_VALUE"""),"Item")</f>
        <v>Item</v>
      </c>
      <c r="D294" s="1" t="str">
        <f>IFERROR(__xludf.DUMMYFUNCTION("""COMPUTED_VALUE"""),"Abstara")</f>
        <v>Abstara</v>
      </c>
      <c r="E294" s="1" t="b">
        <f>IFERROR(__xludf.DUMMYFUNCTION("""COMPUTED_VALUE"""),TRUE)</f>
        <v>1</v>
      </c>
      <c r="F294" s="1"/>
      <c r="G294" s="1"/>
      <c r="H294" s="1"/>
      <c r="I294" s="1"/>
      <c r="J294" s="1"/>
      <c r="K294" s="1"/>
      <c r="L294" s="1"/>
      <c r="M294" s="1"/>
      <c r="N294" s="1"/>
      <c r="O294" s="1"/>
      <c r="P294" s="1"/>
      <c r="Q294" s="1"/>
      <c r="R294" s="1"/>
      <c r="S294" s="1"/>
      <c r="T294" s="1"/>
      <c r="U294" s="1"/>
      <c r="V294" s="1"/>
      <c r="W294" s="1"/>
      <c r="X294" s="1"/>
      <c r="Y294" s="1"/>
      <c r="Z294" s="1"/>
    </row>
    <row r="295" ht="15.75" customHeight="1">
      <c r="A295" s="21" t="str">
        <f>IFERROR(__xludf.DUMMYFUNCTION("""COMPUTED_VALUE"""),"The Tome of Abstara")</f>
        <v>The Tome of Abstara</v>
      </c>
      <c r="B295" s="21" t="str">
        <f>IFERROR(__xludf.DUMMYFUNCTION("""COMPUTED_VALUE"""),"Can use up to Rank 9 Fire, Chaos, and Dark spells.")</f>
        <v>Can use up to Rank 9 Fire, Chaos, and Dark spells.</v>
      </c>
      <c r="C295" s="1" t="str">
        <f>IFERROR(__xludf.DUMMYFUNCTION("""COMPUTED_VALUE"""),"Item")</f>
        <v>Item</v>
      </c>
      <c r="D295" s="1" t="str">
        <f>IFERROR(__xludf.DUMMYFUNCTION("""COMPUTED_VALUE"""),"Abstara")</f>
        <v>Abstara</v>
      </c>
      <c r="E295" s="1" t="b">
        <f>IFERROR(__xludf.DUMMYFUNCTION("""COMPUTED_VALUE"""),FALSE)</f>
        <v>0</v>
      </c>
      <c r="F295" s="1"/>
      <c r="G295" s="1"/>
      <c r="H295" s="1"/>
      <c r="I295" s="1"/>
      <c r="J295" s="1"/>
      <c r="K295" s="1"/>
      <c r="L295" s="1"/>
      <c r="M295" s="1"/>
      <c r="N295" s="1"/>
      <c r="O295" s="1"/>
      <c r="P295" s="1"/>
      <c r="Q295" s="1"/>
      <c r="R295" s="1"/>
      <c r="S295" s="1"/>
      <c r="T295" s="1"/>
      <c r="U295" s="1"/>
      <c r="V295" s="1"/>
      <c r="W295" s="1"/>
      <c r="X295" s="1"/>
      <c r="Y295" s="1"/>
      <c r="Z295" s="1"/>
    </row>
    <row r="296" ht="15.75" customHeight="1">
      <c r="A296" s="21" t="str">
        <f>IFERROR(__xludf.DUMMYFUNCTION("""COMPUTED_VALUE"""),"Gargoyle’s Fishing Pole")</f>
        <v>Gargoyle’s Fishing Pole</v>
      </c>
      <c r="B296" s="21" t="str">
        <f>IFERROR(__xludf.DUMMYFUNCTION("""COMPUTED_VALUE"""),"500/500 Uses. Used for lava fishing. Made of Stone.")</f>
        <v>500/500 Uses. Used for lava fishing. Made of Stone.</v>
      </c>
      <c r="C296" s="1" t="str">
        <f>IFERROR(__xludf.DUMMYFUNCTION("""COMPUTED_VALUE"""),"Item")</f>
        <v>Item</v>
      </c>
      <c r="D296" s="1" t="str">
        <f>IFERROR(__xludf.DUMMYFUNCTION("""COMPUTED_VALUE"""),"Abstara")</f>
        <v>Abstara</v>
      </c>
      <c r="E296" s="1" t="b">
        <f>IFERROR(__xludf.DUMMYFUNCTION("""COMPUTED_VALUE"""),FALSE)</f>
        <v>0</v>
      </c>
      <c r="F296" s="1"/>
      <c r="G296" s="1"/>
      <c r="H296" s="1"/>
      <c r="I296" s="1"/>
      <c r="J296" s="1"/>
      <c r="K296" s="1"/>
      <c r="L296" s="1"/>
      <c r="M296" s="1"/>
      <c r="N296" s="1"/>
      <c r="O296" s="1"/>
      <c r="P296" s="1"/>
      <c r="Q296" s="1"/>
      <c r="R296" s="1"/>
      <c r="S296" s="1"/>
      <c r="T296" s="1"/>
      <c r="U296" s="1"/>
      <c r="V296" s="1"/>
      <c r="W296" s="1"/>
      <c r="X296" s="1"/>
      <c r="Y296" s="1"/>
      <c r="Z296" s="1"/>
    </row>
    <row r="297" ht="15.75" customHeight="1">
      <c r="A297" s="21" t="str">
        <f>IFERROR(__xludf.DUMMYFUNCTION("""COMPUTED_VALUE"""),"Stone Worm")</f>
        <v>Stone Worm</v>
      </c>
      <c r="B297" s="21" t="str">
        <f>IFERROR(__xludf.DUMMYFUNCTION("""COMPUTED_VALUE"""),"Fishing bait. Used for lava fishing.")</f>
        <v>Fishing bait. Used for lava fishing.</v>
      </c>
      <c r="C297" s="1" t="str">
        <f>IFERROR(__xludf.DUMMYFUNCTION("""COMPUTED_VALUE"""),"Item")</f>
        <v>Item</v>
      </c>
      <c r="D297" s="1" t="str">
        <f>IFERROR(__xludf.DUMMYFUNCTION("""COMPUTED_VALUE"""),"Abstara")</f>
        <v>Abstara</v>
      </c>
      <c r="E297" s="1" t="b">
        <f>IFERROR(__xludf.DUMMYFUNCTION("""COMPUTED_VALUE"""),TRUE)</f>
        <v>1</v>
      </c>
      <c r="F297" s="1"/>
      <c r="G297" s="1"/>
      <c r="H297" s="1"/>
      <c r="I297" s="1"/>
      <c r="J297" s="1"/>
      <c r="K297" s="1"/>
      <c r="L297" s="1"/>
      <c r="M297" s="1"/>
      <c r="N297" s="1"/>
      <c r="O297" s="1"/>
      <c r="P297" s="1"/>
      <c r="Q297" s="1"/>
      <c r="R297" s="1"/>
      <c r="S297" s="1"/>
      <c r="T297" s="1"/>
      <c r="U297" s="1"/>
      <c r="V297" s="1"/>
      <c r="W297" s="1"/>
      <c r="X297" s="1"/>
      <c r="Y297" s="1"/>
      <c r="Z297" s="1"/>
    </row>
    <row r="298" ht="15.75" customHeight="1">
      <c r="A298" s="21" t="str">
        <f>IFERROR(__xludf.DUMMYFUNCTION("""COMPUTED_VALUE"""),"Rock Soup")</f>
        <v>Rock Soup</v>
      </c>
      <c r="B298" s="21" t="str">
        <f>IFERROR(__xludf.DUMMYFUNCTION("""COMPUTED_VALUE"""),"25 Hunger and +15 Thirst")</f>
        <v>25 Hunger and +15 Thirst</v>
      </c>
      <c r="C298" s="1" t="str">
        <f>IFERROR(__xludf.DUMMYFUNCTION("""COMPUTED_VALUE"""),"Crop")</f>
        <v>Crop</v>
      </c>
      <c r="D298" s="1" t="str">
        <f>IFERROR(__xludf.DUMMYFUNCTION("""COMPUTED_VALUE"""),"Abstara")</f>
        <v>Abstara</v>
      </c>
      <c r="E298" s="1" t="b">
        <f>IFERROR(__xludf.DUMMYFUNCTION("""COMPUTED_VALUE"""),TRUE)</f>
        <v>1</v>
      </c>
      <c r="F298" s="1"/>
      <c r="G298" s="1"/>
      <c r="H298" s="1"/>
      <c r="I298" s="1"/>
      <c r="J298" s="1"/>
      <c r="K298" s="1"/>
      <c r="L298" s="1"/>
      <c r="M298" s="1"/>
      <c r="N298" s="1"/>
      <c r="O298" s="1"/>
      <c r="P298" s="1"/>
      <c r="Q298" s="1"/>
      <c r="R298" s="1"/>
      <c r="S298" s="1"/>
      <c r="T298" s="1"/>
      <c r="U298" s="1"/>
      <c r="V298" s="1"/>
      <c r="W298" s="1"/>
      <c r="X298" s="1"/>
      <c r="Y298" s="1"/>
      <c r="Z298" s="1"/>
    </row>
    <row r="299" ht="15.75" customHeight="1">
      <c r="A299" s="21" t="str">
        <f>IFERROR(__xludf.DUMMYFUNCTION("""COMPUTED_VALUE"""),"Gargoyle’s slumbering mead")</f>
        <v>Gargoyle’s slumbering mead</v>
      </c>
      <c r="B299" s="21" t="str">
        <f>IFERROR(__xludf.DUMMYFUNCTION("""COMPUTED_VALUE"""),"100 Thirst +100 Energy")</f>
        <v>100 Thirst +100 Energy</v>
      </c>
      <c r="C299" s="1" t="str">
        <f>IFERROR(__xludf.DUMMYFUNCTION("""COMPUTED_VALUE"""),"Item")</f>
        <v>Item</v>
      </c>
      <c r="D299" s="1" t="str">
        <f>IFERROR(__xludf.DUMMYFUNCTION("""COMPUTED_VALUE"""),"Abstara")</f>
        <v>Abstara</v>
      </c>
      <c r="E299" s="1" t="b">
        <f>IFERROR(__xludf.DUMMYFUNCTION("""COMPUTED_VALUE"""),FALSE)</f>
        <v>0</v>
      </c>
      <c r="F299" s="1"/>
      <c r="G299" s="1"/>
      <c r="H299" s="1"/>
      <c r="I299" s="1"/>
      <c r="J299" s="1"/>
      <c r="K299" s="1"/>
      <c r="L299" s="1"/>
      <c r="M299" s="1"/>
      <c r="N299" s="1"/>
      <c r="O299" s="1"/>
      <c r="P299" s="1"/>
      <c r="Q299" s="1"/>
      <c r="R299" s="1"/>
      <c r="S299" s="1"/>
      <c r="T299" s="1"/>
      <c r="U299" s="1"/>
      <c r="V299" s="1"/>
      <c r="W299" s="1"/>
      <c r="X299" s="1"/>
      <c r="Y299" s="1"/>
      <c r="Z299" s="1"/>
    </row>
    <row r="300" ht="15.75" customHeight="1">
      <c r="A300" s="21" t="str">
        <f>IFERROR(__xludf.DUMMYFUNCTION("""COMPUTED_VALUE"""),"Dark rum")</f>
        <v>Dark rum</v>
      </c>
      <c r="B300" s="21" t="str">
        <f>IFERROR(__xludf.DUMMYFUNCTION("""COMPUTED_VALUE"""),"200 Thirst +200 Energy")</f>
        <v>200 Thirst +200 Energy</v>
      </c>
      <c r="C300" s="1" t="str">
        <f>IFERROR(__xludf.DUMMYFUNCTION("""COMPUTED_VALUE"""),"Item")</f>
        <v>Item</v>
      </c>
      <c r="D300" s="1" t="str">
        <f>IFERROR(__xludf.DUMMYFUNCTION("""COMPUTED_VALUE"""),"Abstara")</f>
        <v>Abstara</v>
      </c>
      <c r="E300" s="1" t="b">
        <f>IFERROR(__xludf.DUMMYFUNCTION("""COMPUTED_VALUE"""),TRUE)</f>
        <v>1</v>
      </c>
      <c r="F300" s="1"/>
      <c r="G300" s="1"/>
      <c r="H300" s="1"/>
      <c r="I300" s="1"/>
      <c r="J300" s="1"/>
      <c r="K300" s="1"/>
      <c r="L300" s="1"/>
      <c r="M300" s="1"/>
      <c r="N300" s="1"/>
      <c r="O300" s="1"/>
      <c r="P300" s="1"/>
      <c r="Q300" s="1"/>
      <c r="R300" s="1"/>
      <c r="S300" s="1"/>
      <c r="T300" s="1"/>
      <c r="U300" s="1"/>
      <c r="V300" s="1"/>
      <c r="W300" s="1"/>
      <c r="X300" s="1"/>
      <c r="Y300" s="1"/>
      <c r="Z300" s="1"/>
    </row>
    <row r="301" ht="15.75" customHeight="1">
      <c r="A301" s="21" t="str">
        <f>IFERROR(__xludf.DUMMYFUNCTION("""COMPUTED_VALUE"""),"Blank steak")</f>
        <v>Blank steak</v>
      </c>
      <c r="B301" s="21" t="str">
        <f>IFERROR(__xludf.DUMMYFUNCTION("""COMPUTED_VALUE"""),"25 Hunger")</f>
        <v>25 Hunger</v>
      </c>
      <c r="C301" s="1" t="str">
        <f>IFERROR(__xludf.DUMMYFUNCTION("""COMPUTED_VALUE"""),"Crop")</f>
        <v>Crop</v>
      </c>
      <c r="D301" s="1" t="str">
        <f>IFERROR(__xludf.DUMMYFUNCTION("""COMPUTED_VALUE"""),"Abstara")</f>
        <v>Abstara</v>
      </c>
      <c r="E301" s="1" t="b">
        <f>IFERROR(__xludf.DUMMYFUNCTION("""COMPUTED_VALUE"""),FALSE)</f>
        <v>0</v>
      </c>
      <c r="F301" s="1"/>
      <c r="G301" s="1"/>
      <c r="H301" s="1"/>
      <c r="I301" s="1"/>
      <c r="J301" s="1"/>
      <c r="K301" s="1"/>
      <c r="L301" s="1"/>
      <c r="M301" s="1"/>
      <c r="N301" s="1"/>
      <c r="O301" s="1"/>
      <c r="P301" s="1"/>
      <c r="Q301" s="1"/>
      <c r="R301" s="1"/>
      <c r="S301" s="1"/>
      <c r="T301" s="1"/>
      <c r="U301" s="1"/>
      <c r="V301" s="1"/>
      <c r="W301" s="1"/>
      <c r="X301" s="1"/>
      <c r="Y301" s="1"/>
      <c r="Z301" s="1"/>
    </row>
    <row r="302" ht="15.75" customHeight="1">
      <c r="A302" s="21" t="str">
        <f>IFERROR(__xludf.DUMMYFUNCTION("""COMPUTED_VALUE"""),"Geode jello")</f>
        <v>Geode jello</v>
      </c>
      <c r="B302" s="21" t="str">
        <f>IFERROR(__xludf.DUMMYFUNCTION("""COMPUTED_VALUE"""),"20 Thirst")</f>
        <v>20 Thirst</v>
      </c>
      <c r="C302" s="1" t="str">
        <f>IFERROR(__xludf.DUMMYFUNCTION("""COMPUTED_VALUE"""),"Item")</f>
        <v>Item</v>
      </c>
      <c r="D302" s="1" t="str">
        <f>IFERROR(__xludf.DUMMYFUNCTION("""COMPUTED_VALUE"""),"Abstara")</f>
        <v>Abstara</v>
      </c>
      <c r="E302" s="1" t="b">
        <f>IFERROR(__xludf.DUMMYFUNCTION("""COMPUTED_VALUE"""),FALSE)</f>
        <v>0</v>
      </c>
      <c r="F302" s="1"/>
      <c r="G302" s="1"/>
      <c r="H302" s="1"/>
      <c r="I302" s="1"/>
      <c r="J302" s="1"/>
      <c r="K302" s="1"/>
      <c r="L302" s="1"/>
      <c r="M302" s="1"/>
      <c r="N302" s="1"/>
      <c r="O302" s="1"/>
      <c r="P302" s="1"/>
      <c r="Q302" s="1"/>
      <c r="R302" s="1"/>
      <c r="S302" s="1"/>
      <c r="T302" s="1"/>
      <c r="U302" s="1"/>
      <c r="V302" s="1"/>
      <c r="W302" s="1"/>
      <c r="X302" s="1"/>
      <c r="Y302" s="1"/>
      <c r="Z302" s="1"/>
    </row>
    <row r="303" ht="15.75" customHeight="1">
      <c r="A303" s="21" t="str">
        <f>IFERROR(__xludf.DUMMYFUNCTION("""COMPUTED_VALUE"""),"Black baked potatoes")</f>
        <v>Black baked potatoes</v>
      </c>
      <c r="B303" s="21" t="str">
        <f>IFERROR(__xludf.DUMMYFUNCTION("""COMPUTED_VALUE"""),"50 Hunger")</f>
        <v>50 Hunger</v>
      </c>
      <c r="C303" s="1" t="str">
        <f>IFERROR(__xludf.DUMMYFUNCTION("""COMPUTED_VALUE"""),"Crop")</f>
        <v>Crop</v>
      </c>
      <c r="D303" s="1" t="str">
        <f>IFERROR(__xludf.DUMMYFUNCTION("""COMPUTED_VALUE"""),"Abstara")</f>
        <v>Abstara</v>
      </c>
      <c r="E303" s="1" t="b">
        <f>IFERROR(__xludf.DUMMYFUNCTION("""COMPUTED_VALUE"""),FALSE)</f>
        <v>0</v>
      </c>
      <c r="F303" s="1"/>
      <c r="G303" s="1"/>
      <c r="H303" s="1"/>
      <c r="I303" s="1"/>
      <c r="J303" s="1"/>
      <c r="K303" s="1"/>
      <c r="L303" s="1"/>
      <c r="M303" s="1"/>
      <c r="N303" s="1"/>
      <c r="O303" s="1"/>
      <c r="P303" s="1"/>
      <c r="Q303" s="1"/>
      <c r="R303" s="1"/>
      <c r="S303" s="1"/>
      <c r="T303" s="1"/>
      <c r="U303" s="1"/>
      <c r="V303" s="1"/>
      <c r="W303" s="1"/>
      <c r="X303" s="1"/>
      <c r="Y303" s="1"/>
      <c r="Z303" s="1"/>
    </row>
    <row r="304" ht="15.75" customHeight="1">
      <c r="A304" s="21" t="str">
        <f>IFERROR(__xludf.DUMMYFUNCTION("""COMPUTED_VALUE"""),"Human Steak")</f>
        <v>Human Steak</v>
      </c>
      <c r="B304" s="21" t="str">
        <f>IFERROR(__xludf.DUMMYFUNCTION("""COMPUTED_VALUE"""),"300 Hunger")</f>
        <v>300 Hunger</v>
      </c>
      <c r="C304" s="1" t="str">
        <f>IFERROR(__xludf.DUMMYFUNCTION("""COMPUTED_VALUE"""),"Crop")</f>
        <v>Crop</v>
      </c>
      <c r="D304" s="1" t="str">
        <f>IFERROR(__xludf.DUMMYFUNCTION("""COMPUTED_VALUE"""),"Abstara")</f>
        <v>Abstara</v>
      </c>
      <c r="E304" s="1" t="b">
        <f>IFERROR(__xludf.DUMMYFUNCTION("""COMPUTED_VALUE"""),TRUE)</f>
        <v>1</v>
      </c>
      <c r="F304" s="1"/>
      <c r="G304" s="1"/>
      <c r="H304" s="1"/>
      <c r="I304" s="1"/>
      <c r="J304" s="1"/>
      <c r="K304" s="1"/>
      <c r="L304" s="1"/>
      <c r="M304" s="1"/>
      <c r="N304" s="1"/>
      <c r="O304" s="1"/>
      <c r="P304" s="1"/>
      <c r="Q304" s="1"/>
      <c r="R304" s="1"/>
      <c r="S304" s="1"/>
      <c r="T304" s="1"/>
      <c r="U304" s="1"/>
      <c r="V304" s="1"/>
      <c r="W304" s="1"/>
      <c r="X304" s="1"/>
      <c r="Y304" s="1"/>
      <c r="Z304" s="1"/>
    </row>
    <row r="305" ht="15.75" customHeight="1">
      <c r="A305" s="21" t="str">
        <f>IFERROR(__xludf.DUMMYFUNCTION("""COMPUTED_VALUE"""),"Black Sheep mutton")</f>
        <v>Black Sheep mutton</v>
      </c>
      <c r="B305" s="21" t="str">
        <f>IFERROR(__xludf.DUMMYFUNCTION("""COMPUTED_VALUE"""),"250 Hunger")</f>
        <v>250 Hunger</v>
      </c>
      <c r="C305" s="1" t="str">
        <f>IFERROR(__xludf.DUMMYFUNCTION("""COMPUTED_VALUE"""),"Crop")</f>
        <v>Crop</v>
      </c>
      <c r="D305" s="1" t="str">
        <f>IFERROR(__xludf.DUMMYFUNCTION("""COMPUTED_VALUE"""),"Abstara")</f>
        <v>Abstara</v>
      </c>
      <c r="E305" s="1" t="b">
        <f>IFERROR(__xludf.DUMMYFUNCTION("""COMPUTED_VALUE"""),FALSE)</f>
        <v>0</v>
      </c>
      <c r="F305" s="1"/>
      <c r="G305" s="1"/>
      <c r="H305" s="1"/>
      <c r="I305" s="1"/>
      <c r="J305" s="1"/>
      <c r="K305" s="1"/>
      <c r="L305" s="1"/>
      <c r="M305" s="1"/>
      <c r="N305" s="1"/>
      <c r="O305" s="1"/>
      <c r="P305" s="1"/>
      <c r="Q305" s="1"/>
      <c r="R305" s="1"/>
      <c r="S305" s="1"/>
      <c r="T305" s="1"/>
      <c r="U305" s="1"/>
      <c r="V305" s="1"/>
      <c r="W305" s="1"/>
      <c r="X305" s="1"/>
      <c r="Y305" s="1"/>
      <c r="Z305" s="1"/>
    </row>
    <row r="306" ht="15.75" customHeight="1">
      <c r="A306" s="21" t="str">
        <f>IFERROR(__xludf.DUMMYFUNCTION("""COMPUTED_VALUE"""),"Ebony Caviar")</f>
        <v>Ebony Caviar</v>
      </c>
      <c r="B306" s="21" t="str">
        <f>IFERROR(__xludf.DUMMYFUNCTION("""COMPUTED_VALUE"""),"100 Hunger +105 Energy")</f>
        <v>100 Hunger +105 Energy</v>
      </c>
      <c r="C306" s="1" t="str">
        <f>IFERROR(__xludf.DUMMYFUNCTION("""COMPUTED_VALUE"""),"Crop")</f>
        <v>Crop</v>
      </c>
      <c r="D306" s="1" t="str">
        <f>IFERROR(__xludf.DUMMYFUNCTION("""COMPUTED_VALUE"""),"Abstara")</f>
        <v>Abstara</v>
      </c>
      <c r="E306" s="1" t="b">
        <f>IFERROR(__xludf.DUMMYFUNCTION("""COMPUTED_VALUE"""),FALSE)</f>
        <v>0</v>
      </c>
      <c r="F306" s="1"/>
      <c r="G306" s="1"/>
      <c r="H306" s="1"/>
      <c r="I306" s="1"/>
      <c r="J306" s="1"/>
      <c r="K306" s="1"/>
      <c r="L306" s="1"/>
      <c r="M306" s="1"/>
      <c r="N306" s="1"/>
      <c r="O306" s="1"/>
      <c r="P306" s="1"/>
      <c r="Q306" s="1"/>
      <c r="R306" s="1"/>
      <c r="S306" s="1"/>
      <c r="T306" s="1"/>
      <c r="U306" s="1"/>
      <c r="V306" s="1"/>
      <c r="W306" s="1"/>
      <c r="X306" s="1"/>
      <c r="Y306" s="1"/>
      <c r="Z306" s="1"/>
    </row>
    <row r="307" ht="15.75" customHeight="1">
      <c r="A307" s="21" t="str">
        <f>IFERROR(__xludf.DUMMYFUNCTION("""COMPUTED_VALUE"""),"Black Kale")</f>
        <v>Black Kale</v>
      </c>
      <c r="B307" s="21" t="str">
        <f>IFERROR(__xludf.DUMMYFUNCTION("""COMPUTED_VALUE"""),"140 Hunger")</f>
        <v>140 Hunger</v>
      </c>
      <c r="C307" s="1" t="str">
        <f>IFERROR(__xludf.DUMMYFUNCTION("""COMPUTED_VALUE"""),"Crop")</f>
        <v>Crop</v>
      </c>
      <c r="D307" s="1" t="str">
        <f>IFERROR(__xludf.DUMMYFUNCTION("""COMPUTED_VALUE"""),"Abstara")</f>
        <v>Abstara</v>
      </c>
      <c r="E307" s="1" t="b">
        <f>IFERROR(__xludf.DUMMYFUNCTION("""COMPUTED_VALUE"""),FALSE)</f>
        <v>0</v>
      </c>
      <c r="F307" s="1"/>
      <c r="G307" s="1"/>
      <c r="H307" s="1"/>
      <c r="I307" s="1"/>
      <c r="J307" s="1"/>
      <c r="K307" s="1"/>
      <c r="L307" s="1"/>
      <c r="M307" s="1"/>
      <c r="N307" s="1"/>
      <c r="O307" s="1"/>
      <c r="P307" s="1"/>
      <c r="Q307" s="1"/>
      <c r="R307" s="1"/>
      <c r="S307" s="1"/>
      <c r="T307" s="1"/>
      <c r="U307" s="1"/>
      <c r="V307" s="1"/>
      <c r="W307" s="1"/>
      <c r="X307" s="1"/>
      <c r="Y307" s="1"/>
      <c r="Z307" s="1"/>
    </row>
    <row r="308" ht="15.75" customHeight="1">
      <c r="A308" s="21" t="str">
        <f>IFERROR(__xludf.DUMMYFUNCTION("""COMPUTED_VALUE"""),"Smokey Champagne")</f>
        <v>Smokey Champagne</v>
      </c>
      <c r="B308" s="21" t="str">
        <f>IFERROR(__xludf.DUMMYFUNCTION("""COMPUTED_VALUE"""),"140 Thirst")</f>
        <v>140 Thirst</v>
      </c>
      <c r="C308" s="1" t="str">
        <f>IFERROR(__xludf.DUMMYFUNCTION("""COMPUTED_VALUE"""),"Item")</f>
        <v>Item</v>
      </c>
      <c r="D308" s="1" t="str">
        <f>IFERROR(__xludf.DUMMYFUNCTION("""COMPUTED_VALUE"""),"Abstara")</f>
        <v>Abstara</v>
      </c>
      <c r="E308" s="1" t="b">
        <f>IFERROR(__xludf.DUMMYFUNCTION("""COMPUTED_VALUE"""),FALSE)</f>
        <v>0</v>
      </c>
      <c r="F308" s="1"/>
      <c r="G308" s="1"/>
      <c r="H308" s="1"/>
      <c r="I308" s="1"/>
      <c r="J308" s="1"/>
      <c r="K308" s="1"/>
      <c r="L308" s="1"/>
      <c r="M308" s="1"/>
      <c r="N308" s="1"/>
      <c r="O308" s="1"/>
      <c r="P308" s="1"/>
      <c r="Q308" s="1"/>
      <c r="R308" s="1"/>
      <c r="S308" s="1"/>
      <c r="T308" s="1"/>
      <c r="U308" s="1"/>
      <c r="V308" s="1"/>
      <c r="W308" s="1"/>
      <c r="X308" s="1"/>
      <c r="Y308" s="1"/>
      <c r="Z308" s="1"/>
    </row>
    <row r="309" ht="15.75" customHeight="1">
      <c r="A309" s="21" t="str">
        <f>IFERROR(__xludf.DUMMYFUNCTION("""COMPUTED_VALUE"""),"Dead Island iced tea")</f>
        <v>Dead Island iced tea</v>
      </c>
      <c r="B309" s="21" t="str">
        <f>IFERROR(__xludf.DUMMYFUNCTION("""COMPUTED_VALUE"""),"150 Thirst +125 Energy")</f>
        <v>150 Thirst +125 Energy</v>
      </c>
      <c r="C309" s="1" t="str">
        <f>IFERROR(__xludf.DUMMYFUNCTION("""COMPUTED_VALUE"""),"Item")</f>
        <v>Item</v>
      </c>
      <c r="D309" s="1" t="str">
        <f>IFERROR(__xludf.DUMMYFUNCTION("""COMPUTED_VALUE"""),"Abstara")</f>
        <v>Abstara</v>
      </c>
      <c r="E309" s="1" t="b">
        <f>IFERROR(__xludf.DUMMYFUNCTION("""COMPUTED_VALUE"""),FALSE)</f>
        <v>0</v>
      </c>
      <c r="F309" s="1"/>
      <c r="G309" s="1"/>
      <c r="H309" s="1"/>
      <c r="I309" s="1"/>
      <c r="J309" s="1"/>
      <c r="K309" s="1"/>
      <c r="L309" s="1"/>
      <c r="M309" s="1"/>
      <c r="N309" s="1"/>
      <c r="O309" s="1"/>
      <c r="P309" s="1"/>
      <c r="Q309" s="1"/>
      <c r="R309" s="1"/>
      <c r="S309" s="1"/>
      <c r="T309" s="1"/>
      <c r="U309" s="1"/>
      <c r="V309" s="1"/>
      <c r="W309" s="1"/>
      <c r="X309" s="1"/>
      <c r="Y309" s="1"/>
      <c r="Z309" s="1"/>
    </row>
    <row r="310" ht="15.75" customHeight="1">
      <c r="A310" s="21" t="str">
        <f>IFERROR(__xludf.DUMMYFUNCTION("""COMPUTED_VALUE"""),"Black russian")</f>
        <v>Black russian</v>
      </c>
      <c r="B310" s="21" t="str">
        <f>IFERROR(__xludf.DUMMYFUNCTION("""COMPUTED_VALUE"""),"200 Thirst +200 Energy")</f>
        <v>200 Thirst +200 Energy</v>
      </c>
      <c r="C310" s="1" t="str">
        <f>IFERROR(__xludf.DUMMYFUNCTION("""COMPUTED_VALUE"""),"Item")</f>
        <v>Item</v>
      </c>
      <c r="D310" s="1" t="str">
        <f>IFERROR(__xludf.DUMMYFUNCTION("""COMPUTED_VALUE"""),"Abstara")</f>
        <v>Abstara</v>
      </c>
      <c r="E310" s="1" t="b">
        <f>IFERROR(__xludf.DUMMYFUNCTION("""COMPUTED_VALUE"""),FALSE)</f>
        <v>0</v>
      </c>
      <c r="F310" s="1"/>
      <c r="G310" s="1"/>
      <c r="H310" s="1"/>
      <c r="I310" s="1"/>
      <c r="J310" s="1"/>
      <c r="K310" s="1"/>
      <c r="L310" s="1"/>
      <c r="M310" s="1"/>
      <c r="N310" s="1"/>
      <c r="O310" s="1"/>
      <c r="P310" s="1"/>
      <c r="Q310" s="1"/>
      <c r="R310" s="1"/>
      <c r="S310" s="1"/>
      <c r="T310" s="1"/>
      <c r="U310" s="1"/>
      <c r="V310" s="1"/>
      <c r="W310" s="1"/>
      <c r="X310" s="1"/>
      <c r="Y310" s="1"/>
      <c r="Z310" s="1"/>
    </row>
    <row r="311" ht="15.75" customHeight="1">
      <c r="A311" s="21" t="str">
        <f>IFERROR(__xludf.DUMMYFUNCTION("""COMPUTED_VALUE"""),"Obsidian Lobster")</f>
        <v>Obsidian Lobster</v>
      </c>
      <c r="B311" s="21" t="str">
        <f>IFERROR(__xludf.DUMMYFUNCTION("""COMPUTED_VALUE"""),"200 Hunger +200 Energy")</f>
        <v>200 Hunger +200 Energy</v>
      </c>
      <c r="C311" s="1" t="str">
        <f>IFERROR(__xludf.DUMMYFUNCTION("""COMPUTED_VALUE"""),"Crop")</f>
        <v>Crop</v>
      </c>
      <c r="D311" s="1" t="str">
        <f>IFERROR(__xludf.DUMMYFUNCTION("""COMPUTED_VALUE"""),"Abstara")</f>
        <v>Abstara</v>
      </c>
      <c r="E311" s="1" t="b">
        <f>IFERROR(__xludf.DUMMYFUNCTION("""COMPUTED_VALUE"""),FALSE)</f>
        <v>0</v>
      </c>
      <c r="F311" s="1"/>
      <c r="G311" s="1"/>
      <c r="H311" s="1"/>
      <c r="I311" s="1"/>
      <c r="J311" s="1"/>
      <c r="K311" s="1"/>
      <c r="L311" s="1"/>
      <c r="M311" s="1"/>
      <c r="N311" s="1"/>
      <c r="O311" s="1"/>
      <c r="P311" s="1"/>
      <c r="Q311" s="1"/>
      <c r="R311" s="1"/>
      <c r="S311" s="1"/>
      <c r="T311" s="1"/>
      <c r="U311" s="1"/>
      <c r="V311" s="1"/>
      <c r="W311" s="1"/>
      <c r="X311" s="1"/>
      <c r="Y311" s="1"/>
      <c r="Z311" s="1"/>
    </row>
    <row r="312" ht="15.75" customHeight="1">
      <c r="A312" s="21" t="str">
        <f>IFERROR(__xludf.DUMMYFUNCTION("""COMPUTED_VALUE"""),"Charcoal Truffles")</f>
        <v>Charcoal Truffles</v>
      </c>
      <c r="B312" s="21" t="str">
        <f>IFERROR(__xludf.DUMMYFUNCTION("""COMPUTED_VALUE"""),"100 Hunger +100 Energy")</f>
        <v>100 Hunger +100 Energy</v>
      </c>
      <c r="C312" s="1" t="str">
        <f>IFERROR(__xludf.DUMMYFUNCTION("""COMPUTED_VALUE"""),"Crop")</f>
        <v>Crop</v>
      </c>
      <c r="D312" s="1" t="str">
        <f>IFERROR(__xludf.DUMMYFUNCTION("""COMPUTED_VALUE"""),"Abstara")</f>
        <v>Abstara</v>
      </c>
      <c r="E312" s="1" t="b">
        <f>IFERROR(__xludf.DUMMYFUNCTION("""COMPUTED_VALUE"""),FALSE)</f>
        <v>0</v>
      </c>
      <c r="F312" s="1"/>
      <c r="G312" s="1"/>
      <c r="H312" s="1"/>
      <c r="I312" s="1"/>
      <c r="J312" s="1"/>
      <c r="K312" s="1"/>
      <c r="L312" s="1"/>
      <c r="M312" s="1"/>
      <c r="N312" s="1"/>
      <c r="O312" s="1"/>
      <c r="P312" s="1"/>
      <c r="Q312" s="1"/>
      <c r="R312" s="1"/>
      <c r="S312" s="1"/>
      <c r="T312" s="1"/>
      <c r="U312" s="1"/>
      <c r="V312" s="1"/>
      <c r="W312" s="1"/>
      <c r="X312" s="1"/>
      <c r="Y312" s="1"/>
      <c r="Z312" s="1"/>
    </row>
    <row r="313" ht="15.75" customHeight="1">
      <c r="A313" s="21" t="str">
        <f>IFERROR(__xludf.DUMMYFUNCTION("""COMPUTED_VALUE"""),"Italian spaghetti and meatballs")</f>
        <v>Italian spaghetti and meatballs</v>
      </c>
      <c r="B313" s="21" t="str">
        <f>IFERROR(__xludf.DUMMYFUNCTION("""COMPUTED_VALUE"""),"Full HP, Energy, Hunger, Thirst")</f>
        <v>Full HP, Energy, Hunger, Thirst</v>
      </c>
      <c r="C313" s="1" t="str">
        <f>IFERROR(__xludf.DUMMYFUNCTION("""COMPUTED_VALUE"""),"Crop")</f>
        <v>Crop</v>
      </c>
      <c r="D313" s="1" t="str">
        <f>IFERROR(__xludf.DUMMYFUNCTION("""COMPUTED_VALUE"""),"Abstara")</f>
        <v>Abstara</v>
      </c>
      <c r="E313" s="1" t="b">
        <f>IFERROR(__xludf.DUMMYFUNCTION("""COMPUTED_VALUE"""),FALSE)</f>
        <v>0</v>
      </c>
      <c r="F313" s="1"/>
      <c r="G313" s="1"/>
      <c r="H313" s="1"/>
      <c r="I313" s="1"/>
      <c r="J313" s="1"/>
      <c r="K313" s="1"/>
      <c r="L313" s="1"/>
      <c r="M313" s="1"/>
      <c r="N313" s="1"/>
      <c r="O313" s="1"/>
      <c r="P313" s="1"/>
      <c r="Q313" s="1"/>
      <c r="R313" s="1"/>
      <c r="S313" s="1"/>
      <c r="T313" s="1"/>
      <c r="U313" s="1"/>
      <c r="V313" s="1"/>
      <c r="W313" s="1"/>
      <c r="X313" s="1"/>
      <c r="Y313" s="1"/>
      <c r="Z313" s="1"/>
    </row>
    <row r="314" ht="15.75" customHeight="1">
      <c r="A314" s="21" t="str">
        <f>IFERROR(__xludf.DUMMYFUNCTION("""COMPUTED_VALUE"""),"Enclosed Spirits (enchantment)")</f>
        <v>Enclosed Spirits (enchantment)</v>
      </c>
      <c r="B314" s="21" t="str">
        <f>IFERROR(__xludf.DUMMYFUNCTION("""COMPUTED_VALUE"""),"Add 1000 Spirit damage or resistance to any Spirit related Weapon or armor.")</f>
        <v>Add 1000 Spirit damage or resistance to any Spirit related Weapon or armor.</v>
      </c>
      <c r="C314" s="1" t="str">
        <f>IFERROR(__xludf.DUMMYFUNCTION("""COMPUTED_VALUE"""),"Item")</f>
        <v>Item</v>
      </c>
      <c r="D314" s="1" t="str">
        <f>IFERROR(__xludf.DUMMYFUNCTION("""COMPUTED_VALUE"""),"Abstara")</f>
        <v>Abstara</v>
      </c>
      <c r="E314" s="1" t="b">
        <f>IFERROR(__xludf.DUMMYFUNCTION("""COMPUTED_VALUE"""),FALSE)</f>
        <v>0</v>
      </c>
      <c r="F314" s="1"/>
      <c r="G314" s="1"/>
      <c r="H314" s="1"/>
      <c r="I314" s="1"/>
      <c r="J314" s="1"/>
      <c r="K314" s="1"/>
      <c r="L314" s="1"/>
      <c r="M314" s="1"/>
      <c r="N314" s="1"/>
      <c r="O314" s="1"/>
      <c r="P314" s="1"/>
      <c r="Q314" s="1"/>
      <c r="R314" s="1"/>
      <c r="S314" s="1"/>
      <c r="T314" s="1"/>
      <c r="U314" s="1"/>
      <c r="V314" s="1"/>
      <c r="W314" s="1"/>
      <c r="X314" s="1"/>
      <c r="Y314" s="1"/>
      <c r="Z314" s="1"/>
    </row>
    <row r="315" ht="15.75" customHeight="1">
      <c r="A315" s="21" t="str">
        <f>IFERROR(__xludf.DUMMYFUNCTION("""COMPUTED_VALUE"""),"Goat’s eye")</f>
        <v>Goat’s eye</v>
      </c>
      <c r="B315" s="21" t="str">
        <f>IFERROR(__xludf.DUMMYFUNCTION("""COMPUTED_VALUE"""),"Crafting Material, roll a d20 to see how many you get if this is a loot drop.")</f>
        <v>Crafting Material, roll a d20 to see how many you get if this is a loot drop.</v>
      </c>
      <c r="C315" s="1" t="str">
        <f>IFERROR(__xludf.DUMMYFUNCTION("""COMPUTED_VALUE"""),"Item")</f>
        <v>Item</v>
      </c>
      <c r="D315" s="1" t="str">
        <f>IFERROR(__xludf.DUMMYFUNCTION("""COMPUTED_VALUE"""),"Abstara")</f>
        <v>Abstara</v>
      </c>
      <c r="E315" s="1" t="b">
        <f>IFERROR(__xludf.DUMMYFUNCTION("""COMPUTED_VALUE"""),FALSE)</f>
        <v>0</v>
      </c>
      <c r="F315" s="1"/>
      <c r="G315" s="1"/>
      <c r="H315" s="1"/>
      <c r="I315" s="1"/>
      <c r="J315" s="1"/>
      <c r="K315" s="1"/>
      <c r="L315" s="1"/>
      <c r="M315" s="1"/>
      <c r="N315" s="1"/>
      <c r="O315" s="1"/>
      <c r="P315" s="1"/>
      <c r="Q315" s="1"/>
      <c r="R315" s="1"/>
      <c r="S315" s="1"/>
      <c r="T315" s="1"/>
      <c r="U315" s="1"/>
      <c r="V315" s="1"/>
      <c r="W315" s="1"/>
      <c r="X315" s="1"/>
      <c r="Y315" s="1"/>
      <c r="Z315" s="1"/>
    </row>
    <row r="316" ht="15.75" customHeight="1">
      <c r="A316" s="21" t="str">
        <f>IFERROR(__xludf.DUMMYFUNCTION("""COMPUTED_VALUE"""),"Heart of the Demon")</f>
        <v>Heart of the Demon</v>
      </c>
      <c r="B316" s="21" t="str">
        <f>IFERROR(__xludf.DUMMYFUNCTION("""COMPUTED_VALUE"""),"Crafting Material, roll a d20 to see how many you get if this is a loot drop.")</f>
        <v>Crafting Material, roll a d20 to see how many you get if this is a loot drop.</v>
      </c>
      <c r="C316" s="1" t="str">
        <f>IFERROR(__xludf.DUMMYFUNCTION("""COMPUTED_VALUE"""),"Item")</f>
        <v>Item</v>
      </c>
      <c r="D316" s="1" t="str">
        <f>IFERROR(__xludf.DUMMYFUNCTION("""COMPUTED_VALUE"""),"Abstara")</f>
        <v>Abstara</v>
      </c>
      <c r="E316" s="1" t="b">
        <f>IFERROR(__xludf.DUMMYFUNCTION("""COMPUTED_VALUE"""),FALSE)</f>
        <v>0</v>
      </c>
      <c r="F316" s="1"/>
      <c r="G316" s="1"/>
      <c r="H316" s="1"/>
      <c r="I316" s="1"/>
      <c r="J316" s="1"/>
      <c r="K316" s="1"/>
      <c r="L316" s="1"/>
      <c r="M316" s="1"/>
      <c r="N316" s="1"/>
      <c r="O316" s="1"/>
      <c r="P316" s="1"/>
      <c r="Q316" s="1"/>
      <c r="R316" s="1"/>
      <c r="S316" s="1"/>
      <c r="T316" s="1"/>
      <c r="U316" s="1"/>
      <c r="V316" s="1"/>
      <c r="W316" s="1"/>
      <c r="X316" s="1"/>
      <c r="Y316" s="1"/>
      <c r="Z316" s="1"/>
    </row>
    <row r="317" ht="15.75" customHeight="1">
      <c r="A317" s="21" t="str">
        <f>IFERROR(__xludf.DUMMYFUNCTION("""COMPUTED_VALUE"""),"Tooth of the Volcanic Serpent")</f>
        <v>Tooth of the Volcanic Serpent</v>
      </c>
      <c r="B317" s="21" t="str">
        <f>IFERROR(__xludf.DUMMYFUNCTION("""COMPUTED_VALUE"""),"Crafting Material, roll a d20 to see how many you get if this is a loot drop.")</f>
        <v>Crafting Material, roll a d20 to see how many you get if this is a loot drop.</v>
      </c>
      <c r="C317" s="1" t="str">
        <f>IFERROR(__xludf.DUMMYFUNCTION("""COMPUTED_VALUE"""),"Item")</f>
        <v>Item</v>
      </c>
      <c r="D317" s="1" t="str">
        <f>IFERROR(__xludf.DUMMYFUNCTION("""COMPUTED_VALUE"""),"Abstara")</f>
        <v>Abstara</v>
      </c>
      <c r="E317" s="1" t="b">
        <f>IFERROR(__xludf.DUMMYFUNCTION("""COMPUTED_VALUE"""),FALSE)</f>
        <v>0</v>
      </c>
      <c r="F317" s="1"/>
      <c r="G317" s="1"/>
      <c r="H317" s="1"/>
      <c r="I317" s="1"/>
      <c r="J317" s="1"/>
      <c r="K317" s="1"/>
      <c r="L317" s="1"/>
      <c r="M317" s="1"/>
      <c r="N317" s="1"/>
      <c r="O317" s="1"/>
      <c r="P317" s="1"/>
      <c r="Q317" s="1"/>
      <c r="R317" s="1"/>
      <c r="S317" s="1"/>
      <c r="T317" s="1"/>
      <c r="U317" s="1"/>
      <c r="V317" s="1"/>
      <c r="W317" s="1"/>
      <c r="X317" s="1"/>
      <c r="Y317" s="1"/>
      <c r="Z317" s="1"/>
    </row>
    <row r="318" ht="15.75" customHeight="1">
      <c r="A318" s="21" t="str">
        <f>IFERROR(__xludf.DUMMYFUNCTION("""COMPUTED_VALUE"""),"Fire Jaguars Leather Skin")</f>
        <v>Fire Jaguars Leather Skin</v>
      </c>
      <c r="B318" s="21" t="str">
        <f>IFERROR(__xludf.DUMMYFUNCTION("""COMPUTED_VALUE"""),"Crafting Material, roll a d20 to see how many you get if this is a loot drop.")</f>
        <v>Crafting Material, roll a d20 to see how many you get if this is a loot drop.</v>
      </c>
      <c r="C318" s="1" t="str">
        <f>IFERROR(__xludf.DUMMYFUNCTION("""COMPUTED_VALUE"""),"Item")</f>
        <v>Item</v>
      </c>
      <c r="D318" s="1" t="str">
        <f>IFERROR(__xludf.DUMMYFUNCTION("""COMPUTED_VALUE"""),"Abstara")</f>
        <v>Abstara</v>
      </c>
      <c r="E318" s="1" t="b">
        <f>IFERROR(__xludf.DUMMYFUNCTION("""COMPUTED_VALUE"""),FALSE)</f>
        <v>0</v>
      </c>
      <c r="F318" s="1"/>
      <c r="G318" s="1"/>
      <c r="H318" s="1"/>
      <c r="I318" s="1"/>
      <c r="J318" s="1"/>
      <c r="K318" s="1"/>
      <c r="L318" s="1"/>
      <c r="M318" s="1"/>
      <c r="N318" s="1"/>
      <c r="O318" s="1"/>
      <c r="P318" s="1"/>
      <c r="Q318" s="1"/>
      <c r="R318" s="1"/>
      <c r="S318" s="1"/>
      <c r="T318" s="1"/>
      <c r="U318" s="1"/>
      <c r="V318" s="1"/>
      <c r="W318" s="1"/>
      <c r="X318" s="1"/>
      <c r="Y318" s="1"/>
      <c r="Z318" s="1"/>
    </row>
    <row r="319" ht="15.75" customHeight="1">
      <c r="A319" s="21" t="str">
        <f>IFERROR(__xludf.DUMMYFUNCTION("""COMPUTED_VALUE"""),"Black Lake Soup")</f>
        <v>Black Lake Soup</v>
      </c>
      <c r="B319" s="21" t="str">
        <f>IFERROR(__xludf.DUMMYFUNCTION("""COMPUTED_VALUE"""),"500 Thirst and 400 Hunger")</f>
        <v>500 Thirst and 400 Hunger</v>
      </c>
      <c r="C319" s="1" t="str">
        <f>IFERROR(__xludf.DUMMYFUNCTION("""COMPUTED_VALUE"""),"Crop")</f>
        <v>Crop</v>
      </c>
      <c r="D319" s="1" t="str">
        <f>IFERROR(__xludf.DUMMYFUNCTION("""COMPUTED_VALUE"""),"Abstara")</f>
        <v>Abstara</v>
      </c>
      <c r="E319" s="1" t="b">
        <f>IFERROR(__xludf.DUMMYFUNCTION("""COMPUTED_VALUE"""),FALSE)</f>
        <v>0</v>
      </c>
      <c r="F319" s="1"/>
      <c r="G319" s="1"/>
      <c r="H319" s="1"/>
      <c r="I319" s="1"/>
      <c r="J319" s="1"/>
      <c r="K319" s="1"/>
      <c r="L319" s="1"/>
      <c r="M319" s="1"/>
      <c r="N319" s="1"/>
      <c r="O319" s="1"/>
      <c r="P319" s="1"/>
      <c r="Q319" s="1"/>
      <c r="R319" s="1"/>
      <c r="S319" s="1"/>
      <c r="T319" s="1"/>
      <c r="U319" s="1"/>
      <c r="V319" s="1"/>
      <c r="W319" s="1"/>
      <c r="X319" s="1"/>
      <c r="Y319" s="1"/>
      <c r="Z319" s="1"/>
    </row>
    <row r="320" ht="15.75" customHeight="1">
      <c r="A320" s="21" t="str">
        <f>IFERROR(__xludf.DUMMYFUNCTION("""COMPUTED_VALUE"""),"Basilisk Veal")</f>
        <v>Basilisk Veal</v>
      </c>
      <c r="B320" s="21" t="str">
        <f>IFERROR(__xludf.DUMMYFUNCTION("""COMPUTED_VALUE"""),"500 Hunger")</f>
        <v>500 Hunger</v>
      </c>
      <c r="C320" s="1" t="str">
        <f>IFERROR(__xludf.DUMMYFUNCTION("""COMPUTED_VALUE"""),"Crop")</f>
        <v>Crop</v>
      </c>
      <c r="D320" s="1" t="str">
        <f>IFERROR(__xludf.DUMMYFUNCTION("""COMPUTED_VALUE"""),"Abstara")</f>
        <v>Abstara</v>
      </c>
      <c r="E320" s="1" t="b">
        <f>IFERROR(__xludf.DUMMYFUNCTION("""COMPUTED_VALUE"""),FALSE)</f>
        <v>0</v>
      </c>
      <c r="F320" s="1"/>
      <c r="G320" s="1"/>
      <c r="H320" s="1"/>
      <c r="I320" s="1"/>
      <c r="J320" s="1"/>
      <c r="K320" s="1"/>
      <c r="L320" s="1"/>
      <c r="M320" s="1"/>
      <c r="N320" s="1"/>
      <c r="O320" s="1"/>
      <c r="P320" s="1"/>
      <c r="Q320" s="1"/>
      <c r="R320" s="1"/>
      <c r="S320" s="1"/>
      <c r="T320" s="1"/>
      <c r="U320" s="1"/>
      <c r="V320" s="1"/>
      <c r="W320" s="1"/>
      <c r="X320" s="1"/>
      <c r="Y320" s="1"/>
      <c r="Z320" s="1"/>
    </row>
    <row r="321" ht="15.75" customHeight="1">
      <c r="A321" s="21" t="str">
        <f>IFERROR(__xludf.DUMMYFUNCTION("""COMPUTED_VALUE"""),"Black Cactus juice")</f>
        <v>Black Cactus juice</v>
      </c>
      <c r="B321" s="21" t="str">
        <f>IFERROR(__xludf.DUMMYFUNCTION("""COMPUTED_VALUE"""),"500 Thirst")</f>
        <v>500 Thirst</v>
      </c>
      <c r="C321" s="1" t="str">
        <f>IFERROR(__xludf.DUMMYFUNCTION("""COMPUTED_VALUE"""),"Item")</f>
        <v>Item</v>
      </c>
      <c r="D321" s="1" t="str">
        <f>IFERROR(__xludf.DUMMYFUNCTION("""COMPUTED_VALUE"""),"Abstara")</f>
        <v>Abstara</v>
      </c>
      <c r="E321" s="1" t="b">
        <f>IFERROR(__xludf.DUMMYFUNCTION("""COMPUTED_VALUE"""),TRUE)</f>
        <v>1</v>
      </c>
      <c r="F321" s="1"/>
      <c r="G321" s="1"/>
      <c r="H321" s="1"/>
      <c r="I321" s="1"/>
      <c r="J321" s="1"/>
      <c r="K321" s="1"/>
      <c r="L321" s="1"/>
      <c r="M321" s="1"/>
      <c r="N321" s="1"/>
      <c r="O321" s="1"/>
      <c r="P321" s="1"/>
      <c r="Q321" s="1"/>
      <c r="R321" s="1"/>
      <c r="S321" s="1"/>
      <c r="T321" s="1"/>
      <c r="U321" s="1"/>
      <c r="V321" s="1"/>
      <c r="W321" s="1"/>
      <c r="X321" s="1"/>
      <c r="Y321" s="1"/>
      <c r="Z321" s="1"/>
    </row>
    <row r="322" ht="15.75" customHeight="1">
      <c r="A322" s="21" t="str">
        <f>IFERROR(__xludf.DUMMYFUNCTION("""COMPUTED_VALUE"""),"Black Lake Purified Water")</f>
        <v>Black Lake Purified Water</v>
      </c>
      <c r="B322" s="21" t="str">
        <f>IFERROR(__xludf.DUMMYFUNCTION("""COMPUTED_VALUE"""),"650 Thirst")</f>
        <v>650 Thirst</v>
      </c>
      <c r="C322" s="1" t="str">
        <f>IFERROR(__xludf.DUMMYFUNCTION("""COMPUTED_VALUE"""),"Item")</f>
        <v>Item</v>
      </c>
      <c r="D322" s="1" t="str">
        <f>IFERROR(__xludf.DUMMYFUNCTION("""COMPUTED_VALUE"""),"Abstara")</f>
        <v>Abstara</v>
      </c>
      <c r="E322" s="1" t="b">
        <f>IFERROR(__xludf.DUMMYFUNCTION("""COMPUTED_VALUE"""),FALSE)</f>
        <v>0</v>
      </c>
      <c r="F322" s="1"/>
      <c r="G322" s="1"/>
      <c r="H322" s="1"/>
      <c r="I322" s="1"/>
      <c r="J322" s="1"/>
      <c r="K322" s="1"/>
      <c r="L322" s="1"/>
      <c r="M322" s="1"/>
      <c r="N322" s="1"/>
      <c r="O322" s="1"/>
      <c r="P322" s="1"/>
      <c r="Q322" s="1"/>
      <c r="R322" s="1"/>
      <c r="S322" s="1"/>
      <c r="T322" s="1"/>
      <c r="U322" s="1"/>
      <c r="V322" s="1"/>
      <c r="W322" s="1"/>
      <c r="X322" s="1"/>
      <c r="Y322" s="1"/>
      <c r="Z322" s="1"/>
    </row>
    <row r="323" ht="15.75" customHeight="1">
      <c r="A323" s="21" t="str">
        <f>IFERROR(__xludf.DUMMYFUNCTION("""COMPUTED_VALUE"""),"Neutralized Basilisk Venom Shot")</f>
        <v>Neutralized Basilisk Venom Shot</v>
      </c>
      <c r="B323" s="21" t="str">
        <f>IFERROR(__xludf.DUMMYFUNCTION("""COMPUTED_VALUE"""),"1000 Thirst")</f>
        <v>1000 Thirst</v>
      </c>
      <c r="C323" s="1" t="str">
        <f>IFERROR(__xludf.DUMMYFUNCTION("""COMPUTED_VALUE"""),"Item")</f>
        <v>Item</v>
      </c>
      <c r="D323" s="1" t="str">
        <f>IFERROR(__xludf.DUMMYFUNCTION("""COMPUTED_VALUE"""),"Abstara")</f>
        <v>Abstara</v>
      </c>
      <c r="E323" s="1" t="b">
        <f>IFERROR(__xludf.DUMMYFUNCTION("""COMPUTED_VALUE"""),FALSE)</f>
        <v>0</v>
      </c>
      <c r="F323" s="1"/>
      <c r="G323" s="1"/>
      <c r="H323" s="1"/>
      <c r="I323" s="1"/>
      <c r="J323" s="1"/>
      <c r="K323" s="1"/>
      <c r="L323" s="1"/>
      <c r="M323" s="1"/>
      <c r="N323" s="1"/>
      <c r="O323" s="1"/>
      <c r="P323" s="1"/>
      <c r="Q323" s="1"/>
      <c r="R323" s="1"/>
      <c r="S323" s="1"/>
      <c r="T323" s="1"/>
      <c r="U323" s="1"/>
      <c r="V323" s="1"/>
      <c r="W323" s="1"/>
      <c r="X323" s="1"/>
      <c r="Y323" s="1"/>
      <c r="Z323" s="1"/>
    </row>
    <row r="324" ht="15.75" customHeight="1">
      <c r="A324" s="21" t="str">
        <f>IFERROR(__xludf.DUMMYFUNCTION("""COMPUTED_VALUE"""),"Ebony Mushrooms")</f>
        <v>Ebony Mushrooms</v>
      </c>
      <c r="B324" s="21" t="str">
        <f>IFERROR(__xludf.DUMMYFUNCTION("""COMPUTED_VALUE"""),"250 Hunger")</f>
        <v>250 Hunger</v>
      </c>
      <c r="C324" s="1" t="str">
        <f>IFERROR(__xludf.DUMMYFUNCTION("""COMPUTED_VALUE"""),"Crop")</f>
        <v>Crop</v>
      </c>
      <c r="D324" s="1" t="str">
        <f>IFERROR(__xludf.DUMMYFUNCTION("""COMPUTED_VALUE"""),"Abstara")</f>
        <v>Abstara</v>
      </c>
      <c r="E324" s="1" t="b">
        <f>IFERROR(__xludf.DUMMYFUNCTION("""COMPUTED_VALUE"""),TRUE)</f>
        <v>1</v>
      </c>
      <c r="F324" s="1"/>
      <c r="G324" s="1"/>
      <c r="H324" s="1"/>
      <c r="I324" s="1"/>
      <c r="J324" s="1"/>
      <c r="K324" s="1"/>
      <c r="L324" s="1"/>
      <c r="M324" s="1"/>
      <c r="N324" s="1"/>
      <c r="O324" s="1"/>
      <c r="P324" s="1"/>
      <c r="Q324" s="1"/>
      <c r="R324" s="1"/>
      <c r="S324" s="1"/>
      <c r="T324" s="1"/>
      <c r="U324" s="1"/>
      <c r="V324" s="1"/>
      <c r="W324" s="1"/>
      <c r="X324" s="1"/>
      <c r="Y324" s="1"/>
      <c r="Z324" s="1"/>
    </row>
    <row r="325" ht="15.75" customHeight="1">
      <c r="A325" s="21" t="str">
        <f>IFERROR(__xludf.DUMMYFUNCTION("""COMPUTED_VALUE"""),"Black Sludge")</f>
        <v>Black Sludge</v>
      </c>
      <c r="B325" s="21" t="str">
        <f>IFERROR(__xludf.DUMMYFUNCTION("""COMPUTED_VALUE"""),"Make a fail/succeed roll
Success - +500 Hunger and Thirst
Fail - -250 Hunger and Thirst From Vomiting.")</f>
        <v>Make a fail/succeed roll
Success - +500 Hunger and Thirst
Fail - -250 Hunger and Thirst From Vomiting.</v>
      </c>
      <c r="C325" s="1" t="str">
        <f>IFERROR(__xludf.DUMMYFUNCTION("""COMPUTED_VALUE"""),"Crop")</f>
        <v>Crop</v>
      </c>
      <c r="D325" s="1" t="str">
        <f>IFERROR(__xludf.DUMMYFUNCTION("""COMPUTED_VALUE"""),"Abstara")</f>
        <v>Abstara</v>
      </c>
      <c r="E325" s="1" t="b">
        <f>IFERROR(__xludf.DUMMYFUNCTION("""COMPUTED_VALUE"""),FALSE)</f>
        <v>0</v>
      </c>
      <c r="F325" s="1"/>
      <c r="G325" s="1"/>
      <c r="H325" s="1"/>
      <c r="I325" s="1"/>
      <c r="J325" s="1"/>
      <c r="K325" s="1"/>
      <c r="L325" s="1"/>
      <c r="M325" s="1"/>
      <c r="N325" s="1"/>
      <c r="O325" s="1"/>
      <c r="P325" s="1"/>
      <c r="Q325" s="1"/>
      <c r="R325" s="1"/>
      <c r="S325" s="1"/>
      <c r="T325" s="1"/>
      <c r="U325" s="1"/>
      <c r="V325" s="1"/>
      <c r="W325" s="1"/>
      <c r="X325" s="1"/>
      <c r="Y325" s="1"/>
      <c r="Z325" s="1"/>
    </row>
    <row r="326" ht="15.75" customHeight="1">
      <c r="A326" s="21" t="str">
        <f>IFERROR(__xludf.DUMMYFUNCTION("""COMPUTED_VALUE"""),"Black Sepent Dragon Scales")</f>
        <v>Black Sepent Dragon Scales</v>
      </c>
      <c r="B326" s="21" t="str">
        <f>IFERROR(__xludf.DUMMYFUNCTION("""COMPUTED_VALUE"""),"Crafting Material, roll a d20 to see how many you get if this is a loot drop.")</f>
        <v>Crafting Material, roll a d20 to see how many you get if this is a loot drop.</v>
      </c>
      <c r="C326" s="1" t="str">
        <f>IFERROR(__xludf.DUMMYFUNCTION("""COMPUTED_VALUE"""),"Item")</f>
        <v>Item</v>
      </c>
      <c r="D326" s="1" t="str">
        <f>IFERROR(__xludf.DUMMYFUNCTION("""COMPUTED_VALUE"""),"Abstara")</f>
        <v>Abstara</v>
      </c>
      <c r="E326" s="1" t="b">
        <f>IFERROR(__xludf.DUMMYFUNCTION("""COMPUTED_VALUE"""),FALSE)</f>
        <v>0</v>
      </c>
      <c r="F326" s="1"/>
      <c r="G326" s="1"/>
      <c r="H326" s="1"/>
      <c r="I326" s="1"/>
      <c r="J326" s="1"/>
      <c r="K326" s="1"/>
      <c r="L326" s="1"/>
      <c r="M326" s="1"/>
      <c r="N326" s="1"/>
      <c r="O326" s="1"/>
      <c r="P326" s="1"/>
      <c r="Q326" s="1"/>
      <c r="R326" s="1"/>
      <c r="S326" s="1"/>
      <c r="T326" s="1"/>
      <c r="U326" s="1"/>
      <c r="V326" s="1"/>
      <c r="W326" s="1"/>
      <c r="X326" s="1"/>
      <c r="Y326" s="1"/>
      <c r="Z326" s="1"/>
    </row>
    <row r="327" ht="15.75" customHeight="1">
      <c r="A327" s="21" t="str">
        <f>IFERROR(__xludf.DUMMYFUNCTION("""COMPUTED_VALUE"""),"Chaotic Shadow Dragon Scales")</f>
        <v>Chaotic Shadow Dragon Scales</v>
      </c>
      <c r="B327" s="21" t="str">
        <f>IFERROR(__xludf.DUMMYFUNCTION("""COMPUTED_VALUE"""),"Crafting Material, roll a d20 to see how many you get if this is a loot drop.")</f>
        <v>Crafting Material, roll a d20 to see how many you get if this is a loot drop.</v>
      </c>
      <c r="C327" s="1" t="str">
        <f>IFERROR(__xludf.DUMMYFUNCTION("""COMPUTED_VALUE"""),"Item")</f>
        <v>Item</v>
      </c>
      <c r="D327" s="1" t="str">
        <f>IFERROR(__xludf.DUMMYFUNCTION("""COMPUTED_VALUE"""),"Land of Spira")</f>
        <v>Land of Spira</v>
      </c>
      <c r="E327" s="1" t="b">
        <f>IFERROR(__xludf.DUMMYFUNCTION("""COMPUTED_VALUE"""),FALSE)</f>
        <v>0</v>
      </c>
      <c r="F327" s="1"/>
      <c r="G327" s="1"/>
      <c r="H327" s="1"/>
      <c r="I327" s="1"/>
      <c r="J327" s="1"/>
      <c r="K327" s="1"/>
      <c r="L327" s="1"/>
      <c r="M327" s="1"/>
      <c r="N327" s="1"/>
      <c r="O327" s="1"/>
      <c r="P327" s="1"/>
      <c r="Q327" s="1"/>
      <c r="R327" s="1"/>
      <c r="S327" s="1"/>
      <c r="T327" s="1"/>
      <c r="U327" s="1"/>
      <c r="V327" s="1"/>
      <c r="W327" s="1"/>
      <c r="X327" s="1"/>
      <c r="Y327" s="1"/>
      <c r="Z327" s="1"/>
    </row>
    <row r="328" ht="15.75" customHeight="1">
      <c r="A328" s="21" t="str">
        <f>IFERROR(__xludf.DUMMYFUNCTION("""COMPUTED_VALUE"""),"Chaotic Shadow Dragon Skull")</f>
        <v>Chaotic Shadow Dragon Skull</v>
      </c>
      <c r="B328" s="21" t="str">
        <f>IFERROR(__xludf.DUMMYFUNCTION("""COMPUTED_VALUE"""),"can be consumed to obtain 1 free dark or chaos power. (Only one per character)")</f>
        <v>can be consumed to obtain 1 free dark or chaos power. (Only one per character)</v>
      </c>
      <c r="C328" s="1" t="str">
        <f>IFERROR(__xludf.DUMMYFUNCTION("""COMPUTED_VALUE"""),"Item")</f>
        <v>Item</v>
      </c>
      <c r="D328" s="1" t="str">
        <f>IFERROR(__xludf.DUMMYFUNCTION("""COMPUTED_VALUE"""),"Land of Spira")</f>
        <v>Land of Spira</v>
      </c>
      <c r="E328" s="1" t="b">
        <f>IFERROR(__xludf.DUMMYFUNCTION("""COMPUTED_VALUE"""),FALSE)</f>
        <v>0</v>
      </c>
      <c r="F328" s="1"/>
      <c r="G328" s="1"/>
      <c r="H328" s="1"/>
      <c r="I328" s="1"/>
      <c r="J328" s="1"/>
      <c r="K328" s="1"/>
      <c r="L328" s="1"/>
      <c r="M328" s="1"/>
      <c r="N328" s="1"/>
      <c r="O328" s="1"/>
      <c r="P328" s="1"/>
      <c r="Q328" s="1"/>
      <c r="R328" s="1"/>
      <c r="S328" s="1"/>
      <c r="T328" s="1"/>
      <c r="U328" s="1"/>
      <c r="V328" s="1"/>
      <c r="W328" s="1"/>
      <c r="X328" s="1"/>
      <c r="Y328" s="1"/>
      <c r="Z328" s="1"/>
    </row>
    <row r="329" ht="15.75" customHeight="1">
      <c r="A329" s="21" t="str">
        <f>IFERROR(__xludf.DUMMYFUNCTION("""COMPUTED_VALUE"""),"Sharp Teeth")</f>
        <v>Sharp Teeth</v>
      </c>
      <c r="B329" s="21" t="str">
        <f>IFERROR(__xludf.DUMMYFUNCTION("""COMPUTED_VALUE"""),"Consumable, 100 sharp teeth = permanantly increase attack by 1.")</f>
        <v>Consumable, 100 sharp teeth = permanantly increase attack by 1.</v>
      </c>
      <c r="C329" s="1" t="str">
        <f>IFERROR(__xludf.DUMMYFUNCTION("""COMPUTED_VALUE"""),"Item")</f>
        <v>Item</v>
      </c>
      <c r="D329" s="1" t="str">
        <f>IFERROR(__xludf.DUMMYFUNCTION("""COMPUTED_VALUE"""),"Land of Spira")</f>
        <v>Land of Spira</v>
      </c>
      <c r="E329" s="1" t="b">
        <f>IFERROR(__xludf.DUMMYFUNCTION("""COMPUTED_VALUE"""),FALSE)</f>
        <v>0</v>
      </c>
      <c r="F329" s="1"/>
      <c r="G329" s="1"/>
      <c r="H329" s="1"/>
      <c r="I329" s="1"/>
      <c r="J329" s="1"/>
      <c r="K329" s="1"/>
      <c r="L329" s="1"/>
      <c r="M329" s="1"/>
      <c r="N329" s="1"/>
      <c r="O329" s="1"/>
      <c r="P329" s="1"/>
      <c r="Q329" s="1"/>
      <c r="R329" s="1"/>
      <c r="S329" s="1"/>
      <c r="T329" s="1"/>
      <c r="U329" s="1"/>
      <c r="V329" s="1"/>
      <c r="W329" s="1"/>
      <c r="X329" s="1"/>
      <c r="Y329" s="1"/>
      <c r="Z329" s="1"/>
    </row>
    <row r="330" ht="15.75" customHeight="1">
      <c r="A330" s="21" t="str">
        <f>IFERROR(__xludf.DUMMYFUNCTION("""COMPUTED_VALUE"""),"Letter from the Warden")</f>
        <v>Letter from the Warden</v>
      </c>
      <c r="B330" s="21" t="str">
        <f>IFERROR(__xludf.DUMMYFUNCTION("""COMPUTED_VALUE"""),"Get out of jail for free. Can only be used once, Cannot be duplicated.")</f>
        <v>Get out of jail for free. Can only be used once, Cannot be duplicated.</v>
      </c>
      <c r="C330" s="1" t="str">
        <f>IFERROR(__xludf.DUMMYFUNCTION("""COMPUTED_VALUE"""),"Item")</f>
        <v>Item</v>
      </c>
      <c r="D330" s="1" t="str">
        <f>IFERROR(__xludf.DUMMYFUNCTION("""COMPUTED_VALUE"""),"Land of Spira")</f>
        <v>Land of Spira</v>
      </c>
      <c r="E330" s="1" t="b">
        <f>IFERROR(__xludf.DUMMYFUNCTION("""COMPUTED_VALUE"""),FALSE)</f>
        <v>0</v>
      </c>
      <c r="F330" s="1"/>
      <c r="G330" s="1"/>
      <c r="H330" s="1"/>
      <c r="I330" s="1"/>
      <c r="J330" s="1"/>
      <c r="K330" s="1"/>
      <c r="L330" s="1"/>
      <c r="M330" s="1"/>
      <c r="N330" s="1"/>
      <c r="O330" s="1"/>
      <c r="P330" s="1"/>
      <c r="Q330" s="1"/>
      <c r="R330" s="1"/>
      <c r="S330" s="1"/>
      <c r="T330" s="1"/>
      <c r="U330" s="1"/>
      <c r="V330" s="1"/>
      <c r="W330" s="1"/>
      <c r="X330" s="1"/>
      <c r="Y330" s="1"/>
      <c r="Z330" s="1"/>
    </row>
    <row r="331" ht="15.75" customHeight="1">
      <c r="A331" s="21" t="str">
        <f>IFERROR(__xludf.DUMMYFUNCTION("""COMPUTED_VALUE"""),"Rank 9 Light Tome")</f>
        <v>Rank 9 Light Tome</v>
      </c>
      <c r="B331" s="21" t="str">
        <f>IFERROR(__xludf.DUMMYFUNCTION("""COMPUTED_VALUE"""),"Allows you to use up to Rank 9 Light Powers.")</f>
        <v>Allows you to use up to Rank 9 Light Powers.</v>
      </c>
      <c r="C331" s="1" t="str">
        <f>IFERROR(__xludf.DUMMYFUNCTION("""COMPUTED_VALUE"""),"Item")</f>
        <v>Item</v>
      </c>
      <c r="D331" s="1" t="str">
        <f>IFERROR(__xludf.DUMMYFUNCTION("""COMPUTED_VALUE"""),"Land of Spira")</f>
        <v>Land of Spira</v>
      </c>
      <c r="E331" s="1" t="b">
        <f>IFERROR(__xludf.DUMMYFUNCTION("""COMPUTED_VALUE"""),TRUE)</f>
        <v>1</v>
      </c>
      <c r="F331" s="1"/>
      <c r="G331" s="1"/>
      <c r="H331" s="1"/>
      <c r="I331" s="1"/>
      <c r="J331" s="1"/>
      <c r="K331" s="1"/>
      <c r="L331" s="1"/>
      <c r="M331" s="1"/>
      <c r="N331" s="1"/>
      <c r="O331" s="1"/>
      <c r="P331" s="1"/>
      <c r="Q331" s="1"/>
      <c r="R331" s="1"/>
      <c r="S331" s="1"/>
      <c r="T331" s="1"/>
      <c r="U331" s="1"/>
      <c r="V331" s="1"/>
      <c r="W331" s="1"/>
      <c r="X331" s="1"/>
      <c r="Y331" s="1"/>
      <c r="Z331" s="1"/>
    </row>
    <row r="332" ht="15.75" customHeight="1">
      <c r="A332" s="21" t="str">
        <f>IFERROR(__xludf.DUMMYFUNCTION("""COMPUTED_VALUE"""),"Lesser Healing Potion")</f>
        <v>Lesser Healing Potion</v>
      </c>
      <c r="B332" s="21" t="str">
        <f>IFERROR(__xludf.DUMMYFUNCTION("""COMPUTED_VALUE"""),": + +25HP")</f>
        <v>: + +25HP</v>
      </c>
      <c r="C332" s="1" t="str">
        <f>IFERROR(__xludf.DUMMYFUNCTION("""COMPUTED_VALUE"""),"Item")</f>
        <v>Item</v>
      </c>
      <c r="D332" s="1" t="str">
        <f>IFERROR(__xludf.DUMMYFUNCTION("""COMPUTED_VALUE"""),"Land of Spira")</f>
        <v>Land of Spira</v>
      </c>
      <c r="E332" s="1" t="b">
        <f>IFERROR(__xludf.DUMMYFUNCTION("""COMPUTED_VALUE"""),TRUE)</f>
        <v>1</v>
      </c>
      <c r="F332" s="1"/>
      <c r="G332" s="1"/>
      <c r="H332" s="1"/>
      <c r="I332" s="1"/>
      <c r="J332" s="1"/>
      <c r="K332" s="1"/>
      <c r="L332" s="1"/>
      <c r="M332" s="1"/>
      <c r="N332" s="1"/>
      <c r="O332" s="1"/>
      <c r="P332" s="1"/>
      <c r="Q332" s="1"/>
      <c r="R332" s="1"/>
      <c r="S332" s="1"/>
      <c r="T332" s="1"/>
      <c r="U332" s="1"/>
      <c r="V332" s="1"/>
      <c r="W332" s="1"/>
      <c r="X332" s="1"/>
      <c r="Y332" s="1"/>
      <c r="Z332" s="1"/>
    </row>
    <row r="333" ht="15.75" customHeight="1">
      <c r="A333" s="21" t="str">
        <f>IFERROR(__xludf.DUMMYFUNCTION("""COMPUTED_VALUE"""),"Blackhorn Healing Potion")</f>
        <v>Blackhorn Healing Potion</v>
      </c>
      <c r="B333" s="21" t="str">
        <f>IFERROR(__xludf.DUMMYFUNCTION("""COMPUTED_VALUE"""),": + +75HP")</f>
        <v>: + +75HP</v>
      </c>
      <c r="C333" s="1" t="str">
        <f>IFERROR(__xludf.DUMMYFUNCTION("""COMPUTED_VALUE"""),"Item")</f>
        <v>Item</v>
      </c>
      <c r="D333" s="1" t="str">
        <f>IFERROR(__xludf.DUMMYFUNCTION("""COMPUTED_VALUE"""),"Land of Spira")</f>
        <v>Land of Spira</v>
      </c>
      <c r="E333" s="1" t="b">
        <f>IFERROR(__xludf.DUMMYFUNCTION("""COMPUTED_VALUE"""),FALSE)</f>
        <v>0</v>
      </c>
      <c r="F333" s="1"/>
      <c r="G333" s="1"/>
      <c r="H333" s="1"/>
      <c r="I333" s="1"/>
      <c r="J333" s="1"/>
      <c r="K333" s="1"/>
      <c r="L333" s="1"/>
      <c r="M333" s="1"/>
      <c r="N333" s="1"/>
      <c r="O333" s="1"/>
      <c r="P333" s="1"/>
      <c r="Q333" s="1"/>
      <c r="R333" s="1"/>
      <c r="S333" s="1"/>
      <c r="T333" s="1"/>
      <c r="U333" s="1"/>
      <c r="V333" s="1"/>
      <c r="W333" s="1"/>
      <c r="X333" s="1"/>
      <c r="Y333" s="1"/>
      <c r="Z333" s="1"/>
    </row>
    <row r="334" ht="15.75" customHeight="1">
      <c r="A334" s="21" t="str">
        <f>IFERROR(__xludf.DUMMYFUNCTION("""COMPUTED_VALUE"""),"Greater Healing Potion")</f>
        <v>Greater Healing Potion</v>
      </c>
      <c r="B334" s="21" t="str">
        <f>IFERROR(__xludf.DUMMYFUNCTION("""COMPUTED_VALUE"""),": + +100HP")</f>
        <v>: + +100HP</v>
      </c>
      <c r="C334" s="1" t="str">
        <f>IFERROR(__xludf.DUMMYFUNCTION("""COMPUTED_VALUE"""),"Item")</f>
        <v>Item</v>
      </c>
      <c r="D334" s="1" t="str">
        <f>IFERROR(__xludf.DUMMYFUNCTION("""COMPUTED_VALUE"""),"Land of Spira")</f>
        <v>Land of Spira</v>
      </c>
      <c r="E334" s="1" t="b">
        <f>IFERROR(__xludf.DUMMYFUNCTION("""COMPUTED_VALUE"""),TRUE)</f>
        <v>1</v>
      </c>
      <c r="F334" s="1"/>
      <c r="G334" s="1"/>
      <c r="H334" s="1"/>
      <c r="I334" s="1"/>
      <c r="J334" s="1"/>
      <c r="K334" s="1"/>
      <c r="L334" s="1"/>
      <c r="M334" s="1"/>
      <c r="N334" s="1"/>
      <c r="O334" s="1"/>
      <c r="P334" s="1"/>
      <c r="Q334" s="1"/>
      <c r="R334" s="1"/>
      <c r="S334" s="1"/>
      <c r="T334" s="1"/>
      <c r="U334" s="1"/>
      <c r="V334" s="1"/>
      <c r="W334" s="1"/>
      <c r="X334" s="1"/>
      <c r="Y334" s="1"/>
      <c r="Z334" s="1"/>
    </row>
    <row r="335" ht="15.75" customHeight="1">
      <c r="A335" s="21" t="str">
        <f>IFERROR(__xludf.DUMMYFUNCTION("""COMPUTED_VALUE"""),"Awkward Potion")</f>
        <v>Awkward Potion</v>
      </c>
      <c r="B335" s="21" t="str">
        <f>IFERROR(__xludf.DUMMYFUNCTION("""COMPUTED_VALUE"""),": + +100HP And 100 SP")</f>
        <v>: + +100HP And 100 SP</v>
      </c>
      <c r="C335" s="1" t="str">
        <f>IFERROR(__xludf.DUMMYFUNCTION("""COMPUTED_VALUE"""),"Item")</f>
        <v>Item</v>
      </c>
      <c r="D335" s="1" t="str">
        <f>IFERROR(__xludf.DUMMYFUNCTION("""COMPUTED_VALUE"""),"Land of Spira")</f>
        <v>Land of Spira</v>
      </c>
      <c r="E335" s="1" t="b">
        <f>IFERROR(__xludf.DUMMYFUNCTION("""COMPUTED_VALUE"""),TRUE)</f>
        <v>1</v>
      </c>
      <c r="F335" s="1"/>
      <c r="G335" s="1"/>
      <c r="H335" s="1"/>
      <c r="I335" s="1"/>
      <c r="J335" s="1"/>
      <c r="K335" s="1"/>
      <c r="L335" s="1"/>
      <c r="M335" s="1"/>
      <c r="N335" s="1"/>
      <c r="O335" s="1"/>
      <c r="P335" s="1"/>
      <c r="Q335" s="1"/>
      <c r="R335" s="1"/>
      <c r="S335" s="1"/>
      <c r="T335" s="1"/>
      <c r="U335" s="1"/>
      <c r="V335" s="1"/>
      <c r="W335" s="1"/>
      <c r="X335" s="1"/>
      <c r="Y335" s="1"/>
      <c r="Z335" s="1"/>
    </row>
    <row r="336" ht="15.75" customHeight="1">
      <c r="A336" s="21" t="str">
        <f>IFERROR(__xludf.DUMMYFUNCTION("""COMPUTED_VALUE"""),"Defensive Potion")</f>
        <v>Defensive Potion</v>
      </c>
      <c r="B336" s="21" t="str">
        <f>IFERROR(__xludf.DUMMYFUNCTION("""COMPUTED_VALUE"""),": + +1000 def for 3 rounds")</f>
        <v>: + +1000 def for 3 rounds</v>
      </c>
      <c r="C336" s="1" t="str">
        <f>IFERROR(__xludf.DUMMYFUNCTION("""COMPUTED_VALUE"""),"Item")</f>
        <v>Item</v>
      </c>
      <c r="D336" s="1" t="str">
        <f>IFERROR(__xludf.DUMMYFUNCTION("""COMPUTED_VALUE"""),"Land of Spira")</f>
        <v>Land of Spira</v>
      </c>
      <c r="E336" s="1" t="b">
        <f>IFERROR(__xludf.DUMMYFUNCTION("""COMPUTED_VALUE"""),TRUE)</f>
        <v>1</v>
      </c>
      <c r="F336" s="1"/>
      <c r="G336" s="1"/>
      <c r="H336" s="1"/>
      <c r="I336" s="1"/>
      <c r="J336" s="1"/>
      <c r="K336" s="1"/>
      <c r="L336" s="1"/>
      <c r="M336" s="1"/>
      <c r="N336" s="1"/>
      <c r="O336" s="1"/>
      <c r="P336" s="1"/>
      <c r="Q336" s="1"/>
      <c r="R336" s="1"/>
      <c r="S336" s="1"/>
      <c r="T336" s="1"/>
      <c r="U336" s="1"/>
      <c r="V336" s="1"/>
      <c r="W336" s="1"/>
      <c r="X336" s="1"/>
      <c r="Y336" s="1"/>
      <c r="Z336" s="1"/>
    </row>
    <row r="337" ht="15.75" customHeight="1">
      <c r="A337" s="21" t="str">
        <f>IFERROR(__xludf.DUMMYFUNCTION("""COMPUTED_VALUE"""),"Offensive Potion")</f>
        <v>Offensive Potion</v>
      </c>
      <c r="B337" s="21" t="str">
        <f>IFERROR(__xludf.DUMMYFUNCTION("""COMPUTED_VALUE"""),": + +1000 atk for 3 rounds")</f>
        <v>: + +1000 atk for 3 rounds</v>
      </c>
      <c r="C337" s="1" t="str">
        <f>IFERROR(__xludf.DUMMYFUNCTION("""COMPUTED_VALUE"""),"Item")</f>
        <v>Item</v>
      </c>
      <c r="D337" s="1" t="str">
        <f>IFERROR(__xludf.DUMMYFUNCTION("""COMPUTED_VALUE"""),"Land of Spira")</f>
        <v>Land of Spira</v>
      </c>
      <c r="E337" s="1" t="b">
        <f>IFERROR(__xludf.DUMMYFUNCTION("""COMPUTED_VALUE"""),FALSE)</f>
        <v>0</v>
      </c>
      <c r="F337" s="1"/>
      <c r="G337" s="1"/>
      <c r="H337" s="1"/>
      <c r="I337" s="1"/>
      <c r="J337" s="1"/>
      <c r="K337" s="1"/>
      <c r="L337" s="1"/>
      <c r="M337" s="1"/>
      <c r="N337" s="1"/>
      <c r="O337" s="1"/>
      <c r="P337" s="1"/>
      <c r="Q337" s="1"/>
      <c r="R337" s="1"/>
      <c r="S337" s="1"/>
      <c r="T337" s="1"/>
      <c r="U337" s="1"/>
      <c r="V337" s="1"/>
      <c r="W337" s="1"/>
      <c r="X337" s="1"/>
      <c r="Y337" s="1"/>
      <c r="Z337" s="1"/>
    </row>
    <row r="338" ht="15.75" customHeight="1">
      <c r="A338" s="21" t="str">
        <f>IFERROR(__xludf.DUMMYFUNCTION("""COMPUTED_VALUE"""),"Potion of Swift")</f>
        <v>Potion of Swift</v>
      </c>
      <c r="B338" s="21" t="str">
        <f>IFERROR(__xludf.DUMMYFUNCTION("""COMPUTED_VALUE"""),": + +add 5 evasion for 3 rounds")</f>
        <v>: + +add 5 evasion for 3 rounds</v>
      </c>
      <c r="C338" s="1" t="str">
        <f>IFERROR(__xludf.DUMMYFUNCTION("""COMPUTED_VALUE"""),"Item")</f>
        <v>Item</v>
      </c>
      <c r="D338" s="1" t="str">
        <f>IFERROR(__xludf.DUMMYFUNCTION("""COMPUTED_VALUE"""),"Land of Spira")</f>
        <v>Land of Spira</v>
      </c>
      <c r="E338" s="1" t="b">
        <f>IFERROR(__xludf.DUMMYFUNCTION("""COMPUTED_VALUE"""),TRUE)</f>
        <v>1</v>
      </c>
      <c r="F338" s="1"/>
      <c r="G338" s="1"/>
      <c r="H338" s="1"/>
      <c r="I338" s="1"/>
      <c r="J338" s="1"/>
      <c r="K338" s="1"/>
      <c r="L338" s="1"/>
      <c r="M338" s="1"/>
      <c r="N338" s="1"/>
      <c r="O338" s="1"/>
      <c r="P338" s="1"/>
      <c r="Q338" s="1"/>
      <c r="R338" s="1"/>
      <c r="S338" s="1"/>
      <c r="T338" s="1"/>
      <c r="U338" s="1"/>
      <c r="V338" s="1"/>
      <c r="W338" s="1"/>
      <c r="X338" s="1"/>
      <c r="Y338" s="1"/>
      <c r="Z338" s="1"/>
    </row>
    <row r="339" ht="15.75" customHeight="1">
      <c r="A339" s="21" t="str">
        <f>IFERROR(__xludf.DUMMYFUNCTION("""COMPUTED_VALUE"""),"Potion of Mana Regeneration")</f>
        <v>Potion of Mana Regeneration</v>
      </c>
      <c r="B339" s="21" t="str">
        <f>IFERROR(__xludf.DUMMYFUNCTION("""COMPUTED_VALUE"""),": + +500SP p/r for 3 rounds")</f>
        <v>: + +500SP p/r for 3 rounds</v>
      </c>
      <c r="C339" s="1" t="str">
        <f>IFERROR(__xludf.DUMMYFUNCTION("""COMPUTED_VALUE"""),"Item")</f>
        <v>Item</v>
      </c>
      <c r="D339" s="1" t="str">
        <f>IFERROR(__xludf.DUMMYFUNCTION("""COMPUTED_VALUE"""),"Land of Spira")</f>
        <v>Land of Spira</v>
      </c>
      <c r="E339" s="1" t="b">
        <f>IFERROR(__xludf.DUMMYFUNCTION("""COMPUTED_VALUE"""),FALSE)</f>
        <v>0</v>
      </c>
      <c r="F339" s="1"/>
      <c r="G339" s="1"/>
      <c r="H339" s="1"/>
      <c r="I339" s="1"/>
      <c r="J339" s="1"/>
      <c r="K339" s="1"/>
      <c r="L339" s="1"/>
      <c r="M339" s="1"/>
      <c r="N339" s="1"/>
      <c r="O339" s="1"/>
      <c r="P339" s="1"/>
      <c r="Q339" s="1"/>
      <c r="R339" s="1"/>
      <c r="S339" s="1"/>
      <c r="T339" s="1"/>
      <c r="U339" s="1"/>
      <c r="V339" s="1"/>
      <c r="W339" s="1"/>
      <c r="X339" s="1"/>
      <c r="Y339" s="1"/>
      <c r="Z339" s="1"/>
    </row>
    <row r="340" ht="15.75" customHeight="1">
      <c r="A340" s="21" t="str">
        <f>IFERROR(__xludf.DUMMYFUNCTION("""COMPUTED_VALUE"""),"Potion of Thorns")</f>
        <v>Potion of Thorns</v>
      </c>
      <c r="B340" s="21" t="str">
        <f>IFERROR(__xludf.DUMMYFUNCTION("""COMPUTED_VALUE"""),": + +When a target deals damage to you they take the same amount of damage back.")</f>
        <v>: + +When a target deals damage to you they take the same amount of damage back.</v>
      </c>
      <c r="C340" s="1" t="str">
        <f>IFERROR(__xludf.DUMMYFUNCTION("""COMPUTED_VALUE"""),"Item")</f>
        <v>Item</v>
      </c>
      <c r="D340" s="1" t="str">
        <f>IFERROR(__xludf.DUMMYFUNCTION("""COMPUTED_VALUE"""),"Land of Spira")</f>
        <v>Land of Spira</v>
      </c>
      <c r="E340" s="1" t="b">
        <f>IFERROR(__xludf.DUMMYFUNCTION("""COMPUTED_VALUE"""),FALSE)</f>
        <v>0</v>
      </c>
      <c r="F340" s="1"/>
      <c r="G340" s="1"/>
      <c r="H340" s="1"/>
      <c r="I340" s="1"/>
      <c r="J340" s="1"/>
      <c r="K340" s="1"/>
      <c r="L340" s="1"/>
      <c r="M340" s="1"/>
      <c r="N340" s="1"/>
      <c r="O340" s="1"/>
      <c r="P340" s="1"/>
      <c r="Q340" s="1"/>
      <c r="R340" s="1"/>
      <c r="S340" s="1"/>
      <c r="T340" s="1"/>
      <c r="U340" s="1"/>
      <c r="V340" s="1"/>
      <c r="W340" s="1"/>
      <c r="X340" s="1"/>
      <c r="Y340" s="1"/>
      <c r="Z340" s="1"/>
    </row>
    <row r="341" ht="15.75" customHeight="1">
      <c r="A341" s="21" t="str">
        <f>IFERROR(__xludf.DUMMYFUNCTION("""COMPUTED_VALUE"""),"Potion of Resistance")</f>
        <v>Potion of Resistance</v>
      </c>
      <c r="B341" s="21" t="str">
        <f>IFERROR(__xludf.DUMMYFUNCTION("""COMPUTED_VALUE"""),": + +1000 resistance to all attacks for 3 rounds.")</f>
        <v>: + +1000 resistance to all attacks for 3 rounds.</v>
      </c>
      <c r="C341" s="1" t="str">
        <f>IFERROR(__xludf.DUMMYFUNCTION("""COMPUTED_VALUE"""),"Item")</f>
        <v>Item</v>
      </c>
      <c r="D341" s="1" t="str">
        <f>IFERROR(__xludf.DUMMYFUNCTION("""COMPUTED_VALUE"""),"Land of Spira")</f>
        <v>Land of Spira</v>
      </c>
      <c r="E341" s="1" t="b">
        <f>IFERROR(__xludf.DUMMYFUNCTION("""COMPUTED_VALUE"""),FALSE)</f>
        <v>0</v>
      </c>
      <c r="F341" s="1"/>
      <c r="G341" s="1"/>
      <c r="H341" s="1"/>
      <c r="I341" s="1"/>
      <c r="J341" s="1"/>
      <c r="K341" s="1"/>
      <c r="L341" s="1"/>
      <c r="M341" s="1"/>
      <c r="N341" s="1"/>
      <c r="O341" s="1"/>
      <c r="P341" s="1"/>
      <c r="Q341" s="1"/>
      <c r="R341" s="1"/>
      <c r="S341" s="1"/>
      <c r="T341" s="1"/>
      <c r="U341" s="1"/>
      <c r="V341" s="1"/>
      <c r="W341" s="1"/>
      <c r="X341" s="1"/>
      <c r="Y341" s="1"/>
      <c r="Z341" s="1"/>
    </row>
    <row r="342" ht="15.75" customHeight="1">
      <c r="A342" s="21" t="str">
        <f>IFERROR(__xludf.DUMMYFUNCTION("""COMPUTED_VALUE"""),"Potion of Speed")</f>
        <v>Potion of Speed</v>
      </c>
      <c r="B342" s="21" t="str">
        <f>IFERROR(__xludf.DUMMYFUNCTION("""COMPUTED_VALUE"""),": + +Allows 2 additional turns in one on your next turn.")</f>
        <v>: + +Allows 2 additional turns in one on your next turn.</v>
      </c>
      <c r="C342" s="1" t="str">
        <f>IFERROR(__xludf.DUMMYFUNCTION("""COMPUTED_VALUE"""),"Item")</f>
        <v>Item</v>
      </c>
      <c r="D342" s="1" t="str">
        <f>IFERROR(__xludf.DUMMYFUNCTION("""COMPUTED_VALUE"""),"Land of Spira")</f>
        <v>Land of Spira</v>
      </c>
      <c r="E342" s="1" t="b">
        <f>IFERROR(__xludf.DUMMYFUNCTION("""COMPUTED_VALUE"""),FALSE)</f>
        <v>0</v>
      </c>
      <c r="F342" s="1"/>
      <c r="G342" s="1"/>
      <c r="H342" s="1"/>
      <c r="I342" s="1"/>
      <c r="J342" s="1"/>
      <c r="K342" s="1"/>
      <c r="L342" s="1"/>
      <c r="M342" s="1"/>
      <c r="N342" s="1"/>
      <c r="O342" s="1"/>
      <c r="P342" s="1"/>
      <c r="Q342" s="1"/>
      <c r="R342" s="1"/>
      <c r="S342" s="1"/>
      <c r="T342" s="1"/>
      <c r="U342" s="1"/>
      <c r="V342" s="1"/>
      <c r="W342" s="1"/>
      <c r="X342" s="1"/>
      <c r="Y342" s="1"/>
      <c r="Z342" s="1"/>
    </row>
    <row r="343" ht="15.75" customHeight="1">
      <c r="A343" s="21" t="str">
        <f>IFERROR(__xludf.DUMMYFUNCTION("""COMPUTED_VALUE"""),"Potion of Luck")</f>
        <v>Potion of Luck</v>
      </c>
      <c r="B343" s="21" t="str">
        <f>IFERROR(__xludf.DUMMYFUNCTION("""COMPUTED_VALUE"""),": + +Allows you to get an enemies highest loot role (Must be used during battle)")</f>
        <v>: + +Allows you to get an enemies highest loot role (Must be used during battle)</v>
      </c>
      <c r="C343" s="1" t="str">
        <f>IFERROR(__xludf.DUMMYFUNCTION("""COMPUTED_VALUE"""),"Item")</f>
        <v>Item</v>
      </c>
      <c r="D343" s="1" t="str">
        <f>IFERROR(__xludf.DUMMYFUNCTION("""COMPUTED_VALUE"""),"Land of Spira")</f>
        <v>Land of Spira</v>
      </c>
      <c r="E343" s="1" t="b">
        <f>IFERROR(__xludf.DUMMYFUNCTION("""COMPUTED_VALUE"""),TRUE)</f>
        <v>1</v>
      </c>
      <c r="F343" s="1"/>
      <c r="G343" s="1"/>
      <c r="H343" s="1"/>
      <c r="I343" s="1"/>
      <c r="J343" s="1"/>
      <c r="K343" s="1"/>
      <c r="L343" s="1"/>
      <c r="M343" s="1"/>
      <c r="N343" s="1"/>
      <c r="O343" s="1"/>
      <c r="P343" s="1"/>
      <c r="Q343" s="1"/>
      <c r="R343" s="1"/>
      <c r="S343" s="1"/>
      <c r="T343" s="1"/>
      <c r="U343" s="1"/>
      <c r="V343" s="1"/>
      <c r="W343" s="1"/>
      <c r="X343" s="1"/>
      <c r="Y343" s="1"/>
      <c r="Z343" s="1"/>
    </row>
    <row r="344" ht="15.75" customHeight="1">
      <c r="A344" s="21" t="str">
        <f>IFERROR(__xludf.DUMMYFUNCTION("""COMPUTED_VALUE"""),"Potion of Regeneration")</f>
        <v>Potion of Regeneration</v>
      </c>
      <c r="B344" s="21" t="str">
        <f>IFERROR(__xludf.DUMMYFUNCTION("""COMPUTED_VALUE"""),": + +500HP p/r for 3 rounds.")</f>
        <v>: + +500HP p/r for 3 rounds.</v>
      </c>
      <c r="C344" s="1" t="str">
        <f>IFERROR(__xludf.DUMMYFUNCTION("""COMPUTED_VALUE"""),"Item")</f>
        <v>Item</v>
      </c>
      <c r="D344" s="1" t="str">
        <f>IFERROR(__xludf.DUMMYFUNCTION("""COMPUTED_VALUE"""),"Land of Spira")</f>
        <v>Land of Spira</v>
      </c>
      <c r="E344" s="1" t="b">
        <f>IFERROR(__xludf.DUMMYFUNCTION("""COMPUTED_VALUE"""),FALSE)</f>
        <v>0</v>
      </c>
      <c r="F344" s="1"/>
      <c r="G344" s="1"/>
      <c r="H344" s="1"/>
      <c r="I344" s="1"/>
      <c r="J344" s="1"/>
      <c r="K344" s="1"/>
      <c r="L344" s="1"/>
      <c r="M344" s="1"/>
      <c r="N344" s="1"/>
      <c r="O344" s="1"/>
      <c r="P344" s="1"/>
      <c r="Q344" s="1"/>
      <c r="R344" s="1"/>
      <c r="S344" s="1"/>
      <c r="T344" s="1"/>
      <c r="U344" s="1"/>
      <c r="V344" s="1"/>
      <c r="W344" s="1"/>
      <c r="X344" s="1"/>
      <c r="Y344" s="1"/>
      <c r="Z344" s="1"/>
    </row>
    <row r="345" ht="15.75" customHeight="1">
      <c r="A345" s="21" t="str">
        <f>IFERROR(__xludf.DUMMYFUNCTION("""COMPUTED_VALUE"""),"Potion of Immunity")</f>
        <v>Potion of Immunity</v>
      </c>
      <c r="B345" s="21" t="str">
        <f>IFERROR(__xludf.DUMMYFUNCTION("""COMPUTED_VALUE"""),": + +Gain immunity to all attacks for 3 rounds.")</f>
        <v>: + +Gain immunity to all attacks for 3 rounds.</v>
      </c>
      <c r="C345" s="1" t="str">
        <f>IFERROR(__xludf.DUMMYFUNCTION("""COMPUTED_VALUE"""),"Item")</f>
        <v>Item</v>
      </c>
      <c r="D345" s="1" t="str">
        <f>IFERROR(__xludf.DUMMYFUNCTION("""COMPUTED_VALUE"""),"Land of Spira")</f>
        <v>Land of Spira</v>
      </c>
      <c r="E345" s="1" t="b">
        <f>IFERROR(__xludf.DUMMYFUNCTION("""COMPUTED_VALUE"""),TRUE)</f>
        <v>1</v>
      </c>
      <c r="F345" s="1"/>
      <c r="G345" s="1"/>
      <c r="H345" s="1"/>
      <c r="I345" s="1"/>
      <c r="J345" s="1"/>
      <c r="K345" s="1"/>
      <c r="L345" s="1"/>
      <c r="M345" s="1"/>
      <c r="N345" s="1"/>
      <c r="O345" s="1"/>
      <c r="P345" s="1"/>
      <c r="Q345" s="1"/>
      <c r="R345" s="1"/>
      <c r="S345" s="1"/>
      <c r="T345" s="1"/>
      <c r="U345" s="1"/>
      <c r="V345" s="1"/>
      <c r="W345" s="1"/>
      <c r="X345" s="1"/>
      <c r="Y345" s="1"/>
      <c r="Z345" s="1"/>
    </row>
    <row r="346" ht="15.75" customHeight="1">
      <c r="A346" s="21" t="str">
        <f>IFERROR(__xludf.DUMMYFUNCTION("""COMPUTED_VALUE"""),"Apple")</f>
        <v>Apple</v>
      </c>
      <c r="B346" s="21" t="str">
        <f>IFERROR(__xludf.DUMMYFUNCTION("""COMPUTED_VALUE"""),"5 hunger and thirst.")</f>
        <v>5 hunger and thirst.</v>
      </c>
      <c r="C346" s="1" t="str">
        <f>IFERROR(__xludf.DUMMYFUNCTION("""COMPUTED_VALUE"""),"Crop")</f>
        <v>Crop</v>
      </c>
      <c r="D346" s="1" t="str">
        <f>IFERROR(__xludf.DUMMYFUNCTION("""COMPUTED_VALUE"""),"Land of Spira")</f>
        <v>Land of Spira</v>
      </c>
      <c r="E346" s="1" t="b">
        <f>IFERROR(__xludf.DUMMYFUNCTION("""COMPUTED_VALUE"""),FALSE)</f>
        <v>0</v>
      </c>
      <c r="F346" s="1"/>
      <c r="G346" s="1"/>
      <c r="H346" s="1"/>
      <c r="I346" s="1"/>
      <c r="J346" s="1"/>
      <c r="K346" s="1"/>
      <c r="L346" s="1"/>
      <c r="M346" s="1"/>
      <c r="N346" s="1"/>
      <c r="O346" s="1"/>
      <c r="P346" s="1"/>
      <c r="Q346" s="1"/>
      <c r="R346" s="1"/>
      <c r="S346" s="1"/>
      <c r="T346" s="1"/>
      <c r="U346" s="1"/>
      <c r="V346" s="1"/>
      <c r="W346" s="1"/>
      <c r="X346" s="1"/>
      <c r="Y346" s="1"/>
      <c r="Z346" s="1"/>
    </row>
    <row r="347" ht="15.75" customHeight="1">
      <c r="A347" s="21" t="str">
        <f>IFERROR(__xludf.DUMMYFUNCTION("""COMPUTED_VALUE"""),"Watermelon")</f>
        <v>Watermelon</v>
      </c>
      <c r="B347" s="21" t="str">
        <f>IFERROR(__xludf.DUMMYFUNCTION("""COMPUTED_VALUE"""),"100 hunger, thirst, and energy. Feeds self and up to 2 party members.")</f>
        <v>100 hunger, thirst, and energy. Feeds self and up to 2 party members.</v>
      </c>
      <c r="C347" s="1" t="str">
        <f>IFERROR(__xludf.DUMMYFUNCTION("""COMPUTED_VALUE"""),"Crop")</f>
        <v>Crop</v>
      </c>
      <c r="D347" s="1" t="str">
        <f>IFERROR(__xludf.DUMMYFUNCTION("""COMPUTED_VALUE"""),"Land of Spira")</f>
        <v>Land of Spira</v>
      </c>
      <c r="E347" s="1" t="b">
        <f>IFERROR(__xludf.DUMMYFUNCTION("""COMPUTED_VALUE"""),TRUE)</f>
        <v>1</v>
      </c>
      <c r="F347" s="1"/>
      <c r="G347" s="1"/>
      <c r="H347" s="1"/>
      <c r="I347" s="1"/>
      <c r="J347" s="1"/>
      <c r="K347" s="1"/>
      <c r="L347" s="1"/>
      <c r="M347" s="1"/>
      <c r="N347" s="1"/>
      <c r="O347" s="1"/>
      <c r="P347" s="1"/>
      <c r="Q347" s="1"/>
      <c r="R347" s="1"/>
      <c r="S347" s="1"/>
      <c r="T347" s="1"/>
      <c r="U347" s="1"/>
      <c r="V347" s="1"/>
      <c r="W347" s="1"/>
      <c r="X347" s="1"/>
      <c r="Y347" s="1"/>
      <c r="Z347" s="1"/>
    </row>
    <row r="348" ht="15.75" customHeight="1">
      <c r="A348" s="21" t="str">
        <f>IFERROR(__xludf.DUMMYFUNCTION("""COMPUTED_VALUE"""),"Orange")</f>
        <v>Orange</v>
      </c>
      <c r="B348" s="21" t="str">
        <f>IFERROR(__xludf.DUMMYFUNCTION("""COMPUTED_VALUE"""),"5 hunger and thirst.")</f>
        <v>5 hunger and thirst.</v>
      </c>
      <c r="C348" s="1" t="str">
        <f>IFERROR(__xludf.DUMMYFUNCTION("""COMPUTED_VALUE"""),"Crop")</f>
        <v>Crop</v>
      </c>
      <c r="D348" s="1" t="str">
        <f>IFERROR(__xludf.DUMMYFUNCTION("""COMPUTED_VALUE"""),"Land of Spira")</f>
        <v>Land of Spira</v>
      </c>
      <c r="E348" s="1" t="b">
        <f>IFERROR(__xludf.DUMMYFUNCTION("""COMPUTED_VALUE"""),FALSE)</f>
        <v>0</v>
      </c>
      <c r="F348" s="1"/>
      <c r="G348" s="1"/>
      <c r="H348" s="1"/>
      <c r="I348" s="1"/>
      <c r="J348" s="1"/>
      <c r="K348" s="1"/>
      <c r="L348" s="1"/>
      <c r="M348" s="1"/>
      <c r="N348" s="1"/>
      <c r="O348" s="1"/>
      <c r="P348" s="1"/>
      <c r="Q348" s="1"/>
      <c r="R348" s="1"/>
      <c r="S348" s="1"/>
      <c r="T348" s="1"/>
      <c r="U348" s="1"/>
      <c r="V348" s="1"/>
      <c r="W348" s="1"/>
      <c r="X348" s="1"/>
      <c r="Y348" s="1"/>
      <c r="Z348" s="1"/>
    </row>
    <row r="349" ht="15.75" customHeight="1">
      <c r="A349" s="21" t="str">
        <f>IFERROR(__xludf.DUMMYFUNCTION("""COMPUTED_VALUE"""),"Pear")</f>
        <v>Pear</v>
      </c>
      <c r="B349" s="21" t="str">
        <f>IFERROR(__xludf.DUMMYFUNCTION("""COMPUTED_VALUE"""),"5 hunger and thirst.")</f>
        <v>5 hunger and thirst.</v>
      </c>
      <c r="C349" s="1" t="str">
        <f>IFERROR(__xludf.DUMMYFUNCTION("""COMPUTED_VALUE"""),"Crop")</f>
        <v>Crop</v>
      </c>
      <c r="D349" s="1" t="str">
        <f>IFERROR(__xludf.DUMMYFUNCTION("""COMPUTED_VALUE"""),"Land of Spira")</f>
        <v>Land of Spira</v>
      </c>
      <c r="E349" s="1" t="b">
        <f>IFERROR(__xludf.DUMMYFUNCTION("""COMPUTED_VALUE"""),TRUE)</f>
        <v>1</v>
      </c>
      <c r="F349" s="1"/>
      <c r="G349" s="1"/>
      <c r="H349" s="1"/>
      <c r="I349" s="1"/>
      <c r="J349" s="1"/>
      <c r="K349" s="1"/>
      <c r="L349" s="1"/>
      <c r="M349" s="1"/>
      <c r="N349" s="1"/>
      <c r="O349" s="1"/>
      <c r="P349" s="1"/>
      <c r="Q349" s="1"/>
      <c r="R349" s="1"/>
      <c r="S349" s="1"/>
      <c r="T349" s="1"/>
      <c r="U349" s="1"/>
      <c r="V349" s="1"/>
      <c r="W349" s="1"/>
      <c r="X349" s="1"/>
      <c r="Y349" s="1"/>
      <c r="Z349" s="1"/>
    </row>
    <row r="350" ht="15.75" customHeight="1">
      <c r="A350" s="21" t="str">
        <f>IFERROR(__xludf.DUMMYFUNCTION("""COMPUTED_VALUE"""),"Cherry")</f>
        <v>Cherry</v>
      </c>
      <c r="B350" s="21" t="str">
        <f>IFERROR(__xludf.DUMMYFUNCTION("""COMPUTED_VALUE"""),"5 hunger and thirst.")</f>
        <v>5 hunger and thirst.</v>
      </c>
      <c r="C350" s="1" t="str">
        <f>IFERROR(__xludf.DUMMYFUNCTION("""COMPUTED_VALUE"""),"Crop")</f>
        <v>Crop</v>
      </c>
      <c r="D350" s="1" t="str">
        <f>IFERROR(__xludf.DUMMYFUNCTION("""COMPUTED_VALUE"""),"Land of Spira")</f>
        <v>Land of Spira</v>
      </c>
      <c r="E350" s="1" t="b">
        <f>IFERROR(__xludf.DUMMYFUNCTION("""COMPUTED_VALUE"""),FALSE)</f>
        <v>0</v>
      </c>
      <c r="F350" s="1"/>
      <c r="G350" s="1"/>
      <c r="H350" s="1"/>
      <c r="I350" s="1"/>
      <c r="J350" s="1"/>
      <c r="K350" s="1"/>
      <c r="L350" s="1"/>
      <c r="M350" s="1"/>
      <c r="N350" s="1"/>
      <c r="O350" s="1"/>
      <c r="P350" s="1"/>
      <c r="Q350" s="1"/>
      <c r="R350" s="1"/>
      <c r="S350" s="1"/>
      <c r="T350" s="1"/>
      <c r="U350" s="1"/>
      <c r="V350" s="1"/>
      <c r="W350" s="1"/>
      <c r="X350" s="1"/>
      <c r="Y350" s="1"/>
      <c r="Z350" s="1"/>
    </row>
    <row r="351" ht="15.75" customHeight="1">
      <c r="A351" s="21" t="str">
        <f>IFERROR(__xludf.DUMMYFUNCTION("""COMPUTED_VALUE"""),"Strawberries")</f>
        <v>Strawberries</v>
      </c>
      <c r="B351" s="21" t="str">
        <f>IFERROR(__xludf.DUMMYFUNCTION("""COMPUTED_VALUE"""),"5 hunger and thirst.")</f>
        <v>5 hunger and thirst.</v>
      </c>
      <c r="C351" s="1" t="str">
        <f>IFERROR(__xludf.DUMMYFUNCTION("""COMPUTED_VALUE"""),"Crop")</f>
        <v>Crop</v>
      </c>
      <c r="D351" s="1" t="str">
        <f>IFERROR(__xludf.DUMMYFUNCTION("""COMPUTED_VALUE"""),"Land of Spira")</f>
        <v>Land of Spira</v>
      </c>
      <c r="E351" s="1" t="b">
        <f>IFERROR(__xludf.DUMMYFUNCTION("""COMPUTED_VALUE"""),FALSE)</f>
        <v>0</v>
      </c>
      <c r="F351" s="1"/>
      <c r="G351" s="1"/>
      <c r="H351" s="1"/>
      <c r="I351" s="1"/>
      <c r="J351" s="1"/>
      <c r="K351" s="1"/>
      <c r="L351" s="1"/>
      <c r="M351" s="1"/>
      <c r="N351" s="1"/>
      <c r="O351" s="1"/>
      <c r="P351" s="1"/>
      <c r="Q351" s="1"/>
      <c r="R351" s="1"/>
      <c r="S351" s="1"/>
      <c r="T351" s="1"/>
      <c r="U351" s="1"/>
      <c r="V351" s="1"/>
      <c r="W351" s="1"/>
      <c r="X351" s="1"/>
      <c r="Y351" s="1"/>
      <c r="Z351" s="1"/>
    </row>
    <row r="352" ht="15.75" customHeight="1">
      <c r="A352" s="21" t="str">
        <f>IFERROR(__xludf.DUMMYFUNCTION("""COMPUTED_VALUE"""),"Nectarine")</f>
        <v>Nectarine</v>
      </c>
      <c r="B352" s="21" t="str">
        <f>IFERROR(__xludf.DUMMYFUNCTION("""COMPUTED_VALUE"""),"5 hunger and thirst.")</f>
        <v>5 hunger and thirst.</v>
      </c>
      <c r="C352" s="1" t="str">
        <f>IFERROR(__xludf.DUMMYFUNCTION("""COMPUTED_VALUE"""),"Crop")</f>
        <v>Crop</v>
      </c>
      <c r="D352" s="1" t="str">
        <f>IFERROR(__xludf.DUMMYFUNCTION("""COMPUTED_VALUE"""),"Land of Spira")</f>
        <v>Land of Spira</v>
      </c>
      <c r="E352" s="1" t="b">
        <f>IFERROR(__xludf.DUMMYFUNCTION("""COMPUTED_VALUE"""),FALSE)</f>
        <v>0</v>
      </c>
      <c r="F352" s="1"/>
      <c r="G352" s="1"/>
      <c r="H352" s="1"/>
      <c r="I352" s="1"/>
      <c r="J352" s="1"/>
      <c r="K352" s="1"/>
      <c r="L352" s="1"/>
      <c r="M352" s="1"/>
      <c r="N352" s="1"/>
      <c r="O352" s="1"/>
      <c r="P352" s="1"/>
      <c r="Q352" s="1"/>
      <c r="R352" s="1"/>
      <c r="S352" s="1"/>
      <c r="T352" s="1"/>
      <c r="U352" s="1"/>
      <c r="V352" s="1"/>
      <c r="W352" s="1"/>
      <c r="X352" s="1"/>
      <c r="Y352" s="1"/>
      <c r="Z352" s="1"/>
    </row>
    <row r="353" ht="15.75" customHeight="1">
      <c r="A353" s="21" t="str">
        <f>IFERROR(__xludf.DUMMYFUNCTION("""COMPUTED_VALUE"""),"Grapes")</f>
        <v>Grapes</v>
      </c>
      <c r="B353" s="21" t="str">
        <f>IFERROR(__xludf.DUMMYFUNCTION("""COMPUTED_VALUE"""),"5 hunger and thirst.")</f>
        <v>5 hunger and thirst.</v>
      </c>
      <c r="C353" s="1" t="str">
        <f>IFERROR(__xludf.DUMMYFUNCTION("""COMPUTED_VALUE"""),"Crop")</f>
        <v>Crop</v>
      </c>
      <c r="D353" s="1" t="str">
        <f>IFERROR(__xludf.DUMMYFUNCTION("""COMPUTED_VALUE"""),"Land of Spira")</f>
        <v>Land of Spira</v>
      </c>
      <c r="E353" s="1" t="b">
        <f>IFERROR(__xludf.DUMMYFUNCTION("""COMPUTED_VALUE"""),FALSE)</f>
        <v>0</v>
      </c>
      <c r="F353" s="1"/>
      <c r="G353" s="1"/>
      <c r="H353" s="1"/>
      <c r="I353" s="1"/>
      <c r="J353" s="1"/>
      <c r="K353" s="1"/>
      <c r="L353" s="1"/>
      <c r="M353" s="1"/>
      <c r="N353" s="1"/>
      <c r="O353" s="1"/>
      <c r="P353" s="1"/>
      <c r="Q353" s="1"/>
      <c r="R353" s="1"/>
      <c r="S353" s="1"/>
      <c r="T353" s="1"/>
      <c r="U353" s="1"/>
      <c r="V353" s="1"/>
      <c r="W353" s="1"/>
      <c r="X353" s="1"/>
      <c r="Y353" s="1"/>
      <c r="Z353" s="1"/>
    </row>
    <row r="354" ht="15.75" customHeight="1">
      <c r="A354" s="21" t="str">
        <f>IFERROR(__xludf.DUMMYFUNCTION("""COMPUTED_VALUE"""),"Mango")</f>
        <v>Mango</v>
      </c>
      <c r="B354" s="21" t="str">
        <f>IFERROR(__xludf.DUMMYFUNCTION("""COMPUTED_VALUE"""),"5 hunger and thirst.")</f>
        <v>5 hunger and thirst.</v>
      </c>
      <c r="C354" s="1" t="str">
        <f>IFERROR(__xludf.DUMMYFUNCTION("""COMPUTED_VALUE"""),"Crop")</f>
        <v>Crop</v>
      </c>
      <c r="D354" s="1" t="str">
        <f>IFERROR(__xludf.DUMMYFUNCTION("""COMPUTED_VALUE"""),"Land of Spira")</f>
        <v>Land of Spira</v>
      </c>
      <c r="E354" s="1" t="b">
        <f>IFERROR(__xludf.DUMMYFUNCTION("""COMPUTED_VALUE"""),TRUE)</f>
        <v>1</v>
      </c>
      <c r="F354" s="1"/>
      <c r="G354" s="1"/>
      <c r="H354" s="1"/>
      <c r="I354" s="1"/>
      <c r="J354" s="1"/>
      <c r="K354" s="1"/>
      <c r="L354" s="1"/>
      <c r="M354" s="1"/>
      <c r="N354" s="1"/>
      <c r="O354" s="1"/>
      <c r="P354" s="1"/>
      <c r="Q354" s="1"/>
      <c r="R354" s="1"/>
      <c r="S354" s="1"/>
      <c r="T354" s="1"/>
      <c r="U354" s="1"/>
      <c r="V354" s="1"/>
      <c r="W354" s="1"/>
      <c r="X354" s="1"/>
      <c r="Y354" s="1"/>
      <c r="Z354" s="1"/>
    </row>
    <row r="355" ht="15.75" customHeight="1">
      <c r="A355" s="21" t="str">
        <f>IFERROR(__xludf.DUMMYFUNCTION("""COMPUTED_VALUE"""),"Blueberries")</f>
        <v>Blueberries</v>
      </c>
      <c r="B355" s="21" t="str">
        <f>IFERROR(__xludf.DUMMYFUNCTION("""COMPUTED_VALUE"""),"5 hunger and thirst.")</f>
        <v>5 hunger and thirst.</v>
      </c>
      <c r="C355" s="1" t="str">
        <f>IFERROR(__xludf.DUMMYFUNCTION("""COMPUTED_VALUE"""),"Crop")</f>
        <v>Crop</v>
      </c>
      <c r="D355" s="1" t="str">
        <f>IFERROR(__xludf.DUMMYFUNCTION("""COMPUTED_VALUE"""),"Land of Spira")</f>
        <v>Land of Spira</v>
      </c>
      <c r="E355" s="1" t="b">
        <f>IFERROR(__xludf.DUMMYFUNCTION("""COMPUTED_VALUE"""),FALSE)</f>
        <v>0</v>
      </c>
      <c r="F355" s="1"/>
      <c r="G355" s="1"/>
      <c r="H355" s="1"/>
      <c r="I355" s="1"/>
      <c r="J355" s="1"/>
      <c r="K355" s="1"/>
      <c r="L355" s="1"/>
      <c r="M355" s="1"/>
      <c r="N355" s="1"/>
      <c r="O355" s="1"/>
      <c r="P355" s="1"/>
      <c r="Q355" s="1"/>
      <c r="R355" s="1"/>
      <c r="S355" s="1"/>
      <c r="T355" s="1"/>
      <c r="U355" s="1"/>
      <c r="V355" s="1"/>
      <c r="W355" s="1"/>
      <c r="X355" s="1"/>
      <c r="Y355" s="1"/>
      <c r="Z355" s="1"/>
    </row>
    <row r="356" ht="15.75" customHeight="1">
      <c r="A356" s="21" t="str">
        <f>IFERROR(__xludf.DUMMYFUNCTION("""COMPUTED_VALUE"""),"Pomegranate")</f>
        <v>Pomegranate</v>
      </c>
      <c r="B356" s="21" t="str">
        <f>IFERROR(__xludf.DUMMYFUNCTION("""COMPUTED_VALUE"""),"10 hunger and thirst.")</f>
        <v>10 hunger and thirst.</v>
      </c>
      <c r="C356" s="1" t="str">
        <f>IFERROR(__xludf.DUMMYFUNCTION("""COMPUTED_VALUE"""),"Crop")</f>
        <v>Crop</v>
      </c>
      <c r="D356" s="1" t="str">
        <f>IFERROR(__xludf.DUMMYFUNCTION("""COMPUTED_VALUE"""),"Land of Spira")</f>
        <v>Land of Spira</v>
      </c>
      <c r="E356" s="1" t="b">
        <f>IFERROR(__xludf.DUMMYFUNCTION("""COMPUTED_VALUE"""),FALSE)</f>
        <v>0</v>
      </c>
      <c r="F356" s="1"/>
      <c r="G356" s="1"/>
      <c r="H356" s="1"/>
      <c r="I356" s="1"/>
      <c r="J356" s="1"/>
      <c r="K356" s="1"/>
      <c r="L356" s="1"/>
      <c r="M356" s="1"/>
      <c r="N356" s="1"/>
      <c r="O356" s="1"/>
      <c r="P356" s="1"/>
      <c r="Q356" s="1"/>
      <c r="R356" s="1"/>
      <c r="S356" s="1"/>
      <c r="T356" s="1"/>
      <c r="U356" s="1"/>
      <c r="V356" s="1"/>
      <c r="W356" s="1"/>
      <c r="X356" s="1"/>
      <c r="Y356" s="1"/>
      <c r="Z356" s="1"/>
    </row>
    <row r="357" ht="15.75" customHeight="1">
      <c r="A357" s="21" t="str">
        <f>IFERROR(__xludf.DUMMYFUNCTION("""COMPUTED_VALUE"""),"StarFruit")</f>
        <v>StarFruit</v>
      </c>
      <c r="B357" s="21" t="str">
        <f>IFERROR(__xludf.DUMMYFUNCTION("""COMPUTED_VALUE"""),"5 hunger and thirst.")</f>
        <v>5 hunger and thirst.</v>
      </c>
      <c r="C357" s="1" t="str">
        <f>IFERROR(__xludf.DUMMYFUNCTION("""COMPUTED_VALUE"""),"Crop")</f>
        <v>Crop</v>
      </c>
      <c r="D357" s="1" t="str">
        <f>IFERROR(__xludf.DUMMYFUNCTION("""COMPUTED_VALUE"""),"Land of Spira")</f>
        <v>Land of Spira</v>
      </c>
      <c r="E357" s="1" t="b">
        <f>IFERROR(__xludf.DUMMYFUNCTION("""COMPUTED_VALUE"""),FALSE)</f>
        <v>0</v>
      </c>
      <c r="F357" s="1"/>
      <c r="G357" s="1"/>
      <c r="H357" s="1"/>
      <c r="I357" s="1"/>
      <c r="J357" s="1"/>
      <c r="K357" s="1"/>
      <c r="L357" s="1"/>
      <c r="M357" s="1"/>
      <c r="N357" s="1"/>
      <c r="O357" s="1"/>
      <c r="P357" s="1"/>
      <c r="Q357" s="1"/>
      <c r="R357" s="1"/>
      <c r="S357" s="1"/>
      <c r="T357" s="1"/>
      <c r="U357" s="1"/>
      <c r="V357" s="1"/>
      <c r="W357" s="1"/>
      <c r="X357" s="1"/>
      <c r="Y357" s="1"/>
      <c r="Z357" s="1"/>
    </row>
    <row r="358" ht="15.75" customHeight="1">
      <c r="A358" s="21" t="str">
        <f>IFERROR(__xludf.DUMMYFUNCTION("""COMPUTED_VALUE"""),"Plum")</f>
        <v>Plum</v>
      </c>
      <c r="B358" s="21" t="str">
        <f>IFERROR(__xludf.DUMMYFUNCTION("""COMPUTED_VALUE"""),"5 hunger and thirst.")</f>
        <v>5 hunger and thirst.</v>
      </c>
      <c r="C358" s="1" t="str">
        <f>IFERROR(__xludf.DUMMYFUNCTION("""COMPUTED_VALUE"""),"Crop")</f>
        <v>Crop</v>
      </c>
      <c r="D358" s="1" t="str">
        <f>IFERROR(__xludf.DUMMYFUNCTION("""COMPUTED_VALUE"""),"Land of Spira")</f>
        <v>Land of Spira</v>
      </c>
      <c r="E358" s="1" t="b">
        <f>IFERROR(__xludf.DUMMYFUNCTION("""COMPUTED_VALUE"""),FALSE)</f>
        <v>0</v>
      </c>
      <c r="F358" s="1"/>
      <c r="G358" s="1"/>
      <c r="H358" s="1"/>
      <c r="I358" s="1"/>
      <c r="J358" s="1"/>
      <c r="K358" s="1"/>
      <c r="L358" s="1"/>
      <c r="M358" s="1"/>
      <c r="N358" s="1"/>
      <c r="O358" s="1"/>
      <c r="P358" s="1"/>
      <c r="Q358" s="1"/>
      <c r="R358" s="1"/>
      <c r="S358" s="1"/>
      <c r="T358" s="1"/>
      <c r="U358" s="1"/>
      <c r="V358" s="1"/>
      <c r="W358" s="1"/>
      <c r="X358" s="1"/>
      <c r="Y358" s="1"/>
      <c r="Z358" s="1"/>
    </row>
    <row r="359" ht="15.75" customHeight="1">
      <c r="A359" s="21" t="str">
        <f>IFERROR(__xludf.DUMMYFUNCTION("""COMPUTED_VALUE"""),"Bananas")</f>
        <v>Bananas</v>
      </c>
      <c r="B359" s="21" t="str">
        <f>IFERROR(__xludf.DUMMYFUNCTION("""COMPUTED_VALUE"""),"10 hunger.")</f>
        <v>10 hunger.</v>
      </c>
      <c r="C359" s="1" t="str">
        <f>IFERROR(__xludf.DUMMYFUNCTION("""COMPUTED_VALUE"""),"Crop")</f>
        <v>Crop</v>
      </c>
      <c r="D359" s="1" t="str">
        <f>IFERROR(__xludf.DUMMYFUNCTION("""COMPUTED_VALUE"""),"Land of Spira")</f>
        <v>Land of Spira</v>
      </c>
      <c r="E359" s="1" t="b">
        <f>IFERROR(__xludf.DUMMYFUNCTION("""COMPUTED_VALUE"""),FALSE)</f>
        <v>0</v>
      </c>
      <c r="F359" s="1"/>
      <c r="G359" s="1"/>
      <c r="H359" s="1"/>
      <c r="I359" s="1"/>
      <c r="J359" s="1"/>
      <c r="K359" s="1"/>
      <c r="L359" s="1"/>
      <c r="M359" s="1"/>
      <c r="N359" s="1"/>
      <c r="O359" s="1"/>
      <c r="P359" s="1"/>
      <c r="Q359" s="1"/>
      <c r="R359" s="1"/>
      <c r="S359" s="1"/>
      <c r="T359" s="1"/>
      <c r="U359" s="1"/>
      <c r="V359" s="1"/>
      <c r="W359" s="1"/>
      <c r="X359" s="1"/>
      <c r="Y359" s="1"/>
      <c r="Z359" s="1"/>
    </row>
    <row r="360" ht="15.75" customHeight="1">
      <c r="A360" s="21" t="str">
        <f>IFERROR(__xludf.DUMMYFUNCTION("""COMPUTED_VALUE"""),"Raspberry")</f>
        <v>Raspberry</v>
      </c>
      <c r="B360" s="21" t="str">
        <f>IFERROR(__xludf.DUMMYFUNCTION("""COMPUTED_VALUE"""),"5 hunger and thirst.")</f>
        <v>5 hunger and thirst.</v>
      </c>
      <c r="C360" s="1" t="str">
        <f>IFERROR(__xludf.DUMMYFUNCTION("""COMPUTED_VALUE"""),"Crop")</f>
        <v>Crop</v>
      </c>
      <c r="D360" s="1" t="str">
        <f>IFERROR(__xludf.DUMMYFUNCTION("""COMPUTED_VALUE"""),"Land of Spira")</f>
        <v>Land of Spira</v>
      </c>
      <c r="E360" s="1" t="b">
        <f>IFERROR(__xludf.DUMMYFUNCTION("""COMPUTED_VALUE"""),TRUE)</f>
        <v>1</v>
      </c>
      <c r="F360" s="1"/>
      <c r="G360" s="1"/>
      <c r="H360" s="1"/>
      <c r="I360" s="1"/>
      <c r="J360" s="1"/>
      <c r="K360" s="1"/>
      <c r="L360" s="1"/>
      <c r="M360" s="1"/>
      <c r="N360" s="1"/>
      <c r="O360" s="1"/>
      <c r="P360" s="1"/>
      <c r="Q360" s="1"/>
      <c r="R360" s="1"/>
      <c r="S360" s="1"/>
      <c r="T360" s="1"/>
      <c r="U360" s="1"/>
      <c r="V360" s="1"/>
      <c r="W360" s="1"/>
      <c r="X360" s="1"/>
      <c r="Y360" s="1"/>
      <c r="Z360" s="1"/>
    </row>
    <row r="361" ht="15.75" customHeight="1">
      <c r="A361" s="21" t="str">
        <f>IFERROR(__xludf.DUMMYFUNCTION("""COMPUTED_VALUE"""),"Mandarin")</f>
        <v>Mandarin</v>
      </c>
      <c r="B361" s="21" t="str">
        <f>IFERROR(__xludf.DUMMYFUNCTION("""COMPUTED_VALUE"""),"5 hunger and thirst.")</f>
        <v>5 hunger and thirst.</v>
      </c>
      <c r="C361" s="1" t="str">
        <f>IFERROR(__xludf.DUMMYFUNCTION("""COMPUTED_VALUE"""),"Crop")</f>
        <v>Crop</v>
      </c>
      <c r="D361" s="1" t="str">
        <f>IFERROR(__xludf.DUMMYFUNCTION("""COMPUTED_VALUE"""),"Land of Spira")</f>
        <v>Land of Spira</v>
      </c>
      <c r="E361" s="1" t="b">
        <f>IFERROR(__xludf.DUMMYFUNCTION("""COMPUTED_VALUE"""),FALSE)</f>
        <v>0</v>
      </c>
      <c r="F361" s="1"/>
      <c r="G361" s="1"/>
      <c r="H361" s="1"/>
      <c r="I361" s="1"/>
      <c r="J361" s="1"/>
      <c r="K361" s="1"/>
      <c r="L361" s="1"/>
      <c r="M361" s="1"/>
      <c r="N361" s="1"/>
      <c r="O361" s="1"/>
      <c r="P361" s="1"/>
      <c r="Q361" s="1"/>
      <c r="R361" s="1"/>
      <c r="S361" s="1"/>
      <c r="T361" s="1"/>
      <c r="U361" s="1"/>
      <c r="V361" s="1"/>
      <c r="W361" s="1"/>
      <c r="X361" s="1"/>
      <c r="Y361" s="1"/>
      <c r="Z361" s="1"/>
    </row>
    <row r="362" ht="15.75" customHeight="1">
      <c r="A362" s="21" t="str">
        <f>IFERROR(__xludf.DUMMYFUNCTION("""COMPUTED_VALUE"""),"Jackfruit")</f>
        <v>Jackfruit</v>
      </c>
      <c r="B362" s="21" t="str">
        <f>IFERROR(__xludf.DUMMYFUNCTION("""COMPUTED_VALUE"""),"5 hunger and thirst.")</f>
        <v>5 hunger and thirst.</v>
      </c>
      <c r="C362" s="1" t="str">
        <f>IFERROR(__xludf.DUMMYFUNCTION("""COMPUTED_VALUE"""),"Crop")</f>
        <v>Crop</v>
      </c>
      <c r="D362" s="1" t="str">
        <f>IFERROR(__xludf.DUMMYFUNCTION("""COMPUTED_VALUE"""),"Land of Spira")</f>
        <v>Land of Spira</v>
      </c>
      <c r="E362" s="1" t="b">
        <f>IFERROR(__xludf.DUMMYFUNCTION("""COMPUTED_VALUE"""),FALSE)</f>
        <v>0</v>
      </c>
      <c r="F362" s="1"/>
      <c r="G362" s="1"/>
      <c r="H362" s="1"/>
      <c r="I362" s="1"/>
      <c r="J362" s="1"/>
      <c r="K362" s="1"/>
      <c r="L362" s="1"/>
      <c r="M362" s="1"/>
      <c r="N362" s="1"/>
      <c r="O362" s="1"/>
      <c r="P362" s="1"/>
      <c r="Q362" s="1"/>
      <c r="R362" s="1"/>
      <c r="S362" s="1"/>
      <c r="T362" s="1"/>
      <c r="U362" s="1"/>
      <c r="V362" s="1"/>
      <c r="W362" s="1"/>
      <c r="X362" s="1"/>
      <c r="Y362" s="1"/>
      <c r="Z362" s="1"/>
    </row>
    <row r="363" ht="15.75" customHeight="1">
      <c r="A363" s="21" t="str">
        <f>IFERROR(__xludf.DUMMYFUNCTION("""COMPUTED_VALUE"""),"Papaya")</f>
        <v>Papaya</v>
      </c>
      <c r="B363" s="21" t="str">
        <f>IFERROR(__xludf.DUMMYFUNCTION("""COMPUTED_VALUE"""),"10 hunger and thirst.")</f>
        <v>10 hunger and thirst.</v>
      </c>
      <c r="C363" s="1" t="str">
        <f>IFERROR(__xludf.DUMMYFUNCTION("""COMPUTED_VALUE"""),"Crop")</f>
        <v>Crop</v>
      </c>
      <c r="D363" s="1" t="str">
        <f>IFERROR(__xludf.DUMMYFUNCTION("""COMPUTED_VALUE"""),"Land of Spira")</f>
        <v>Land of Spira</v>
      </c>
      <c r="E363" s="1" t="b">
        <f>IFERROR(__xludf.DUMMYFUNCTION("""COMPUTED_VALUE"""),TRUE)</f>
        <v>1</v>
      </c>
      <c r="F363" s="1"/>
      <c r="G363" s="1"/>
      <c r="H363" s="1"/>
      <c r="I363" s="1"/>
      <c r="J363" s="1"/>
      <c r="K363" s="1"/>
      <c r="L363" s="1"/>
      <c r="M363" s="1"/>
      <c r="N363" s="1"/>
      <c r="O363" s="1"/>
      <c r="P363" s="1"/>
      <c r="Q363" s="1"/>
      <c r="R363" s="1"/>
      <c r="S363" s="1"/>
      <c r="T363" s="1"/>
      <c r="U363" s="1"/>
      <c r="V363" s="1"/>
      <c r="W363" s="1"/>
      <c r="X363" s="1"/>
      <c r="Y363" s="1"/>
      <c r="Z363" s="1"/>
    </row>
    <row r="364" ht="15.75" customHeight="1">
      <c r="A364" s="21" t="str">
        <f>IFERROR(__xludf.DUMMYFUNCTION("""COMPUTED_VALUE"""),"Kiwi")</f>
        <v>Kiwi</v>
      </c>
      <c r="B364" s="21" t="str">
        <f>IFERROR(__xludf.DUMMYFUNCTION("""COMPUTED_VALUE"""),"5 hunger and thirst.")</f>
        <v>5 hunger and thirst.</v>
      </c>
      <c r="C364" s="1" t="str">
        <f>IFERROR(__xludf.DUMMYFUNCTION("""COMPUTED_VALUE"""),"Crop")</f>
        <v>Crop</v>
      </c>
      <c r="D364" s="1" t="str">
        <f>IFERROR(__xludf.DUMMYFUNCTION("""COMPUTED_VALUE"""),"Land of Spira")</f>
        <v>Land of Spira</v>
      </c>
      <c r="E364" s="1" t="b">
        <f>IFERROR(__xludf.DUMMYFUNCTION("""COMPUTED_VALUE"""),FALSE)</f>
        <v>0</v>
      </c>
      <c r="F364" s="1"/>
      <c r="G364" s="1"/>
      <c r="H364" s="1"/>
      <c r="I364" s="1"/>
      <c r="J364" s="1"/>
      <c r="K364" s="1"/>
      <c r="L364" s="1"/>
      <c r="M364" s="1"/>
      <c r="N364" s="1"/>
      <c r="O364" s="1"/>
      <c r="P364" s="1"/>
      <c r="Q364" s="1"/>
      <c r="R364" s="1"/>
      <c r="S364" s="1"/>
      <c r="T364" s="1"/>
      <c r="U364" s="1"/>
      <c r="V364" s="1"/>
      <c r="W364" s="1"/>
      <c r="X364" s="1"/>
      <c r="Y364" s="1"/>
      <c r="Z364" s="1"/>
    </row>
    <row r="365" ht="15.75" customHeight="1">
      <c r="A365" s="21" t="str">
        <f>IFERROR(__xludf.DUMMYFUNCTION("""COMPUTED_VALUE"""),"Pineapple")</f>
        <v>Pineapple</v>
      </c>
      <c r="B365" s="21" t="str">
        <f>IFERROR(__xludf.DUMMYFUNCTION("""COMPUTED_VALUE"""),"20 hunger and thirst.")</f>
        <v>20 hunger and thirst.</v>
      </c>
      <c r="C365" s="1" t="str">
        <f>IFERROR(__xludf.DUMMYFUNCTION("""COMPUTED_VALUE"""),"Crop")</f>
        <v>Crop</v>
      </c>
      <c r="D365" s="1" t="str">
        <f>IFERROR(__xludf.DUMMYFUNCTION("""COMPUTED_VALUE"""),"Land of Spira")</f>
        <v>Land of Spira</v>
      </c>
      <c r="E365" s="1" t="b">
        <f>IFERROR(__xludf.DUMMYFUNCTION("""COMPUTED_VALUE"""),FALSE)</f>
        <v>0</v>
      </c>
      <c r="F365" s="1"/>
      <c r="G365" s="1"/>
      <c r="H365" s="1"/>
      <c r="I365" s="1"/>
      <c r="J365" s="1"/>
      <c r="K365" s="1"/>
      <c r="L365" s="1"/>
      <c r="M365" s="1"/>
      <c r="N365" s="1"/>
      <c r="O365" s="1"/>
      <c r="P365" s="1"/>
      <c r="Q365" s="1"/>
      <c r="R365" s="1"/>
      <c r="S365" s="1"/>
      <c r="T365" s="1"/>
      <c r="U365" s="1"/>
      <c r="V365" s="1"/>
      <c r="W365" s="1"/>
      <c r="X365" s="1"/>
      <c r="Y365" s="1"/>
      <c r="Z365" s="1"/>
    </row>
    <row r="366" ht="15.75" customHeight="1">
      <c r="A366" s="21" t="str">
        <f>IFERROR(__xludf.DUMMYFUNCTION("""COMPUTED_VALUE"""),"Lime")</f>
        <v>Lime</v>
      </c>
      <c r="B366" s="21" t="str">
        <f>IFERROR(__xludf.DUMMYFUNCTION("""COMPUTED_VALUE"""),"5 hunger and thirst or 25% chance to lose 10 hunger and thirst.")</f>
        <v>5 hunger and thirst or 25% chance to lose 10 hunger and thirst.</v>
      </c>
      <c r="C366" s="1" t="str">
        <f>IFERROR(__xludf.DUMMYFUNCTION("""COMPUTED_VALUE"""),"Crop")</f>
        <v>Crop</v>
      </c>
      <c r="D366" s="1" t="str">
        <f>IFERROR(__xludf.DUMMYFUNCTION("""COMPUTED_VALUE"""),"Land of Spira")</f>
        <v>Land of Spira</v>
      </c>
      <c r="E366" s="1" t="b">
        <f>IFERROR(__xludf.DUMMYFUNCTION("""COMPUTED_VALUE"""),FALSE)</f>
        <v>0</v>
      </c>
      <c r="F366" s="1"/>
      <c r="G366" s="1"/>
      <c r="H366" s="1"/>
      <c r="I366" s="1"/>
      <c r="J366" s="1"/>
      <c r="K366" s="1"/>
      <c r="L366" s="1"/>
      <c r="M366" s="1"/>
      <c r="N366" s="1"/>
      <c r="O366" s="1"/>
      <c r="P366" s="1"/>
      <c r="Q366" s="1"/>
      <c r="R366" s="1"/>
      <c r="S366" s="1"/>
      <c r="T366" s="1"/>
      <c r="U366" s="1"/>
      <c r="V366" s="1"/>
      <c r="W366" s="1"/>
      <c r="X366" s="1"/>
      <c r="Y366" s="1"/>
      <c r="Z366" s="1"/>
    </row>
    <row r="367" ht="15.75" customHeight="1">
      <c r="A367" s="21" t="str">
        <f>IFERROR(__xludf.DUMMYFUNCTION("""COMPUTED_VALUE"""),"Lemon")</f>
        <v>Lemon</v>
      </c>
      <c r="B367" s="21" t="str">
        <f>IFERROR(__xludf.DUMMYFUNCTION("""COMPUTED_VALUE"""),"5 hunger and thirst or 50% chance to lose 10 hunger and thirst.")</f>
        <v>5 hunger and thirst or 50% chance to lose 10 hunger and thirst.</v>
      </c>
      <c r="C367" s="1" t="str">
        <f>IFERROR(__xludf.DUMMYFUNCTION("""COMPUTED_VALUE"""),"Crop")</f>
        <v>Crop</v>
      </c>
      <c r="D367" s="1" t="str">
        <f>IFERROR(__xludf.DUMMYFUNCTION("""COMPUTED_VALUE"""),"Land of Spira")</f>
        <v>Land of Spira</v>
      </c>
      <c r="E367" s="1" t="b">
        <f>IFERROR(__xludf.DUMMYFUNCTION("""COMPUTED_VALUE"""),FALSE)</f>
        <v>0</v>
      </c>
      <c r="F367" s="1"/>
      <c r="G367" s="1"/>
      <c r="H367" s="1"/>
      <c r="I367" s="1"/>
      <c r="J367" s="1"/>
      <c r="K367" s="1"/>
      <c r="L367" s="1"/>
      <c r="M367" s="1"/>
      <c r="N367" s="1"/>
      <c r="O367" s="1"/>
      <c r="P367" s="1"/>
      <c r="Q367" s="1"/>
      <c r="R367" s="1"/>
      <c r="S367" s="1"/>
      <c r="T367" s="1"/>
      <c r="U367" s="1"/>
      <c r="V367" s="1"/>
      <c r="W367" s="1"/>
      <c r="X367" s="1"/>
      <c r="Y367" s="1"/>
      <c r="Z367" s="1"/>
    </row>
    <row r="368" ht="15.75" customHeight="1">
      <c r="A368" s="21" t="str">
        <f>IFERROR(__xludf.DUMMYFUNCTION("""COMPUTED_VALUE"""),"Apricot")</f>
        <v>Apricot</v>
      </c>
      <c r="B368" s="21" t="str">
        <f>IFERROR(__xludf.DUMMYFUNCTION("""COMPUTED_VALUE"""),"5 hunger and thirst.")</f>
        <v>5 hunger and thirst.</v>
      </c>
      <c r="C368" s="1" t="str">
        <f>IFERROR(__xludf.DUMMYFUNCTION("""COMPUTED_VALUE"""),"Crop")</f>
        <v>Crop</v>
      </c>
      <c r="D368" s="1" t="str">
        <f>IFERROR(__xludf.DUMMYFUNCTION("""COMPUTED_VALUE"""),"Land of Spira")</f>
        <v>Land of Spira</v>
      </c>
      <c r="E368" s="1" t="b">
        <f>IFERROR(__xludf.DUMMYFUNCTION("""COMPUTED_VALUE"""),FALSE)</f>
        <v>0</v>
      </c>
      <c r="F368" s="1"/>
      <c r="G368" s="1"/>
      <c r="H368" s="1"/>
      <c r="I368" s="1"/>
      <c r="J368" s="1"/>
      <c r="K368" s="1"/>
      <c r="L368" s="1"/>
      <c r="M368" s="1"/>
      <c r="N368" s="1"/>
      <c r="O368" s="1"/>
      <c r="P368" s="1"/>
      <c r="Q368" s="1"/>
      <c r="R368" s="1"/>
      <c r="S368" s="1"/>
      <c r="T368" s="1"/>
      <c r="U368" s="1"/>
      <c r="V368" s="1"/>
      <c r="W368" s="1"/>
      <c r="X368" s="1"/>
      <c r="Y368" s="1"/>
      <c r="Z368" s="1"/>
    </row>
    <row r="369" ht="15.75" customHeight="1">
      <c r="A369" s="21" t="str">
        <f>IFERROR(__xludf.DUMMYFUNCTION("""COMPUTED_VALUE"""),"Grapefruit")</f>
        <v>Grapefruit</v>
      </c>
      <c r="B369" s="21" t="str">
        <f>IFERROR(__xludf.DUMMYFUNCTION("""COMPUTED_VALUE"""),"10 hunger and thirst.")</f>
        <v>10 hunger and thirst.</v>
      </c>
      <c r="C369" s="1" t="str">
        <f>IFERROR(__xludf.DUMMYFUNCTION("""COMPUTED_VALUE"""),"Crop")</f>
        <v>Crop</v>
      </c>
      <c r="D369" s="1" t="str">
        <f>IFERROR(__xludf.DUMMYFUNCTION("""COMPUTED_VALUE"""),"Land of Spira")</f>
        <v>Land of Spira</v>
      </c>
      <c r="E369" s="1" t="b">
        <f>IFERROR(__xludf.DUMMYFUNCTION("""COMPUTED_VALUE"""),FALSE)</f>
        <v>0</v>
      </c>
      <c r="F369" s="1"/>
      <c r="G369" s="1"/>
      <c r="H369" s="1"/>
      <c r="I369" s="1"/>
      <c r="J369" s="1"/>
      <c r="K369" s="1"/>
      <c r="L369" s="1"/>
      <c r="M369" s="1"/>
      <c r="N369" s="1"/>
      <c r="O369" s="1"/>
      <c r="P369" s="1"/>
      <c r="Q369" s="1"/>
      <c r="R369" s="1"/>
      <c r="S369" s="1"/>
      <c r="T369" s="1"/>
      <c r="U369" s="1"/>
      <c r="V369" s="1"/>
      <c r="W369" s="1"/>
      <c r="X369" s="1"/>
      <c r="Y369" s="1"/>
      <c r="Z369" s="1"/>
    </row>
    <row r="370" ht="15.75" customHeight="1">
      <c r="A370" s="21" t="str">
        <f>IFERROR(__xludf.DUMMYFUNCTION("""COMPUTED_VALUE"""),"Coconut")</f>
        <v>Coconut</v>
      </c>
      <c r="B370" s="21" t="str">
        <f>IFERROR(__xludf.DUMMYFUNCTION("""COMPUTED_VALUE"""),"10 hunger and thirst.")</f>
        <v>10 hunger and thirst.</v>
      </c>
      <c r="C370" s="1" t="str">
        <f>IFERROR(__xludf.DUMMYFUNCTION("""COMPUTED_VALUE"""),"Crop")</f>
        <v>Crop</v>
      </c>
      <c r="D370" s="1" t="str">
        <f>IFERROR(__xludf.DUMMYFUNCTION("""COMPUTED_VALUE"""),"Land of Spira")</f>
        <v>Land of Spira</v>
      </c>
      <c r="E370" s="1" t="b">
        <f>IFERROR(__xludf.DUMMYFUNCTION("""COMPUTED_VALUE"""),FALSE)</f>
        <v>0</v>
      </c>
      <c r="F370" s="1"/>
      <c r="G370" s="1"/>
      <c r="H370" s="1"/>
      <c r="I370" s="1"/>
      <c r="J370" s="1"/>
      <c r="K370" s="1"/>
      <c r="L370" s="1"/>
      <c r="M370" s="1"/>
      <c r="N370" s="1"/>
      <c r="O370" s="1"/>
      <c r="P370" s="1"/>
      <c r="Q370" s="1"/>
      <c r="R370" s="1"/>
      <c r="S370" s="1"/>
      <c r="T370" s="1"/>
      <c r="U370" s="1"/>
      <c r="V370" s="1"/>
      <c r="W370" s="1"/>
      <c r="X370" s="1"/>
      <c r="Y370" s="1"/>
      <c r="Z370" s="1"/>
    </row>
    <row r="371" ht="15.75" customHeight="1">
      <c r="A371" s="21" t="str">
        <f>IFERROR(__xludf.DUMMYFUNCTION("""COMPUTED_VALUE"""),"Avocado")</f>
        <v>Avocado</v>
      </c>
      <c r="B371" s="21" t="str">
        <f>IFERROR(__xludf.DUMMYFUNCTION("""COMPUTED_VALUE"""),"5 hunger.")</f>
        <v>5 hunger.</v>
      </c>
      <c r="C371" s="1" t="str">
        <f>IFERROR(__xludf.DUMMYFUNCTION("""COMPUTED_VALUE"""),"Crop")</f>
        <v>Crop</v>
      </c>
      <c r="D371" s="1" t="str">
        <f>IFERROR(__xludf.DUMMYFUNCTION("""COMPUTED_VALUE"""),"Land of Spira")</f>
        <v>Land of Spira</v>
      </c>
      <c r="E371" s="1" t="b">
        <f>IFERROR(__xludf.DUMMYFUNCTION("""COMPUTED_VALUE"""),FALSE)</f>
        <v>0</v>
      </c>
      <c r="F371" s="1"/>
      <c r="G371" s="1"/>
      <c r="H371" s="1"/>
      <c r="I371" s="1"/>
      <c r="J371" s="1"/>
      <c r="K371" s="1"/>
      <c r="L371" s="1"/>
      <c r="M371" s="1"/>
      <c r="N371" s="1"/>
      <c r="O371" s="1"/>
      <c r="P371" s="1"/>
      <c r="Q371" s="1"/>
      <c r="R371" s="1"/>
      <c r="S371" s="1"/>
      <c r="T371" s="1"/>
      <c r="U371" s="1"/>
      <c r="V371" s="1"/>
      <c r="W371" s="1"/>
      <c r="X371" s="1"/>
      <c r="Y371" s="1"/>
      <c r="Z371" s="1"/>
    </row>
    <row r="372" ht="15.75" customHeight="1">
      <c r="A372" s="21" t="str">
        <f>IFERROR(__xludf.DUMMYFUNCTION("""COMPUTED_VALUE"""),"Peach")</f>
        <v>Peach</v>
      </c>
      <c r="B372" s="21" t="str">
        <f>IFERROR(__xludf.DUMMYFUNCTION("""COMPUTED_VALUE"""),"5 hunger and thirst.")</f>
        <v>5 hunger and thirst.</v>
      </c>
      <c r="C372" s="1" t="str">
        <f>IFERROR(__xludf.DUMMYFUNCTION("""COMPUTED_VALUE"""),"Crop")</f>
        <v>Crop</v>
      </c>
      <c r="D372" s="1" t="str">
        <f>IFERROR(__xludf.DUMMYFUNCTION("""COMPUTED_VALUE"""),"Land of Spira")</f>
        <v>Land of Spira</v>
      </c>
      <c r="E372" s="1" t="b">
        <f>IFERROR(__xludf.DUMMYFUNCTION("""COMPUTED_VALUE"""),FALSE)</f>
        <v>0</v>
      </c>
      <c r="F372" s="1"/>
      <c r="G372" s="1"/>
      <c r="H372" s="1"/>
      <c r="I372" s="1"/>
      <c r="J372" s="1"/>
      <c r="K372" s="1"/>
      <c r="L372" s="1"/>
      <c r="M372" s="1"/>
      <c r="N372" s="1"/>
      <c r="O372" s="1"/>
      <c r="P372" s="1"/>
      <c r="Q372" s="1"/>
      <c r="R372" s="1"/>
      <c r="S372" s="1"/>
      <c r="T372" s="1"/>
      <c r="U372" s="1"/>
      <c r="V372" s="1"/>
      <c r="W372" s="1"/>
      <c r="X372" s="1"/>
      <c r="Y372" s="1"/>
      <c r="Z372" s="1"/>
    </row>
    <row r="373" ht="15.75" customHeight="1">
      <c r="A373" s="21" t="str">
        <f>IFERROR(__xludf.DUMMYFUNCTION("""COMPUTED_VALUE"""),"Corn")</f>
        <v>Corn</v>
      </c>
      <c r="B373" s="21" t="str">
        <f>IFERROR(__xludf.DUMMYFUNCTION("""COMPUTED_VALUE"""),"10 hunger.")</f>
        <v>10 hunger.</v>
      </c>
      <c r="C373" s="1" t="str">
        <f>IFERROR(__xludf.DUMMYFUNCTION("""COMPUTED_VALUE"""),"Crop")</f>
        <v>Crop</v>
      </c>
      <c r="D373" s="1" t="str">
        <f>IFERROR(__xludf.DUMMYFUNCTION("""COMPUTED_VALUE"""),"Land of Spira")</f>
        <v>Land of Spira</v>
      </c>
      <c r="E373" s="1" t="b">
        <f>IFERROR(__xludf.DUMMYFUNCTION("""COMPUTED_VALUE"""),FALSE)</f>
        <v>0</v>
      </c>
      <c r="F373" s="1"/>
      <c r="G373" s="1"/>
      <c r="H373" s="1"/>
      <c r="I373" s="1"/>
      <c r="J373" s="1"/>
      <c r="K373" s="1"/>
      <c r="L373" s="1"/>
      <c r="M373" s="1"/>
      <c r="N373" s="1"/>
      <c r="O373" s="1"/>
      <c r="P373" s="1"/>
      <c r="Q373" s="1"/>
      <c r="R373" s="1"/>
      <c r="S373" s="1"/>
      <c r="T373" s="1"/>
      <c r="U373" s="1"/>
      <c r="V373" s="1"/>
      <c r="W373" s="1"/>
      <c r="X373" s="1"/>
      <c r="Y373" s="1"/>
      <c r="Z373" s="1"/>
    </row>
    <row r="374" ht="15.75" customHeight="1">
      <c r="A374" s="21" t="str">
        <f>IFERROR(__xludf.DUMMYFUNCTION("""COMPUTED_VALUE"""),"Mushroom")</f>
        <v>Mushroom</v>
      </c>
      <c r="B374" s="21" t="str">
        <f>IFERROR(__xludf.DUMMYFUNCTION("""COMPUTED_VALUE"""),"10 hunger, 25% chance of wandering away from the party.")</f>
        <v>10 hunger, 25% chance of wandering away from the party.</v>
      </c>
      <c r="C374" s="1" t="str">
        <f>IFERROR(__xludf.DUMMYFUNCTION("""COMPUTED_VALUE"""),"Crop")</f>
        <v>Crop</v>
      </c>
      <c r="D374" s="1" t="str">
        <f>IFERROR(__xludf.DUMMYFUNCTION("""COMPUTED_VALUE"""),"Land of Spira")</f>
        <v>Land of Spira</v>
      </c>
      <c r="E374" s="1" t="b">
        <f>IFERROR(__xludf.DUMMYFUNCTION("""COMPUTED_VALUE"""),FALSE)</f>
        <v>0</v>
      </c>
      <c r="F374" s="1"/>
      <c r="G374" s="1"/>
      <c r="H374" s="1"/>
      <c r="I374" s="1"/>
      <c r="J374" s="1"/>
      <c r="K374" s="1"/>
      <c r="L374" s="1"/>
      <c r="M374" s="1"/>
      <c r="N374" s="1"/>
      <c r="O374" s="1"/>
      <c r="P374" s="1"/>
      <c r="Q374" s="1"/>
      <c r="R374" s="1"/>
      <c r="S374" s="1"/>
      <c r="T374" s="1"/>
      <c r="U374" s="1"/>
      <c r="V374" s="1"/>
      <c r="W374" s="1"/>
      <c r="X374" s="1"/>
      <c r="Y374" s="1"/>
      <c r="Z374" s="1"/>
    </row>
    <row r="375" ht="15.75" customHeight="1">
      <c r="A375" s="21" t="str">
        <f>IFERROR(__xludf.DUMMYFUNCTION("""COMPUTED_VALUE"""),"Broccoli")</f>
        <v>Broccoli</v>
      </c>
      <c r="B375" s="21" t="str">
        <f>IFERROR(__xludf.DUMMYFUNCTION("""COMPUTED_VALUE"""),"5 hunger")</f>
        <v>5 hunger</v>
      </c>
      <c r="C375" s="1" t="str">
        <f>IFERROR(__xludf.DUMMYFUNCTION("""COMPUTED_VALUE"""),"Crop")</f>
        <v>Crop</v>
      </c>
      <c r="D375" s="1" t="str">
        <f>IFERROR(__xludf.DUMMYFUNCTION("""COMPUTED_VALUE"""),"Land of Spira")</f>
        <v>Land of Spira</v>
      </c>
      <c r="E375" s="1" t="b">
        <f>IFERROR(__xludf.DUMMYFUNCTION("""COMPUTED_VALUE"""),FALSE)</f>
        <v>0</v>
      </c>
      <c r="F375" s="1"/>
      <c r="G375" s="1"/>
      <c r="H375" s="1"/>
      <c r="I375" s="1"/>
      <c r="J375" s="1"/>
      <c r="K375" s="1"/>
      <c r="L375" s="1"/>
      <c r="M375" s="1"/>
      <c r="N375" s="1"/>
      <c r="O375" s="1"/>
      <c r="P375" s="1"/>
      <c r="Q375" s="1"/>
      <c r="R375" s="1"/>
      <c r="S375" s="1"/>
      <c r="T375" s="1"/>
      <c r="U375" s="1"/>
      <c r="V375" s="1"/>
      <c r="W375" s="1"/>
      <c r="X375" s="1"/>
      <c r="Y375" s="1"/>
      <c r="Z375" s="1"/>
    </row>
    <row r="376" ht="15.75" customHeight="1">
      <c r="A376" s="21" t="str">
        <f>IFERROR(__xludf.DUMMYFUNCTION("""COMPUTED_VALUE"""),"Cucumber")</f>
        <v>Cucumber</v>
      </c>
      <c r="B376" s="21" t="str">
        <f>IFERROR(__xludf.DUMMYFUNCTION("""COMPUTED_VALUE"""),"5 hunger")</f>
        <v>5 hunger</v>
      </c>
      <c r="C376" s="1" t="str">
        <f>IFERROR(__xludf.DUMMYFUNCTION("""COMPUTED_VALUE"""),"Crop")</f>
        <v>Crop</v>
      </c>
      <c r="D376" s="1" t="str">
        <f>IFERROR(__xludf.DUMMYFUNCTION("""COMPUTED_VALUE"""),"Land of Spira")</f>
        <v>Land of Spira</v>
      </c>
      <c r="E376" s="1" t="b">
        <f>IFERROR(__xludf.DUMMYFUNCTION("""COMPUTED_VALUE"""),FALSE)</f>
        <v>0</v>
      </c>
      <c r="F376" s="1"/>
      <c r="G376" s="1"/>
      <c r="H376" s="1"/>
      <c r="I376" s="1"/>
      <c r="J376" s="1"/>
      <c r="K376" s="1"/>
      <c r="L376" s="1"/>
      <c r="M376" s="1"/>
      <c r="N376" s="1"/>
      <c r="O376" s="1"/>
      <c r="P376" s="1"/>
      <c r="Q376" s="1"/>
      <c r="R376" s="1"/>
      <c r="S376" s="1"/>
      <c r="T376" s="1"/>
      <c r="U376" s="1"/>
      <c r="V376" s="1"/>
      <c r="W376" s="1"/>
      <c r="X376" s="1"/>
      <c r="Y376" s="1"/>
      <c r="Z376" s="1"/>
    </row>
    <row r="377" ht="15.75" customHeight="1">
      <c r="A377" s="21" t="str">
        <f>IFERROR(__xludf.DUMMYFUNCTION("""COMPUTED_VALUE"""),"Red Pepper/Red Bell Pepper")</f>
        <v>Red Pepper/Red Bell Pepper</v>
      </c>
      <c r="B377" s="21" t="str">
        <f>IFERROR(__xludf.DUMMYFUNCTION("""COMPUTED_VALUE"""),"5 hunger")</f>
        <v>5 hunger</v>
      </c>
      <c r="C377" s="1" t="str">
        <f>IFERROR(__xludf.DUMMYFUNCTION("""COMPUTED_VALUE"""),"Crop")</f>
        <v>Crop</v>
      </c>
      <c r="D377" s="1" t="str">
        <f>IFERROR(__xludf.DUMMYFUNCTION("""COMPUTED_VALUE"""),"Land of Spira")</f>
        <v>Land of Spira</v>
      </c>
      <c r="E377" s="1" t="b">
        <f>IFERROR(__xludf.DUMMYFUNCTION("""COMPUTED_VALUE"""),FALSE)</f>
        <v>0</v>
      </c>
      <c r="F377" s="1"/>
      <c r="G377" s="1"/>
      <c r="H377" s="1"/>
      <c r="I377" s="1"/>
      <c r="J377" s="1"/>
      <c r="K377" s="1"/>
      <c r="L377" s="1"/>
      <c r="M377" s="1"/>
      <c r="N377" s="1"/>
      <c r="O377" s="1"/>
      <c r="P377" s="1"/>
      <c r="Q377" s="1"/>
      <c r="R377" s="1"/>
      <c r="S377" s="1"/>
      <c r="T377" s="1"/>
      <c r="U377" s="1"/>
      <c r="V377" s="1"/>
      <c r="W377" s="1"/>
      <c r="X377" s="1"/>
      <c r="Y377" s="1"/>
      <c r="Z377" s="1"/>
    </row>
    <row r="378" ht="15.75" customHeight="1">
      <c r="A378" s="21" t="str">
        <f>IFERROR(__xludf.DUMMYFUNCTION("""COMPUTED_VALUE"""),"Tomato")</f>
        <v>Tomato</v>
      </c>
      <c r="B378" s="21" t="str">
        <f>IFERROR(__xludf.DUMMYFUNCTION("""COMPUTED_VALUE"""),"5 hunger and thirst")</f>
        <v>5 hunger and thirst</v>
      </c>
      <c r="C378" s="1" t="str">
        <f>IFERROR(__xludf.DUMMYFUNCTION("""COMPUTED_VALUE"""),"Crop")</f>
        <v>Crop</v>
      </c>
      <c r="D378" s="1" t="str">
        <f>IFERROR(__xludf.DUMMYFUNCTION("""COMPUTED_VALUE"""),"Land of Spira")</f>
        <v>Land of Spira</v>
      </c>
      <c r="E378" s="1" t="b">
        <f>IFERROR(__xludf.DUMMYFUNCTION("""COMPUTED_VALUE"""),FALSE)</f>
        <v>0</v>
      </c>
      <c r="F378" s="1"/>
      <c r="G378" s="1"/>
      <c r="H378" s="1"/>
      <c r="I378" s="1"/>
      <c r="J378" s="1"/>
      <c r="K378" s="1"/>
      <c r="L378" s="1"/>
      <c r="M378" s="1"/>
      <c r="N378" s="1"/>
      <c r="O378" s="1"/>
      <c r="P378" s="1"/>
      <c r="Q378" s="1"/>
      <c r="R378" s="1"/>
      <c r="S378" s="1"/>
      <c r="T378" s="1"/>
      <c r="U378" s="1"/>
      <c r="V378" s="1"/>
      <c r="W378" s="1"/>
      <c r="X378" s="1"/>
      <c r="Y378" s="1"/>
      <c r="Z378" s="1"/>
    </row>
    <row r="379" ht="15.75" customHeight="1">
      <c r="A379" s="21" t="str">
        <f>IFERROR(__xludf.DUMMYFUNCTION("""COMPUTED_VALUE"""),"Carrot")</f>
        <v>Carrot</v>
      </c>
      <c r="B379" s="21" t="str">
        <f>IFERROR(__xludf.DUMMYFUNCTION("""COMPUTED_VALUE"""),"5 hunger")</f>
        <v>5 hunger</v>
      </c>
      <c r="C379" s="1" t="str">
        <f>IFERROR(__xludf.DUMMYFUNCTION("""COMPUTED_VALUE"""),"Crop")</f>
        <v>Crop</v>
      </c>
      <c r="D379" s="1" t="str">
        <f>IFERROR(__xludf.DUMMYFUNCTION("""COMPUTED_VALUE"""),"Land of Spira")</f>
        <v>Land of Spira</v>
      </c>
      <c r="E379" s="1" t="b">
        <f>IFERROR(__xludf.DUMMYFUNCTION("""COMPUTED_VALUE"""),FALSE)</f>
        <v>0</v>
      </c>
      <c r="F379" s="1"/>
      <c r="G379" s="1"/>
      <c r="H379" s="1"/>
      <c r="I379" s="1"/>
      <c r="J379" s="1"/>
      <c r="K379" s="1"/>
      <c r="L379" s="1"/>
      <c r="M379" s="1"/>
      <c r="N379" s="1"/>
      <c r="O379" s="1"/>
      <c r="P379" s="1"/>
      <c r="Q379" s="1"/>
      <c r="R379" s="1"/>
      <c r="S379" s="1"/>
      <c r="T379" s="1"/>
      <c r="U379" s="1"/>
      <c r="V379" s="1"/>
      <c r="W379" s="1"/>
      <c r="X379" s="1"/>
      <c r="Y379" s="1"/>
      <c r="Z379" s="1"/>
    </row>
    <row r="380" ht="15.75" customHeight="1">
      <c r="A380" s="1" t="str">
        <f>IFERROR(__xludf.DUMMYFUNCTION("""COMPUTED_VALUE"""),"Brussels Sprout")</f>
        <v>Brussels Sprout</v>
      </c>
      <c r="B380" s="1" t="str">
        <f>IFERROR(__xludf.DUMMYFUNCTION("""COMPUTED_VALUE"""),"5 hunger")</f>
        <v>5 hunger</v>
      </c>
      <c r="C380" s="1" t="str">
        <f>IFERROR(__xludf.DUMMYFUNCTION("""COMPUTED_VALUE"""),"Crop")</f>
        <v>Crop</v>
      </c>
      <c r="D380" s="1" t="str">
        <f>IFERROR(__xludf.DUMMYFUNCTION("""COMPUTED_VALUE"""),"Land of Spira")</f>
        <v>Land of Spira</v>
      </c>
      <c r="E380" s="1" t="b">
        <f>IFERROR(__xludf.DUMMYFUNCTION("""COMPUTED_VALUE"""),FALSE)</f>
        <v>0</v>
      </c>
      <c r="F380" s="1"/>
      <c r="G380" s="1"/>
      <c r="H380" s="1"/>
      <c r="I380" s="1"/>
      <c r="J380" s="1"/>
      <c r="K380" s="1"/>
      <c r="L380" s="1"/>
      <c r="M380" s="1"/>
      <c r="N380" s="1"/>
      <c r="O380" s="1"/>
      <c r="P380" s="1"/>
      <c r="Q380" s="1"/>
      <c r="R380" s="1"/>
      <c r="S380" s="1"/>
      <c r="T380" s="1"/>
      <c r="U380" s="1"/>
      <c r="V380" s="1"/>
      <c r="W380" s="1"/>
      <c r="X380" s="1"/>
      <c r="Y380" s="1"/>
      <c r="Z380" s="1"/>
    </row>
    <row r="381" ht="15.75" customHeight="1">
      <c r="A381" s="1" t="str">
        <f>IFERROR(__xludf.DUMMYFUNCTION("""COMPUTED_VALUE"""),"Cabbage")</f>
        <v>Cabbage</v>
      </c>
      <c r="B381" s="1" t="str">
        <f>IFERROR(__xludf.DUMMYFUNCTION("""COMPUTED_VALUE"""),"10 hunger")</f>
        <v>10 hunger</v>
      </c>
      <c r="C381" s="1" t="str">
        <f>IFERROR(__xludf.DUMMYFUNCTION("""COMPUTED_VALUE"""),"Crop")</f>
        <v>Crop</v>
      </c>
      <c r="D381" s="1" t="str">
        <f>IFERROR(__xludf.DUMMYFUNCTION("""COMPUTED_VALUE"""),"Land of Spira")</f>
        <v>Land of Spira</v>
      </c>
      <c r="E381" s="1" t="b">
        <f>IFERROR(__xludf.DUMMYFUNCTION("""COMPUTED_VALUE"""),FALSE)</f>
        <v>0</v>
      </c>
      <c r="F381" s="1"/>
      <c r="G381" s="1"/>
      <c r="H381" s="1"/>
      <c r="I381" s="1"/>
      <c r="J381" s="1"/>
      <c r="K381" s="1"/>
      <c r="L381" s="1"/>
      <c r="M381" s="1"/>
      <c r="N381" s="1"/>
      <c r="O381" s="1"/>
      <c r="P381" s="1"/>
      <c r="Q381" s="1"/>
      <c r="R381" s="1"/>
      <c r="S381" s="1"/>
      <c r="T381" s="1"/>
      <c r="U381" s="1"/>
      <c r="V381" s="1"/>
      <c r="W381" s="1"/>
      <c r="X381" s="1"/>
      <c r="Y381" s="1"/>
      <c r="Z381" s="1"/>
    </row>
    <row r="382" ht="15.75" customHeight="1">
      <c r="A382" s="1" t="str">
        <f>IFERROR(__xludf.DUMMYFUNCTION("""COMPUTED_VALUE"""),"Potato")</f>
        <v>Potato</v>
      </c>
      <c r="B382" s="1" t="str">
        <f>IFERROR(__xludf.DUMMYFUNCTION("""COMPUTED_VALUE"""),"5 hunger")</f>
        <v>5 hunger</v>
      </c>
      <c r="C382" s="1" t="str">
        <f>IFERROR(__xludf.DUMMYFUNCTION("""COMPUTED_VALUE"""),"Crop")</f>
        <v>Crop</v>
      </c>
      <c r="D382" s="1" t="str">
        <f>IFERROR(__xludf.DUMMYFUNCTION("""COMPUTED_VALUE"""),"Land of Spira")</f>
        <v>Land of Spira</v>
      </c>
      <c r="E382" s="1" t="b">
        <f>IFERROR(__xludf.DUMMYFUNCTION("""COMPUTED_VALUE"""),TRUE)</f>
        <v>1</v>
      </c>
      <c r="F382" s="1"/>
      <c r="G382" s="1"/>
      <c r="H382" s="1"/>
      <c r="I382" s="1"/>
      <c r="J382" s="1"/>
      <c r="K382" s="1"/>
      <c r="L382" s="1"/>
      <c r="M382" s="1"/>
      <c r="N382" s="1"/>
      <c r="O382" s="1"/>
      <c r="P382" s="1"/>
      <c r="Q382" s="1"/>
      <c r="R382" s="1"/>
      <c r="S382" s="1"/>
      <c r="T382" s="1"/>
      <c r="U382" s="1"/>
      <c r="V382" s="1"/>
      <c r="W382" s="1"/>
      <c r="X382" s="1"/>
      <c r="Y382" s="1"/>
      <c r="Z382" s="1"/>
    </row>
    <row r="383" ht="15.75" customHeight="1">
      <c r="A383" s="1" t="str">
        <f>IFERROR(__xludf.DUMMYFUNCTION("""COMPUTED_VALUE"""),"Eggplant")</f>
        <v>Eggplant</v>
      </c>
      <c r="B383" s="1" t="str">
        <f>IFERROR(__xludf.DUMMYFUNCTION("""COMPUTED_VALUE"""),"10 hunger")</f>
        <v>10 hunger</v>
      </c>
      <c r="C383" s="1" t="str">
        <f>IFERROR(__xludf.DUMMYFUNCTION("""COMPUTED_VALUE"""),"Crop")</f>
        <v>Crop</v>
      </c>
      <c r="D383" s="1" t="str">
        <f>IFERROR(__xludf.DUMMYFUNCTION("""COMPUTED_VALUE"""),"Land of Spira")</f>
        <v>Land of Spira</v>
      </c>
      <c r="E383" s="1" t="b">
        <f>IFERROR(__xludf.DUMMYFUNCTION("""COMPUTED_VALUE"""),TRUE)</f>
        <v>1</v>
      </c>
      <c r="F383" s="1"/>
      <c r="G383" s="1"/>
      <c r="H383" s="1"/>
      <c r="I383" s="1"/>
      <c r="J383" s="1"/>
      <c r="K383" s="1"/>
      <c r="L383" s="1"/>
      <c r="M383" s="1"/>
      <c r="N383" s="1"/>
      <c r="O383" s="1"/>
      <c r="P383" s="1"/>
      <c r="Q383" s="1"/>
      <c r="R383" s="1"/>
      <c r="S383" s="1"/>
      <c r="T383" s="1"/>
      <c r="U383" s="1"/>
      <c r="V383" s="1"/>
      <c r="W383" s="1"/>
      <c r="X383" s="1"/>
      <c r="Y383" s="1"/>
      <c r="Z383" s="1"/>
    </row>
    <row r="384" ht="15.75" customHeight="1">
      <c r="A384" s="1" t="str">
        <f>IFERROR(__xludf.DUMMYFUNCTION("""COMPUTED_VALUE"""),"Sweet Potato")</f>
        <v>Sweet Potato</v>
      </c>
      <c r="B384" s="1" t="str">
        <f>IFERROR(__xludf.DUMMYFUNCTION("""COMPUTED_VALUE"""),"5 hunger")</f>
        <v>5 hunger</v>
      </c>
      <c r="C384" s="1" t="str">
        <f>IFERROR(__xludf.DUMMYFUNCTION("""COMPUTED_VALUE"""),"Crop")</f>
        <v>Crop</v>
      </c>
      <c r="D384" s="1" t="str">
        <f>IFERROR(__xludf.DUMMYFUNCTION("""COMPUTED_VALUE"""),"Land of Spira")</f>
        <v>Land of Spira</v>
      </c>
      <c r="E384" s="1" t="b">
        <f>IFERROR(__xludf.DUMMYFUNCTION("""COMPUTED_VALUE"""),FALSE)</f>
        <v>0</v>
      </c>
      <c r="F384" s="1"/>
      <c r="G384" s="1"/>
      <c r="H384" s="1"/>
      <c r="I384" s="1"/>
      <c r="J384" s="1"/>
      <c r="K384" s="1"/>
      <c r="L384" s="1"/>
      <c r="M384" s="1"/>
      <c r="N384" s="1"/>
      <c r="O384" s="1"/>
      <c r="P384" s="1"/>
      <c r="Q384" s="1"/>
      <c r="R384" s="1"/>
      <c r="S384" s="1"/>
      <c r="T384" s="1"/>
      <c r="U384" s="1"/>
      <c r="V384" s="1"/>
      <c r="W384" s="1"/>
      <c r="X384" s="1"/>
      <c r="Y384" s="1"/>
      <c r="Z384" s="1"/>
    </row>
    <row r="385" ht="15.75" customHeight="1">
      <c r="A385" s="1" t="str">
        <f>IFERROR(__xludf.DUMMYFUNCTION("""COMPUTED_VALUE"""),"Turnip")</f>
        <v>Turnip</v>
      </c>
      <c r="B385" s="1" t="str">
        <f>IFERROR(__xludf.DUMMYFUNCTION("""COMPUTED_VALUE"""),"5 hunger")</f>
        <v>5 hunger</v>
      </c>
      <c r="C385" s="1" t="str">
        <f>IFERROR(__xludf.DUMMYFUNCTION("""COMPUTED_VALUE"""),"Crop")</f>
        <v>Crop</v>
      </c>
      <c r="D385" s="1" t="str">
        <f>IFERROR(__xludf.DUMMYFUNCTION("""COMPUTED_VALUE"""),"Land of Spira")</f>
        <v>Land of Spira</v>
      </c>
      <c r="E385" s="1" t="b">
        <f>IFERROR(__xludf.DUMMYFUNCTION("""COMPUTED_VALUE"""),FALSE)</f>
        <v>0</v>
      </c>
      <c r="F385" s="1"/>
      <c r="G385" s="1"/>
      <c r="H385" s="1"/>
      <c r="I385" s="1"/>
      <c r="J385" s="1"/>
      <c r="K385" s="1"/>
      <c r="L385" s="1"/>
      <c r="M385" s="1"/>
      <c r="N385" s="1"/>
      <c r="O385" s="1"/>
      <c r="P385" s="1"/>
      <c r="Q385" s="1"/>
      <c r="R385" s="1"/>
      <c r="S385" s="1"/>
      <c r="T385" s="1"/>
      <c r="U385" s="1"/>
      <c r="V385" s="1"/>
      <c r="W385" s="1"/>
      <c r="X385" s="1"/>
      <c r="Y385" s="1"/>
      <c r="Z385" s="1"/>
    </row>
    <row r="386" ht="15.75" customHeight="1">
      <c r="A386" s="1" t="str">
        <f>IFERROR(__xludf.DUMMYFUNCTION("""COMPUTED_VALUE"""),"Green Chilli")</f>
        <v>Green Chilli</v>
      </c>
      <c r="B386" s="1" t="str">
        <f>IFERROR(__xludf.DUMMYFUNCTION("""COMPUTED_VALUE"""),"5 hunger")</f>
        <v>5 hunger</v>
      </c>
      <c r="C386" s="1" t="str">
        <f>IFERROR(__xludf.DUMMYFUNCTION("""COMPUTED_VALUE"""),"Crop")</f>
        <v>Crop</v>
      </c>
      <c r="D386" s="1" t="str">
        <f>IFERROR(__xludf.DUMMYFUNCTION("""COMPUTED_VALUE"""),"Land of Spira")</f>
        <v>Land of Spira</v>
      </c>
      <c r="E386" s="1" t="b">
        <f>IFERROR(__xludf.DUMMYFUNCTION("""COMPUTED_VALUE"""),FALSE)</f>
        <v>0</v>
      </c>
      <c r="F386" s="1"/>
      <c r="G386" s="1"/>
      <c r="H386" s="1"/>
      <c r="I386" s="1"/>
      <c r="J386" s="1"/>
      <c r="K386" s="1"/>
      <c r="L386" s="1"/>
      <c r="M386" s="1"/>
      <c r="N386" s="1"/>
      <c r="O386" s="1"/>
      <c r="P386" s="1"/>
      <c r="Q386" s="1"/>
      <c r="R386" s="1"/>
      <c r="S386" s="1"/>
      <c r="T386" s="1"/>
      <c r="U386" s="1"/>
      <c r="V386" s="1"/>
      <c r="W386" s="1"/>
      <c r="X386" s="1"/>
      <c r="Y386" s="1"/>
      <c r="Z386" s="1"/>
    </row>
    <row r="387" ht="15.75" customHeight="1">
      <c r="A387" s="1" t="str">
        <f>IFERROR(__xludf.DUMMYFUNCTION("""COMPUTED_VALUE"""),"Onion")</f>
        <v>Onion</v>
      </c>
      <c r="B387" s="1" t="str">
        <f>IFERROR(__xludf.DUMMYFUNCTION("""COMPUTED_VALUE"""),"5 hunger, 50% Blindness 3 during the next battle.")</f>
        <v>5 hunger, 50% Blindness 3 during the next battle.</v>
      </c>
      <c r="C387" s="1" t="str">
        <f>IFERROR(__xludf.DUMMYFUNCTION("""COMPUTED_VALUE"""),"Crop")</f>
        <v>Crop</v>
      </c>
      <c r="D387" s="1" t="str">
        <f>IFERROR(__xludf.DUMMYFUNCTION("""COMPUTED_VALUE"""),"Land of Spira")</f>
        <v>Land of Spira</v>
      </c>
      <c r="E387" s="1" t="b">
        <f>IFERROR(__xludf.DUMMYFUNCTION("""COMPUTED_VALUE"""),FALSE)</f>
        <v>0</v>
      </c>
      <c r="F387" s="1"/>
      <c r="G387" s="1"/>
      <c r="H387" s="1"/>
      <c r="I387" s="1"/>
      <c r="J387" s="1"/>
      <c r="K387" s="1"/>
      <c r="L387" s="1"/>
      <c r="M387" s="1"/>
      <c r="N387" s="1"/>
      <c r="O387" s="1"/>
      <c r="P387" s="1"/>
      <c r="Q387" s="1"/>
      <c r="R387" s="1"/>
      <c r="S387" s="1"/>
      <c r="T387" s="1"/>
      <c r="U387" s="1"/>
      <c r="V387" s="1"/>
      <c r="W387" s="1"/>
      <c r="X387" s="1"/>
      <c r="Y387" s="1"/>
      <c r="Z387" s="1"/>
    </row>
    <row r="388" ht="15.75" customHeight="1">
      <c r="A388" s="1" t="str">
        <f>IFERROR(__xludf.DUMMYFUNCTION("""COMPUTED_VALUE"""),"Lettuce")</f>
        <v>Lettuce</v>
      </c>
      <c r="B388" s="1" t="str">
        <f>IFERROR(__xludf.DUMMYFUNCTION("""COMPUTED_VALUE"""),"5 hunger")</f>
        <v>5 hunger</v>
      </c>
      <c r="C388" s="1" t="str">
        <f>IFERROR(__xludf.DUMMYFUNCTION("""COMPUTED_VALUE"""),"Crop")</f>
        <v>Crop</v>
      </c>
      <c r="D388" s="1" t="str">
        <f>IFERROR(__xludf.DUMMYFUNCTION("""COMPUTED_VALUE"""),"Land of Spira")</f>
        <v>Land of Spira</v>
      </c>
      <c r="E388" s="1" t="b">
        <f>IFERROR(__xludf.DUMMYFUNCTION("""COMPUTED_VALUE"""),FALSE)</f>
        <v>0</v>
      </c>
      <c r="F388" s="1"/>
      <c r="G388" s="1"/>
      <c r="H388" s="1"/>
      <c r="I388" s="1"/>
      <c r="J388" s="1"/>
      <c r="K388" s="1"/>
      <c r="L388" s="1"/>
      <c r="M388" s="1"/>
      <c r="N388" s="1"/>
      <c r="O388" s="1"/>
      <c r="P388" s="1"/>
      <c r="Q388" s="1"/>
      <c r="R388" s="1"/>
      <c r="S388" s="1"/>
      <c r="T388" s="1"/>
      <c r="U388" s="1"/>
      <c r="V388" s="1"/>
      <c r="W388" s="1"/>
      <c r="X388" s="1"/>
      <c r="Y388" s="1"/>
      <c r="Z388" s="1"/>
    </row>
    <row r="389" ht="15.75" customHeight="1">
      <c r="A389" s="1" t="str">
        <f>IFERROR(__xludf.DUMMYFUNCTION("""COMPUTED_VALUE"""),"Radish")</f>
        <v>Radish</v>
      </c>
      <c r="B389" s="1" t="str">
        <f>IFERROR(__xludf.DUMMYFUNCTION("""COMPUTED_VALUE"""),"5 hunger")</f>
        <v>5 hunger</v>
      </c>
      <c r="C389" s="1" t="str">
        <f>IFERROR(__xludf.DUMMYFUNCTION("""COMPUTED_VALUE"""),"Crop")</f>
        <v>Crop</v>
      </c>
      <c r="D389" s="1" t="str">
        <f>IFERROR(__xludf.DUMMYFUNCTION("""COMPUTED_VALUE"""),"Land of Spira")</f>
        <v>Land of Spira</v>
      </c>
      <c r="E389" s="1" t="b">
        <f>IFERROR(__xludf.DUMMYFUNCTION("""COMPUTED_VALUE"""),FALSE)</f>
        <v>0</v>
      </c>
      <c r="F389" s="1"/>
      <c r="G389" s="1"/>
      <c r="H389" s="1"/>
      <c r="I389" s="1"/>
      <c r="J389" s="1"/>
      <c r="K389" s="1"/>
      <c r="L389" s="1"/>
      <c r="M389" s="1"/>
      <c r="N389" s="1"/>
      <c r="O389" s="1"/>
      <c r="P389" s="1"/>
      <c r="Q389" s="1"/>
      <c r="R389" s="1"/>
      <c r="S389" s="1"/>
      <c r="T389" s="1"/>
      <c r="U389" s="1"/>
      <c r="V389" s="1"/>
      <c r="W389" s="1"/>
      <c r="X389" s="1"/>
      <c r="Y389" s="1"/>
      <c r="Z389" s="1"/>
    </row>
    <row r="390" ht="15.75" customHeight="1">
      <c r="A390" s="1" t="str">
        <f>IFERROR(__xludf.DUMMYFUNCTION("""COMPUTED_VALUE"""),"Peas")</f>
        <v>Peas</v>
      </c>
      <c r="B390" s="1" t="str">
        <f>IFERROR(__xludf.DUMMYFUNCTION("""COMPUTED_VALUE"""),"5 hunger")</f>
        <v>5 hunger</v>
      </c>
      <c r="C390" s="1" t="str">
        <f>IFERROR(__xludf.DUMMYFUNCTION("""COMPUTED_VALUE"""),"Crop")</f>
        <v>Crop</v>
      </c>
      <c r="D390" s="1" t="str">
        <f>IFERROR(__xludf.DUMMYFUNCTION("""COMPUTED_VALUE"""),"Land of Spira")</f>
        <v>Land of Spira</v>
      </c>
      <c r="E390" s="1" t="b">
        <f>IFERROR(__xludf.DUMMYFUNCTION("""COMPUTED_VALUE"""),FALSE)</f>
        <v>0</v>
      </c>
      <c r="F390" s="1"/>
      <c r="G390" s="1"/>
      <c r="H390" s="1"/>
      <c r="I390" s="1"/>
      <c r="J390" s="1"/>
      <c r="K390" s="1"/>
      <c r="L390" s="1"/>
      <c r="M390" s="1"/>
      <c r="N390" s="1"/>
      <c r="O390" s="1"/>
      <c r="P390" s="1"/>
      <c r="Q390" s="1"/>
      <c r="R390" s="1"/>
      <c r="S390" s="1"/>
      <c r="T390" s="1"/>
      <c r="U390" s="1"/>
      <c r="V390" s="1"/>
      <c r="W390" s="1"/>
      <c r="X390" s="1"/>
      <c r="Y390" s="1"/>
      <c r="Z390" s="1"/>
    </row>
    <row r="391" ht="15.75" customHeight="1">
      <c r="A391" s="1" t="str">
        <f>IFERROR(__xludf.DUMMYFUNCTION("""COMPUTED_VALUE"""),"Asparagus")</f>
        <v>Asparagus</v>
      </c>
      <c r="B391" s="1" t="str">
        <f>IFERROR(__xludf.DUMMYFUNCTION("""COMPUTED_VALUE"""),"5 hunger")</f>
        <v>5 hunger</v>
      </c>
      <c r="C391" s="1" t="str">
        <f>IFERROR(__xludf.DUMMYFUNCTION("""COMPUTED_VALUE"""),"Crop")</f>
        <v>Crop</v>
      </c>
      <c r="D391" s="1" t="str">
        <f>IFERROR(__xludf.DUMMYFUNCTION("""COMPUTED_VALUE"""),"Land of Spira")</f>
        <v>Land of Spira</v>
      </c>
      <c r="E391" s="1" t="b">
        <f>IFERROR(__xludf.DUMMYFUNCTION("""COMPUTED_VALUE"""),FALSE)</f>
        <v>0</v>
      </c>
      <c r="F391" s="1"/>
      <c r="G391" s="1"/>
      <c r="H391" s="1"/>
      <c r="I391" s="1"/>
      <c r="J391" s="1"/>
      <c r="K391" s="1"/>
      <c r="L391" s="1"/>
      <c r="M391" s="1"/>
      <c r="N391" s="1"/>
      <c r="O391" s="1"/>
      <c r="P391" s="1"/>
      <c r="Q391" s="1"/>
      <c r="R391" s="1"/>
      <c r="S391" s="1"/>
      <c r="T391" s="1"/>
      <c r="U391" s="1"/>
      <c r="V391" s="1"/>
      <c r="W391" s="1"/>
      <c r="X391" s="1"/>
      <c r="Y391" s="1"/>
      <c r="Z391" s="1"/>
    </row>
    <row r="392" ht="15.75" customHeight="1">
      <c r="A392" s="1" t="str">
        <f>IFERROR(__xludf.DUMMYFUNCTION("""COMPUTED_VALUE"""),"Celery")</f>
        <v>Celery</v>
      </c>
      <c r="B392" s="1" t="str">
        <f>IFERROR(__xludf.DUMMYFUNCTION("""COMPUTED_VALUE"""),"5 hunger")</f>
        <v>5 hunger</v>
      </c>
      <c r="C392" s="1" t="str">
        <f>IFERROR(__xludf.DUMMYFUNCTION("""COMPUTED_VALUE"""),"Crop")</f>
        <v>Crop</v>
      </c>
      <c r="D392" s="1" t="str">
        <f>IFERROR(__xludf.DUMMYFUNCTION("""COMPUTED_VALUE"""),"Land of Spira")</f>
        <v>Land of Spira</v>
      </c>
      <c r="E392" s="1" t="b">
        <f>IFERROR(__xludf.DUMMYFUNCTION("""COMPUTED_VALUE"""),FALSE)</f>
        <v>0</v>
      </c>
      <c r="F392" s="1"/>
      <c r="G392" s="1"/>
      <c r="H392" s="1"/>
      <c r="I392" s="1"/>
      <c r="J392" s="1"/>
      <c r="K392" s="1"/>
      <c r="L392" s="1"/>
      <c r="M392" s="1"/>
      <c r="N392" s="1"/>
      <c r="O392" s="1"/>
      <c r="P392" s="1"/>
      <c r="Q392" s="1"/>
      <c r="R392" s="1"/>
      <c r="S392" s="1"/>
      <c r="T392" s="1"/>
      <c r="U392" s="1"/>
      <c r="V392" s="1"/>
      <c r="W392" s="1"/>
      <c r="X392" s="1"/>
      <c r="Y392" s="1"/>
      <c r="Z392" s="1"/>
    </row>
    <row r="393" ht="15.75" customHeight="1">
      <c r="A393" s="1" t="str">
        <f>IFERROR(__xludf.DUMMYFUNCTION("""COMPUTED_VALUE"""),"Green Pepper")</f>
        <v>Green Pepper</v>
      </c>
      <c r="B393" s="1" t="str">
        <f>IFERROR(__xludf.DUMMYFUNCTION("""COMPUTED_VALUE"""),"5 hunger")</f>
        <v>5 hunger</v>
      </c>
      <c r="C393" s="1" t="str">
        <f>IFERROR(__xludf.DUMMYFUNCTION("""COMPUTED_VALUE"""),"Crop")</f>
        <v>Crop</v>
      </c>
      <c r="D393" s="1" t="str">
        <f>IFERROR(__xludf.DUMMYFUNCTION("""COMPUTED_VALUE"""),"Land of Spira")</f>
        <v>Land of Spira</v>
      </c>
      <c r="E393" s="1" t="b">
        <f>IFERROR(__xludf.DUMMYFUNCTION("""COMPUTED_VALUE"""),FALSE)</f>
        <v>0</v>
      </c>
      <c r="F393" s="1"/>
      <c r="G393" s="1"/>
      <c r="H393" s="1"/>
      <c r="I393" s="1"/>
      <c r="J393" s="1"/>
      <c r="K393" s="1"/>
      <c r="L393" s="1"/>
      <c r="M393" s="1"/>
      <c r="N393" s="1"/>
      <c r="O393" s="1"/>
      <c r="P393" s="1"/>
      <c r="Q393" s="1"/>
      <c r="R393" s="1"/>
      <c r="S393" s="1"/>
      <c r="T393" s="1"/>
      <c r="U393" s="1"/>
      <c r="V393" s="1"/>
      <c r="W393" s="1"/>
      <c r="X393" s="1"/>
      <c r="Y393" s="1"/>
      <c r="Z393" s="1"/>
    </row>
    <row r="394" ht="15.75" customHeight="1">
      <c r="A394" s="1" t="str">
        <f>IFERROR(__xludf.DUMMYFUNCTION("""COMPUTED_VALUE"""),"French Beans")</f>
        <v>French Beans</v>
      </c>
      <c r="B394" s="1" t="str">
        <f>IFERROR(__xludf.DUMMYFUNCTION("""COMPUTED_VALUE"""),"5 hunger")</f>
        <v>5 hunger</v>
      </c>
      <c r="C394" s="1" t="str">
        <f>IFERROR(__xludf.DUMMYFUNCTION("""COMPUTED_VALUE"""),"Crop")</f>
        <v>Crop</v>
      </c>
      <c r="D394" s="1" t="str">
        <f>IFERROR(__xludf.DUMMYFUNCTION("""COMPUTED_VALUE"""),"Land of Spira")</f>
        <v>Land of Spira</v>
      </c>
      <c r="E394" s="1" t="b">
        <f>IFERROR(__xludf.DUMMYFUNCTION("""COMPUTED_VALUE"""),FALSE)</f>
        <v>0</v>
      </c>
      <c r="F394" s="1"/>
      <c r="G394" s="1"/>
      <c r="H394" s="1"/>
      <c r="I394" s="1"/>
      <c r="J394" s="1"/>
      <c r="K394" s="1"/>
      <c r="L394" s="1"/>
      <c r="M394" s="1"/>
      <c r="N394" s="1"/>
      <c r="O394" s="1"/>
      <c r="P394" s="1"/>
      <c r="Q394" s="1"/>
      <c r="R394" s="1"/>
      <c r="S394" s="1"/>
      <c r="T394" s="1"/>
      <c r="U394" s="1"/>
      <c r="V394" s="1"/>
      <c r="W394" s="1"/>
      <c r="X394" s="1"/>
      <c r="Y394" s="1"/>
      <c r="Z394" s="1"/>
    </row>
    <row r="395" ht="15.75" customHeight="1">
      <c r="A395" s="1" t="str">
        <f>IFERROR(__xludf.DUMMYFUNCTION("""COMPUTED_VALUE"""),"Spinach")</f>
        <v>Spinach</v>
      </c>
      <c r="B395" s="1" t="str">
        <f>IFERROR(__xludf.DUMMYFUNCTION("""COMPUTED_VALUE"""),"5 hunger")</f>
        <v>5 hunger</v>
      </c>
      <c r="C395" s="1" t="str">
        <f>IFERROR(__xludf.DUMMYFUNCTION("""COMPUTED_VALUE"""),"Crop")</f>
        <v>Crop</v>
      </c>
      <c r="D395" s="1" t="str">
        <f>IFERROR(__xludf.DUMMYFUNCTION("""COMPUTED_VALUE"""),"Land of Spira")</f>
        <v>Land of Spira</v>
      </c>
      <c r="E395" s="1" t="b">
        <f>IFERROR(__xludf.DUMMYFUNCTION("""COMPUTED_VALUE"""),FALSE)</f>
        <v>0</v>
      </c>
      <c r="F395" s="1"/>
      <c r="G395" s="1"/>
      <c r="H395" s="1"/>
      <c r="I395" s="1"/>
      <c r="J395" s="1"/>
      <c r="K395" s="1"/>
      <c r="L395" s="1"/>
      <c r="M395" s="1"/>
      <c r="N395" s="1"/>
      <c r="O395" s="1"/>
      <c r="P395" s="1"/>
      <c r="Q395" s="1"/>
      <c r="R395" s="1"/>
      <c r="S395" s="1"/>
      <c r="T395" s="1"/>
      <c r="U395" s="1"/>
      <c r="V395" s="1"/>
      <c r="W395" s="1"/>
      <c r="X395" s="1"/>
      <c r="Y395" s="1"/>
      <c r="Z395" s="1"/>
    </row>
    <row r="396" ht="15.75" customHeight="1">
      <c r="A396" s="1" t="str">
        <f>IFERROR(__xludf.DUMMYFUNCTION("""COMPUTED_VALUE"""),"Beetroot")</f>
        <v>Beetroot</v>
      </c>
      <c r="B396" s="1" t="str">
        <f>IFERROR(__xludf.DUMMYFUNCTION("""COMPUTED_VALUE"""),"5 hunger")</f>
        <v>5 hunger</v>
      </c>
      <c r="C396" s="1" t="str">
        <f>IFERROR(__xludf.DUMMYFUNCTION("""COMPUTED_VALUE"""),"Crop")</f>
        <v>Crop</v>
      </c>
      <c r="D396" s="1" t="str">
        <f>IFERROR(__xludf.DUMMYFUNCTION("""COMPUTED_VALUE"""),"Land of Spira")</f>
        <v>Land of Spira</v>
      </c>
      <c r="E396" s="1" t="b">
        <f>IFERROR(__xludf.DUMMYFUNCTION("""COMPUTED_VALUE"""),FALSE)</f>
        <v>0</v>
      </c>
      <c r="F396" s="1"/>
      <c r="G396" s="1"/>
      <c r="H396" s="1"/>
      <c r="I396" s="1"/>
      <c r="J396" s="1"/>
      <c r="K396" s="1"/>
      <c r="L396" s="1"/>
      <c r="M396" s="1"/>
      <c r="N396" s="1"/>
      <c r="O396" s="1"/>
      <c r="P396" s="1"/>
      <c r="Q396" s="1"/>
      <c r="R396" s="1"/>
      <c r="S396" s="1"/>
      <c r="T396" s="1"/>
      <c r="U396" s="1"/>
      <c r="V396" s="1"/>
      <c r="W396" s="1"/>
      <c r="X396" s="1"/>
      <c r="Y396" s="1"/>
      <c r="Z396" s="1"/>
    </row>
    <row r="397" ht="15.75" customHeight="1">
      <c r="A397" s="1" t="str">
        <f>IFERROR(__xludf.DUMMYFUNCTION("""COMPUTED_VALUE"""),"Red Chili Peppers ")</f>
        <v>Red Chili Peppers </v>
      </c>
      <c r="B397" s="1" t="str">
        <f>IFERROR(__xludf.DUMMYFUNCTION("""COMPUTED_VALUE"""),"5 hunger")</f>
        <v>5 hunger</v>
      </c>
      <c r="C397" s="1" t="str">
        <f>IFERROR(__xludf.DUMMYFUNCTION("""COMPUTED_VALUE"""),"Crop")</f>
        <v>Crop</v>
      </c>
      <c r="D397" s="1" t="str">
        <f>IFERROR(__xludf.DUMMYFUNCTION("""COMPUTED_VALUE"""),"Land of Spira")</f>
        <v>Land of Spira</v>
      </c>
      <c r="E397" s="1" t="b">
        <f>IFERROR(__xludf.DUMMYFUNCTION("""COMPUTED_VALUE"""),FALSE)</f>
        <v>0</v>
      </c>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t="str">
        <f>IFERROR(__xludf.DUMMYFUNCTION("""COMPUTED_VALUE"""),"Item")</f>
        <v>Item</v>
      </c>
      <c r="D398" s="1" t="str">
        <f>IFERROR(__xludf.DUMMYFUNCTION("""COMPUTED_VALUE"""),"Land of Spira")</f>
        <v>Land of Spira</v>
      </c>
      <c r="E398" s="1" t="b">
        <f>IFERROR(__xludf.DUMMYFUNCTION("""COMPUTED_VALUE"""),FALSE)</f>
        <v>0</v>
      </c>
      <c r="F398" s="1"/>
      <c r="G398" s="1"/>
      <c r="H398" s="1"/>
      <c r="I398" s="1"/>
      <c r="J398" s="1"/>
      <c r="K398" s="1"/>
      <c r="L398" s="1"/>
      <c r="M398" s="1"/>
      <c r="N398" s="1"/>
      <c r="O398" s="1"/>
      <c r="P398" s="1"/>
      <c r="Q398" s="1"/>
      <c r="R398" s="1"/>
      <c r="S398" s="1"/>
      <c r="T398" s="1"/>
      <c r="U398" s="1"/>
      <c r="V398" s="1"/>
      <c r="W398" s="1"/>
      <c r="X398" s="1"/>
      <c r="Y398" s="1"/>
      <c r="Z398" s="1"/>
    </row>
    <row r="399" ht="15.75" customHeight="1">
      <c r="A399" s="1" t="str">
        <f>IFERROR(__xludf.DUMMYFUNCTION("""COMPUTED_VALUE"""),"Crystal Apple")</f>
        <v>Crystal Apple</v>
      </c>
      <c r="B399" s="1" t="str">
        <f>IFERROR(__xludf.DUMMYFUNCTION("""COMPUTED_VALUE"""),"When consumed X2 additional Damage towards the users weapons. (Can only use 1 per battle)")</f>
        <v>When consumed X2 additional Damage towards the users weapons. (Can only use 1 per battle)</v>
      </c>
      <c r="C399" s="1" t="str">
        <f>IFERROR(__xludf.DUMMYFUNCTION("""COMPUTED_VALUE"""),"Item")</f>
        <v>Item</v>
      </c>
      <c r="D399" s="1" t="str">
        <f>IFERROR(__xludf.DUMMYFUNCTION("""COMPUTED_VALUE"""),"Land of Spira")</f>
        <v>Land of Spira</v>
      </c>
      <c r="E399" s="1" t="b">
        <f>IFERROR(__xludf.DUMMYFUNCTION("""COMPUTED_VALUE"""),FALSE)</f>
        <v>0</v>
      </c>
      <c r="F399" s="1"/>
      <c r="G399" s="1"/>
      <c r="H399" s="1"/>
      <c r="I399" s="1"/>
      <c r="J399" s="1"/>
      <c r="K399" s="1"/>
      <c r="L399" s="1"/>
      <c r="M399" s="1"/>
      <c r="N399" s="1"/>
      <c r="O399" s="1"/>
      <c r="P399" s="1"/>
      <c r="Q399" s="1"/>
      <c r="R399" s="1"/>
      <c r="S399" s="1"/>
      <c r="T399" s="1"/>
      <c r="U399" s="1"/>
      <c r="V399" s="1"/>
      <c r="W399" s="1"/>
      <c r="X399" s="1"/>
      <c r="Y399" s="1"/>
      <c r="Z399" s="1"/>
    </row>
    <row r="400" ht="15.75" customHeight="1">
      <c r="A400" s="1" t="str">
        <f>IFERROR(__xludf.DUMMYFUNCTION("""COMPUTED_VALUE"""),"Dark Crystal Shard")</f>
        <v>Dark Crystal Shard</v>
      </c>
      <c r="B400" s="1" t="str">
        <f>IFERROR(__xludf.DUMMYFUNCTION("""COMPUTED_VALUE"""),"Quest item, Crafting Material, roll a d20 to see how many you get if this is a loot drop.")</f>
        <v>Quest item, Crafting Material, roll a d20 to see how many you get if this is a loot drop.</v>
      </c>
      <c r="C400" s="1" t="str">
        <f>IFERROR(__xludf.DUMMYFUNCTION("""COMPUTED_VALUE"""),"Item")</f>
        <v>Item</v>
      </c>
      <c r="D400" s="1" t="str">
        <f>IFERROR(__xludf.DUMMYFUNCTION("""COMPUTED_VALUE"""),"Land of Spira")</f>
        <v>Land of Spira</v>
      </c>
      <c r="E400" s="1" t="b">
        <f>IFERROR(__xludf.DUMMYFUNCTION("""COMPUTED_VALUE"""),FALSE)</f>
        <v>0</v>
      </c>
      <c r="F400" s="1"/>
      <c r="G400" s="1"/>
      <c r="H400" s="1"/>
      <c r="I400" s="1"/>
      <c r="J400" s="1"/>
      <c r="K400" s="1"/>
      <c r="L400" s="1"/>
      <c r="M400" s="1"/>
      <c r="N400" s="1"/>
      <c r="O400" s="1"/>
      <c r="P400" s="1"/>
      <c r="Q400" s="1"/>
      <c r="R400" s="1"/>
      <c r="S400" s="1"/>
      <c r="T400" s="1"/>
      <c r="U400" s="1"/>
      <c r="V400" s="1"/>
      <c r="W400" s="1"/>
      <c r="X400" s="1"/>
      <c r="Y400" s="1"/>
      <c r="Z400" s="1"/>
    </row>
    <row r="401" ht="15.75" customHeight="1">
      <c r="A401" s="1" t="str">
        <f>IFERROR(__xludf.DUMMYFUNCTION("""COMPUTED_VALUE"""),"Small Fuel Canister")</f>
        <v>Small Fuel Canister</v>
      </c>
      <c r="B401" s="1" t="str">
        <f>IFERROR(__xludf.DUMMYFUNCTION("""COMPUTED_VALUE"""),"Restores 100 Fuel")</f>
        <v>Restores 100 Fuel</v>
      </c>
      <c r="C401" s="1" t="str">
        <f>IFERROR(__xludf.DUMMYFUNCTION("""COMPUTED_VALUE"""),"Item")</f>
        <v>Item</v>
      </c>
      <c r="D401" s="1" t="str">
        <f>IFERROR(__xludf.DUMMYFUNCTION("""COMPUTED_VALUE"""),"Land of Spira")</f>
        <v>Land of Spira</v>
      </c>
      <c r="E401" s="1" t="b">
        <f>IFERROR(__xludf.DUMMYFUNCTION("""COMPUTED_VALUE"""),FALSE)</f>
        <v>0</v>
      </c>
      <c r="F401" s="1"/>
      <c r="G401" s="1"/>
      <c r="H401" s="1"/>
      <c r="I401" s="1"/>
      <c r="J401" s="1"/>
      <c r="K401" s="1"/>
      <c r="L401" s="1"/>
      <c r="M401" s="1"/>
      <c r="N401" s="1"/>
      <c r="O401" s="1"/>
      <c r="P401" s="1"/>
      <c r="Q401" s="1"/>
      <c r="R401" s="1"/>
      <c r="S401" s="1"/>
      <c r="T401" s="1"/>
      <c r="U401" s="1"/>
      <c r="V401" s="1"/>
      <c r="W401" s="1"/>
      <c r="X401" s="1"/>
      <c r="Y401" s="1"/>
      <c r="Z401" s="1"/>
    </row>
    <row r="402" ht="15.75" customHeight="1">
      <c r="A402" s="1" t="str">
        <f>IFERROR(__xludf.DUMMYFUNCTION("""COMPUTED_VALUE"""),"Medium Fuel Canister")</f>
        <v>Medium Fuel Canister</v>
      </c>
      <c r="B402" s="1" t="str">
        <f>IFERROR(__xludf.DUMMYFUNCTION("""COMPUTED_VALUE"""),"Restores 250 Fuel")</f>
        <v>Restores 250 Fuel</v>
      </c>
      <c r="C402" s="1" t="str">
        <f>IFERROR(__xludf.DUMMYFUNCTION("""COMPUTED_VALUE"""),"Item")</f>
        <v>Item</v>
      </c>
      <c r="D402" s="1" t="str">
        <f>IFERROR(__xludf.DUMMYFUNCTION("""COMPUTED_VALUE"""),"Land of Spira")</f>
        <v>Land of Spira</v>
      </c>
      <c r="E402" s="1" t="b">
        <f>IFERROR(__xludf.DUMMYFUNCTION("""COMPUTED_VALUE"""),FALSE)</f>
        <v>0</v>
      </c>
      <c r="F402" s="1"/>
      <c r="G402" s="1"/>
      <c r="H402" s="1"/>
      <c r="I402" s="1"/>
      <c r="J402" s="1"/>
      <c r="K402" s="1"/>
      <c r="L402" s="1"/>
      <c r="M402" s="1"/>
      <c r="N402" s="1"/>
      <c r="O402" s="1"/>
      <c r="P402" s="1"/>
      <c r="Q402" s="1"/>
      <c r="R402" s="1"/>
      <c r="S402" s="1"/>
      <c r="T402" s="1"/>
      <c r="U402" s="1"/>
      <c r="V402" s="1"/>
      <c r="W402" s="1"/>
      <c r="X402" s="1"/>
      <c r="Y402" s="1"/>
      <c r="Z402" s="1"/>
    </row>
    <row r="403" ht="15.75" customHeight="1">
      <c r="A403" s="1" t="str">
        <f>IFERROR(__xludf.DUMMYFUNCTION("""COMPUTED_VALUE"""),"Large Fuel Canister")</f>
        <v>Large Fuel Canister</v>
      </c>
      <c r="B403" s="1" t="str">
        <f>IFERROR(__xludf.DUMMYFUNCTION("""COMPUTED_VALUE"""),"Restores 500 Fuel")</f>
        <v>Restores 500 Fuel</v>
      </c>
      <c r="C403" s="1" t="str">
        <f>IFERROR(__xludf.DUMMYFUNCTION("""COMPUTED_VALUE"""),"Item")</f>
        <v>Item</v>
      </c>
      <c r="D403" s="1" t="str">
        <f>IFERROR(__xludf.DUMMYFUNCTION("""COMPUTED_VALUE"""),"Land of Spira")</f>
        <v>Land of Spira</v>
      </c>
      <c r="E403" s="1" t="b">
        <f>IFERROR(__xludf.DUMMYFUNCTION("""COMPUTED_VALUE"""),FALSE)</f>
        <v>0</v>
      </c>
      <c r="F403" s="1"/>
      <c r="G403" s="1"/>
      <c r="H403" s="1"/>
      <c r="I403" s="1"/>
      <c r="J403" s="1"/>
      <c r="K403" s="1"/>
      <c r="L403" s="1"/>
      <c r="M403" s="1"/>
      <c r="N403" s="1"/>
      <c r="O403" s="1"/>
      <c r="P403" s="1"/>
      <c r="Q403" s="1"/>
      <c r="R403" s="1"/>
      <c r="S403" s="1"/>
      <c r="T403" s="1"/>
      <c r="U403" s="1"/>
      <c r="V403" s="1"/>
      <c r="W403" s="1"/>
      <c r="X403" s="1"/>
      <c r="Y403" s="1"/>
      <c r="Z403" s="1"/>
    </row>
    <row r="404" ht="15.75" customHeight="1">
      <c r="A404" s="1" t="str">
        <f>IFERROR(__xludf.DUMMYFUNCTION("""COMPUTED_VALUE"""),"Letter from the Lord of Spira")</f>
        <v>Letter from the Lord of Spira</v>
      </c>
      <c r="B404" s="1" t="str">
        <f>IFERROR(__xludf.DUMMYFUNCTION("""COMPUTED_VALUE"""),"Absolved from all crimes whitin The Land of Spira. Can only be used once, Cannot be duplicated")</f>
        <v>Absolved from all crimes whitin The Land of Spira. Can only be used once, Cannot be duplicated</v>
      </c>
      <c r="C404" s="1" t="str">
        <f>IFERROR(__xludf.DUMMYFUNCTION("""COMPUTED_VALUE"""),"Item")</f>
        <v>Item</v>
      </c>
      <c r="D404" s="1" t="str">
        <f>IFERROR(__xludf.DUMMYFUNCTION("""COMPUTED_VALUE"""),"Land of Spira")</f>
        <v>Land of Spira</v>
      </c>
      <c r="E404" s="1" t="b">
        <f>IFERROR(__xludf.DUMMYFUNCTION("""COMPUTED_VALUE"""),FALSE)</f>
        <v>0</v>
      </c>
      <c r="F404" s="1"/>
      <c r="G404" s="1"/>
      <c r="H404" s="1"/>
      <c r="I404" s="1"/>
      <c r="J404" s="1"/>
      <c r="K404" s="1"/>
      <c r="L404" s="1"/>
      <c r="M404" s="1"/>
      <c r="N404" s="1"/>
      <c r="O404" s="1"/>
      <c r="P404" s="1"/>
      <c r="Q404" s="1"/>
      <c r="R404" s="1"/>
      <c r="S404" s="1"/>
      <c r="T404" s="1"/>
      <c r="U404" s="1"/>
      <c r="V404" s="1"/>
      <c r="W404" s="1"/>
      <c r="X404" s="1"/>
      <c r="Y404" s="1"/>
      <c r="Z404" s="1"/>
    </row>
    <row r="405" ht="15.75" customHeight="1">
      <c r="A405" s="1" t="str">
        <f>IFERROR(__xludf.DUMMYFUNCTION("""COMPUTED_VALUE"""),"Scroll of Bad Dreams")</f>
        <v>Scroll of Bad Dreams</v>
      </c>
      <c r="B405" s="1"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1" t="str">
        <f>IFERROR(__xludf.DUMMYFUNCTION("""COMPUTED_VALUE"""),"Item")</f>
        <v>Item</v>
      </c>
      <c r="D405" s="1" t="str">
        <f>IFERROR(__xludf.DUMMYFUNCTION("""COMPUTED_VALUE"""),"Abstara")</f>
        <v>Abstara</v>
      </c>
      <c r="E405" s="1" t="b">
        <f>IFERROR(__xludf.DUMMYFUNCTION("""COMPUTED_VALUE"""),FALSE)</f>
        <v>0</v>
      </c>
      <c r="F405" s="1"/>
      <c r="G405" s="1"/>
      <c r="H405" s="1"/>
      <c r="I405" s="1"/>
      <c r="J405" s="1"/>
      <c r="K405" s="1"/>
      <c r="L405" s="1"/>
      <c r="M405" s="1"/>
      <c r="N405" s="1"/>
      <c r="O405" s="1"/>
      <c r="P405" s="1"/>
      <c r="Q405" s="1"/>
      <c r="R405" s="1"/>
      <c r="S405" s="1"/>
      <c r="T405" s="1"/>
      <c r="U405" s="1"/>
      <c r="V405" s="1"/>
      <c r="W405" s="1"/>
      <c r="X405" s="1"/>
      <c r="Y405" s="1"/>
      <c r="Z405" s="1"/>
    </row>
    <row r="406" ht="15.75" customHeight="1">
      <c r="A406" s="1" t="str">
        <f>IFERROR(__xludf.DUMMYFUNCTION("""COMPUTED_VALUE"""),"A Jar of Blood")</f>
        <v>A Jar of Blood</v>
      </c>
      <c r="B406" s="1" t="str">
        <f>IFERROR(__xludf.DUMMYFUNCTION("""COMPUTED_VALUE"""),"Crafting Material, roll a d20 to see how many you get if this is a loot drop.")</f>
        <v>Crafting Material, roll a d20 to see how many you get if this is a loot drop.</v>
      </c>
      <c r="C406" s="1" t="str">
        <f>IFERROR(__xludf.DUMMYFUNCTION("""COMPUTED_VALUE"""),"Item")</f>
        <v>Item</v>
      </c>
      <c r="D406" s="1" t="str">
        <f>IFERROR(__xludf.DUMMYFUNCTION("""COMPUTED_VALUE"""),"Abstara")</f>
        <v>Abstara</v>
      </c>
      <c r="E406" s="1" t="b">
        <f>IFERROR(__xludf.DUMMYFUNCTION("""COMPUTED_VALUE"""),FALSE)</f>
        <v>0</v>
      </c>
      <c r="F406" s="1"/>
      <c r="G406" s="1"/>
      <c r="H406" s="1"/>
      <c r="I406" s="1"/>
      <c r="J406" s="1"/>
      <c r="K406" s="1"/>
      <c r="L406" s="1"/>
      <c r="M406" s="1"/>
      <c r="N406" s="1"/>
      <c r="O406" s="1"/>
      <c r="P406" s="1"/>
      <c r="Q406" s="1"/>
      <c r="R406" s="1"/>
      <c r="S406" s="1"/>
      <c r="T406" s="1"/>
      <c r="U406" s="1"/>
      <c r="V406" s="1"/>
      <c r="W406" s="1"/>
      <c r="X406" s="1"/>
      <c r="Y406" s="1"/>
      <c r="Z406" s="1"/>
    </row>
    <row r="407" ht="15.75" customHeight="1">
      <c r="A407" s="1" t="str">
        <f>IFERROR(__xludf.DUMMYFUNCTION("""COMPUTED_VALUE"""),"Demon Blood")</f>
        <v>Demon Blood</v>
      </c>
      <c r="B407" s="1" t="str">
        <f>IFERROR(__xludf.DUMMYFUNCTION("""COMPUTED_VALUE"""),"Crafting Material, roll a d20 to see how many you get if this is a loot drop.")</f>
        <v>Crafting Material, roll a d20 to see how many you get if this is a loot drop.</v>
      </c>
      <c r="C407" s="1" t="str">
        <f>IFERROR(__xludf.DUMMYFUNCTION("""COMPUTED_VALUE"""),"Item")</f>
        <v>Item</v>
      </c>
      <c r="D407" s="1" t="str">
        <f>IFERROR(__xludf.DUMMYFUNCTION("""COMPUTED_VALUE"""),"Abstara")</f>
        <v>Abstara</v>
      </c>
      <c r="E407" s="1" t="b">
        <f>IFERROR(__xludf.DUMMYFUNCTION("""COMPUTED_VALUE"""),FALSE)</f>
        <v>0</v>
      </c>
      <c r="F407" s="1"/>
      <c r="G407" s="1"/>
      <c r="H407" s="1"/>
      <c r="I407" s="1"/>
      <c r="J407" s="1"/>
      <c r="K407" s="1"/>
      <c r="L407" s="1"/>
      <c r="M407" s="1"/>
      <c r="N407" s="1"/>
      <c r="O407" s="1"/>
      <c r="P407" s="1"/>
      <c r="Q407" s="1"/>
      <c r="R407" s="1"/>
      <c r="S407" s="1"/>
      <c r="T407" s="1"/>
      <c r="U407" s="1"/>
      <c r="V407" s="1"/>
      <c r="W407" s="1"/>
      <c r="X407" s="1"/>
      <c r="Y407" s="1"/>
      <c r="Z407" s="1"/>
    </row>
    <row r="408" ht="15.75" customHeight="1">
      <c r="A408" s="1" t="str">
        <f>IFERROR(__xludf.DUMMYFUNCTION("""COMPUTED_VALUE"""),"Demon Skull")</f>
        <v>Demon Skull</v>
      </c>
      <c r="B408" s="1" t="str">
        <f>IFERROR(__xludf.DUMMYFUNCTION("""COMPUTED_VALUE"""),"Crafting Material, roll a d20 to see how many you get if this is a loot drop.")</f>
        <v>Crafting Material, roll a d20 to see how many you get if this is a loot drop.</v>
      </c>
      <c r="C408" s="1" t="str">
        <f>IFERROR(__xludf.DUMMYFUNCTION("""COMPUTED_VALUE"""),"Item")</f>
        <v>Item</v>
      </c>
      <c r="D408" s="1" t="str">
        <f>IFERROR(__xludf.DUMMYFUNCTION("""COMPUTED_VALUE"""),"Abstara")</f>
        <v>Abstara</v>
      </c>
      <c r="E408" s="1" t="b">
        <f>IFERROR(__xludf.DUMMYFUNCTION("""COMPUTED_VALUE"""),FALSE)</f>
        <v>0</v>
      </c>
      <c r="F408" s="1"/>
      <c r="G408" s="1"/>
      <c r="H408" s="1"/>
      <c r="I408" s="1"/>
      <c r="J408" s="1"/>
      <c r="K408" s="1"/>
      <c r="L408" s="1"/>
      <c r="M408" s="1"/>
      <c r="N408" s="1"/>
      <c r="O408" s="1"/>
      <c r="P408" s="1"/>
      <c r="Q408" s="1"/>
      <c r="R408" s="1"/>
      <c r="S408" s="1"/>
      <c r="T408" s="1"/>
      <c r="U408" s="1"/>
      <c r="V408" s="1"/>
      <c r="W408" s="1"/>
      <c r="X408" s="1"/>
      <c r="Y408" s="1"/>
      <c r="Z408" s="1"/>
    </row>
    <row r="409" ht="15.75" customHeight="1">
      <c r="A409" s="1" t="str">
        <f>IFERROR(__xludf.DUMMYFUNCTION("""COMPUTED_VALUE"""),"Volcanic Teeth")</f>
        <v>Volcanic Teeth</v>
      </c>
      <c r="B409" s="1" t="str">
        <f>IFERROR(__xludf.DUMMYFUNCTION("""COMPUTED_VALUE"""),"Crafting Material, roll a d20 to see how many you get if this is a loot drop.")</f>
        <v>Crafting Material, roll a d20 to see how many you get if this is a loot drop.</v>
      </c>
      <c r="C409" s="1" t="str">
        <f>IFERROR(__xludf.DUMMYFUNCTION("""COMPUTED_VALUE"""),"Item")</f>
        <v>Item</v>
      </c>
      <c r="D409" s="1" t="str">
        <f>IFERROR(__xludf.DUMMYFUNCTION("""COMPUTED_VALUE"""),"Abstara")</f>
        <v>Abstara</v>
      </c>
      <c r="E409" s="1" t="b">
        <f>IFERROR(__xludf.DUMMYFUNCTION("""COMPUTED_VALUE"""),FALSE)</f>
        <v>0</v>
      </c>
      <c r="F409" s="1"/>
      <c r="G409" s="1"/>
      <c r="H409" s="1"/>
      <c r="I409" s="1"/>
      <c r="J409" s="1"/>
      <c r="K409" s="1"/>
      <c r="L409" s="1"/>
      <c r="M409" s="1"/>
      <c r="N409" s="1"/>
      <c r="O409" s="1"/>
      <c r="P409" s="1"/>
      <c r="Q409" s="1"/>
      <c r="R409" s="1"/>
      <c r="S409" s="1"/>
      <c r="T409" s="1"/>
      <c r="U409" s="1"/>
      <c r="V409" s="1"/>
      <c r="W409" s="1"/>
      <c r="X409" s="1"/>
      <c r="Y409" s="1"/>
      <c r="Z409" s="1"/>
    </row>
    <row r="410" ht="15.75" customHeight="1">
      <c r="A410" s="1" t="str">
        <f>IFERROR(__xludf.DUMMYFUNCTION("""COMPUTED_VALUE"""),"Volcanic Serpent Teeth ")</f>
        <v>Volcanic Serpent Teeth </v>
      </c>
      <c r="B410" s="1" t="str">
        <f>IFERROR(__xludf.DUMMYFUNCTION("""COMPUTED_VALUE"""),"Crafting Material, roll a d20 to see how many you get if this is a loot drop.")</f>
        <v>Crafting Material, roll a d20 to see how many you get if this is a loot drop.</v>
      </c>
      <c r="C410" s="1" t="str">
        <f>IFERROR(__xludf.DUMMYFUNCTION("""COMPUTED_VALUE"""),"Item")</f>
        <v>Item</v>
      </c>
      <c r="D410" s="1" t="str">
        <f>IFERROR(__xludf.DUMMYFUNCTION("""COMPUTED_VALUE"""),"Abstara")</f>
        <v>Abstara</v>
      </c>
      <c r="E410" s="1" t="b">
        <f>IFERROR(__xludf.DUMMYFUNCTION("""COMPUTED_VALUE"""),FALSE)</f>
        <v>0</v>
      </c>
      <c r="F410" s="1"/>
      <c r="G410" s="1"/>
      <c r="H410" s="1"/>
      <c r="I410" s="1"/>
      <c r="J410" s="1"/>
      <c r="K410" s="1"/>
      <c r="L410" s="1"/>
      <c r="M410" s="1"/>
      <c r="N410" s="1"/>
      <c r="O410" s="1"/>
      <c r="P410" s="1"/>
      <c r="Q410" s="1"/>
      <c r="R410" s="1"/>
      <c r="S410" s="1"/>
      <c r="T410" s="1"/>
      <c r="U410" s="1"/>
      <c r="V410" s="1"/>
      <c r="W410" s="1"/>
      <c r="X410" s="1"/>
      <c r="Y410" s="1"/>
      <c r="Z410" s="1"/>
    </row>
    <row r="411" ht="15.75" customHeight="1">
      <c r="A411" s="1" t="str">
        <f>IFERROR(__xludf.DUMMYFUNCTION("""COMPUTED_VALUE"""),"Volcanic Serpent Scales")</f>
        <v>Volcanic Serpent Scales</v>
      </c>
      <c r="B411" s="1" t="str">
        <f>IFERROR(__xludf.DUMMYFUNCTION("""COMPUTED_VALUE"""),"Crafting Material, roll a d20 to see how many you get if this is a loot drop.")</f>
        <v>Crafting Material, roll a d20 to see how many you get if this is a loot drop.</v>
      </c>
      <c r="C411" s="1" t="str">
        <f>IFERROR(__xludf.DUMMYFUNCTION("""COMPUTED_VALUE"""),"Item")</f>
        <v>Item</v>
      </c>
      <c r="D411" s="1" t="str">
        <f>IFERROR(__xludf.DUMMYFUNCTION("""COMPUTED_VALUE"""),"Abstara")</f>
        <v>Abstara</v>
      </c>
      <c r="E411" s="1" t="b">
        <f>IFERROR(__xludf.DUMMYFUNCTION("""COMPUTED_VALUE"""),FALSE)</f>
        <v>0</v>
      </c>
      <c r="F411" s="1"/>
      <c r="G411" s="1"/>
      <c r="H411" s="1"/>
      <c r="I411" s="1"/>
      <c r="J411" s="1"/>
      <c r="K411" s="1"/>
      <c r="L411" s="1"/>
      <c r="M411" s="1"/>
      <c r="N411" s="1"/>
      <c r="O411" s="1"/>
      <c r="P411" s="1"/>
      <c r="Q411" s="1"/>
      <c r="R411" s="1"/>
      <c r="S411" s="1"/>
      <c r="T411" s="1"/>
      <c r="U411" s="1"/>
      <c r="V411" s="1"/>
      <c r="W411" s="1"/>
      <c r="X411" s="1"/>
      <c r="Y411" s="1"/>
      <c r="Z411" s="1"/>
    </row>
    <row r="412" ht="15.75" customHeight="1">
      <c r="A412" s="1" t="str">
        <f>IFERROR(__xludf.DUMMYFUNCTION("""COMPUTED_VALUE"""),"Lava Panther Leather")</f>
        <v>Lava Panther Leather</v>
      </c>
      <c r="B412" s="1" t="str">
        <f>IFERROR(__xludf.DUMMYFUNCTION("""COMPUTED_VALUE"""),"Crafting Material, roll a d20 to see how many you get if this is a loot drop.")</f>
        <v>Crafting Material, roll a d20 to see how many you get if this is a loot drop.</v>
      </c>
      <c r="C412" s="1" t="str">
        <f>IFERROR(__xludf.DUMMYFUNCTION("""COMPUTED_VALUE"""),"Item")</f>
        <v>Item</v>
      </c>
      <c r="D412" s="1" t="str">
        <f>IFERROR(__xludf.DUMMYFUNCTION("""COMPUTED_VALUE"""),"Abstara")</f>
        <v>Abstara</v>
      </c>
      <c r="E412" s="1" t="b">
        <f>IFERROR(__xludf.DUMMYFUNCTION("""COMPUTED_VALUE"""),FALSE)</f>
        <v>0</v>
      </c>
      <c r="F412" s="1"/>
      <c r="G412" s="1"/>
      <c r="H412" s="1"/>
      <c r="I412" s="1"/>
      <c r="J412" s="1"/>
      <c r="K412" s="1"/>
      <c r="L412" s="1"/>
      <c r="M412" s="1"/>
      <c r="N412" s="1"/>
      <c r="O412" s="1"/>
      <c r="P412" s="1"/>
      <c r="Q412" s="1"/>
      <c r="R412" s="1"/>
      <c r="S412" s="1"/>
      <c r="T412" s="1"/>
      <c r="U412" s="1"/>
      <c r="V412" s="1"/>
      <c r="W412" s="1"/>
      <c r="X412" s="1"/>
      <c r="Y412" s="1"/>
      <c r="Z412" s="1"/>
    </row>
    <row r="413" ht="15.75" customHeight="1">
      <c r="A413" s="1" t="str">
        <f>IFERROR(__xludf.DUMMYFUNCTION("""COMPUTED_VALUE"""),"Endless Dark Core")</f>
        <v>Endless Dark Core</v>
      </c>
      <c r="B413" s="1" t="str">
        <f>IFERROR(__xludf.DUMMYFUNCTION("""COMPUTED_VALUE"""),"Return a banished character from banishment without having to fight the Keeper of the Banished. (1 use)")</f>
        <v>Return a banished character from banishment without having to fight the Keeper of the Banished. (1 use)</v>
      </c>
      <c r="C413" s="1" t="str">
        <f>IFERROR(__xludf.DUMMYFUNCTION("""COMPUTED_VALUE"""),"Item")</f>
        <v>Item</v>
      </c>
      <c r="D413" s="1" t="str">
        <f>IFERROR(__xludf.DUMMYFUNCTION("""COMPUTED_VALUE"""),"Abstara")</f>
        <v>Abstara</v>
      </c>
      <c r="E413" s="1" t="b">
        <f>IFERROR(__xludf.DUMMYFUNCTION("""COMPUTED_VALUE"""),FALSE)</f>
        <v>0</v>
      </c>
      <c r="F413" s="1"/>
      <c r="G413" s="1"/>
      <c r="H413" s="1"/>
      <c r="I413" s="1"/>
      <c r="J413" s="1"/>
      <c r="K413" s="1"/>
      <c r="L413" s="1"/>
      <c r="M413" s="1"/>
      <c r="N413" s="1"/>
      <c r="O413" s="1"/>
      <c r="P413" s="1"/>
      <c r="Q413" s="1"/>
      <c r="R413" s="1"/>
      <c r="S413" s="1"/>
      <c r="T413" s="1"/>
      <c r="U413" s="1"/>
      <c r="V413" s="1"/>
      <c r="W413" s="1"/>
      <c r="X413" s="1"/>
      <c r="Y413" s="1"/>
      <c r="Z413" s="1"/>
    </row>
    <row r="414" ht="15.75" customHeight="1">
      <c r="A414" s="1" t="str">
        <f>IFERROR(__xludf.DUMMYFUNCTION("""COMPUTED_VALUE"""),"Endless Dark Dragon Scales")</f>
        <v>Endless Dark Dragon Scales</v>
      </c>
      <c r="B414" s="1" t="str">
        <f>IFERROR(__xludf.DUMMYFUNCTION("""COMPUTED_VALUE"""),"Crafting Material, roll a d20 to see how many you get if this is a loot drop.")</f>
        <v>Crafting Material, roll a d20 to see how many you get if this is a loot drop.</v>
      </c>
      <c r="C414" s="1" t="str">
        <f>IFERROR(__xludf.DUMMYFUNCTION("""COMPUTED_VALUE"""),"Item")</f>
        <v>Item</v>
      </c>
      <c r="D414" s="1" t="str">
        <f>IFERROR(__xludf.DUMMYFUNCTION("""COMPUTED_VALUE"""),"Abstara")</f>
        <v>Abstara</v>
      </c>
      <c r="E414" s="1" t="b">
        <f>IFERROR(__xludf.DUMMYFUNCTION("""COMPUTED_VALUE"""),FALSE)</f>
        <v>0</v>
      </c>
      <c r="F414" s="1"/>
      <c r="G414" s="1"/>
      <c r="H414" s="1"/>
      <c r="I414" s="1"/>
      <c r="J414" s="1"/>
      <c r="K414" s="1"/>
      <c r="L414" s="1"/>
      <c r="M414" s="1"/>
      <c r="N414" s="1"/>
      <c r="O414" s="1"/>
      <c r="P414" s="1"/>
      <c r="Q414" s="1"/>
      <c r="R414" s="1"/>
      <c r="S414" s="1"/>
      <c r="T414" s="1"/>
      <c r="U414" s="1"/>
      <c r="V414" s="1"/>
      <c r="W414" s="1"/>
      <c r="X414" s="1"/>
      <c r="Y414" s="1"/>
      <c r="Z414" s="1"/>
    </row>
    <row r="415" ht="15.75" customHeight="1">
      <c r="A415" s="1" t="str">
        <f>IFERROR(__xludf.DUMMYFUNCTION("""COMPUTED_VALUE"""),"Magma Stone")</f>
        <v>Magma Stone</v>
      </c>
      <c r="B415" s="1" t="str">
        <f>IFERROR(__xludf.DUMMYFUNCTION("""COMPUTED_VALUE"""),"Crafting Material, roll a d20 to see how many you get if this is a loot drop.")</f>
        <v>Crafting Material, roll a d20 to see how many you get if this is a loot drop.</v>
      </c>
      <c r="C415" s="1" t="str">
        <f>IFERROR(__xludf.DUMMYFUNCTION("""COMPUTED_VALUE"""),"Item")</f>
        <v>Item</v>
      </c>
      <c r="D415" s="1" t="str">
        <f>IFERROR(__xludf.DUMMYFUNCTION("""COMPUTED_VALUE"""),"Abstara")</f>
        <v>Abstara</v>
      </c>
      <c r="E415" s="1" t="b">
        <f>IFERROR(__xludf.DUMMYFUNCTION("""COMPUTED_VALUE"""),FALSE)</f>
        <v>0</v>
      </c>
      <c r="F415" s="1"/>
      <c r="G415" s="1"/>
      <c r="H415" s="1"/>
      <c r="I415" s="1"/>
      <c r="J415" s="1"/>
      <c r="K415" s="1"/>
      <c r="L415" s="1"/>
      <c r="M415" s="1"/>
      <c r="N415" s="1"/>
      <c r="O415" s="1"/>
      <c r="P415" s="1"/>
      <c r="Q415" s="1"/>
      <c r="R415" s="1"/>
      <c r="S415" s="1"/>
      <c r="T415" s="1"/>
      <c r="U415" s="1"/>
      <c r="V415" s="1"/>
      <c r="W415" s="1"/>
      <c r="X415" s="1"/>
      <c r="Y415" s="1"/>
      <c r="Z415" s="1"/>
    </row>
    <row r="416" ht="15.75" customHeight="1">
      <c r="A416" s="1" t="str">
        <f>IFERROR(__xludf.DUMMYFUNCTION("""COMPUTED_VALUE"""),"Inferno Feather")</f>
        <v>Inferno Feather</v>
      </c>
      <c r="B416" s="1" t="str">
        <f>IFERROR(__xludf.DUMMYFUNCTION("""COMPUTED_VALUE"""),"Crafting Material, roll a d20 to see how many you get if this is a loot drop.")</f>
        <v>Crafting Material, roll a d20 to see how many you get if this is a loot drop.</v>
      </c>
      <c r="C416" s="1" t="str">
        <f>IFERROR(__xludf.DUMMYFUNCTION("""COMPUTED_VALUE"""),"Item")</f>
        <v>Item</v>
      </c>
      <c r="D416" s="1" t="str">
        <f>IFERROR(__xludf.DUMMYFUNCTION("""COMPUTED_VALUE"""),"Abstara")</f>
        <v>Abstara</v>
      </c>
      <c r="E416" s="1" t="b">
        <f>IFERROR(__xludf.DUMMYFUNCTION("""COMPUTED_VALUE"""),FALSE)</f>
        <v>0</v>
      </c>
      <c r="F416" s="1"/>
      <c r="G416" s="1"/>
      <c r="H416" s="1"/>
      <c r="I416" s="1"/>
      <c r="J416" s="1"/>
      <c r="K416" s="1"/>
      <c r="L416" s="1"/>
      <c r="M416" s="1"/>
      <c r="N416" s="1"/>
      <c r="O416" s="1"/>
      <c r="P416" s="1"/>
      <c r="Q416" s="1"/>
      <c r="R416" s="1"/>
      <c r="S416" s="1"/>
      <c r="T416" s="1"/>
      <c r="U416" s="1"/>
      <c r="V416" s="1"/>
      <c r="W416" s="1"/>
      <c r="X416" s="1"/>
      <c r="Y416" s="1"/>
      <c r="Z416" s="1"/>
    </row>
    <row r="417" ht="15.75" customHeight="1">
      <c r="A417" s="1" t="str">
        <f>IFERROR(__xludf.DUMMYFUNCTION("""COMPUTED_VALUE"""),"Ancient Stone Medallion")</f>
        <v>Ancient Stone Medallion</v>
      </c>
      <c r="B417" s="1" t="str">
        <f>IFERROR(__xludf.DUMMYFUNCTION("""COMPUTED_VALUE"""),"Allows access to the Ruins of Mana.")</f>
        <v>Allows access to the Ruins of Mana.</v>
      </c>
      <c r="C417" s="1" t="str">
        <f>IFERROR(__xludf.DUMMYFUNCTION("""COMPUTED_VALUE"""),"Item")</f>
        <v>Item</v>
      </c>
      <c r="D417" s="1" t="str">
        <f>IFERROR(__xludf.DUMMYFUNCTION("""COMPUTED_VALUE"""),"Land of Spira")</f>
        <v>Land of Spira</v>
      </c>
      <c r="E417" s="1" t="b">
        <f>IFERROR(__xludf.DUMMYFUNCTION("""COMPUTED_VALUE"""),FALSE)</f>
        <v>0</v>
      </c>
      <c r="F417" s="1"/>
      <c r="G417" s="1"/>
      <c r="H417" s="1"/>
      <c r="I417" s="1"/>
      <c r="J417" s="1"/>
      <c r="K417" s="1"/>
      <c r="L417" s="1"/>
      <c r="M417" s="1"/>
      <c r="N417" s="1"/>
      <c r="O417" s="1"/>
      <c r="P417" s="1"/>
      <c r="Q417" s="1"/>
      <c r="R417" s="1"/>
      <c r="S417" s="1"/>
      <c r="T417" s="1"/>
      <c r="U417" s="1"/>
      <c r="V417" s="1"/>
      <c r="W417" s="1"/>
      <c r="X417" s="1"/>
      <c r="Y417" s="1"/>
      <c r="Z417" s="1"/>
    </row>
    <row r="418" ht="15.75" customHeight="1">
      <c r="A418" s="1" t="str">
        <f>IFERROR(__xludf.DUMMYFUNCTION("""COMPUTED_VALUE"""),"Vial of Unknown Liquid")</f>
        <v>Vial of Unknown Liquid</v>
      </c>
      <c r="B418" s="1" t="str">
        <f>IFERROR(__xludf.DUMMYFUNCTION("""COMPUTED_VALUE"""),"When consumed, roll a d20. For the next 3 rounds, lose the result d20x100 health and gain the result d20x500SP.")</f>
        <v>When consumed, roll a d20. For the next 3 rounds, lose the result d20x100 health and gain the result d20x500SP.</v>
      </c>
      <c r="C418" s="1" t="str">
        <f>IFERROR(__xludf.DUMMYFUNCTION("""COMPUTED_VALUE"""),"Item")</f>
        <v>Item</v>
      </c>
      <c r="D418" s="1" t="str">
        <f>IFERROR(__xludf.DUMMYFUNCTION("""COMPUTED_VALUE"""),"Land of Spira")</f>
        <v>Land of Spira</v>
      </c>
      <c r="E418" s="1" t="b">
        <f>IFERROR(__xludf.DUMMYFUNCTION("""COMPUTED_VALUE"""),FALSE)</f>
        <v>0</v>
      </c>
      <c r="F418" s="1"/>
      <c r="G418" s="1"/>
      <c r="H418" s="1"/>
      <c r="I418" s="1"/>
      <c r="J418" s="1"/>
      <c r="K418" s="1"/>
      <c r="L418" s="1"/>
      <c r="M418" s="1"/>
      <c r="N418" s="1"/>
      <c r="O418" s="1"/>
      <c r="P418" s="1"/>
      <c r="Q418" s="1"/>
      <c r="R418" s="1"/>
      <c r="S418" s="1"/>
      <c r="T418" s="1"/>
      <c r="U418" s="1"/>
      <c r="V418" s="1"/>
      <c r="W418" s="1"/>
      <c r="X418" s="1"/>
      <c r="Y418" s="1"/>
      <c r="Z418" s="1"/>
    </row>
    <row r="419" ht="15.75" customHeight="1">
      <c r="A419" s="1" t="str">
        <f>IFERROR(__xludf.DUMMYFUNCTION("""COMPUTED_VALUE"""),"Diamond Fishing Pole ")</f>
        <v>Diamond Fishing Pole </v>
      </c>
      <c r="B419" s="1" t="str">
        <f>IFERROR(__xludf.DUMMYFUNCTION("""COMPUTED_VALUE"""),"100/100 Uses. Used for fishing.")</f>
        <v>100/100 Uses. Used for fishing.</v>
      </c>
      <c r="C419" s="1" t="str">
        <f>IFERROR(__xludf.DUMMYFUNCTION("""COMPUTED_VALUE"""),"Item")</f>
        <v>Item</v>
      </c>
      <c r="D419" s="1" t="str">
        <f>IFERROR(__xludf.DUMMYFUNCTION("""COMPUTED_VALUE"""),"Land of Spira")</f>
        <v>Land of Spira</v>
      </c>
      <c r="E419" s="1" t="b">
        <f>IFERROR(__xludf.DUMMYFUNCTION("""COMPUTED_VALUE"""),FALSE)</f>
        <v>0</v>
      </c>
      <c r="F419" s="1"/>
      <c r="G419" s="1"/>
      <c r="H419" s="1"/>
      <c r="I419" s="1"/>
      <c r="J419" s="1"/>
      <c r="K419" s="1"/>
      <c r="L419" s="1"/>
      <c r="M419" s="1"/>
      <c r="N419" s="1"/>
      <c r="O419" s="1"/>
      <c r="P419" s="1"/>
      <c r="Q419" s="1"/>
      <c r="R419" s="1"/>
      <c r="S419" s="1"/>
      <c r="T419" s="1"/>
      <c r="U419" s="1"/>
      <c r="V419" s="1"/>
      <c r="W419" s="1"/>
      <c r="X419" s="1"/>
      <c r="Y419" s="1"/>
      <c r="Z419" s="1"/>
    </row>
    <row r="420" ht="15.75" customHeight="1">
      <c r="A420" s="1" t="str">
        <f>IFERROR(__xludf.DUMMYFUNCTION("""COMPUTED_VALUE"""),"Obsidian Fishing Pole ")</f>
        <v>Obsidian Fishing Pole </v>
      </c>
      <c r="B420" s="1" t="str">
        <f>IFERROR(__xludf.DUMMYFUNCTION("""COMPUTED_VALUE"""),"120/120 Uses. Used for fishing.")</f>
        <v>120/120 Uses. Used for fishing.</v>
      </c>
      <c r="C420" s="1" t="str">
        <f>IFERROR(__xludf.DUMMYFUNCTION("""COMPUTED_VALUE"""),"Item")</f>
        <v>Item</v>
      </c>
      <c r="D420" s="1" t="str">
        <f>IFERROR(__xludf.DUMMYFUNCTION("""COMPUTED_VALUE"""),"Land of Spira")</f>
        <v>Land of Spira</v>
      </c>
      <c r="E420" s="1" t="b">
        <f>IFERROR(__xludf.DUMMYFUNCTION("""COMPUTED_VALUE"""),FALSE)</f>
        <v>0</v>
      </c>
      <c r="F420" s="1"/>
      <c r="G420" s="1"/>
      <c r="H420" s="1"/>
      <c r="I420" s="1"/>
      <c r="J420" s="1"/>
      <c r="K420" s="1"/>
      <c r="L420" s="1"/>
      <c r="M420" s="1"/>
      <c r="N420" s="1"/>
      <c r="O420" s="1"/>
      <c r="P420" s="1"/>
      <c r="Q420" s="1"/>
      <c r="R420" s="1"/>
      <c r="S420" s="1"/>
      <c r="T420" s="1"/>
      <c r="U420" s="1"/>
      <c r="V420" s="1"/>
      <c r="W420" s="1"/>
      <c r="X420" s="1"/>
      <c r="Y420" s="1"/>
      <c r="Z420" s="1"/>
    </row>
    <row r="421" ht="15.75" customHeight="1">
      <c r="A421" s="1" t="str">
        <f>IFERROR(__xludf.DUMMYFUNCTION("""COMPUTED_VALUE"""),"Golden Pickaxe")</f>
        <v>Golden Pickaxe</v>
      </c>
      <c r="B421" s="1" t="str">
        <f>IFERROR(__xludf.DUMMYFUNCTION("""COMPUTED_VALUE"""),"80/80 Uses. Used for mining.")</f>
        <v>80/80 Uses. Used for mining.</v>
      </c>
      <c r="C421" s="1" t="str">
        <f>IFERROR(__xludf.DUMMYFUNCTION("""COMPUTED_VALUE"""),"Item")</f>
        <v>Item</v>
      </c>
      <c r="D421" s="1" t="str">
        <f>IFERROR(__xludf.DUMMYFUNCTION("""COMPUTED_VALUE"""),"Land of Spira")</f>
        <v>Land of Spira</v>
      </c>
      <c r="E421" s="1" t="b">
        <f>IFERROR(__xludf.DUMMYFUNCTION("""COMPUTED_VALUE"""),FALSE)</f>
        <v>0</v>
      </c>
      <c r="F421" s="1"/>
      <c r="G421" s="1"/>
      <c r="H421" s="1"/>
      <c r="I421" s="1"/>
      <c r="J421" s="1"/>
      <c r="K421" s="1"/>
      <c r="L421" s="1"/>
      <c r="M421" s="1"/>
      <c r="N421" s="1"/>
      <c r="O421" s="1"/>
      <c r="P421" s="1"/>
      <c r="Q421" s="1"/>
      <c r="R421" s="1"/>
      <c r="S421" s="1"/>
      <c r="T421" s="1"/>
      <c r="U421" s="1"/>
      <c r="V421" s="1"/>
      <c r="W421" s="1"/>
      <c r="X421" s="1"/>
      <c r="Y421" s="1"/>
      <c r="Z421" s="1"/>
    </row>
    <row r="422" ht="15.75" customHeight="1">
      <c r="A422" s="1" t="str">
        <f>IFERROR(__xludf.DUMMYFUNCTION("""COMPUTED_VALUE"""),"Wooden Pickaxe")</f>
        <v>Wooden Pickaxe</v>
      </c>
      <c r="B422" s="1" t="str">
        <f>IFERROR(__xludf.DUMMYFUNCTION("""COMPUTED_VALUE"""),"10/10 Uses. Used for mining.")</f>
        <v>10/10 Uses. Used for mining.</v>
      </c>
      <c r="C422" s="1" t="str">
        <f>IFERROR(__xludf.DUMMYFUNCTION("""COMPUTED_VALUE"""),"Item")</f>
        <v>Item</v>
      </c>
      <c r="D422" s="1" t="str">
        <f>IFERROR(__xludf.DUMMYFUNCTION("""COMPUTED_VALUE"""),"Land of Spira")</f>
        <v>Land of Spira</v>
      </c>
      <c r="E422" s="1" t="b">
        <f>IFERROR(__xludf.DUMMYFUNCTION("""COMPUTED_VALUE"""),FALSE)</f>
        <v>0</v>
      </c>
      <c r="F422" s="1"/>
      <c r="G422" s="1"/>
      <c r="H422" s="1"/>
      <c r="I422" s="1"/>
      <c r="J422" s="1"/>
      <c r="K422" s="1"/>
      <c r="L422" s="1"/>
      <c r="M422" s="1"/>
      <c r="N422" s="1"/>
      <c r="O422" s="1"/>
      <c r="P422" s="1"/>
      <c r="Q422" s="1"/>
      <c r="R422" s="1"/>
      <c r="S422" s="1"/>
      <c r="T422" s="1"/>
      <c r="U422" s="1"/>
      <c r="V422" s="1"/>
      <c r="W422" s="1"/>
      <c r="X422" s="1"/>
      <c r="Y422" s="1"/>
      <c r="Z422" s="1"/>
    </row>
    <row r="423" ht="15.75" customHeight="1">
      <c r="A423" s="1" t="str">
        <f>IFERROR(__xludf.DUMMYFUNCTION("""COMPUTED_VALUE"""),"Iron Pickaxe")</f>
        <v>Iron Pickaxe</v>
      </c>
      <c r="B423" s="1" t="str">
        <f>IFERROR(__xludf.DUMMYFUNCTION("""COMPUTED_VALUE"""),"20/20 Uses. Used for mining.")</f>
        <v>20/20 Uses. Used for mining.</v>
      </c>
      <c r="C423" s="1" t="str">
        <f>IFERROR(__xludf.DUMMYFUNCTION("""COMPUTED_VALUE"""),"Item")</f>
        <v>Item</v>
      </c>
      <c r="D423" s="1" t="str">
        <f>IFERROR(__xludf.DUMMYFUNCTION("""COMPUTED_VALUE"""),"Land of Spira")</f>
        <v>Land of Spira</v>
      </c>
      <c r="E423" s="1" t="b">
        <f>IFERROR(__xludf.DUMMYFUNCTION("""COMPUTED_VALUE"""),FALSE)</f>
        <v>0</v>
      </c>
      <c r="F423" s="1"/>
      <c r="G423" s="1"/>
      <c r="H423" s="1"/>
      <c r="I423" s="1"/>
      <c r="J423" s="1"/>
      <c r="K423" s="1"/>
      <c r="L423" s="1"/>
      <c r="M423" s="1"/>
      <c r="N423" s="1"/>
      <c r="O423" s="1"/>
      <c r="P423" s="1"/>
      <c r="Q423" s="1"/>
      <c r="R423" s="1"/>
      <c r="S423" s="1"/>
      <c r="T423" s="1"/>
      <c r="U423" s="1"/>
      <c r="V423" s="1"/>
      <c r="W423" s="1"/>
      <c r="X423" s="1"/>
      <c r="Y423" s="1"/>
      <c r="Z423" s="1"/>
    </row>
    <row r="424" ht="15.75" customHeight="1">
      <c r="A424" s="1" t="str">
        <f>IFERROR(__xludf.DUMMYFUNCTION("""COMPUTED_VALUE"""),"Silver Pickaxe")</f>
        <v>Silver Pickaxe</v>
      </c>
      <c r="B424" s="1" t="str">
        <f>IFERROR(__xludf.DUMMYFUNCTION("""COMPUTED_VALUE"""),"60/60 Uses. Used for mining.")</f>
        <v>60/60 Uses. Used for mining.</v>
      </c>
      <c r="C424" s="1" t="str">
        <f>IFERROR(__xludf.DUMMYFUNCTION("""COMPUTED_VALUE"""),"Item")</f>
        <v>Item</v>
      </c>
      <c r="D424" s="1" t="str">
        <f>IFERROR(__xludf.DUMMYFUNCTION("""COMPUTED_VALUE"""),"Land of Spira")</f>
        <v>Land of Spira</v>
      </c>
      <c r="E424" s="1" t="b">
        <f>IFERROR(__xludf.DUMMYFUNCTION("""COMPUTED_VALUE"""),FALSE)</f>
        <v>0</v>
      </c>
      <c r="F424" s="1"/>
      <c r="G424" s="1"/>
      <c r="H424" s="1"/>
      <c r="I424" s="1"/>
      <c r="J424" s="1"/>
      <c r="K424" s="1"/>
      <c r="L424" s="1"/>
      <c r="M424" s="1"/>
      <c r="N424" s="1"/>
      <c r="O424" s="1"/>
      <c r="P424" s="1"/>
      <c r="Q424" s="1"/>
      <c r="R424" s="1"/>
      <c r="S424" s="1"/>
      <c r="T424" s="1"/>
      <c r="U424" s="1"/>
      <c r="V424" s="1"/>
      <c r="W424" s="1"/>
      <c r="X424" s="1"/>
      <c r="Y424" s="1"/>
      <c r="Z424" s="1"/>
    </row>
    <row r="425" ht="15.75" customHeight="1">
      <c r="A425" s="1" t="str">
        <f>IFERROR(__xludf.DUMMYFUNCTION("""COMPUTED_VALUE"""),"Diamond Pickaxe")</f>
        <v>Diamond Pickaxe</v>
      </c>
      <c r="B425" s="1" t="str">
        <f>IFERROR(__xludf.DUMMYFUNCTION("""COMPUTED_VALUE"""),"100/100 Uses. Used for mining.")</f>
        <v>100/100 Uses. Used for mining.</v>
      </c>
      <c r="C425" s="1" t="str">
        <f>IFERROR(__xludf.DUMMYFUNCTION("""COMPUTED_VALUE"""),"Item")</f>
        <v>Item</v>
      </c>
      <c r="D425" s="1" t="str">
        <f>IFERROR(__xludf.DUMMYFUNCTION("""COMPUTED_VALUE"""),"Land of Spira")</f>
        <v>Land of Spira</v>
      </c>
      <c r="E425" s="1" t="b">
        <f>IFERROR(__xludf.DUMMYFUNCTION("""COMPUTED_VALUE"""),FALSE)</f>
        <v>0</v>
      </c>
      <c r="F425" s="1"/>
      <c r="G425" s="1"/>
      <c r="H425" s="1"/>
      <c r="I425" s="1"/>
      <c r="J425" s="1"/>
      <c r="K425" s="1"/>
      <c r="L425" s="1"/>
      <c r="M425" s="1"/>
      <c r="N425" s="1"/>
      <c r="O425" s="1"/>
      <c r="P425" s="1"/>
      <c r="Q425" s="1"/>
      <c r="R425" s="1"/>
      <c r="S425" s="1"/>
      <c r="T425" s="1"/>
      <c r="U425" s="1"/>
      <c r="V425" s="1"/>
      <c r="W425" s="1"/>
      <c r="X425" s="1"/>
      <c r="Y425" s="1"/>
      <c r="Z425" s="1"/>
    </row>
    <row r="426" ht="15.75" customHeight="1">
      <c r="A426" s="1" t="str">
        <f>IFERROR(__xludf.DUMMYFUNCTION("""COMPUTED_VALUE"""),"Obsidian Pickaxe")</f>
        <v>Obsidian Pickaxe</v>
      </c>
      <c r="B426" s="1" t="str">
        <f>IFERROR(__xludf.DUMMYFUNCTION("""COMPUTED_VALUE"""),"120/120 Uses. Used for mining.")</f>
        <v>120/120 Uses. Used for mining.</v>
      </c>
      <c r="C426" s="1" t="str">
        <f>IFERROR(__xludf.DUMMYFUNCTION("""COMPUTED_VALUE"""),"Item")</f>
        <v>Item</v>
      </c>
      <c r="D426" s="1" t="str">
        <f>IFERROR(__xludf.DUMMYFUNCTION("""COMPUTED_VALUE"""),"Land of Spira")</f>
        <v>Land of Spira</v>
      </c>
      <c r="E426" s="1" t="b">
        <f>IFERROR(__xludf.DUMMYFUNCTION("""COMPUTED_VALUE"""),FALSE)</f>
        <v>0</v>
      </c>
      <c r="F426" s="1"/>
      <c r="G426" s="1"/>
      <c r="H426" s="1"/>
      <c r="I426" s="1"/>
      <c r="J426" s="1"/>
      <c r="K426" s="1"/>
      <c r="L426" s="1"/>
      <c r="M426" s="1"/>
      <c r="N426" s="1"/>
      <c r="O426" s="1"/>
      <c r="P426" s="1"/>
      <c r="Q426" s="1"/>
      <c r="R426" s="1"/>
      <c r="S426" s="1"/>
      <c r="T426" s="1"/>
      <c r="U426" s="1"/>
      <c r="V426" s="1"/>
      <c r="W426" s="1"/>
      <c r="X426" s="1"/>
      <c r="Y426" s="1"/>
      <c r="Z426" s="1"/>
    </row>
    <row r="427" ht="15.75" customHeight="1">
      <c r="A427" s="1" t="str">
        <f>IFERROR(__xludf.DUMMYFUNCTION("""COMPUTED_VALUE"""),"Fire Fishing Pole ")</f>
        <v>Fire Fishing Pole </v>
      </c>
      <c r="B427" s="1" t="str">
        <f>IFERROR(__xludf.DUMMYFUNCTION("""COMPUTED_VALUE"""),"Made out of Iron. 20/20 Uses. Will cook fish caught giving them an additional hunger. Used for fishing.")</f>
        <v>Made out of Iron. 20/20 Uses. Will cook fish caught giving them an additional hunger. Used for fishing.</v>
      </c>
      <c r="C427" s="1" t="str">
        <f>IFERROR(__xludf.DUMMYFUNCTION("""COMPUTED_VALUE"""),"Crop")</f>
        <v>Crop</v>
      </c>
      <c r="D427" s="1" t="str">
        <f>IFERROR(__xludf.DUMMYFUNCTION("""COMPUTED_VALUE"""),"Land of Spira")</f>
        <v>Land of Spira</v>
      </c>
      <c r="E427" s="1" t="b">
        <f>IFERROR(__xludf.DUMMYFUNCTION("""COMPUTED_VALUE"""),FALSE)</f>
        <v>0</v>
      </c>
      <c r="F427" s="1"/>
      <c r="G427" s="1"/>
      <c r="H427" s="1"/>
      <c r="I427" s="1"/>
      <c r="J427" s="1"/>
      <c r="K427" s="1"/>
      <c r="L427" s="1"/>
      <c r="M427" s="1"/>
      <c r="N427" s="1"/>
      <c r="O427" s="1"/>
      <c r="P427" s="1"/>
      <c r="Q427" s="1"/>
      <c r="R427" s="1"/>
      <c r="S427" s="1"/>
      <c r="T427" s="1"/>
      <c r="U427" s="1"/>
      <c r="V427" s="1"/>
      <c r="W427" s="1"/>
      <c r="X427" s="1"/>
      <c r="Y427" s="1"/>
      <c r="Z427" s="1"/>
    </row>
    <row r="428" ht="15.75" customHeight="1">
      <c r="A428" s="1" t="str">
        <f>IFERROR(__xludf.DUMMYFUNCTION("""COMPUTED_VALUE"""),"Golden Fishing Pole ")</f>
        <v>Golden Fishing Pole </v>
      </c>
      <c r="B428" s="1" t="str">
        <f>IFERROR(__xludf.DUMMYFUNCTION("""COMPUTED_VALUE"""),"80/80 uses. Used for fishing.")</f>
        <v>80/80 uses. Used for fishing.</v>
      </c>
      <c r="C428" s="1" t="str">
        <f>IFERROR(__xludf.DUMMYFUNCTION("""COMPUTED_VALUE"""),"Item")</f>
        <v>Item</v>
      </c>
      <c r="D428" s="1" t="str">
        <f>IFERROR(__xludf.DUMMYFUNCTION("""COMPUTED_VALUE"""),"Land of Spira")</f>
        <v>Land of Spira</v>
      </c>
      <c r="E428" s="1" t="b">
        <f>IFERROR(__xludf.DUMMYFUNCTION("""COMPUTED_VALUE"""),FALSE)</f>
        <v>0</v>
      </c>
      <c r="F428" s="1"/>
      <c r="G428" s="1"/>
      <c r="H428" s="1"/>
      <c r="I428" s="1"/>
      <c r="J428" s="1"/>
      <c r="K428" s="1"/>
      <c r="L428" s="1"/>
      <c r="M428" s="1"/>
      <c r="N428" s="1"/>
      <c r="O428" s="1"/>
      <c r="P428" s="1"/>
      <c r="Q428" s="1"/>
      <c r="R428" s="1"/>
      <c r="S428" s="1"/>
      <c r="T428" s="1"/>
      <c r="U428" s="1"/>
      <c r="V428" s="1"/>
      <c r="W428" s="1"/>
      <c r="X428" s="1"/>
      <c r="Y428" s="1"/>
      <c r="Z428" s="1"/>
    </row>
    <row r="429" ht="15.75" customHeight="1">
      <c r="A429" s="1" t="str">
        <f>IFERROR(__xludf.DUMMYFUNCTION("""COMPUTED_VALUE"""),"Wooden Fishing Pole ")</f>
        <v>Wooden Fishing Pole </v>
      </c>
      <c r="B429" s="1" t="str">
        <f>IFERROR(__xludf.DUMMYFUNCTION("""COMPUTED_VALUE"""),"10/10 uses. Used for fishing.")</f>
        <v>10/10 uses. Used for fishing.</v>
      </c>
      <c r="C429" s="1" t="str">
        <f>IFERROR(__xludf.DUMMYFUNCTION("""COMPUTED_VALUE"""),"Item")</f>
        <v>Item</v>
      </c>
      <c r="D429" s="1" t="str">
        <f>IFERROR(__xludf.DUMMYFUNCTION("""COMPUTED_VALUE"""),"Land of Spira")</f>
        <v>Land of Spira</v>
      </c>
      <c r="E429" s="1" t="b">
        <f>IFERROR(__xludf.DUMMYFUNCTION("""COMPUTED_VALUE"""),FALSE)</f>
        <v>0</v>
      </c>
      <c r="F429" s="1"/>
      <c r="G429" s="1"/>
      <c r="H429" s="1"/>
      <c r="I429" s="1"/>
      <c r="J429" s="1"/>
      <c r="K429" s="1"/>
      <c r="L429" s="1"/>
      <c r="M429" s="1"/>
      <c r="N429" s="1"/>
      <c r="O429" s="1"/>
      <c r="P429" s="1"/>
      <c r="Q429" s="1"/>
      <c r="R429" s="1"/>
      <c r="S429" s="1"/>
      <c r="T429" s="1"/>
      <c r="U429" s="1"/>
      <c r="V429" s="1"/>
      <c r="W429" s="1"/>
      <c r="X429" s="1"/>
      <c r="Y429" s="1"/>
      <c r="Z429" s="1"/>
    </row>
    <row r="430" ht="15.75" customHeight="1">
      <c r="A430" s="1" t="str">
        <f>IFERROR(__xludf.DUMMYFUNCTION("""COMPUTED_VALUE"""),"Steel Fishing Pole ")</f>
        <v>Steel Fishing Pole </v>
      </c>
      <c r="B430" s="1" t="str">
        <f>IFERROR(__xludf.DUMMYFUNCTION("""COMPUTED_VALUE"""),"40/40 Uses. Used for fishing.")</f>
        <v>40/40 Uses. Used for fishing.</v>
      </c>
      <c r="C430" s="1" t="str">
        <f>IFERROR(__xludf.DUMMYFUNCTION("""COMPUTED_VALUE"""),"Item")</f>
        <v>Item</v>
      </c>
      <c r="D430" s="1" t="str">
        <f>IFERROR(__xludf.DUMMYFUNCTION("""COMPUTED_VALUE"""),"Land of Spira")</f>
        <v>Land of Spira</v>
      </c>
      <c r="E430" s="1" t="b">
        <f>IFERROR(__xludf.DUMMYFUNCTION("""COMPUTED_VALUE"""),FALSE)</f>
        <v>0</v>
      </c>
      <c r="F430" s="1"/>
      <c r="G430" s="1"/>
      <c r="H430" s="1"/>
      <c r="I430" s="1"/>
      <c r="J430" s="1"/>
      <c r="K430" s="1"/>
      <c r="L430" s="1"/>
      <c r="M430" s="1"/>
      <c r="N430" s="1"/>
      <c r="O430" s="1"/>
      <c r="P430" s="1"/>
      <c r="Q430" s="1"/>
      <c r="R430" s="1"/>
      <c r="S430" s="1"/>
      <c r="T430" s="1"/>
      <c r="U430" s="1"/>
      <c r="V430" s="1"/>
      <c r="W430" s="1"/>
      <c r="X430" s="1"/>
      <c r="Y430" s="1"/>
      <c r="Z430" s="1"/>
    </row>
    <row r="431" ht="15.75" customHeight="1">
      <c r="A431" s="1" t="str">
        <f>IFERROR(__xludf.DUMMYFUNCTION("""COMPUTED_VALUE"""),"Silver Fishing Pole ")</f>
        <v>Silver Fishing Pole </v>
      </c>
      <c r="B431" s="1" t="str">
        <f>IFERROR(__xludf.DUMMYFUNCTION("""COMPUTED_VALUE"""),"60/60 Uses. Used for fishing.")</f>
        <v>60/60 Uses. Used for fishing.</v>
      </c>
      <c r="C431" s="1" t="str">
        <f>IFERROR(__xludf.DUMMYFUNCTION("""COMPUTED_VALUE"""),"Item")</f>
        <v>Item</v>
      </c>
      <c r="D431" s="1" t="str">
        <f>IFERROR(__xludf.DUMMYFUNCTION("""COMPUTED_VALUE"""),"Land of Spira")</f>
        <v>Land of Spira</v>
      </c>
      <c r="E431" s="1" t="b">
        <f>IFERROR(__xludf.DUMMYFUNCTION("""COMPUTED_VALUE"""),FALSE)</f>
        <v>0</v>
      </c>
      <c r="F431" s="1"/>
      <c r="G431" s="1"/>
      <c r="H431" s="1"/>
      <c r="I431" s="1"/>
      <c r="J431" s="1"/>
      <c r="K431" s="1"/>
      <c r="L431" s="1"/>
      <c r="M431" s="1"/>
      <c r="N431" s="1"/>
      <c r="O431" s="1"/>
      <c r="P431" s="1"/>
      <c r="Q431" s="1"/>
      <c r="R431" s="1"/>
      <c r="S431" s="1"/>
      <c r="T431" s="1"/>
      <c r="U431" s="1"/>
      <c r="V431" s="1"/>
      <c r="W431" s="1"/>
      <c r="X431" s="1"/>
      <c r="Y431" s="1"/>
      <c r="Z431" s="1"/>
    </row>
    <row r="432" ht="15.75" customHeight="1">
      <c r="A432" s="1" t="str">
        <f>IFERROR(__xludf.DUMMYFUNCTION("""COMPUTED_VALUE"""),"Iron Fishing Pole ")</f>
        <v>Iron Fishing Pole </v>
      </c>
      <c r="B432" s="1" t="str">
        <f>IFERROR(__xludf.DUMMYFUNCTION("""COMPUTED_VALUE"""),"20/20 Uses. Used for fishing.")</f>
        <v>20/20 Uses. Used for fishing.</v>
      </c>
      <c r="C432" s="1" t="str">
        <f>IFERROR(__xludf.DUMMYFUNCTION("""COMPUTED_VALUE"""),"Item")</f>
        <v>Item</v>
      </c>
      <c r="D432" s="1" t="str">
        <f>IFERROR(__xludf.DUMMYFUNCTION("""COMPUTED_VALUE"""),"Land of Spira")</f>
        <v>Land of Spira</v>
      </c>
      <c r="E432" s="1" t="b">
        <f>IFERROR(__xludf.DUMMYFUNCTION("""COMPUTED_VALUE"""),FALSE)</f>
        <v>0</v>
      </c>
      <c r="F432" s="1"/>
      <c r="G432" s="1"/>
      <c r="H432" s="1"/>
      <c r="I432" s="1"/>
      <c r="J432" s="1"/>
      <c r="K432" s="1"/>
      <c r="L432" s="1"/>
      <c r="M432" s="1"/>
      <c r="N432" s="1"/>
      <c r="O432" s="1"/>
      <c r="P432" s="1"/>
      <c r="Q432" s="1"/>
      <c r="R432" s="1"/>
      <c r="S432" s="1"/>
      <c r="T432" s="1"/>
      <c r="U432" s="1"/>
      <c r="V432" s="1"/>
      <c r="W432" s="1"/>
      <c r="X432" s="1"/>
      <c r="Y432" s="1"/>
      <c r="Z432" s="1"/>
    </row>
    <row r="433" ht="15.75" customHeight="1">
      <c r="A433" s="1" t="str">
        <f>IFERROR(__xludf.DUMMYFUNCTION("""COMPUTED_VALUE"""),"Elemental Crystal")</f>
        <v>Elemental Crystal</v>
      </c>
      <c r="B433" s="1" t="str">
        <f>IFERROR(__xludf.DUMMYFUNCTION("""COMPUTED_VALUE"""),"Crafting Material, roll a d20 to see how many you get if this is a loot drop.")</f>
        <v>Crafting Material, roll a d20 to see how many you get if this is a loot drop.</v>
      </c>
      <c r="C433" s="1" t="str">
        <f>IFERROR(__xludf.DUMMYFUNCTION("""COMPUTED_VALUE"""),"Item")</f>
        <v>Item</v>
      </c>
      <c r="D433" s="1" t="str">
        <f>IFERROR(__xludf.DUMMYFUNCTION("""COMPUTED_VALUE"""),"Land of Spira")</f>
        <v>Land of Spira</v>
      </c>
      <c r="E433" s="1" t="b">
        <f>IFERROR(__xludf.DUMMYFUNCTION("""COMPUTED_VALUE"""),FALSE)</f>
        <v>0</v>
      </c>
      <c r="F433" s="1"/>
      <c r="G433" s="1"/>
      <c r="H433" s="1"/>
      <c r="I433" s="1"/>
      <c r="J433" s="1"/>
      <c r="K433" s="1"/>
      <c r="L433" s="1"/>
      <c r="M433" s="1"/>
      <c r="N433" s="1"/>
      <c r="O433" s="1"/>
      <c r="P433" s="1"/>
      <c r="Q433" s="1"/>
      <c r="R433" s="1"/>
      <c r="S433" s="1"/>
      <c r="T433" s="1"/>
      <c r="U433" s="1"/>
      <c r="V433" s="1"/>
      <c r="W433" s="1"/>
      <c r="X433" s="1"/>
      <c r="Y433" s="1"/>
      <c r="Z433" s="1"/>
    </row>
    <row r="434" ht="15.75" customHeight="1">
      <c r="A434" s="1" t="str">
        <f>IFERROR(__xludf.DUMMYFUNCTION("""COMPUTED_VALUE"""),"Leather")</f>
        <v>Leather</v>
      </c>
      <c r="B434" s="1" t="str">
        <f>IFERROR(__xludf.DUMMYFUNCTION("""COMPUTED_VALUE"""),"Crafting Material, roll a d20 to see how many you get if this is a loot drop.")</f>
        <v>Crafting Material, roll a d20 to see how many you get if this is a loot drop.</v>
      </c>
      <c r="C434" s="1" t="str">
        <f>IFERROR(__xludf.DUMMYFUNCTION("""COMPUTED_VALUE"""),"Item")</f>
        <v>Item</v>
      </c>
      <c r="D434" s="1" t="str">
        <f>IFERROR(__xludf.DUMMYFUNCTION("""COMPUTED_VALUE"""),"Land of Spira")</f>
        <v>Land of Spira</v>
      </c>
      <c r="E434" s="1" t="b">
        <f>IFERROR(__xludf.DUMMYFUNCTION("""COMPUTED_VALUE"""),FALSE)</f>
        <v>0</v>
      </c>
      <c r="F434" s="1"/>
      <c r="G434" s="1"/>
      <c r="H434" s="1"/>
      <c r="I434" s="1"/>
      <c r="J434" s="1"/>
      <c r="K434" s="1"/>
      <c r="L434" s="1"/>
      <c r="M434" s="1"/>
      <c r="N434" s="1"/>
      <c r="O434" s="1"/>
      <c r="P434" s="1"/>
      <c r="Q434" s="1"/>
      <c r="R434" s="1"/>
      <c r="S434" s="1"/>
      <c r="T434" s="1"/>
      <c r="U434" s="1"/>
      <c r="V434" s="1"/>
      <c r="W434" s="1"/>
      <c r="X434" s="1"/>
      <c r="Y434" s="1"/>
      <c r="Z434" s="1"/>
    </row>
    <row r="435" ht="15.75" customHeight="1">
      <c r="A435" s="1" t="str">
        <f>IFERROR(__xludf.DUMMYFUNCTION("""COMPUTED_VALUE"""),"Pearlescent Fishing Rod ")</f>
        <v>Pearlescent Fishing Rod </v>
      </c>
      <c r="B435" s="1" t="str">
        <f>IFERROR(__xludf.DUMMYFUNCTION("""COMPUTED_VALUE"""),"Allows lava fishing, Unbreakable.")</f>
        <v>Allows lava fishing, Unbreakable.</v>
      </c>
      <c r="C435" s="1" t="str">
        <f>IFERROR(__xludf.DUMMYFUNCTION("""COMPUTED_VALUE"""),"Item")</f>
        <v>Item</v>
      </c>
      <c r="D435" s="1" t="str">
        <f>IFERROR(__xludf.DUMMYFUNCTION("""COMPUTED_VALUE"""),"Abstara")</f>
        <v>Abstara</v>
      </c>
      <c r="E435" s="1" t="b">
        <f>IFERROR(__xludf.DUMMYFUNCTION("""COMPUTED_VALUE"""),FALSE)</f>
        <v>0</v>
      </c>
      <c r="F435" s="1"/>
      <c r="G435" s="1"/>
      <c r="H435" s="1"/>
      <c r="I435" s="1"/>
      <c r="J435" s="1"/>
      <c r="K435" s="1"/>
      <c r="L435" s="1"/>
      <c r="M435" s="1"/>
      <c r="N435" s="1"/>
      <c r="O435" s="1"/>
      <c r="P435" s="1"/>
      <c r="Q435" s="1"/>
      <c r="R435" s="1"/>
      <c r="S435" s="1"/>
      <c r="T435" s="1"/>
      <c r="U435" s="1"/>
      <c r="V435" s="1"/>
      <c r="W435" s="1"/>
      <c r="X435" s="1"/>
      <c r="Y435" s="1"/>
      <c r="Z435" s="1"/>
    </row>
    <row r="436" ht="15.75" customHeight="1">
      <c r="A436" s="1" t="str">
        <f>IFERROR(__xludf.DUMMYFUNCTION("""COMPUTED_VALUE"""),"Mithril")</f>
        <v>Mithril</v>
      </c>
      <c r="B436" s="1"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1" t="str">
        <f>IFERROR(__xludf.DUMMYFUNCTION("""COMPUTED_VALUE"""),"Item")</f>
        <v>Item</v>
      </c>
      <c r="D436" s="1" t="str">
        <f>IFERROR(__xludf.DUMMYFUNCTION("""COMPUTED_VALUE"""),"Land of Spira")</f>
        <v>Land of Spira</v>
      </c>
      <c r="E436" s="1" t="b">
        <f>IFERROR(__xludf.DUMMYFUNCTION("""COMPUTED_VALUE"""),FALSE)</f>
        <v>0</v>
      </c>
      <c r="F436" s="1"/>
      <c r="G436" s="1"/>
      <c r="H436" s="1"/>
      <c r="I436" s="1"/>
      <c r="J436" s="1"/>
      <c r="K436" s="1"/>
      <c r="L436" s="1"/>
      <c r="M436" s="1"/>
      <c r="N436" s="1"/>
      <c r="O436" s="1"/>
      <c r="P436" s="1"/>
      <c r="Q436" s="1"/>
      <c r="R436" s="1"/>
      <c r="S436" s="1"/>
      <c r="T436" s="1"/>
      <c r="U436" s="1"/>
      <c r="V436" s="1"/>
      <c r="W436" s="1"/>
      <c r="X436" s="1"/>
      <c r="Y436" s="1"/>
      <c r="Z436" s="1"/>
    </row>
    <row r="437" ht="15.75" customHeight="1">
      <c r="A437" s="1" t="str">
        <f>IFERROR(__xludf.DUMMYFUNCTION("""COMPUTED_VALUE"""),"Enchanted Leather")</f>
        <v>Enchanted Leather</v>
      </c>
      <c r="B437" s="1" t="str">
        <f>IFERROR(__xludf.DUMMYFUNCTION("""COMPUTED_VALUE"""),"Crafting Material, roll a d20 to see how many you get if this is a loot drop.")</f>
        <v>Crafting Material, roll a d20 to see how many you get if this is a loot drop.</v>
      </c>
      <c r="C437" s="1" t="str">
        <f>IFERROR(__xludf.DUMMYFUNCTION("""COMPUTED_VALUE"""),"Item")</f>
        <v>Item</v>
      </c>
      <c r="D437" s="1" t="str">
        <f>IFERROR(__xludf.DUMMYFUNCTION("""COMPUTED_VALUE"""),"Dragonscale Island")</f>
        <v>Dragonscale Island</v>
      </c>
      <c r="E437" s="1" t="b">
        <f>IFERROR(__xludf.DUMMYFUNCTION("""COMPUTED_VALUE"""),FALSE)</f>
        <v>0</v>
      </c>
      <c r="F437" s="1"/>
      <c r="G437" s="1"/>
      <c r="H437" s="1"/>
      <c r="I437" s="1"/>
      <c r="J437" s="1"/>
      <c r="K437" s="1"/>
      <c r="L437" s="1"/>
      <c r="M437" s="1"/>
      <c r="N437" s="1"/>
      <c r="O437" s="1"/>
      <c r="P437" s="1"/>
      <c r="Q437" s="1"/>
      <c r="R437" s="1"/>
      <c r="S437" s="1"/>
      <c r="T437" s="1"/>
      <c r="U437" s="1"/>
      <c r="V437" s="1"/>
      <c r="W437" s="1"/>
      <c r="X437" s="1"/>
      <c r="Y437" s="1"/>
      <c r="Z437" s="1"/>
    </row>
    <row r="438" ht="15.75" customHeight="1">
      <c r="A438" s="1" t="str">
        <f>IFERROR(__xludf.DUMMYFUNCTION("""COMPUTED_VALUE"""),"Dart")</f>
        <v>Dart</v>
      </c>
      <c r="B438" s="1" t="str">
        <f>IFERROR(__xludf.DUMMYFUNCTION("""COMPUTED_VALUE"""),"Ammo")</f>
        <v>Ammo</v>
      </c>
      <c r="C438" s="1" t="str">
        <f>IFERROR(__xludf.DUMMYFUNCTION("""COMPUTED_VALUE"""),"Item")</f>
        <v>Item</v>
      </c>
      <c r="D438" s="1" t="str">
        <f>IFERROR(__xludf.DUMMYFUNCTION("""COMPUTED_VALUE"""),"Dragonscale Island")</f>
        <v>Dragonscale Island</v>
      </c>
      <c r="E438" s="1" t="b">
        <f>IFERROR(__xludf.DUMMYFUNCTION("""COMPUTED_VALUE"""),FALSE)</f>
        <v>0</v>
      </c>
      <c r="F438" s="1"/>
      <c r="G438" s="1"/>
      <c r="H438" s="1"/>
      <c r="I438" s="1"/>
      <c r="J438" s="1"/>
      <c r="K438" s="1"/>
      <c r="L438" s="1"/>
      <c r="M438" s="1"/>
      <c r="N438" s="1"/>
      <c r="O438" s="1"/>
      <c r="P438" s="1"/>
      <c r="Q438" s="1"/>
      <c r="R438" s="1"/>
      <c r="S438" s="1"/>
      <c r="T438" s="1"/>
      <c r="U438" s="1"/>
      <c r="V438" s="1"/>
      <c r="W438" s="1"/>
      <c r="X438" s="1"/>
      <c r="Y438" s="1"/>
      <c r="Z438" s="1"/>
    </row>
    <row r="439" ht="15.75" customHeight="1">
      <c r="A439" s="1" t="str">
        <f>IFERROR(__xludf.DUMMYFUNCTION("""COMPUTED_VALUE"""),"Golden Coin")</f>
        <v>Golden Coin</v>
      </c>
      <c r="B439" s="1"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1" t="str">
        <f>IFERROR(__xludf.DUMMYFUNCTION("""COMPUTED_VALUE"""),"Item")</f>
        <v>Item</v>
      </c>
      <c r="D439" s="1" t="str">
        <f>IFERROR(__xludf.DUMMYFUNCTION("""COMPUTED_VALUE"""),"Land of Spira")</f>
        <v>Land of Spira</v>
      </c>
      <c r="E439" s="1" t="b">
        <f>IFERROR(__xludf.DUMMYFUNCTION("""COMPUTED_VALUE"""),FALSE)</f>
        <v>0</v>
      </c>
      <c r="F439" s="1"/>
      <c r="G439" s="1"/>
      <c r="H439" s="1"/>
      <c r="I439" s="1"/>
      <c r="J439" s="1"/>
      <c r="K439" s="1"/>
      <c r="L439" s="1"/>
      <c r="M439" s="1"/>
      <c r="N439" s="1"/>
      <c r="O439" s="1"/>
      <c r="P439" s="1"/>
      <c r="Q439" s="1"/>
      <c r="R439" s="1"/>
      <c r="S439" s="1"/>
      <c r="T439" s="1"/>
      <c r="U439" s="1"/>
      <c r="V439" s="1"/>
      <c r="W439" s="1"/>
      <c r="X439" s="1"/>
      <c r="Y439" s="1"/>
      <c r="Z439" s="1"/>
    </row>
    <row r="440" ht="15.75" customHeight="1">
      <c r="A440" s="1" t="str">
        <f>IFERROR(__xludf.DUMMYFUNCTION("""COMPUTED_VALUE"""),"Oil lamp")</f>
        <v>Oil lamp</v>
      </c>
      <c r="B440" s="1" t="str">
        <f>IFERROR(__xludf.DUMMYFUNCTION("""COMPUTED_VALUE"""),"Illuminates your path or any room your in")</f>
        <v>Illuminates your path or any room your in</v>
      </c>
      <c r="C440" s="1" t="str">
        <f>IFERROR(__xludf.DUMMYFUNCTION("""COMPUTED_VALUE"""),"Item")</f>
        <v>Item</v>
      </c>
      <c r="D440" s="1" t="str">
        <f>IFERROR(__xludf.DUMMYFUNCTION("""COMPUTED_VALUE"""),"Land of Spira")</f>
        <v>Land of Spira</v>
      </c>
      <c r="E440" s="1" t="b">
        <f>IFERROR(__xludf.DUMMYFUNCTION("""COMPUTED_VALUE"""),FALSE)</f>
        <v>0</v>
      </c>
      <c r="F440" s="1"/>
      <c r="G440" s="1"/>
      <c r="H440" s="1"/>
      <c r="I440" s="1"/>
      <c r="J440" s="1"/>
      <c r="K440" s="1"/>
      <c r="L440" s="1"/>
      <c r="M440" s="1"/>
      <c r="N440" s="1"/>
      <c r="O440" s="1"/>
      <c r="P440" s="1"/>
      <c r="Q440" s="1"/>
      <c r="R440" s="1"/>
      <c r="S440" s="1"/>
      <c r="T440" s="1"/>
      <c r="U440" s="1"/>
      <c r="V440" s="1"/>
      <c r="W440" s="1"/>
      <c r="X440" s="1"/>
      <c r="Y440" s="1"/>
      <c r="Z440" s="1"/>
    </row>
    <row r="441" ht="15.75" customHeight="1">
      <c r="A441" s="1" t="str">
        <f>IFERROR(__xludf.DUMMYFUNCTION("""COMPUTED_VALUE"""),"Seed")</f>
        <v>Seed</v>
      </c>
      <c r="B441" s="1" t="str">
        <f>IFERROR(__xludf.DUMMYFUNCTION("""COMPUTED_VALUE"""),"Can harvest in X/X days.")</f>
        <v>Can harvest in X/X days.</v>
      </c>
      <c r="C441" s="1" t="str">
        <f>IFERROR(__xludf.DUMMYFUNCTION("""COMPUTED_VALUE"""),"Item")</f>
        <v>Item</v>
      </c>
      <c r="D441" s="1" t="str">
        <f>IFERROR(__xludf.DUMMYFUNCTION("""COMPUTED_VALUE"""),"Land of Spira")</f>
        <v>Land of Spira</v>
      </c>
      <c r="E441" s="1" t="b">
        <f>IFERROR(__xludf.DUMMYFUNCTION("""COMPUTED_VALUE"""),FALSE)</f>
        <v>0</v>
      </c>
      <c r="F441" s="1"/>
      <c r="G441" s="1"/>
      <c r="H441" s="1"/>
      <c r="I441" s="1"/>
      <c r="J441" s="1"/>
      <c r="K441" s="1"/>
      <c r="L441" s="1"/>
      <c r="M441" s="1"/>
      <c r="N441" s="1"/>
      <c r="O441" s="1"/>
      <c r="P441" s="1"/>
      <c r="Q441" s="1"/>
      <c r="R441" s="1"/>
      <c r="S441" s="1"/>
      <c r="T441" s="1"/>
      <c r="U441" s="1"/>
      <c r="V441" s="1"/>
      <c r="W441" s="1"/>
      <c r="X441" s="1"/>
      <c r="Y441" s="1"/>
      <c r="Z441" s="1"/>
    </row>
    <row r="442" ht="15.75" customHeight="1">
      <c r="A442" s="1" t="str">
        <f>IFERROR(__xludf.DUMMYFUNCTION("""COMPUTED_VALUE"""),"Potion of Cure Disease")</f>
        <v>Potion of Cure Disease</v>
      </c>
      <c r="B442" s="1" t="str">
        <f>IFERROR(__xludf.DUMMYFUNCTION("""COMPUTED_VALUE"""),"Disease Antidote.")</f>
        <v>Disease Antidote.</v>
      </c>
      <c r="C442" s="1" t="str">
        <f>IFERROR(__xludf.DUMMYFUNCTION("""COMPUTED_VALUE"""),"Item")</f>
        <v>Item</v>
      </c>
      <c r="D442" s="1" t="str">
        <f>IFERROR(__xludf.DUMMYFUNCTION("""COMPUTED_VALUE"""),"Land of Spira")</f>
        <v>Land of Spira</v>
      </c>
      <c r="E442" s="1" t="b">
        <f>IFERROR(__xludf.DUMMYFUNCTION("""COMPUTED_VALUE"""),FALSE)</f>
        <v>0</v>
      </c>
      <c r="F442" s="1"/>
      <c r="G442" s="1"/>
      <c r="H442" s="1"/>
      <c r="I442" s="1"/>
      <c r="J442" s="1"/>
      <c r="K442" s="1"/>
      <c r="L442" s="1"/>
      <c r="M442" s="1"/>
      <c r="N442" s="1"/>
      <c r="O442" s="1"/>
      <c r="P442" s="1"/>
      <c r="Q442" s="1"/>
      <c r="R442" s="1"/>
      <c r="S442" s="1"/>
      <c r="T442" s="1"/>
      <c r="U442" s="1"/>
      <c r="V442" s="1"/>
      <c r="W442" s="1"/>
      <c r="X442" s="1"/>
      <c r="Y442" s="1"/>
      <c r="Z442" s="1"/>
    </row>
    <row r="443" ht="15.75" customHeight="1">
      <c r="A443" s="1" t="str">
        <f>IFERROR(__xludf.DUMMYFUNCTION("""COMPUTED_VALUE"""),"Poison Vial")</f>
        <v>Poison Vial</v>
      </c>
      <c r="B443" s="1" t="str">
        <f>IFERROR(__xludf.DUMMYFUNCTION("""COMPUTED_VALUE"""),"Using this will make all your weapon or natural attacks inflict an enemy with Poison 500 for 3 rounds.")</f>
        <v>Using this will make all your weapon or natural attacks inflict an enemy with Poison 500 for 3 rounds.</v>
      </c>
      <c r="C443" s="1" t="str">
        <f>IFERROR(__xludf.DUMMYFUNCTION("""COMPUTED_VALUE"""),"Item")</f>
        <v>Item</v>
      </c>
      <c r="D443" s="1" t="str">
        <f>IFERROR(__xludf.DUMMYFUNCTION("""COMPUTED_VALUE"""),"Land of Spira")</f>
        <v>Land of Spira</v>
      </c>
      <c r="E443" s="1" t="b">
        <f>IFERROR(__xludf.DUMMYFUNCTION("""COMPUTED_VALUE"""),FALSE)</f>
        <v>0</v>
      </c>
      <c r="F443" s="1"/>
      <c r="G443" s="1"/>
      <c r="H443" s="1"/>
      <c r="I443" s="1"/>
      <c r="J443" s="1"/>
      <c r="K443" s="1"/>
      <c r="L443" s="1"/>
      <c r="M443" s="1"/>
      <c r="N443" s="1"/>
      <c r="O443" s="1"/>
      <c r="P443" s="1"/>
      <c r="Q443" s="1"/>
      <c r="R443" s="1"/>
      <c r="S443" s="1"/>
      <c r="T443" s="1"/>
      <c r="U443" s="1"/>
      <c r="V443" s="1"/>
      <c r="W443" s="1"/>
      <c r="X443" s="1"/>
      <c r="Y443" s="1"/>
      <c r="Z443" s="1"/>
    </row>
    <row r="444" ht="15.75" customHeight="1">
      <c r="A444" s="1" t="str">
        <f>IFERROR(__xludf.DUMMYFUNCTION("""COMPUTED_VALUE"""),"Stag Meat")</f>
        <v>Stag Meat</v>
      </c>
      <c r="B444" s="1" t="str">
        <f>IFERROR(__xludf.DUMMYFUNCTION("""COMPUTED_VALUE"""),"Restores 20 hunger")</f>
        <v>Restores 20 hunger</v>
      </c>
      <c r="C444" s="1" t="str">
        <f>IFERROR(__xludf.DUMMYFUNCTION("""COMPUTED_VALUE"""),"Crop")</f>
        <v>Crop</v>
      </c>
      <c r="D444" s="1" t="str">
        <f>IFERROR(__xludf.DUMMYFUNCTION("""COMPUTED_VALUE"""),"Land of Spira")</f>
        <v>Land of Spira</v>
      </c>
      <c r="E444" s="1" t="b">
        <f>IFERROR(__xludf.DUMMYFUNCTION("""COMPUTED_VALUE"""),FALSE)</f>
        <v>0</v>
      </c>
      <c r="F444" s="1"/>
      <c r="G444" s="1"/>
      <c r="H444" s="1"/>
      <c r="I444" s="1"/>
      <c r="J444" s="1"/>
      <c r="K444" s="1"/>
      <c r="L444" s="1"/>
      <c r="M444" s="1"/>
      <c r="N444" s="1"/>
      <c r="O444" s="1"/>
      <c r="P444" s="1"/>
      <c r="Q444" s="1"/>
      <c r="R444" s="1"/>
      <c r="S444" s="1"/>
      <c r="T444" s="1"/>
      <c r="U444" s="1"/>
      <c r="V444" s="1"/>
      <c r="W444" s="1"/>
      <c r="X444" s="1"/>
      <c r="Y444" s="1"/>
      <c r="Z444" s="1"/>
    </row>
    <row r="445" ht="15.75" customHeight="1">
      <c r="A445" s="1" t="str">
        <f>IFERROR(__xludf.DUMMYFUNCTION("""COMPUTED_VALUE"""),"Steed Meat")</f>
        <v>Steed Meat</v>
      </c>
      <c r="B445" s="1" t="str">
        <f>IFERROR(__xludf.DUMMYFUNCTION("""COMPUTED_VALUE"""),"Restores 20 hunger")</f>
        <v>Restores 20 hunger</v>
      </c>
      <c r="C445" s="1" t="str">
        <f>IFERROR(__xludf.DUMMYFUNCTION("""COMPUTED_VALUE"""),"Crop")</f>
        <v>Crop</v>
      </c>
      <c r="D445" s="1" t="str">
        <f>IFERROR(__xludf.DUMMYFUNCTION("""COMPUTED_VALUE"""),"Land of Spira")</f>
        <v>Land of Spira</v>
      </c>
      <c r="E445" s="1" t="b">
        <f>IFERROR(__xludf.DUMMYFUNCTION("""COMPUTED_VALUE"""),FALSE)</f>
        <v>0</v>
      </c>
      <c r="F445" s="1"/>
      <c r="G445" s="1"/>
      <c r="H445" s="1"/>
      <c r="I445" s="1"/>
      <c r="J445" s="1"/>
      <c r="K445" s="1"/>
      <c r="L445" s="1"/>
      <c r="M445" s="1"/>
      <c r="N445" s="1"/>
      <c r="O445" s="1"/>
      <c r="P445" s="1"/>
      <c r="Q445" s="1"/>
      <c r="R445" s="1"/>
      <c r="S445" s="1"/>
      <c r="T445" s="1"/>
      <c r="U445" s="1"/>
      <c r="V445" s="1"/>
      <c r="W445" s="1"/>
      <c r="X445" s="1"/>
      <c r="Y445" s="1"/>
      <c r="Z445" s="1"/>
    </row>
    <row r="446" ht="15.75" customHeight="1">
      <c r="A446" s="1" t="str">
        <f>IFERROR(__xludf.DUMMYFUNCTION("""COMPUTED_VALUE"""),"Moonstone")</f>
        <v>Moonstone</v>
      </c>
      <c r="B446" s="1" t="str">
        <f>IFERROR(__xludf.DUMMYFUNCTION("""COMPUTED_VALUE"""),"Crafting Material, roll a d20 to see how many you get if this is a loot drop.")</f>
        <v>Crafting Material, roll a d20 to see how many you get if this is a loot drop.</v>
      </c>
      <c r="C446" s="1" t="str">
        <f>IFERROR(__xludf.DUMMYFUNCTION("""COMPUTED_VALUE"""),"Item")</f>
        <v>Item</v>
      </c>
      <c r="D446" s="1" t="str">
        <f>IFERROR(__xludf.DUMMYFUNCTION("""COMPUTED_VALUE"""),"Land of Spira")</f>
        <v>Land of Spira</v>
      </c>
      <c r="E446" s="1" t="b">
        <f>IFERROR(__xludf.DUMMYFUNCTION("""COMPUTED_VALUE"""),FALSE)</f>
        <v>0</v>
      </c>
      <c r="F446" s="1"/>
      <c r="G446" s="1"/>
      <c r="H446" s="1"/>
      <c r="I446" s="1"/>
      <c r="J446" s="1"/>
      <c r="K446" s="1"/>
      <c r="L446" s="1"/>
      <c r="M446" s="1"/>
      <c r="N446" s="1"/>
      <c r="O446" s="1"/>
      <c r="P446" s="1"/>
      <c r="Q446" s="1"/>
      <c r="R446" s="1"/>
      <c r="S446" s="1"/>
      <c r="T446" s="1"/>
      <c r="U446" s="1"/>
      <c r="V446" s="1"/>
      <c r="W446" s="1"/>
      <c r="X446" s="1"/>
      <c r="Y446" s="1"/>
      <c r="Z446" s="1"/>
    </row>
    <row r="447" ht="15.75" customHeight="1">
      <c r="A447" s="1" t="str">
        <f>IFERROR(__xludf.DUMMYFUNCTION("""COMPUTED_VALUE"""),"Sunstone")</f>
        <v>Sunstone</v>
      </c>
      <c r="B447" s="1" t="str">
        <f>IFERROR(__xludf.DUMMYFUNCTION("""COMPUTED_VALUE"""),"Crafting Material, roll a d20 to see how many you get if this is a loot drop.")</f>
        <v>Crafting Material, roll a d20 to see how many you get if this is a loot drop.</v>
      </c>
      <c r="C447" s="1" t="str">
        <f>IFERROR(__xludf.DUMMYFUNCTION("""COMPUTED_VALUE"""),"Item")</f>
        <v>Item</v>
      </c>
      <c r="D447" s="1" t="str">
        <f>IFERROR(__xludf.DUMMYFUNCTION("""COMPUTED_VALUE"""),"Land of Spira")</f>
        <v>Land of Spira</v>
      </c>
      <c r="E447" s="1" t="b">
        <f>IFERROR(__xludf.DUMMYFUNCTION("""COMPUTED_VALUE"""),FALSE)</f>
        <v>0</v>
      </c>
      <c r="F447" s="1"/>
      <c r="G447" s="1"/>
      <c r="H447" s="1"/>
      <c r="I447" s="1"/>
      <c r="J447" s="1"/>
      <c r="K447" s="1"/>
      <c r="L447" s="1"/>
      <c r="M447" s="1"/>
      <c r="N447" s="1"/>
      <c r="O447" s="1"/>
      <c r="P447" s="1"/>
      <c r="Q447" s="1"/>
      <c r="R447" s="1"/>
      <c r="S447" s="1"/>
      <c r="T447" s="1"/>
      <c r="U447" s="1"/>
      <c r="V447" s="1"/>
      <c r="W447" s="1"/>
      <c r="X447" s="1"/>
      <c r="Y447" s="1"/>
      <c r="Z447" s="1"/>
    </row>
    <row r="448" ht="15.75" customHeight="1">
      <c r="A448" s="1" t="str">
        <f>IFERROR(__xludf.DUMMYFUNCTION("""COMPUTED_VALUE"""),"Tier 1 Treasure Chest (Non-Magical)")</f>
        <v>Tier 1 Treasure Chest (Non-Magical)</v>
      </c>
      <c r="B448" s="1" t="str">
        <f>IFERROR(__xludf.DUMMYFUNCTION("""COMPUTED_VALUE"""),"Requires a Treasure Chest key to open")</f>
        <v>Requires a Treasure Chest key to open</v>
      </c>
      <c r="C448" s="1" t="str">
        <f>IFERROR(__xludf.DUMMYFUNCTION("""COMPUTED_VALUE"""),"Item")</f>
        <v>Item</v>
      </c>
      <c r="D448" s="1" t="str">
        <f>IFERROR(__xludf.DUMMYFUNCTION("""COMPUTED_VALUE"""),"Land of Spira")</f>
        <v>Land of Spira</v>
      </c>
      <c r="E448" s="1" t="b">
        <f>IFERROR(__xludf.DUMMYFUNCTION("""COMPUTED_VALUE"""),FALSE)</f>
        <v>0</v>
      </c>
      <c r="F448" s="1"/>
      <c r="G448" s="1"/>
      <c r="H448" s="1"/>
      <c r="I448" s="1"/>
      <c r="J448" s="1"/>
      <c r="K448" s="1"/>
      <c r="L448" s="1"/>
      <c r="M448" s="1"/>
      <c r="N448" s="1"/>
      <c r="O448" s="1"/>
      <c r="P448" s="1"/>
      <c r="Q448" s="1"/>
      <c r="R448" s="1"/>
      <c r="S448" s="1"/>
      <c r="T448" s="1"/>
      <c r="U448" s="1"/>
      <c r="V448" s="1"/>
      <c r="W448" s="1"/>
      <c r="X448" s="1"/>
      <c r="Y448" s="1"/>
      <c r="Z448" s="1"/>
    </row>
    <row r="449" ht="15.75" customHeight="1">
      <c r="A449" s="1" t="str">
        <f>IFERROR(__xludf.DUMMYFUNCTION("""COMPUTED_VALUE"""),"Tier 2 Treasure Chest (Non-Magical)")</f>
        <v>Tier 2 Treasure Chest (Non-Magical)</v>
      </c>
      <c r="B449" s="1" t="str">
        <f>IFERROR(__xludf.DUMMYFUNCTION("""COMPUTED_VALUE"""),"Requires a Treasure Chest key to open")</f>
        <v>Requires a Treasure Chest key to open</v>
      </c>
      <c r="C449" s="1" t="str">
        <f>IFERROR(__xludf.DUMMYFUNCTION("""COMPUTED_VALUE"""),"Item")</f>
        <v>Item</v>
      </c>
      <c r="D449" s="1" t="str">
        <f>IFERROR(__xludf.DUMMYFUNCTION("""COMPUTED_VALUE"""),"Land of Spira")</f>
        <v>Land of Spira</v>
      </c>
      <c r="E449" s="1" t="b">
        <f>IFERROR(__xludf.DUMMYFUNCTION("""COMPUTED_VALUE"""),FALSE)</f>
        <v>0</v>
      </c>
      <c r="F449" s="1"/>
      <c r="G449" s="1"/>
      <c r="H449" s="1"/>
      <c r="I449" s="1"/>
      <c r="J449" s="1"/>
      <c r="K449" s="1"/>
      <c r="L449" s="1"/>
      <c r="M449" s="1"/>
      <c r="N449" s="1"/>
      <c r="O449" s="1"/>
      <c r="P449" s="1"/>
      <c r="Q449" s="1"/>
      <c r="R449" s="1"/>
      <c r="S449" s="1"/>
      <c r="T449" s="1"/>
      <c r="U449" s="1"/>
      <c r="V449" s="1"/>
      <c r="W449" s="1"/>
      <c r="X449" s="1"/>
      <c r="Y449" s="1"/>
      <c r="Z449" s="1"/>
    </row>
    <row r="450" ht="15.75" customHeight="1">
      <c r="A450" s="1" t="str">
        <f>IFERROR(__xludf.DUMMYFUNCTION("""COMPUTED_VALUE"""),"Tier 3 Treasure Chest (Non-Magical)")</f>
        <v>Tier 3 Treasure Chest (Non-Magical)</v>
      </c>
      <c r="B450" s="1" t="str">
        <f>IFERROR(__xludf.DUMMYFUNCTION("""COMPUTED_VALUE"""),"Requires a Treasure Chest key to open")</f>
        <v>Requires a Treasure Chest key to open</v>
      </c>
      <c r="C450" s="1" t="str">
        <f>IFERROR(__xludf.DUMMYFUNCTION("""COMPUTED_VALUE"""),"Item")</f>
        <v>Item</v>
      </c>
      <c r="D450" s="1" t="str">
        <f>IFERROR(__xludf.DUMMYFUNCTION("""COMPUTED_VALUE"""),"Land of Spira")</f>
        <v>Land of Spira</v>
      </c>
      <c r="E450" s="1" t="b">
        <f>IFERROR(__xludf.DUMMYFUNCTION("""COMPUTED_VALUE"""),FALSE)</f>
        <v>0</v>
      </c>
      <c r="F450" s="1"/>
      <c r="G450" s="1"/>
      <c r="H450" s="1"/>
      <c r="I450" s="1"/>
      <c r="J450" s="1"/>
      <c r="K450" s="1"/>
      <c r="L450" s="1"/>
      <c r="M450" s="1"/>
      <c r="N450" s="1"/>
      <c r="O450" s="1"/>
      <c r="P450" s="1"/>
      <c r="Q450" s="1"/>
      <c r="R450" s="1"/>
      <c r="S450" s="1"/>
      <c r="T450" s="1"/>
      <c r="U450" s="1"/>
      <c r="V450" s="1"/>
      <c r="W450" s="1"/>
      <c r="X450" s="1"/>
      <c r="Y450" s="1"/>
      <c r="Z450" s="1"/>
    </row>
    <row r="451" ht="15.75" customHeight="1">
      <c r="A451" s="1" t="str">
        <f>IFERROR(__xludf.DUMMYFUNCTION("""COMPUTED_VALUE"""),"Treasure Chest Key (Non-Magical)")</f>
        <v>Treasure Chest Key (Non-Magical)</v>
      </c>
      <c r="B451" s="1" t="str">
        <f>IFERROR(__xludf.DUMMYFUNCTION("""COMPUTED_VALUE"""),"Unlocks Tier 1-3 Treasure Chests.")</f>
        <v>Unlocks Tier 1-3 Treasure Chests.</v>
      </c>
      <c r="C451" s="1" t="str">
        <f>IFERROR(__xludf.DUMMYFUNCTION("""COMPUTED_VALUE"""),"Item")</f>
        <v>Item</v>
      </c>
      <c r="D451" s="1" t="str">
        <f>IFERROR(__xludf.DUMMYFUNCTION("""COMPUTED_VALUE"""),"Land of Spira")</f>
        <v>Land of Spira</v>
      </c>
      <c r="E451" s="1" t="b">
        <f>IFERROR(__xludf.DUMMYFUNCTION("""COMPUTED_VALUE"""),FALSE)</f>
        <v>0</v>
      </c>
      <c r="F451" s="1"/>
      <c r="G451" s="1"/>
      <c r="H451" s="1"/>
      <c r="I451" s="1"/>
      <c r="J451" s="1"/>
      <c r="K451" s="1"/>
      <c r="L451" s="1"/>
      <c r="M451" s="1"/>
      <c r="N451" s="1"/>
      <c r="O451" s="1"/>
      <c r="P451" s="1"/>
      <c r="Q451" s="1"/>
      <c r="R451" s="1"/>
      <c r="S451" s="1"/>
      <c r="T451" s="1"/>
      <c r="U451" s="1"/>
      <c r="V451" s="1"/>
      <c r="W451" s="1"/>
      <c r="X451" s="1"/>
      <c r="Y451" s="1"/>
      <c r="Z451" s="1"/>
    </row>
    <row r="452" ht="15.75" customHeight="1">
      <c r="A452" s="1" t="str">
        <f>IFERROR(__xludf.DUMMYFUNCTION("""COMPUTED_VALUE"""),"Random Dragon Egg")</f>
        <v>Random Dragon Egg</v>
      </c>
      <c r="B452" s="1" t="str">
        <f>IFERROR(__xludf.DUMMYFUNCTION("""COMPUTED_VALUE"""),"determined by DM/GM")</f>
        <v>determined by DM/GM</v>
      </c>
      <c r="C452" s="1" t="str">
        <f>IFERROR(__xludf.DUMMYFUNCTION("""COMPUTED_VALUE"""),"Item")</f>
        <v>Item</v>
      </c>
      <c r="D452" s="1" t="str">
        <f>IFERROR(__xludf.DUMMYFUNCTION("""COMPUTED_VALUE"""),"Land of Spira")</f>
        <v>Land of Spira</v>
      </c>
      <c r="E452" s="1" t="b">
        <f>IFERROR(__xludf.DUMMYFUNCTION("""COMPUTED_VALUE"""),FALSE)</f>
        <v>0</v>
      </c>
      <c r="F452" s="1"/>
      <c r="G452" s="1"/>
      <c r="H452" s="1"/>
      <c r="I452" s="1"/>
      <c r="J452" s="1"/>
      <c r="K452" s="1"/>
      <c r="L452" s="1"/>
      <c r="M452" s="1"/>
      <c r="N452" s="1"/>
      <c r="O452" s="1"/>
      <c r="P452" s="1"/>
      <c r="Q452" s="1"/>
      <c r="R452" s="1"/>
      <c r="S452" s="1"/>
      <c r="T452" s="1"/>
      <c r="U452" s="1"/>
      <c r="V452" s="1"/>
      <c r="W452" s="1"/>
      <c r="X452" s="1"/>
      <c r="Y452" s="1"/>
      <c r="Z452" s="1"/>
    </row>
    <row r="453" ht="15.75" customHeight="1">
      <c r="A453" s="1" t="str">
        <f>IFERROR(__xludf.DUMMYFUNCTION("""COMPUTED_VALUE"""),"Poisoned Bolts")</f>
        <v>Poisoned Bolts</v>
      </c>
      <c r="B453" s="1" t="str">
        <f>IFERROR(__xludf.DUMMYFUNCTION("""COMPUTED_VALUE"""),"+5000 poison damage per round for 3 rounds")</f>
        <v>+5000 poison damage per round for 3 rounds</v>
      </c>
      <c r="C453" s="1" t="str">
        <f>IFERROR(__xludf.DUMMYFUNCTION("""COMPUTED_VALUE"""),"Item")</f>
        <v>Item</v>
      </c>
      <c r="D453" s="1" t="str">
        <f>IFERROR(__xludf.DUMMYFUNCTION("""COMPUTED_VALUE"""),"Land of Spira")</f>
        <v>Land of Spira</v>
      </c>
      <c r="E453" s="1" t="b">
        <f>IFERROR(__xludf.DUMMYFUNCTION("""COMPUTED_VALUE"""),FALSE)</f>
        <v>0</v>
      </c>
      <c r="F453" s="1"/>
      <c r="G453" s="1"/>
      <c r="H453" s="1"/>
      <c r="I453" s="1"/>
      <c r="J453" s="1"/>
      <c r="K453" s="1"/>
      <c r="L453" s="1"/>
      <c r="M453" s="1"/>
      <c r="N453" s="1"/>
      <c r="O453" s="1"/>
      <c r="P453" s="1"/>
      <c r="Q453" s="1"/>
      <c r="R453" s="1"/>
      <c r="S453" s="1"/>
      <c r="T453" s="1"/>
      <c r="U453" s="1"/>
      <c r="V453" s="1"/>
      <c r="W453" s="1"/>
      <c r="X453" s="1"/>
      <c r="Y453" s="1"/>
      <c r="Z453" s="1"/>
    </row>
    <row r="454" ht="15.75" customHeight="1">
      <c r="A454" s="1" t="str">
        <f>IFERROR(__xludf.DUMMYFUNCTION("""COMPUTED_VALUE"""),"Standard Missile")</f>
        <v>Standard Missile</v>
      </c>
      <c r="B454" s="1"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1" t="str">
        <f>IFERROR(__xludf.DUMMYFUNCTION("""COMPUTED_VALUE"""),"Item")</f>
        <v>Item</v>
      </c>
      <c r="D454" s="1" t="str">
        <f>IFERROR(__xludf.DUMMYFUNCTION("""COMPUTED_VALUE"""),"Land of Spira")</f>
        <v>Land of Spira</v>
      </c>
      <c r="E454" s="1" t="b">
        <f>IFERROR(__xludf.DUMMYFUNCTION("""COMPUTED_VALUE"""),FALSE)</f>
        <v>0</v>
      </c>
      <c r="F454" s="1"/>
      <c r="G454" s="1"/>
      <c r="H454" s="1"/>
      <c r="I454" s="1"/>
      <c r="J454" s="1"/>
      <c r="K454" s="1"/>
      <c r="L454" s="1"/>
      <c r="M454" s="1"/>
      <c r="N454" s="1"/>
      <c r="O454" s="1"/>
      <c r="P454" s="1"/>
      <c r="Q454" s="1"/>
      <c r="R454" s="1"/>
      <c r="S454" s="1"/>
      <c r="T454" s="1"/>
      <c r="U454" s="1"/>
      <c r="V454" s="1"/>
      <c r="W454" s="1"/>
      <c r="X454" s="1"/>
      <c r="Y454" s="1"/>
      <c r="Z454" s="1"/>
    </row>
    <row r="455" ht="15.75" customHeight="1">
      <c r="A455" s="1" t="str">
        <f>IFERROR(__xludf.DUMMYFUNCTION("""COMPUTED_VALUE"""),"Nuclear Missile")</f>
        <v>Nuclear Missile</v>
      </c>
      <c r="B455" s="1"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1" t="str">
        <f>IFERROR(__xludf.DUMMYFUNCTION("""COMPUTED_VALUE"""),"Item")</f>
        <v>Item</v>
      </c>
      <c r="D455" s="1" t="str">
        <f>IFERROR(__xludf.DUMMYFUNCTION("""COMPUTED_VALUE"""),"Land of Spira")</f>
        <v>Land of Spira</v>
      </c>
      <c r="E455" s="1" t="b">
        <f>IFERROR(__xludf.DUMMYFUNCTION("""COMPUTED_VALUE"""),FALSE)</f>
        <v>0</v>
      </c>
      <c r="F455" s="1"/>
      <c r="G455" s="1"/>
      <c r="H455" s="1"/>
      <c r="I455" s="1"/>
      <c r="J455" s="1"/>
      <c r="K455" s="1"/>
      <c r="L455" s="1"/>
      <c r="M455" s="1"/>
      <c r="N455" s="1"/>
      <c r="O455" s="1"/>
      <c r="P455" s="1"/>
      <c r="Q455" s="1"/>
      <c r="R455" s="1"/>
      <c r="S455" s="1"/>
      <c r="T455" s="1"/>
      <c r="U455" s="1"/>
      <c r="V455" s="1"/>
      <c r="W455" s="1"/>
      <c r="X455" s="1"/>
      <c r="Y455" s="1"/>
      <c r="Z455" s="1"/>
    </row>
    <row r="456" ht="15.75" customHeight="1">
      <c r="A456" s="1" t="str">
        <f>IFERROR(__xludf.DUMMYFUNCTION("""COMPUTED_VALUE"""),"EMP Missile")</f>
        <v>EMP Missile</v>
      </c>
      <c r="B456" s="1"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1" t="str">
        <f>IFERROR(__xludf.DUMMYFUNCTION("""COMPUTED_VALUE"""),"Item")</f>
        <v>Item</v>
      </c>
      <c r="D456" s="1" t="str">
        <f>IFERROR(__xludf.DUMMYFUNCTION("""COMPUTED_VALUE"""),"Land of Spira")</f>
        <v>Land of Spira</v>
      </c>
      <c r="E456" s="1" t="b">
        <f>IFERROR(__xludf.DUMMYFUNCTION("""COMPUTED_VALUE"""),FALSE)</f>
        <v>0</v>
      </c>
      <c r="F456" s="1"/>
      <c r="G456" s="1"/>
      <c r="H456" s="1"/>
      <c r="I456" s="1"/>
      <c r="J456" s="1"/>
      <c r="K456" s="1"/>
      <c r="L456" s="1"/>
      <c r="M456" s="1"/>
      <c r="N456" s="1"/>
      <c r="O456" s="1"/>
      <c r="P456" s="1"/>
      <c r="Q456" s="1"/>
      <c r="R456" s="1"/>
      <c r="S456" s="1"/>
      <c r="T456" s="1"/>
      <c r="U456" s="1"/>
      <c r="V456" s="1"/>
      <c r="W456" s="1"/>
      <c r="X456" s="1"/>
      <c r="Y456" s="1"/>
      <c r="Z456" s="1"/>
    </row>
    <row r="457" ht="15.75" customHeight="1">
      <c r="A457" s="1" t="str">
        <f>IFERROR(__xludf.DUMMYFUNCTION("""COMPUTED_VALUE"""),"Chaos Bullet")</f>
        <v>Chaos Bullet</v>
      </c>
      <c r="B457" s="1" t="str">
        <f>IFERROR(__xludf.DUMMYFUNCTION("""COMPUTED_VALUE"""),"Firearm Ammunition. +100 chaos damage. roll a d20 to see how many you get if this is a loot drop.")</f>
        <v>Firearm Ammunition. +100 chaos damage. roll a d20 to see how many you get if this is a loot drop.</v>
      </c>
      <c r="C457" s="1" t="str">
        <f>IFERROR(__xludf.DUMMYFUNCTION("""COMPUTED_VALUE"""),"Item")</f>
        <v>Item</v>
      </c>
      <c r="D457" s="1" t="str">
        <f>IFERROR(__xludf.DUMMYFUNCTION("""COMPUTED_VALUE"""),"Land of Spira")</f>
        <v>Land of Spira</v>
      </c>
      <c r="E457" s="1" t="b">
        <f>IFERROR(__xludf.DUMMYFUNCTION("""COMPUTED_VALUE"""),FALSE)</f>
        <v>0</v>
      </c>
      <c r="F457" s="1"/>
      <c r="G457" s="1"/>
      <c r="H457" s="1"/>
      <c r="I457" s="1"/>
      <c r="J457" s="1"/>
      <c r="K457" s="1"/>
      <c r="L457" s="1"/>
      <c r="M457" s="1"/>
      <c r="N457" s="1"/>
      <c r="O457" s="1"/>
      <c r="P457" s="1"/>
      <c r="Q457" s="1"/>
      <c r="R457" s="1"/>
      <c r="S457" s="1"/>
      <c r="T457" s="1"/>
      <c r="U457" s="1"/>
      <c r="V457" s="1"/>
      <c r="W457" s="1"/>
      <c r="X457" s="1"/>
      <c r="Y457" s="1"/>
      <c r="Z457" s="1"/>
    </row>
    <row r="458" ht="15.75" customHeight="1">
      <c r="A458" s="1" t="str">
        <f>IFERROR(__xludf.DUMMYFUNCTION("""COMPUTED_VALUE"""),"Dark Bullet")</f>
        <v>Dark Bullet</v>
      </c>
      <c r="B458" s="1" t="str">
        <f>IFERROR(__xludf.DUMMYFUNCTION("""COMPUTED_VALUE"""),"Firearm Ammunition. +100 dark damage. roll a d20 to see how many you get if this is a loot drop.")</f>
        <v>Firearm Ammunition. +100 dark damage. roll a d20 to see how many you get if this is a loot drop.</v>
      </c>
      <c r="C458" s="1" t="str">
        <f>IFERROR(__xludf.DUMMYFUNCTION("""COMPUTED_VALUE"""),"Item")</f>
        <v>Item</v>
      </c>
      <c r="D458" s="1" t="str">
        <f>IFERROR(__xludf.DUMMYFUNCTION("""COMPUTED_VALUE"""),"Land of Spira")</f>
        <v>Land of Spira</v>
      </c>
      <c r="E458" s="1" t="b">
        <f>IFERROR(__xludf.DUMMYFUNCTION("""COMPUTED_VALUE"""),FALSE)</f>
        <v>0</v>
      </c>
      <c r="F458" s="1"/>
      <c r="G458" s="1"/>
      <c r="H458" s="1"/>
      <c r="I458" s="1"/>
      <c r="J458" s="1"/>
      <c r="K458" s="1"/>
      <c r="L458" s="1"/>
      <c r="M458" s="1"/>
      <c r="N458" s="1"/>
      <c r="O458" s="1"/>
      <c r="P458" s="1"/>
      <c r="Q458" s="1"/>
      <c r="R458" s="1"/>
      <c r="S458" s="1"/>
      <c r="T458" s="1"/>
      <c r="U458" s="1"/>
      <c r="V458" s="1"/>
      <c r="W458" s="1"/>
      <c r="X458" s="1"/>
      <c r="Y458" s="1"/>
      <c r="Z458" s="1"/>
    </row>
    <row r="459" ht="15.75" customHeight="1">
      <c r="A459" s="1" t="str">
        <f>IFERROR(__xludf.DUMMYFUNCTION("""COMPUTED_VALUE"""),"Earth Bullet")</f>
        <v>Earth Bullet</v>
      </c>
      <c r="B459" s="1" t="str">
        <f>IFERROR(__xludf.DUMMYFUNCTION("""COMPUTED_VALUE"""),"Firearm Ammunition. +100 earth damage. roll a d20 to see how many you get if this is a loot drop.")</f>
        <v>Firearm Ammunition. +100 earth damage. roll a d20 to see how many you get if this is a loot drop.</v>
      </c>
      <c r="C459" s="1" t="str">
        <f>IFERROR(__xludf.DUMMYFUNCTION("""COMPUTED_VALUE"""),"Item")</f>
        <v>Item</v>
      </c>
      <c r="D459" s="1" t="str">
        <f>IFERROR(__xludf.DUMMYFUNCTION("""COMPUTED_VALUE"""),"Land of Spira")</f>
        <v>Land of Spira</v>
      </c>
      <c r="E459" s="1" t="b">
        <f>IFERROR(__xludf.DUMMYFUNCTION("""COMPUTED_VALUE"""),FALSE)</f>
        <v>0</v>
      </c>
      <c r="F459" s="1"/>
      <c r="G459" s="1"/>
      <c r="H459" s="1"/>
      <c r="I459" s="1"/>
      <c r="J459" s="1"/>
      <c r="K459" s="1"/>
      <c r="L459" s="1"/>
      <c r="M459" s="1"/>
      <c r="N459" s="1"/>
      <c r="O459" s="1"/>
      <c r="P459" s="1"/>
      <c r="Q459" s="1"/>
      <c r="R459" s="1"/>
      <c r="S459" s="1"/>
      <c r="T459" s="1"/>
      <c r="U459" s="1"/>
      <c r="V459" s="1"/>
      <c r="W459" s="1"/>
      <c r="X459" s="1"/>
      <c r="Y459" s="1"/>
      <c r="Z459" s="1"/>
    </row>
    <row r="460" ht="15.75" customHeight="1">
      <c r="A460" s="1" t="str">
        <f>IFERROR(__xludf.DUMMYFUNCTION("""COMPUTED_VALUE"""),"Fire Bullet")</f>
        <v>Fire Bullet</v>
      </c>
      <c r="B460" s="1" t="str">
        <f>IFERROR(__xludf.DUMMYFUNCTION("""COMPUTED_VALUE"""),"Firearm Ammunition. +100 fire damage. roll a d20 to see how many you get if this is a loot drop.")</f>
        <v>Firearm Ammunition. +100 fire damage. roll a d20 to see how many you get if this is a loot drop.</v>
      </c>
      <c r="C460" s="1" t="str">
        <f>IFERROR(__xludf.DUMMYFUNCTION("""COMPUTED_VALUE"""),"Item")</f>
        <v>Item</v>
      </c>
      <c r="D460" s="1" t="str">
        <f>IFERROR(__xludf.DUMMYFUNCTION("""COMPUTED_VALUE"""),"Land of Spira")</f>
        <v>Land of Spira</v>
      </c>
      <c r="E460" s="1" t="b">
        <f>IFERROR(__xludf.DUMMYFUNCTION("""COMPUTED_VALUE"""),FALSE)</f>
        <v>0</v>
      </c>
      <c r="F460" s="1"/>
      <c r="G460" s="1"/>
      <c r="H460" s="1"/>
      <c r="I460" s="1"/>
      <c r="J460" s="1"/>
      <c r="K460" s="1"/>
      <c r="L460" s="1"/>
      <c r="M460" s="1"/>
      <c r="N460" s="1"/>
      <c r="O460" s="1"/>
      <c r="P460" s="1"/>
      <c r="Q460" s="1"/>
      <c r="R460" s="1"/>
      <c r="S460" s="1"/>
      <c r="T460" s="1"/>
      <c r="U460" s="1"/>
      <c r="V460" s="1"/>
      <c r="W460" s="1"/>
      <c r="X460" s="1"/>
      <c r="Y460" s="1"/>
      <c r="Z460" s="1"/>
    </row>
    <row r="461" ht="15.75" customHeight="1">
      <c r="A461" s="1" t="str">
        <f>IFERROR(__xludf.DUMMYFUNCTION("""COMPUTED_VALUE"""),"Light Bullet")</f>
        <v>Light Bullet</v>
      </c>
      <c r="B461" s="1" t="str">
        <f>IFERROR(__xludf.DUMMYFUNCTION("""COMPUTED_VALUE"""),"Firearm Ammunition. +100 light damage. roll a d20 to see how many you get if this is a loot drop.")</f>
        <v>Firearm Ammunition. +100 light damage. roll a d20 to see how many you get if this is a loot drop.</v>
      </c>
      <c r="C461" s="1" t="str">
        <f>IFERROR(__xludf.DUMMYFUNCTION("""COMPUTED_VALUE"""),"Item")</f>
        <v>Item</v>
      </c>
      <c r="D461" s="1" t="str">
        <f>IFERROR(__xludf.DUMMYFUNCTION("""COMPUTED_VALUE"""),"Land of Spira")</f>
        <v>Land of Spira</v>
      </c>
      <c r="E461" s="1" t="b">
        <f>IFERROR(__xludf.DUMMYFUNCTION("""COMPUTED_VALUE"""),FALSE)</f>
        <v>0</v>
      </c>
      <c r="F461" s="1"/>
      <c r="G461" s="1"/>
      <c r="H461" s="1"/>
      <c r="I461" s="1"/>
      <c r="J461" s="1"/>
      <c r="K461" s="1"/>
      <c r="L461" s="1"/>
      <c r="M461" s="1"/>
      <c r="N461" s="1"/>
      <c r="O461" s="1"/>
      <c r="P461" s="1"/>
      <c r="Q461" s="1"/>
      <c r="R461" s="1"/>
      <c r="S461" s="1"/>
      <c r="T461" s="1"/>
      <c r="U461" s="1"/>
      <c r="V461" s="1"/>
      <c r="W461" s="1"/>
      <c r="X461" s="1"/>
      <c r="Y461" s="1"/>
      <c r="Z461" s="1"/>
    </row>
    <row r="462" ht="15.75" customHeight="1">
      <c r="A462" s="1" t="str">
        <f>IFERROR(__xludf.DUMMYFUNCTION("""COMPUTED_VALUE"""),"Spectral Bullet")</f>
        <v>Spectral Bullet</v>
      </c>
      <c r="B462" s="1" t="str">
        <f>IFERROR(__xludf.DUMMYFUNCTION("""COMPUTED_VALUE"""),"Firearm Ammunition. +100 spirit damage. roll a d20 to see how many you get if this is a loot drop.")</f>
        <v>Firearm Ammunition. +100 spirit damage. roll a d20 to see how many you get if this is a loot drop.</v>
      </c>
      <c r="C462" s="1" t="str">
        <f>IFERROR(__xludf.DUMMYFUNCTION("""COMPUTED_VALUE"""),"Item")</f>
        <v>Item</v>
      </c>
      <c r="D462" s="1" t="str">
        <f>IFERROR(__xludf.DUMMYFUNCTION("""COMPUTED_VALUE"""),"Land of Spira")</f>
        <v>Land of Spira</v>
      </c>
      <c r="E462" s="1" t="b">
        <f>IFERROR(__xludf.DUMMYFUNCTION("""COMPUTED_VALUE"""),FALSE)</f>
        <v>0</v>
      </c>
      <c r="F462" s="1"/>
      <c r="G462" s="1"/>
      <c r="H462" s="1"/>
      <c r="I462" s="1"/>
      <c r="J462" s="1"/>
      <c r="K462" s="1"/>
      <c r="L462" s="1"/>
      <c r="M462" s="1"/>
      <c r="N462" s="1"/>
      <c r="O462" s="1"/>
      <c r="P462" s="1"/>
      <c r="Q462" s="1"/>
      <c r="R462" s="1"/>
      <c r="S462" s="1"/>
      <c r="T462" s="1"/>
      <c r="U462" s="1"/>
      <c r="V462" s="1"/>
      <c r="W462" s="1"/>
      <c r="X462" s="1"/>
      <c r="Y462" s="1"/>
      <c r="Z462" s="1"/>
    </row>
    <row r="463" ht="15.75" customHeight="1">
      <c r="A463" s="1" t="str">
        <f>IFERROR(__xludf.DUMMYFUNCTION("""COMPUTED_VALUE"""),"Stunning Bullet")</f>
        <v>Stunning Bullet</v>
      </c>
      <c r="B463" s="1"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1" t="str">
        <f>IFERROR(__xludf.DUMMYFUNCTION("""COMPUTED_VALUE"""),"Item")</f>
        <v>Item</v>
      </c>
      <c r="D463" s="1" t="str">
        <f>IFERROR(__xludf.DUMMYFUNCTION("""COMPUTED_VALUE"""),"Land of Spira")</f>
        <v>Land of Spira</v>
      </c>
      <c r="E463" s="1" t="b">
        <f>IFERROR(__xludf.DUMMYFUNCTION("""COMPUTED_VALUE"""),FALSE)</f>
        <v>0</v>
      </c>
      <c r="F463" s="1"/>
      <c r="G463" s="1"/>
      <c r="H463" s="1"/>
      <c r="I463" s="1"/>
      <c r="J463" s="1"/>
      <c r="K463" s="1"/>
      <c r="L463" s="1"/>
      <c r="M463" s="1"/>
      <c r="N463" s="1"/>
      <c r="O463" s="1"/>
      <c r="P463" s="1"/>
      <c r="Q463" s="1"/>
      <c r="R463" s="1"/>
      <c r="S463" s="1"/>
      <c r="T463" s="1"/>
      <c r="U463" s="1"/>
      <c r="V463" s="1"/>
      <c r="W463" s="1"/>
      <c r="X463" s="1"/>
      <c r="Y463" s="1"/>
      <c r="Z463" s="1"/>
    </row>
    <row r="464" ht="15.75" customHeight="1">
      <c r="A464" s="1" t="str">
        <f>IFERROR(__xludf.DUMMYFUNCTION("""COMPUTED_VALUE"""),"Freezing Bullet")</f>
        <v>Freezing Bullet</v>
      </c>
      <c r="B464" s="1"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1" t="str">
        <f>IFERROR(__xludf.DUMMYFUNCTION("""COMPUTED_VALUE"""),"Item")</f>
        <v>Item</v>
      </c>
      <c r="D464" s="1" t="str">
        <f>IFERROR(__xludf.DUMMYFUNCTION("""COMPUTED_VALUE"""),"Land of Spira")</f>
        <v>Land of Spira</v>
      </c>
      <c r="E464" s="1" t="b">
        <f>IFERROR(__xludf.DUMMYFUNCTION("""COMPUTED_VALUE"""),FALSE)</f>
        <v>0</v>
      </c>
      <c r="F464" s="1"/>
      <c r="G464" s="1"/>
      <c r="H464" s="1"/>
      <c r="I464" s="1"/>
      <c r="J464" s="1"/>
      <c r="K464" s="1"/>
      <c r="L464" s="1"/>
      <c r="M464" s="1"/>
      <c r="N464" s="1"/>
      <c r="O464" s="1"/>
      <c r="P464" s="1"/>
      <c r="Q464" s="1"/>
      <c r="R464" s="1"/>
      <c r="S464" s="1"/>
      <c r="T464" s="1"/>
      <c r="U464" s="1"/>
      <c r="V464" s="1"/>
      <c r="W464" s="1"/>
      <c r="X464" s="1"/>
      <c r="Y464" s="1"/>
      <c r="Z464" s="1"/>
    </row>
    <row r="465" ht="15.75" customHeight="1">
      <c r="A465" s="1" t="str">
        <f>IFERROR(__xludf.DUMMYFUNCTION("""COMPUTED_VALUE"""),"Healing Bullet")</f>
        <v>Healing Bullet</v>
      </c>
      <c r="B465" s="1"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1" t="str">
        <f>IFERROR(__xludf.DUMMYFUNCTION("""COMPUTED_VALUE"""),"Item")</f>
        <v>Item</v>
      </c>
      <c r="D465" s="1" t="str">
        <f>IFERROR(__xludf.DUMMYFUNCTION("""COMPUTED_VALUE"""),"Land of Spira")</f>
        <v>Land of Spira</v>
      </c>
      <c r="E465" s="1" t="b">
        <f>IFERROR(__xludf.DUMMYFUNCTION("""COMPUTED_VALUE"""),FALSE)</f>
        <v>0</v>
      </c>
      <c r="F465" s="1"/>
      <c r="G465" s="1"/>
      <c r="H465" s="1"/>
      <c r="I465" s="1"/>
      <c r="J465" s="1"/>
      <c r="K465" s="1"/>
      <c r="L465" s="1"/>
      <c r="M465" s="1"/>
      <c r="N465" s="1"/>
      <c r="O465" s="1"/>
      <c r="P465" s="1"/>
      <c r="Q465" s="1"/>
      <c r="R465" s="1"/>
      <c r="S465" s="1"/>
      <c r="T465" s="1"/>
      <c r="U465" s="1"/>
      <c r="V465" s="1"/>
      <c r="W465" s="1"/>
      <c r="X465" s="1"/>
      <c r="Y465" s="1"/>
      <c r="Z465" s="1"/>
    </row>
    <row r="466" ht="15.75" customHeight="1">
      <c r="A466" s="1" t="str">
        <f>IFERROR(__xludf.DUMMYFUNCTION("""COMPUTED_VALUE"""),"Celestial Arrow")</f>
        <v>Celestial Arrow</v>
      </c>
      <c r="B466" s="1" t="str">
        <f>IFERROR(__xludf.DUMMYFUNCTION("""COMPUTED_VALUE"""),"Bow Ammunition. +500 celestial damage. roll a d20 to see how many you get if this is a loot drop.")</f>
        <v>Bow Ammunition. +500 celestial damage. roll a d20 to see how many you get if this is a loot drop.</v>
      </c>
      <c r="C466" s="1" t="str">
        <f>IFERROR(__xludf.DUMMYFUNCTION("""COMPUTED_VALUE"""),"Item")</f>
        <v>Item</v>
      </c>
      <c r="D466" s="1" t="str">
        <f>IFERROR(__xludf.DUMMYFUNCTION("""COMPUTED_VALUE"""),"Land of Spira")</f>
        <v>Land of Spira</v>
      </c>
      <c r="E466" s="1" t="b">
        <f>IFERROR(__xludf.DUMMYFUNCTION("""COMPUTED_VALUE"""),FALSE)</f>
        <v>0</v>
      </c>
      <c r="F466" s="1"/>
      <c r="G466" s="1"/>
      <c r="H466" s="1"/>
      <c r="I466" s="1"/>
      <c r="J466" s="1"/>
      <c r="K466" s="1"/>
      <c r="L466" s="1"/>
      <c r="M466" s="1"/>
      <c r="N466" s="1"/>
      <c r="O466" s="1"/>
      <c r="P466" s="1"/>
      <c r="Q466" s="1"/>
      <c r="R466" s="1"/>
      <c r="S466" s="1"/>
      <c r="T466" s="1"/>
      <c r="U466" s="1"/>
      <c r="V466" s="1"/>
      <c r="W466" s="1"/>
      <c r="X466" s="1"/>
      <c r="Y466" s="1"/>
      <c r="Z466" s="1"/>
    </row>
    <row r="467" ht="15.75" customHeight="1">
      <c r="A467" s="1" t="str">
        <f>IFERROR(__xludf.DUMMYFUNCTION("""COMPUTED_VALUE"""),"Chaos Arrow")</f>
        <v>Chaos Arrow</v>
      </c>
      <c r="B467" s="1" t="str">
        <f>IFERROR(__xludf.DUMMYFUNCTION("""COMPUTED_VALUE"""),"Bow Ammunition. +500 chaos damage. roll a d20 to see how many you get if this is a loot drop.")</f>
        <v>Bow Ammunition. +500 chaos damage. roll a d20 to see how many you get if this is a loot drop.</v>
      </c>
      <c r="C467" s="1" t="str">
        <f>IFERROR(__xludf.DUMMYFUNCTION("""COMPUTED_VALUE"""),"Item")</f>
        <v>Item</v>
      </c>
      <c r="D467" s="1" t="str">
        <f>IFERROR(__xludf.DUMMYFUNCTION("""COMPUTED_VALUE"""),"Land of Spira")</f>
        <v>Land of Spira</v>
      </c>
      <c r="E467" s="1" t="b">
        <f>IFERROR(__xludf.DUMMYFUNCTION("""COMPUTED_VALUE"""),FALSE)</f>
        <v>0</v>
      </c>
      <c r="F467" s="1"/>
      <c r="G467" s="1"/>
      <c r="H467" s="1"/>
      <c r="I467" s="1"/>
      <c r="J467" s="1"/>
      <c r="K467" s="1"/>
      <c r="L467" s="1"/>
      <c r="M467" s="1"/>
      <c r="N467" s="1"/>
      <c r="O467" s="1"/>
      <c r="P467" s="1"/>
      <c r="Q467" s="1"/>
      <c r="R467" s="1"/>
      <c r="S467" s="1"/>
      <c r="T467" s="1"/>
      <c r="U467" s="1"/>
      <c r="V467" s="1"/>
      <c r="W467" s="1"/>
      <c r="X467" s="1"/>
      <c r="Y467" s="1"/>
      <c r="Z467" s="1"/>
    </row>
    <row r="468" ht="15.75" customHeight="1">
      <c r="A468" s="1" t="str">
        <f>IFERROR(__xludf.DUMMYFUNCTION("""COMPUTED_VALUE"""),"Dark Arrow")</f>
        <v>Dark Arrow</v>
      </c>
      <c r="B468" s="1" t="str">
        <f>IFERROR(__xludf.DUMMYFUNCTION("""COMPUTED_VALUE"""),"Bow Ammunition. +500 dark damage. roll a d20 to see how many you get if this is a loot drop.")</f>
        <v>Bow Ammunition. +500 dark damage. roll a d20 to see how many you get if this is a loot drop.</v>
      </c>
      <c r="C468" s="1" t="str">
        <f>IFERROR(__xludf.DUMMYFUNCTION("""COMPUTED_VALUE"""),"Item")</f>
        <v>Item</v>
      </c>
      <c r="D468" s="1" t="str">
        <f>IFERROR(__xludf.DUMMYFUNCTION("""COMPUTED_VALUE"""),"Land of Spira")</f>
        <v>Land of Spira</v>
      </c>
      <c r="E468" s="1" t="b">
        <f>IFERROR(__xludf.DUMMYFUNCTION("""COMPUTED_VALUE"""),FALSE)</f>
        <v>0</v>
      </c>
      <c r="F468" s="1"/>
      <c r="G468" s="1"/>
      <c r="H468" s="1"/>
      <c r="I468" s="1"/>
      <c r="J468" s="1"/>
      <c r="K468" s="1"/>
      <c r="L468" s="1"/>
      <c r="M468" s="1"/>
      <c r="N468" s="1"/>
      <c r="O468" s="1"/>
      <c r="P468" s="1"/>
      <c r="Q468" s="1"/>
      <c r="R468" s="1"/>
      <c r="S468" s="1"/>
      <c r="T468" s="1"/>
      <c r="U468" s="1"/>
      <c r="V468" s="1"/>
      <c r="W468" s="1"/>
      <c r="X468" s="1"/>
      <c r="Y468" s="1"/>
      <c r="Z468" s="1"/>
    </row>
    <row r="469" ht="15.75" customHeight="1">
      <c r="A469" s="1" t="str">
        <f>IFERROR(__xludf.DUMMYFUNCTION("""COMPUTED_VALUE"""),"Earth Arrow")</f>
        <v>Earth Arrow</v>
      </c>
      <c r="B469" s="1" t="str">
        <f>IFERROR(__xludf.DUMMYFUNCTION("""COMPUTED_VALUE"""),"Bow Ammunition. +500 earth damage. roll a d20 to see how many you get if this is a loot drop.")</f>
        <v>Bow Ammunition. +500 earth damage. roll a d20 to see how many you get if this is a loot drop.</v>
      </c>
      <c r="C469" s="1" t="str">
        <f>IFERROR(__xludf.DUMMYFUNCTION("""COMPUTED_VALUE"""),"Item")</f>
        <v>Item</v>
      </c>
      <c r="D469" s="1" t="str">
        <f>IFERROR(__xludf.DUMMYFUNCTION("""COMPUTED_VALUE"""),"Land of Spira")</f>
        <v>Land of Spira</v>
      </c>
      <c r="E469" s="1" t="b">
        <f>IFERROR(__xludf.DUMMYFUNCTION("""COMPUTED_VALUE"""),FALSE)</f>
        <v>0</v>
      </c>
      <c r="F469" s="1"/>
      <c r="G469" s="1"/>
      <c r="H469" s="1"/>
      <c r="I469" s="1"/>
      <c r="J469" s="1"/>
      <c r="K469" s="1"/>
      <c r="L469" s="1"/>
      <c r="M469" s="1"/>
      <c r="N469" s="1"/>
      <c r="O469" s="1"/>
      <c r="P469" s="1"/>
      <c r="Q469" s="1"/>
      <c r="R469" s="1"/>
      <c r="S469" s="1"/>
      <c r="T469" s="1"/>
      <c r="U469" s="1"/>
      <c r="V469" s="1"/>
      <c r="W469" s="1"/>
      <c r="X469" s="1"/>
      <c r="Y469" s="1"/>
      <c r="Z469" s="1"/>
    </row>
    <row r="470" ht="15.75" customHeight="1">
      <c r="A470" s="1" t="str">
        <f>IFERROR(__xludf.DUMMYFUNCTION("""COMPUTED_VALUE"""),"Fire Arrow")</f>
        <v>Fire Arrow</v>
      </c>
      <c r="B470" s="1" t="str">
        <f>IFERROR(__xludf.DUMMYFUNCTION("""COMPUTED_VALUE"""),"Bow Ammunition. +500 fire damage. roll a d20 to see how many you get if this is a loot drop.")</f>
        <v>Bow Ammunition. +500 fire damage. roll a d20 to see how many you get if this is a loot drop.</v>
      </c>
      <c r="C470" s="1" t="str">
        <f>IFERROR(__xludf.DUMMYFUNCTION("""COMPUTED_VALUE"""),"Item")</f>
        <v>Item</v>
      </c>
      <c r="D470" s="1" t="str">
        <f>IFERROR(__xludf.DUMMYFUNCTION("""COMPUTED_VALUE"""),"Land of Spira")</f>
        <v>Land of Spira</v>
      </c>
      <c r="E470" s="1" t="b">
        <f>IFERROR(__xludf.DUMMYFUNCTION("""COMPUTED_VALUE"""),FALSE)</f>
        <v>0</v>
      </c>
      <c r="F470" s="1"/>
      <c r="G470" s="1"/>
      <c r="H470" s="1"/>
      <c r="I470" s="1"/>
      <c r="J470" s="1"/>
      <c r="K470" s="1"/>
      <c r="L470" s="1"/>
      <c r="M470" s="1"/>
      <c r="N470" s="1"/>
      <c r="O470" s="1"/>
      <c r="P470" s="1"/>
      <c r="Q470" s="1"/>
      <c r="R470" s="1"/>
      <c r="S470" s="1"/>
      <c r="T470" s="1"/>
      <c r="U470" s="1"/>
      <c r="V470" s="1"/>
      <c r="W470" s="1"/>
      <c r="X470" s="1"/>
      <c r="Y470" s="1"/>
      <c r="Z470" s="1"/>
    </row>
    <row r="471" ht="15.75" customHeight="1">
      <c r="A471" s="1" t="str">
        <f>IFERROR(__xludf.DUMMYFUNCTION("""COMPUTED_VALUE"""),"Light Arrow")</f>
        <v>Light Arrow</v>
      </c>
      <c r="B471" s="1" t="str">
        <f>IFERROR(__xludf.DUMMYFUNCTION("""COMPUTED_VALUE"""),"Bow Ammunition. +500 light damage. roll a d20 to see how many you get if this is a loot drop.")</f>
        <v>Bow Ammunition. +500 light damage. roll a d20 to see how many you get if this is a loot drop.</v>
      </c>
      <c r="C471" s="1" t="str">
        <f>IFERROR(__xludf.DUMMYFUNCTION("""COMPUTED_VALUE"""),"Item")</f>
        <v>Item</v>
      </c>
      <c r="D471" s="1" t="str">
        <f>IFERROR(__xludf.DUMMYFUNCTION("""COMPUTED_VALUE"""),"Land of Spira")</f>
        <v>Land of Spira</v>
      </c>
      <c r="E471" s="1" t="b">
        <f>IFERROR(__xludf.DUMMYFUNCTION("""COMPUTED_VALUE"""),FALSE)</f>
        <v>0</v>
      </c>
      <c r="F471" s="1"/>
      <c r="G471" s="1"/>
      <c r="H471" s="1"/>
      <c r="I471" s="1"/>
      <c r="J471" s="1"/>
      <c r="K471" s="1"/>
      <c r="L471" s="1"/>
      <c r="M471" s="1"/>
      <c r="N471" s="1"/>
      <c r="O471" s="1"/>
      <c r="P471" s="1"/>
      <c r="Q471" s="1"/>
      <c r="R471" s="1"/>
      <c r="S471" s="1"/>
      <c r="T471" s="1"/>
      <c r="U471" s="1"/>
      <c r="V471" s="1"/>
      <c r="W471" s="1"/>
      <c r="X471" s="1"/>
      <c r="Y471" s="1"/>
      <c r="Z471" s="1"/>
    </row>
    <row r="472" ht="15.75" customHeight="1">
      <c r="A472" s="1" t="str">
        <f>IFERROR(__xludf.DUMMYFUNCTION("""COMPUTED_VALUE"""),"Spectral Arrow")</f>
        <v>Spectral Arrow</v>
      </c>
      <c r="B472" s="1" t="str">
        <f>IFERROR(__xludf.DUMMYFUNCTION("""COMPUTED_VALUE"""),"Bow Ammunition. +500 spirit damage. roll a d20 to see how many you get if this is a loot drop.")</f>
        <v>Bow Ammunition. +500 spirit damage. roll a d20 to see how many you get if this is a loot drop.</v>
      </c>
      <c r="C472" s="1" t="str">
        <f>IFERROR(__xludf.DUMMYFUNCTION("""COMPUTED_VALUE"""),"Item")</f>
        <v>Item</v>
      </c>
      <c r="D472" s="1" t="str">
        <f>IFERROR(__xludf.DUMMYFUNCTION("""COMPUTED_VALUE"""),"Land of Spira")</f>
        <v>Land of Spira</v>
      </c>
      <c r="E472" s="1" t="b">
        <f>IFERROR(__xludf.DUMMYFUNCTION("""COMPUTED_VALUE"""),FALSE)</f>
        <v>0</v>
      </c>
      <c r="F472" s="1"/>
      <c r="G472" s="1"/>
      <c r="H472" s="1"/>
      <c r="I472" s="1"/>
      <c r="J472" s="1"/>
      <c r="K472" s="1"/>
      <c r="L472" s="1"/>
      <c r="M472" s="1"/>
      <c r="N472" s="1"/>
      <c r="O472" s="1"/>
      <c r="P472" s="1"/>
      <c r="Q472" s="1"/>
      <c r="R472" s="1"/>
      <c r="S472" s="1"/>
      <c r="T472" s="1"/>
      <c r="U472" s="1"/>
      <c r="V472" s="1"/>
      <c r="W472" s="1"/>
      <c r="X472" s="1"/>
      <c r="Y472" s="1"/>
      <c r="Z472" s="1"/>
    </row>
    <row r="473" ht="15.75" customHeight="1">
      <c r="A473" s="1" t="str">
        <f>IFERROR(__xludf.DUMMYFUNCTION("""COMPUTED_VALUE"""),"Stunning Arrow")</f>
        <v>Stunning Arrow</v>
      </c>
      <c r="B473" s="1"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1" t="str">
        <f>IFERROR(__xludf.DUMMYFUNCTION("""COMPUTED_VALUE"""),"Item")</f>
        <v>Item</v>
      </c>
      <c r="D473" s="1" t="str">
        <f>IFERROR(__xludf.DUMMYFUNCTION("""COMPUTED_VALUE"""),"Land of Spira")</f>
        <v>Land of Spira</v>
      </c>
      <c r="E473" s="1" t="b">
        <f>IFERROR(__xludf.DUMMYFUNCTION("""COMPUTED_VALUE"""),FALSE)</f>
        <v>0</v>
      </c>
      <c r="F473" s="1"/>
      <c r="G473" s="1"/>
      <c r="H473" s="1"/>
      <c r="I473" s="1"/>
      <c r="J473" s="1"/>
      <c r="K473" s="1"/>
      <c r="L473" s="1"/>
      <c r="M473" s="1"/>
      <c r="N473" s="1"/>
      <c r="O473" s="1"/>
      <c r="P473" s="1"/>
      <c r="Q473" s="1"/>
      <c r="R473" s="1"/>
      <c r="S473" s="1"/>
      <c r="T473" s="1"/>
      <c r="U473" s="1"/>
      <c r="V473" s="1"/>
      <c r="W473" s="1"/>
      <c r="X473" s="1"/>
      <c r="Y473" s="1"/>
      <c r="Z473" s="1"/>
    </row>
    <row r="474" ht="15.75" customHeight="1">
      <c r="A474" s="1" t="str">
        <f>IFERROR(__xludf.DUMMYFUNCTION("""COMPUTED_VALUE"""),"Freezing Arrow")</f>
        <v>Freezing Arrow</v>
      </c>
      <c r="B474" s="1"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1" t="str">
        <f>IFERROR(__xludf.DUMMYFUNCTION("""COMPUTED_VALUE"""),"Item")</f>
        <v>Item</v>
      </c>
      <c r="D474" s="1" t="str">
        <f>IFERROR(__xludf.DUMMYFUNCTION("""COMPUTED_VALUE"""),"Land of Spira")</f>
        <v>Land of Spira</v>
      </c>
      <c r="E474" s="1" t="b">
        <f>IFERROR(__xludf.DUMMYFUNCTION("""COMPUTED_VALUE"""),FALSE)</f>
        <v>0</v>
      </c>
      <c r="F474" s="1"/>
      <c r="G474" s="1"/>
      <c r="H474" s="1"/>
      <c r="I474" s="1"/>
      <c r="J474" s="1"/>
      <c r="K474" s="1"/>
      <c r="L474" s="1"/>
      <c r="M474" s="1"/>
      <c r="N474" s="1"/>
      <c r="O474" s="1"/>
      <c r="P474" s="1"/>
      <c r="Q474" s="1"/>
      <c r="R474" s="1"/>
      <c r="S474" s="1"/>
      <c r="T474" s="1"/>
      <c r="U474" s="1"/>
      <c r="V474" s="1"/>
      <c r="W474" s="1"/>
      <c r="X474" s="1"/>
      <c r="Y474" s="1"/>
      <c r="Z474" s="1"/>
    </row>
    <row r="475" ht="15.75" customHeight="1">
      <c r="A475" s="1" t="str">
        <f>IFERROR(__xludf.DUMMYFUNCTION("""COMPUTED_VALUE"""),"Healing Arrow")</f>
        <v>Healing Arrow</v>
      </c>
      <c r="B475" s="1"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1" t="str">
        <f>IFERROR(__xludf.DUMMYFUNCTION("""COMPUTED_VALUE"""),"Item")</f>
        <v>Item</v>
      </c>
      <c r="D475" s="1" t="str">
        <f>IFERROR(__xludf.DUMMYFUNCTION("""COMPUTED_VALUE"""),"Land of Spira")</f>
        <v>Land of Spira</v>
      </c>
      <c r="E475" s="1" t="b">
        <f>IFERROR(__xludf.DUMMYFUNCTION("""COMPUTED_VALUE"""),FALSE)</f>
        <v>0</v>
      </c>
      <c r="F475" s="1"/>
      <c r="G475" s="1"/>
      <c r="H475" s="1"/>
      <c r="I475" s="1"/>
      <c r="J475" s="1"/>
      <c r="K475" s="1"/>
      <c r="L475" s="1"/>
      <c r="M475" s="1"/>
      <c r="N475" s="1"/>
      <c r="O475" s="1"/>
      <c r="P475" s="1"/>
      <c r="Q475" s="1"/>
      <c r="R475" s="1"/>
      <c r="S475" s="1"/>
      <c r="T475" s="1"/>
      <c r="U475" s="1"/>
      <c r="V475" s="1"/>
      <c r="W475" s="1"/>
      <c r="X475" s="1"/>
      <c r="Y475" s="1"/>
      <c r="Z475" s="1"/>
    </row>
    <row r="476" ht="15.75" customHeight="1">
      <c r="A476" s="1" t="str">
        <f>IFERROR(__xludf.DUMMYFUNCTION("""COMPUTED_VALUE"""),"Celestial Bullet")</f>
        <v>Celestial Bullet</v>
      </c>
      <c r="B476" s="1" t="str">
        <f>IFERROR(__xludf.DUMMYFUNCTION("""COMPUTED_VALUE"""),"Firearm Ammunition. +100 celestial damage. roll a d20 to see how many you get if this is a loot drop.")</f>
        <v>Firearm Ammunition. +100 celestial damage. roll a d20 to see how many you get if this is a loot drop.</v>
      </c>
      <c r="C476" s="1" t="str">
        <f>IFERROR(__xludf.DUMMYFUNCTION("""COMPUTED_VALUE"""),"Item")</f>
        <v>Item</v>
      </c>
      <c r="D476" s="1" t="str">
        <f>IFERROR(__xludf.DUMMYFUNCTION("""COMPUTED_VALUE"""),"Land of Spira")</f>
        <v>Land of Spira</v>
      </c>
      <c r="E476" s="1" t="b">
        <f>IFERROR(__xludf.DUMMYFUNCTION("""COMPUTED_VALUE"""),FALSE)</f>
        <v>0</v>
      </c>
      <c r="F476" s="1"/>
      <c r="G476" s="1"/>
      <c r="H476" s="1"/>
      <c r="I476" s="1"/>
      <c r="J476" s="1"/>
      <c r="K476" s="1"/>
      <c r="L476" s="1"/>
      <c r="M476" s="1"/>
      <c r="N476" s="1"/>
      <c r="O476" s="1"/>
      <c r="P476" s="1"/>
      <c r="Q476" s="1"/>
      <c r="R476" s="1"/>
      <c r="S476" s="1"/>
      <c r="T476" s="1"/>
      <c r="U476" s="1"/>
      <c r="V476" s="1"/>
      <c r="W476" s="1"/>
      <c r="X476" s="1"/>
      <c r="Y476" s="1"/>
      <c r="Z476" s="1"/>
    </row>
    <row r="477" ht="15.75" customHeight="1">
      <c r="A477" s="1" t="str">
        <f>IFERROR(__xludf.DUMMYFUNCTION("""COMPUTED_VALUE"""),"Fire Cannon Ball")</f>
        <v>Fire Cannon Ball</v>
      </c>
      <c r="B477" s="1" t="str">
        <f>IFERROR(__xludf.DUMMYFUNCTION("""COMPUTED_VALUE"""),"Fireball Cannon Ammunition, +5000 fire damage. roll a d20 to see how many you get if this is a loot drop.")</f>
        <v>Fireball Cannon Ammunition, +5000 fire damage. roll a d20 to see how many you get if this is a loot drop.</v>
      </c>
      <c r="C477" s="1" t="str">
        <f>IFERROR(__xludf.DUMMYFUNCTION("""COMPUTED_VALUE"""),"Item")</f>
        <v>Item</v>
      </c>
      <c r="D477" s="1" t="str">
        <f>IFERROR(__xludf.DUMMYFUNCTION("""COMPUTED_VALUE"""),"Land of Spira")</f>
        <v>Land of Spira</v>
      </c>
      <c r="E477" s="1" t="b">
        <f>IFERROR(__xludf.DUMMYFUNCTION("""COMPUTED_VALUE"""),FALSE)</f>
        <v>0</v>
      </c>
      <c r="F477" s="1"/>
      <c r="G477" s="1"/>
      <c r="H477" s="1"/>
      <c r="I477" s="1"/>
      <c r="J477" s="1"/>
      <c r="K477" s="1"/>
      <c r="L477" s="1"/>
      <c r="M477" s="1"/>
      <c r="N477" s="1"/>
      <c r="O477" s="1"/>
      <c r="P477" s="1"/>
      <c r="Q477" s="1"/>
      <c r="R477" s="1"/>
      <c r="S477" s="1"/>
      <c r="T477" s="1"/>
      <c r="U477" s="1"/>
      <c r="V477" s="1"/>
      <c r="W477" s="1"/>
      <c r="X477" s="1"/>
      <c r="Y477" s="1"/>
      <c r="Z477" s="1"/>
    </row>
    <row r="478" ht="15.75" customHeight="1">
      <c r="A478" s="1" t="str">
        <f>IFERROR(__xludf.DUMMYFUNCTION("""COMPUTED_VALUE"""),"Torpedo")</f>
        <v>Torpedo</v>
      </c>
      <c r="B478" s="1" t="str">
        <f>IFERROR(__xludf.DUMMYFUNCTION("""COMPUTED_VALUE"""),"Torpedo Launcher Ammunition. +10,000 damage. roll a d20 to see how many you get if this is a loot drop.")</f>
        <v>Torpedo Launcher Ammunition. +10,000 damage. roll a d20 to see how many you get if this is a loot drop.</v>
      </c>
      <c r="C478" s="1" t="str">
        <f>IFERROR(__xludf.DUMMYFUNCTION("""COMPUTED_VALUE"""),"Item")</f>
        <v>Item</v>
      </c>
      <c r="D478" s="1" t="str">
        <f>IFERROR(__xludf.DUMMYFUNCTION("""COMPUTED_VALUE"""),"Land of Spira")</f>
        <v>Land of Spira</v>
      </c>
      <c r="E478" s="1" t="b">
        <f>IFERROR(__xludf.DUMMYFUNCTION("""COMPUTED_VALUE"""),FALSE)</f>
        <v>0</v>
      </c>
      <c r="F478" s="1"/>
      <c r="G478" s="1"/>
      <c r="H478" s="1"/>
      <c r="I478" s="1"/>
      <c r="J478" s="1"/>
      <c r="K478" s="1"/>
      <c r="L478" s="1"/>
      <c r="M478" s="1"/>
      <c r="N478" s="1"/>
      <c r="O478" s="1"/>
      <c r="P478" s="1"/>
      <c r="Q478" s="1"/>
      <c r="R478" s="1"/>
      <c r="S478" s="1"/>
      <c r="T478" s="1"/>
      <c r="U478" s="1"/>
      <c r="V478" s="1"/>
      <c r="W478" s="1"/>
      <c r="X478" s="1"/>
      <c r="Y478" s="1"/>
      <c r="Z478" s="1"/>
    </row>
    <row r="479" ht="15.75" customHeight="1">
      <c r="A479" s="1" t="str">
        <f>IFERROR(__xludf.DUMMYFUNCTION("""COMPUTED_VALUE"""),"Fragmentation Grenade")</f>
        <v>Fragmentation Grenade</v>
      </c>
      <c r="B479" s="1" t="str">
        <f>IFERROR(__xludf.DUMMYFUNCTION("""COMPUTED_VALUE"""),"Deals 10000 damage to all enemies.")</f>
        <v>Deals 10000 damage to all enemies.</v>
      </c>
      <c r="C479" s="1" t="str">
        <f>IFERROR(__xludf.DUMMYFUNCTION("""COMPUTED_VALUE"""),"Grenade")</f>
        <v>Grenade</v>
      </c>
      <c r="D479" s="1" t="str">
        <f>IFERROR(__xludf.DUMMYFUNCTION("""COMPUTED_VALUE"""),"Land of Spira")</f>
        <v>Land of Spira</v>
      </c>
      <c r="E479" s="1" t="b">
        <f>IFERROR(__xludf.DUMMYFUNCTION("""COMPUTED_VALUE"""),FALSE)</f>
        <v>0</v>
      </c>
      <c r="F479" s="1"/>
      <c r="G479" s="1"/>
      <c r="H479" s="1"/>
      <c r="I479" s="1"/>
      <c r="J479" s="1"/>
      <c r="K479" s="1"/>
      <c r="L479" s="1"/>
      <c r="M479" s="1"/>
      <c r="N479" s="1"/>
      <c r="O479" s="1"/>
      <c r="P479" s="1"/>
      <c r="Q479" s="1"/>
      <c r="R479" s="1"/>
      <c r="S479" s="1"/>
      <c r="T479" s="1"/>
      <c r="U479" s="1"/>
      <c r="V479" s="1"/>
      <c r="W479" s="1"/>
      <c r="X479" s="1"/>
      <c r="Y479" s="1"/>
      <c r="Z479" s="1"/>
    </row>
    <row r="480" ht="15.75" customHeight="1">
      <c r="A480" s="1" t="str">
        <f>IFERROR(__xludf.DUMMYFUNCTION("""COMPUTED_VALUE"""),"Flashbang")</f>
        <v>Flashbang</v>
      </c>
      <c r="B480" s="1" t="str">
        <f>IFERROR(__xludf.DUMMYFUNCTION("""COMPUTED_VALUE"""),"Deals 5000 Light damage and has a 15% chance to inflict Blindness 2 to all enemies.")</f>
        <v>Deals 5000 Light damage and has a 15% chance to inflict Blindness 2 to all enemies.</v>
      </c>
      <c r="C480" s="1" t="str">
        <f>IFERROR(__xludf.DUMMYFUNCTION("""COMPUTED_VALUE"""),"Grenade")</f>
        <v>Grenade</v>
      </c>
      <c r="D480" s="1" t="str">
        <f>IFERROR(__xludf.DUMMYFUNCTION("""COMPUTED_VALUE"""),"Land of Spira")</f>
        <v>Land of Spira</v>
      </c>
      <c r="E480" s="1" t="b">
        <f>IFERROR(__xludf.DUMMYFUNCTION("""COMPUTED_VALUE"""),FALSE)</f>
        <v>0</v>
      </c>
      <c r="F480" s="1"/>
      <c r="G480" s="1"/>
      <c r="H480" s="1"/>
      <c r="I480" s="1"/>
      <c r="J480" s="1"/>
      <c r="K480" s="1"/>
      <c r="L480" s="1"/>
      <c r="M480" s="1"/>
      <c r="N480" s="1"/>
      <c r="O480" s="1"/>
      <c r="P480" s="1"/>
      <c r="Q480" s="1"/>
      <c r="R480" s="1"/>
      <c r="S480" s="1"/>
      <c r="T480" s="1"/>
      <c r="U480" s="1"/>
      <c r="V480" s="1"/>
      <c r="W480" s="1"/>
      <c r="X480" s="1"/>
      <c r="Y480" s="1"/>
      <c r="Z480" s="1"/>
    </row>
    <row r="481" ht="15.75" customHeight="1">
      <c r="A481" s="1" t="str">
        <f>IFERROR(__xludf.DUMMYFUNCTION("""COMPUTED_VALUE"""),"Earth Golem Core")</f>
        <v>Earth Golem Core</v>
      </c>
      <c r="B481" s="1" t="str">
        <f>IFERROR(__xludf.DUMMYFUNCTION("""COMPUTED_VALUE"""),"Summons an Earth Golem to battle (Can only be used once)")</f>
        <v>Summons an Earth Golem to battle (Can only be used once)</v>
      </c>
      <c r="C481" s="1" t="str">
        <f>IFERROR(__xludf.DUMMYFUNCTION("""COMPUTED_VALUE"""),"Item")</f>
        <v>Item</v>
      </c>
      <c r="D481" s="1" t="str">
        <f>IFERROR(__xludf.DUMMYFUNCTION("""COMPUTED_VALUE"""),"Land of Spira")</f>
        <v>Land of Spira</v>
      </c>
      <c r="E481" s="1" t="b">
        <f>IFERROR(__xludf.DUMMYFUNCTION("""COMPUTED_VALUE"""),FALSE)</f>
        <v>0</v>
      </c>
      <c r="F481" s="1"/>
      <c r="G481" s="1"/>
      <c r="H481" s="1"/>
      <c r="I481" s="1"/>
      <c r="J481" s="1"/>
      <c r="K481" s="1"/>
      <c r="L481" s="1"/>
      <c r="M481" s="1"/>
      <c r="N481" s="1"/>
      <c r="O481" s="1"/>
      <c r="P481" s="1"/>
      <c r="Q481" s="1"/>
      <c r="R481" s="1"/>
      <c r="S481" s="1"/>
      <c r="T481" s="1"/>
      <c r="U481" s="1"/>
      <c r="V481" s="1"/>
      <c r="W481" s="1"/>
      <c r="X481" s="1"/>
      <c r="Y481" s="1"/>
      <c r="Z481" s="1"/>
    </row>
    <row r="482" ht="15.75" customHeight="1">
      <c r="A482" s="1" t="str">
        <f>IFERROR(__xludf.DUMMYFUNCTION("""COMPUTED_VALUE"""),"Nailbomb")</f>
        <v>Nailbomb</v>
      </c>
      <c r="B482" s="1" t="str">
        <f>IFERROR(__xludf.DUMMYFUNCTION("""COMPUTED_VALUE"""),"Deals 5000 bleed damage and has a 25% chance of inflicting bleed 2500 for 3 rounds to all enemies.")</f>
        <v>Deals 5000 bleed damage and has a 25% chance of inflicting bleed 2500 for 3 rounds to all enemies.</v>
      </c>
      <c r="C482" s="1" t="str">
        <f>IFERROR(__xludf.DUMMYFUNCTION("""COMPUTED_VALUE"""),"Grenade")</f>
        <v>Grenade</v>
      </c>
      <c r="D482" s="1" t="str">
        <f>IFERROR(__xludf.DUMMYFUNCTION("""COMPUTED_VALUE"""),"Land of Spira")</f>
        <v>Land of Spira</v>
      </c>
      <c r="E482" s="1" t="b">
        <f>IFERROR(__xludf.DUMMYFUNCTION("""COMPUTED_VALUE"""),FALSE)</f>
        <v>0</v>
      </c>
      <c r="F482" s="1"/>
      <c r="G482" s="1"/>
      <c r="H482" s="1"/>
      <c r="I482" s="1"/>
      <c r="J482" s="1"/>
      <c r="K482" s="1"/>
      <c r="L482" s="1"/>
      <c r="M482" s="1"/>
      <c r="N482" s="1"/>
      <c r="O482" s="1"/>
      <c r="P482" s="1"/>
      <c r="Q482" s="1"/>
      <c r="R482" s="1"/>
      <c r="S482" s="1"/>
      <c r="T482" s="1"/>
      <c r="U482" s="1"/>
      <c r="V482" s="1"/>
      <c r="W482" s="1"/>
      <c r="X482" s="1"/>
      <c r="Y482" s="1"/>
      <c r="Z482" s="1"/>
    </row>
    <row r="483" ht="15.75" customHeight="1">
      <c r="A483" s="1" t="str">
        <f>IFERROR(__xludf.DUMMYFUNCTION("""COMPUTED_VALUE"""),"Molotov")</f>
        <v>Molotov</v>
      </c>
      <c r="B483" s="1" t="str">
        <f>IFERROR(__xludf.DUMMYFUNCTION("""COMPUTED_VALUE"""),"Deals 5000 fire damage and has a 25% chance of inflicting burn 2500 for 3 rounds to all enemies.")</f>
        <v>Deals 5000 fire damage and has a 25% chance of inflicting burn 2500 for 3 rounds to all enemies.</v>
      </c>
      <c r="C483" s="1" t="str">
        <f>IFERROR(__xludf.DUMMYFUNCTION("""COMPUTED_VALUE"""),"Grenade")</f>
        <v>Grenade</v>
      </c>
      <c r="D483" s="1" t="str">
        <f>IFERROR(__xludf.DUMMYFUNCTION("""COMPUTED_VALUE"""),"Land of Spira")</f>
        <v>Land of Spira</v>
      </c>
      <c r="E483" s="1" t="b">
        <f>IFERROR(__xludf.DUMMYFUNCTION("""COMPUTED_VALUE"""),FALSE)</f>
        <v>0</v>
      </c>
      <c r="F483" s="1"/>
      <c r="G483" s="1"/>
      <c r="H483" s="1"/>
      <c r="I483" s="1"/>
      <c r="J483" s="1"/>
      <c r="K483" s="1"/>
      <c r="L483" s="1"/>
      <c r="M483" s="1"/>
      <c r="N483" s="1"/>
      <c r="O483" s="1"/>
      <c r="P483" s="1"/>
      <c r="Q483" s="1"/>
      <c r="R483" s="1"/>
      <c r="S483" s="1"/>
      <c r="T483" s="1"/>
      <c r="U483" s="1"/>
      <c r="V483" s="1"/>
      <c r="W483" s="1"/>
      <c r="X483" s="1"/>
      <c r="Y483" s="1"/>
      <c r="Z483" s="1"/>
    </row>
    <row r="484" ht="15.75" customHeight="1">
      <c r="A484" s="1" t="str">
        <f>IFERROR(__xludf.DUMMYFUNCTION("""COMPUTED_VALUE"""),"Smoke Bomb")</f>
        <v>Smoke Bomb</v>
      </c>
      <c r="B484" s="1" t="str">
        <f>IFERROR(__xludf.DUMMYFUNCTION("""COMPUTED_VALUE"""),"Conceals you and gives you +5 mobility when fleeing.")</f>
        <v>Conceals you and gives you +5 mobility when fleeing.</v>
      </c>
      <c r="C484" s="1" t="str">
        <f>IFERROR(__xludf.DUMMYFUNCTION("""COMPUTED_VALUE"""),"Grenade")</f>
        <v>Grenade</v>
      </c>
      <c r="D484" s="1" t="str">
        <f>IFERROR(__xludf.DUMMYFUNCTION("""COMPUTED_VALUE"""),"Land of Spira")</f>
        <v>Land of Spira</v>
      </c>
      <c r="E484" s="1" t="b">
        <f>IFERROR(__xludf.DUMMYFUNCTION("""COMPUTED_VALUE"""),FALSE)</f>
        <v>0</v>
      </c>
      <c r="F484" s="1"/>
      <c r="G484" s="1"/>
      <c r="H484" s="1"/>
      <c r="I484" s="1"/>
      <c r="J484" s="1"/>
      <c r="K484" s="1"/>
      <c r="L484" s="1"/>
      <c r="M484" s="1"/>
      <c r="N484" s="1"/>
      <c r="O484" s="1"/>
      <c r="P484" s="1"/>
      <c r="Q484" s="1"/>
      <c r="R484" s="1"/>
      <c r="S484" s="1"/>
      <c r="T484" s="1"/>
      <c r="U484" s="1"/>
      <c r="V484" s="1"/>
      <c r="W484" s="1"/>
      <c r="X484" s="1"/>
      <c r="Y484" s="1"/>
      <c r="Z484" s="1"/>
    </row>
    <row r="485" ht="15.75" customHeight="1">
      <c r="A485" s="1" t="str">
        <f>IFERROR(__xludf.DUMMYFUNCTION("""COMPUTED_VALUE"""),"Gas Grenade")</f>
        <v>Gas Grenade</v>
      </c>
      <c r="B485" s="1" t="str">
        <f>IFERROR(__xludf.DUMMYFUNCTION("""COMPUTED_VALUE"""),"Inflicts poison 5000 for 3 rounds to all enemies.")</f>
        <v>Inflicts poison 5000 for 3 rounds to all enemies.</v>
      </c>
      <c r="C485" s="1" t="str">
        <f>IFERROR(__xludf.DUMMYFUNCTION("""COMPUTED_VALUE"""),"Grenade")</f>
        <v>Grenade</v>
      </c>
      <c r="D485" s="1" t="str">
        <f>IFERROR(__xludf.DUMMYFUNCTION("""COMPUTED_VALUE"""),"Land of Spira")</f>
        <v>Land of Spira</v>
      </c>
      <c r="E485" s="1" t="b">
        <f>IFERROR(__xludf.DUMMYFUNCTION("""COMPUTED_VALUE"""),FALSE)</f>
        <v>0</v>
      </c>
      <c r="F485" s="1"/>
      <c r="G485" s="1"/>
      <c r="H485" s="1"/>
      <c r="I485" s="1"/>
      <c r="J485" s="1"/>
      <c r="K485" s="1"/>
      <c r="L485" s="1"/>
      <c r="M485" s="1"/>
      <c r="N485" s="1"/>
      <c r="O485" s="1"/>
      <c r="P485" s="1"/>
      <c r="Q485" s="1"/>
      <c r="R485" s="1"/>
      <c r="S485" s="1"/>
      <c r="T485" s="1"/>
      <c r="U485" s="1"/>
      <c r="V485" s="1"/>
      <c r="W485" s="1"/>
      <c r="X485" s="1"/>
      <c r="Y485" s="1"/>
      <c r="Z485" s="1"/>
    </row>
    <row r="486" ht="15.75" customHeight="1">
      <c r="A486" s="1" t="str">
        <f>IFERROR(__xludf.DUMMYFUNCTION("""COMPUTED_VALUE"""),"Booze Bomb")</f>
        <v>Booze Bomb</v>
      </c>
      <c r="B486" s="1" t="str">
        <f>IFERROR(__xludf.DUMMYFUNCTION("""COMPUTED_VALUE"""),"75% to inflict disoriented 5 to all enemies.")</f>
        <v>75% to inflict disoriented 5 to all enemies.</v>
      </c>
      <c r="C486" s="1" t="str">
        <f>IFERROR(__xludf.DUMMYFUNCTION("""COMPUTED_VALUE"""),"Grenade")</f>
        <v>Grenade</v>
      </c>
      <c r="D486" s="1" t="str">
        <f>IFERROR(__xludf.DUMMYFUNCTION("""COMPUTED_VALUE"""),"Land of Spira")</f>
        <v>Land of Spira</v>
      </c>
      <c r="E486" s="1" t="b">
        <f>IFERROR(__xludf.DUMMYFUNCTION("""COMPUTED_VALUE"""),FALSE)</f>
        <v>0</v>
      </c>
      <c r="F486" s="1"/>
      <c r="G486" s="1"/>
      <c r="H486" s="1"/>
      <c r="I486" s="1"/>
      <c r="J486" s="1"/>
      <c r="K486" s="1"/>
      <c r="L486" s="1"/>
      <c r="M486" s="1"/>
      <c r="N486" s="1"/>
      <c r="O486" s="1"/>
      <c r="P486" s="1"/>
      <c r="Q486" s="1"/>
      <c r="R486" s="1"/>
      <c r="S486" s="1"/>
      <c r="T486" s="1"/>
      <c r="U486" s="1"/>
      <c r="V486" s="1"/>
      <c r="W486" s="1"/>
      <c r="X486" s="1"/>
      <c r="Y486" s="1"/>
      <c r="Z486" s="1"/>
    </row>
    <row r="487" ht="15.75" customHeight="1">
      <c r="A487" s="1" t="str">
        <f>IFERROR(__xludf.DUMMYFUNCTION("""COMPUTED_VALUE"""),"Ice bomb")</f>
        <v>Ice bomb</v>
      </c>
      <c r="B487" s="1" t="str">
        <f>IFERROR(__xludf.DUMMYFUNCTION("""COMPUTED_VALUE"""),"50% chance to freeze targets to all enemies.")</f>
        <v>50% chance to freeze targets to all enemies.</v>
      </c>
      <c r="C487" s="1" t="str">
        <f>IFERROR(__xludf.DUMMYFUNCTION("""COMPUTED_VALUE"""),"Grenade")</f>
        <v>Grenade</v>
      </c>
      <c r="D487" s="1" t="str">
        <f>IFERROR(__xludf.DUMMYFUNCTION("""COMPUTED_VALUE"""),"Land of Spira")</f>
        <v>Land of Spira</v>
      </c>
      <c r="E487" s="1" t="b">
        <f>IFERROR(__xludf.DUMMYFUNCTION("""COMPUTED_VALUE"""),FALSE)</f>
        <v>0</v>
      </c>
      <c r="F487" s="1"/>
      <c r="G487" s="1"/>
      <c r="H487" s="1"/>
      <c r="I487" s="1"/>
      <c r="J487" s="1"/>
      <c r="K487" s="1"/>
      <c r="L487" s="1"/>
      <c r="M487" s="1"/>
      <c r="N487" s="1"/>
      <c r="O487" s="1"/>
      <c r="P487" s="1"/>
      <c r="Q487" s="1"/>
      <c r="R487" s="1"/>
      <c r="S487" s="1"/>
      <c r="T487" s="1"/>
      <c r="U487" s="1"/>
      <c r="V487" s="1"/>
      <c r="W487" s="1"/>
      <c r="X487" s="1"/>
      <c r="Y487" s="1"/>
      <c r="Z487" s="1"/>
    </row>
    <row r="488" ht="15.75" customHeight="1">
      <c r="A488" s="1" t="str">
        <f>IFERROR(__xludf.DUMMYFUNCTION("""COMPUTED_VALUE"""),"Holy Water")</f>
        <v>Holy Water</v>
      </c>
      <c r="B488" s="1" t="str">
        <f>IFERROR(__xludf.DUMMYFUNCTION("""COMPUTED_VALUE"""),"Deals 10000 Light Damage")</f>
        <v>Deals 10000 Light Damage</v>
      </c>
      <c r="C488" s="1" t="str">
        <f>IFERROR(__xludf.DUMMYFUNCTION("""COMPUTED_VALUE"""),"Grenade")</f>
        <v>Grenade</v>
      </c>
      <c r="D488" s="1" t="str">
        <f>IFERROR(__xludf.DUMMYFUNCTION("""COMPUTED_VALUE"""),"Land of Spira")</f>
        <v>Land of Spira</v>
      </c>
      <c r="E488" s="1" t="b">
        <f>IFERROR(__xludf.DUMMYFUNCTION("""COMPUTED_VALUE"""),FALSE)</f>
        <v>0</v>
      </c>
      <c r="F488" s="1"/>
      <c r="G488" s="1"/>
      <c r="H488" s="1"/>
      <c r="I488" s="1"/>
      <c r="J488" s="1"/>
      <c r="K488" s="1"/>
      <c r="L488" s="1"/>
      <c r="M488" s="1"/>
      <c r="N488" s="1"/>
      <c r="O488" s="1"/>
      <c r="P488" s="1"/>
      <c r="Q488" s="1"/>
      <c r="R488" s="1"/>
      <c r="S488" s="1"/>
      <c r="T488" s="1"/>
      <c r="U488" s="1"/>
      <c r="V488" s="1"/>
      <c r="W488" s="1"/>
      <c r="X488" s="1"/>
      <c r="Y488" s="1"/>
      <c r="Z488" s="1"/>
    </row>
    <row r="489" ht="15.75" customHeight="1">
      <c r="A489" s="1" t="str">
        <f>IFERROR(__xludf.DUMMYFUNCTION("""COMPUTED_VALUE"""),"Salve Grenade")</f>
        <v>Salve Grenade</v>
      </c>
      <c r="B489" s="1" t="str">
        <f>IFERROR(__xludf.DUMMYFUNCTION("""COMPUTED_VALUE"""),"Heals 2500 Hp")</f>
        <v>Heals 2500 Hp</v>
      </c>
      <c r="C489" s="1" t="str">
        <f>IFERROR(__xludf.DUMMYFUNCTION("""COMPUTED_VALUE"""),"Grenade")</f>
        <v>Grenade</v>
      </c>
      <c r="D489" s="1" t="str">
        <f>IFERROR(__xludf.DUMMYFUNCTION("""COMPUTED_VALUE"""),"Land of Spira")</f>
        <v>Land of Spira</v>
      </c>
      <c r="E489" s="1" t="b">
        <f>IFERROR(__xludf.DUMMYFUNCTION("""COMPUTED_VALUE"""),FALSE)</f>
        <v>0</v>
      </c>
      <c r="F489" s="1"/>
      <c r="G489" s="1"/>
      <c r="H489" s="1"/>
      <c r="I489" s="1"/>
      <c r="J489" s="1"/>
      <c r="K489" s="1"/>
      <c r="L489" s="1"/>
      <c r="M489" s="1"/>
      <c r="N489" s="1"/>
      <c r="O489" s="1"/>
      <c r="P489" s="1"/>
      <c r="Q489" s="1"/>
      <c r="R489" s="1"/>
      <c r="S489" s="1"/>
      <c r="T489" s="1"/>
      <c r="U489" s="1"/>
      <c r="V489" s="1"/>
      <c r="W489" s="1"/>
      <c r="X489" s="1"/>
      <c r="Y489" s="1"/>
      <c r="Z489" s="1"/>
    </row>
    <row r="490" ht="15.75" customHeight="1">
      <c r="A490" s="1" t="str">
        <f>IFERROR(__xludf.DUMMYFUNCTION("""COMPUTED_VALUE"""),"Potion of Banishment")</f>
        <v>Potion of Banishment</v>
      </c>
      <c r="B490" s="1" t="str">
        <f>IFERROR(__xludf.DUMMYFUNCTION("""COMPUTED_VALUE"""),"Banishes an enemy")</f>
        <v>Banishes an enemy</v>
      </c>
      <c r="C490" s="1" t="str">
        <f>IFERROR(__xludf.DUMMYFUNCTION("""COMPUTED_VALUE"""),"Item")</f>
        <v>Item</v>
      </c>
      <c r="D490" s="1" t="str">
        <f>IFERROR(__xludf.DUMMYFUNCTION("""COMPUTED_VALUE"""),"Land of Spira")</f>
        <v>Land of Spira</v>
      </c>
      <c r="E490" s="1" t="b">
        <f>IFERROR(__xludf.DUMMYFUNCTION("""COMPUTED_VALUE"""),FALSE)</f>
        <v>0</v>
      </c>
      <c r="F490" s="1"/>
      <c r="G490" s="1"/>
      <c r="H490" s="1"/>
      <c r="I490" s="1"/>
      <c r="J490" s="1"/>
      <c r="K490" s="1"/>
      <c r="L490" s="1"/>
      <c r="M490" s="1"/>
      <c r="N490" s="1"/>
      <c r="O490" s="1"/>
      <c r="P490" s="1"/>
      <c r="Q490" s="1"/>
      <c r="R490" s="1"/>
      <c r="S490" s="1"/>
      <c r="T490" s="1"/>
      <c r="U490" s="1"/>
      <c r="V490" s="1"/>
      <c r="W490" s="1"/>
      <c r="X490" s="1"/>
      <c r="Y490" s="1"/>
      <c r="Z490" s="1"/>
    </row>
    <row r="491" ht="15.75" customHeight="1">
      <c r="A491" s="1" t="str">
        <f>IFERROR(__xludf.DUMMYFUNCTION("""COMPUTED_VALUE"""),"Wooden Arrow")</f>
        <v>Wooden Arrow</v>
      </c>
      <c r="B491" s="1" t="str">
        <f>IFERROR(__xludf.DUMMYFUNCTION("""COMPUTED_VALUE"""),"Bow Ammunition +50 Damage. roll a d20 to see how many you get if this is a loot drop.")</f>
        <v>Bow Ammunition +50 Damage. roll a d20 to see how many you get if this is a loot drop.</v>
      </c>
      <c r="C491" s="1" t="str">
        <f>IFERROR(__xludf.DUMMYFUNCTION("""COMPUTED_VALUE"""),"Item")</f>
        <v>Item</v>
      </c>
      <c r="D491" s="1" t="str">
        <f>IFERROR(__xludf.DUMMYFUNCTION("""COMPUTED_VALUE"""),"Land of Spira")</f>
        <v>Land of Spira</v>
      </c>
      <c r="E491" s="1" t="b">
        <f>IFERROR(__xludf.DUMMYFUNCTION("""COMPUTED_VALUE"""),FALSE)</f>
        <v>0</v>
      </c>
      <c r="F491" s="1"/>
      <c r="G491" s="1"/>
      <c r="H491" s="1"/>
      <c r="I491" s="1"/>
      <c r="J491" s="1"/>
      <c r="K491" s="1"/>
      <c r="L491" s="1"/>
      <c r="M491" s="1"/>
      <c r="N491" s="1"/>
      <c r="O491" s="1"/>
      <c r="P491" s="1"/>
      <c r="Q491" s="1"/>
      <c r="R491" s="1"/>
      <c r="S491" s="1"/>
      <c r="T491" s="1"/>
      <c r="U491" s="1"/>
      <c r="V491" s="1"/>
      <c r="W491" s="1"/>
      <c r="X491" s="1"/>
      <c r="Y491" s="1"/>
      <c r="Z491" s="1"/>
    </row>
    <row r="492" ht="15.75" customHeight="1">
      <c r="A492" s="1" t="str">
        <f>IFERROR(__xludf.DUMMYFUNCTION("""COMPUTED_VALUE"""),"Bone Tipped Arrow")</f>
        <v>Bone Tipped Arrow</v>
      </c>
      <c r="B492" s="1" t="str">
        <f>IFERROR(__xludf.DUMMYFUNCTION("""COMPUTED_VALUE"""),"Bow Ammunition +250 Blood damage. roll a d20 to see how many you get if this is a loot drop")</f>
        <v>Bow Ammunition +250 Blood damage. roll a d20 to see how many you get if this is a loot drop</v>
      </c>
      <c r="C492" s="1" t="str">
        <f>IFERROR(__xludf.DUMMYFUNCTION("""COMPUTED_VALUE"""),"Item")</f>
        <v>Item</v>
      </c>
      <c r="D492" s="1" t="str">
        <f>IFERROR(__xludf.DUMMYFUNCTION("""COMPUTED_VALUE"""),"Land of Spira")</f>
        <v>Land of Spira</v>
      </c>
      <c r="E492" s="1" t="b">
        <f>IFERROR(__xludf.DUMMYFUNCTION("""COMPUTED_VALUE"""),FALSE)</f>
        <v>0</v>
      </c>
      <c r="F492" s="1"/>
      <c r="G492" s="1"/>
      <c r="H492" s="1"/>
      <c r="I492" s="1"/>
      <c r="J492" s="1"/>
      <c r="K492" s="1"/>
      <c r="L492" s="1"/>
      <c r="M492" s="1"/>
      <c r="N492" s="1"/>
      <c r="O492" s="1"/>
      <c r="P492" s="1"/>
      <c r="Q492" s="1"/>
      <c r="R492" s="1"/>
      <c r="S492" s="1"/>
      <c r="T492" s="1"/>
      <c r="U492" s="1"/>
      <c r="V492" s="1"/>
      <c r="W492" s="1"/>
      <c r="X492" s="1"/>
      <c r="Y492" s="1"/>
      <c r="Z492" s="1"/>
    </row>
    <row r="493" ht="15.75" customHeight="1">
      <c r="A493" s="1" t="str">
        <f>IFERROR(__xludf.DUMMYFUNCTION("""COMPUTED_VALUE"""),"Holy Arrow")</f>
        <v>Holy Arrow</v>
      </c>
      <c r="B493" s="1"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1" t="str">
        <f>IFERROR(__xludf.DUMMYFUNCTION("""COMPUTED_VALUE"""),"Item")</f>
        <v>Item</v>
      </c>
      <c r="D493" s="1" t="str">
        <f>IFERROR(__xludf.DUMMYFUNCTION("""COMPUTED_VALUE"""),"Land of Spira")</f>
        <v>Land of Spira</v>
      </c>
      <c r="E493" s="1" t="b">
        <f>IFERROR(__xludf.DUMMYFUNCTION("""COMPUTED_VALUE"""),FALSE)</f>
        <v>0</v>
      </c>
      <c r="F493" s="1"/>
      <c r="G493" s="1"/>
      <c r="H493" s="1"/>
      <c r="I493" s="1"/>
      <c r="J493" s="1"/>
      <c r="K493" s="1"/>
      <c r="L493" s="1"/>
      <c r="M493" s="1"/>
      <c r="N493" s="1"/>
      <c r="O493" s="1"/>
      <c r="P493" s="1"/>
      <c r="Q493" s="1"/>
      <c r="R493" s="1"/>
      <c r="S493" s="1"/>
      <c r="T493" s="1"/>
      <c r="U493" s="1"/>
      <c r="V493" s="1"/>
      <c r="W493" s="1"/>
      <c r="X493" s="1"/>
      <c r="Y493" s="1"/>
      <c r="Z493" s="1"/>
    </row>
    <row r="494" ht="15.75" customHeight="1">
      <c r="A494" s="1" t="str">
        <f>IFERROR(__xludf.DUMMYFUNCTION("""COMPUTED_VALUE"""),"Small Bang")</f>
        <v>Small Bang</v>
      </c>
      <c r="B494" s="1" t="str">
        <f>IFERROR(__xludf.DUMMYFUNCTION("""COMPUTED_VALUE"""),"500,000 Damage")</f>
        <v>500,000 Damage</v>
      </c>
      <c r="C494" s="1" t="str">
        <f>IFERROR(__xludf.DUMMYFUNCTION("""COMPUTED_VALUE"""),"Grenade")</f>
        <v>Grenade</v>
      </c>
      <c r="D494" s="1" t="str">
        <f>IFERROR(__xludf.DUMMYFUNCTION("""COMPUTED_VALUE"""),"Abstara")</f>
        <v>Abstara</v>
      </c>
      <c r="E494" s="1" t="b">
        <f>IFERROR(__xludf.DUMMYFUNCTION("""COMPUTED_VALUE"""),FALSE)</f>
        <v>0</v>
      </c>
      <c r="F494" s="1"/>
      <c r="G494" s="1"/>
      <c r="H494" s="1"/>
      <c r="I494" s="1"/>
      <c r="J494" s="1"/>
      <c r="K494" s="1"/>
      <c r="L494" s="1"/>
      <c r="M494" s="1"/>
      <c r="N494" s="1"/>
      <c r="O494" s="1"/>
      <c r="P494" s="1"/>
      <c r="Q494" s="1"/>
      <c r="R494" s="1"/>
      <c r="S494" s="1"/>
      <c r="T494" s="1"/>
      <c r="U494" s="1"/>
      <c r="V494" s="1"/>
      <c r="W494" s="1"/>
      <c r="X494" s="1"/>
      <c r="Y494" s="1"/>
      <c r="Z494" s="1"/>
    </row>
    <row r="495" ht="15.75" customHeight="1">
      <c r="A495" s="1" t="str">
        <f>IFERROR(__xludf.DUMMYFUNCTION("""COMPUTED_VALUE"""),"Dragon Burst")</f>
        <v>Dragon Burst</v>
      </c>
      <c r="B495" s="1" t="str">
        <f>IFERROR(__xludf.DUMMYFUNCTION("""COMPUTED_VALUE"""),"250,000 Damage")</f>
        <v>250,000 Damage</v>
      </c>
      <c r="C495" s="1" t="str">
        <f>IFERROR(__xludf.DUMMYFUNCTION("""COMPUTED_VALUE"""),"Grenade")</f>
        <v>Grenade</v>
      </c>
      <c r="D495" s="1" t="str">
        <f>IFERROR(__xludf.DUMMYFUNCTION("""COMPUTED_VALUE"""),"Dragonscale Island")</f>
        <v>Dragonscale Island</v>
      </c>
      <c r="E495" s="1" t="b">
        <f>IFERROR(__xludf.DUMMYFUNCTION("""COMPUTED_VALUE"""),FALSE)</f>
        <v>0</v>
      </c>
      <c r="F495" s="1"/>
      <c r="G495" s="1"/>
      <c r="H495" s="1"/>
      <c r="I495" s="1"/>
      <c r="J495" s="1"/>
      <c r="K495" s="1"/>
      <c r="L495" s="1"/>
      <c r="M495" s="1"/>
      <c r="N495" s="1"/>
      <c r="O495" s="1"/>
      <c r="P495" s="1"/>
      <c r="Q495" s="1"/>
      <c r="R495" s="1"/>
      <c r="S495" s="1"/>
      <c r="T495" s="1"/>
      <c r="U495" s="1"/>
      <c r="V495" s="1"/>
      <c r="W495" s="1"/>
      <c r="X495" s="1"/>
      <c r="Y495" s="1"/>
      <c r="Z495" s="1"/>
    </row>
    <row r="496" ht="15.75" customHeight="1">
      <c r="A496" s="1" t="str">
        <f>IFERROR(__xludf.DUMMYFUNCTION("""COMPUTED_VALUE"""),"Iguanian Assassin's Box")</f>
        <v>Iguanian Assassin's Box</v>
      </c>
      <c r="B496" s="1"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1" t="str">
        <f>IFERROR(__xludf.DUMMYFUNCTION("""COMPUTED_VALUE"""),"Item")</f>
        <v>Item</v>
      </c>
      <c r="D496" s="1" t="str">
        <f>IFERROR(__xludf.DUMMYFUNCTION("""COMPUTED_VALUE"""),"Dragonscale Island")</f>
        <v>Dragonscale Island</v>
      </c>
      <c r="E496" s="1" t="b">
        <f>IFERROR(__xludf.DUMMYFUNCTION("""COMPUTED_VALUE"""),FALSE)</f>
        <v>0</v>
      </c>
      <c r="F496" s="1"/>
      <c r="G496" s="1"/>
      <c r="H496" s="1"/>
      <c r="I496" s="1"/>
      <c r="J496" s="1"/>
      <c r="K496" s="1"/>
      <c r="L496" s="1"/>
      <c r="M496" s="1"/>
      <c r="N496" s="1"/>
      <c r="O496" s="1"/>
      <c r="P496" s="1"/>
      <c r="Q496" s="1"/>
      <c r="R496" s="1"/>
      <c r="S496" s="1"/>
      <c r="T496" s="1"/>
      <c r="U496" s="1"/>
      <c r="V496" s="1"/>
      <c r="W496" s="1"/>
      <c r="X496" s="1"/>
      <c r="Y496" s="1"/>
      <c r="Z496" s="1"/>
    </row>
    <row r="497" ht="15.75" customHeight="1">
      <c r="A497" s="1" t="str">
        <f>IFERROR(__xludf.DUMMYFUNCTION("""COMPUTED_VALUE"""),"Lizardfolk Warrior's Box")</f>
        <v>Lizardfolk Warrior's Box</v>
      </c>
      <c r="B497" s="1"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1" t="str">
        <f>IFERROR(__xludf.DUMMYFUNCTION("""COMPUTED_VALUE"""),"Item")</f>
        <v>Item</v>
      </c>
      <c r="D497" s="1" t="str">
        <f>IFERROR(__xludf.DUMMYFUNCTION("""COMPUTED_VALUE"""),"Dragonscale Island")</f>
        <v>Dragonscale Island</v>
      </c>
      <c r="E497" s="1" t="b">
        <f>IFERROR(__xludf.DUMMYFUNCTION("""COMPUTED_VALUE"""),FALSE)</f>
        <v>0</v>
      </c>
      <c r="F497" s="1"/>
      <c r="G497" s="1"/>
      <c r="H497" s="1"/>
      <c r="I497" s="1"/>
      <c r="J497" s="1"/>
      <c r="K497" s="1"/>
      <c r="L497" s="1"/>
      <c r="M497" s="1"/>
      <c r="N497" s="1"/>
      <c r="O497" s="1"/>
      <c r="P497" s="1"/>
      <c r="Q497" s="1"/>
      <c r="R497" s="1"/>
      <c r="S497" s="1"/>
      <c r="T497" s="1"/>
      <c r="U497" s="1"/>
      <c r="V497" s="1"/>
      <c r="W497" s="1"/>
      <c r="X497" s="1"/>
      <c r="Y497" s="1"/>
      <c r="Z497" s="1"/>
    </row>
    <row r="498" ht="15.75" customHeight="1">
      <c r="A498" s="1" t="str">
        <f>IFERROR(__xludf.DUMMYFUNCTION("""COMPUTED_VALUE"""),"Lizard Thief's Box")</f>
        <v>Lizard Thief's Box</v>
      </c>
      <c r="B498" s="1"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1" t="str">
        <f>IFERROR(__xludf.DUMMYFUNCTION("""COMPUTED_VALUE"""),"Item")</f>
        <v>Item</v>
      </c>
      <c r="D498" s="1" t="str">
        <f>IFERROR(__xludf.DUMMYFUNCTION("""COMPUTED_VALUE"""),"Dragonscale Island")</f>
        <v>Dragonscale Island</v>
      </c>
      <c r="E498" s="1" t="b">
        <f>IFERROR(__xludf.DUMMYFUNCTION("""COMPUTED_VALUE"""),FALSE)</f>
        <v>0</v>
      </c>
      <c r="F498" s="1"/>
      <c r="G498" s="1"/>
      <c r="H498" s="1"/>
      <c r="I498" s="1"/>
      <c r="J498" s="1"/>
      <c r="K498" s="1"/>
      <c r="L498" s="1"/>
      <c r="M498" s="1"/>
      <c r="N498" s="1"/>
      <c r="O498" s="1"/>
      <c r="P498" s="1"/>
      <c r="Q498" s="1"/>
      <c r="R498" s="1"/>
      <c r="S498" s="1"/>
      <c r="T498" s="1"/>
      <c r="U498" s="1"/>
      <c r="V498" s="1"/>
      <c r="W498" s="1"/>
      <c r="X498" s="1"/>
      <c r="Y498" s="1"/>
      <c r="Z498" s="1"/>
    </row>
    <row r="499" ht="15.75" customHeight="1">
      <c r="A499" s="1" t="str">
        <f>IFERROR(__xludf.DUMMYFUNCTION("""COMPUTED_VALUE"""),"Lizard Wizard's Box")</f>
        <v>Lizard Wizard's Box</v>
      </c>
      <c r="B499" s="1"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1" t="str">
        <f>IFERROR(__xludf.DUMMYFUNCTION("""COMPUTED_VALUE"""),"Item")</f>
        <v>Item</v>
      </c>
      <c r="D499" s="1" t="str">
        <f>IFERROR(__xludf.DUMMYFUNCTION("""COMPUTED_VALUE"""),"Dragonscale Island")</f>
        <v>Dragonscale Island</v>
      </c>
      <c r="E499" s="1" t="b">
        <f>IFERROR(__xludf.DUMMYFUNCTION("""COMPUTED_VALUE"""),FALSE)</f>
        <v>0</v>
      </c>
      <c r="F499" s="1"/>
      <c r="G499" s="1"/>
      <c r="H499" s="1"/>
      <c r="I499" s="1"/>
      <c r="J499" s="1"/>
      <c r="K499" s="1"/>
      <c r="L499" s="1"/>
      <c r="M499" s="1"/>
      <c r="N499" s="1"/>
      <c r="O499" s="1"/>
      <c r="P499" s="1"/>
      <c r="Q499" s="1"/>
      <c r="R499" s="1"/>
      <c r="S499" s="1"/>
      <c r="T499" s="1"/>
      <c r="U499" s="1"/>
      <c r="V499" s="1"/>
      <c r="W499" s="1"/>
      <c r="X499" s="1"/>
      <c r="Y499" s="1"/>
      <c r="Z499" s="1"/>
    </row>
    <row r="500" ht="15.75" customHeight="1">
      <c r="A500" s="1" t="str">
        <f>IFERROR(__xludf.DUMMYFUNCTION("""COMPUTED_VALUE"""),"Iguanian Brawler's Box")</f>
        <v>Iguanian Brawler's Box</v>
      </c>
      <c r="B500" s="1"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1" t="str">
        <f>IFERROR(__xludf.DUMMYFUNCTION("""COMPUTED_VALUE"""),"Item")</f>
        <v>Item</v>
      </c>
      <c r="D500" s="1" t="str">
        <f>IFERROR(__xludf.DUMMYFUNCTION("""COMPUTED_VALUE"""),"Dragonscale Island")</f>
        <v>Dragonscale Island</v>
      </c>
      <c r="E500" s="1" t="b">
        <f>IFERROR(__xludf.DUMMYFUNCTION("""COMPUTED_VALUE"""),FALSE)</f>
        <v>0</v>
      </c>
      <c r="F500" s="1"/>
      <c r="G500" s="1"/>
      <c r="H500" s="1"/>
      <c r="I500" s="1"/>
      <c r="J500" s="1"/>
      <c r="K500" s="1"/>
      <c r="L500" s="1"/>
      <c r="M500" s="1"/>
      <c r="N500" s="1"/>
      <c r="O500" s="1"/>
      <c r="P500" s="1"/>
      <c r="Q500" s="1"/>
      <c r="R500" s="1"/>
      <c r="S500" s="1"/>
      <c r="T500" s="1"/>
      <c r="U500" s="1"/>
      <c r="V500" s="1"/>
      <c r="W500" s="1"/>
      <c r="X500" s="1"/>
      <c r="Y500" s="1"/>
      <c r="Z500" s="1"/>
    </row>
    <row r="501" ht="15.75" customHeight="1">
      <c r="A501" s="1" t="str">
        <f>IFERROR(__xludf.DUMMYFUNCTION("""COMPUTED_VALUE"""),"Iguanian Mage's Box")</f>
        <v>Iguanian Mage's Box</v>
      </c>
      <c r="B501" s="1"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1" t="str">
        <f>IFERROR(__xludf.DUMMYFUNCTION("""COMPUTED_VALUE"""),"Item")</f>
        <v>Item</v>
      </c>
      <c r="D501" s="1" t="str">
        <f>IFERROR(__xludf.DUMMYFUNCTION("""COMPUTED_VALUE"""),"Dragonscale Island")</f>
        <v>Dragonscale Island</v>
      </c>
      <c r="E501" s="1" t="b">
        <f>IFERROR(__xludf.DUMMYFUNCTION("""COMPUTED_VALUE"""),FALSE)</f>
        <v>0</v>
      </c>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t="b">
        <f>IFERROR(__xludf.DUMMYFUNCTION("""COMPUTED_VALUE"""),FALSE)</f>
        <v>0</v>
      </c>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t="b">
        <f>IFERROR(__xludf.DUMMYFUNCTION("""COMPUTED_VALUE"""),FALSE)</f>
        <v>0</v>
      </c>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t="b">
        <f>IFERROR(__xludf.DUMMYFUNCTION("""COMPUTED_VALUE"""),FALSE)</f>
        <v>0</v>
      </c>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t="b">
        <f>IFERROR(__xludf.DUMMYFUNCTION("""COMPUTED_VALUE"""),FALSE)</f>
        <v>0</v>
      </c>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t="b">
        <f>IFERROR(__xludf.DUMMYFUNCTION("""COMPUTED_VALUE"""),FALSE)</f>
        <v>0</v>
      </c>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t="b">
        <f>IFERROR(__xludf.DUMMYFUNCTION("""COMPUTED_VALUE"""),FALSE)</f>
        <v>0</v>
      </c>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t="b">
        <f>IFERROR(__xludf.DUMMYFUNCTION("""COMPUTED_VALUE"""),FALSE)</f>
        <v>0</v>
      </c>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t="b">
        <f>IFERROR(__xludf.DUMMYFUNCTION("""COMPUTED_VALUE"""),FALSE)</f>
        <v>0</v>
      </c>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t="b">
        <f>IFERROR(__xludf.DUMMYFUNCTION("""COMPUTED_VALUE"""),FALSE)</f>
        <v>0</v>
      </c>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t="b">
        <f>IFERROR(__xludf.DUMMYFUNCTION("""COMPUTED_VALUE"""),FALSE)</f>
        <v>0</v>
      </c>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t="b">
        <f>IFERROR(__xludf.DUMMYFUNCTION("""COMPUTED_VALUE"""),FALSE)</f>
        <v>0</v>
      </c>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t="b">
        <f>IFERROR(__xludf.DUMMYFUNCTION("""COMPUTED_VALUE"""),FALSE)</f>
        <v>0</v>
      </c>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t="b">
        <f>IFERROR(__xludf.DUMMYFUNCTION("""COMPUTED_VALUE"""),FALSE)</f>
        <v>0</v>
      </c>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t="b">
        <f>IFERROR(__xludf.DUMMYFUNCTION("""COMPUTED_VALUE"""),FALSE)</f>
        <v>0</v>
      </c>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t="b">
        <f>IFERROR(__xludf.DUMMYFUNCTION("""COMPUTED_VALUE"""),FALSE)</f>
        <v>0</v>
      </c>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t="b">
        <f>IFERROR(__xludf.DUMMYFUNCTION("""COMPUTED_VALUE"""),FALSE)</f>
        <v>0</v>
      </c>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t="b">
        <f>IFERROR(__xludf.DUMMYFUNCTION("""COMPUTED_VALUE"""),FALSE)</f>
        <v>0</v>
      </c>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t="b">
        <f>IFERROR(__xludf.DUMMYFUNCTION("""COMPUTED_VALUE"""),FALSE)</f>
        <v>0</v>
      </c>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t="b">
        <f>IFERROR(__xludf.DUMMYFUNCTION("""COMPUTED_VALUE"""),FALSE)</f>
        <v>0</v>
      </c>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t="b">
        <f>IFERROR(__xludf.DUMMYFUNCTION("""COMPUTED_VALUE"""),FALSE)</f>
        <v>0</v>
      </c>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t="b">
        <f>IFERROR(__xludf.DUMMYFUNCTION("""COMPUTED_VALUE"""),FALSE)</f>
        <v>0</v>
      </c>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t="b">
        <f>IFERROR(__xludf.DUMMYFUNCTION("""COMPUTED_VALUE"""),FALSE)</f>
        <v>0</v>
      </c>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t="b">
        <f>IFERROR(__xludf.DUMMYFUNCTION("""COMPUTED_VALUE"""),FALSE)</f>
        <v>0</v>
      </c>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t="b">
        <f>IFERROR(__xludf.DUMMYFUNCTION("""COMPUTED_VALUE"""),FALSE)</f>
        <v>0</v>
      </c>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t="b">
        <f>IFERROR(__xludf.DUMMYFUNCTION("""COMPUTED_VALUE"""),FALSE)</f>
        <v>0</v>
      </c>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t="b">
        <f>IFERROR(__xludf.DUMMYFUNCTION("""COMPUTED_VALUE"""),FALSE)</f>
        <v>0</v>
      </c>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t="b">
        <f>IFERROR(__xludf.DUMMYFUNCTION("""COMPUTED_VALUE"""),FALSE)</f>
        <v>0</v>
      </c>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t="b">
        <f>IFERROR(__xludf.DUMMYFUNCTION("""COMPUTED_VALUE"""),FALSE)</f>
        <v>0</v>
      </c>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t="b">
        <f>IFERROR(__xludf.DUMMYFUNCTION("""COMPUTED_VALUE"""),FALSE)</f>
        <v>0</v>
      </c>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t="b">
        <f>IFERROR(__xludf.DUMMYFUNCTION("""COMPUTED_VALUE"""),FALSE)</f>
        <v>0</v>
      </c>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t="b">
        <f>IFERROR(__xludf.DUMMYFUNCTION("""COMPUTED_VALUE"""),FALSE)</f>
        <v>0</v>
      </c>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t="b">
        <f>IFERROR(__xludf.DUMMYFUNCTION("""COMPUTED_VALUE"""),FALSE)</f>
        <v>0</v>
      </c>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t="b">
        <f>IFERROR(__xludf.DUMMYFUNCTION("""COMPUTED_VALUE"""),FALSE)</f>
        <v>0</v>
      </c>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t="b">
        <f>IFERROR(__xludf.DUMMYFUNCTION("""COMPUTED_VALUE"""),FALSE)</f>
        <v>0</v>
      </c>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t="b">
        <f>IFERROR(__xludf.DUMMYFUNCTION("""COMPUTED_VALUE"""),FALSE)</f>
        <v>0</v>
      </c>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t="b">
        <f>IFERROR(__xludf.DUMMYFUNCTION("""COMPUTED_VALUE"""),FALSE)</f>
        <v>0</v>
      </c>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t="b">
        <f>IFERROR(__xludf.DUMMYFUNCTION("""COMPUTED_VALUE"""),FALSE)</f>
        <v>0</v>
      </c>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t="b">
        <f>IFERROR(__xludf.DUMMYFUNCTION("""COMPUTED_VALUE"""),FALSE)</f>
        <v>0</v>
      </c>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t="b">
        <f>IFERROR(__xludf.DUMMYFUNCTION("""COMPUTED_VALUE"""),FALSE)</f>
        <v>0</v>
      </c>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t="b">
        <f>IFERROR(__xludf.DUMMYFUNCTION("""COMPUTED_VALUE"""),FALSE)</f>
        <v>0</v>
      </c>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t="b">
        <f>IFERROR(__xludf.DUMMYFUNCTION("""COMPUTED_VALUE"""),FALSE)</f>
        <v>0</v>
      </c>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t="b">
        <f>IFERROR(__xludf.DUMMYFUNCTION("""COMPUTED_VALUE"""),FALSE)</f>
        <v>0</v>
      </c>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t="b">
        <f>IFERROR(__xludf.DUMMYFUNCTION("""COMPUTED_VALUE"""),FALSE)</f>
        <v>0</v>
      </c>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t="b">
        <f>IFERROR(__xludf.DUMMYFUNCTION("""COMPUTED_VALUE"""),FALSE)</f>
        <v>0</v>
      </c>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t="b">
        <f>IFERROR(__xludf.DUMMYFUNCTION("""COMPUTED_VALUE"""),FALSE)</f>
        <v>0</v>
      </c>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t="b">
        <f>IFERROR(__xludf.DUMMYFUNCTION("""COMPUTED_VALUE"""),FALSE)</f>
        <v>0</v>
      </c>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t="b">
        <f>IFERROR(__xludf.DUMMYFUNCTION("""COMPUTED_VALUE"""),FALSE)</f>
        <v>0</v>
      </c>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t="b">
        <f>IFERROR(__xludf.DUMMYFUNCTION("""COMPUTED_VALUE"""),FALSE)</f>
        <v>0</v>
      </c>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t="b">
        <f>IFERROR(__xludf.DUMMYFUNCTION("""COMPUTED_VALUE"""),FALSE)</f>
        <v>0</v>
      </c>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t="b">
        <f>IFERROR(__xludf.DUMMYFUNCTION("""COMPUTED_VALUE"""),FALSE)</f>
        <v>0</v>
      </c>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t="b">
        <f>IFERROR(__xludf.DUMMYFUNCTION("""COMPUTED_VALUE"""),FALSE)</f>
        <v>0</v>
      </c>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t="b">
        <f>IFERROR(__xludf.DUMMYFUNCTION("""COMPUTED_VALUE"""),FALSE)</f>
        <v>0</v>
      </c>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t="b">
        <f>IFERROR(__xludf.DUMMYFUNCTION("""COMPUTED_VALUE"""),FALSE)</f>
        <v>0</v>
      </c>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t="b">
        <f>IFERROR(__xludf.DUMMYFUNCTION("""COMPUTED_VALUE"""),FALSE)</f>
        <v>0</v>
      </c>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t="b">
        <f>IFERROR(__xludf.DUMMYFUNCTION("""COMPUTED_VALUE"""),FALSE)</f>
        <v>0</v>
      </c>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t="b">
        <f>IFERROR(__xludf.DUMMYFUNCTION("""COMPUTED_VALUE"""),FALSE)</f>
        <v>0</v>
      </c>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t="b">
        <f>IFERROR(__xludf.DUMMYFUNCTION("""COMPUTED_VALUE"""),FALSE)</f>
        <v>0</v>
      </c>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t="b">
        <f>IFERROR(__xludf.DUMMYFUNCTION("""COMPUTED_VALUE"""),FALSE)</f>
        <v>0</v>
      </c>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t="b">
        <f>IFERROR(__xludf.DUMMYFUNCTION("""COMPUTED_VALUE"""),FALSE)</f>
        <v>0</v>
      </c>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t="b">
        <f>IFERROR(__xludf.DUMMYFUNCTION("""COMPUTED_VALUE"""),FALSE)</f>
        <v>0</v>
      </c>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t="b">
        <f>IFERROR(__xludf.DUMMYFUNCTION("""COMPUTED_VALUE"""),FALSE)</f>
        <v>0</v>
      </c>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t="b">
        <f>IFERROR(__xludf.DUMMYFUNCTION("""COMPUTED_VALUE"""),FALSE)</f>
        <v>0</v>
      </c>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t="b">
        <f>IFERROR(__xludf.DUMMYFUNCTION("""COMPUTED_VALUE"""),FALSE)</f>
        <v>0</v>
      </c>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t="b">
        <f>IFERROR(__xludf.DUMMYFUNCTION("""COMPUTED_VALUE"""),FALSE)</f>
        <v>0</v>
      </c>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t="b">
        <f>IFERROR(__xludf.DUMMYFUNCTION("""COMPUTED_VALUE"""),FALSE)</f>
        <v>0</v>
      </c>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t="b">
        <f>IFERROR(__xludf.DUMMYFUNCTION("""COMPUTED_VALUE"""),FALSE)</f>
        <v>0</v>
      </c>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t="b">
        <f>IFERROR(__xludf.DUMMYFUNCTION("""COMPUTED_VALUE"""),FALSE)</f>
        <v>0</v>
      </c>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t="b">
        <f>IFERROR(__xludf.DUMMYFUNCTION("""COMPUTED_VALUE"""),FALSE)</f>
        <v>0</v>
      </c>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t="b">
        <f>IFERROR(__xludf.DUMMYFUNCTION("""COMPUTED_VALUE"""),FALSE)</f>
        <v>0</v>
      </c>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t="b">
        <f>IFERROR(__xludf.DUMMYFUNCTION("""COMPUTED_VALUE"""),FALSE)</f>
        <v>0</v>
      </c>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t="b">
        <f>IFERROR(__xludf.DUMMYFUNCTION("""COMPUTED_VALUE"""),FALSE)</f>
        <v>0</v>
      </c>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t="b">
        <f>IFERROR(__xludf.DUMMYFUNCTION("""COMPUTED_VALUE"""),FALSE)</f>
        <v>0</v>
      </c>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t="b">
        <f>IFERROR(__xludf.DUMMYFUNCTION("""COMPUTED_VALUE"""),FALSE)</f>
        <v>0</v>
      </c>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t="b">
        <f>IFERROR(__xludf.DUMMYFUNCTION("""COMPUTED_VALUE"""),FALSE)</f>
        <v>0</v>
      </c>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t="b">
        <f>IFERROR(__xludf.DUMMYFUNCTION("""COMPUTED_VALUE"""),FALSE)</f>
        <v>0</v>
      </c>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t="b">
        <f>IFERROR(__xludf.DUMMYFUNCTION("""COMPUTED_VALUE"""),FALSE)</f>
        <v>0</v>
      </c>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t="b">
        <f>IFERROR(__xludf.DUMMYFUNCTION("""COMPUTED_VALUE"""),FALSE)</f>
        <v>0</v>
      </c>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t="b">
        <f>IFERROR(__xludf.DUMMYFUNCTION("""COMPUTED_VALUE"""),FALSE)</f>
        <v>0</v>
      </c>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t="b">
        <f>IFERROR(__xludf.DUMMYFUNCTION("""COMPUTED_VALUE"""),FALSE)</f>
        <v>0</v>
      </c>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t="b">
        <f>IFERROR(__xludf.DUMMYFUNCTION("""COMPUTED_VALUE"""),FALSE)</f>
        <v>0</v>
      </c>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t="b">
        <f>IFERROR(__xludf.DUMMYFUNCTION("""COMPUTED_VALUE"""),FALSE)</f>
        <v>0</v>
      </c>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t="b">
        <f>IFERROR(__xludf.DUMMYFUNCTION("""COMPUTED_VALUE"""),FALSE)</f>
        <v>0</v>
      </c>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t="b">
        <f>IFERROR(__xludf.DUMMYFUNCTION("""COMPUTED_VALUE"""),FALSE)</f>
        <v>0</v>
      </c>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t="b">
        <f>IFERROR(__xludf.DUMMYFUNCTION("""COMPUTED_VALUE"""),FALSE)</f>
        <v>0</v>
      </c>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t="b">
        <f>IFERROR(__xludf.DUMMYFUNCTION("""COMPUTED_VALUE"""),FALSE)</f>
        <v>0</v>
      </c>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t="b">
        <f>IFERROR(__xludf.DUMMYFUNCTION("""COMPUTED_VALUE"""),FALSE)</f>
        <v>0</v>
      </c>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t="b">
        <f>IFERROR(__xludf.DUMMYFUNCTION("""COMPUTED_VALUE"""),FALSE)</f>
        <v>0</v>
      </c>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t="b">
        <f>IFERROR(__xludf.DUMMYFUNCTION("""COMPUTED_VALUE"""),FALSE)</f>
        <v>0</v>
      </c>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t="b">
        <f>IFERROR(__xludf.DUMMYFUNCTION("""COMPUTED_VALUE"""),FALSE)</f>
        <v>0</v>
      </c>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t="b">
        <f>IFERROR(__xludf.DUMMYFUNCTION("""COMPUTED_VALUE"""),FALSE)</f>
        <v>0</v>
      </c>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t="b">
        <f>IFERROR(__xludf.DUMMYFUNCTION("""COMPUTED_VALUE"""),FALSE)</f>
        <v>0</v>
      </c>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t="b">
        <f>IFERROR(__xludf.DUMMYFUNCTION("""COMPUTED_VALUE"""),FALSE)</f>
        <v>0</v>
      </c>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t="b">
        <f>IFERROR(__xludf.DUMMYFUNCTION("""COMPUTED_VALUE"""),FALSE)</f>
        <v>0</v>
      </c>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t="b">
        <f>IFERROR(__xludf.DUMMYFUNCTION("""COMPUTED_VALUE"""),FALSE)</f>
        <v>0</v>
      </c>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t="b">
        <f>IFERROR(__xludf.DUMMYFUNCTION("""COMPUTED_VALUE"""),FALSE)</f>
        <v>0</v>
      </c>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t="b">
        <f>IFERROR(__xludf.DUMMYFUNCTION("""COMPUTED_VALUE"""),FALSE)</f>
        <v>0</v>
      </c>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t="b">
        <f>IFERROR(__xludf.DUMMYFUNCTION("""COMPUTED_VALUE"""),FALSE)</f>
        <v>0</v>
      </c>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t="b">
        <f>IFERROR(__xludf.DUMMYFUNCTION("""COMPUTED_VALUE"""),FALSE)</f>
        <v>0</v>
      </c>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t="b">
        <f>IFERROR(__xludf.DUMMYFUNCTION("""COMPUTED_VALUE"""),FALSE)</f>
        <v>0</v>
      </c>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t="b">
        <f>IFERROR(__xludf.DUMMYFUNCTION("""COMPUTED_VALUE"""),FALSE)</f>
        <v>0</v>
      </c>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t="b">
        <f>IFERROR(__xludf.DUMMYFUNCTION("""COMPUTED_VALUE"""),FALSE)</f>
        <v>0</v>
      </c>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t="b">
        <f>IFERROR(__xludf.DUMMYFUNCTION("""COMPUTED_VALUE"""),FALSE)</f>
        <v>0</v>
      </c>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t="b">
        <f>IFERROR(__xludf.DUMMYFUNCTION("""COMPUTED_VALUE"""),FALSE)</f>
        <v>0</v>
      </c>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t="b">
        <f>IFERROR(__xludf.DUMMYFUNCTION("""COMPUTED_VALUE"""),FALSE)</f>
        <v>0</v>
      </c>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t="b">
        <f>IFERROR(__xludf.DUMMYFUNCTION("""COMPUTED_VALUE"""),FALSE)</f>
        <v>0</v>
      </c>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t="b">
        <f>IFERROR(__xludf.DUMMYFUNCTION("""COMPUTED_VALUE"""),FALSE)</f>
        <v>0</v>
      </c>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t="b">
        <f>IFERROR(__xludf.DUMMYFUNCTION("""COMPUTED_VALUE"""),FALSE)</f>
        <v>0</v>
      </c>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t="b">
        <f>IFERROR(__xludf.DUMMYFUNCTION("""COMPUTED_VALUE"""),FALSE)</f>
        <v>0</v>
      </c>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t="b">
        <f>IFERROR(__xludf.DUMMYFUNCTION("""COMPUTED_VALUE"""),FALSE)</f>
        <v>0</v>
      </c>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t="b">
        <f>IFERROR(__xludf.DUMMYFUNCTION("""COMPUTED_VALUE"""),FALSE)</f>
        <v>0</v>
      </c>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t="b">
        <f>IFERROR(__xludf.DUMMYFUNCTION("""COMPUTED_VALUE"""),FALSE)</f>
        <v>0</v>
      </c>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t="b">
        <f>IFERROR(__xludf.DUMMYFUNCTION("""COMPUTED_VALUE"""),FALSE)</f>
        <v>0</v>
      </c>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t="b">
        <f>IFERROR(__xludf.DUMMYFUNCTION("""COMPUTED_VALUE"""),FALSE)</f>
        <v>0</v>
      </c>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t="b">
        <f>IFERROR(__xludf.DUMMYFUNCTION("""COMPUTED_VALUE"""),FALSE)</f>
        <v>0</v>
      </c>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t="b">
        <f>IFERROR(__xludf.DUMMYFUNCTION("""COMPUTED_VALUE"""),FALSE)</f>
        <v>0</v>
      </c>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t="b">
        <f>IFERROR(__xludf.DUMMYFUNCTION("""COMPUTED_VALUE"""),FALSE)</f>
        <v>0</v>
      </c>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t="b">
        <f>IFERROR(__xludf.DUMMYFUNCTION("""COMPUTED_VALUE"""),FALSE)</f>
        <v>0</v>
      </c>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t="b">
        <f>IFERROR(__xludf.DUMMYFUNCTION("""COMPUTED_VALUE"""),FALSE)</f>
        <v>0</v>
      </c>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t="b">
        <f>IFERROR(__xludf.DUMMYFUNCTION("""COMPUTED_VALUE"""),FALSE)</f>
        <v>0</v>
      </c>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t="b">
        <f>IFERROR(__xludf.DUMMYFUNCTION("""COMPUTED_VALUE"""),FALSE)</f>
        <v>0</v>
      </c>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t="b">
        <f>IFERROR(__xludf.DUMMYFUNCTION("""COMPUTED_VALUE"""),FALSE)</f>
        <v>0</v>
      </c>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t="b">
        <f>IFERROR(__xludf.DUMMYFUNCTION("""COMPUTED_VALUE"""),FALSE)</f>
        <v>0</v>
      </c>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t="b">
        <f>IFERROR(__xludf.DUMMYFUNCTION("""COMPUTED_VALUE"""),FALSE)</f>
        <v>0</v>
      </c>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t="b">
        <f>IFERROR(__xludf.DUMMYFUNCTION("""COMPUTED_VALUE"""),FALSE)</f>
        <v>0</v>
      </c>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t="b">
        <f>IFERROR(__xludf.DUMMYFUNCTION("""COMPUTED_VALUE"""),FALSE)</f>
        <v>0</v>
      </c>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t="b">
        <f>IFERROR(__xludf.DUMMYFUNCTION("""COMPUTED_VALUE"""),FALSE)</f>
        <v>0</v>
      </c>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t="b">
        <f>IFERROR(__xludf.DUMMYFUNCTION("""COMPUTED_VALUE"""),FALSE)</f>
        <v>0</v>
      </c>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t="b">
        <f>IFERROR(__xludf.DUMMYFUNCTION("""COMPUTED_VALUE"""),FALSE)</f>
        <v>0</v>
      </c>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t="b">
        <f>IFERROR(__xludf.DUMMYFUNCTION("""COMPUTED_VALUE"""),FALSE)</f>
        <v>0</v>
      </c>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t="b">
        <f>IFERROR(__xludf.DUMMYFUNCTION("""COMPUTED_VALUE"""),FALSE)</f>
        <v>0</v>
      </c>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t="b">
        <f>IFERROR(__xludf.DUMMYFUNCTION("""COMPUTED_VALUE"""),FALSE)</f>
        <v>0</v>
      </c>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t="b">
        <f>IFERROR(__xludf.DUMMYFUNCTION("""COMPUTED_VALUE"""),FALSE)</f>
        <v>0</v>
      </c>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t="b">
        <f>IFERROR(__xludf.DUMMYFUNCTION("""COMPUTED_VALUE"""),FALSE)</f>
        <v>0</v>
      </c>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t="b">
        <f>IFERROR(__xludf.DUMMYFUNCTION("""COMPUTED_VALUE"""),FALSE)</f>
        <v>0</v>
      </c>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t="b">
        <f>IFERROR(__xludf.DUMMYFUNCTION("""COMPUTED_VALUE"""),FALSE)</f>
        <v>0</v>
      </c>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t="b">
        <f>IFERROR(__xludf.DUMMYFUNCTION("""COMPUTED_VALUE"""),FALSE)</f>
        <v>0</v>
      </c>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t="b">
        <f>IFERROR(__xludf.DUMMYFUNCTION("""COMPUTED_VALUE"""),FALSE)</f>
        <v>0</v>
      </c>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t="b">
        <f>IFERROR(__xludf.DUMMYFUNCTION("""COMPUTED_VALUE"""),FALSE)</f>
        <v>0</v>
      </c>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t="b">
        <f>IFERROR(__xludf.DUMMYFUNCTION("""COMPUTED_VALUE"""),FALSE)</f>
        <v>0</v>
      </c>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t="b">
        <f>IFERROR(__xludf.DUMMYFUNCTION("""COMPUTED_VALUE"""),FALSE)</f>
        <v>0</v>
      </c>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t="b">
        <f>IFERROR(__xludf.DUMMYFUNCTION("""COMPUTED_VALUE"""),FALSE)</f>
        <v>0</v>
      </c>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t="b">
        <f>IFERROR(__xludf.DUMMYFUNCTION("""COMPUTED_VALUE"""),FALSE)</f>
        <v>0</v>
      </c>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t="b">
        <f>IFERROR(__xludf.DUMMYFUNCTION("""COMPUTED_VALUE"""),FALSE)</f>
        <v>0</v>
      </c>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t="b">
        <f>IFERROR(__xludf.DUMMYFUNCTION("""COMPUTED_VALUE"""),FALSE)</f>
        <v>0</v>
      </c>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t="b">
        <f>IFERROR(__xludf.DUMMYFUNCTION("""COMPUTED_VALUE"""),FALSE)</f>
        <v>0</v>
      </c>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t="b">
        <f>IFERROR(__xludf.DUMMYFUNCTION("""COMPUTED_VALUE"""),FALSE)</f>
        <v>0</v>
      </c>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t="b">
        <f>IFERROR(__xludf.DUMMYFUNCTION("""COMPUTED_VALUE"""),FALSE)</f>
        <v>0</v>
      </c>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t="b">
        <f>IFERROR(__xludf.DUMMYFUNCTION("""COMPUTED_VALUE"""),FALSE)</f>
        <v>0</v>
      </c>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t="b">
        <f>IFERROR(__xludf.DUMMYFUNCTION("""COMPUTED_VALUE"""),FALSE)</f>
        <v>0</v>
      </c>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t="b">
        <f>IFERROR(__xludf.DUMMYFUNCTION("""COMPUTED_VALUE"""),FALSE)</f>
        <v>0</v>
      </c>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t="b">
        <f>IFERROR(__xludf.DUMMYFUNCTION("""COMPUTED_VALUE"""),FALSE)</f>
        <v>0</v>
      </c>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t="b">
        <f>IFERROR(__xludf.DUMMYFUNCTION("""COMPUTED_VALUE"""),FALSE)</f>
        <v>0</v>
      </c>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t="b">
        <f>IFERROR(__xludf.DUMMYFUNCTION("""COMPUTED_VALUE"""),FALSE)</f>
        <v>0</v>
      </c>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t="b">
        <f>IFERROR(__xludf.DUMMYFUNCTION("""COMPUTED_VALUE"""),FALSE)</f>
        <v>0</v>
      </c>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t="b">
        <f>IFERROR(__xludf.DUMMYFUNCTION("""COMPUTED_VALUE"""),FALSE)</f>
        <v>0</v>
      </c>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t="b">
        <f>IFERROR(__xludf.DUMMYFUNCTION("""COMPUTED_VALUE"""),FALSE)</f>
        <v>0</v>
      </c>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t="b">
        <f>IFERROR(__xludf.DUMMYFUNCTION("""COMPUTED_VALUE"""),FALSE)</f>
        <v>0</v>
      </c>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t="b">
        <f>IFERROR(__xludf.DUMMYFUNCTION("""COMPUTED_VALUE"""),FALSE)</f>
        <v>0</v>
      </c>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t="b">
        <f>IFERROR(__xludf.DUMMYFUNCTION("""COMPUTED_VALUE"""),FALSE)</f>
        <v>0</v>
      </c>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t="b">
        <f>IFERROR(__xludf.DUMMYFUNCTION("""COMPUTED_VALUE"""),FALSE)</f>
        <v>0</v>
      </c>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t="b">
        <f>IFERROR(__xludf.DUMMYFUNCTION("""COMPUTED_VALUE"""),FALSE)</f>
        <v>0</v>
      </c>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t="b">
        <f>IFERROR(__xludf.DUMMYFUNCTION("""COMPUTED_VALUE"""),FALSE)</f>
        <v>0</v>
      </c>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t="b">
        <f>IFERROR(__xludf.DUMMYFUNCTION("""COMPUTED_VALUE"""),FALSE)</f>
        <v>0</v>
      </c>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t="b">
        <f>IFERROR(__xludf.DUMMYFUNCTION("""COMPUTED_VALUE"""),FALSE)</f>
        <v>0</v>
      </c>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t="b">
        <f>IFERROR(__xludf.DUMMYFUNCTION("""COMPUTED_VALUE"""),FALSE)</f>
        <v>0</v>
      </c>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t="b">
        <f>IFERROR(__xludf.DUMMYFUNCTION("""COMPUTED_VALUE"""),FALSE)</f>
        <v>0</v>
      </c>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t="b">
        <f>IFERROR(__xludf.DUMMYFUNCTION("""COMPUTED_VALUE"""),FALSE)</f>
        <v>0</v>
      </c>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t="b">
        <f>IFERROR(__xludf.DUMMYFUNCTION("""COMPUTED_VALUE"""),FALSE)</f>
        <v>0</v>
      </c>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t="b">
        <f>IFERROR(__xludf.DUMMYFUNCTION("""COMPUTED_VALUE"""),FALSE)</f>
        <v>0</v>
      </c>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t="b">
        <f>IFERROR(__xludf.DUMMYFUNCTION("""COMPUTED_VALUE"""),FALSE)</f>
        <v>0</v>
      </c>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t="b">
        <f>IFERROR(__xludf.DUMMYFUNCTION("""COMPUTED_VALUE"""),FALSE)</f>
        <v>0</v>
      </c>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t="b">
        <f>IFERROR(__xludf.DUMMYFUNCTION("""COMPUTED_VALUE"""),FALSE)</f>
        <v>0</v>
      </c>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t="b">
        <f>IFERROR(__xludf.DUMMYFUNCTION("""COMPUTED_VALUE"""),FALSE)</f>
        <v>0</v>
      </c>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t="b">
        <f>IFERROR(__xludf.DUMMYFUNCTION("""COMPUTED_VALUE"""),FALSE)</f>
        <v>0</v>
      </c>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t="b">
        <f>IFERROR(__xludf.DUMMYFUNCTION("""COMPUTED_VALUE"""),FALSE)</f>
        <v>0</v>
      </c>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t="b">
        <f>IFERROR(__xludf.DUMMYFUNCTION("""COMPUTED_VALUE"""),FALSE)</f>
        <v>0</v>
      </c>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t="b">
        <f>IFERROR(__xludf.DUMMYFUNCTION("""COMPUTED_VALUE"""),FALSE)</f>
        <v>0</v>
      </c>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t="b">
        <f>IFERROR(__xludf.DUMMYFUNCTION("""COMPUTED_VALUE"""),FALSE)</f>
        <v>0</v>
      </c>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t="b">
        <f>IFERROR(__xludf.DUMMYFUNCTION("""COMPUTED_VALUE"""),FALSE)</f>
        <v>0</v>
      </c>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t="b">
        <f>IFERROR(__xludf.DUMMYFUNCTION("""COMPUTED_VALUE"""),FALSE)</f>
        <v>0</v>
      </c>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t="b">
        <f>IFERROR(__xludf.DUMMYFUNCTION("""COMPUTED_VALUE"""),FALSE)</f>
        <v>0</v>
      </c>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t="b">
        <f>IFERROR(__xludf.DUMMYFUNCTION("""COMPUTED_VALUE"""),FALSE)</f>
        <v>0</v>
      </c>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t="b">
        <f>IFERROR(__xludf.DUMMYFUNCTION("""COMPUTED_VALUE"""),FALSE)</f>
        <v>0</v>
      </c>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t="b">
        <f>IFERROR(__xludf.DUMMYFUNCTION("""COMPUTED_VALUE"""),FALSE)</f>
        <v>0</v>
      </c>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t="b">
        <f>IFERROR(__xludf.DUMMYFUNCTION("""COMPUTED_VALUE"""),FALSE)</f>
        <v>0</v>
      </c>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t="b">
        <f>IFERROR(__xludf.DUMMYFUNCTION("""COMPUTED_VALUE"""),FALSE)</f>
        <v>0</v>
      </c>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t="b">
        <f>IFERROR(__xludf.DUMMYFUNCTION("""COMPUTED_VALUE"""),FALSE)</f>
        <v>0</v>
      </c>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t="b">
        <f>IFERROR(__xludf.DUMMYFUNCTION("""COMPUTED_VALUE"""),FALSE)</f>
        <v>0</v>
      </c>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t="b">
        <f>IFERROR(__xludf.DUMMYFUNCTION("""COMPUTED_VALUE"""),FALSE)</f>
        <v>0</v>
      </c>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t="b">
        <f>IFERROR(__xludf.DUMMYFUNCTION("""COMPUTED_VALUE"""),FALSE)</f>
        <v>0</v>
      </c>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t="b">
        <f>IFERROR(__xludf.DUMMYFUNCTION("""COMPUTED_VALUE"""),FALSE)</f>
        <v>0</v>
      </c>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t="b">
        <f>IFERROR(__xludf.DUMMYFUNCTION("""COMPUTED_VALUE"""),FALSE)</f>
        <v>0</v>
      </c>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t="b">
        <f>IFERROR(__xludf.DUMMYFUNCTION("""COMPUTED_VALUE"""),FALSE)</f>
        <v>0</v>
      </c>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t="b">
        <f>IFERROR(__xludf.DUMMYFUNCTION("""COMPUTED_VALUE"""),FALSE)</f>
        <v>0</v>
      </c>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t="b">
        <f>IFERROR(__xludf.DUMMYFUNCTION("""COMPUTED_VALUE"""),FALSE)</f>
        <v>0</v>
      </c>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t="b">
        <f>IFERROR(__xludf.DUMMYFUNCTION("""COMPUTED_VALUE"""),FALSE)</f>
        <v>0</v>
      </c>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t="b">
        <f>IFERROR(__xludf.DUMMYFUNCTION("""COMPUTED_VALUE"""),FALSE)</f>
        <v>0</v>
      </c>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t="b">
        <f>IFERROR(__xludf.DUMMYFUNCTION("""COMPUTED_VALUE"""),FALSE)</f>
        <v>0</v>
      </c>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t="b">
        <f>IFERROR(__xludf.DUMMYFUNCTION("""COMPUTED_VALUE"""),FALSE)</f>
        <v>0</v>
      </c>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t="b">
        <f>IFERROR(__xludf.DUMMYFUNCTION("""COMPUTED_VALUE"""),FALSE)</f>
        <v>0</v>
      </c>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t="b">
        <f>IFERROR(__xludf.DUMMYFUNCTION("""COMPUTED_VALUE"""),FALSE)</f>
        <v>0</v>
      </c>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t="b">
        <f>IFERROR(__xludf.DUMMYFUNCTION("""COMPUTED_VALUE"""),FALSE)</f>
        <v>0</v>
      </c>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t="b">
        <f>IFERROR(__xludf.DUMMYFUNCTION("""COMPUTED_VALUE"""),FALSE)</f>
        <v>0</v>
      </c>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t="b">
        <f>IFERROR(__xludf.DUMMYFUNCTION("""COMPUTED_VALUE"""),FALSE)</f>
        <v>0</v>
      </c>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t="b">
        <f>IFERROR(__xludf.DUMMYFUNCTION("""COMPUTED_VALUE"""),FALSE)</f>
        <v>0</v>
      </c>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t="b">
        <f>IFERROR(__xludf.DUMMYFUNCTION("""COMPUTED_VALUE"""),FALSE)</f>
        <v>0</v>
      </c>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t="b">
        <f>IFERROR(__xludf.DUMMYFUNCTION("""COMPUTED_VALUE"""),FALSE)</f>
        <v>0</v>
      </c>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t="b">
        <f>IFERROR(__xludf.DUMMYFUNCTION("""COMPUTED_VALUE"""),FALSE)</f>
        <v>0</v>
      </c>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t="b">
        <f>IFERROR(__xludf.DUMMYFUNCTION("""COMPUTED_VALUE"""),FALSE)</f>
        <v>0</v>
      </c>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t="b">
        <f>IFERROR(__xludf.DUMMYFUNCTION("""COMPUTED_VALUE"""),FALSE)</f>
        <v>0</v>
      </c>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t="b">
        <f>IFERROR(__xludf.DUMMYFUNCTION("""COMPUTED_VALUE"""),FALSE)</f>
        <v>0</v>
      </c>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t="b">
        <f>IFERROR(__xludf.DUMMYFUNCTION("""COMPUTED_VALUE"""),FALSE)</f>
        <v>0</v>
      </c>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t="b">
        <f>IFERROR(__xludf.DUMMYFUNCTION("""COMPUTED_VALUE"""),FALSE)</f>
        <v>0</v>
      </c>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t="b">
        <f>IFERROR(__xludf.DUMMYFUNCTION("""COMPUTED_VALUE"""),FALSE)</f>
        <v>0</v>
      </c>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t="b">
        <f>IFERROR(__xludf.DUMMYFUNCTION("""COMPUTED_VALUE"""),FALSE)</f>
        <v>0</v>
      </c>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t="b">
        <f>IFERROR(__xludf.DUMMYFUNCTION("""COMPUTED_VALUE"""),FALSE)</f>
        <v>0</v>
      </c>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t="b">
        <f>IFERROR(__xludf.DUMMYFUNCTION("""COMPUTED_VALUE"""),FALSE)</f>
        <v>0</v>
      </c>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t="b">
        <f>IFERROR(__xludf.DUMMYFUNCTION("""COMPUTED_VALUE"""),FALSE)</f>
        <v>0</v>
      </c>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t="b">
        <f>IFERROR(__xludf.DUMMYFUNCTION("""COMPUTED_VALUE"""),FALSE)</f>
        <v>0</v>
      </c>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t="b">
        <f>IFERROR(__xludf.DUMMYFUNCTION("""COMPUTED_VALUE"""),FALSE)</f>
        <v>0</v>
      </c>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t="b">
        <f>IFERROR(__xludf.DUMMYFUNCTION("""COMPUTED_VALUE"""),FALSE)</f>
        <v>0</v>
      </c>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t="b">
        <f>IFERROR(__xludf.DUMMYFUNCTION("""COMPUTED_VALUE"""),FALSE)</f>
        <v>0</v>
      </c>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t="b">
        <f>IFERROR(__xludf.DUMMYFUNCTION("""COMPUTED_VALUE"""),FALSE)</f>
        <v>0</v>
      </c>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t="b">
        <f>IFERROR(__xludf.DUMMYFUNCTION("""COMPUTED_VALUE"""),FALSE)</f>
        <v>0</v>
      </c>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t="b">
        <f>IFERROR(__xludf.DUMMYFUNCTION("""COMPUTED_VALUE"""),FALSE)</f>
        <v>0</v>
      </c>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t="b">
        <f>IFERROR(__xludf.DUMMYFUNCTION("""COMPUTED_VALUE"""),FALSE)</f>
        <v>0</v>
      </c>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t="b">
        <f>IFERROR(__xludf.DUMMYFUNCTION("""COMPUTED_VALUE"""),FALSE)</f>
        <v>0</v>
      </c>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t="b">
        <f>IFERROR(__xludf.DUMMYFUNCTION("""COMPUTED_VALUE"""),FALSE)</f>
        <v>0</v>
      </c>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t="b">
        <f>IFERROR(__xludf.DUMMYFUNCTION("""COMPUTED_VALUE"""),FALSE)</f>
        <v>0</v>
      </c>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t="b">
        <f>IFERROR(__xludf.DUMMYFUNCTION("""COMPUTED_VALUE"""),FALSE)</f>
        <v>0</v>
      </c>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t="b">
        <f>IFERROR(__xludf.DUMMYFUNCTION("""COMPUTED_VALUE"""),FALSE)</f>
        <v>0</v>
      </c>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t="b">
        <f>IFERROR(__xludf.DUMMYFUNCTION("""COMPUTED_VALUE"""),FALSE)</f>
        <v>0</v>
      </c>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t="b">
        <f>IFERROR(__xludf.DUMMYFUNCTION("""COMPUTED_VALUE"""),FALSE)</f>
        <v>0</v>
      </c>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t="b">
        <f>IFERROR(__xludf.DUMMYFUNCTION("""COMPUTED_VALUE"""),FALSE)</f>
        <v>0</v>
      </c>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t="b">
        <f>IFERROR(__xludf.DUMMYFUNCTION("""COMPUTED_VALUE"""),FALSE)</f>
        <v>0</v>
      </c>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t="b">
        <f>IFERROR(__xludf.DUMMYFUNCTION("""COMPUTED_VALUE"""),FALSE)</f>
        <v>0</v>
      </c>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t="b">
        <f>IFERROR(__xludf.DUMMYFUNCTION("""COMPUTED_VALUE"""),FALSE)</f>
        <v>0</v>
      </c>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t="b">
        <f>IFERROR(__xludf.DUMMYFUNCTION("""COMPUTED_VALUE"""),FALSE)</f>
        <v>0</v>
      </c>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t="b">
        <f>IFERROR(__xludf.DUMMYFUNCTION("""COMPUTED_VALUE"""),FALSE)</f>
        <v>0</v>
      </c>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t="b">
        <f>IFERROR(__xludf.DUMMYFUNCTION("""COMPUTED_VALUE"""),FALSE)</f>
        <v>0</v>
      </c>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t="b">
        <f>IFERROR(__xludf.DUMMYFUNCTION("""COMPUTED_VALUE"""),FALSE)</f>
        <v>0</v>
      </c>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t="b">
        <f>IFERROR(__xludf.DUMMYFUNCTION("""COMPUTED_VALUE"""),FALSE)</f>
        <v>0</v>
      </c>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t="b">
        <f>IFERROR(__xludf.DUMMYFUNCTION("""COMPUTED_VALUE"""),FALSE)</f>
        <v>0</v>
      </c>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t="b">
        <f>IFERROR(__xludf.DUMMYFUNCTION("""COMPUTED_VALUE"""),FALSE)</f>
        <v>0</v>
      </c>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t="b">
        <f>IFERROR(__xludf.DUMMYFUNCTION("""COMPUTED_VALUE"""),FALSE)</f>
        <v>0</v>
      </c>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t="b">
        <f>IFERROR(__xludf.DUMMYFUNCTION("""COMPUTED_VALUE"""),FALSE)</f>
        <v>0</v>
      </c>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t="b">
        <f>IFERROR(__xludf.DUMMYFUNCTION("""COMPUTED_VALUE"""),FALSE)</f>
        <v>0</v>
      </c>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t="b">
        <f>IFERROR(__xludf.DUMMYFUNCTION("""COMPUTED_VALUE"""),FALSE)</f>
        <v>0</v>
      </c>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t="b">
        <f>IFERROR(__xludf.DUMMYFUNCTION("""COMPUTED_VALUE"""),FALSE)</f>
        <v>0</v>
      </c>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t="b">
        <f>IFERROR(__xludf.DUMMYFUNCTION("""COMPUTED_VALUE"""),FALSE)</f>
        <v>0</v>
      </c>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t="b">
        <f>IFERROR(__xludf.DUMMYFUNCTION("""COMPUTED_VALUE"""),FALSE)</f>
        <v>0</v>
      </c>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t="b">
        <f>IFERROR(__xludf.DUMMYFUNCTION("""COMPUTED_VALUE"""),FALSE)</f>
        <v>0</v>
      </c>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t="b">
        <f>IFERROR(__xludf.DUMMYFUNCTION("""COMPUTED_VALUE"""),FALSE)</f>
        <v>0</v>
      </c>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t="b">
        <f>IFERROR(__xludf.DUMMYFUNCTION("""COMPUTED_VALUE"""),FALSE)</f>
        <v>0</v>
      </c>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t="b">
        <f>IFERROR(__xludf.DUMMYFUNCTION("""COMPUTED_VALUE"""),FALSE)</f>
        <v>0</v>
      </c>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t="b">
        <f>IFERROR(__xludf.DUMMYFUNCTION("""COMPUTED_VALUE"""),FALSE)</f>
        <v>0</v>
      </c>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t="b">
        <f>IFERROR(__xludf.DUMMYFUNCTION("""COMPUTED_VALUE"""),FALSE)</f>
        <v>0</v>
      </c>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t="b">
        <f>IFERROR(__xludf.DUMMYFUNCTION("""COMPUTED_VALUE"""),FALSE)</f>
        <v>0</v>
      </c>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t="b">
        <f>IFERROR(__xludf.DUMMYFUNCTION("""COMPUTED_VALUE"""),FALSE)</f>
        <v>0</v>
      </c>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t="b">
        <f>IFERROR(__xludf.DUMMYFUNCTION("""COMPUTED_VALUE"""),FALSE)</f>
        <v>0</v>
      </c>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t="b">
        <f>IFERROR(__xludf.DUMMYFUNCTION("""COMPUTED_VALUE"""),FALSE)</f>
        <v>0</v>
      </c>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t="b">
        <f>IFERROR(__xludf.DUMMYFUNCTION("""COMPUTED_VALUE"""),FALSE)</f>
        <v>0</v>
      </c>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t="b">
        <f>IFERROR(__xludf.DUMMYFUNCTION("""COMPUTED_VALUE"""),FALSE)</f>
        <v>0</v>
      </c>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t="b">
        <f>IFERROR(__xludf.DUMMYFUNCTION("""COMPUTED_VALUE"""),FALSE)</f>
        <v>0</v>
      </c>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t="b">
        <f>IFERROR(__xludf.DUMMYFUNCTION("""COMPUTED_VALUE"""),FALSE)</f>
        <v>0</v>
      </c>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t="b">
        <f>IFERROR(__xludf.DUMMYFUNCTION("""COMPUTED_VALUE"""),FALSE)</f>
        <v>0</v>
      </c>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t="b">
        <f>IFERROR(__xludf.DUMMYFUNCTION("""COMPUTED_VALUE"""),FALSE)</f>
        <v>0</v>
      </c>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t="b">
        <f>IFERROR(__xludf.DUMMYFUNCTION("""COMPUTED_VALUE"""),FALSE)</f>
        <v>0</v>
      </c>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t="b">
        <f>IFERROR(__xludf.DUMMYFUNCTION("""COMPUTED_VALUE"""),FALSE)</f>
        <v>0</v>
      </c>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t="b">
        <f>IFERROR(__xludf.DUMMYFUNCTION("""COMPUTED_VALUE"""),FALSE)</f>
        <v>0</v>
      </c>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t="b">
        <f>IFERROR(__xludf.DUMMYFUNCTION("""COMPUTED_VALUE"""),FALSE)</f>
        <v>0</v>
      </c>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t="b">
        <f>IFERROR(__xludf.DUMMYFUNCTION("""COMPUTED_VALUE"""),FALSE)</f>
        <v>0</v>
      </c>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t="b">
        <f>IFERROR(__xludf.DUMMYFUNCTION("""COMPUTED_VALUE"""),FALSE)</f>
        <v>0</v>
      </c>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t="b">
        <f>IFERROR(__xludf.DUMMYFUNCTION("""COMPUTED_VALUE"""),FALSE)</f>
        <v>0</v>
      </c>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t="b">
        <f>IFERROR(__xludf.DUMMYFUNCTION("""COMPUTED_VALUE"""),FALSE)</f>
        <v>0</v>
      </c>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t="b">
        <f>IFERROR(__xludf.DUMMYFUNCTION("""COMPUTED_VALUE"""),FALSE)</f>
        <v>0</v>
      </c>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t="b">
        <f>IFERROR(__xludf.DUMMYFUNCTION("""COMPUTED_VALUE"""),FALSE)</f>
        <v>0</v>
      </c>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t="b">
        <f>IFERROR(__xludf.DUMMYFUNCTION("""COMPUTED_VALUE"""),FALSE)</f>
        <v>0</v>
      </c>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t="b">
        <f>IFERROR(__xludf.DUMMYFUNCTION("""COMPUTED_VALUE"""),FALSE)</f>
        <v>0</v>
      </c>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t="b">
        <f>IFERROR(__xludf.DUMMYFUNCTION("""COMPUTED_VALUE"""),FALSE)</f>
        <v>0</v>
      </c>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t="b">
        <f>IFERROR(__xludf.DUMMYFUNCTION("""COMPUTED_VALUE"""),FALSE)</f>
        <v>0</v>
      </c>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t="b">
        <f>IFERROR(__xludf.DUMMYFUNCTION("""COMPUTED_VALUE"""),FALSE)</f>
        <v>0</v>
      </c>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t="b">
        <f>IFERROR(__xludf.DUMMYFUNCTION("""COMPUTED_VALUE"""),FALSE)</f>
        <v>0</v>
      </c>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t="b">
        <f>IFERROR(__xludf.DUMMYFUNCTION("""COMPUTED_VALUE"""),FALSE)</f>
        <v>0</v>
      </c>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t="b">
        <f>IFERROR(__xludf.DUMMYFUNCTION("""COMPUTED_VALUE"""),FALSE)</f>
        <v>0</v>
      </c>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t="b">
        <f>IFERROR(__xludf.DUMMYFUNCTION("""COMPUTED_VALUE"""),FALSE)</f>
        <v>0</v>
      </c>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t="b">
        <f>IFERROR(__xludf.DUMMYFUNCTION("""COMPUTED_VALUE"""),FALSE)</f>
        <v>0</v>
      </c>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t="b">
        <f>IFERROR(__xludf.DUMMYFUNCTION("""COMPUTED_VALUE"""),FALSE)</f>
        <v>0</v>
      </c>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t="b">
        <f>IFERROR(__xludf.DUMMYFUNCTION("""COMPUTED_VALUE"""),FALSE)</f>
        <v>0</v>
      </c>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t="b">
        <f>IFERROR(__xludf.DUMMYFUNCTION("""COMPUTED_VALUE"""),FALSE)</f>
        <v>0</v>
      </c>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t="b">
        <f>IFERROR(__xludf.DUMMYFUNCTION("""COMPUTED_VALUE"""),FALSE)</f>
        <v>0</v>
      </c>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t="b">
        <f>IFERROR(__xludf.DUMMYFUNCTION("""COMPUTED_VALUE"""),FALSE)</f>
        <v>0</v>
      </c>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t="b">
        <f>IFERROR(__xludf.DUMMYFUNCTION("""COMPUTED_VALUE"""),FALSE)</f>
        <v>0</v>
      </c>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t="b">
        <f>IFERROR(__xludf.DUMMYFUNCTION("""COMPUTED_VALUE"""),FALSE)</f>
        <v>0</v>
      </c>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t="b">
        <f>IFERROR(__xludf.DUMMYFUNCTION("""COMPUTED_VALUE"""),FALSE)</f>
        <v>0</v>
      </c>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t="b">
        <f>IFERROR(__xludf.DUMMYFUNCTION("""COMPUTED_VALUE"""),FALSE)</f>
        <v>0</v>
      </c>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t="b">
        <f>IFERROR(__xludf.DUMMYFUNCTION("""COMPUTED_VALUE"""),FALSE)</f>
        <v>0</v>
      </c>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t="b">
        <f>IFERROR(__xludf.DUMMYFUNCTION("""COMPUTED_VALUE"""),FALSE)</f>
        <v>0</v>
      </c>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t="b">
        <f>IFERROR(__xludf.DUMMYFUNCTION("""COMPUTED_VALUE"""),FALSE)</f>
        <v>0</v>
      </c>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t="b">
        <f>IFERROR(__xludf.DUMMYFUNCTION("""COMPUTED_VALUE"""),FALSE)</f>
        <v>0</v>
      </c>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t="b">
        <f>IFERROR(__xludf.DUMMYFUNCTION("""COMPUTED_VALUE"""),FALSE)</f>
        <v>0</v>
      </c>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t="b">
        <f>IFERROR(__xludf.DUMMYFUNCTION("""COMPUTED_VALUE"""),FALSE)</f>
        <v>0</v>
      </c>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13.5"/>
    <col customWidth="1" min="4" max="6" width="12.63"/>
  </cols>
  <sheetData>
    <row r="1" ht="15.75" customHeight="1">
      <c r="A1" s="2" t="str">
        <f>IFERROR(__xludf.DUMMYFUNCTION("IMPORTRANGE(""https://docs.google.com/spreadsheets/d/1HXoAI5UG3zq1UHqU5n7fPdbQk93qOha2VQb1r7iRi1o"",""DMGCap!A:BJ"")"),"DMG")</f>
        <v>DMG</v>
      </c>
      <c r="B1" s="2" t="str">
        <f>IFERROR(__xludf.DUMMYFUNCTION("""COMPUTED_VALUE"""),"Player Level")</f>
        <v>Player Level</v>
      </c>
      <c r="C1" s="2" t="str">
        <f>IFERROR(__xludf.DUMMYFUNCTION("""COMPUTED_VALUE"""),"Base Price")</f>
        <v>Base Price</v>
      </c>
      <c r="D1" s="1"/>
      <c r="E1" s="1"/>
      <c r="F1" s="1"/>
      <c r="G1" s="1"/>
      <c r="H1" s="1"/>
      <c r="I1" s="1"/>
      <c r="J1" s="1"/>
      <c r="K1" s="1"/>
      <c r="L1" s="1"/>
      <c r="M1" s="1"/>
      <c r="N1" s="1"/>
      <c r="O1" s="1"/>
      <c r="P1" s="1"/>
      <c r="Q1" s="1"/>
      <c r="R1" s="1"/>
      <c r="S1" s="1"/>
      <c r="T1" s="1"/>
      <c r="U1" s="1"/>
      <c r="V1" s="1"/>
      <c r="W1" s="1"/>
      <c r="X1" s="1"/>
      <c r="Y1" s="1"/>
      <c r="Z1" s="1"/>
    </row>
    <row r="2" ht="15.75" customHeight="1">
      <c r="A2" s="2">
        <f>IFERROR(__xludf.DUMMYFUNCTION("""COMPUTED_VALUE"""),500.0)</f>
        <v>500</v>
      </c>
      <c r="B2" s="2">
        <f>IFERROR(__xludf.DUMMYFUNCTION("""COMPUTED_VALUE"""),10.0)</f>
        <v>10</v>
      </c>
      <c r="C2" s="66">
        <f>IFERROR(__xludf.DUMMYFUNCTION("""COMPUTED_VALUE"""),1000.0)</f>
        <v>1000</v>
      </c>
      <c r="D2" s="1"/>
      <c r="E2" s="1"/>
      <c r="F2" s="1"/>
      <c r="G2" s="1"/>
      <c r="H2" s="1"/>
      <c r="I2" s="1"/>
      <c r="J2" s="1"/>
      <c r="K2" s="1"/>
      <c r="L2" s="1"/>
      <c r="M2" s="1"/>
      <c r="N2" s="1"/>
      <c r="O2" s="1"/>
      <c r="P2" s="1"/>
      <c r="Q2" s="1"/>
      <c r="R2" s="1"/>
      <c r="S2" s="1"/>
      <c r="T2" s="1"/>
      <c r="U2" s="1"/>
      <c r="V2" s="1"/>
      <c r="W2" s="1"/>
      <c r="X2" s="1"/>
      <c r="Y2" s="1"/>
      <c r="Z2" s="1"/>
    </row>
    <row r="3" ht="15.75" customHeight="1">
      <c r="A3" s="2">
        <f>IFERROR(__xludf.DUMMYFUNCTION("""COMPUTED_VALUE"""),1000.0)</f>
        <v>1000</v>
      </c>
      <c r="B3" s="2">
        <f>IFERROR(__xludf.DUMMYFUNCTION("""COMPUTED_VALUE"""),20.0)</f>
        <v>20</v>
      </c>
      <c r="C3" s="66">
        <f>IFERROR(__xludf.DUMMYFUNCTION("""COMPUTED_VALUE"""),10000.0)</f>
        <v>10000</v>
      </c>
      <c r="D3" s="1"/>
      <c r="E3" s="1"/>
      <c r="F3" s="1"/>
      <c r="G3" s="1"/>
      <c r="H3" s="1"/>
      <c r="I3" s="1"/>
      <c r="J3" s="1"/>
      <c r="K3" s="1"/>
      <c r="L3" s="1"/>
      <c r="M3" s="1"/>
      <c r="N3" s="1"/>
      <c r="O3" s="1"/>
      <c r="P3" s="1"/>
      <c r="Q3" s="1"/>
      <c r="R3" s="1"/>
      <c r="S3" s="1"/>
      <c r="T3" s="1"/>
      <c r="U3" s="1"/>
      <c r="V3" s="1"/>
      <c r="W3" s="1"/>
      <c r="X3" s="1"/>
      <c r="Y3" s="1"/>
      <c r="Z3" s="1"/>
    </row>
    <row r="4" ht="15.75" customHeight="1">
      <c r="A4" s="2">
        <f>IFERROR(__xludf.DUMMYFUNCTION("""COMPUTED_VALUE"""),1500.0)</f>
        <v>1500</v>
      </c>
      <c r="B4" s="2">
        <f>IFERROR(__xludf.DUMMYFUNCTION("""COMPUTED_VALUE"""),30.0)</f>
        <v>30</v>
      </c>
      <c r="C4" s="66">
        <f>IFERROR(__xludf.DUMMYFUNCTION("""COMPUTED_VALUE"""),30000.0)</f>
        <v>30000</v>
      </c>
      <c r="D4" s="1"/>
      <c r="E4" s="1"/>
      <c r="F4" s="1"/>
      <c r="G4" s="1"/>
      <c r="H4" s="1"/>
      <c r="I4" s="1"/>
      <c r="J4" s="1"/>
      <c r="K4" s="1"/>
      <c r="L4" s="1"/>
      <c r="M4" s="1"/>
      <c r="N4" s="1"/>
      <c r="O4" s="1"/>
      <c r="P4" s="1"/>
      <c r="Q4" s="1"/>
      <c r="R4" s="1"/>
      <c r="S4" s="1"/>
      <c r="T4" s="1"/>
      <c r="U4" s="1"/>
      <c r="V4" s="1"/>
      <c r="W4" s="1"/>
      <c r="X4" s="1"/>
      <c r="Y4" s="1"/>
      <c r="Z4" s="1"/>
    </row>
    <row r="5" ht="15.75" customHeight="1">
      <c r="A5" s="2">
        <f>IFERROR(__xludf.DUMMYFUNCTION("""COMPUTED_VALUE"""),2000.0)</f>
        <v>2000</v>
      </c>
      <c r="B5" s="2">
        <f>IFERROR(__xludf.DUMMYFUNCTION("""COMPUTED_VALUE"""),40.0)</f>
        <v>40</v>
      </c>
      <c r="C5" s="66">
        <f>IFERROR(__xludf.DUMMYFUNCTION("""COMPUTED_VALUE"""),60000.0)</f>
        <v>60000</v>
      </c>
      <c r="D5" s="1"/>
      <c r="E5" s="1"/>
      <c r="F5" s="1"/>
      <c r="G5" s="1"/>
      <c r="H5" s="1"/>
      <c r="I5" s="1"/>
      <c r="J5" s="1"/>
      <c r="K5" s="1"/>
      <c r="L5" s="1"/>
      <c r="M5" s="1"/>
      <c r="N5" s="1"/>
      <c r="O5" s="1"/>
      <c r="P5" s="1"/>
      <c r="Q5" s="1"/>
      <c r="R5" s="1"/>
      <c r="S5" s="1"/>
      <c r="T5" s="1"/>
      <c r="U5" s="1"/>
      <c r="V5" s="1"/>
      <c r="W5" s="1"/>
      <c r="X5" s="1"/>
      <c r="Y5" s="1"/>
      <c r="Z5" s="1"/>
    </row>
    <row r="6" ht="15.75" customHeight="1">
      <c r="A6" s="2">
        <f>IFERROR(__xludf.DUMMYFUNCTION("""COMPUTED_VALUE"""),2500.0)</f>
        <v>2500</v>
      </c>
      <c r="B6" s="2">
        <f>IFERROR(__xludf.DUMMYFUNCTION("""COMPUTED_VALUE"""),50.0)</f>
        <v>50</v>
      </c>
      <c r="C6" s="66">
        <f>IFERROR(__xludf.DUMMYFUNCTION("""COMPUTED_VALUE"""),100000.0)</f>
        <v>100000</v>
      </c>
      <c r="D6" s="1"/>
      <c r="E6" s="1"/>
      <c r="F6" s="1"/>
      <c r="G6" s="1"/>
      <c r="H6" s="1"/>
      <c r="I6" s="1"/>
      <c r="J6" s="1"/>
      <c r="K6" s="1"/>
      <c r="L6" s="1"/>
      <c r="M6" s="1"/>
      <c r="N6" s="1"/>
      <c r="O6" s="1"/>
      <c r="P6" s="1"/>
      <c r="Q6" s="1"/>
      <c r="R6" s="1"/>
      <c r="S6" s="1"/>
      <c r="T6" s="1"/>
      <c r="U6" s="1"/>
      <c r="V6" s="1"/>
      <c r="W6" s="1"/>
      <c r="X6" s="1"/>
      <c r="Y6" s="1"/>
      <c r="Z6" s="1"/>
    </row>
    <row r="7" ht="15.75" customHeight="1">
      <c r="A7" s="2">
        <f>IFERROR(__xludf.DUMMYFUNCTION("""COMPUTED_VALUE"""),3000.0)</f>
        <v>3000</v>
      </c>
      <c r="B7" s="2">
        <f>IFERROR(__xludf.DUMMYFUNCTION("""COMPUTED_VALUE"""),60.0)</f>
        <v>60</v>
      </c>
      <c r="C7" s="66">
        <f>IFERROR(__xludf.DUMMYFUNCTION("""COMPUTED_VALUE"""),150000.0)</f>
        <v>150000</v>
      </c>
      <c r="D7" s="1"/>
      <c r="E7" s="1"/>
      <c r="F7" s="1"/>
      <c r="G7" s="1"/>
      <c r="H7" s="1"/>
      <c r="I7" s="1"/>
      <c r="J7" s="1"/>
      <c r="K7" s="1"/>
      <c r="L7" s="1"/>
      <c r="M7" s="1"/>
      <c r="N7" s="1"/>
      <c r="O7" s="1"/>
      <c r="P7" s="1"/>
      <c r="Q7" s="1"/>
      <c r="R7" s="1"/>
      <c r="S7" s="1"/>
      <c r="T7" s="1"/>
      <c r="U7" s="1"/>
      <c r="V7" s="1"/>
      <c r="W7" s="1"/>
      <c r="X7" s="1"/>
      <c r="Y7" s="1"/>
      <c r="Z7" s="1"/>
    </row>
    <row r="8" ht="15.75" customHeight="1">
      <c r="A8" s="2">
        <f>IFERROR(__xludf.DUMMYFUNCTION("""COMPUTED_VALUE"""),3500.0)</f>
        <v>3500</v>
      </c>
      <c r="B8" s="2">
        <f>IFERROR(__xludf.DUMMYFUNCTION("""COMPUTED_VALUE"""),70.0)</f>
        <v>70</v>
      </c>
      <c r="C8" s="66">
        <f>IFERROR(__xludf.DUMMYFUNCTION("""COMPUTED_VALUE"""),210000.0)</f>
        <v>210000</v>
      </c>
      <c r="D8" s="1"/>
      <c r="E8" s="1"/>
      <c r="F8" s="1"/>
      <c r="G8" s="1"/>
      <c r="H8" s="1"/>
      <c r="I8" s="1"/>
      <c r="J8" s="1"/>
      <c r="K8" s="1"/>
      <c r="L8" s="1"/>
      <c r="M8" s="1"/>
      <c r="N8" s="1"/>
      <c r="O8" s="1"/>
      <c r="P8" s="1"/>
      <c r="Q8" s="1"/>
      <c r="R8" s="1"/>
      <c r="S8" s="1"/>
      <c r="T8" s="1"/>
      <c r="U8" s="1"/>
      <c r="V8" s="1"/>
      <c r="W8" s="1"/>
      <c r="X8" s="1"/>
      <c r="Y8" s="1"/>
      <c r="Z8" s="1"/>
    </row>
    <row r="9" ht="15.75" customHeight="1">
      <c r="A9" s="2">
        <f>IFERROR(__xludf.DUMMYFUNCTION("""COMPUTED_VALUE"""),4000.0)</f>
        <v>4000</v>
      </c>
      <c r="B9" s="2">
        <f>IFERROR(__xludf.DUMMYFUNCTION("""COMPUTED_VALUE"""),80.0)</f>
        <v>80</v>
      </c>
      <c r="C9" s="66">
        <f>IFERROR(__xludf.DUMMYFUNCTION("""COMPUTED_VALUE"""),280000.0)</f>
        <v>280000</v>
      </c>
      <c r="D9" s="1"/>
      <c r="E9" s="1"/>
      <c r="F9" s="1"/>
      <c r="G9" s="1"/>
      <c r="H9" s="1"/>
      <c r="I9" s="1"/>
      <c r="J9" s="1"/>
      <c r="K9" s="1"/>
      <c r="L9" s="1"/>
      <c r="M9" s="1"/>
      <c r="N9" s="1"/>
      <c r="O9" s="1"/>
      <c r="P9" s="1"/>
      <c r="Q9" s="1"/>
      <c r="R9" s="1"/>
      <c r="S9" s="1"/>
      <c r="T9" s="1"/>
      <c r="U9" s="1"/>
      <c r="V9" s="1"/>
      <c r="W9" s="1"/>
      <c r="X9" s="1"/>
      <c r="Y9" s="1"/>
      <c r="Z9" s="1"/>
    </row>
    <row r="10" ht="15.75" customHeight="1">
      <c r="A10" s="2">
        <f>IFERROR(__xludf.DUMMYFUNCTION("""COMPUTED_VALUE"""),4500.0)</f>
        <v>4500</v>
      </c>
      <c r="B10" s="2">
        <f>IFERROR(__xludf.DUMMYFUNCTION("""COMPUTED_VALUE"""),90.0)</f>
        <v>90</v>
      </c>
      <c r="C10" s="66">
        <f>IFERROR(__xludf.DUMMYFUNCTION("""COMPUTED_VALUE"""),360000.0)</f>
        <v>360000</v>
      </c>
      <c r="D10" s="1"/>
      <c r="E10" s="1"/>
      <c r="F10" s="1"/>
      <c r="G10" s="1"/>
      <c r="H10" s="1"/>
      <c r="I10" s="1"/>
      <c r="J10" s="1"/>
      <c r="K10" s="1"/>
      <c r="L10" s="1"/>
      <c r="M10" s="1"/>
      <c r="N10" s="1"/>
      <c r="O10" s="1"/>
      <c r="P10" s="1"/>
      <c r="Q10" s="1"/>
      <c r="R10" s="1"/>
      <c r="S10" s="1"/>
      <c r="T10" s="1"/>
      <c r="U10" s="1"/>
      <c r="V10" s="1"/>
      <c r="W10" s="1"/>
      <c r="X10" s="1"/>
      <c r="Y10" s="1"/>
      <c r="Z10" s="1"/>
    </row>
    <row r="11" ht="15.75" customHeight="1">
      <c r="A11" s="2">
        <f>IFERROR(__xludf.DUMMYFUNCTION("""COMPUTED_VALUE"""),5000.0)</f>
        <v>5000</v>
      </c>
      <c r="B11" s="2">
        <f>IFERROR(__xludf.DUMMYFUNCTION("""COMPUTED_VALUE"""),100.0)</f>
        <v>100</v>
      </c>
      <c r="C11" s="66">
        <f>IFERROR(__xludf.DUMMYFUNCTION("""COMPUTED_VALUE"""),450000.0)</f>
        <v>450000</v>
      </c>
      <c r="D11" s="1"/>
      <c r="E11" s="1"/>
      <c r="F11" s="1"/>
      <c r="G11" s="1"/>
      <c r="H11" s="1"/>
      <c r="I11" s="1"/>
      <c r="J11" s="1"/>
      <c r="K11" s="1"/>
      <c r="L11" s="1"/>
      <c r="M11" s="1"/>
      <c r="N11" s="1"/>
      <c r="O11" s="1"/>
      <c r="P11" s="1"/>
      <c r="Q11" s="1"/>
      <c r="R11" s="1"/>
      <c r="S11" s="1"/>
      <c r="T11" s="1"/>
      <c r="U11" s="1"/>
      <c r="V11" s="1"/>
      <c r="W11" s="1"/>
      <c r="X11" s="1"/>
      <c r="Y11" s="1"/>
      <c r="Z11" s="1"/>
    </row>
    <row r="12" ht="15.75" customHeight="1">
      <c r="A12" s="2">
        <f>IFERROR(__xludf.DUMMYFUNCTION("""COMPUTED_VALUE"""),5500.0)</f>
        <v>5500</v>
      </c>
      <c r="B12" s="2">
        <f>IFERROR(__xludf.DUMMYFUNCTION("""COMPUTED_VALUE"""),110.0)</f>
        <v>110</v>
      </c>
      <c r="C12" s="66">
        <f>IFERROR(__xludf.DUMMYFUNCTION("""COMPUTED_VALUE"""),550000.0)</f>
        <v>550000</v>
      </c>
      <c r="D12" s="1"/>
      <c r="E12" s="1"/>
      <c r="F12" s="1"/>
      <c r="G12" s="1"/>
      <c r="H12" s="1"/>
      <c r="I12" s="1"/>
      <c r="J12" s="1"/>
      <c r="K12" s="1"/>
      <c r="L12" s="1"/>
      <c r="M12" s="1"/>
      <c r="N12" s="1"/>
      <c r="O12" s="1"/>
      <c r="P12" s="1"/>
      <c r="Q12" s="1"/>
      <c r="R12" s="1"/>
      <c r="S12" s="1"/>
      <c r="T12" s="1"/>
      <c r="U12" s="1"/>
      <c r="V12" s="1"/>
      <c r="W12" s="1"/>
      <c r="X12" s="1"/>
      <c r="Y12" s="1"/>
      <c r="Z12" s="1"/>
    </row>
    <row r="13" ht="15.75" customHeight="1">
      <c r="A13" s="2">
        <f>IFERROR(__xludf.DUMMYFUNCTION("""COMPUTED_VALUE"""),6000.0)</f>
        <v>6000</v>
      </c>
      <c r="B13" s="2">
        <f>IFERROR(__xludf.DUMMYFUNCTION("""COMPUTED_VALUE"""),120.0)</f>
        <v>120</v>
      </c>
      <c r="C13" s="66">
        <f>IFERROR(__xludf.DUMMYFUNCTION("""COMPUTED_VALUE"""),660000.0)</f>
        <v>660000</v>
      </c>
      <c r="D13" s="1"/>
      <c r="E13" s="1"/>
      <c r="F13" s="1"/>
      <c r="G13" s="1"/>
      <c r="H13" s="1"/>
      <c r="I13" s="1"/>
      <c r="J13" s="1"/>
      <c r="K13" s="1"/>
      <c r="L13" s="1"/>
      <c r="M13" s="1"/>
      <c r="N13" s="1"/>
      <c r="O13" s="1"/>
      <c r="P13" s="1"/>
      <c r="Q13" s="1"/>
      <c r="R13" s="1"/>
      <c r="S13" s="1"/>
      <c r="T13" s="1"/>
      <c r="U13" s="1"/>
      <c r="V13" s="1"/>
      <c r="W13" s="1"/>
      <c r="X13" s="1"/>
      <c r="Y13" s="1"/>
      <c r="Z13" s="1"/>
    </row>
    <row r="14" ht="15.75" customHeight="1">
      <c r="A14" s="2">
        <f>IFERROR(__xludf.DUMMYFUNCTION("""COMPUTED_VALUE"""),6500.0)</f>
        <v>6500</v>
      </c>
      <c r="B14" s="2">
        <f>IFERROR(__xludf.DUMMYFUNCTION("""COMPUTED_VALUE"""),130.0)</f>
        <v>130</v>
      </c>
      <c r="C14" s="66">
        <f>IFERROR(__xludf.DUMMYFUNCTION("""COMPUTED_VALUE"""),780000.0)</f>
        <v>780000</v>
      </c>
      <c r="D14" s="1"/>
      <c r="E14" s="1"/>
      <c r="F14" s="1"/>
      <c r="G14" s="1"/>
      <c r="H14" s="1"/>
      <c r="I14" s="1"/>
      <c r="J14" s="1"/>
      <c r="K14" s="1"/>
      <c r="L14" s="1"/>
      <c r="M14" s="1"/>
      <c r="N14" s="1"/>
      <c r="O14" s="1"/>
      <c r="P14" s="1"/>
      <c r="Q14" s="1"/>
      <c r="R14" s="1"/>
      <c r="S14" s="1"/>
      <c r="T14" s="1"/>
      <c r="U14" s="1"/>
      <c r="V14" s="1"/>
      <c r="W14" s="1"/>
      <c r="X14" s="1"/>
      <c r="Y14" s="1"/>
      <c r="Z14" s="1"/>
    </row>
    <row r="15" ht="15.75" customHeight="1">
      <c r="A15" s="2">
        <f>IFERROR(__xludf.DUMMYFUNCTION("""COMPUTED_VALUE"""),7000.0)</f>
        <v>7000</v>
      </c>
      <c r="B15" s="2">
        <f>IFERROR(__xludf.DUMMYFUNCTION("""COMPUTED_VALUE"""),140.0)</f>
        <v>140</v>
      </c>
      <c r="C15" s="66">
        <f>IFERROR(__xludf.DUMMYFUNCTION("""COMPUTED_VALUE"""),910000.0)</f>
        <v>910000</v>
      </c>
      <c r="D15" s="1"/>
      <c r="E15" s="1"/>
      <c r="F15" s="1"/>
      <c r="G15" s="1"/>
      <c r="H15" s="1"/>
      <c r="I15" s="1"/>
      <c r="J15" s="1"/>
      <c r="K15" s="1"/>
      <c r="L15" s="1"/>
      <c r="M15" s="1"/>
      <c r="N15" s="1"/>
      <c r="O15" s="1"/>
      <c r="P15" s="1"/>
      <c r="Q15" s="1"/>
      <c r="R15" s="1"/>
      <c r="S15" s="1"/>
      <c r="T15" s="1"/>
      <c r="U15" s="1"/>
      <c r="V15" s="1"/>
      <c r="W15" s="1"/>
      <c r="X15" s="1"/>
      <c r="Y15" s="1"/>
      <c r="Z15" s="1"/>
    </row>
    <row r="16" ht="15.75" customHeight="1">
      <c r="A16" s="2">
        <f>IFERROR(__xludf.DUMMYFUNCTION("""COMPUTED_VALUE"""),7500.0)</f>
        <v>7500</v>
      </c>
      <c r="B16" s="2">
        <f>IFERROR(__xludf.DUMMYFUNCTION("""COMPUTED_VALUE"""),150.0)</f>
        <v>150</v>
      </c>
      <c r="C16" s="66">
        <f>IFERROR(__xludf.DUMMYFUNCTION("""COMPUTED_VALUE"""),1050000.0)</f>
        <v>1050000</v>
      </c>
      <c r="D16" s="1"/>
      <c r="E16" s="1"/>
      <c r="F16" s="1"/>
      <c r="G16" s="1"/>
      <c r="H16" s="1"/>
      <c r="I16" s="1"/>
      <c r="J16" s="1"/>
      <c r="K16" s="1"/>
      <c r="L16" s="1"/>
      <c r="M16" s="1"/>
      <c r="N16" s="1"/>
      <c r="O16" s="1"/>
      <c r="P16" s="1"/>
      <c r="Q16" s="1"/>
      <c r="R16" s="1"/>
      <c r="S16" s="1"/>
      <c r="T16" s="1"/>
      <c r="U16" s="1"/>
      <c r="V16" s="1"/>
      <c r="W16" s="1"/>
      <c r="X16" s="1"/>
      <c r="Y16" s="1"/>
      <c r="Z16" s="1"/>
    </row>
    <row r="17" ht="15.75" customHeight="1">
      <c r="A17" s="2">
        <f>IFERROR(__xludf.DUMMYFUNCTION("""COMPUTED_VALUE"""),8000.0)</f>
        <v>8000</v>
      </c>
      <c r="B17" s="2">
        <f>IFERROR(__xludf.DUMMYFUNCTION("""COMPUTED_VALUE"""),160.0)</f>
        <v>160</v>
      </c>
      <c r="C17" s="66">
        <f>IFERROR(__xludf.DUMMYFUNCTION("""COMPUTED_VALUE"""),1200000.0)</f>
        <v>1200000</v>
      </c>
      <c r="D17" s="1"/>
      <c r="E17" s="1"/>
      <c r="F17" s="1"/>
      <c r="G17" s="1"/>
      <c r="H17" s="1"/>
      <c r="I17" s="1"/>
      <c r="J17" s="1"/>
      <c r="K17" s="1"/>
      <c r="L17" s="1"/>
      <c r="M17" s="1"/>
      <c r="N17" s="1"/>
      <c r="O17" s="1"/>
      <c r="P17" s="1"/>
      <c r="Q17" s="1"/>
      <c r="R17" s="1"/>
      <c r="S17" s="1"/>
      <c r="T17" s="1"/>
      <c r="U17" s="1"/>
      <c r="V17" s="1"/>
      <c r="W17" s="1"/>
      <c r="X17" s="1"/>
      <c r="Y17" s="1"/>
      <c r="Z17" s="1"/>
    </row>
    <row r="18" ht="15.75" customHeight="1">
      <c r="A18" s="2">
        <f>IFERROR(__xludf.DUMMYFUNCTION("""COMPUTED_VALUE"""),8500.0)</f>
        <v>8500</v>
      </c>
      <c r="B18" s="2">
        <f>IFERROR(__xludf.DUMMYFUNCTION("""COMPUTED_VALUE"""),170.0)</f>
        <v>170</v>
      </c>
      <c r="C18" s="66">
        <f>IFERROR(__xludf.DUMMYFUNCTION("""COMPUTED_VALUE"""),1360000.0)</f>
        <v>1360000</v>
      </c>
      <c r="D18" s="1"/>
      <c r="E18" s="1"/>
      <c r="F18" s="1"/>
      <c r="G18" s="1"/>
      <c r="H18" s="1"/>
      <c r="I18" s="1"/>
      <c r="J18" s="1"/>
      <c r="K18" s="1"/>
      <c r="L18" s="1"/>
      <c r="M18" s="1"/>
      <c r="N18" s="1"/>
      <c r="O18" s="1"/>
      <c r="P18" s="1"/>
      <c r="Q18" s="1"/>
      <c r="R18" s="1"/>
      <c r="S18" s="1"/>
      <c r="T18" s="1"/>
      <c r="U18" s="1"/>
      <c r="V18" s="1"/>
      <c r="W18" s="1"/>
      <c r="X18" s="1"/>
      <c r="Y18" s="1"/>
      <c r="Z18" s="1"/>
    </row>
    <row r="19" ht="15.75" customHeight="1">
      <c r="A19" s="2">
        <f>IFERROR(__xludf.DUMMYFUNCTION("""COMPUTED_VALUE"""),9000.0)</f>
        <v>9000</v>
      </c>
      <c r="B19" s="2">
        <f>IFERROR(__xludf.DUMMYFUNCTION("""COMPUTED_VALUE"""),180.0)</f>
        <v>180</v>
      </c>
      <c r="C19" s="66">
        <f>IFERROR(__xludf.DUMMYFUNCTION("""COMPUTED_VALUE"""),1530000.0)</f>
        <v>1530000</v>
      </c>
      <c r="D19" s="1"/>
      <c r="E19" s="1"/>
      <c r="F19" s="1"/>
      <c r="G19" s="1"/>
      <c r="H19" s="1"/>
      <c r="I19" s="1"/>
      <c r="J19" s="1"/>
      <c r="K19" s="1"/>
      <c r="L19" s="1"/>
      <c r="M19" s="1"/>
      <c r="N19" s="1"/>
      <c r="O19" s="1"/>
      <c r="P19" s="1"/>
      <c r="Q19" s="1"/>
      <c r="R19" s="1"/>
      <c r="S19" s="1"/>
      <c r="T19" s="1"/>
      <c r="U19" s="1"/>
      <c r="V19" s="1"/>
      <c r="W19" s="1"/>
      <c r="X19" s="1"/>
      <c r="Y19" s="1"/>
      <c r="Z19" s="1"/>
    </row>
    <row r="20" ht="15.75" customHeight="1">
      <c r="A20" s="2">
        <f>IFERROR(__xludf.DUMMYFUNCTION("""COMPUTED_VALUE"""),9500.0)</f>
        <v>9500</v>
      </c>
      <c r="B20" s="2">
        <f>IFERROR(__xludf.DUMMYFUNCTION("""COMPUTED_VALUE"""),190.0)</f>
        <v>190</v>
      </c>
      <c r="C20" s="66">
        <f>IFERROR(__xludf.DUMMYFUNCTION("""COMPUTED_VALUE"""),1710000.0)</f>
        <v>1710000</v>
      </c>
      <c r="D20" s="1"/>
      <c r="E20" s="1"/>
      <c r="F20" s="1"/>
      <c r="G20" s="1"/>
      <c r="H20" s="1"/>
      <c r="I20" s="1"/>
      <c r="J20" s="1"/>
      <c r="K20" s="1"/>
      <c r="L20" s="1"/>
      <c r="M20" s="1"/>
      <c r="N20" s="1"/>
      <c r="O20" s="1"/>
      <c r="P20" s="1"/>
      <c r="Q20" s="1"/>
      <c r="R20" s="1"/>
      <c r="S20" s="1"/>
      <c r="T20" s="1"/>
      <c r="U20" s="1"/>
      <c r="V20" s="1"/>
      <c r="W20" s="1"/>
      <c r="X20" s="1"/>
      <c r="Y20" s="1"/>
      <c r="Z20" s="1"/>
    </row>
    <row r="21" ht="15.75" customHeight="1">
      <c r="A21" s="2">
        <f>IFERROR(__xludf.DUMMYFUNCTION("""COMPUTED_VALUE"""),10000.0)</f>
        <v>10000</v>
      </c>
      <c r="B21" s="2">
        <f>IFERROR(__xludf.DUMMYFUNCTION("""COMPUTED_VALUE"""),200.0)</f>
        <v>200</v>
      </c>
      <c r="C21" s="66">
        <f>IFERROR(__xludf.DUMMYFUNCTION("""COMPUTED_VALUE"""),1900000.0)</f>
        <v>1900000</v>
      </c>
      <c r="D21" s="1"/>
      <c r="E21" s="1"/>
      <c r="F21" s="1"/>
      <c r="G21" s="1"/>
      <c r="H21" s="1"/>
      <c r="I21" s="1"/>
      <c r="J21" s="1"/>
      <c r="K21" s="1"/>
      <c r="L21" s="1"/>
      <c r="M21" s="1"/>
      <c r="N21" s="1"/>
      <c r="O21" s="1"/>
      <c r="P21" s="1"/>
      <c r="Q21" s="1"/>
      <c r="R21" s="1"/>
      <c r="S21" s="1"/>
      <c r="T21" s="1"/>
      <c r="U21" s="1"/>
      <c r="V21" s="1"/>
      <c r="W21" s="1"/>
      <c r="X21" s="1"/>
      <c r="Y21" s="1"/>
      <c r="Z21" s="1"/>
    </row>
    <row r="22" ht="15.75" customHeight="1">
      <c r="A22" s="2">
        <f>IFERROR(__xludf.DUMMYFUNCTION("""COMPUTED_VALUE"""),10500.0)</f>
        <v>10500</v>
      </c>
      <c r="B22" s="2">
        <f>IFERROR(__xludf.DUMMYFUNCTION("""COMPUTED_VALUE"""),210.0)</f>
        <v>210</v>
      </c>
      <c r="C22" s="66">
        <f>IFERROR(__xludf.DUMMYFUNCTION("""COMPUTED_VALUE"""),2100000.0)</f>
        <v>2100000</v>
      </c>
      <c r="D22" s="1"/>
      <c r="E22" s="1"/>
      <c r="F22" s="1"/>
      <c r="G22" s="1"/>
      <c r="H22" s="1"/>
      <c r="I22" s="1"/>
      <c r="J22" s="1"/>
      <c r="K22" s="1"/>
      <c r="L22" s="1"/>
      <c r="M22" s="1"/>
      <c r="N22" s="1"/>
      <c r="O22" s="1"/>
      <c r="P22" s="1"/>
      <c r="Q22" s="1"/>
      <c r="R22" s="1"/>
      <c r="S22" s="1"/>
      <c r="T22" s="1"/>
      <c r="U22" s="1"/>
      <c r="V22" s="1"/>
      <c r="W22" s="1"/>
      <c r="X22" s="1"/>
      <c r="Y22" s="1"/>
      <c r="Z22" s="1"/>
    </row>
    <row r="23" ht="15.75" customHeight="1">
      <c r="A23" s="2">
        <f>IFERROR(__xludf.DUMMYFUNCTION("""COMPUTED_VALUE"""),11000.0)</f>
        <v>11000</v>
      </c>
      <c r="B23" s="2">
        <f>IFERROR(__xludf.DUMMYFUNCTION("""COMPUTED_VALUE"""),220.0)</f>
        <v>220</v>
      </c>
      <c r="C23" s="66">
        <f>IFERROR(__xludf.DUMMYFUNCTION("""COMPUTED_VALUE"""),2310000.0)</f>
        <v>2310000</v>
      </c>
      <c r="D23" s="1"/>
      <c r="E23" s="1"/>
      <c r="F23" s="1"/>
      <c r="G23" s="1"/>
      <c r="H23" s="1"/>
      <c r="I23" s="1"/>
      <c r="J23" s="1"/>
      <c r="K23" s="1"/>
      <c r="L23" s="1"/>
      <c r="M23" s="1"/>
      <c r="N23" s="1"/>
      <c r="O23" s="1"/>
      <c r="P23" s="1"/>
      <c r="Q23" s="1"/>
      <c r="R23" s="1"/>
      <c r="S23" s="1"/>
      <c r="T23" s="1"/>
      <c r="U23" s="1"/>
      <c r="V23" s="1"/>
      <c r="W23" s="1"/>
      <c r="X23" s="1"/>
      <c r="Y23" s="1"/>
      <c r="Z23" s="1"/>
    </row>
    <row r="24" ht="15.75" customHeight="1">
      <c r="A24" s="2">
        <f>IFERROR(__xludf.DUMMYFUNCTION("""COMPUTED_VALUE"""),11500.0)</f>
        <v>11500</v>
      </c>
      <c r="B24" s="2">
        <f>IFERROR(__xludf.DUMMYFUNCTION("""COMPUTED_VALUE"""),230.0)</f>
        <v>230</v>
      </c>
      <c r="C24" s="66">
        <f>IFERROR(__xludf.DUMMYFUNCTION("""COMPUTED_VALUE"""),2530000.0)</f>
        <v>2530000</v>
      </c>
      <c r="D24" s="1"/>
      <c r="E24" s="1"/>
      <c r="F24" s="1"/>
      <c r="G24" s="1"/>
      <c r="H24" s="1"/>
      <c r="I24" s="1"/>
      <c r="J24" s="1"/>
      <c r="K24" s="1"/>
      <c r="L24" s="1"/>
      <c r="M24" s="1"/>
      <c r="N24" s="1"/>
      <c r="O24" s="1"/>
      <c r="P24" s="1"/>
      <c r="Q24" s="1"/>
      <c r="R24" s="1"/>
      <c r="S24" s="1"/>
      <c r="T24" s="1"/>
      <c r="U24" s="1"/>
      <c r="V24" s="1"/>
      <c r="W24" s="1"/>
      <c r="X24" s="1"/>
      <c r="Y24" s="1"/>
      <c r="Z24" s="1"/>
    </row>
    <row r="25" ht="15.75" customHeight="1">
      <c r="A25" s="2">
        <f>IFERROR(__xludf.DUMMYFUNCTION("""COMPUTED_VALUE"""),12000.0)</f>
        <v>12000</v>
      </c>
      <c r="B25" s="2">
        <f>IFERROR(__xludf.DUMMYFUNCTION("""COMPUTED_VALUE"""),240.0)</f>
        <v>240</v>
      </c>
      <c r="C25" s="66">
        <f>IFERROR(__xludf.DUMMYFUNCTION("""COMPUTED_VALUE"""),2760000.0)</f>
        <v>2760000</v>
      </c>
      <c r="D25" s="1"/>
      <c r="E25" s="1"/>
      <c r="F25" s="1"/>
      <c r="G25" s="1"/>
      <c r="H25" s="1"/>
      <c r="I25" s="1"/>
      <c r="J25" s="1"/>
      <c r="K25" s="1"/>
      <c r="L25" s="1"/>
      <c r="M25" s="1"/>
      <c r="N25" s="1"/>
      <c r="O25" s="1"/>
      <c r="P25" s="1"/>
      <c r="Q25" s="1"/>
      <c r="R25" s="1"/>
      <c r="S25" s="1"/>
      <c r="T25" s="1"/>
      <c r="U25" s="1"/>
      <c r="V25" s="1"/>
      <c r="W25" s="1"/>
      <c r="X25" s="1"/>
      <c r="Y25" s="1"/>
      <c r="Z25" s="1"/>
    </row>
    <row r="26" ht="15.75" customHeight="1">
      <c r="A26" s="2">
        <f>IFERROR(__xludf.DUMMYFUNCTION("""COMPUTED_VALUE"""),12500.0)</f>
        <v>12500</v>
      </c>
      <c r="B26" s="2">
        <f>IFERROR(__xludf.DUMMYFUNCTION("""COMPUTED_VALUE"""),250.0)</f>
        <v>250</v>
      </c>
      <c r="C26" s="66">
        <f>IFERROR(__xludf.DUMMYFUNCTION("""COMPUTED_VALUE"""),3000000.0)</f>
        <v>3000000</v>
      </c>
      <c r="D26" s="1"/>
      <c r="E26" s="1"/>
      <c r="F26" s="1"/>
      <c r="G26" s="1"/>
      <c r="H26" s="1"/>
      <c r="I26" s="1"/>
      <c r="J26" s="1"/>
      <c r="K26" s="1"/>
      <c r="L26" s="1"/>
      <c r="M26" s="1"/>
      <c r="N26" s="1"/>
      <c r="O26" s="1"/>
      <c r="P26" s="1"/>
      <c r="Q26" s="1"/>
      <c r="R26" s="1"/>
      <c r="S26" s="1"/>
      <c r="T26" s="1"/>
      <c r="U26" s="1"/>
      <c r="V26" s="1"/>
      <c r="W26" s="1"/>
      <c r="X26" s="1"/>
      <c r="Y26" s="1"/>
      <c r="Z26" s="1"/>
    </row>
    <row r="27" ht="15.75" customHeight="1">
      <c r="A27" s="2">
        <f>IFERROR(__xludf.DUMMYFUNCTION("""COMPUTED_VALUE"""),13000.0)</f>
        <v>13000</v>
      </c>
      <c r="B27" s="2">
        <f>IFERROR(__xludf.DUMMYFUNCTION("""COMPUTED_VALUE"""),260.0)</f>
        <v>260</v>
      </c>
      <c r="C27" s="66">
        <f>IFERROR(__xludf.DUMMYFUNCTION("""COMPUTED_VALUE"""),3250000.0)</f>
        <v>3250000</v>
      </c>
      <c r="D27" s="1"/>
      <c r="E27" s="1"/>
      <c r="F27" s="1"/>
      <c r="G27" s="1"/>
      <c r="H27" s="1"/>
      <c r="I27" s="1"/>
      <c r="J27" s="1"/>
      <c r="K27" s="1"/>
      <c r="L27" s="1"/>
      <c r="M27" s="1"/>
      <c r="N27" s="1"/>
      <c r="O27" s="1"/>
      <c r="P27" s="1"/>
      <c r="Q27" s="1"/>
      <c r="R27" s="1"/>
      <c r="S27" s="1"/>
      <c r="T27" s="1"/>
      <c r="U27" s="1"/>
      <c r="V27" s="1"/>
      <c r="W27" s="1"/>
      <c r="X27" s="1"/>
      <c r="Y27" s="1"/>
      <c r="Z27" s="1"/>
    </row>
    <row r="28" ht="15.75" customHeight="1">
      <c r="A28" s="2">
        <f>IFERROR(__xludf.DUMMYFUNCTION("""COMPUTED_VALUE"""),13500.0)</f>
        <v>13500</v>
      </c>
      <c r="B28" s="2">
        <f>IFERROR(__xludf.DUMMYFUNCTION("""COMPUTED_VALUE"""),270.0)</f>
        <v>270</v>
      </c>
      <c r="C28" s="66">
        <f>IFERROR(__xludf.DUMMYFUNCTION("""COMPUTED_VALUE"""),3510000.0)</f>
        <v>3510000</v>
      </c>
      <c r="D28" s="1"/>
      <c r="E28" s="1"/>
      <c r="F28" s="1"/>
      <c r="G28" s="1"/>
      <c r="H28" s="1"/>
      <c r="I28" s="1"/>
      <c r="J28" s="1"/>
      <c r="K28" s="1"/>
      <c r="L28" s="1"/>
      <c r="M28" s="1"/>
      <c r="N28" s="1"/>
      <c r="O28" s="1"/>
      <c r="P28" s="1"/>
      <c r="Q28" s="1"/>
      <c r="R28" s="1"/>
      <c r="S28" s="1"/>
      <c r="T28" s="1"/>
      <c r="U28" s="1"/>
      <c r="V28" s="1"/>
      <c r="W28" s="1"/>
      <c r="X28" s="1"/>
      <c r="Y28" s="1"/>
      <c r="Z28" s="1"/>
    </row>
    <row r="29" ht="15.75" customHeight="1">
      <c r="A29" s="2">
        <f>IFERROR(__xludf.DUMMYFUNCTION("""COMPUTED_VALUE"""),14000.0)</f>
        <v>14000</v>
      </c>
      <c r="B29" s="2">
        <f>IFERROR(__xludf.DUMMYFUNCTION("""COMPUTED_VALUE"""),280.0)</f>
        <v>280</v>
      </c>
      <c r="C29" s="66">
        <f>IFERROR(__xludf.DUMMYFUNCTION("""COMPUTED_VALUE"""),3780000.0)</f>
        <v>3780000</v>
      </c>
      <c r="D29" s="1"/>
      <c r="E29" s="1"/>
      <c r="F29" s="1"/>
      <c r="G29" s="1"/>
      <c r="H29" s="1"/>
      <c r="I29" s="1"/>
      <c r="J29" s="1"/>
      <c r="K29" s="1"/>
      <c r="L29" s="1"/>
      <c r="M29" s="1"/>
      <c r="N29" s="1"/>
      <c r="O29" s="1"/>
      <c r="P29" s="1"/>
      <c r="Q29" s="1"/>
      <c r="R29" s="1"/>
      <c r="S29" s="1"/>
      <c r="T29" s="1"/>
      <c r="U29" s="1"/>
      <c r="V29" s="1"/>
      <c r="W29" s="1"/>
      <c r="X29" s="1"/>
      <c r="Y29" s="1"/>
      <c r="Z29" s="1"/>
    </row>
    <row r="30" ht="15.75" customHeight="1">
      <c r="A30" s="2">
        <f>IFERROR(__xludf.DUMMYFUNCTION("""COMPUTED_VALUE"""),14500.0)</f>
        <v>14500</v>
      </c>
      <c r="B30" s="2">
        <f>IFERROR(__xludf.DUMMYFUNCTION("""COMPUTED_VALUE"""),290.0)</f>
        <v>290</v>
      </c>
      <c r="C30" s="66">
        <f>IFERROR(__xludf.DUMMYFUNCTION("""COMPUTED_VALUE"""),4060000.0)</f>
        <v>4060000</v>
      </c>
      <c r="D30" s="1"/>
      <c r="E30" s="1"/>
      <c r="F30" s="1"/>
      <c r="G30" s="1"/>
      <c r="H30" s="1"/>
      <c r="I30" s="1"/>
      <c r="J30" s="1"/>
      <c r="K30" s="1"/>
      <c r="L30" s="1"/>
      <c r="M30" s="1"/>
      <c r="N30" s="1"/>
      <c r="O30" s="1"/>
      <c r="P30" s="1"/>
      <c r="Q30" s="1"/>
      <c r="R30" s="1"/>
      <c r="S30" s="1"/>
      <c r="T30" s="1"/>
      <c r="U30" s="1"/>
      <c r="V30" s="1"/>
      <c r="W30" s="1"/>
      <c r="X30" s="1"/>
      <c r="Y30" s="1"/>
      <c r="Z30" s="1"/>
    </row>
    <row r="31" ht="15.75" customHeight="1">
      <c r="A31" s="2">
        <f>IFERROR(__xludf.DUMMYFUNCTION("""COMPUTED_VALUE"""),15000.0)</f>
        <v>15000</v>
      </c>
      <c r="B31" s="2">
        <f>IFERROR(__xludf.DUMMYFUNCTION("""COMPUTED_VALUE"""),300.0)</f>
        <v>300</v>
      </c>
      <c r="C31" s="66">
        <f>IFERROR(__xludf.DUMMYFUNCTION("""COMPUTED_VALUE"""),4350000.0)</f>
        <v>4350000</v>
      </c>
      <c r="D31" s="1"/>
      <c r="E31" s="1"/>
      <c r="F31" s="1"/>
      <c r="G31" s="1"/>
      <c r="H31" s="1"/>
      <c r="I31" s="1"/>
      <c r="J31" s="1"/>
      <c r="K31" s="1"/>
      <c r="L31" s="1"/>
      <c r="M31" s="1"/>
      <c r="N31" s="1"/>
      <c r="O31" s="1"/>
      <c r="P31" s="1"/>
      <c r="Q31" s="1"/>
      <c r="R31" s="1"/>
      <c r="S31" s="1"/>
      <c r="T31" s="1"/>
      <c r="U31" s="1"/>
      <c r="V31" s="1"/>
      <c r="W31" s="1"/>
      <c r="X31" s="1"/>
      <c r="Y31" s="1"/>
      <c r="Z31" s="1"/>
    </row>
    <row r="32" ht="15.75" customHeight="1">
      <c r="A32" s="2">
        <f>IFERROR(__xludf.DUMMYFUNCTION("""COMPUTED_VALUE"""),15500.0)</f>
        <v>15500</v>
      </c>
      <c r="B32" s="2">
        <f>IFERROR(__xludf.DUMMYFUNCTION("""COMPUTED_VALUE"""),310.0)</f>
        <v>310</v>
      </c>
      <c r="C32" s="66">
        <f>IFERROR(__xludf.DUMMYFUNCTION("""COMPUTED_VALUE"""),4650000.0)</f>
        <v>4650000</v>
      </c>
      <c r="D32" s="1"/>
      <c r="E32" s="1"/>
      <c r="F32" s="1"/>
      <c r="G32" s="1"/>
      <c r="H32" s="1"/>
      <c r="I32" s="1"/>
      <c r="J32" s="1"/>
      <c r="K32" s="1"/>
      <c r="L32" s="1"/>
      <c r="M32" s="1"/>
      <c r="N32" s="1"/>
      <c r="O32" s="1"/>
      <c r="P32" s="1"/>
      <c r="Q32" s="1"/>
      <c r="R32" s="1"/>
      <c r="S32" s="1"/>
      <c r="T32" s="1"/>
      <c r="U32" s="1"/>
      <c r="V32" s="1"/>
      <c r="W32" s="1"/>
      <c r="X32" s="1"/>
      <c r="Y32" s="1"/>
      <c r="Z32" s="1"/>
    </row>
    <row r="33" ht="15.75" customHeight="1">
      <c r="A33" s="2">
        <f>IFERROR(__xludf.DUMMYFUNCTION("""COMPUTED_VALUE"""),16000.0)</f>
        <v>16000</v>
      </c>
      <c r="B33" s="2">
        <f>IFERROR(__xludf.DUMMYFUNCTION("""COMPUTED_VALUE"""),320.0)</f>
        <v>320</v>
      </c>
      <c r="C33" s="66">
        <f>IFERROR(__xludf.DUMMYFUNCTION("""COMPUTED_VALUE"""),4960000.0)</f>
        <v>4960000</v>
      </c>
      <c r="D33" s="1"/>
      <c r="E33" s="1"/>
      <c r="F33" s="1"/>
      <c r="G33" s="1"/>
      <c r="H33" s="1"/>
      <c r="I33" s="1"/>
      <c r="J33" s="1"/>
      <c r="K33" s="1"/>
      <c r="L33" s="1"/>
      <c r="M33" s="1"/>
      <c r="N33" s="1"/>
      <c r="O33" s="1"/>
      <c r="P33" s="1"/>
      <c r="Q33" s="1"/>
      <c r="R33" s="1"/>
      <c r="S33" s="1"/>
      <c r="T33" s="1"/>
      <c r="U33" s="1"/>
      <c r="V33" s="1"/>
      <c r="W33" s="1"/>
      <c r="X33" s="1"/>
      <c r="Y33" s="1"/>
      <c r="Z33" s="1"/>
    </row>
    <row r="34" ht="15.75" customHeight="1">
      <c r="A34" s="2">
        <f>IFERROR(__xludf.DUMMYFUNCTION("""COMPUTED_VALUE"""),16500.0)</f>
        <v>16500</v>
      </c>
      <c r="B34" s="2">
        <f>IFERROR(__xludf.DUMMYFUNCTION("""COMPUTED_VALUE"""),330.0)</f>
        <v>330</v>
      </c>
      <c r="C34" s="66">
        <f>IFERROR(__xludf.DUMMYFUNCTION("""COMPUTED_VALUE"""),5280000.0)</f>
        <v>5280000</v>
      </c>
      <c r="D34" s="1"/>
      <c r="E34" s="1"/>
      <c r="F34" s="1"/>
      <c r="G34" s="1"/>
      <c r="H34" s="1"/>
      <c r="I34" s="1"/>
      <c r="J34" s="1"/>
      <c r="K34" s="1"/>
      <c r="L34" s="1"/>
      <c r="M34" s="1"/>
      <c r="N34" s="1"/>
      <c r="O34" s="1"/>
      <c r="P34" s="1"/>
      <c r="Q34" s="1"/>
      <c r="R34" s="1"/>
      <c r="S34" s="1"/>
      <c r="T34" s="1"/>
      <c r="U34" s="1"/>
      <c r="V34" s="1"/>
      <c r="W34" s="1"/>
      <c r="X34" s="1"/>
      <c r="Y34" s="1"/>
      <c r="Z34" s="1"/>
    </row>
    <row r="35" ht="15.75" customHeight="1">
      <c r="A35" s="2">
        <f>IFERROR(__xludf.DUMMYFUNCTION("""COMPUTED_VALUE"""),17000.0)</f>
        <v>17000</v>
      </c>
      <c r="B35" s="2">
        <f>IFERROR(__xludf.DUMMYFUNCTION("""COMPUTED_VALUE"""),340.0)</f>
        <v>340</v>
      </c>
      <c r="C35" s="66">
        <f>IFERROR(__xludf.DUMMYFUNCTION("""COMPUTED_VALUE"""),5610000.0)</f>
        <v>5610000</v>
      </c>
      <c r="D35" s="1"/>
      <c r="E35" s="1"/>
      <c r="F35" s="1"/>
      <c r="G35" s="1"/>
      <c r="H35" s="1"/>
      <c r="I35" s="1"/>
      <c r="J35" s="1"/>
      <c r="K35" s="1"/>
      <c r="L35" s="1"/>
      <c r="M35" s="1"/>
      <c r="N35" s="1"/>
      <c r="O35" s="1"/>
      <c r="P35" s="1"/>
      <c r="Q35" s="1"/>
      <c r="R35" s="1"/>
      <c r="S35" s="1"/>
      <c r="T35" s="1"/>
      <c r="U35" s="1"/>
      <c r="V35" s="1"/>
      <c r="W35" s="1"/>
      <c r="X35" s="1"/>
      <c r="Y35" s="1"/>
      <c r="Z35" s="1"/>
    </row>
    <row r="36" ht="15.75" customHeight="1">
      <c r="A36" s="2">
        <f>IFERROR(__xludf.DUMMYFUNCTION("""COMPUTED_VALUE"""),17500.0)</f>
        <v>17500</v>
      </c>
      <c r="B36" s="2">
        <f>IFERROR(__xludf.DUMMYFUNCTION("""COMPUTED_VALUE"""),350.0)</f>
        <v>350</v>
      </c>
      <c r="C36" s="66">
        <f>IFERROR(__xludf.DUMMYFUNCTION("""COMPUTED_VALUE"""),5950000.0)</f>
        <v>5950000</v>
      </c>
      <c r="D36" s="1"/>
      <c r="E36" s="1"/>
      <c r="F36" s="1"/>
      <c r="G36" s="1"/>
      <c r="H36" s="1"/>
      <c r="I36" s="1"/>
      <c r="J36" s="1"/>
      <c r="K36" s="1"/>
      <c r="L36" s="1"/>
      <c r="M36" s="1"/>
      <c r="N36" s="1"/>
      <c r="O36" s="1"/>
      <c r="P36" s="1"/>
      <c r="Q36" s="1"/>
      <c r="R36" s="1"/>
      <c r="S36" s="1"/>
      <c r="T36" s="1"/>
      <c r="U36" s="1"/>
      <c r="V36" s="1"/>
      <c r="W36" s="1"/>
      <c r="X36" s="1"/>
      <c r="Y36" s="1"/>
      <c r="Z36" s="1"/>
    </row>
    <row r="37" ht="15.75" customHeight="1">
      <c r="A37" s="2">
        <f>IFERROR(__xludf.DUMMYFUNCTION("""COMPUTED_VALUE"""),18000.0)</f>
        <v>18000</v>
      </c>
      <c r="B37" s="2">
        <f>IFERROR(__xludf.DUMMYFUNCTION("""COMPUTED_VALUE"""),360.0)</f>
        <v>360</v>
      </c>
      <c r="C37" s="66">
        <f>IFERROR(__xludf.DUMMYFUNCTION("""COMPUTED_VALUE"""),6300000.0)</f>
        <v>6300000</v>
      </c>
      <c r="D37" s="1"/>
      <c r="E37" s="1"/>
      <c r="F37" s="1"/>
      <c r="G37" s="1"/>
      <c r="H37" s="1"/>
      <c r="I37" s="1"/>
      <c r="J37" s="1"/>
      <c r="K37" s="1"/>
      <c r="L37" s="1"/>
      <c r="M37" s="1"/>
      <c r="N37" s="1"/>
      <c r="O37" s="1"/>
      <c r="P37" s="1"/>
      <c r="Q37" s="1"/>
      <c r="R37" s="1"/>
      <c r="S37" s="1"/>
      <c r="T37" s="1"/>
      <c r="U37" s="1"/>
      <c r="V37" s="1"/>
      <c r="W37" s="1"/>
      <c r="X37" s="1"/>
      <c r="Y37" s="1"/>
      <c r="Z37" s="1"/>
    </row>
    <row r="38" ht="15.75" customHeight="1">
      <c r="A38" s="2">
        <f>IFERROR(__xludf.DUMMYFUNCTION("""COMPUTED_VALUE"""),18500.0)</f>
        <v>18500</v>
      </c>
      <c r="B38" s="2">
        <f>IFERROR(__xludf.DUMMYFUNCTION("""COMPUTED_VALUE"""),370.0)</f>
        <v>370</v>
      </c>
      <c r="C38" s="66">
        <f>IFERROR(__xludf.DUMMYFUNCTION("""COMPUTED_VALUE"""),6660000.0)</f>
        <v>6660000</v>
      </c>
      <c r="D38" s="1"/>
      <c r="E38" s="1"/>
      <c r="F38" s="1"/>
      <c r="G38" s="1"/>
      <c r="H38" s="1"/>
      <c r="I38" s="1"/>
      <c r="J38" s="1"/>
      <c r="K38" s="1"/>
      <c r="L38" s="1"/>
      <c r="M38" s="1"/>
      <c r="N38" s="1"/>
      <c r="O38" s="1"/>
      <c r="P38" s="1"/>
      <c r="Q38" s="1"/>
      <c r="R38" s="1"/>
      <c r="S38" s="1"/>
      <c r="T38" s="1"/>
      <c r="U38" s="1"/>
      <c r="V38" s="1"/>
      <c r="W38" s="1"/>
      <c r="X38" s="1"/>
      <c r="Y38" s="1"/>
      <c r="Z38" s="1"/>
    </row>
    <row r="39" ht="15.75" customHeight="1">
      <c r="A39" s="2">
        <f>IFERROR(__xludf.DUMMYFUNCTION("""COMPUTED_VALUE"""),19000.0)</f>
        <v>19000</v>
      </c>
      <c r="B39" s="2">
        <f>IFERROR(__xludf.DUMMYFUNCTION("""COMPUTED_VALUE"""),380.0)</f>
        <v>380</v>
      </c>
      <c r="C39" s="66">
        <f>IFERROR(__xludf.DUMMYFUNCTION("""COMPUTED_VALUE"""),7030000.0)</f>
        <v>7030000</v>
      </c>
      <c r="D39" s="1"/>
      <c r="E39" s="1"/>
      <c r="F39" s="1"/>
      <c r="G39" s="1"/>
      <c r="H39" s="1"/>
      <c r="I39" s="1"/>
      <c r="J39" s="1"/>
      <c r="K39" s="1"/>
      <c r="L39" s="1"/>
      <c r="M39" s="1"/>
      <c r="N39" s="1"/>
      <c r="O39" s="1"/>
      <c r="P39" s="1"/>
      <c r="Q39" s="1"/>
      <c r="R39" s="1"/>
      <c r="S39" s="1"/>
      <c r="T39" s="1"/>
      <c r="U39" s="1"/>
      <c r="V39" s="1"/>
      <c r="W39" s="1"/>
      <c r="X39" s="1"/>
      <c r="Y39" s="1"/>
      <c r="Z39" s="1"/>
    </row>
    <row r="40" ht="15.75" customHeight="1">
      <c r="A40" s="2">
        <f>IFERROR(__xludf.DUMMYFUNCTION("""COMPUTED_VALUE"""),19500.0)</f>
        <v>19500</v>
      </c>
      <c r="B40" s="2">
        <f>IFERROR(__xludf.DUMMYFUNCTION("""COMPUTED_VALUE"""),390.0)</f>
        <v>390</v>
      </c>
      <c r="C40" s="66">
        <f>IFERROR(__xludf.DUMMYFUNCTION("""COMPUTED_VALUE"""),7410000.0)</f>
        <v>7410000</v>
      </c>
      <c r="D40" s="1"/>
      <c r="E40" s="1"/>
      <c r="F40" s="1"/>
      <c r="G40" s="1"/>
      <c r="H40" s="1"/>
      <c r="I40" s="1"/>
      <c r="J40" s="1"/>
      <c r="K40" s="1"/>
      <c r="L40" s="1"/>
      <c r="M40" s="1"/>
      <c r="N40" s="1"/>
      <c r="O40" s="1"/>
      <c r="P40" s="1"/>
      <c r="Q40" s="1"/>
      <c r="R40" s="1"/>
      <c r="S40" s="1"/>
      <c r="T40" s="1"/>
      <c r="U40" s="1"/>
      <c r="V40" s="1"/>
      <c r="W40" s="1"/>
      <c r="X40" s="1"/>
      <c r="Y40" s="1"/>
      <c r="Z40" s="1"/>
    </row>
    <row r="41" ht="15.75" customHeight="1">
      <c r="A41" s="2">
        <f>IFERROR(__xludf.DUMMYFUNCTION("""COMPUTED_VALUE"""),20000.0)</f>
        <v>20000</v>
      </c>
      <c r="B41" s="2">
        <f>IFERROR(__xludf.DUMMYFUNCTION("""COMPUTED_VALUE"""),400.0)</f>
        <v>400</v>
      </c>
      <c r="C41" s="66">
        <f>IFERROR(__xludf.DUMMYFUNCTION("""COMPUTED_VALUE"""),7800000.0)</f>
        <v>7800000</v>
      </c>
      <c r="D41" s="1"/>
      <c r="E41" s="1"/>
      <c r="F41" s="1"/>
      <c r="G41" s="1"/>
      <c r="H41" s="1"/>
      <c r="I41" s="1"/>
      <c r="J41" s="1"/>
      <c r="K41" s="1"/>
      <c r="L41" s="1"/>
      <c r="M41" s="1"/>
      <c r="N41" s="1"/>
      <c r="O41" s="1"/>
      <c r="P41" s="1"/>
      <c r="Q41" s="1"/>
      <c r="R41" s="1"/>
      <c r="S41" s="1"/>
      <c r="T41" s="1"/>
      <c r="U41" s="1"/>
      <c r="V41" s="1"/>
      <c r="W41" s="1"/>
      <c r="X41" s="1"/>
      <c r="Y41" s="1"/>
      <c r="Z41" s="1"/>
    </row>
    <row r="42" ht="15.75" customHeight="1">
      <c r="A42" s="2">
        <f>IFERROR(__xludf.DUMMYFUNCTION("""COMPUTED_VALUE"""),20500.0)</f>
        <v>20500</v>
      </c>
      <c r="B42" s="2">
        <f>IFERROR(__xludf.DUMMYFUNCTION("""COMPUTED_VALUE"""),410.0)</f>
        <v>410</v>
      </c>
      <c r="C42" s="66">
        <f>IFERROR(__xludf.DUMMYFUNCTION("""COMPUTED_VALUE"""),8200000.0)</f>
        <v>8200000</v>
      </c>
      <c r="D42" s="1"/>
      <c r="E42" s="1"/>
      <c r="F42" s="1"/>
      <c r="G42" s="1"/>
      <c r="H42" s="1"/>
      <c r="I42" s="1"/>
      <c r="J42" s="1"/>
      <c r="K42" s="1"/>
      <c r="L42" s="1"/>
      <c r="M42" s="1"/>
      <c r="N42" s="1"/>
      <c r="O42" s="1"/>
      <c r="P42" s="1"/>
      <c r="Q42" s="1"/>
      <c r="R42" s="1"/>
      <c r="S42" s="1"/>
      <c r="T42" s="1"/>
      <c r="U42" s="1"/>
      <c r="V42" s="1"/>
      <c r="W42" s="1"/>
      <c r="X42" s="1"/>
      <c r="Y42" s="1"/>
      <c r="Z42" s="1"/>
    </row>
    <row r="43" ht="15.75" customHeight="1">
      <c r="A43" s="2">
        <f>IFERROR(__xludf.DUMMYFUNCTION("""COMPUTED_VALUE"""),21000.0)</f>
        <v>21000</v>
      </c>
      <c r="B43" s="2">
        <f>IFERROR(__xludf.DUMMYFUNCTION("""COMPUTED_VALUE"""),420.0)</f>
        <v>420</v>
      </c>
      <c r="C43" s="66">
        <f>IFERROR(__xludf.DUMMYFUNCTION("""COMPUTED_VALUE"""),8610000.0)</f>
        <v>8610000</v>
      </c>
      <c r="D43" s="1"/>
      <c r="E43" s="1"/>
      <c r="F43" s="1"/>
      <c r="G43" s="1"/>
      <c r="H43" s="1"/>
      <c r="I43" s="1"/>
      <c r="J43" s="1"/>
      <c r="K43" s="1"/>
      <c r="L43" s="1"/>
      <c r="M43" s="1"/>
      <c r="N43" s="1"/>
      <c r="O43" s="1"/>
      <c r="P43" s="1"/>
      <c r="Q43" s="1"/>
      <c r="R43" s="1"/>
      <c r="S43" s="1"/>
      <c r="T43" s="1"/>
      <c r="U43" s="1"/>
      <c r="V43" s="1"/>
      <c r="W43" s="1"/>
      <c r="X43" s="1"/>
      <c r="Y43" s="1"/>
      <c r="Z43" s="1"/>
    </row>
    <row r="44" ht="15.75" customHeight="1">
      <c r="A44" s="2">
        <f>IFERROR(__xludf.DUMMYFUNCTION("""COMPUTED_VALUE"""),21500.0)</f>
        <v>21500</v>
      </c>
      <c r="B44" s="2">
        <f>IFERROR(__xludf.DUMMYFUNCTION("""COMPUTED_VALUE"""),430.0)</f>
        <v>430</v>
      </c>
      <c r="C44" s="66">
        <f>IFERROR(__xludf.DUMMYFUNCTION("""COMPUTED_VALUE"""),9030000.0)</f>
        <v>9030000</v>
      </c>
      <c r="D44" s="1"/>
      <c r="E44" s="1"/>
      <c r="F44" s="1"/>
      <c r="G44" s="1"/>
      <c r="H44" s="1"/>
      <c r="I44" s="1"/>
      <c r="J44" s="1"/>
      <c r="K44" s="1"/>
      <c r="L44" s="1"/>
      <c r="M44" s="1"/>
      <c r="N44" s="1"/>
      <c r="O44" s="1"/>
      <c r="P44" s="1"/>
      <c r="Q44" s="1"/>
      <c r="R44" s="1"/>
      <c r="S44" s="1"/>
      <c r="T44" s="1"/>
      <c r="U44" s="1"/>
      <c r="V44" s="1"/>
      <c r="W44" s="1"/>
      <c r="X44" s="1"/>
      <c r="Y44" s="1"/>
      <c r="Z44" s="1"/>
    </row>
    <row r="45" ht="15.75" customHeight="1">
      <c r="A45" s="2">
        <f>IFERROR(__xludf.DUMMYFUNCTION("""COMPUTED_VALUE"""),22000.0)</f>
        <v>22000</v>
      </c>
      <c r="B45" s="2">
        <f>IFERROR(__xludf.DUMMYFUNCTION("""COMPUTED_VALUE"""),440.0)</f>
        <v>440</v>
      </c>
      <c r="C45" s="66">
        <f>IFERROR(__xludf.DUMMYFUNCTION("""COMPUTED_VALUE"""),9460000.0)</f>
        <v>9460000</v>
      </c>
      <c r="D45" s="1"/>
      <c r="E45" s="1"/>
      <c r="F45" s="1"/>
      <c r="G45" s="1"/>
      <c r="H45" s="1"/>
      <c r="I45" s="1"/>
      <c r="J45" s="1"/>
      <c r="K45" s="1"/>
      <c r="L45" s="1"/>
      <c r="M45" s="1"/>
      <c r="N45" s="1"/>
      <c r="O45" s="1"/>
      <c r="P45" s="1"/>
      <c r="Q45" s="1"/>
      <c r="R45" s="1"/>
      <c r="S45" s="1"/>
      <c r="T45" s="1"/>
      <c r="U45" s="1"/>
      <c r="V45" s="1"/>
      <c r="W45" s="1"/>
      <c r="X45" s="1"/>
      <c r="Y45" s="1"/>
      <c r="Z45" s="1"/>
    </row>
    <row r="46" ht="15.75" customHeight="1">
      <c r="A46" s="2">
        <f>IFERROR(__xludf.DUMMYFUNCTION("""COMPUTED_VALUE"""),22500.0)</f>
        <v>22500</v>
      </c>
      <c r="B46" s="2">
        <f>IFERROR(__xludf.DUMMYFUNCTION("""COMPUTED_VALUE"""),450.0)</f>
        <v>450</v>
      </c>
      <c r="C46" s="66">
        <f>IFERROR(__xludf.DUMMYFUNCTION("""COMPUTED_VALUE"""),9900000.0)</f>
        <v>9900000</v>
      </c>
      <c r="D46" s="1"/>
      <c r="E46" s="1"/>
      <c r="F46" s="1"/>
      <c r="G46" s="1"/>
      <c r="H46" s="1"/>
      <c r="I46" s="1"/>
      <c r="J46" s="1"/>
      <c r="K46" s="1"/>
      <c r="L46" s="1"/>
      <c r="M46" s="1"/>
      <c r="N46" s="1"/>
      <c r="O46" s="1"/>
      <c r="P46" s="1"/>
      <c r="Q46" s="1"/>
      <c r="R46" s="1"/>
      <c r="S46" s="1"/>
      <c r="T46" s="1"/>
      <c r="U46" s="1"/>
      <c r="V46" s="1"/>
      <c r="W46" s="1"/>
      <c r="X46" s="1"/>
      <c r="Y46" s="1"/>
      <c r="Z46" s="1"/>
    </row>
    <row r="47" ht="15.75" customHeight="1">
      <c r="A47" s="2">
        <f>IFERROR(__xludf.DUMMYFUNCTION("""COMPUTED_VALUE"""),23000.0)</f>
        <v>23000</v>
      </c>
      <c r="B47" s="2">
        <f>IFERROR(__xludf.DUMMYFUNCTION("""COMPUTED_VALUE"""),460.0)</f>
        <v>460</v>
      </c>
      <c r="C47" s="66">
        <f>IFERROR(__xludf.DUMMYFUNCTION("""COMPUTED_VALUE"""),1.035E7)</f>
        <v>10350000</v>
      </c>
      <c r="D47" s="1"/>
      <c r="E47" s="1"/>
      <c r="F47" s="1"/>
      <c r="G47" s="1"/>
      <c r="H47" s="1"/>
      <c r="I47" s="1"/>
      <c r="J47" s="1"/>
      <c r="K47" s="1"/>
      <c r="L47" s="1"/>
      <c r="M47" s="1"/>
      <c r="N47" s="1"/>
      <c r="O47" s="1"/>
      <c r="P47" s="1"/>
      <c r="Q47" s="1"/>
      <c r="R47" s="1"/>
      <c r="S47" s="1"/>
      <c r="T47" s="1"/>
      <c r="U47" s="1"/>
      <c r="V47" s="1"/>
      <c r="W47" s="1"/>
      <c r="X47" s="1"/>
      <c r="Y47" s="1"/>
      <c r="Z47" s="1"/>
    </row>
    <row r="48" ht="15.75" customHeight="1">
      <c r="A48" s="2">
        <f>IFERROR(__xludf.DUMMYFUNCTION("""COMPUTED_VALUE"""),23500.0)</f>
        <v>23500</v>
      </c>
      <c r="B48" s="2">
        <f>IFERROR(__xludf.DUMMYFUNCTION("""COMPUTED_VALUE"""),470.0)</f>
        <v>470</v>
      </c>
      <c r="C48" s="66">
        <f>IFERROR(__xludf.DUMMYFUNCTION("""COMPUTED_VALUE"""),1.081E7)</f>
        <v>10810000</v>
      </c>
      <c r="D48" s="1"/>
      <c r="E48" s="1"/>
      <c r="F48" s="1"/>
      <c r="G48" s="1"/>
      <c r="H48" s="1"/>
      <c r="I48" s="1"/>
      <c r="J48" s="1"/>
      <c r="K48" s="1"/>
      <c r="L48" s="1"/>
      <c r="M48" s="1"/>
      <c r="N48" s="1"/>
      <c r="O48" s="1"/>
      <c r="P48" s="1"/>
      <c r="Q48" s="1"/>
      <c r="R48" s="1"/>
      <c r="S48" s="1"/>
      <c r="T48" s="1"/>
      <c r="U48" s="1"/>
      <c r="V48" s="1"/>
      <c r="W48" s="1"/>
      <c r="X48" s="1"/>
      <c r="Y48" s="1"/>
      <c r="Z48" s="1"/>
    </row>
    <row r="49" ht="15.75" customHeight="1">
      <c r="A49" s="2">
        <f>IFERROR(__xludf.DUMMYFUNCTION("""COMPUTED_VALUE"""),24000.0)</f>
        <v>24000</v>
      </c>
      <c r="B49" s="2">
        <f>IFERROR(__xludf.DUMMYFUNCTION("""COMPUTED_VALUE"""),480.0)</f>
        <v>480</v>
      </c>
      <c r="C49" s="66">
        <f>IFERROR(__xludf.DUMMYFUNCTION("""COMPUTED_VALUE"""),1.128E7)</f>
        <v>11280000</v>
      </c>
      <c r="D49" s="1"/>
      <c r="E49" s="1"/>
      <c r="F49" s="1"/>
      <c r="G49" s="1"/>
      <c r="H49" s="1"/>
      <c r="I49" s="1"/>
      <c r="J49" s="1"/>
      <c r="K49" s="1"/>
      <c r="L49" s="1"/>
      <c r="M49" s="1"/>
      <c r="N49" s="1"/>
      <c r="O49" s="1"/>
      <c r="P49" s="1"/>
      <c r="Q49" s="1"/>
      <c r="R49" s="1"/>
      <c r="S49" s="1"/>
      <c r="T49" s="1"/>
      <c r="U49" s="1"/>
      <c r="V49" s="1"/>
      <c r="W49" s="1"/>
      <c r="X49" s="1"/>
      <c r="Y49" s="1"/>
      <c r="Z49" s="1"/>
    </row>
    <row r="50" ht="15.75" customHeight="1">
      <c r="A50" s="2">
        <f>IFERROR(__xludf.DUMMYFUNCTION("""COMPUTED_VALUE"""),24500.0)</f>
        <v>24500</v>
      </c>
      <c r="B50" s="2">
        <f>IFERROR(__xludf.DUMMYFUNCTION("""COMPUTED_VALUE"""),490.0)</f>
        <v>490</v>
      </c>
      <c r="C50" s="66">
        <f>IFERROR(__xludf.DUMMYFUNCTION("""COMPUTED_VALUE"""),1.176E7)</f>
        <v>11760000</v>
      </c>
      <c r="D50" s="1"/>
      <c r="E50" s="1"/>
      <c r="F50" s="1"/>
      <c r="G50" s="1"/>
      <c r="H50" s="1"/>
      <c r="I50" s="1"/>
      <c r="J50" s="1"/>
      <c r="K50" s="1"/>
      <c r="L50" s="1"/>
      <c r="M50" s="1"/>
      <c r="N50" s="1"/>
      <c r="O50" s="1"/>
      <c r="P50" s="1"/>
      <c r="Q50" s="1"/>
      <c r="R50" s="1"/>
      <c r="S50" s="1"/>
      <c r="T50" s="1"/>
      <c r="U50" s="1"/>
      <c r="V50" s="1"/>
      <c r="W50" s="1"/>
      <c r="X50" s="1"/>
      <c r="Y50" s="1"/>
      <c r="Z50" s="1"/>
    </row>
    <row r="51" ht="15.75" customHeight="1">
      <c r="A51" s="2">
        <f>IFERROR(__xludf.DUMMYFUNCTION("""COMPUTED_VALUE"""),25000.0)</f>
        <v>25000</v>
      </c>
      <c r="B51" s="2">
        <f>IFERROR(__xludf.DUMMYFUNCTION("""COMPUTED_VALUE"""),500.0)</f>
        <v>500</v>
      </c>
      <c r="C51" s="66">
        <f>IFERROR(__xludf.DUMMYFUNCTION("""COMPUTED_VALUE"""),1.225E7)</f>
        <v>12250000</v>
      </c>
      <c r="D51" s="1"/>
      <c r="E51" s="1"/>
      <c r="F51" s="1"/>
      <c r="G51" s="1"/>
      <c r="H51" s="1"/>
      <c r="I51" s="1"/>
      <c r="J51" s="1"/>
      <c r="K51" s="1"/>
      <c r="L51" s="1"/>
      <c r="M51" s="1"/>
      <c r="N51" s="1"/>
      <c r="O51" s="1"/>
      <c r="P51" s="1"/>
      <c r="Q51" s="1"/>
      <c r="R51" s="1"/>
      <c r="S51" s="1"/>
      <c r="T51" s="1"/>
      <c r="U51" s="1"/>
      <c r="V51" s="1"/>
      <c r="W51" s="1"/>
      <c r="X51" s="1"/>
      <c r="Y51" s="1"/>
      <c r="Z51" s="1"/>
    </row>
    <row r="52" ht="15.75" customHeight="1">
      <c r="A52" s="2">
        <f>IFERROR(__xludf.DUMMYFUNCTION("""COMPUTED_VALUE"""),25500.0)</f>
        <v>25500</v>
      </c>
      <c r="B52" s="2">
        <f>IFERROR(__xludf.DUMMYFUNCTION("""COMPUTED_VALUE"""),510.0)</f>
        <v>510</v>
      </c>
      <c r="C52" s="66">
        <f>IFERROR(__xludf.DUMMYFUNCTION("""COMPUTED_VALUE"""),1.275E7)</f>
        <v>12750000</v>
      </c>
      <c r="D52" s="1"/>
      <c r="E52" s="1"/>
      <c r="F52" s="1"/>
      <c r="G52" s="1"/>
      <c r="H52" s="1"/>
      <c r="I52" s="1"/>
      <c r="J52" s="1"/>
      <c r="K52" s="1"/>
      <c r="L52" s="1"/>
      <c r="M52" s="1"/>
      <c r="N52" s="1"/>
      <c r="O52" s="1"/>
      <c r="P52" s="1"/>
      <c r="Q52" s="1"/>
      <c r="R52" s="1"/>
      <c r="S52" s="1"/>
      <c r="T52" s="1"/>
      <c r="U52" s="1"/>
      <c r="V52" s="1"/>
      <c r="W52" s="1"/>
      <c r="X52" s="1"/>
      <c r="Y52" s="1"/>
      <c r="Z52" s="1"/>
    </row>
    <row r="53" ht="15.75" customHeight="1">
      <c r="A53" s="2">
        <f>IFERROR(__xludf.DUMMYFUNCTION("""COMPUTED_VALUE"""),26000.0)</f>
        <v>26000</v>
      </c>
      <c r="B53" s="2">
        <f>IFERROR(__xludf.DUMMYFUNCTION("""COMPUTED_VALUE"""),520.0)</f>
        <v>520</v>
      </c>
      <c r="C53" s="66">
        <f>IFERROR(__xludf.DUMMYFUNCTION("""COMPUTED_VALUE"""),1.326E7)</f>
        <v>13260000</v>
      </c>
      <c r="D53" s="1"/>
      <c r="E53" s="1"/>
      <c r="F53" s="1"/>
      <c r="G53" s="1"/>
      <c r="H53" s="1"/>
      <c r="I53" s="1"/>
      <c r="J53" s="1"/>
      <c r="K53" s="1"/>
      <c r="L53" s="1"/>
      <c r="M53" s="1"/>
      <c r="N53" s="1"/>
      <c r="O53" s="1"/>
      <c r="P53" s="1"/>
      <c r="Q53" s="1"/>
      <c r="R53" s="1"/>
      <c r="S53" s="1"/>
      <c r="T53" s="1"/>
      <c r="U53" s="1"/>
      <c r="V53" s="1"/>
      <c r="W53" s="1"/>
      <c r="X53" s="1"/>
      <c r="Y53" s="1"/>
      <c r="Z53" s="1"/>
    </row>
    <row r="54" ht="15.75" customHeight="1">
      <c r="A54" s="2">
        <f>IFERROR(__xludf.DUMMYFUNCTION("""COMPUTED_VALUE"""),26500.0)</f>
        <v>26500</v>
      </c>
      <c r="B54" s="2">
        <f>IFERROR(__xludf.DUMMYFUNCTION("""COMPUTED_VALUE"""),530.0)</f>
        <v>530</v>
      </c>
      <c r="C54" s="66">
        <f>IFERROR(__xludf.DUMMYFUNCTION("""COMPUTED_VALUE"""),1.378E7)</f>
        <v>13780000</v>
      </c>
      <c r="D54" s="1"/>
      <c r="E54" s="1"/>
      <c r="F54" s="1"/>
      <c r="G54" s="1"/>
      <c r="H54" s="1"/>
      <c r="I54" s="1"/>
      <c r="J54" s="1"/>
      <c r="K54" s="1"/>
      <c r="L54" s="1"/>
      <c r="M54" s="1"/>
      <c r="N54" s="1"/>
      <c r="O54" s="1"/>
      <c r="P54" s="1"/>
      <c r="Q54" s="1"/>
      <c r="R54" s="1"/>
      <c r="S54" s="1"/>
      <c r="T54" s="1"/>
      <c r="U54" s="1"/>
      <c r="V54" s="1"/>
      <c r="W54" s="1"/>
      <c r="X54" s="1"/>
      <c r="Y54" s="1"/>
      <c r="Z54" s="1"/>
    </row>
    <row r="55" ht="15.75" customHeight="1">
      <c r="A55" s="2">
        <f>IFERROR(__xludf.DUMMYFUNCTION("""COMPUTED_VALUE"""),27000.0)</f>
        <v>27000</v>
      </c>
      <c r="B55" s="2">
        <f>IFERROR(__xludf.DUMMYFUNCTION("""COMPUTED_VALUE"""),540.0)</f>
        <v>540</v>
      </c>
      <c r="C55" s="66">
        <f>IFERROR(__xludf.DUMMYFUNCTION("""COMPUTED_VALUE"""),1.431E7)</f>
        <v>14310000</v>
      </c>
      <c r="D55" s="1"/>
      <c r="E55" s="1"/>
      <c r="F55" s="1"/>
      <c r="G55" s="1"/>
      <c r="H55" s="1"/>
      <c r="I55" s="1"/>
      <c r="J55" s="1"/>
      <c r="K55" s="1"/>
      <c r="L55" s="1"/>
      <c r="M55" s="1"/>
      <c r="N55" s="1"/>
      <c r="O55" s="1"/>
      <c r="P55" s="1"/>
      <c r="Q55" s="1"/>
      <c r="R55" s="1"/>
      <c r="S55" s="1"/>
      <c r="T55" s="1"/>
      <c r="U55" s="1"/>
      <c r="V55" s="1"/>
      <c r="W55" s="1"/>
      <c r="X55" s="1"/>
      <c r="Y55" s="1"/>
      <c r="Z55" s="1"/>
    </row>
    <row r="56" ht="15.75" customHeight="1">
      <c r="A56" s="2">
        <f>IFERROR(__xludf.DUMMYFUNCTION("""COMPUTED_VALUE"""),27500.0)</f>
        <v>27500</v>
      </c>
      <c r="B56" s="2">
        <f>IFERROR(__xludf.DUMMYFUNCTION("""COMPUTED_VALUE"""),550.0)</f>
        <v>550</v>
      </c>
      <c r="C56" s="66">
        <f>IFERROR(__xludf.DUMMYFUNCTION("""COMPUTED_VALUE"""),1.485E7)</f>
        <v>14850000</v>
      </c>
      <c r="D56" s="1"/>
      <c r="E56" s="1"/>
      <c r="F56" s="1"/>
      <c r="G56" s="1"/>
      <c r="H56" s="1"/>
      <c r="I56" s="1"/>
      <c r="J56" s="1"/>
      <c r="K56" s="1"/>
      <c r="L56" s="1"/>
      <c r="M56" s="1"/>
      <c r="N56" s="1"/>
      <c r="O56" s="1"/>
      <c r="P56" s="1"/>
      <c r="Q56" s="1"/>
      <c r="R56" s="1"/>
      <c r="S56" s="1"/>
      <c r="T56" s="1"/>
      <c r="U56" s="1"/>
      <c r="V56" s="1"/>
      <c r="W56" s="1"/>
      <c r="X56" s="1"/>
      <c r="Y56" s="1"/>
      <c r="Z56" s="1"/>
    </row>
    <row r="57" ht="15.75" customHeight="1">
      <c r="A57" s="2">
        <f>IFERROR(__xludf.DUMMYFUNCTION("""COMPUTED_VALUE"""),28000.0)</f>
        <v>28000</v>
      </c>
      <c r="B57" s="2">
        <f>IFERROR(__xludf.DUMMYFUNCTION("""COMPUTED_VALUE"""),560.0)</f>
        <v>560</v>
      </c>
      <c r="C57" s="66">
        <f>IFERROR(__xludf.DUMMYFUNCTION("""COMPUTED_VALUE"""),1.54E7)</f>
        <v>15400000</v>
      </c>
      <c r="D57" s="1"/>
      <c r="E57" s="1"/>
      <c r="F57" s="1"/>
      <c r="G57" s="1"/>
      <c r="H57" s="1"/>
      <c r="I57" s="1"/>
      <c r="J57" s="1"/>
      <c r="K57" s="1"/>
      <c r="L57" s="1"/>
      <c r="M57" s="1"/>
      <c r="N57" s="1"/>
      <c r="O57" s="1"/>
      <c r="P57" s="1"/>
      <c r="Q57" s="1"/>
      <c r="R57" s="1"/>
      <c r="S57" s="1"/>
      <c r="T57" s="1"/>
      <c r="U57" s="1"/>
      <c r="V57" s="1"/>
      <c r="W57" s="1"/>
      <c r="X57" s="1"/>
      <c r="Y57" s="1"/>
      <c r="Z57" s="1"/>
    </row>
    <row r="58" ht="15.75" customHeight="1">
      <c r="A58" s="2">
        <f>IFERROR(__xludf.DUMMYFUNCTION("""COMPUTED_VALUE"""),28500.0)</f>
        <v>28500</v>
      </c>
      <c r="B58" s="2">
        <f>IFERROR(__xludf.DUMMYFUNCTION("""COMPUTED_VALUE"""),570.0)</f>
        <v>570</v>
      </c>
      <c r="C58" s="66">
        <f>IFERROR(__xludf.DUMMYFUNCTION("""COMPUTED_VALUE"""),1.596E7)</f>
        <v>15960000</v>
      </c>
      <c r="D58" s="1"/>
      <c r="E58" s="1"/>
      <c r="F58" s="1"/>
      <c r="G58" s="1"/>
      <c r="H58" s="1"/>
      <c r="I58" s="1"/>
      <c r="J58" s="1"/>
      <c r="K58" s="1"/>
      <c r="L58" s="1"/>
      <c r="M58" s="1"/>
      <c r="N58" s="1"/>
      <c r="O58" s="1"/>
      <c r="P58" s="1"/>
      <c r="Q58" s="1"/>
      <c r="R58" s="1"/>
      <c r="S58" s="1"/>
      <c r="T58" s="1"/>
      <c r="U58" s="1"/>
      <c r="V58" s="1"/>
      <c r="W58" s="1"/>
      <c r="X58" s="1"/>
      <c r="Y58" s="1"/>
      <c r="Z58" s="1"/>
    </row>
    <row r="59" ht="15.75" customHeight="1">
      <c r="A59" s="2">
        <f>IFERROR(__xludf.DUMMYFUNCTION("""COMPUTED_VALUE"""),29000.0)</f>
        <v>29000</v>
      </c>
      <c r="B59" s="2">
        <f>IFERROR(__xludf.DUMMYFUNCTION("""COMPUTED_VALUE"""),580.0)</f>
        <v>580</v>
      </c>
      <c r="C59" s="66">
        <f>IFERROR(__xludf.DUMMYFUNCTION("""COMPUTED_VALUE"""),1.653E7)</f>
        <v>16530000</v>
      </c>
      <c r="D59" s="1"/>
      <c r="E59" s="1"/>
      <c r="F59" s="1"/>
      <c r="G59" s="1"/>
      <c r="H59" s="1"/>
      <c r="I59" s="1"/>
      <c r="J59" s="1"/>
      <c r="K59" s="1"/>
      <c r="L59" s="1"/>
      <c r="M59" s="1"/>
      <c r="N59" s="1"/>
      <c r="O59" s="1"/>
      <c r="P59" s="1"/>
      <c r="Q59" s="1"/>
      <c r="R59" s="1"/>
      <c r="S59" s="1"/>
      <c r="T59" s="1"/>
      <c r="U59" s="1"/>
      <c r="V59" s="1"/>
      <c r="W59" s="1"/>
      <c r="X59" s="1"/>
      <c r="Y59" s="1"/>
      <c r="Z59" s="1"/>
    </row>
    <row r="60" ht="15.75" customHeight="1">
      <c r="A60" s="2">
        <f>IFERROR(__xludf.DUMMYFUNCTION("""COMPUTED_VALUE"""),29500.0)</f>
        <v>29500</v>
      </c>
      <c r="B60" s="2">
        <f>IFERROR(__xludf.DUMMYFUNCTION("""COMPUTED_VALUE"""),590.0)</f>
        <v>590</v>
      </c>
      <c r="C60" s="66">
        <f>IFERROR(__xludf.DUMMYFUNCTION("""COMPUTED_VALUE"""),1.711E7)</f>
        <v>17110000</v>
      </c>
      <c r="D60" s="1"/>
      <c r="E60" s="1"/>
      <c r="F60" s="1"/>
      <c r="G60" s="1"/>
      <c r="H60" s="1"/>
      <c r="I60" s="1"/>
      <c r="J60" s="1"/>
      <c r="K60" s="1"/>
      <c r="L60" s="1"/>
      <c r="M60" s="1"/>
      <c r="N60" s="1"/>
      <c r="O60" s="1"/>
      <c r="P60" s="1"/>
      <c r="Q60" s="1"/>
      <c r="R60" s="1"/>
      <c r="S60" s="1"/>
      <c r="T60" s="1"/>
      <c r="U60" s="1"/>
      <c r="V60" s="1"/>
      <c r="W60" s="1"/>
      <c r="X60" s="1"/>
      <c r="Y60" s="1"/>
      <c r="Z60" s="1"/>
    </row>
    <row r="61" ht="15.75" customHeight="1">
      <c r="A61" s="2">
        <f>IFERROR(__xludf.DUMMYFUNCTION("""COMPUTED_VALUE"""),30000.0)</f>
        <v>30000</v>
      </c>
      <c r="B61" s="2">
        <f>IFERROR(__xludf.DUMMYFUNCTION("""COMPUTED_VALUE"""),600.0)</f>
        <v>600</v>
      </c>
      <c r="C61" s="66">
        <f>IFERROR(__xludf.DUMMYFUNCTION("""COMPUTED_VALUE"""),1.77E7)</f>
        <v>17700000</v>
      </c>
      <c r="D61" s="1"/>
      <c r="E61" s="1"/>
      <c r="F61" s="1"/>
      <c r="G61" s="1"/>
      <c r="H61" s="1"/>
      <c r="I61" s="1"/>
      <c r="J61" s="1"/>
      <c r="K61" s="1"/>
      <c r="L61" s="1"/>
      <c r="M61" s="1"/>
      <c r="N61" s="1"/>
      <c r="O61" s="1"/>
      <c r="P61" s="1"/>
      <c r="Q61" s="1"/>
      <c r="R61" s="1"/>
      <c r="S61" s="1"/>
      <c r="T61" s="1"/>
      <c r="U61" s="1"/>
      <c r="V61" s="1"/>
      <c r="W61" s="1"/>
      <c r="X61" s="1"/>
      <c r="Y61" s="1"/>
      <c r="Z61" s="1"/>
    </row>
    <row r="62" ht="15.75" customHeight="1">
      <c r="A62" s="2">
        <f>IFERROR(__xludf.DUMMYFUNCTION("""COMPUTED_VALUE"""),30500.0)</f>
        <v>30500</v>
      </c>
      <c r="B62" s="2">
        <f>IFERROR(__xludf.DUMMYFUNCTION("""COMPUTED_VALUE"""),610.0)</f>
        <v>610</v>
      </c>
      <c r="C62" s="66">
        <f>IFERROR(__xludf.DUMMYFUNCTION("""COMPUTED_VALUE"""),1.83E7)</f>
        <v>18300000</v>
      </c>
      <c r="D62" s="1"/>
      <c r="E62" s="1"/>
      <c r="F62" s="1"/>
      <c r="G62" s="1"/>
      <c r="H62" s="1"/>
      <c r="I62" s="1"/>
      <c r="J62" s="1"/>
      <c r="K62" s="1"/>
      <c r="L62" s="1"/>
      <c r="M62" s="1"/>
      <c r="N62" s="1"/>
      <c r="O62" s="1"/>
      <c r="P62" s="1"/>
      <c r="Q62" s="1"/>
      <c r="R62" s="1"/>
      <c r="S62" s="1"/>
      <c r="T62" s="1"/>
      <c r="U62" s="1"/>
      <c r="V62" s="1"/>
      <c r="W62" s="1"/>
      <c r="X62" s="1"/>
      <c r="Y62" s="1"/>
      <c r="Z62" s="1"/>
    </row>
    <row r="63" ht="15.75" customHeight="1">
      <c r="A63" s="2">
        <f>IFERROR(__xludf.DUMMYFUNCTION("""COMPUTED_VALUE"""),31000.0)</f>
        <v>31000</v>
      </c>
      <c r="B63" s="2">
        <f>IFERROR(__xludf.DUMMYFUNCTION("""COMPUTED_VALUE"""),620.0)</f>
        <v>620</v>
      </c>
      <c r="C63" s="66">
        <f>IFERROR(__xludf.DUMMYFUNCTION("""COMPUTED_VALUE"""),1.891E7)</f>
        <v>18910000</v>
      </c>
      <c r="D63" s="1"/>
      <c r="E63" s="1"/>
      <c r="F63" s="1"/>
      <c r="G63" s="1"/>
      <c r="H63" s="1"/>
      <c r="I63" s="1"/>
      <c r="J63" s="1"/>
      <c r="K63" s="1"/>
      <c r="L63" s="1"/>
      <c r="M63" s="1"/>
      <c r="N63" s="1"/>
      <c r="O63" s="1"/>
      <c r="P63" s="1"/>
      <c r="Q63" s="1"/>
      <c r="R63" s="1"/>
      <c r="S63" s="1"/>
      <c r="T63" s="1"/>
      <c r="U63" s="1"/>
      <c r="V63" s="1"/>
      <c r="W63" s="1"/>
      <c r="X63" s="1"/>
      <c r="Y63" s="1"/>
      <c r="Z63" s="1"/>
    </row>
    <row r="64" ht="15.75" customHeight="1">
      <c r="A64" s="2">
        <f>IFERROR(__xludf.DUMMYFUNCTION("""COMPUTED_VALUE"""),31500.0)</f>
        <v>31500</v>
      </c>
      <c r="B64" s="2">
        <f>IFERROR(__xludf.DUMMYFUNCTION("""COMPUTED_VALUE"""),630.0)</f>
        <v>630</v>
      </c>
      <c r="C64" s="66">
        <f>IFERROR(__xludf.DUMMYFUNCTION("""COMPUTED_VALUE"""),1.953E7)</f>
        <v>19530000</v>
      </c>
      <c r="D64" s="1"/>
      <c r="E64" s="1"/>
      <c r="F64" s="1"/>
      <c r="G64" s="1"/>
      <c r="H64" s="1"/>
      <c r="I64" s="1"/>
      <c r="J64" s="1"/>
      <c r="K64" s="1"/>
      <c r="L64" s="1"/>
      <c r="M64" s="1"/>
      <c r="N64" s="1"/>
      <c r="O64" s="1"/>
      <c r="P64" s="1"/>
      <c r="Q64" s="1"/>
      <c r="R64" s="1"/>
      <c r="S64" s="1"/>
      <c r="T64" s="1"/>
      <c r="U64" s="1"/>
      <c r="V64" s="1"/>
      <c r="W64" s="1"/>
      <c r="X64" s="1"/>
      <c r="Y64" s="1"/>
      <c r="Z64" s="1"/>
    </row>
    <row r="65" ht="15.75" customHeight="1">
      <c r="A65" s="2">
        <f>IFERROR(__xludf.DUMMYFUNCTION("""COMPUTED_VALUE"""),32000.0)</f>
        <v>32000</v>
      </c>
      <c r="B65" s="2">
        <f>IFERROR(__xludf.DUMMYFUNCTION("""COMPUTED_VALUE"""),640.0)</f>
        <v>640</v>
      </c>
      <c r="C65" s="66">
        <f>IFERROR(__xludf.DUMMYFUNCTION("""COMPUTED_VALUE"""),2.016E7)</f>
        <v>20160000</v>
      </c>
      <c r="D65" s="1"/>
      <c r="E65" s="1"/>
      <c r="F65" s="1"/>
      <c r="G65" s="1"/>
      <c r="H65" s="1"/>
      <c r="I65" s="1"/>
      <c r="J65" s="1"/>
      <c r="K65" s="1"/>
      <c r="L65" s="1"/>
      <c r="M65" s="1"/>
      <c r="N65" s="1"/>
      <c r="O65" s="1"/>
      <c r="P65" s="1"/>
      <c r="Q65" s="1"/>
      <c r="R65" s="1"/>
      <c r="S65" s="1"/>
      <c r="T65" s="1"/>
      <c r="U65" s="1"/>
      <c r="V65" s="1"/>
      <c r="W65" s="1"/>
      <c r="X65" s="1"/>
      <c r="Y65" s="1"/>
      <c r="Z65" s="1"/>
    </row>
    <row r="66" ht="15.75" customHeight="1">
      <c r="A66" s="2">
        <f>IFERROR(__xludf.DUMMYFUNCTION("""COMPUTED_VALUE"""),32500.0)</f>
        <v>32500</v>
      </c>
      <c r="B66" s="2">
        <f>IFERROR(__xludf.DUMMYFUNCTION("""COMPUTED_VALUE"""),650.0)</f>
        <v>650</v>
      </c>
      <c r="C66" s="66">
        <f>IFERROR(__xludf.DUMMYFUNCTION("""COMPUTED_VALUE"""),2.08E7)</f>
        <v>20800000</v>
      </c>
      <c r="D66" s="1"/>
      <c r="E66" s="1"/>
      <c r="F66" s="1"/>
      <c r="G66" s="1"/>
      <c r="H66" s="1"/>
      <c r="I66" s="1"/>
      <c r="J66" s="1"/>
      <c r="K66" s="1"/>
      <c r="L66" s="1"/>
      <c r="M66" s="1"/>
      <c r="N66" s="1"/>
      <c r="O66" s="1"/>
      <c r="P66" s="1"/>
      <c r="Q66" s="1"/>
      <c r="R66" s="1"/>
      <c r="S66" s="1"/>
      <c r="T66" s="1"/>
      <c r="U66" s="1"/>
      <c r="V66" s="1"/>
      <c r="W66" s="1"/>
      <c r="X66" s="1"/>
      <c r="Y66" s="1"/>
      <c r="Z66" s="1"/>
    </row>
    <row r="67" ht="15.75" customHeight="1">
      <c r="A67" s="2">
        <f>IFERROR(__xludf.DUMMYFUNCTION("""COMPUTED_VALUE"""),33000.0)</f>
        <v>33000</v>
      </c>
      <c r="B67" s="2">
        <f>IFERROR(__xludf.DUMMYFUNCTION("""COMPUTED_VALUE"""),660.0)</f>
        <v>660</v>
      </c>
      <c r="C67" s="66">
        <f>IFERROR(__xludf.DUMMYFUNCTION("""COMPUTED_VALUE"""),2.145E7)</f>
        <v>21450000</v>
      </c>
      <c r="D67" s="1"/>
      <c r="E67" s="1"/>
      <c r="F67" s="1"/>
      <c r="G67" s="1"/>
      <c r="H67" s="1"/>
      <c r="I67" s="1"/>
      <c r="J67" s="1"/>
      <c r="K67" s="1"/>
      <c r="L67" s="1"/>
      <c r="M67" s="1"/>
      <c r="N67" s="1"/>
      <c r="O67" s="1"/>
      <c r="P67" s="1"/>
      <c r="Q67" s="1"/>
      <c r="R67" s="1"/>
      <c r="S67" s="1"/>
      <c r="T67" s="1"/>
      <c r="U67" s="1"/>
      <c r="V67" s="1"/>
      <c r="W67" s="1"/>
      <c r="X67" s="1"/>
      <c r="Y67" s="1"/>
      <c r="Z67" s="1"/>
    </row>
    <row r="68" ht="15.75" customHeight="1">
      <c r="A68" s="2">
        <f>IFERROR(__xludf.DUMMYFUNCTION("""COMPUTED_VALUE"""),33500.0)</f>
        <v>33500</v>
      </c>
      <c r="B68" s="2">
        <f>IFERROR(__xludf.DUMMYFUNCTION("""COMPUTED_VALUE"""),670.0)</f>
        <v>670</v>
      </c>
      <c r="C68" s="66">
        <f>IFERROR(__xludf.DUMMYFUNCTION("""COMPUTED_VALUE"""),2.211E7)</f>
        <v>22110000</v>
      </c>
      <c r="D68" s="1"/>
      <c r="E68" s="1"/>
      <c r="F68" s="1"/>
      <c r="G68" s="1"/>
      <c r="H68" s="1"/>
      <c r="I68" s="1"/>
      <c r="J68" s="1"/>
      <c r="K68" s="1"/>
      <c r="L68" s="1"/>
      <c r="M68" s="1"/>
      <c r="N68" s="1"/>
      <c r="O68" s="1"/>
      <c r="P68" s="1"/>
      <c r="Q68" s="1"/>
      <c r="R68" s="1"/>
      <c r="S68" s="1"/>
      <c r="T68" s="1"/>
      <c r="U68" s="1"/>
      <c r="V68" s="1"/>
      <c r="W68" s="1"/>
      <c r="X68" s="1"/>
      <c r="Y68" s="1"/>
      <c r="Z68" s="1"/>
    </row>
    <row r="69" ht="15.75" customHeight="1">
      <c r="A69" s="2">
        <f>IFERROR(__xludf.DUMMYFUNCTION("""COMPUTED_VALUE"""),34000.0)</f>
        <v>34000</v>
      </c>
      <c r="B69" s="2">
        <f>IFERROR(__xludf.DUMMYFUNCTION("""COMPUTED_VALUE"""),680.0)</f>
        <v>680</v>
      </c>
      <c r="C69" s="66">
        <f>IFERROR(__xludf.DUMMYFUNCTION("""COMPUTED_VALUE"""),2.278E7)</f>
        <v>22780000</v>
      </c>
      <c r="D69" s="1"/>
      <c r="E69" s="1"/>
      <c r="F69" s="1"/>
      <c r="G69" s="1"/>
      <c r="H69" s="1"/>
      <c r="I69" s="1"/>
      <c r="J69" s="1"/>
      <c r="K69" s="1"/>
      <c r="L69" s="1"/>
      <c r="M69" s="1"/>
      <c r="N69" s="1"/>
      <c r="O69" s="1"/>
      <c r="P69" s="1"/>
      <c r="Q69" s="1"/>
      <c r="R69" s="1"/>
      <c r="S69" s="1"/>
      <c r="T69" s="1"/>
      <c r="U69" s="1"/>
      <c r="V69" s="1"/>
      <c r="W69" s="1"/>
      <c r="X69" s="1"/>
      <c r="Y69" s="1"/>
      <c r="Z69" s="1"/>
    </row>
    <row r="70" ht="15.75" customHeight="1">
      <c r="A70" s="2">
        <f>IFERROR(__xludf.DUMMYFUNCTION("""COMPUTED_VALUE"""),34500.0)</f>
        <v>34500</v>
      </c>
      <c r="B70" s="2">
        <f>IFERROR(__xludf.DUMMYFUNCTION("""COMPUTED_VALUE"""),690.0)</f>
        <v>690</v>
      </c>
      <c r="C70" s="66">
        <f>IFERROR(__xludf.DUMMYFUNCTION("""COMPUTED_VALUE"""),2.346E7)</f>
        <v>23460000</v>
      </c>
      <c r="D70" s="1"/>
      <c r="E70" s="1"/>
      <c r="F70" s="1"/>
      <c r="G70" s="1"/>
      <c r="H70" s="1"/>
      <c r="I70" s="1"/>
      <c r="J70" s="1"/>
      <c r="K70" s="1"/>
      <c r="L70" s="1"/>
      <c r="M70" s="1"/>
      <c r="N70" s="1"/>
      <c r="O70" s="1"/>
      <c r="P70" s="1"/>
      <c r="Q70" s="1"/>
      <c r="R70" s="1"/>
      <c r="S70" s="1"/>
      <c r="T70" s="1"/>
      <c r="U70" s="1"/>
      <c r="V70" s="1"/>
      <c r="W70" s="1"/>
      <c r="X70" s="1"/>
      <c r="Y70" s="1"/>
      <c r="Z70" s="1"/>
    </row>
    <row r="71" ht="15.75" customHeight="1">
      <c r="A71" s="2">
        <f>IFERROR(__xludf.DUMMYFUNCTION("""COMPUTED_VALUE"""),35000.0)</f>
        <v>35000</v>
      </c>
      <c r="B71" s="2">
        <f>IFERROR(__xludf.DUMMYFUNCTION("""COMPUTED_VALUE"""),700.0)</f>
        <v>700</v>
      </c>
      <c r="C71" s="66">
        <f>IFERROR(__xludf.DUMMYFUNCTION("""COMPUTED_VALUE"""),2.415E7)</f>
        <v>24150000</v>
      </c>
      <c r="D71" s="1"/>
      <c r="E71" s="1"/>
      <c r="F71" s="1"/>
      <c r="G71" s="1"/>
      <c r="H71" s="1"/>
      <c r="I71" s="1"/>
      <c r="J71" s="1"/>
      <c r="K71" s="1"/>
      <c r="L71" s="1"/>
      <c r="M71" s="1"/>
      <c r="N71" s="1"/>
      <c r="O71" s="1"/>
      <c r="P71" s="1"/>
      <c r="Q71" s="1"/>
      <c r="R71" s="1"/>
      <c r="S71" s="1"/>
      <c r="T71" s="1"/>
      <c r="U71" s="1"/>
      <c r="V71" s="1"/>
      <c r="W71" s="1"/>
      <c r="X71" s="1"/>
      <c r="Y71" s="1"/>
      <c r="Z71" s="1"/>
    </row>
    <row r="72" ht="15.75" customHeight="1">
      <c r="A72" s="2">
        <f>IFERROR(__xludf.DUMMYFUNCTION("""COMPUTED_VALUE"""),35500.0)</f>
        <v>35500</v>
      </c>
      <c r="B72" s="2">
        <f>IFERROR(__xludf.DUMMYFUNCTION("""COMPUTED_VALUE"""),710.0)</f>
        <v>710</v>
      </c>
      <c r="C72" s="66">
        <f>IFERROR(__xludf.DUMMYFUNCTION("""COMPUTED_VALUE"""),2.485E7)</f>
        <v>24850000</v>
      </c>
      <c r="D72" s="1"/>
      <c r="E72" s="1"/>
      <c r="F72" s="1"/>
      <c r="G72" s="1"/>
      <c r="H72" s="1"/>
      <c r="I72" s="1"/>
      <c r="J72" s="1"/>
      <c r="K72" s="1"/>
      <c r="L72" s="1"/>
      <c r="M72" s="1"/>
      <c r="N72" s="1"/>
      <c r="O72" s="1"/>
      <c r="P72" s="1"/>
      <c r="Q72" s="1"/>
      <c r="R72" s="1"/>
      <c r="S72" s="1"/>
      <c r="T72" s="1"/>
      <c r="U72" s="1"/>
      <c r="V72" s="1"/>
      <c r="W72" s="1"/>
      <c r="X72" s="1"/>
      <c r="Y72" s="1"/>
      <c r="Z72" s="1"/>
    </row>
    <row r="73" ht="15.75" customHeight="1">
      <c r="A73" s="2">
        <f>IFERROR(__xludf.DUMMYFUNCTION("""COMPUTED_VALUE"""),36000.0)</f>
        <v>36000</v>
      </c>
      <c r="B73" s="2">
        <f>IFERROR(__xludf.DUMMYFUNCTION("""COMPUTED_VALUE"""),720.0)</f>
        <v>720</v>
      </c>
      <c r="C73" s="66">
        <f>IFERROR(__xludf.DUMMYFUNCTION("""COMPUTED_VALUE"""),2.556E7)</f>
        <v>25560000</v>
      </c>
      <c r="D73" s="1"/>
      <c r="E73" s="1"/>
      <c r="F73" s="1"/>
      <c r="G73" s="1"/>
      <c r="H73" s="1"/>
      <c r="I73" s="1"/>
      <c r="J73" s="1"/>
      <c r="K73" s="1"/>
      <c r="L73" s="1"/>
      <c r="M73" s="1"/>
      <c r="N73" s="1"/>
      <c r="O73" s="1"/>
      <c r="P73" s="1"/>
      <c r="Q73" s="1"/>
      <c r="R73" s="1"/>
      <c r="S73" s="1"/>
      <c r="T73" s="1"/>
      <c r="U73" s="1"/>
      <c r="V73" s="1"/>
      <c r="W73" s="1"/>
      <c r="X73" s="1"/>
      <c r="Y73" s="1"/>
      <c r="Z73" s="1"/>
    </row>
    <row r="74" ht="15.75" customHeight="1">
      <c r="A74" s="2">
        <f>IFERROR(__xludf.DUMMYFUNCTION("""COMPUTED_VALUE"""),36500.0)</f>
        <v>36500</v>
      </c>
      <c r="B74" s="2">
        <f>IFERROR(__xludf.DUMMYFUNCTION("""COMPUTED_VALUE"""),730.0)</f>
        <v>730</v>
      </c>
      <c r="C74" s="66">
        <f>IFERROR(__xludf.DUMMYFUNCTION("""COMPUTED_VALUE"""),2.628E7)</f>
        <v>26280000</v>
      </c>
      <c r="D74" s="1"/>
      <c r="E74" s="1"/>
      <c r="F74" s="1"/>
      <c r="G74" s="1"/>
      <c r="H74" s="1"/>
      <c r="I74" s="1"/>
      <c r="J74" s="1"/>
      <c r="K74" s="1"/>
      <c r="L74" s="1"/>
      <c r="M74" s="1"/>
      <c r="N74" s="1"/>
      <c r="O74" s="1"/>
      <c r="P74" s="1"/>
      <c r="Q74" s="1"/>
      <c r="R74" s="1"/>
      <c r="S74" s="1"/>
      <c r="T74" s="1"/>
      <c r="U74" s="1"/>
      <c r="V74" s="1"/>
      <c r="W74" s="1"/>
      <c r="X74" s="1"/>
      <c r="Y74" s="1"/>
      <c r="Z74" s="1"/>
    </row>
    <row r="75" ht="15.75" customHeight="1">
      <c r="A75" s="2">
        <f>IFERROR(__xludf.DUMMYFUNCTION("""COMPUTED_VALUE"""),37000.0)</f>
        <v>37000</v>
      </c>
      <c r="B75" s="2">
        <f>IFERROR(__xludf.DUMMYFUNCTION("""COMPUTED_VALUE"""),740.0)</f>
        <v>740</v>
      </c>
      <c r="C75" s="66">
        <f>IFERROR(__xludf.DUMMYFUNCTION("""COMPUTED_VALUE"""),2.701E7)</f>
        <v>27010000</v>
      </c>
      <c r="D75" s="1"/>
      <c r="E75" s="1"/>
      <c r="F75" s="1"/>
      <c r="G75" s="1"/>
      <c r="H75" s="1"/>
      <c r="I75" s="1"/>
      <c r="J75" s="1"/>
      <c r="K75" s="1"/>
      <c r="L75" s="1"/>
      <c r="M75" s="1"/>
      <c r="N75" s="1"/>
      <c r="O75" s="1"/>
      <c r="P75" s="1"/>
      <c r="Q75" s="1"/>
      <c r="R75" s="1"/>
      <c r="S75" s="1"/>
      <c r="T75" s="1"/>
      <c r="U75" s="1"/>
      <c r="V75" s="1"/>
      <c r="W75" s="1"/>
      <c r="X75" s="1"/>
      <c r="Y75" s="1"/>
      <c r="Z75" s="1"/>
    </row>
    <row r="76" ht="15.75" customHeight="1">
      <c r="A76" s="2">
        <f>IFERROR(__xludf.DUMMYFUNCTION("""COMPUTED_VALUE"""),37500.0)</f>
        <v>37500</v>
      </c>
      <c r="B76" s="2">
        <f>IFERROR(__xludf.DUMMYFUNCTION("""COMPUTED_VALUE"""),750.0)</f>
        <v>750</v>
      </c>
      <c r="C76" s="66">
        <f>IFERROR(__xludf.DUMMYFUNCTION("""COMPUTED_VALUE"""),2.775E7)</f>
        <v>27750000</v>
      </c>
      <c r="D76" s="1"/>
      <c r="E76" s="1"/>
      <c r="F76" s="1"/>
      <c r="G76" s="1"/>
      <c r="H76" s="1"/>
      <c r="I76" s="1"/>
      <c r="J76" s="1"/>
      <c r="K76" s="1"/>
      <c r="L76" s="1"/>
      <c r="M76" s="1"/>
      <c r="N76" s="1"/>
      <c r="O76" s="1"/>
      <c r="P76" s="1"/>
      <c r="Q76" s="1"/>
      <c r="R76" s="1"/>
      <c r="S76" s="1"/>
      <c r="T76" s="1"/>
      <c r="U76" s="1"/>
      <c r="V76" s="1"/>
      <c r="W76" s="1"/>
      <c r="X76" s="1"/>
      <c r="Y76" s="1"/>
      <c r="Z76" s="1"/>
    </row>
    <row r="77" ht="15.75" customHeight="1">
      <c r="A77" s="2">
        <f>IFERROR(__xludf.DUMMYFUNCTION("""COMPUTED_VALUE"""),38000.0)</f>
        <v>38000</v>
      </c>
      <c r="B77" s="2">
        <f>IFERROR(__xludf.DUMMYFUNCTION("""COMPUTED_VALUE"""),760.0)</f>
        <v>760</v>
      </c>
      <c r="C77" s="66">
        <f>IFERROR(__xludf.DUMMYFUNCTION("""COMPUTED_VALUE"""),2.85E7)</f>
        <v>28500000</v>
      </c>
      <c r="D77" s="1"/>
      <c r="E77" s="1"/>
      <c r="F77" s="1"/>
      <c r="G77" s="1"/>
      <c r="H77" s="1"/>
      <c r="I77" s="1"/>
      <c r="J77" s="1"/>
      <c r="K77" s="1"/>
      <c r="L77" s="1"/>
      <c r="M77" s="1"/>
      <c r="N77" s="1"/>
      <c r="O77" s="1"/>
      <c r="P77" s="1"/>
      <c r="Q77" s="1"/>
      <c r="R77" s="1"/>
      <c r="S77" s="1"/>
      <c r="T77" s="1"/>
      <c r="U77" s="1"/>
      <c r="V77" s="1"/>
      <c r="W77" s="1"/>
      <c r="X77" s="1"/>
      <c r="Y77" s="1"/>
      <c r="Z77" s="1"/>
    </row>
    <row r="78" ht="15.75" customHeight="1">
      <c r="A78" s="2">
        <f>IFERROR(__xludf.DUMMYFUNCTION("""COMPUTED_VALUE"""),38500.0)</f>
        <v>38500</v>
      </c>
      <c r="B78" s="2">
        <f>IFERROR(__xludf.DUMMYFUNCTION("""COMPUTED_VALUE"""),770.0)</f>
        <v>770</v>
      </c>
      <c r="C78" s="66">
        <f>IFERROR(__xludf.DUMMYFUNCTION("""COMPUTED_VALUE"""),2.926E7)</f>
        <v>29260000</v>
      </c>
      <c r="D78" s="1"/>
      <c r="E78" s="1"/>
      <c r="F78" s="1"/>
      <c r="G78" s="1"/>
      <c r="H78" s="1"/>
      <c r="I78" s="1"/>
      <c r="J78" s="1"/>
      <c r="K78" s="1"/>
      <c r="L78" s="1"/>
      <c r="M78" s="1"/>
      <c r="N78" s="1"/>
      <c r="O78" s="1"/>
      <c r="P78" s="1"/>
      <c r="Q78" s="1"/>
      <c r="R78" s="1"/>
      <c r="S78" s="1"/>
      <c r="T78" s="1"/>
      <c r="U78" s="1"/>
      <c r="V78" s="1"/>
      <c r="W78" s="1"/>
      <c r="X78" s="1"/>
      <c r="Y78" s="1"/>
      <c r="Z78" s="1"/>
    </row>
    <row r="79" ht="15.75" customHeight="1">
      <c r="A79" s="2">
        <f>IFERROR(__xludf.DUMMYFUNCTION("""COMPUTED_VALUE"""),39000.0)</f>
        <v>39000</v>
      </c>
      <c r="B79" s="2">
        <f>IFERROR(__xludf.DUMMYFUNCTION("""COMPUTED_VALUE"""),780.0)</f>
        <v>780</v>
      </c>
      <c r="C79" s="66">
        <f>IFERROR(__xludf.DUMMYFUNCTION("""COMPUTED_VALUE"""),3.003E7)</f>
        <v>30030000</v>
      </c>
      <c r="D79" s="1"/>
      <c r="E79" s="1"/>
      <c r="F79" s="1"/>
      <c r="G79" s="1"/>
      <c r="H79" s="1"/>
      <c r="I79" s="1"/>
      <c r="J79" s="1"/>
      <c r="K79" s="1"/>
      <c r="L79" s="1"/>
      <c r="M79" s="1"/>
      <c r="N79" s="1"/>
      <c r="O79" s="1"/>
      <c r="P79" s="1"/>
      <c r="Q79" s="1"/>
      <c r="R79" s="1"/>
      <c r="S79" s="1"/>
      <c r="T79" s="1"/>
      <c r="U79" s="1"/>
      <c r="V79" s="1"/>
      <c r="W79" s="1"/>
      <c r="X79" s="1"/>
      <c r="Y79" s="1"/>
      <c r="Z79" s="1"/>
    </row>
    <row r="80" ht="15.75" customHeight="1">
      <c r="A80" s="2">
        <f>IFERROR(__xludf.DUMMYFUNCTION("""COMPUTED_VALUE"""),39500.0)</f>
        <v>39500</v>
      </c>
      <c r="B80" s="2">
        <f>IFERROR(__xludf.DUMMYFUNCTION("""COMPUTED_VALUE"""),790.0)</f>
        <v>790</v>
      </c>
      <c r="C80" s="66">
        <f>IFERROR(__xludf.DUMMYFUNCTION("""COMPUTED_VALUE"""),3.081E7)</f>
        <v>30810000</v>
      </c>
      <c r="D80" s="1"/>
      <c r="E80" s="1"/>
      <c r="F80" s="1"/>
      <c r="G80" s="1"/>
      <c r="H80" s="1"/>
      <c r="I80" s="1"/>
      <c r="J80" s="1"/>
      <c r="K80" s="1"/>
      <c r="L80" s="1"/>
      <c r="M80" s="1"/>
      <c r="N80" s="1"/>
      <c r="O80" s="1"/>
      <c r="P80" s="1"/>
      <c r="Q80" s="1"/>
      <c r="R80" s="1"/>
      <c r="S80" s="1"/>
      <c r="T80" s="1"/>
      <c r="U80" s="1"/>
      <c r="V80" s="1"/>
      <c r="W80" s="1"/>
      <c r="X80" s="1"/>
      <c r="Y80" s="1"/>
      <c r="Z80" s="1"/>
    </row>
    <row r="81" ht="15.75" customHeight="1">
      <c r="A81" s="2">
        <f>IFERROR(__xludf.DUMMYFUNCTION("""COMPUTED_VALUE"""),40000.0)</f>
        <v>40000</v>
      </c>
      <c r="B81" s="2">
        <f>IFERROR(__xludf.DUMMYFUNCTION("""COMPUTED_VALUE"""),800.0)</f>
        <v>800</v>
      </c>
      <c r="C81" s="66">
        <f>IFERROR(__xludf.DUMMYFUNCTION("""COMPUTED_VALUE"""),3.16E7)</f>
        <v>31600000</v>
      </c>
      <c r="D81" s="1"/>
      <c r="E81" s="1"/>
      <c r="F81" s="1"/>
      <c r="G81" s="1"/>
      <c r="H81" s="1"/>
      <c r="I81" s="1"/>
      <c r="J81" s="1"/>
      <c r="K81" s="1"/>
      <c r="L81" s="1"/>
      <c r="M81" s="1"/>
      <c r="N81" s="1"/>
      <c r="O81" s="1"/>
      <c r="P81" s="1"/>
      <c r="Q81" s="1"/>
      <c r="R81" s="1"/>
      <c r="S81" s="1"/>
      <c r="T81" s="1"/>
      <c r="U81" s="1"/>
      <c r="V81" s="1"/>
      <c r="W81" s="1"/>
      <c r="X81" s="1"/>
      <c r="Y81" s="1"/>
      <c r="Z81" s="1"/>
    </row>
    <row r="82" ht="15.75" customHeight="1">
      <c r="A82" s="2">
        <f>IFERROR(__xludf.DUMMYFUNCTION("""COMPUTED_VALUE"""),40500.0)</f>
        <v>40500</v>
      </c>
      <c r="B82" s="2">
        <f>IFERROR(__xludf.DUMMYFUNCTION("""COMPUTED_VALUE"""),810.0)</f>
        <v>810</v>
      </c>
      <c r="C82" s="66">
        <f>IFERROR(__xludf.DUMMYFUNCTION("""COMPUTED_VALUE"""),3.24E7)</f>
        <v>32400000</v>
      </c>
      <c r="D82" s="1"/>
      <c r="E82" s="1"/>
      <c r="F82" s="1"/>
      <c r="G82" s="1"/>
      <c r="H82" s="1"/>
      <c r="I82" s="1"/>
      <c r="J82" s="1"/>
      <c r="K82" s="1"/>
      <c r="L82" s="1"/>
      <c r="M82" s="1"/>
      <c r="N82" s="1"/>
      <c r="O82" s="1"/>
      <c r="P82" s="1"/>
      <c r="Q82" s="1"/>
      <c r="R82" s="1"/>
      <c r="S82" s="1"/>
      <c r="T82" s="1"/>
      <c r="U82" s="1"/>
      <c r="V82" s="1"/>
      <c r="W82" s="1"/>
      <c r="X82" s="1"/>
      <c r="Y82" s="1"/>
      <c r="Z82" s="1"/>
    </row>
    <row r="83" ht="15.75" customHeight="1">
      <c r="A83" s="2">
        <f>IFERROR(__xludf.DUMMYFUNCTION("""COMPUTED_VALUE"""),41000.0)</f>
        <v>41000</v>
      </c>
      <c r="B83" s="2">
        <f>IFERROR(__xludf.DUMMYFUNCTION("""COMPUTED_VALUE"""),820.0)</f>
        <v>820</v>
      </c>
      <c r="C83" s="66">
        <f>IFERROR(__xludf.DUMMYFUNCTION("""COMPUTED_VALUE"""),3.321E7)</f>
        <v>33210000</v>
      </c>
      <c r="D83" s="1"/>
      <c r="E83" s="1"/>
      <c r="F83" s="1"/>
      <c r="G83" s="1"/>
      <c r="H83" s="1"/>
      <c r="I83" s="1"/>
      <c r="J83" s="1"/>
      <c r="K83" s="1"/>
      <c r="L83" s="1"/>
      <c r="M83" s="1"/>
      <c r="N83" s="1"/>
      <c r="O83" s="1"/>
      <c r="P83" s="1"/>
      <c r="Q83" s="1"/>
      <c r="R83" s="1"/>
      <c r="S83" s="1"/>
      <c r="T83" s="1"/>
      <c r="U83" s="1"/>
      <c r="V83" s="1"/>
      <c r="W83" s="1"/>
      <c r="X83" s="1"/>
      <c r="Y83" s="1"/>
      <c r="Z83" s="1"/>
    </row>
    <row r="84" ht="15.75" customHeight="1">
      <c r="A84" s="2">
        <f>IFERROR(__xludf.DUMMYFUNCTION("""COMPUTED_VALUE"""),41500.0)</f>
        <v>41500</v>
      </c>
      <c r="B84" s="2">
        <f>IFERROR(__xludf.DUMMYFUNCTION("""COMPUTED_VALUE"""),830.0)</f>
        <v>830</v>
      </c>
      <c r="C84" s="66">
        <f>IFERROR(__xludf.DUMMYFUNCTION("""COMPUTED_VALUE"""),3.403E7)</f>
        <v>34030000</v>
      </c>
      <c r="D84" s="1"/>
      <c r="E84" s="1"/>
      <c r="F84" s="1"/>
      <c r="G84" s="1"/>
      <c r="H84" s="1"/>
      <c r="I84" s="1"/>
      <c r="J84" s="1"/>
      <c r="K84" s="1"/>
      <c r="L84" s="1"/>
      <c r="M84" s="1"/>
      <c r="N84" s="1"/>
      <c r="O84" s="1"/>
      <c r="P84" s="1"/>
      <c r="Q84" s="1"/>
      <c r="R84" s="1"/>
      <c r="S84" s="1"/>
      <c r="T84" s="1"/>
      <c r="U84" s="1"/>
      <c r="V84" s="1"/>
      <c r="W84" s="1"/>
      <c r="X84" s="1"/>
      <c r="Y84" s="1"/>
      <c r="Z84" s="1"/>
    </row>
    <row r="85" ht="15.75" customHeight="1">
      <c r="A85" s="2">
        <f>IFERROR(__xludf.DUMMYFUNCTION("""COMPUTED_VALUE"""),42000.0)</f>
        <v>42000</v>
      </c>
      <c r="B85" s="2">
        <f>IFERROR(__xludf.DUMMYFUNCTION("""COMPUTED_VALUE"""),840.0)</f>
        <v>840</v>
      </c>
      <c r="C85" s="66">
        <f>IFERROR(__xludf.DUMMYFUNCTION("""COMPUTED_VALUE"""),3.486E7)</f>
        <v>34860000</v>
      </c>
      <c r="D85" s="1"/>
      <c r="E85" s="1"/>
      <c r="F85" s="1"/>
      <c r="G85" s="1"/>
      <c r="H85" s="1"/>
      <c r="I85" s="1"/>
      <c r="J85" s="1"/>
      <c r="K85" s="1"/>
      <c r="L85" s="1"/>
      <c r="M85" s="1"/>
      <c r="N85" s="1"/>
      <c r="O85" s="1"/>
      <c r="P85" s="1"/>
      <c r="Q85" s="1"/>
      <c r="R85" s="1"/>
      <c r="S85" s="1"/>
      <c r="T85" s="1"/>
      <c r="U85" s="1"/>
      <c r="V85" s="1"/>
      <c r="W85" s="1"/>
      <c r="X85" s="1"/>
      <c r="Y85" s="1"/>
      <c r="Z85" s="1"/>
    </row>
    <row r="86" ht="15.75" customHeight="1">
      <c r="A86" s="2">
        <f>IFERROR(__xludf.DUMMYFUNCTION("""COMPUTED_VALUE"""),42500.0)</f>
        <v>42500</v>
      </c>
      <c r="B86" s="2">
        <f>IFERROR(__xludf.DUMMYFUNCTION("""COMPUTED_VALUE"""),850.0)</f>
        <v>850</v>
      </c>
      <c r="C86" s="66">
        <f>IFERROR(__xludf.DUMMYFUNCTION("""COMPUTED_VALUE"""),3.57E7)</f>
        <v>35700000</v>
      </c>
      <c r="D86" s="1"/>
      <c r="E86" s="1"/>
      <c r="F86" s="1"/>
      <c r="G86" s="1"/>
      <c r="H86" s="1"/>
      <c r="I86" s="1"/>
      <c r="J86" s="1"/>
      <c r="K86" s="1"/>
      <c r="L86" s="1"/>
      <c r="M86" s="1"/>
      <c r="N86" s="1"/>
      <c r="O86" s="1"/>
      <c r="P86" s="1"/>
      <c r="Q86" s="1"/>
      <c r="R86" s="1"/>
      <c r="S86" s="1"/>
      <c r="T86" s="1"/>
      <c r="U86" s="1"/>
      <c r="V86" s="1"/>
      <c r="W86" s="1"/>
      <c r="X86" s="1"/>
      <c r="Y86" s="1"/>
      <c r="Z86" s="1"/>
    </row>
    <row r="87" ht="15.75" customHeight="1">
      <c r="A87" s="2">
        <f>IFERROR(__xludf.DUMMYFUNCTION("""COMPUTED_VALUE"""),43000.0)</f>
        <v>43000</v>
      </c>
      <c r="B87" s="2">
        <f>IFERROR(__xludf.DUMMYFUNCTION("""COMPUTED_VALUE"""),860.0)</f>
        <v>860</v>
      </c>
      <c r="C87" s="66">
        <f>IFERROR(__xludf.DUMMYFUNCTION("""COMPUTED_VALUE"""),3.655E7)</f>
        <v>36550000</v>
      </c>
      <c r="D87" s="1"/>
      <c r="E87" s="1"/>
      <c r="F87" s="1"/>
      <c r="G87" s="1"/>
      <c r="H87" s="1"/>
      <c r="I87" s="1"/>
      <c r="J87" s="1"/>
      <c r="K87" s="1"/>
      <c r="L87" s="1"/>
      <c r="M87" s="1"/>
      <c r="N87" s="1"/>
      <c r="O87" s="1"/>
      <c r="P87" s="1"/>
      <c r="Q87" s="1"/>
      <c r="R87" s="1"/>
      <c r="S87" s="1"/>
      <c r="T87" s="1"/>
      <c r="U87" s="1"/>
      <c r="V87" s="1"/>
      <c r="W87" s="1"/>
      <c r="X87" s="1"/>
      <c r="Y87" s="1"/>
      <c r="Z87" s="1"/>
    </row>
    <row r="88" ht="15.75" customHeight="1">
      <c r="A88" s="2">
        <f>IFERROR(__xludf.DUMMYFUNCTION("""COMPUTED_VALUE"""),43500.0)</f>
        <v>43500</v>
      </c>
      <c r="B88" s="2">
        <f>IFERROR(__xludf.DUMMYFUNCTION("""COMPUTED_VALUE"""),870.0)</f>
        <v>870</v>
      </c>
      <c r="C88" s="66">
        <f>IFERROR(__xludf.DUMMYFUNCTION("""COMPUTED_VALUE"""),3.741E7)</f>
        <v>37410000</v>
      </c>
      <c r="D88" s="1"/>
      <c r="E88" s="1"/>
      <c r="F88" s="1"/>
      <c r="G88" s="1"/>
      <c r="H88" s="1"/>
      <c r="I88" s="1"/>
      <c r="J88" s="1"/>
      <c r="K88" s="1"/>
      <c r="L88" s="1"/>
      <c r="M88" s="1"/>
      <c r="N88" s="1"/>
      <c r="O88" s="1"/>
      <c r="P88" s="1"/>
      <c r="Q88" s="1"/>
      <c r="R88" s="1"/>
      <c r="S88" s="1"/>
      <c r="T88" s="1"/>
      <c r="U88" s="1"/>
      <c r="V88" s="1"/>
      <c r="W88" s="1"/>
      <c r="X88" s="1"/>
      <c r="Y88" s="1"/>
      <c r="Z88" s="1"/>
    </row>
    <row r="89" ht="15.75" customHeight="1">
      <c r="A89" s="2">
        <f>IFERROR(__xludf.DUMMYFUNCTION("""COMPUTED_VALUE"""),44000.0)</f>
        <v>44000</v>
      </c>
      <c r="B89" s="2">
        <f>IFERROR(__xludf.DUMMYFUNCTION("""COMPUTED_VALUE"""),880.0)</f>
        <v>880</v>
      </c>
      <c r="C89" s="66">
        <f>IFERROR(__xludf.DUMMYFUNCTION("""COMPUTED_VALUE"""),3.828E7)</f>
        <v>38280000</v>
      </c>
      <c r="D89" s="1"/>
      <c r="E89" s="1"/>
      <c r="F89" s="1"/>
      <c r="G89" s="1"/>
      <c r="H89" s="1"/>
      <c r="I89" s="1"/>
      <c r="J89" s="1"/>
      <c r="K89" s="1"/>
      <c r="L89" s="1"/>
      <c r="M89" s="1"/>
      <c r="N89" s="1"/>
      <c r="O89" s="1"/>
      <c r="P89" s="1"/>
      <c r="Q89" s="1"/>
      <c r="R89" s="1"/>
      <c r="S89" s="1"/>
      <c r="T89" s="1"/>
      <c r="U89" s="1"/>
      <c r="V89" s="1"/>
      <c r="W89" s="1"/>
      <c r="X89" s="1"/>
      <c r="Y89" s="1"/>
      <c r="Z89" s="1"/>
    </row>
    <row r="90" ht="15.75" customHeight="1">
      <c r="A90" s="2">
        <f>IFERROR(__xludf.DUMMYFUNCTION("""COMPUTED_VALUE"""),44500.0)</f>
        <v>44500</v>
      </c>
      <c r="B90" s="2">
        <f>IFERROR(__xludf.DUMMYFUNCTION("""COMPUTED_VALUE"""),890.0)</f>
        <v>890</v>
      </c>
      <c r="C90" s="66">
        <f>IFERROR(__xludf.DUMMYFUNCTION("""COMPUTED_VALUE"""),3.916E7)</f>
        <v>39160000</v>
      </c>
      <c r="D90" s="1"/>
      <c r="E90" s="1"/>
      <c r="F90" s="1"/>
      <c r="G90" s="1"/>
      <c r="H90" s="1"/>
      <c r="I90" s="1"/>
      <c r="J90" s="1"/>
      <c r="K90" s="1"/>
      <c r="L90" s="1"/>
      <c r="M90" s="1"/>
      <c r="N90" s="1"/>
      <c r="O90" s="1"/>
      <c r="P90" s="1"/>
      <c r="Q90" s="1"/>
      <c r="R90" s="1"/>
      <c r="S90" s="1"/>
      <c r="T90" s="1"/>
      <c r="U90" s="1"/>
      <c r="V90" s="1"/>
      <c r="W90" s="1"/>
      <c r="X90" s="1"/>
      <c r="Y90" s="1"/>
      <c r="Z90" s="1"/>
    </row>
    <row r="91" ht="15.75" customHeight="1">
      <c r="A91" s="2">
        <f>IFERROR(__xludf.DUMMYFUNCTION("""COMPUTED_VALUE"""),45000.0)</f>
        <v>45000</v>
      </c>
      <c r="B91" s="2">
        <f>IFERROR(__xludf.DUMMYFUNCTION("""COMPUTED_VALUE"""),900.0)</f>
        <v>900</v>
      </c>
      <c r="C91" s="66">
        <f>IFERROR(__xludf.DUMMYFUNCTION("""COMPUTED_VALUE"""),4.005E7)</f>
        <v>40050000</v>
      </c>
      <c r="D91" s="1"/>
      <c r="E91" s="1"/>
      <c r="F91" s="1"/>
      <c r="G91" s="1"/>
      <c r="H91" s="1"/>
      <c r="I91" s="1"/>
      <c r="J91" s="1"/>
      <c r="K91" s="1"/>
      <c r="L91" s="1"/>
      <c r="M91" s="1"/>
      <c r="N91" s="1"/>
      <c r="O91" s="1"/>
      <c r="P91" s="1"/>
      <c r="Q91" s="1"/>
      <c r="R91" s="1"/>
      <c r="S91" s="1"/>
      <c r="T91" s="1"/>
      <c r="U91" s="1"/>
      <c r="V91" s="1"/>
      <c r="W91" s="1"/>
      <c r="X91" s="1"/>
      <c r="Y91" s="1"/>
      <c r="Z91" s="1"/>
    </row>
    <row r="92" ht="15.75" customHeight="1">
      <c r="A92" s="2">
        <f>IFERROR(__xludf.DUMMYFUNCTION("""COMPUTED_VALUE"""),45500.0)</f>
        <v>45500</v>
      </c>
      <c r="B92" s="2">
        <f>IFERROR(__xludf.DUMMYFUNCTION("""COMPUTED_VALUE"""),910.0)</f>
        <v>910</v>
      </c>
      <c r="C92" s="66">
        <f>IFERROR(__xludf.DUMMYFUNCTION("""COMPUTED_VALUE"""),4.095E7)</f>
        <v>40950000</v>
      </c>
      <c r="D92" s="1"/>
      <c r="E92" s="1"/>
      <c r="F92" s="1"/>
      <c r="G92" s="1"/>
      <c r="H92" s="1"/>
      <c r="I92" s="1"/>
      <c r="J92" s="1"/>
      <c r="K92" s="1"/>
      <c r="L92" s="1"/>
      <c r="M92" s="1"/>
      <c r="N92" s="1"/>
      <c r="O92" s="1"/>
      <c r="P92" s="1"/>
      <c r="Q92" s="1"/>
      <c r="R92" s="1"/>
      <c r="S92" s="1"/>
      <c r="T92" s="1"/>
      <c r="U92" s="1"/>
      <c r="V92" s="1"/>
      <c r="W92" s="1"/>
      <c r="X92" s="1"/>
      <c r="Y92" s="1"/>
      <c r="Z92" s="1"/>
    </row>
    <row r="93" ht="15.75" customHeight="1">
      <c r="A93" s="2">
        <f>IFERROR(__xludf.DUMMYFUNCTION("""COMPUTED_VALUE"""),46000.0)</f>
        <v>46000</v>
      </c>
      <c r="B93" s="2">
        <f>IFERROR(__xludf.DUMMYFUNCTION("""COMPUTED_VALUE"""),920.0)</f>
        <v>920</v>
      </c>
      <c r="C93" s="66">
        <f>IFERROR(__xludf.DUMMYFUNCTION("""COMPUTED_VALUE"""),4.186E7)</f>
        <v>41860000</v>
      </c>
      <c r="D93" s="1"/>
      <c r="E93" s="1"/>
      <c r="F93" s="1"/>
      <c r="G93" s="1"/>
      <c r="H93" s="1"/>
      <c r="I93" s="1"/>
      <c r="J93" s="1"/>
      <c r="K93" s="1"/>
      <c r="L93" s="1"/>
      <c r="M93" s="1"/>
      <c r="N93" s="1"/>
      <c r="O93" s="1"/>
      <c r="P93" s="1"/>
      <c r="Q93" s="1"/>
      <c r="R93" s="1"/>
      <c r="S93" s="1"/>
      <c r="T93" s="1"/>
      <c r="U93" s="1"/>
      <c r="V93" s="1"/>
      <c r="W93" s="1"/>
      <c r="X93" s="1"/>
      <c r="Y93" s="1"/>
      <c r="Z93" s="1"/>
    </row>
    <row r="94" ht="15.75" customHeight="1">
      <c r="A94" s="2">
        <f>IFERROR(__xludf.DUMMYFUNCTION("""COMPUTED_VALUE"""),46500.0)</f>
        <v>46500</v>
      </c>
      <c r="B94" s="2">
        <f>IFERROR(__xludf.DUMMYFUNCTION("""COMPUTED_VALUE"""),930.0)</f>
        <v>930</v>
      </c>
      <c r="C94" s="66">
        <f>IFERROR(__xludf.DUMMYFUNCTION("""COMPUTED_VALUE"""),4.278E7)</f>
        <v>42780000</v>
      </c>
      <c r="D94" s="1"/>
      <c r="E94" s="1"/>
      <c r="F94" s="1"/>
      <c r="G94" s="1"/>
      <c r="H94" s="1"/>
      <c r="I94" s="1"/>
      <c r="J94" s="1"/>
      <c r="K94" s="1"/>
      <c r="L94" s="1"/>
      <c r="M94" s="1"/>
      <c r="N94" s="1"/>
      <c r="O94" s="1"/>
      <c r="P94" s="1"/>
      <c r="Q94" s="1"/>
      <c r="R94" s="1"/>
      <c r="S94" s="1"/>
      <c r="T94" s="1"/>
      <c r="U94" s="1"/>
      <c r="V94" s="1"/>
      <c r="W94" s="1"/>
      <c r="X94" s="1"/>
      <c r="Y94" s="1"/>
      <c r="Z94" s="1"/>
    </row>
    <row r="95" ht="15.75" customHeight="1">
      <c r="A95" s="2">
        <f>IFERROR(__xludf.DUMMYFUNCTION("""COMPUTED_VALUE"""),47000.0)</f>
        <v>47000</v>
      </c>
      <c r="B95" s="2">
        <f>IFERROR(__xludf.DUMMYFUNCTION("""COMPUTED_VALUE"""),940.0)</f>
        <v>940</v>
      </c>
      <c r="C95" s="66">
        <f>IFERROR(__xludf.DUMMYFUNCTION("""COMPUTED_VALUE"""),4.371E7)</f>
        <v>43710000</v>
      </c>
      <c r="D95" s="1"/>
      <c r="E95" s="1"/>
      <c r="F95" s="1"/>
      <c r="G95" s="1"/>
      <c r="H95" s="1"/>
      <c r="I95" s="1"/>
      <c r="J95" s="1"/>
      <c r="K95" s="1"/>
      <c r="L95" s="1"/>
      <c r="M95" s="1"/>
      <c r="N95" s="1"/>
      <c r="O95" s="1"/>
      <c r="P95" s="1"/>
      <c r="Q95" s="1"/>
      <c r="R95" s="1"/>
      <c r="S95" s="1"/>
      <c r="T95" s="1"/>
      <c r="U95" s="1"/>
      <c r="V95" s="1"/>
      <c r="W95" s="1"/>
      <c r="X95" s="1"/>
      <c r="Y95" s="1"/>
      <c r="Z95" s="1"/>
    </row>
    <row r="96" ht="15.75" customHeight="1">
      <c r="A96" s="2">
        <f>IFERROR(__xludf.DUMMYFUNCTION("""COMPUTED_VALUE"""),47500.0)</f>
        <v>47500</v>
      </c>
      <c r="B96" s="2">
        <f>IFERROR(__xludf.DUMMYFUNCTION("""COMPUTED_VALUE"""),950.0)</f>
        <v>950</v>
      </c>
      <c r="C96" s="66">
        <f>IFERROR(__xludf.DUMMYFUNCTION("""COMPUTED_VALUE"""),4.465E7)</f>
        <v>44650000</v>
      </c>
      <c r="D96" s="1"/>
      <c r="E96" s="1"/>
      <c r="F96" s="1"/>
      <c r="G96" s="1"/>
      <c r="H96" s="1"/>
      <c r="I96" s="1"/>
      <c r="J96" s="1"/>
      <c r="K96" s="1"/>
      <c r="L96" s="1"/>
      <c r="M96" s="1"/>
      <c r="N96" s="1"/>
      <c r="O96" s="1"/>
      <c r="P96" s="1"/>
      <c r="Q96" s="1"/>
      <c r="R96" s="1"/>
      <c r="S96" s="1"/>
      <c r="T96" s="1"/>
      <c r="U96" s="1"/>
      <c r="V96" s="1"/>
      <c r="W96" s="1"/>
      <c r="X96" s="1"/>
      <c r="Y96" s="1"/>
      <c r="Z96" s="1"/>
    </row>
    <row r="97" ht="15.75" customHeight="1">
      <c r="A97" s="2">
        <f>IFERROR(__xludf.DUMMYFUNCTION("""COMPUTED_VALUE"""),48000.0)</f>
        <v>48000</v>
      </c>
      <c r="B97" s="2">
        <f>IFERROR(__xludf.DUMMYFUNCTION("""COMPUTED_VALUE"""),960.0)</f>
        <v>960</v>
      </c>
      <c r="C97" s="66">
        <f>IFERROR(__xludf.DUMMYFUNCTION("""COMPUTED_VALUE"""),4.56E7)</f>
        <v>45600000</v>
      </c>
      <c r="D97" s="1"/>
      <c r="E97" s="1"/>
      <c r="F97" s="1"/>
      <c r="G97" s="1"/>
      <c r="H97" s="1"/>
      <c r="I97" s="1"/>
      <c r="J97" s="1"/>
      <c r="K97" s="1"/>
      <c r="L97" s="1"/>
      <c r="M97" s="1"/>
      <c r="N97" s="1"/>
      <c r="O97" s="1"/>
      <c r="P97" s="1"/>
      <c r="Q97" s="1"/>
      <c r="R97" s="1"/>
      <c r="S97" s="1"/>
      <c r="T97" s="1"/>
      <c r="U97" s="1"/>
      <c r="V97" s="1"/>
      <c r="W97" s="1"/>
      <c r="X97" s="1"/>
      <c r="Y97" s="1"/>
      <c r="Z97" s="1"/>
    </row>
    <row r="98" ht="15.75" customHeight="1">
      <c r="A98" s="2">
        <f>IFERROR(__xludf.DUMMYFUNCTION("""COMPUTED_VALUE"""),48500.0)</f>
        <v>48500</v>
      </c>
      <c r="B98" s="2">
        <f>IFERROR(__xludf.DUMMYFUNCTION("""COMPUTED_VALUE"""),970.0)</f>
        <v>970</v>
      </c>
      <c r="C98" s="66">
        <f>IFERROR(__xludf.DUMMYFUNCTION("""COMPUTED_VALUE"""),4.656E7)</f>
        <v>46560000</v>
      </c>
      <c r="D98" s="1"/>
      <c r="E98" s="1"/>
      <c r="F98" s="1"/>
      <c r="G98" s="1"/>
      <c r="H98" s="1"/>
      <c r="I98" s="1"/>
      <c r="J98" s="1"/>
      <c r="K98" s="1"/>
      <c r="L98" s="1"/>
      <c r="M98" s="1"/>
      <c r="N98" s="1"/>
      <c r="O98" s="1"/>
      <c r="P98" s="1"/>
      <c r="Q98" s="1"/>
      <c r="R98" s="1"/>
      <c r="S98" s="1"/>
      <c r="T98" s="1"/>
      <c r="U98" s="1"/>
      <c r="V98" s="1"/>
      <c r="W98" s="1"/>
      <c r="X98" s="1"/>
      <c r="Y98" s="1"/>
      <c r="Z98" s="1"/>
    </row>
    <row r="99" ht="15.75" customHeight="1">
      <c r="A99" s="2">
        <f>IFERROR(__xludf.DUMMYFUNCTION("""COMPUTED_VALUE"""),49000.0)</f>
        <v>49000</v>
      </c>
      <c r="B99" s="2">
        <f>IFERROR(__xludf.DUMMYFUNCTION("""COMPUTED_VALUE"""),980.0)</f>
        <v>980</v>
      </c>
      <c r="C99" s="66">
        <f>IFERROR(__xludf.DUMMYFUNCTION("""COMPUTED_VALUE"""),4.753E7)</f>
        <v>47530000</v>
      </c>
      <c r="D99" s="1"/>
      <c r="E99" s="1"/>
      <c r="F99" s="1"/>
      <c r="G99" s="1"/>
      <c r="H99" s="1"/>
      <c r="I99" s="1"/>
      <c r="J99" s="1"/>
      <c r="K99" s="1"/>
      <c r="L99" s="1"/>
      <c r="M99" s="1"/>
      <c r="N99" s="1"/>
      <c r="O99" s="1"/>
      <c r="P99" s="1"/>
      <c r="Q99" s="1"/>
      <c r="R99" s="1"/>
      <c r="S99" s="1"/>
      <c r="T99" s="1"/>
      <c r="U99" s="1"/>
      <c r="V99" s="1"/>
      <c r="W99" s="1"/>
      <c r="X99" s="1"/>
      <c r="Y99" s="1"/>
      <c r="Z99" s="1"/>
    </row>
    <row r="100" ht="15.75" customHeight="1">
      <c r="A100" s="2">
        <f>IFERROR(__xludf.DUMMYFUNCTION("""COMPUTED_VALUE"""),49500.0)</f>
        <v>49500</v>
      </c>
      <c r="B100" s="2">
        <f>IFERROR(__xludf.DUMMYFUNCTION("""COMPUTED_VALUE"""),990.0)</f>
        <v>990</v>
      </c>
      <c r="C100" s="66">
        <f>IFERROR(__xludf.DUMMYFUNCTION("""COMPUTED_VALUE"""),4.851E7)</f>
        <v>48510000</v>
      </c>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2">
        <f>IFERROR(__xludf.DUMMYFUNCTION("""COMPUTED_VALUE"""),50000.0)</f>
        <v>50000</v>
      </c>
      <c r="B101" s="2">
        <f>IFERROR(__xludf.DUMMYFUNCTION("""COMPUTED_VALUE"""),1000.0)</f>
        <v>1000</v>
      </c>
      <c r="C101" s="66">
        <f>IFERROR(__xludf.DUMMYFUNCTION("""COMPUTED_VALUE"""),4.95E7)</f>
        <v>49500000</v>
      </c>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2">
        <f>IFERROR(__xludf.DUMMYFUNCTION("""COMPUTED_VALUE"""),50500.0)</f>
        <v>50500</v>
      </c>
      <c r="B102" s="2">
        <f>IFERROR(__xludf.DUMMYFUNCTION("""COMPUTED_VALUE"""),1010.0)</f>
        <v>1010</v>
      </c>
      <c r="C102" s="66">
        <f>IFERROR(__xludf.DUMMYFUNCTION("""COMPUTED_VALUE"""),5.05E7)</f>
        <v>50500000</v>
      </c>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2">
        <f>IFERROR(__xludf.DUMMYFUNCTION("""COMPUTED_VALUE"""),51000.0)</f>
        <v>51000</v>
      </c>
      <c r="B103" s="2">
        <f>IFERROR(__xludf.DUMMYFUNCTION("""COMPUTED_VALUE"""),1020.0)</f>
        <v>1020</v>
      </c>
      <c r="C103" s="66">
        <f>IFERROR(__xludf.DUMMYFUNCTION("""COMPUTED_VALUE"""),5.151E7)</f>
        <v>51510000</v>
      </c>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2">
        <f>IFERROR(__xludf.DUMMYFUNCTION("""COMPUTED_VALUE"""),51500.0)</f>
        <v>51500</v>
      </c>
      <c r="B104" s="2">
        <f>IFERROR(__xludf.DUMMYFUNCTION("""COMPUTED_VALUE"""),1030.0)</f>
        <v>1030</v>
      </c>
      <c r="C104" s="66">
        <f>IFERROR(__xludf.DUMMYFUNCTION("""COMPUTED_VALUE"""),5.253E7)</f>
        <v>52530000</v>
      </c>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2">
        <f>IFERROR(__xludf.DUMMYFUNCTION("""COMPUTED_VALUE"""),52000.0)</f>
        <v>52000</v>
      </c>
      <c r="B105" s="2">
        <f>IFERROR(__xludf.DUMMYFUNCTION("""COMPUTED_VALUE"""),1040.0)</f>
        <v>1040</v>
      </c>
      <c r="C105" s="66">
        <f>IFERROR(__xludf.DUMMYFUNCTION("""COMPUTED_VALUE"""),5.356E7)</f>
        <v>53560000</v>
      </c>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2">
        <f>IFERROR(__xludf.DUMMYFUNCTION("""COMPUTED_VALUE"""),52500.0)</f>
        <v>52500</v>
      </c>
      <c r="B106" s="2">
        <f>IFERROR(__xludf.DUMMYFUNCTION("""COMPUTED_VALUE"""),1050.0)</f>
        <v>1050</v>
      </c>
      <c r="C106" s="66">
        <f>IFERROR(__xludf.DUMMYFUNCTION("""COMPUTED_VALUE"""),5.46E7)</f>
        <v>54600000</v>
      </c>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2">
        <f>IFERROR(__xludf.DUMMYFUNCTION("""COMPUTED_VALUE"""),53000.0)</f>
        <v>53000</v>
      </c>
      <c r="B107" s="2">
        <f>IFERROR(__xludf.DUMMYFUNCTION("""COMPUTED_VALUE"""),1060.0)</f>
        <v>1060</v>
      </c>
      <c r="C107" s="66">
        <f>IFERROR(__xludf.DUMMYFUNCTION("""COMPUTED_VALUE"""),5.565E7)</f>
        <v>55650000</v>
      </c>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2">
        <f>IFERROR(__xludf.DUMMYFUNCTION("""COMPUTED_VALUE"""),53500.0)</f>
        <v>53500</v>
      </c>
      <c r="B108" s="2">
        <f>IFERROR(__xludf.DUMMYFUNCTION("""COMPUTED_VALUE"""),1070.0)</f>
        <v>1070</v>
      </c>
      <c r="C108" s="66">
        <f>IFERROR(__xludf.DUMMYFUNCTION("""COMPUTED_VALUE"""),5.671E7)</f>
        <v>56710000</v>
      </c>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2">
        <f>IFERROR(__xludf.DUMMYFUNCTION("""COMPUTED_VALUE"""),54000.0)</f>
        <v>54000</v>
      </c>
      <c r="B109" s="2">
        <f>IFERROR(__xludf.DUMMYFUNCTION("""COMPUTED_VALUE"""),1080.0)</f>
        <v>1080</v>
      </c>
      <c r="C109" s="66">
        <f>IFERROR(__xludf.DUMMYFUNCTION("""COMPUTED_VALUE"""),5.778E7)</f>
        <v>57780000</v>
      </c>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2">
        <f>IFERROR(__xludf.DUMMYFUNCTION("""COMPUTED_VALUE"""),54500.0)</f>
        <v>54500</v>
      </c>
      <c r="B110" s="2">
        <f>IFERROR(__xludf.DUMMYFUNCTION("""COMPUTED_VALUE"""),1090.0)</f>
        <v>1090</v>
      </c>
      <c r="C110" s="66">
        <f>IFERROR(__xludf.DUMMYFUNCTION("""COMPUTED_VALUE"""),5.886E7)</f>
        <v>58860000</v>
      </c>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2">
        <f>IFERROR(__xludf.DUMMYFUNCTION("""COMPUTED_VALUE"""),55000.0)</f>
        <v>55000</v>
      </c>
      <c r="B111" s="2">
        <f>IFERROR(__xludf.DUMMYFUNCTION("""COMPUTED_VALUE"""),1100.0)</f>
        <v>1100</v>
      </c>
      <c r="C111" s="66">
        <f>IFERROR(__xludf.DUMMYFUNCTION("""COMPUTED_VALUE"""),5.995E7)</f>
        <v>59950000</v>
      </c>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2">
        <f>IFERROR(__xludf.DUMMYFUNCTION("""COMPUTED_VALUE"""),55500.0)</f>
        <v>55500</v>
      </c>
      <c r="B112" s="2">
        <f>IFERROR(__xludf.DUMMYFUNCTION("""COMPUTED_VALUE"""),1110.0)</f>
        <v>1110</v>
      </c>
      <c r="C112" s="66">
        <f>IFERROR(__xludf.DUMMYFUNCTION("""COMPUTED_VALUE"""),6.105E7)</f>
        <v>61050000</v>
      </c>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2">
        <f>IFERROR(__xludf.DUMMYFUNCTION("""COMPUTED_VALUE"""),56000.0)</f>
        <v>56000</v>
      </c>
      <c r="B113" s="2">
        <f>IFERROR(__xludf.DUMMYFUNCTION("""COMPUTED_VALUE"""),1120.0)</f>
        <v>1120</v>
      </c>
      <c r="C113" s="66">
        <f>IFERROR(__xludf.DUMMYFUNCTION("""COMPUTED_VALUE"""),6.216E7)</f>
        <v>62160000</v>
      </c>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2">
        <f>IFERROR(__xludf.DUMMYFUNCTION("""COMPUTED_VALUE"""),56500.0)</f>
        <v>56500</v>
      </c>
      <c r="B114" s="2">
        <f>IFERROR(__xludf.DUMMYFUNCTION("""COMPUTED_VALUE"""),1130.0)</f>
        <v>1130</v>
      </c>
      <c r="C114" s="66">
        <f>IFERROR(__xludf.DUMMYFUNCTION("""COMPUTED_VALUE"""),6.328E7)</f>
        <v>63280000</v>
      </c>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2">
        <f>IFERROR(__xludf.DUMMYFUNCTION("""COMPUTED_VALUE"""),57000.0)</f>
        <v>57000</v>
      </c>
      <c r="B115" s="2">
        <f>IFERROR(__xludf.DUMMYFUNCTION("""COMPUTED_VALUE"""),1140.0)</f>
        <v>1140</v>
      </c>
      <c r="C115" s="66">
        <f>IFERROR(__xludf.DUMMYFUNCTION("""COMPUTED_VALUE"""),6.441E7)</f>
        <v>64410000</v>
      </c>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2">
        <f>IFERROR(__xludf.DUMMYFUNCTION("""COMPUTED_VALUE"""),57500.0)</f>
        <v>57500</v>
      </c>
      <c r="B116" s="2">
        <f>IFERROR(__xludf.DUMMYFUNCTION("""COMPUTED_VALUE"""),1150.0)</f>
        <v>1150</v>
      </c>
      <c r="C116" s="66">
        <f>IFERROR(__xludf.DUMMYFUNCTION("""COMPUTED_VALUE"""),6.555E7)</f>
        <v>65550000</v>
      </c>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2">
        <f>IFERROR(__xludf.DUMMYFUNCTION("""COMPUTED_VALUE"""),58000.0)</f>
        <v>58000</v>
      </c>
      <c r="B117" s="2">
        <f>IFERROR(__xludf.DUMMYFUNCTION("""COMPUTED_VALUE"""),1160.0)</f>
        <v>1160</v>
      </c>
      <c r="C117" s="66">
        <f>IFERROR(__xludf.DUMMYFUNCTION("""COMPUTED_VALUE"""),6.67E7)</f>
        <v>66700000</v>
      </c>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2">
        <f>IFERROR(__xludf.DUMMYFUNCTION("""COMPUTED_VALUE"""),58500.0)</f>
        <v>58500</v>
      </c>
      <c r="B118" s="2">
        <f>IFERROR(__xludf.DUMMYFUNCTION("""COMPUTED_VALUE"""),1170.0)</f>
        <v>1170</v>
      </c>
      <c r="C118" s="66">
        <f>IFERROR(__xludf.DUMMYFUNCTION("""COMPUTED_VALUE"""),6.786E7)</f>
        <v>67860000</v>
      </c>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2">
        <f>IFERROR(__xludf.DUMMYFUNCTION("""COMPUTED_VALUE"""),59000.0)</f>
        <v>59000</v>
      </c>
      <c r="B119" s="2">
        <f>IFERROR(__xludf.DUMMYFUNCTION("""COMPUTED_VALUE"""),1180.0)</f>
        <v>1180</v>
      </c>
      <c r="C119" s="66">
        <f>IFERROR(__xludf.DUMMYFUNCTION("""COMPUTED_VALUE"""),6.903E7)</f>
        <v>69030000</v>
      </c>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2">
        <f>IFERROR(__xludf.DUMMYFUNCTION("""COMPUTED_VALUE"""),59500.0)</f>
        <v>59500</v>
      </c>
      <c r="B120" s="2">
        <f>IFERROR(__xludf.DUMMYFUNCTION("""COMPUTED_VALUE"""),1190.0)</f>
        <v>1190</v>
      </c>
      <c r="C120" s="66">
        <f>IFERROR(__xludf.DUMMYFUNCTION("""COMPUTED_VALUE"""),7.021E7)</f>
        <v>70210000</v>
      </c>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2">
        <f>IFERROR(__xludf.DUMMYFUNCTION("""COMPUTED_VALUE"""),60000.0)</f>
        <v>60000</v>
      </c>
      <c r="B121" s="2">
        <f>IFERROR(__xludf.DUMMYFUNCTION("""COMPUTED_VALUE"""),1200.0)</f>
        <v>1200</v>
      </c>
      <c r="C121" s="66">
        <f>IFERROR(__xludf.DUMMYFUNCTION("""COMPUTED_VALUE"""),7.14E7)</f>
        <v>71400000</v>
      </c>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2">
        <f>IFERROR(__xludf.DUMMYFUNCTION("""COMPUTED_VALUE"""),60500.0)</f>
        <v>60500</v>
      </c>
      <c r="B122" s="2">
        <f>IFERROR(__xludf.DUMMYFUNCTION("""COMPUTED_VALUE"""),1210.0)</f>
        <v>1210</v>
      </c>
      <c r="C122" s="66">
        <f>IFERROR(__xludf.DUMMYFUNCTION("""COMPUTED_VALUE"""),7.26E7)</f>
        <v>72600000</v>
      </c>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2">
        <f>IFERROR(__xludf.DUMMYFUNCTION("""COMPUTED_VALUE"""),61000.0)</f>
        <v>61000</v>
      </c>
      <c r="B123" s="2">
        <f>IFERROR(__xludf.DUMMYFUNCTION("""COMPUTED_VALUE"""),1220.0)</f>
        <v>1220</v>
      </c>
      <c r="C123" s="66">
        <f>IFERROR(__xludf.DUMMYFUNCTION("""COMPUTED_VALUE"""),7.381E7)</f>
        <v>73810000</v>
      </c>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2">
        <f>IFERROR(__xludf.DUMMYFUNCTION("""COMPUTED_VALUE"""),61500.0)</f>
        <v>61500</v>
      </c>
      <c r="B124" s="2">
        <f>IFERROR(__xludf.DUMMYFUNCTION("""COMPUTED_VALUE"""),1230.0)</f>
        <v>1230</v>
      </c>
      <c r="C124" s="66">
        <f>IFERROR(__xludf.DUMMYFUNCTION("""COMPUTED_VALUE"""),7.503E7)</f>
        <v>75030000</v>
      </c>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2">
        <f>IFERROR(__xludf.DUMMYFUNCTION("""COMPUTED_VALUE"""),62000.0)</f>
        <v>62000</v>
      </c>
      <c r="B125" s="2">
        <f>IFERROR(__xludf.DUMMYFUNCTION("""COMPUTED_VALUE"""),1240.0)</f>
        <v>1240</v>
      </c>
      <c r="C125" s="66">
        <f>IFERROR(__xludf.DUMMYFUNCTION("""COMPUTED_VALUE"""),7.626E7)</f>
        <v>76260000</v>
      </c>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2">
        <f>IFERROR(__xludf.DUMMYFUNCTION("""COMPUTED_VALUE"""),62500.0)</f>
        <v>62500</v>
      </c>
      <c r="B126" s="2">
        <f>IFERROR(__xludf.DUMMYFUNCTION("""COMPUTED_VALUE"""),1250.0)</f>
        <v>1250</v>
      </c>
      <c r="C126" s="66">
        <f>IFERROR(__xludf.DUMMYFUNCTION("""COMPUTED_VALUE"""),7.75E7)</f>
        <v>77500000</v>
      </c>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2">
        <f>IFERROR(__xludf.DUMMYFUNCTION("""COMPUTED_VALUE"""),63000.0)</f>
        <v>63000</v>
      </c>
      <c r="B127" s="2">
        <f>IFERROR(__xludf.DUMMYFUNCTION("""COMPUTED_VALUE"""),1260.0)</f>
        <v>1260</v>
      </c>
      <c r="C127" s="66">
        <f>IFERROR(__xludf.DUMMYFUNCTION("""COMPUTED_VALUE"""),7.875E7)</f>
        <v>78750000</v>
      </c>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2">
        <f>IFERROR(__xludf.DUMMYFUNCTION("""COMPUTED_VALUE"""),63500.0)</f>
        <v>63500</v>
      </c>
      <c r="B128" s="2">
        <f>IFERROR(__xludf.DUMMYFUNCTION("""COMPUTED_VALUE"""),1270.0)</f>
        <v>1270</v>
      </c>
      <c r="C128" s="66">
        <f>IFERROR(__xludf.DUMMYFUNCTION("""COMPUTED_VALUE"""),8.001E7)</f>
        <v>80010000</v>
      </c>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2">
        <f>IFERROR(__xludf.DUMMYFUNCTION("""COMPUTED_VALUE"""),64000.0)</f>
        <v>64000</v>
      </c>
      <c r="B129" s="2">
        <f>IFERROR(__xludf.DUMMYFUNCTION("""COMPUTED_VALUE"""),1280.0)</f>
        <v>1280</v>
      </c>
      <c r="C129" s="66">
        <f>IFERROR(__xludf.DUMMYFUNCTION("""COMPUTED_VALUE"""),8.128E7)</f>
        <v>81280000</v>
      </c>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2">
        <f>IFERROR(__xludf.DUMMYFUNCTION("""COMPUTED_VALUE"""),64500.0)</f>
        <v>64500</v>
      </c>
      <c r="B130" s="2">
        <f>IFERROR(__xludf.DUMMYFUNCTION("""COMPUTED_VALUE"""),1290.0)</f>
        <v>1290</v>
      </c>
      <c r="C130" s="66">
        <f>IFERROR(__xludf.DUMMYFUNCTION("""COMPUTED_VALUE"""),8.256E7)</f>
        <v>82560000</v>
      </c>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2">
        <f>IFERROR(__xludf.DUMMYFUNCTION("""COMPUTED_VALUE"""),65000.0)</f>
        <v>65000</v>
      </c>
      <c r="B131" s="2">
        <f>IFERROR(__xludf.DUMMYFUNCTION("""COMPUTED_VALUE"""),1300.0)</f>
        <v>1300</v>
      </c>
      <c r="C131" s="66">
        <f>IFERROR(__xludf.DUMMYFUNCTION("""COMPUTED_VALUE"""),8.385E7)</f>
        <v>83850000</v>
      </c>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2">
        <f>IFERROR(__xludf.DUMMYFUNCTION("""COMPUTED_VALUE"""),65500.0)</f>
        <v>65500</v>
      </c>
      <c r="B132" s="2">
        <f>IFERROR(__xludf.DUMMYFUNCTION("""COMPUTED_VALUE"""),1310.0)</f>
        <v>1310</v>
      </c>
      <c r="C132" s="66">
        <f>IFERROR(__xludf.DUMMYFUNCTION("""COMPUTED_VALUE"""),8.515E7)</f>
        <v>85150000</v>
      </c>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2">
        <f>IFERROR(__xludf.DUMMYFUNCTION("""COMPUTED_VALUE"""),66000.0)</f>
        <v>66000</v>
      </c>
      <c r="B133" s="2">
        <f>IFERROR(__xludf.DUMMYFUNCTION("""COMPUTED_VALUE"""),1320.0)</f>
        <v>1320</v>
      </c>
      <c r="C133" s="66">
        <f>IFERROR(__xludf.DUMMYFUNCTION("""COMPUTED_VALUE"""),8.646E7)</f>
        <v>86460000</v>
      </c>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2">
        <f>IFERROR(__xludf.DUMMYFUNCTION("""COMPUTED_VALUE"""),66500.0)</f>
        <v>66500</v>
      </c>
      <c r="B134" s="2">
        <f>IFERROR(__xludf.DUMMYFUNCTION("""COMPUTED_VALUE"""),1330.0)</f>
        <v>1330</v>
      </c>
      <c r="C134" s="66">
        <f>IFERROR(__xludf.DUMMYFUNCTION("""COMPUTED_VALUE"""),8.778E7)</f>
        <v>87780000</v>
      </c>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2">
        <f>IFERROR(__xludf.DUMMYFUNCTION("""COMPUTED_VALUE"""),67000.0)</f>
        <v>67000</v>
      </c>
      <c r="B135" s="2">
        <f>IFERROR(__xludf.DUMMYFUNCTION("""COMPUTED_VALUE"""),1340.0)</f>
        <v>1340</v>
      </c>
      <c r="C135" s="66">
        <f>IFERROR(__xludf.DUMMYFUNCTION("""COMPUTED_VALUE"""),8.911E7)</f>
        <v>89110000</v>
      </c>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2">
        <f>IFERROR(__xludf.DUMMYFUNCTION("""COMPUTED_VALUE"""),67500.0)</f>
        <v>67500</v>
      </c>
      <c r="B136" s="2">
        <f>IFERROR(__xludf.DUMMYFUNCTION("""COMPUTED_VALUE"""),1350.0)</f>
        <v>1350</v>
      </c>
      <c r="C136" s="66">
        <f>IFERROR(__xludf.DUMMYFUNCTION("""COMPUTED_VALUE"""),9.045E7)</f>
        <v>90450000</v>
      </c>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2">
        <f>IFERROR(__xludf.DUMMYFUNCTION("""COMPUTED_VALUE"""),68000.0)</f>
        <v>68000</v>
      </c>
      <c r="B137" s="2">
        <f>IFERROR(__xludf.DUMMYFUNCTION("""COMPUTED_VALUE"""),1360.0)</f>
        <v>1360</v>
      </c>
      <c r="C137" s="66">
        <f>IFERROR(__xludf.DUMMYFUNCTION("""COMPUTED_VALUE"""),9.18E7)</f>
        <v>91800000</v>
      </c>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2">
        <f>IFERROR(__xludf.DUMMYFUNCTION("""COMPUTED_VALUE"""),68500.0)</f>
        <v>68500</v>
      </c>
      <c r="B138" s="2">
        <f>IFERROR(__xludf.DUMMYFUNCTION("""COMPUTED_VALUE"""),1370.0)</f>
        <v>1370</v>
      </c>
      <c r="C138" s="66">
        <f>IFERROR(__xludf.DUMMYFUNCTION("""COMPUTED_VALUE"""),9.316E7)</f>
        <v>93160000</v>
      </c>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2">
        <f>IFERROR(__xludf.DUMMYFUNCTION("""COMPUTED_VALUE"""),69000.0)</f>
        <v>69000</v>
      </c>
      <c r="B139" s="2">
        <f>IFERROR(__xludf.DUMMYFUNCTION("""COMPUTED_VALUE"""),1380.0)</f>
        <v>1380</v>
      </c>
      <c r="C139" s="66">
        <f>IFERROR(__xludf.DUMMYFUNCTION("""COMPUTED_VALUE"""),9.453E7)</f>
        <v>94530000</v>
      </c>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2">
        <f>IFERROR(__xludf.DUMMYFUNCTION("""COMPUTED_VALUE"""),69500.0)</f>
        <v>69500</v>
      </c>
      <c r="B140" s="2">
        <f>IFERROR(__xludf.DUMMYFUNCTION("""COMPUTED_VALUE"""),1390.0)</f>
        <v>1390</v>
      </c>
      <c r="C140" s="66">
        <f>IFERROR(__xludf.DUMMYFUNCTION("""COMPUTED_VALUE"""),9.591E7)</f>
        <v>95910000</v>
      </c>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2">
        <f>IFERROR(__xludf.DUMMYFUNCTION("""COMPUTED_VALUE"""),70000.0)</f>
        <v>70000</v>
      </c>
      <c r="B141" s="2">
        <f>IFERROR(__xludf.DUMMYFUNCTION("""COMPUTED_VALUE"""),1400.0)</f>
        <v>1400</v>
      </c>
      <c r="C141" s="66">
        <f>IFERROR(__xludf.DUMMYFUNCTION("""COMPUTED_VALUE"""),9.73E7)</f>
        <v>97300000</v>
      </c>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2">
        <f>IFERROR(__xludf.DUMMYFUNCTION("""COMPUTED_VALUE"""),70500.0)</f>
        <v>70500</v>
      </c>
      <c r="B142" s="2">
        <f>IFERROR(__xludf.DUMMYFUNCTION("""COMPUTED_VALUE"""),1410.0)</f>
        <v>1410</v>
      </c>
      <c r="C142" s="66">
        <f>IFERROR(__xludf.DUMMYFUNCTION("""COMPUTED_VALUE"""),9.87E7)</f>
        <v>98700000</v>
      </c>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2">
        <f>IFERROR(__xludf.DUMMYFUNCTION("""COMPUTED_VALUE"""),71000.0)</f>
        <v>71000</v>
      </c>
      <c r="B143" s="2">
        <f>IFERROR(__xludf.DUMMYFUNCTION("""COMPUTED_VALUE"""),1420.0)</f>
        <v>1420</v>
      </c>
      <c r="C143" s="66">
        <f>IFERROR(__xludf.DUMMYFUNCTION("""COMPUTED_VALUE"""),1.0011E8)</f>
        <v>100110000</v>
      </c>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2">
        <f>IFERROR(__xludf.DUMMYFUNCTION("""COMPUTED_VALUE"""),71500.0)</f>
        <v>71500</v>
      </c>
      <c r="B144" s="2">
        <f>IFERROR(__xludf.DUMMYFUNCTION("""COMPUTED_VALUE"""),1430.0)</f>
        <v>1430</v>
      </c>
      <c r="C144" s="66">
        <f>IFERROR(__xludf.DUMMYFUNCTION("""COMPUTED_VALUE"""),1.0153E8)</f>
        <v>101530000</v>
      </c>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2">
        <f>IFERROR(__xludf.DUMMYFUNCTION("""COMPUTED_VALUE"""),72000.0)</f>
        <v>72000</v>
      </c>
      <c r="B145" s="2">
        <f>IFERROR(__xludf.DUMMYFUNCTION("""COMPUTED_VALUE"""),1440.0)</f>
        <v>1440</v>
      </c>
      <c r="C145" s="66">
        <f>IFERROR(__xludf.DUMMYFUNCTION("""COMPUTED_VALUE"""),1.0296E8)</f>
        <v>102960000</v>
      </c>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2">
        <f>IFERROR(__xludf.DUMMYFUNCTION("""COMPUTED_VALUE"""),72500.0)</f>
        <v>72500</v>
      </c>
      <c r="B146" s="2">
        <f>IFERROR(__xludf.DUMMYFUNCTION("""COMPUTED_VALUE"""),1450.0)</f>
        <v>1450</v>
      </c>
      <c r="C146" s="66">
        <f>IFERROR(__xludf.DUMMYFUNCTION("""COMPUTED_VALUE"""),1.044E8)</f>
        <v>104400000</v>
      </c>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2">
        <f>IFERROR(__xludf.DUMMYFUNCTION("""COMPUTED_VALUE"""),73000.0)</f>
        <v>73000</v>
      </c>
      <c r="B147" s="2">
        <f>IFERROR(__xludf.DUMMYFUNCTION("""COMPUTED_VALUE"""),1460.0)</f>
        <v>1460</v>
      </c>
      <c r="C147" s="66">
        <f>IFERROR(__xludf.DUMMYFUNCTION("""COMPUTED_VALUE"""),1.0585E8)</f>
        <v>105850000</v>
      </c>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2">
        <f>IFERROR(__xludf.DUMMYFUNCTION("""COMPUTED_VALUE"""),73500.0)</f>
        <v>73500</v>
      </c>
      <c r="B148" s="2">
        <f>IFERROR(__xludf.DUMMYFUNCTION("""COMPUTED_VALUE"""),1470.0)</f>
        <v>1470</v>
      </c>
      <c r="C148" s="66">
        <f>IFERROR(__xludf.DUMMYFUNCTION("""COMPUTED_VALUE"""),1.0731E8)</f>
        <v>107310000</v>
      </c>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2">
        <f>IFERROR(__xludf.DUMMYFUNCTION("""COMPUTED_VALUE"""),74000.0)</f>
        <v>74000</v>
      </c>
      <c r="B149" s="2">
        <f>IFERROR(__xludf.DUMMYFUNCTION("""COMPUTED_VALUE"""),1480.0)</f>
        <v>1480</v>
      </c>
      <c r="C149" s="66">
        <f>IFERROR(__xludf.DUMMYFUNCTION("""COMPUTED_VALUE"""),1.0878E8)</f>
        <v>108780000</v>
      </c>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2">
        <f>IFERROR(__xludf.DUMMYFUNCTION("""COMPUTED_VALUE"""),74500.0)</f>
        <v>74500</v>
      </c>
      <c r="B150" s="2">
        <f>IFERROR(__xludf.DUMMYFUNCTION("""COMPUTED_VALUE"""),1490.0)</f>
        <v>1490</v>
      </c>
      <c r="C150" s="66">
        <f>IFERROR(__xludf.DUMMYFUNCTION("""COMPUTED_VALUE"""),1.1026E8)</f>
        <v>110260000</v>
      </c>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2">
        <f>IFERROR(__xludf.DUMMYFUNCTION("""COMPUTED_VALUE"""),75000.0)</f>
        <v>75000</v>
      </c>
      <c r="B151" s="2">
        <f>IFERROR(__xludf.DUMMYFUNCTION("""COMPUTED_VALUE"""),1500.0)</f>
        <v>1500</v>
      </c>
      <c r="C151" s="66">
        <f>IFERROR(__xludf.DUMMYFUNCTION("""COMPUTED_VALUE"""),1.1175E8)</f>
        <v>111750000</v>
      </c>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2">
        <f>IFERROR(__xludf.DUMMYFUNCTION("""COMPUTED_VALUE"""),75500.0)</f>
        <v>75500</v>
      </c>
      <c r="B152" s="2">
        <f>IFERROR(__xludf.DUMMYFUNCTION("""COMPUTED_VALUE"""),1510.0)</f>
        <v>1510</v>
      </c>
      <c r="C152" s="66">
        <f>IFERROR(__xludf.DUMMYFUNCTION("""COMPUTED_VALUE"""),1.1325E8)</f>
        <v>113250000</v>
      </c>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2">
        <f>IFERROR(__xludf.DUMMYFUNCTION("""COMPUTED_VALUE"""),76000.0)</f>
        <v>76000</v>
      </c>
      <c r="B153" s="2">
        <f>IFERROR(__xludf.DUMMYFUNCTION("""COMPUTED_VALUE"""),1520.0)</f>
        <v>1520</v>
      </c>
      <c r="C153" s="66">
        <f>IFERROR(__xludf.DUMMYFUNCTION("""COMPUTED_VALUE"""),1.1476E8)</f>
        <v>114760000</v>
      </c>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2">
        <f>IFERROR(__xludf.DUMMYFUNCTION("""COMPUTED_VALUE"""),76500.0)</f>
        <v>76500</v>
      </c>
      <c r="B154" s="2">
        <f>IFERROR(__xludf.DUMMYFUNCTION("""COMPUTED_VALUE"""),1530.0)</f>
        <v>1530</v>
      </c>
      <c r="C154" s="66">
        <f>IFERROR(__xludf.DUMMYFUNCTION("""COMPUTED_VALUE"""),1.1628E8)</f>
        <v>116280000</v>
      </c>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2">
        <f>IFERROR(__xludf.DUMMYFUNCTION("""COMPUTED_VALUE"""),77000.0)</f>
        <v>77000</v>
      </c>
      <c r="B155" s="2">
        <f>IFERROR(__xludf.DUMMYFUNCTION("""COMPUTED_VALUE"""),1540.0)</f>
        <v>1540</v>
      </c>
      <c r="C155" s="66">
        <f>IFERROR(__xludf.DUMMYFUNCTION("""COMPUTED_VALUE"""),1.1781E8)</f>
        <v>117810000</v>
      </c>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2">
        <f>IFERROR(__xludf.DUMMYFUNCTION("""COMPUTED_VALUE"""),77500.0)</f>
        <v>77500</v>
      </c>
      <c r="B156" s="2">
        <f>IFERROR(__xludf.DUMMYFUNCTION("""COMPUTED_VALUE"""),1550.0)</f>
        <v>1550</v>
      </c>
      <c r="C156" s="66">
        <f>IFERROR(__xludf.DUMMYFUNCTION("""COMPUTED_VALUE"""),1.1935E8)</f>
        <v>119350000</v>
      </c>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2">
        <f>IFERROR(__xludf.DUMMYFUNCTION("""COMPUTED_VALUE"""),78000.0)</f>
        <v>78000</v>
      </c>
      <c r="B157" s="2">
        <f>IFERROR(__xludf.DUMMYFUNCTION("""COMPUTED_VALUE"""),1560.0)</f>
        <v>1560</v>
      </c>
      <c r="C157" s="66">
        <f>IFERROR(__xludf.DUMMYFUNCTION("""COMPUTED_VALUE"""),1.209E8)</f>
        <v>120900000</v>
      </c>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2">
        <f>IFERROR(__xludf.DUMMYFUNCTION("""COMPUTED_VALUE"""),78500.0)</f>
        <v>78500</v>
      </c>
      <c r="B158" s="2">
        <f>IFERROR(__xludf.DUMMYFUNCTION("""COMPUTED_VALUE"""),1570.0)</f>
        <v>1570</v>
      </c>
      <c r="C158" s="66">
        <f>IFERROR(__xludf.DUMMYFUNCTION("""COMPUTED_VALUE"""),1.2246E8)</f>
        <v>122460000</v>
      </c>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2">
        <f>IFERROR(__xludf.DUMMYFUNCTION("""COMPUTED_VALUE"""),79000.0)</f>
        <v>79000</v>
      </c>
      <c r="B159" s="2">
        <f>IFERROR(__xludf.DUMMYFUNCTION("""COMPUTED_VALUE"""),1580.0)</f>
        <v>1580</v>
      </c>
      <c r="C159" s="66">
        <f>IFERROR(__xludf.DUMMYFUNCTION("""COMPUTED_VALUE"""),1.2403E8)</f>
        <v>124030000</v>
      </c>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2">
        <f>IFERROR(__xludf.DUMMYFUNCTION("""COMPUTED_VALUE"""),79500.0)</f>
        <v>79500</v>
      </c>
      <c r="B160" s="2">
        <f>IFERROR(__xludf.DUMMYFUNCTION("""COMPUTED_VALUE"""),1590.0)</f>
        <v>1590</v>
      </c>
      <c r="C160" s="66">
        <f>IFERROR(__xludf.DUMMYFUNCTION("""COMPUTED_VALUE"""),1.2561E8)</f>
        <v>125610000</v>
      </c>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2">
        <f>IFERROR(__xludf.DUMMYFUNCTION("""COMPUTED_VALUE"""),80000.0)</f>
        <v>80000</v>
      </c>
      <c r="B161" s="2">
        <f>IFERROR(__xludf.DUMMYFUNCTION("""COMPUTED_VALUE"""),1600.0)</f>
        <v>1600</v>
      </c>
      <c r="C161" s="66">
        <f>IFERROR(__xludf.DUMMYFUNCTION("""COMPUTED_VALUE"""),1.272E8)</f>
        <v>127200000</v>
      </c>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2">
        <f>IFERROR(__xludf.DUMMYFUNCTION("""COMPUTED_VALUE"""),80500.0)</f>
        <v>80500</v>
      </c>
      <c r="B162" s="2">
        <f>IFERROR(__xludf.DUMMYFUNCTION("""COMPUTED_VALUE"""),1610.0)</f>
        <v>1610</v>
      </c>
      <c r="C162" s="66">
        <f>IFERROR(__xludf.DUMMYFUNCTION("""COMPUTED_VALUE"""),1.288E8)</f>
        <v>128800000</v>
      </c>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2">
        <f>IFERROR(__xludf.DUMMYFUNCTION("""COMPUTED_VALUE"""),81000.0)</f>
        <v>81000</v>
      </c>
      <c r="B163" s="2">
        <f>IFERROR(__xludf.DUMMYFUNCTION("""COMPUTED_VALUE"""),1620.0)</f>
        <v>1620</v>
      </c>
      <c r="C163" s="66">
        <f>IFERROR(__xludf.DUMMYFUNCTION("""COMPUTED_VALUE"""),1.3041E8)</f>
        <v>130410000</v>
      </c>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2">
        <f>IFERROR(__xludf.DUMMYFUNCTION("""COMPUTED_VALUE"""),81500.0)</f>
        <v>81500</v>
      </c>
      <c r="B164" s="2">
        <f>IFERROR(__xludf.DUMMYFUNCTION("""COMPUTED_VALUE"""),1630.0)</f>
        <v>1630</v>
      </c>
      <c r="C164" s="66">
        <f>IFERROR(__xludf.DUMMYFUNCTION("""COMPUTED_VALUE"""),1.3203E8)</f>
        <v>132030000</v>
      </c>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2">
        <f>IFERROR(__xludf.DUMMYFUNCTION("""COMPUTED_VALUE"""),82000.0)</f>
        <v>82000</v>
      </c>
      <c r="B165" s="2">
        <f>IFERROR(__xludf.DUMMYFUNCTION("""COMPUTED_VALUE"""),1640.0)</f>
        <v>1640</v>
      </c>
      <c r="C165" s="66">
        <f>IFERROR(__xludf.DUMMYFUNCTION("""COMPUTED_VALUE"""),1.3366E8)</f>
        <v>133660000</v>
      </c>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2">
        <f>IFERROR(__xludf.DUMMYFUNCTION("""COMPUTED_VALUE"""),82500.0)</f>
        <v>82500</v>
      </c>
      <c r="B166" s="2">
        <f>IFERROR(__xludf.DUMMYFUNCTION("""COMPUTED_VALUE"""),1650.0)</f>
        <v>1650</v>
      </c>
      <c r="C166" s="66">
        <f>IFERROR(__xludf.DUMMYFUNCTION("""COMPUTED_VALUE"""),1.353E8)</f>
        <v>135300000</v>
      </c>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2">
        <f>IFERROR(__xludf.DUMMYFUNCTION("""COMPUTED_VALUE"""),83000.0)</f>
        <v>83000</v>
      </c>
      <c r="B167" s="2">
        <f>IFERROR(__xludf.DUMMYFUNCTION("""COMPUTED_VALUE"""),1660.0)</f>
        <v>1660</v>
      </c>
      <c r="C167" s="66">
        <f>IFERROR(__xludf.DUMMYFUNCTION("""COMPUTED_VALUE"""),1.3695E8)</f>
        <v>136950000</v>
      </c>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2">
        <f>IFERROR(__xludf.DUMMYFUNCTION("""COMPUTED_VALUE"""),83500.0)</f>
        <v>83500</v>
      </c>
      <c r="B168" s="2">
        <f>IFERROR(__xludf.DUMMYFUNCTION("""COMPUTED_VALUE"""),1670.0)</f>
        <v>1670</v>
      </c>
      <c r="C168" s="66">
        <f>IFERROR(__xludf.DUMMYFUNCTION("""COMPUTED_VALUE"""),1.3861E8)</f>
        <v>138610000</v>
      </c>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2">
        <f>IFERROR(__xludf.DUMMYFUNCTION("""COMPUTED_VALUE"""),84000.0)</f>
        <v>84000</v>
      </c>
      <c r="B169" s="2">
        <f>IFERROR(__xludf.DUMMYFUNCTION("""COMPUTED_VALUE"""),1680.0)</f>
        <v>1680</v>
      </c>
      <c r="C169" s="66">
        <f>IFERROR(__xludf.DUMMYFUNCTION("""COMPUTED_VALUE"""),1.4028E8)</f>
        <v>140280000</v>
      </c>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2">
        <f>IFERROR(__xludf.DUMMYFUNCTION("""COMPUTED_VALUE"""),84500.0)</f>
        <v>84500</v>
      </c>
      <c r="B170" s="2">
        <f>IFERROR(__xludf.DUMMYFUNCTION("""COMPUTED_VALUE"""),1690.0)</f>
        <v>1690</v>
      </c>
      <c r="C170" s="66">
        <f>IFERROR(__xludf.DUMMYFUNCTION("""COMPUTED_VALUE"""),1.4196E8)</f>
        <v>141960000</v>
      </c>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2">
        <f>IFERROR(__xludf.DUMMYFUNCTION("""COMPUTED_VALUE"""),85000.0)</f>
        <v>85000</v>
      </c>
      <c r="B171" s="2">
        <f>IFERROR(__xludf.DUMMYFUNCTION("""COMPUTED_VALUE"""),1700.0)</f>
        <v>1700</v>
      </c>
      <c r="C171" s="66">
        <f>IFERROR(__xludf.DUMMYFUNCTION("""COMPUTED_VALUE"""),1.4365E8)</f>
        <v>143650000</v>
      </c>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2">
        <f>IFERROR(__xludf.DUMMYFUNCTION("""COMPUTED_VALUE"""),85500.0)</f>
        <v>85500</v>
      </c>
      <c r="B172" s="2">
        <f>IFERROR(__xludf.DUMMYFUNCTION("""COMPUTED_VALUE"""),1710.0)</f>
        <v>1710</v>
      </c>
      <c r="C172" s="66">
        <f>IFERROR(__xludf.DUMMYFUNCTION("""COMPUTED_VALUE"""),1.4535E8)</f>
        <v>145350000</v>
      </c>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2">
        <f>IFERROR(__xludf.DUMMYFUNCTION("""COMPUTED_VALUE"""),86000.0)</f>
        <v>86000</v>
      </c>
      <c r="B173" s="2">
        <f>IFERROR(__xludf.DUMMYFUNCTION("""COMPUTED_VALUE"""),1720.0)</f>
        <v>1720</v>
      </c>
      <c r="C173" s="66">
        <f>IFERROR(__xludf.DUMMYFUNCTION("""COMPUTED_VALUE"""),1.4706E8)</f>
        <v>147060000</v>
      </c>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2">
        <f>IFERROR(__xludf.DUMMYFUNCTION("""COMPUTED_VALUE"""),86500.0)</f>
        <v>86500</v>
      </c>
      <c r="B174" s="2">
        <f>IFERROR(__xludf.DUMMYFUNCTION("""COMPUTED_VALUE"""),1730.0)</f>
        <v>1730</v>
      </c>
      <c r="C174" s="66">
        <f>IFERROR(__xludf.DUMMYFUNCTION("""COMPUTED_VALUE"""),1.4878E8)</f>
        <v>148780000</v>
      </c>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2">
        <f>IFERROR(__xludf.DUMMYFUNCTION("""COMPUTED_VALUE"""),87000.0)</f>
        <v>87000</v>
      </c>
      <c r="B175" s="2">
        <f>IFERROR(__xludf.DUMMYFUNCTION("""COMPUTED_VALUE"""),1740.0)</f>
        <v>1740</v>
      </c>
      <c r="C175" s="66">
        <f>IFERROR(__xludf.DUMMYFUNCTION("""COMPUTED_VALUE"""),1.5051E8)</f>
        <v>150510000</v>
      </c>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2">
        <f>IFERROR(__xludf.DUMMYFUNCTION("""COMPUTED_VALUE"""),87500.0)</f>
        <v>87500</v>
      </c>
      <c r="B176" s="2">
        <f>IFERROR(__xludf.DUMMYFUNCTION("""COMPUTED_VALUE"""),1750.0)</f>
        <v>1750</v>
      </c>
      <c r="C176" s="66">
        <f>IFERROR(__xludf.DUMMYFUNCTION("""COMPUTED_VALUE"""),1.5225E8)</f>
        <v>152250000</v>
      </c>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2">
        <f>IFERROR(__xludf.DUMMYFUNCTION("""COMPUTED_VALUE"""),88000.0)</f>
        <v>88000</v>
      </c>
      <c r="B177" s="2">
        <f>IFERROR(__xludf.DUMMYFUNCTION("""COMPUTED_VALUE"""),1760.0)</f>
        <v>1760</v>
      </c>
      <c r="C177" s="66">
        <f>IFERROR(__xludf.DUMMYFUNCTION("""COMPUTED_VALUE"""),1.54E8)</f>
        <v>154000000</v>
      </c>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2">
        <f>IFERROR(__xludf.DUMMYFUNCTION("""COMPUTED_VALUE"""),88500.0)</f>
        <v>88500</v>
      </c>
      <c r="B178" s="2">
        <f>IFERROR(__xludf.DUMMYFUNCTION("""COMPUTED_VALUE"""),1770.0)</f>
        <v>1770</v>
      </c>
      <c r="C178" s="66">
        <f>IFERROR(__xludf.DUMMYFUNCTION("""COMPUTED_VALUE"""),1.5576E8)</f>
        <v>155760000</v>
      </c>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2">
        <f>IFERROR(__xludf.DUMMYFUNCTION("""COMPUTED_VALUE"""),89000.0)</f>
        <v>89000</v>
      </c>
      <c r="B179" s="2">
        <f>IFERROR(__xludf.DUMMYFUNCTION("""COMPUTED_VALUE"""),1780.0)</f>
        <v>1780</v>
      </c>
      <c r="C179" s="66">
        <f>IFERROR(__xludf.DUMMYFUNCTION("""COMPUTED_VALUE"""),1.5753E8)</f>
        <v>157530000</v>
      </c>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2">
        <f>IFERROR(__xludf.DUMMYFUNCTION("""COMPUTED_VALUE"""),89500.0)</f>
        <v>89500</v>
      </c>
      <c r="B180" s="2">
        <f>IFERROR(__xludf.DUMMYFUNCTION("""COMPUTED_VALUE"""),1790.0)</f>
        <v>1790</v>
      </c>
      <c r="C180" s="66">
        <f>IFERROR(__xludf.DUMMYFUNCTION("""COMPUTED_VALUE"""),1.5931E8)</f>
        <v>159310000</v>
      </c>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2">
        <f>IFERROR(__xludf.DUMMYFUNCTION("""COMPUTED_VALUE"""),90000.0)</f>
        <v>90000</v>
      </c>
      <c r="B181" s="2">
        <f>IFERROR(__xludf.DUMMYFUNCTION("""COMPUTED_VALUE"""),1800.0)</f>
        <v>1800</v>
      </c>
      <c r="C181" s="66">
        <f>IFERROR(__xludf.DUMMYFUNCTION("""COMPUTED_VALUE"""),1.611E8)</f>
        <v>161100000</v>
      </c>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2">
        <f>IFERROR(__xludf.DUMMYFUNCTION("""COMPUTED_VALUE"""),90500.0)</f>
        <v>90500</v>
      </c>
      <c r="B182" s="2">
        <f>IFERROR(__xludf.DUMMYFUNCTION("""COMPUTED_VALUE"""),1810.0)</f>
        <v>1810</v>
      </c>
      <c r="C182" s="66">
        <f>IFERROR(__xludf.DUMMYFUNCTION("""COMPUTED_VALUE"""),1.629E8)</f>
        <v>162900000</v>
      </c>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2">
        <f>IFERROR(__xludf.DUMMYFUNCTION("""COMPUTED_VALUE"""),91000.0)</f>
        <v>91000</v>
      </c>
      <c r="B183" s="2">
        <f>IFERROR(__xludf.DUMMYFUNCTION("""COMPUTED_VALUE"""),1820.0)</f>
        <v>1820</v>
      </c>
      <c r="C183" s="66">
        <f>IFERROR(__xludf.DUMMYFUNCTION("""COMPUTED_VALUE"""),1.6471E8)</f>
        <v>164710000</v>
      </c>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2">
        <f>IFERROR(__xludf.DUMMYFUNCTION("""COMPUTED_VALUE"""),91500.0)</f>
        <v>91500</v>
      </c>
      <c r="B184" s="2">
        <f>IFERROR(__xludf.DUMMYFUNCTION("""COMPUTED_VALUE"""),1830.0)</f>
        <v>1830</v>
      </c>
      <c r="C184" s="66">
        <f>IFERROR(__xludf.DUMMYFUNCTION("""COMPUTED_VALUE"""),1.6653E8)</f>
        <v>166530000</v>
      </c>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2">
        <f>IFERROR(__xludf.DUMMYFUNCTION("""COMPUTED_VALUE"""),92000.0)</f>
        <v>92000</v>
      </c>
      <c r="B185" s="2">
        <f>IFERROR(__xludf.DUMMYFUNCTION("""COMPUTED_VALUE"""),1840.0)</f>
        <v>1840</v>
      </c>
      <c r="C185" s="66">
        <f>IFERROR(__xludf.DUMMYFUNCTION("""COMPUTED_VALUE"""),1.6836E8)</f>
        <v>168360000</v>
      </c>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2">
        <f>IFERROR(__xludf.DUMMYFUNCTION("""COMPUTED_VALUE"""),92500.0)</f>
        <v>92500</v>
      </c>
      <c r="B186" s="2">
        <f>IFERROR(__xludf.DUMMYFUNCTION("""COMPUTED_VALUE"""),1850.0)</f>
        <v>1850</v>
      </c>
      <c r="C186" s="66">
        <f>IFERROR(__xludf.DUMMYFUNCTION("""COMPUTED_VALUE"""),1.702E8)</f>
        <v>170200000</v>
      </c>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2">
        <f>IFERROR(__xludf.DUMMYFUNCTION("""COMPUTED_VALUE"""),93000.0)</f>
        <v>93000</v>
      </c>
      <c r="B187" s="2">
        <f>IFERROR(__xludf.DUMMYFUNCTION("""COMPUTED_VALUE"""),1860.0)</f>
        <v>1860</v>
      </c>
      <c r="C187" s="66">
        <f>IFERROR(__xludf.DUMMYFUNCTION("""COMPUTED_VALUE"""),1.7205E8)</f>
        <v>172050000</v>
      </c>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2">
        <f>IFERROR(__xludf.DUMMYFUNCTION("""COMPUTED_VALUE"""),93500.0)</f>
        <v>93500</v>
      </c>
      <c r="B188" s="2">
        <f>IFERROR(__xludf.DUMMYFUNCTION("""COMPUTED_VALUE"""),1870.0)</f>
        <v>1870</v>
      </c>
      <c r="C188" s="66">
        <f>IFERROR(__xludf.DUMMYFUNCTION("""COMPUTED_VALUE"""),1.7391E8)</f>
        <v>173910000</v>
      </c>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2">
        <f>IFERROR(__xludf.DUMMYFUNCTION("""COMPUTED_VALUE"""),94000.0)</f>
        <v>94000</v>
      </c>
      <c r="B189" s="2">
        <f>IFERROR(__xludf.DUMMYFUNCTION("""COMPUTED_VALUE"""),1880.0)</f>
        <v>1880</v>
      </c>
      <c r="C189" s="66">
        <f>IFERROR(__xludf.DUMMYFUNCTION("""COMPUTED_VALUE"""),1.7578E8)</f>
        <v>175780000</v>
      </c>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2">
        <f>IFERROR(__xludf.DUMMYFUNCTION("""COMPUTED_VALUE"""),94500.0)</f>
        <v>94500</v>
      </c>
      <c r="B190" s="2">
        <f>IFERROR(__xludf.DUMMYFUNCTION("""COMPUTED_VALUE"""),1890.0)</f>
        <v>1890</v>
      </c>
      <c r="C190" s="66">
        <f>IFERROR(__xludf.DUMMYFUNCTION("""COMPUTED_VALUE"""),1.7766E8)</f>
        <v>177660000</v>
      </c>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2">
        <f>IFERROR(__xludf.DUMMYFUNCTION("""COMPUTED_VALUE"""),95000.0)</f>
        <v>95000</v>
      </c>
      <c r="B191" s="2">
        <f>IFERROR(__xludf.DUMMYFUNCTION("""COMPUTED_VALUE"""),1900.0)</f>
        <v>1900</v>
      </c>
      <c r="C191" s="66">
        <f>IFERROR(__xludf.DUMMYFUNCTION("""COMPUTED_VALUE"""),1.7955E8)</f>
        <v>179550000</v>
      </c>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2">
        <f>IFERROR(__xludf.DUMMYFUNCTION("""COMPUTED_VALUE"""),95500.0)</f>
        <v>95500</v>
      </c>
      <c r="B192" s="2">
        <f>IFERROR(__xludf.DUMMYFUNCTION("""COMPUTED_VALUE"""),1910.0)</f>
        <v>1910</v>
      </c>
      <c r="C192" s="66">
        <f>IFERROR(__xludf.DUMMYFUNCTION("""COMPUTED_VALUE"""),1.8145E8)</f>
        <v>181450000</v>
      </c>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2">
        <f>IFERROR(__xludf.DUMMYFUNCTION("""COMPUTED_VALUE"""),96000.0)</f>
        <v>96000</v>
      </c>
      <c r="B193" s="2">
        <f>IFERROR(__xludf.DUMMYFUNCTION("""COMPUTED_VALUE"""),1920.0)</f>
        <v>1920</v>
      </c>
      <c r="C193" s="66">
        <f>IFERROR(__xludf.DUMMYFUNCTION("""COMPUTED_VALUE"""),1.8336E8)</f>
        <v>183360000</v>
      </c>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2">
        <f>IFERROR(__xludf.DUMMYFUNCTION("""COMPUTED_VALUE"""),96500.0)</f>
        <v>96500</v>
      </c>
      <c r="B194" s="2">
        <f>IFERROR(__xludf.DUMMYFUNCTION("""COMPUTED_VALUE"""),1930.0)</f>
        <v>1930</v>
      </c>
      <c r="C194" s="66">
        <f>IFERROR(__xludf.DUMMYFUNCTION("""COMPUTED_VALUE"""),1.8528E8)</f>
        <v>185280000</v>
      </c>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2">
        <f>IFERROR(__xludf.DUMMYFUNCTION("""COMPUTED_VALUE"""),97000.0)</f>
        <v>97000</v>
      </c>
      <c r="B195" s="2">
        <f>IFERROR(__xludf.DUMMYFUNCTION("""COMPUTED_VALUE"""),1940.0)</f>
        <v>1940</v>
      </c>
      <c r="C195" s="66">
        <f>IFERROR(__xludf.DUMMYFUNCTION("""COMPUTED_VALUE"""),1.8721E8)</f>
        <v>187210000</v>
      </c>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2">
        <f>IFERROR(__xludf.DUMMYFUNCTION("""COMPUTED_VALUE"""),97500.0)</f>
        <v>97500</v>
      </c>
      <c r="B196" s="2">
        <f>IFERROR(__xludf.DUMMYFUNCTION("""COMPUTED_VALUE"""),1950.0)</f>
        <v>1950</v>
      </c>
      <c r="C196" s="66">
        <f>IFERROR(__xludf.DUMMYFUNCTION("""COMPUTED_VALUE"""),1.8915E8)</f>
        <v>189150000</v>
      </c>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2">
        <f>IFERROR(__xludf.DUMMYFUNCTION("""COMPUTED_VALUE"""),98000.0)</f>
        <v>98000</v>
      </c>
      <c r="B197" s="2">
        <f>IFERROR(__xludf.DUMMYFUNCTION("""COMPUTED_VALUE"""),1960.0)</f>
        <v>1960</v>
      </c>
      <c r="C197" s="66">
        <f>IFERROR(__xludf.DUMMYFUNCTION("""COMPUTED_VALUE"""),1.911E8)</f>
        <v>191100000</v>
      </c>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2">
        <f>IFERROR(__xludf.DUMMYFUNCTION("""COMPUTED_VALUE"""),98500.0)</f>
        <v>98500</v>
      </c>
      <c r="B198" s="2">
        <f>IFERROR(__xludf.DUMMYFUNCTION("""COMPUTED_VALUE"""),1970.0)</f>
        <v>1970</v>
      </c>
      <c r="C198" s="66">
        <f>IFERROR(__xludf.DUMMYFUNCTION("""COMPUTED_VALUE"""),1.9306E8)</f>
        <v>193060000</v>
      </c>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2">
        <f>IFERROR(__xludf.DUMMYFUNCTION("""COMPUTED_VALUE"""),99000.0)</f>
        <v>99000</v>
      </c>
      <c r="B199" s="2">
        <f>IFERROR(__xludf.DUMMYFUNCTION("""COMPUTED_VALUE"""),1980.0)</f>
        <v>1980</v>
      </c>
      <c r="C199" s="66">
        <f>IFERROR(__xludf.DUMMYFUNCTION("""COMPUTED_VALUE"""),1.9503E8)</f>
        <v>195030000</v>
      </c>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2">
        <f>IFERROR(__xludf.DUMMYFUNCTION("""COMPUTED_VALUE"""),99500.0)</f>
        <v>99500</v>
      </c>
      <c r="B200" s="2">
        <f>IFERROR(__xludf.DUMMYFUNCTION("""COMPUTED_VALUE"""),1990.0)</f>
        <v>1990</v>
      </c>
      <c r="C200" s="66">
        <f>IFERROR(__xludf.DUMMYFUNCTION("""COMPUTED_VALUE"""),1.9701E8)</f>
        <v>197010000</v>
      </c>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2">
        <f>IFERROR(__xludf.DUMMYFUNCTION("""COMPUTED_VALUE"""),100000.0)</f>
        <v>100000</v>
      </c>
      <c r="B201" s="2">
        <f>IFERROR(__xludf.DUMMYFUNCTION("""COMPUTED_VALUE"""),2000.0)</f>
        <v>2000</v>
      </c>
      <c r="C201" s="66">
        <f>IFERROR(__xludf.DUMMYFUNCTION("""COMPUTED_VALUE"""),1.99E8)</f>
        <v>199000000</v>
      </c>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2">
        <f>IFERROR(__xludf.DUMMYFUNCTION("""COMPUTED_VALUE"""),100500.0)</f>
        <v>100500</v>
      </c>
      <c r="B202" s="2">
        <f>IFERROR(__xludf.DUMMYFUNCTION("""COMPUTED_VALUE"""),2010.0)</f>
        <v>2010</v>
      </c>
      <c r="C202" s="66">
        <f>IFERROR(__xludf.DUMMYFUNCTION("""COMPUTED_VALUE"""),2.01E8)</f>
        <v>201000000</v>
      </c>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2">
        <f>IFERROR(__xludf.DUMMYFUNCTION("""COMPUTED_VALUE"""),101000.0)</f>
        <v>101000</v>
      </c>
      <c r="B203" s="2">
        <f>IFERROR(__xludf.DUMMYFUNCTION("""COMPUTED_VALUE"""),2020.0)</f>
        <v>2020</v>
      </c>
      <c r="C203" s="66">
        <f>IFERROR(__xludf.DUMMYFUNCTION("""COMPUTED_VALUE"""),2.0301E8)</f>
        <v>203010000</v>
      </c>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2">
        <f>IFERROR(__xludf.DUMMYFUNCTION("""COMPUTED_VALUE"""),101500.0)</f>
        <v>101500</v>
      </c>
      <c r="B204" s="2">
        <f>IFERROR(__xludf.DUMMYFUNCTION("""COMPUTED_VALUE"""),2030.0)</f>
        <v>2030</v>
      </c>
      <c r="C204" s="66">
        <f>IFERROR(__xludf.DUMMYFUNCTION("""COMPUTED_VALUE"""),2.0503E8)</f>
        <v>205030000</v>
      </c>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2">
        <f>IFERROR(__xludf.DUMMYFUNCTION("""COMPUTED_VALUE"""),102000.0)</f>
        <v>102000</v>
      </c>
      <c r="B205" s="2">
        <f>IFERROR(__xludf.DUMMYFUNCTION("""COMPUTED_VALUE"""),2040.0)</f>
        <v>2040</v>
      </c>
      <c r="C205" s="66">
        <f>IFERROR(__xludf.DUMMYFUNCTION("""COMPUTED_VALUE"""),2.0706E8)</f>
        <v>207060000</v>
      </c>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2">
        <f>IFERROR(__xludf.DUMMYFUNCTION("""COMPUTED_VALUE"""),102500.0)</f>
        <v>102500</v>
      </c>
      <c r="B206" s="2">
        <f>IFERROR(__xludf.DUMMYFUNCTION("""COMPUTED_VALUE"""),2050.0)</f>
        <v>2050</v>
      </c>
      <c r="C206" s="66">
        <f>IFERROR(__xludf.DUMMYFUNCTION("""COMPUTED_VALUE"""),2.091E8)</f>
        <v>209100000</v>
      </c>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2">
        <f>IFERROR(__xludf.DUMMYFUNCTION("""COMPUTED_VALUE"""),103000.0)</f>
        <v>103000</v>
      </c>
      <c r="B207" s="2">
        <f>IFERROR(__xludf.DUMMYFUNCTION("""COMPUTED_VALUE"""),2060.0)</f>
        <v>2060</v>
      </c>
      <c r="C207" s="66">
        <f>IFERROR(__xludf.DUMMYFUNCTION("""COMPUTED_VALUE"""),2.1115E8)</f>
        <v>211150000</v>
      </c>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2">
        <f>IFERROR(__xludf.DUMMYFUNCTION("""COMPUTED_VALUE"""),103500.0)</f>
        <v>103500</v>
      </c>
      <c r="B208" s="2">
        <f>IFERROR(__xludf.DUMMYFUNCTION("""COMPUTED_VALUE"""),2070.0)</f>
        <v>2070</v>
      </c>
      <c r="C208" s="66">
        <f>IFERROR(__xludf.DUMMYFUNCTION("""COMPUTED_VALUE"""),2.1321E8)</f>
        <v>213210000</v>
      </c>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2">
        <f>IFERROR(__xludf.DUMMYFUNCTION("""COMPUTED_VALUE"""),104000.0)</f>
        <v>104000</v>
      </c>
      <c r="B209" s="2">
        <f>IFERROR(__xludf.DUMMYFUNCTION("""COMPUTED_VALUE"""),2080.0)</f>
        <v>2080</v>
      </c>
      <c r="C209" s="66">
        <f>IFERROR(__xludf.DUMMYFUNCTION("""COMPUTED_VALUE"""),2.1528E8)</f>
        <v>215280000</v>
      </c>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2">
        <f>IFERROR(__xludf.DUMMYFUNCTION("""COMPUTED_VALUE"""),104500.0)</f>
        <v>104500</v>
      </c>
      <c r="B210" s="2">
        <f>IFERROR(__xludf.DUMMYFUNCTION("""COMPUTED_VALUE"""),2090.0)</f>
        <v>2090</v>
      </c>
      <c r="C210" s="66">
        <f>IFERROR(__xludf.DUMMYFUNCTION("""COMPUTED_VALUE"""),2.1736E8)</f>
        <v>217360000</v>
      </c>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2">
        <f>IFERROR(__xludf.DUMMYFUNCTION("""COMPUTED_VALUE"""),105000.0)</f>
        <v>105000</v>
      </c>
      <c r="B211" s="2">
        <f>IFERROR(__xludf.DUMMYFUNCTION("""COMPUTED_VALUE"""),2100.0)</f>
        <v>2100</v>
      </c>
      <c r="C211" s="66">
        <f>IFERROR(__xludf.DUMMYFUNCTION("""COMPUTED_VALUE"""),2.1945E8)</f>
        <v>219450000</v>
      </c>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2">
        <f>IFERROR(__xludf.DUMMYFUNCTION("""COMPUTED_VALUE"""),105500.0)</f>
        <v>105500</v>
      </c>
      <c r="B212" s="2">
        <f>IFERROR(__xludf.DUMMYFUNCTION("""COMPUTED_VALUE"""),2110.0)</f>
        <v>2110</v>
      </c>
      <c r="C212" s="66">
        <f>IFERROR(__xludf.DUMMYFUNCTION("""COMPUTED_VALUE"""),2.2155E8)</f>
        <v>221550000</v>
      </c>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2">
        <f>IFERROR(__xludf.DUMMYFUNCTION("""COMPUTED_VALUE"""),106000.0)</f>
        <v>106000</v>
      </c>
      <c r="B213" s="2">
        <f>IFERROR(__xludf.DUMMYFUNCTION("""COMPUTED_VALUE"""),2120.0)</f>
        <v>2120</v>
      </c>
      <c r="C213" s="66">
        <f>IFERROR(__xludf.DUMMYFUNCTION("""COMPUTED_VALUE"""),2.2366E8)</f>
        <v>223660000</v>
      </c>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2">
        <f>IFERROR(__xludf.DUMMYFUNCTION("""COMPUTED_VALUE"""),106500.0)</f>
        <v>106500</v>
      </c>
      <c r="B214" s="2">
        <f>IFERROR(__xludf.DUMMYFUNCTION("""COMPUTED_VALUE"""),2130.0)</f>
        <v>2130</v>
      </c>
      <c r="C214" s="66">
        <f>IFERROR(__xludf.DUMMYFUNCTION("""COMPUTED_VALUE"""),2.2578E8)</f>
        <v>225780000</v>
      </c>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2">
        <f>IFERROR(__xludf.DUMMYFUNCTION("""COMPUTED_VALUE"""),107000.0)</f>
        <v>107000</v>
      </c>
      <c r="B215" s="2">
        <f>IFERROR(__xludf.DUMMYFUNCTION("""COMPUTED_VALUE"""),2140.0)</f>
        <v>2140</v>
      </c>
      <c r="C215" s="66">
        <f>IFERROR(__xludf.DUMMYFUNCTION("""COMPUTED_VALUE"""),2.2791E8)</f>
        <v>227910000</v>
      </c>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2">
        <f>IFERROR(__xludf.DUMMYFUNCTION("""COMPUTED_VALUE"""),107500.0)</f>
        <v>107500</v>
      </c>
      <c r="B216" s="2">
        <f>IFERROR(__xludf.DUMMYFUNCTION("""COMPUTED_VALUE"""),2150.0)</f>
        <v>2150</v>
      </c>
      <c r="C216" s="66">
        <f>IFERROR(__xludf.DUMMYFUNCTION("""COMPUTED_VALUE"""),2.3005E8)</f>
        <v>230050000</v>
      </c>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2">
        <f>IFERROR(__xludf.DUMMYFUNCTION("""COMPUTED_VALUE"""),108000.0)</f>
        <v>108000</v>
      </c>
      <c r="B217" s="2">
        <f>IFERROR(__xludf.DUMMYFUNCTION("""COMPUTED_VALUE"""),2160.0)</f>
        <v>2160</v>
      </c>
      <c r="C217" s="66">
        <f>IFERROR(__xludf.DUMMYFUNCTION("""COMPUTED_VALUE"""),2.322E8)</f>
        <v>232200000</v>
      </c>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2">
        <f>IFERROR(__xludf.DUMMYFUNCTION("""COMPUTED_VALUE"""),108500.0)</f>
        <v>108500</v>
      </c>
      <c r="B218" s="2">
        <f>IFERROR(__xludf.DUMMYFUNCTION("""COMPUTED_VALUE"""),2170.0)</f>
        <v>2170</v>
      </c>
      <c r="C218" s="66">
        <f>IFERROR(__xludf.DUMMYFUNCTION("""COMPUTED_VALUE"""),2.3436E8)</f>
        <v>234360000</v>
      </c>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2">
        <f>IFERROR(__xludf.DUMMYFUNCTION("""COMPUTED_VALUE"""),109000.0)</f>
        <v>109000</v>
      </c>
      <c r="B219" s="2">
        <f>IFERROR(__xludf.DUMMYFUNCTION("""COMPUTED_VALUE"""),2180.0)</f>
        <v>2180</v>
      </c>
      <c r="C219" s="66">
        <f>IFERROR(__xludf.DUMMYFUNCTION("""COMPUTED_VALUE"""),2.3653E8)</f>
        <v>236530000</v>
      </c>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2">
        <f>IFERROR(__xludf.DUMMYFUNCTION("""COMPUTED_VALUE"""),109500.0)</f>
        <v>109500</v>
      </c>
      <c r="B220" s="2">
        <f>IFERROR(__xludf.DUMMYFUNCTION("""COMPUTED_VALUE"""),2190.0)</f>
        <v>2190</v>
      </c>
      <c r="C220" s="66">
        <f>IFERROR(__xludf.DUMMYFUNCTION("""COMPUTED_VALUE"""),2.3871E8)</f>
        <v>238710000</v>
      </c>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2">
        <f>IFERROR(__xludf.DUMMYFUNCTION("""COMPUTED_VALUE"""),110000.0)</f>
        <v>110000</v>
      </c>
      <c r="B221" s="2">
        <f>IFERROR(__xludf.DUMMYFUNCTION("""COMPUTED_VALUE"""),2200.0)</f>
        <v>2200</v>
      </c>
      <c r="C221" s="66">
        <f>IFERROR(__xludf.DUMMYFUNCTION("""COMPUTED_VALUE"""),2.409E8)</f>
        <v>240900000</v>
      </c>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2">
        <f>IFERROR(__xludf.DUMMYFUNCTION("""COMPUTED_VALUE"""),110500.0)</f>
        <v>110500</v>
      </c>
      <c r="B222" s="2">
        <f>IFERROR(__xludf.DUMMYFUNCTION("""COMPUTED_VALUE"""),2210.0)</f>
        <v>2210</v>
      </c>
      <c r="C222" s="66">
        <f>IFERROR(__xludf.DUMMYFUNCTION("""COMPUTED_VALUE"""),2.431E8)</f>
        <v>243100000</v>
      </c>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2">
        <f>IFERROR(__xludf.DUMMYFUNCTION("""COMPUTED_VALUE"""),111000.0)</f>
        <v>111000</v>
      </c>
      <c r="B223" s="2">
        <f>IFERROR(__xludf.DUMMYFUNCTION("""COMPUTED_VALUE"""),2220.0)</f>
        <v>2220</v>
      </c>
      <c r="C223" s="66">
        <f>IFERROR(__xludf.DUMMYFUNCTION("""COMPUTED_VALUE"""),2.4531E8)</f>
        <v>245310000</v>
      </c>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2">
        <f>IFERROR(__xludf.DUMMYFUNCTION("""COMPUTED_VALUE"""),111500.0)</f>
        <v>111500</v>
      </c>
      <c r="B224" s="2">
        <f>IFERROR(__xludf.DUMMYFUNCTION("""COMPUTED_VALUE"""),2230.0)</f>
        <v>2230</v>
      </c>
      <c r="C224" s="66">
        <f>IFERROR(__xludf.DUMMYFUNCTION("""COMPUTED_VALUE"""),2.4753E8)</f>
        <v>247530000</v>
      </c>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2">
        <f>IFERROR(__xludf.DUMMYFUNCTION("""COMPUTED_VALUE"""),112000.0)</f>
        <v>112000</v>
      </c>
      <c r="B225" s="2">
        <f>IFERROR(__xludf.DUMMYFUNCTION("""COMPUTED_VALUE"""),2240.0)</f>
        <v>2240</v>
      </c>
      <c r="C225" s="66">
        <f>IFERROR(__xludf.DUMMYFUNCTION("""COMPUTED_VALUE"""),2.4976E8)</f>
        <v>249760000</v>
      </c>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2">
        <f>IFERROR(__xludf.DUMMYFUNCTION("""COMPUTED_VALUE"""),112500.0)</f>
        <v>112500</v>
      </c>
      <c r="B226" s="2">
        <f>IFERROR(__xludf.DUMMYFUNCTION("""COMPUTED_VALUE"""),2250.0)</f>
        <v>2250</v>
      </c>
      <c r="C226" s="66">
        <f>IFERROR(__xludf.DUMMYFUNCTION("""COMPUTED_VALUE"""),2.52E8)</f>
        <v>252000000</v>
      </c>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2">
        <f>IFERROR(__xludf.DUMMYFUNCTION("""COMPUTED_VALUE"""),113000.0)</f>
        <v>113000</v>
      </c>
      <c r="B227" s="2">
        <f>IFERROR(__xludf.DUMMYFUNCTION("""COMPUTED_VALUE"""),2260.0)</f>
        <v>2260</v>
      </c>
      <c r="C227" s="66">
        <f>IFERROR(__xludf.DUMMYFUNCTION("""COMPUTED_VALUE"""),2.5425E8)</f>
        <v>254250000</v>
      </c>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2">
        <f>IFERROR(__xludf.DUMMYFUNCTION("""COMPUTED_VALUE"""),113500.0)</f>
        <v>113500</v>
      </c>
      <c r="B228" s="2">
        <f>IFERROR(__xludf.DUMMYFUNCTION("""COMPUTED_VALUE"""),2270.0)</f>
        <v>2270</v>
      </c>
      <c r="C228" s="66">
        <f>IFERROR(__xludf.DUMMYFUNCTION("""COMPUTED_VALUE"""),2.5651E8)</f>
        <v>256510000</v>
      </c>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2">
        <f>IFERROR(__xludf.DUMMYFUNCTION("""COMPUTED_VALUE"""),114000.0)</f>
        <v>114000</v>
      </c>
      <c r="B229" s="2">
        <f>IFERROR(__xludf.DUMMYFUNCTION("""COMPUTED_VALUE"""),2280.0)</f>
        <v>2280</v>
      </c>
      <c r="C229" s="66">
        <f>IFERROR(__xludf.DUMMYFUNCTION("""COMPUTED_VALUE"""),2.5878E8)</f>
        <v>258780000</v>
      </c>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2">
        <f>IFERROR(__xludf.DUMMYFUNCTION("""COMPUTED_VALUE"""),114500.0)</f>
        <v>114500</v>
      </c>
      <c r="B230" s="2">
        <f>IFERROR(__xludf.DUMMYFUNCTION("""COMPUTED_VALUE"""),2290.0)</f>
        <v>2290</v>
      </c>
      <c r="C230" s="66">
        <f>IFERROR(__xludf.DUMMYFUNCTION("""COMPUTED_VALUE"""),2.6106E8)</f>
        <v>261060000</v>
      </c>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2">
        <f>IFERROR(__xludf.DUMMYFUNCTION("""COMPUTED_VALUE"""),115000.0)</f>
        <v>115000</v>
      </c>
      <c r="B231" s="2">
        <f>IFERROR(__xludf.DUMMYFUNCTION("""COMPUTED_VALUE"""),2300.0)</f>
        <v>2300</v>
      </c>
      <c r="C231" s="66">
        <f>IFERROR(__xludf.DUMMYFUNCTION("""COMPUTED_VALUE"""),2.6335E8)</f>
        <v>263350000</v>
      </c>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2">
        <f>IFERROR(__xludf.DUMMYFUNCTION("""COMPUTED_VALUE"""),115500.0)</f>
        <v>115500</v>
      </c>
      <c r="B232" s="2">
        <f>IFERROR(__xludf.DUMMYFUNCTION("""COMPUTED_VALUE"""),2310.0)</f>
        <v>2310</v>
      </c>
      <c r="C232" s="66">
        <f>IFERROR(__xludf.DUMMYFUNCTION("""COMPUTED_VALUE"""),2.6565E8)</f>
        <v>265650000</v>
      </c>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2">
        <f>IFERROR(__xludf.DUMMYFUNCTION("""COMPUTED_VALUE"""),116000.0)</f>
        <v>116000</v>
      </c>
      <c r="B233" s="2">
        <f>IFERROR(__xludf.DUMMYFUNCTION("""COMPUTED_VALUE"""),2320.0)</f>
        <v>2320</v>
      </c>
      <c r="C233" s="66">
        <f>IFERROR(__xludf.DUMMYFUNCTION("""COMPUTED_VALUE"""),2.6796E8)</f>
        <v>267960000</v>
      </c>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2">
        <f>IFERROR(__xludf.DUMMYFUNCTION("""COMPUTED_VALUE"""),116500.0)</f>
        <v>116500</v>
      </c>
      <c r="B234" s="2">
        <f>IFERROR(__xludf.DUMMYFUNCTION("""COMPUTED_VALUE"""),2330.0)</f>
        <v>2330</v>
      </c>
      <c r="C234" s="66">
        <f>IFERROR(__xludf.DUMMYFUNCTION("""COMPUTED_VALUE"""),2.7028E8)</f>
        <v>270280000</v>
      </c>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2">
        <f>IFERROR(__xludf.DUMMYFUNCTION("""COMPUTED_VALUE"""),117000.0)</f>
        <v>117000</v>
      </c>
      <c r="B235" s="2">
        <f>IFERROR(__xludf.DUMMYFUNCTION("""COMPUTED_VALUE"""),2340.0)</f>
        <v>2340</v>
      </c>
      <c r="C235" s="66">
        <f>IFERROR(__xludf.DUMMYFUNCTION("""COMPUTED_VALUE"""),2.7261E8)</f>
        <v>272610000</v>
      </c>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2">
        <f>IFERROR(__xludf.DUMMYFUNCTION("""COMPUTED_VALUE"""),117500.0)</f>
        <v>117500</v>
      </c>
      <c r="B236" s="2">
        <f>IFERROR(__xludf.DUMMYFUNCTION("""COMPUTED_VALUE"""),2350.0)</f>
        <v>2350</v>
      </c>
      <c r="C236" s="66">
        <f>IFERROR(__xludf.DUMMYFUNCTION("""COMPUTED_VALUE"""),2.7495E8)</f>
        <v>274950000</v>
      </c>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2">
        <f>IFERROR(__xludf.DUMMYFUNCTION("""COMPUTED_VALUE"""),118000.0)</f>
        <v>118000</v>
      </c>
      <c r="B237" s="2">
        <f>IFERROR(__xludf.DUMMYFUNCTION("""COMPUTED_VALUE"""),2360.0)</f>
        <v>2360</v>
      </c>
      <c r="C237" s="66">
        <f>IFERROR(__xludf.DUMMYFUNCTION("""COMPUTED_VALUE"""),2.773E8)</f>
        <v>277300000</v>
      </c>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2">
        <f>IFERROR(__xludf.DUMMYFUNCTION("""COMPUTED_VALUE"""),118500.0)</f>
        <v>118500</v>
      </c>
      <c r="B238" s="2">
        <f>IFERROR(__xludf.DUMMYFUNCTION("""COMPUTED_VALUE"""),2370.0)</f>
        <v>2370</v>
      </c>
      <c r="C238" s="66">
        <f>IFERROR(__xludf.DUMMYFUNCTION("""COMPUTED_VALUE"""),2.7966E8)</f>
        <v>279660000</v>
      </c>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2">
        <f>IFERROR(__xludf.DUMMYFUNCTION("""COMPUTED_VALUE"""),119000.0)</f>
        <v>119000</v>
      </c>
      <c r="B239" s="2">
        <f>IFERROR(__xludf.DUMMYFUNCTION("""COMPUTED_VALUE"""),2380.0)</f>
        <v>2380</v>
      </c>
      <c r="C239" s="66">
        <f>IFERROR(__xludf.DUMMYFUNCTION("""COMPUTED_VALUE"""),2.8203E8)</f>
        <v>282030000</v>
      </c>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2">
        <f>IFERROR(__xludf.DUMMYFUNCTION("""COMPUTED_VALUE"""),119500.0)</f>
        <v>119500</v>
      </c>
      <c r="B240" s="2">
        <f>IFERROR(__xludf.DUMMYFUNCTION("""COMPUTED_VALUE"""),2390.0)</f>
        <v>2390</v>
      </c>
      <c r="C240" s="66">
        <f>IFERROR(__xludf.DUMMYFUNCTION("""COMPUTED_VALUE"""),2.8441E8)</f>
        <v>284410000</v>
      </c>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2">
        <f>IFERROR(__xludf.DUMMYFUNCTION("""COMPUTED_VALUE"""),120000.0)</f>
        <v>120000</v>
      </c>
      <c r="B241" s="2">
        <f>IFERROR(__xludf.DUMMYFUNCTION("""COMPUTED_VALUE"""),2400.0)</f>
        <v>2400</v>
      </c>
      <c r="C241" s="66">
        <f>IFERROR(__xludf.DUMMYFUNCTION("""COMPUTED_VALUE"""),2.868E8)</f>
        <v>286800000</v>
      </c>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2">
        <f>IFERROR(__xludf.DUMMYFUNCTION("""COMPUTED_VALUE"""),120500.0)</f>
        <v>120500</v>
      </c>
      <c r="B242" s="2">
        <f>IFERROR(__xludf.DUMMYFUNCTION("""COMPUTED_VALUE"""),2410.0)</f>
        <v>2410</v>
      </c>
      <c r="C242" s="66">
        <f>IFERROR(__xludf.DUMMYFUNCTION("""COMPUTED_VALUE"""),2.892E8)</f>
        <v>289200000</v>
      </c>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2">
        <f>IFERROR(__xludf.DUMMYFUNCTION("""COMPUTED_VALUE"""),121000.0)</f>
        <v>121000</v>
      </c>
      <c r="B243" s="2">
        <f>IFERROR(__xludf.DUMMYFUNCTION("""COMPUTED_VALUE"""),2420.0)</f>
        <v>2420</v>
      </c>
      <c r="C243" s="66">
        <f>IFERROR(__xludf.DUMMYFUNCTION("""COMPUTED_VALUE"""),2.9161E8)</f>
        <v>291610000</v>
      </c>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2">
        <f>IFERROR(__xludf.DUMMYFUNCTION("""COMPUTED_VALUE"""),121500.0)</f>
        <v>121500</v>
      </c>
      <c r="B244" s="2">
        <f>IFERROR(__xludf.DUMMYFUNCTION("""COMPUTED_VALUE"""),2430.0)</f>
        <v>2430</v>
      </c>
      <c r="C244" s="66">
        <f>IFERROR(__xludf.DUMMYFUNCTION("""COMPUTED_VALUE"""),2.9403E8)</f>
        <v>294030000</v>
      </c>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2">
        <f>IFERROR(__xludf.DUMMYFUNCTION("""COMPUTED_VALUE"""),122000.0)</f>
        <v>122000</v>
      </c>
      <c r="B245" s="2">
        <f>IFERROR(__xludf.DUMMYFUNCTION("""COMPUTED_VALUE"""),2440.0)</f>
        <v>2440</v>
      </c>
      <c r="C245" s="66">
        <f>IFERROR(__xludf.DUMMYFUNCTION("""COMPUTED_VALUE"""),2.9646E8)</f>
        <v>296460000</v>
      </c>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2">
        <f>IFERROR(__xludf.DUMMYFUNCTION("""COMPUTED_VALUE"""),122500.0)</f>
        <v>122500</v>
      </c>
      <c r="B246" s="2">
        <f>IFERROR(__xludf.DUMMYFUNCTION("""COMPUTED_VALUE"""),2450.0)</f>
        <v>2450</v>
      </c>
      <c r="C246" s="66">
        <f>IFERROR(__xludf.DUMMYFUNCTION("""COMPUTED_VALUE"""),2.989E8)</f>
        <v>298900000</v>
      </c>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2">
        <f>IFERROR(__xludf.DUMMYFUNCTION("""COMPUTED_VALUE"""),123000.0)</f>
        <v>123000</v>
      </c>
      <c r="B247" s="2">
        <f>IFERROR(__xludf.DUMMYFUNCTION("""COMPUTED_VALUE"""),2460.0)</f>
        <v>2460</v>
      </c>
      <c r="C247" s="66">
        <f>IFERROR(__xludf.DUMMYFUNCTION("""COMPUTED_VALUE"""),3.0135E8)</f>
        <v>301350000</v>
      </c>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2">
        <f>IFERROR(__xludf.DUMMYFUNCTION("""COMPUTED_VALUE"""),123500.0)</f>
        <v>123500</v>
      </c>
      <c r="B248" s="2">
        <f>IFERROR(__xludf.DUMMYFUNCTION("""COMPUTED_VALUE"""),2470.0)</f>
        <v>2470</v>
      </c>
      <c r="C248" s="66">
        <f>IFERROR(__xludf.DUMMYFUNCTION("""COMPUTED_VALUE"""),3.0381E8)</f>
        <v>303810000</v>
      </c>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2">
        <f>IFERROR(__xludf.DUMMYFUNCTION("""COMPUTED_VALUE"""),124000.0)</f>
        <v>124000</v>
      </c>
      <c r="B249" s="2">
        <f>IFERROR(__xludf.DUMMYFUNCTION("""COMPUTED_VALUE"""),2480.0)</f>
        <v>2480</v>
      </c>
      <c r="C249" s="66">
        <f>IFERROR(__xludf.DUMMYFUNCTION("""COMPUTED_VALUE"""),3.0628E8)</f>
        <v>306280000</v>
      </c>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2">
        <f>IFERROR(__xludf.DUMMYFUNCTION("""COMPUTED_VALUE"""),124500.0)</f>
        <v>124500</v>
      </c>
      <c r="B250" s="2">
        <f>IFERROR(__xludf.DUMMYFUNCTION("""COMPUTED_VALUE"""),2490.0)</f>
        <v>2490</v>
      </c>
      <c r="C250" s="66">
        <f>IFERROR(__xludf.DUMMYFUNCTION("""COMPUTED_VALUE"""),3.0876E8)</f>
        <v>308760000</v>
      </c>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2">
        <f>IFERROR(__xludf.DUMMYFUNCTION("""COMPUTED_VALUE"""),125000.0)</f>
        <v>125000</v>
      </c>
      <c r="B251" s="2">
        <f>IFERROR(__xludf.DUMMYFUNCTION("""COMPUTED_VALUE"""),2500.0)</f>
        <v>2500</v>
      </c>
      <c r="C251" s="66">
        <f>IFERROR(__xludf.DUMMYFUNCTION("""COMPUTED_VALUE"""),3.1125E8)</f>
        <v>311250000</v>
      </c>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2">
        <f>IFERROR(__xludf.DUMMYFUNCTION("""COMPUTED_VALUE"""),125500.0)</f>
        <v>125500</v>
      </c>
      <c r="B252" s="2">
        <f>IFERROR(__xludf.DUMMYFUNCTION("""COMPUTED_VALUE"""),2510.0)</f>
        <v>2510</v>
      </c>
      <c r="C252" s="66">
        <f>IFERROR(__xludf.DUMMYFUNCTION("""COMPUTED_VALUE"""),3.1375E8)</f>
        <v>313750000</v>
      </c>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2">
        <f>IFERROR(__xludf.DUMMYFUNCTION("""COMPUTED_VALUE"""),126000.0)</f>
        <v>126000</v>
      </c>
      <c r="B253" s="2">
        <f>IFERROR(__xludf.DUMMYFUNCTION("""COMPUTED_VALUE"""),2520.0)</f>
        <v>2520</v>
      </c>
      <c r="C253" s="66">
        <f>IFERROR(__xludf.DUMMYFUNCTION("""COMPUTED_VALUE"""),3.1626E8)</f>
        <v>316260000</v>
      </c>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2">
        <f>IFERROR(__xludf.DUMMYFUNCTION("""COMPUTED_VALUE"""),126500.0)</f>
        <v>126500</v>
      </c>
      <c r="B254" s="2">
        <f>IFERROR(__xludf.DUMMYFUNCTION("""COMPUTED_VALUE"""),2530.0)</f>
        <v>2530</v>
      </c>
      <c r="C254" s="66">
        <f>IFERROR(__xludf.DUMMYFUNCTION("""COMPUTED_VALUE"""),3.1878E8)</f>
        <v>318780000</v>
      </c>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2">
        <f>IFERROR(__xludf.DUMMYFUNCTION("""COMPUTED_VALUE"""),127000.0)</f>
        <v>127000</v>
      </c>
      <c r="B255" s="2">
        <f>IFERROR(__xludf.DUMMYFUNCTION("""COMPUTED_VALUE"""),2540.0)</f>
        <v>2540</v>
      </c>
      <c r="C255" s="66">
        <f>IFERROR(__xludf.DUMMYFUNCTION("""COMPUTED_VALUE"""),3.2131E8)</f>
        <v>321310000</v>
      </c>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2">
        <f>IFERROR(__xludf.DUMMYFUNCTION("""COMPUTED_VALUE"""),127500.0)</f>
        <v>127500</v>
      </c>
      <c r="B256" s="2">
        <f>IFERROR(__xludf.DUMMYFUNCTION("""COMPUTED_VALUE"""),2550.0)</f>
        <v>2550</v>
      </c>
      <c r="C256" s="66">
        <f>IFERROR(__xludf.DUMMYFUNCTION("""COMPUTED_VALUE"""),3.2385E8)</f>
        <v>323850000</v>
      </c>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2">
        <f>IFERROR(__xludf.DUMMYFUNCTION("""COMPUTED_VALUE"""),128000.0)</f>
        <v>128000</v>
      </c>
      <c r="B257" s="2">
        <f>IFERROR(__xludf.DUMMYFUNCTION("""COMPUTED_VALUE"""),2560.0)</f>
        <v>2560</v>
      </c>
      <c r="C257" s="66">
        <f>IFERROR(__xludf.DUMMYFUNCTION("""COMPUTED_VALUE"""),3.264E8)</f>
        <v>326400000</v>
      </c>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2">
        <f>IFERROR(__xludf.DUMMYFUNCTION("""COMPUTED_VALUE"""),128500.0)</f>
        <v>128500</v>
      </c>
      <c r="B258" s="2">
        <f>IFERROR(__xludf.DUMMYFUNCTION("""COMPUTED_VALUE"""),2570.0)</f>
        <v>2570</v>
      </c>
      <c r="C258" s="66">
        <f>IFERROR(__xludf.DUMMYFUNCTION("""COMPUTED_VALUE"""),3.2896E8)</f>
        <v>328960000</v>
      </c>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2">
        <f>IFERROR(__xludf.DUMMYFUNCTION("""COMPUTED_VALUE"""),129000.0)</f>
        <v>129000</v>
      </c>
      <c r="B259" s="2">
        <f>IFERROR(__xludf.DUMMYFUNCTION("""COMPUTED_VALUE"""),2580.0)</f>
        <v>2580</v>
      </c>
      <c r="C259" s="66">
        <f>IFERROR(__xludf.DUMMYFUNCTION("""COMPUTED_VALUE"""),3.3153E8)</f>
        <v>331530000</v>
      </c>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2">
        <f>IFERROR(__xludf.DUMMYFUNCTION("""COMPUTED_VALUE"""),129500.0)</f>
        <v>129500</v>
      </c>
      <c r="B260" s="2">
        <f>IFERROR(__xludf.DUMMYFUNCTION("""COMPUTED_VALUE"""),2590.0)</f>
        <v>2590</v>
      </c>
      <c r="C260" s="66">
        <f>IFERROR(__xludf.DUMMYFUNCTION("""COMPUTED_VALUE"""),3.3411E8)</f>
        <v>334110000</v>
      </c>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2">
        <f>IFERROR(__xludf.DUMMYFUNCTION("""COMPUTED_VALUE"""),130000.0)</f>
        <v>130000</v>
      </c>
      <c r="B261" s="2">
        <f>IFERROR(__xludf.DUMMYFUNCTION("""COMPUTED_VALUE"""),2600.0)</f>
        <v>2600</v>
      </c>
      <c r="C261" s="66">
        <f>IFERROR(__xludf.DUMMYFUNCTION("""COMPUTED_VALUE"""),3.367E8)</f>
        <v>336700000</v>
      </c>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2">
        <f>IFERROR(__xludf.DUMMYFUNCTION("""COMPUTED_VALUE"""),130500.0)</f>
        <v>130500</v>
      </c>
      <c r="B262" s="2">
        <f>IFERROR(__xludf.DUMMYFUNCTION("""COMPUTED_VALUE"""),2610.0)</f>
        <v>2610</v>
      </c>
      <c r="C262" s="66">
        <f>IFERROR(__xludf.DUMMYFUNCTION("""COMPUTED_VALUE"""),3.393E8)</f>
        <v>339300000</v>
      </c>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2">
        <f>IFERROR(__xludf.DUMMYFUNCTION("""COMPUTED_VALUE"""),131000.0)</f>
        <v>131000</v>
      </c>
      <c r="B263" s="2">
        <f>IFERROR(__xludf.DUMMYFUNCTION("""COMPUTED_VALUE"""),2620.0)</f>
        <v>2620</v>
      </c>
      <c r="C263" s="66">
        <f>IFERROR(__xludf.DUMMYFUNCTION("""COMPUTED_VALUE"""),3.4191E8)</f>
        <v>341910000</v>
      </c>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2">
        <f>IFERROR(__xludf.DUMMYFUNCTION("""COMPUTED_VALUE"""),131500.0)</f>
        <v>131500</v>
      </c>
      <c r="B264" s="2">
        <f>IFERROR(__xludf.DUMMYFUNCTION("""COMPUTED_VALUE"""),2630.0)</f>
        <v>2630</v>
      </c>
      <c r="C264" s="66">
        <f>IFERROR(__xludf.DUMMYFUNCTION("""COMPUTED_VALUE"""),3.4453E8)</f>
        <v>344530000</v>
      </c>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2">
        <f>IFERROR(__xludf.DUMMYFUNCTION("""COMPUTED_VALUE"""),132000.0)</f>
        <v>132000</v>
      </c>
      <c r="B265" s="2">
        <f>IFERROR(__xludf.DUMMYFUNCTION("""COMPUTED_VALUE"""),2640.0)</f>
        <v>2640</v>
      </c>
      <c r="C265" s="66">
        <f>IFERROR(__xludf.DUMMYFUNCTION("""COMPUTED_VALUE"""),3.4716E8)</f>
        <v>347160000</v>
      </c>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2">
        <f>IFERROR(__xludf.DUMMYFUNCTION("""COMPUTED_VALUE"""),132500.0)</f>
        <v>132500</v>
      </c>
      <c r="B266" s="2">
        <f>IFERROR(__xludf.DUMMYFUNCTION("""COMPUTED_VALUE"""),2650.0)</f>
        <v>2650</v>
      </c>
      <c r="C266" s="66">
        <f>IFERROR(__xludf.DUMMYFUNCTION("""COMPUTED_VALUE"""),3.498E8)</f>
        <v>349800000</v>
      </c>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2">
        <f>IFERROR(__xludf.DUMMYFUNCTION("""COMPUTED_VALUE"""),133000.0)</f>
        <v>133000</v>
      </c>
      <c r="B267" s="2">
        <f>IFERROR(__xludf.DUMMYFUNCTION("""COMPUTED_VALUE"""),2660.0)</f>
        <v>2660</v>
      </c>
      <c r="C267" s="66">
        <f>IFERROR(__xludf.DUMMYFUNCTION("""COMPUTED_VALUE"""),3.5245E8)</f>
        <v>352450000</v>
      </c>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2">
        <f>IFERROR(__xludf.DUMMYFUNCTION("""COMPUTED_VALUE"""),133500.0)</f>
        <v>133500</v>
      </c>
      <c r="B268" s="2">
        <f>IFERROR(__xludf.DUMMYFUNCTION("""COMPUTED_VALUE"""),2670.0)</f>
        <v>2670</v>
      </c>
      <c r="C268" s="66">
        <f>IFERROR(__xludf.DUMMYFUNCTION("""COMPUTED_VALUE"""),3.5511E8)</f>
        <v>355110000</v>
      </c>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2">
        <f>IFERROR(__xludf.DUMMYFUNCTION("""COMPUTED_VALUE"""),134000.0)</f>
        <v>134000</v>
      </c>
      <c r="B269" s="2">
        <f>IFERROR(__xludf.DUMMYFUNCTION("""COMPUTED_VALUE"""),2680.0)</f>
        <v>2680</v>
      </c>
      <c r="C269" s="66">
        <f>IFERROR(__xludf.DUMMYFUNCTION("""COMPUTED_VALUE"""),3.5778E8)</f>
        <v>357780000</v>
      </c>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2">
        <f>IFERROR(__xludf.DUMMYFUNCTION("""COMPUTED_VALUE"""),134500.0)</f>
        <v>134500</v>
      </c>
      <c r="B270" s="2">
        <f>IFERROR(__xludf.DUMMYFUNCTION("""COMPUTED_VALUE"""),2690.0)</f>
        <v>2690</v>
      </c>
      <c r="C270" s="66">
        <f>IFERROR(__xludf.DUMMYFUNCTION("""COMPUTED_VALUE"""),3.6046E8)</f>
        <v>360460000</v>
      </c>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2">
        <f>IFERROR(__xludf.DUMMYFUNCTION("""COMPUTED_VALUE"""),135000.0)</f>
        <v>135000</v>
      </c>
      <c r="B271" s="2">
        <f>IFERROR(__xludf.DUMMYFUNCTION("""COMPUTED_VALUE"""),2700.0)</f>
        <v>2700</v>
      </c>
      <c r="C271" s="66">
        <f>IFERROR(__xludf.DUMMYFUNCTION("""COMPUTED_VALUE"""),3.6315E8)</f>
        <v>363150000</v>
      </c>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2">
        <f>IFERROR(__xludf.DUMMYFUNCTION("""COMPUTED_VALUE"""),135500.0)</f>
        <v>135500</v>
      </c>
      <c r="B272" s="2">
        <f>IFERROR(__xludf.DUMMYFUNCTION("""COMPUTED_VALUE"""),2710.0)</f>
        <v>2710</v>
      </c>
      <c r="C272" s="66">
        <f>IFERROR(__xludf.DUMMYFUNCTION("""COMPUTED_VALUE"""),3.6585E8)</f>
        <v>365850000</v>
      </c>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2">
        <f>IFERROR(__xludf.DUMMYFUNCTION("""COMPUTED_VALUE"""),136000.0)</f>
        <v>136000</v>
      </c>
      <c r="B273" s="2">
        <f>IFERROR(__xludf.DUMMYFUNCTION("""COMPUTED_VALUE"""),2720.0)</f>
        <v>2720</v>
      </c>
      <c r="C273" s="66">
        <f>IFERROR(__xludf.DUMMYFUNCTION("""COMPUTED_VALUE"""),3.6856E8)</f>
        <v>368560000</v>
      </c>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2">
        <f>IFERROR(__xludf.DUMMYFUNCTION("""COMPUTED_VALUE"""),136500.0)</f>
        <v>136500</v>
      </c>
      <c r="B274" s="2">
        <f>IFERROR(__xludf.DUMMYFUNCTION("""COMPUTED_VALUE"""),2730.0)</f>
        <v>2730</v>
      </c>
      <c r="C274" s="66">
        <f>IFERROR(__xludf.DUMMYFUNCTION("""COMPUTED_VALUE"""),3.7128E8)</f>
        <v>371280000</v>
      </c>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2">
        <f>IFERROR(__xludf.DUMMYFUNCTION("""COMPUTED_VALUE"""),137000.0)</f>
        <v>137000</v>
      </c>
      <c r="B275" s="2">
        <f>IFERROR(__xludf.DUMMYFUNCTION("""COMPUTED_VALUE"""),2740.0)</f>
        <v>2740</v>
      </c>
      <c r="C275" s="66">
        <f>IFERROR(__xludf.DUMMYFUNCTION("""COMPUTED_VALUE"""),3.7401E8)</f>
        <v>374010000</v>
      </c>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2">
        <f>IFERROR(__xludf.DUMMYFUNCTION("""COMPUTED_VALUE"""),137500.0)</f>
        <v>137500</v>
      </c>
      <c r="B276" s="2">
        <f>IFERROR(__xludf.DUMMYFUNCTION("""COMPUTED_VALUE"""),2750.0)</f>
        <v>2750</v>
      </c>
      <c r="C276" s="66">
        <f>IFERROR(__xludf.DUMMYFUNCTION("""COMPUTED_VALUE"""),3.7675E8)</f>
        <v>376750000</v>
      </c>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2">
        <f>IFERROR(__xludf.DUMMYFUNCTION("""COMPUTED_VALUE"""),138000.0)</f>
        <v>138000</v>
      </c>
      <c r="B277" s="2">
        <f>IFERROR(__xludf.DUMMYFUNCTION("""COMPUTED_VALUE"""),2760.0)</f>
        <v>2760</v>
      </c>
      <c r="C277" s="66">
        <f>IFERROR(__xludf.DUMMYFUNCTION("""COMPUTED_VALUE"""),3.795E8)</f>
        <v>379500000</v>
      </c>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2">
        <f>IFERROR(__xludf.DUMMYFUNCTION("""COMPUTED_VALUE"""),138500.0)</f>
        <v>138500</v>
      </c>
      <c r="B278" s="2">
        <f>IFERROR(__xludf.DUMMYFUNCTION("""COMPUTED_VALUE"""),2770.0)</f>
        <v>2770</v>
      </c>
      <c r="C278" s="66">
        <f>IFERROR(__xludf.DUMMYFUNCTION("""COMPUTED_VALUE"""),3.8226E8)</f>
        <v>382260000</v>
      </c>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2">
        <f>IFERROR(__xludf.DUMMYFUNCTION("""COMPUTED_VALUE"""),139000.0)</f>
        <v>139000</v>
      </c>
      <c r="B279" s="2">
        <f>IFERROR(__xludf.DUMMYFUNCTION("""COMPUTED_VALUE"""),2780.0)</f>
        <v>2780</v>
      </c>
      <c r="C279" s="66">
        <f>IFERROR(__xludf.DUMMYFUNCTION("""COMPUTED_VALUE"""),3.8503E8)</f>
        <v>385030000</v>
      </c>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2">
        <f>IFERROR(__xludf.DUMMYFUNCTION("""COMPUTED_VALUE"""),139500.0)</f>
        <v>139500</v>
      </c>
      <c r="B280" s="2">
        <f>IFERROR(__xludf.DUMMYFUNCTION("""COMPUTED_VALUE"""),2790.0)</f>
        <v>2790</v>
      </c>
      <c r="C280" s="66">
        <f>IFERROR(__xludf.DUMMYFUNCTION("""COMPUTED_VALUE"""),3.8781E8)</f>
        <v>387810000</v>
      </c>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2">
        <f>IFERROR(__xludf.DUMMYFUNCTION("""COMPUTED_VALUE"""),140000.0)</f>
        <v>140000</v>
      </c>
      <c r="B281" s="2">
        <f>IFERROR(__xludf.DUMMYFUNCTION("""COMPUTED_VALUE"""),2800.0)</f>
        <v>2800</v>
      </c>
      <c r="C281" s="66">
        <f>IFERROR(__xludf.DUMMYFUNCTION("""COMPUTED_VALUE"""),3.906E8)</f>
        <v>390600000</v>
      </c>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2">
        <f>IFERROR(__xludf.DUMMYFUNCTION("""COMPUTED_VALUE"""),140500.0)</f>
        <v>140500</v>
      </c>
      <c r="B282" s="2">
        <f>IFERROR(__xludf.DUMMYFUNCTION("""COMPUTED_VALUE"""),2810.0)</f>
        <v>2810</v>
      </c>
      <c r="C282" s="66">
        <f>IFERROR(__xludf.DUMMYFUNCTION("""COMPUTED_VALUE"""),3.934E8)</f>
        <v>393400000</v>
      </c>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2">
        <f>IFERROR(__xludf.DUMMYFUNCTION("""COMPUTED_VALUE"""),141000.0)</f>
        <v>141000</v>
      </c>
      <c r="B283" s="2">
        <f>IFERROR(__xludf.DUMMYFUNCTION("""COMPUTED_VALUE"""),2820.0)</f>
        <v>2820</v>
      </c>
      <c r="C283" s="66">
        <f>IFERROR(__xludf.DUMMYFUNCTION("""COMPUTED_VALUE"""),3.9621E8)</f>
        <v>396210000</v>
      </c>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2">
        <f>IFERROR(__xludf.DUMMYFUNCTION("""COMPUTED_VALUE"""),141500.0)</f>
        <v>141500</v>
      </c>
      <c r="B284" s="2">
        <f>IFERROR(__xludf.DUMMYFUNCTION("""COMPUTED_VALUE"""),2830.0)</f>
        <v>2830</v>
      </c>
      <c r="C284" s="66">
        <f>IFERROR(__xludf.DUMMYFUNCTION("""COMPUTED_VALUE"""),3.9903E8)</f>
        <v>399030000</v>
      </c>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2">
        <f>IFERROR(__xludf.DUMMYFUNCTION("""COMPUTED_VALUE"""),142000.0)</f>
        <v>142000</v>
      </c>
      <c r="B285" s="2">
        <f>IFERROR(__xludf.DUMMYFUNCTION("""COMPUTED_VALUE"""),2840.0)</f>
        <v>2840</v>
      </c>
      <c r="C285" s="66">
        <f>IFERROR(__xludf.DUMMYFUNCTION("""COMPUTED_VALUE"""),4.0186E8)</f>
        <v>401860000</v>
      </c>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2">
        <f>IFERROR(__xludf.DUMMYFUNCTION("""COMPUTED_VALUE"""),142500.0)</f>
        <v>142500</v>
      </c>
      <c r="B286" s="2">
        <f>IFERROR(__xludf.DUMMYFUNCTION("""COMPUTED_VALUE"""),2850.0)</f>
        <v>2850</v>
      </c>
      <c r="C286" s="66">
        <f>IFERROR(__xludf.DUMMYFUNCTION("""COMPUTED_VALUE"""),4.047E8)</f>
        <v>404700000</v>
      </c>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2">
        <f>IFERROR(__xludf.DUMMYFUNCTION("""COMPUTED_VALUE"""),143000.0)</f>
        <v>143000</v>
      </c>
      <c r="B287" s="2">
        <f>IFERROR(__xludf.DUMMYFUNCTION("""COMPUTED_VALUE"""),2860.0)</f>
        <v>2860</v>
      </c>
      <c r="C287" s="66">
        <f>IFERROR(__xludf.DUMMYFUNCTION("""COMPUTED_VALUE"""),4.0755E8)</f>
        <v>407550000</v>
      </c>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2">
        <f>IFERROR(__xludf.DUMMYFUNCTION("""COMPUTED_VALUE"""),143500.0)</f>
        <v>143500</v>
      </c>
      <c r="B288" s="2">
        <f>IFERROR(__xludf.DUMMYFUNCTION("""COMPUTED_VALUE"""),2870.0)</f>
        <v>2870</v>
      </c>
      <c r="C288" s="66">
        <f>IFERROR(__xludf.DUMMYFUNCTION("""COMPUTED_VALUE"""),4.1041E8)</f>
        <v>410410000</v>
      </c>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2">
        <f>IFERROR(__xludf.DUMMYFUNCTION("""COMPUTED_VALUE"""),144000.0)</f>
        <v>144000</v>
      </c>
      <c r="B289" s="2">
        <f>IFERROR(__xludf.DUMMYFUNCTION("""COMPUTED_VALUE"""),2880.0)</f>
        <v>2880</v>
      </c>
      <c r="C289" s="66">
        <f>IFERROR(__xludf.DUMMYFUNCTION("""COMPUTED_VALUE"""),4.1328E8)</f>
        <v>413280000</v>
      </c>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2">
        <f>IFERROR(__xludf.DUMMYFUNCTION("""COMPUTED_VALUE"""),144500.0)</f>
        <v>144500</v>
      </c>
      <c r="B290" s="2">
        <f>IFERROR(__xludf.DUMMYFUNCTION("""COMPUTED_VALUE"""),2890.0)</f>
        <v>2890</v>
      </c>
      <c r="C290" s="66">
        <f>IFERROR(__xludf.DUMMYFUNCTION("""COMPUTED_VALUE"""),4.1616E8)</f>
        <v>416160000</v>
      </c>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2">
        <f>IFERROR(__xludf.DUMMYFUNCTION("""COMPUTED_VALUE"""),145000.0)</f>
        <v>145000</v>
      </c>
      <c r="B291" s="2">
        <f>IFERROR(__xludf.DUMMYFUNCTION("""COMPUTED_VALUE"""),2900.0)</f>
        <v>2900</v>
      </c>
      <c r="C291" s="66">
        <f>IFERROR(__xludf.DUMMYFUNCTION("""COMPUTED_VALUE"""),4.1905E8)</f>
        <v>419050000</v>
      </c>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2">
        <f>IFERROR(__xludf.DUMMYFUNCTION("""COMPUTED_VALUE"""),145500.0)</f>
        <v>145500</v>
      </c>
      <c r="B292" s="2">
        <f>IFERROR(__xludf.DUMMYFUNCTION("""COMPUTED_VALUE"""),2910.0)</f>
        <v>2910</v>
      </c>
      <c r="C292" s="66">
        <f>IFERROR(__xludf.DUMMYFUNCTION("""COMPUTED_VALUE"""),4.2195E8)</f>
        <v>421950000</v>
      </c>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2">
        <f>IFERROR(__xludf.DUMMYFUNCTION("""COMPUTED_VALUE"""),146000.0)</f>
        <v>146000</v>
      </c>
      <c r="B293" s="2">
        <f>IFERROR(__xludf.DUMMYFUNCTION("""COMPUTED_VALUE"""),2920.0)</f>
        <v>2920</v>
      </c>
      <c r="C293" s="66">
        <f>IFERROR(__xludf.DUMMYFUNCTION("""COMPUTED_VALUE"""),4.2486E8)</f>
        <v>424860000</v>
      </c>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2">
        <f>IFERROR(__xludf.DUMMYFUNCTION("""COMPUTED_VALUE"""),146500.0)</f>
        <v>146500</v>
      </c>
      <c r="B294" s="2">
        <f>IFERROR(__xludf.DUMMYFUNCTION("""COMPUTED_VALUE"""),2930.0)</f>
        <v>2930</v>
      </c>
      <c r="C294" s="66">
        <f>IFERROR(__xludf.DUMMYFUNCTION("""COMPUTED_VALUE"""),4.2778E8)</f>
        <v>427780000</v>
      </c>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2">
        <f>IFERROR(__xludf.DUMMYFUNCTION("""COMPUTED_VALUE"""),147000.0)</f>
        <v>147000</v>
      </c>
      <c r="B295" s="2">
        <f>IFERROR(__xludf.DUMMYFUNCTION("""COMPUTED_VALUE"""),2940.0)</f>
        <v>2940</v>
      </c>
      <c r="C295" s="66">
        <f>IFERROR(__xludf.DUMMYFUNCTION("""COMPUTED_VALUE"""),4.3071E8)</f>
        <v>430710000</v>
      </c>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2">
        <f>IFERROR(__xludf.DUMMYFUNCTION("""COMPUTED_VALUE"""),147500.0)</f>
        <v>147500</v>
      </c>
      <c r="B296" s="2">
        <f>IFERROR(__xludf.DUMMYFUNCTION("""COMPUTED_VALUE"""),2950.0)</f>
        <v>2950</v>
      </c>
      <c r="C296" s="66">
        <f>IFERROR(__xludf.DUMMYFUNCTION("""COMPUTED_VALUE"""),4.3365E8)</f>
        <v>433650000</v>
      </c>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2">
        <f>IFERROR(__xludf.DUMMYFUNCTION("""COMPUTED_VALUE"""),148000.0)</f>
        <v>148000</v>
      </c>
      <c r="B297" s="2">
        <f>IFERROR(__xludf.DUMMYFUNCTION("""COMPUTED_VALUE"""),2960.0)</f>
        <v>2960</v>
      </c>
      <c r="C297" s="66">
        <f>IFERROR(__xludf.DUMMYFUNCTION("""COMPUTED_VALUE"""),4.366E8)</f>
        <v>436600000</v>
      </c>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2">
        <f>IFERROR(__xludf.DUMMYFUNCTION("""COMPUTED_VALUE"""),148500.0)</f>
        <v>148500</v>
      </c>
      <c r="B298" s="2">
        <f>IFERROR(__xludf.DUMMYFUNCTION("""COMPUTED_VALUE"""),2970.0)</f>
        <v>2970</v>
      </c>
      <c r="C298" s="66">
        <f>IFERROR(__xludf.DUMMYFUNCTION("""COMPUTED_VALUE"""),4.3956E8)</f>
        <v>439560000</v>
      </c>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2">
        <f>IFERROR(__xludf.DUMMYFUNCTION("""COMPUTED_VALUE"""),149000.0)</f>
        <v>149000</v>
      </c>
      <c r="B299" s="2">
        <f>IFERROR(__xludf.DUMMYFUNCTION("""COMPUTED_VALUE"""),2980.0)</f>
        <v>2980</v>
      </c>
      <c r="C299" s="66">
        <f>IFERROR(__xludf.DUMMYFUNCTION("""COMPUTED_VALUE"""),4.4253E8)</f>
        <v>442530000</v>
      </c>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2">
        <f>IFERROR(__xludf.DUMMYFUNCTION("""COMPUTED_VALUE"""),149500.0)</f>
        <v>149500</v>
      </c>
      <c r="B300" s="2">
        <f>IFERROR(__xludf.DUMMYFUNCTION("""COMPUTED_VALUE"""),2990.0)</f>
        <v>2990</v>
      </c>
      <c r="C300" s="66">
        <f>IFERROR(__xludf.DUMMYFUNCTION("""COMPUTED_VALUE"""),4.4551E8)</f>
        <v>445510000</v>
      </c>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2">
        <f>IFERROR(__xludf.DUMMYFUNCTION("""COMPUTED_VALUE"""),150000.0)</f>
        <v>150000</v>
      </c>
      <c r="B301" s="2">
        <f>IFERROR(__xludf.DUMMYFUNCTION("""COMPUTED_VALUE"""),3000.0)</f>
        <v>3000</v>
      </c>
      <c r="C301" s="66">
        <f>IFERROR(__xludf.DUMMYFUNCTION("""COMPUTED_VALUE"""),4.485E8)</f>
        <v>448500000</v>
      </c>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2">
        <f>IFERROR(__xludf.DUMMYFUNCTION("""COMPUTED_VALUE"""),150500.0)</f>
        <v>150500</v>
      </c>
      <c r="B302" s="2">
        <f>IFERROR(__xludf.DUMMYFUNCTION("""COMPUTED_VALUE"""),3010.0)</f>
        <v>3010</v>
      </c>
      <c r="C302" s="66">
        <f>IFERROR(__xludf.DUMMYFUNCTION("""COMPUTED_VALUE"""),4.515E8)</f>
        <v>451500000</v>
      </c>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2">
        <f>IFERROR(__xludf.DUMMYFUNCTION("""COMPUTED_VALUE"""),151000.0)</f>
        <v>151000</v>
      </c>
      <c r="B303" s="2">
        <f>IFERROR(__xludf.DUMMYFUNCTION("""COMPUTED_VALUE"""),3020.0)</f>
        <v>3020</v>
      </c>
      <c r="C303" s="66">
        <f>IFERROR(__xludf.DUMMYFUNCTION("""COMPUTED_VALUE"""),4.5451E8)</f>
        <v>454510000</v>
      </c>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2">
        <f>IFERROR(__xludf.DUMMYFUNCTION("""COMPUTED_VALUE"""),151500.0)</f>
        <v>151500</v>
      </c>
      <c r="B304" s="2">
        <f>IFERROR(__xludf.DUMMYFUNCTION("""COMPUTED_VALUE"""),3030.0)</f>
        <v>3030</v>
      </c>
      <c r="C304" s="66">
        <f>IFERROR(__xludf.DUMMYFUNCTION("""COMPUTED_VALUE"""),4.5753E8)</f>
        <v>457530000</v>
      </c>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2">
        <f>IFERROR(__xludf.DUMMYFUNCTION("""COMPUTED_VALUE"""),152000.0)</f>
        <v>152000</v>
      </c>
      <c r="B305" s="2">
        <f>IFERROR(__xludf.DUMMYFUNCTION("""COMPUTED_VALUE"""),3040.0)</f>
        <v>3040</v>
      </c>
      <c r="C305" s="66">
        <f>IFERROR(__xludf.DUMMYFUNCTION("""COMPUTED_VALUE"""),4.6056E8)</f>
        <v>460560000</v>
      </c>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2">
        <f>IFERROR(__xludf.DUMMYFUNCTION("""COMPUTED_VALUE"""),152500.0)</f>
        <v>152500</v>
      </c>
      <c r="B306" s="2">
        <f>IFERROR(__xludf.DUMMYFUNCTION("""COMPUTED_VALUE"""),3050.0)</f>
        <v>3050</v>
      </c>
      <c r="C306" s="66">
        <f>IFERROR(__xludf.DUMMYFUNCTION("""COMPUTED_VALUE"""),4.636E8)</f>
        <v>463600000</v>
      </c>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2">
        <f>IFERROR(__xludf.DUMMYFUNCTION("""COMPUTED_VALUE"""),153000.0)</f>
        <v>153000</v>
      </c>
      <c r="B307" s="2">
        <f>IFERROR(__xludf.DUMMYFUNCTION("""COMPUTED_VALUE"""),3060.0)</f>
        <v>3060</v>
      </c>
      <c r="C307" s="66">
        <f>IFERROR(__xludf.DUMMYFUNCTION("""COMPUTED_VALUE"""),4.6665E8)</f>
        <v>466650000</v>
      </c>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2">
        <f>IFERROR(__xludf.DUMMYFUNCTION("""COMPUTED_VALUE"""),153500.0)</f>
        <v>153500</v>
      </c>
      <c r="B308" s="2">
        <f>IFERROR(__xludf.DUMMYFUNCTION("""COMPUTED_VALUE"""),3070.0)</f>
        <v>3070</v>
      </c>
      <c r="C308" s="66">
        <f>IFERROR(__xludf.DUMMYFUNCTION("""COMPUTED_VALUE"""),4.6971E8)</f>
        <v>469710000</v>
      </c>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2">
        <f>IFERROR(__xludf.DUMMYFUNCTION("""COMPUTED_VALUE"""),154000.0)</f>
        <v>154000</v>
      </c>
      <c r="B309" s="2">
        <f>IFERROR(__xludf.DUMMYFUNCTION("""COMPUTED_VALUE"""),3080.0)</f>
        <v>3080</v>
      </c>
      <c r="C309" s="66">
        <f>IFERROR(__xludf.DUMMYFUNCTION("""COMPUTED_VALUE"""),4.7278E8)</f>
        <v>472780000</v>
      </c>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2">
        <f>IFERROR(__xludf.DUMMYFUNCTION("""COMPUTED_VALUE"""),154500.0)</f>
        <v>154500</v>
      </c>
      <c r="B310" s="2">
        <f>IFERROR(__xludf.DUMMYFUNCTION("""COMPUTED_VALUE"""),3090.0)</f>
        <v>3090</v>
      </c>
      <c r="C310" s="66">
        <f>IFERROR(__xludf.DUMMYFUNCTION("""COMPUTED_VALUE"""),4.7586E8)</f>
        <v>475860000</v>
      </c>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2">
        <f>IFERROR(__xludf.DUMMYFUNCTION("""COMPUTED_VALUE"""),155000.0)</f>
        <v>155000</v>
      </c>
      <c r="B311" s="2">
        <f>IFERROR(__xludf.DUMMYFUNCTION("""COMPUTED_VALUE"""),3100.0)</f>
        <v>3100</v>
      </c>
      <c r="C311" s="66">
        <f>IFERROR(__xludf.DUMMYFUNCTION("""COMPUTED_VALUE"""),4.7895E8)</f>
        <v>478950000</v>
      </c>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2">
        <f>IFERROR(__xludf.DUMMYFUNCTION("""COMPUTED_VALUE"""),155500.0)</f>
        <v>155500</v>
      </c>
      <c r="B312" s="2">
        <f>IFERROR(__xludf.DUMMYFUNCTION("""COMPUTED_VALUE"""),3110.0)</f>
        <v>3110</v>
      </c>
      <c r="C312" s="66">
        <f>IFERROR(__xludf.DUMMYFUNCTION("""COMPUTED_VALUE"""),4.8205E8)</f>
        <v>482050000</v>
      </c>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2">
        <f>IFERROR(__xludf.DUMMYFUNCTION("""COMPUTED_VALUE"""),156000.0)</f>
        <v>156000</v>
      </c>
      <c r="B313" s="2">
        <f>IFERROR(__xludf.DUMMYFUNCTION("""COMPUTED_VALUE"""),3120.0)</f>
        <v>3120</v>
      </c>
      <c r="C313" s="66">
        <f>IFERROR(__xludf.DUMMYFUNCTION("""COMPUTED_VALUE"""),4.8516E8)</f>
        <v>485160000</v>
      </c>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2">
        <f>IFERROR(__xludf.DUMMYFUNCTION("""COMPUTED_VALUE"""),156500.0)</f>
        <v>156500</v>
      </c>
      <c r="B314" s="2">
        <f>IFERROR(__xludf.DUMMYFUNCTION("""COMPUTED_VALUE"""),3130.0)</f>
        <v>3130</v>
      </c>
      <c r="C314" s="66">
        <f>IFERROR(__xludf.DUMMYFUNCTION("""COMPUTED_VALUE"""),4.8828E8)</f>
        <v>488280000</v>
      </c>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2">
        <f>IFERROR(__xludf.DUMMYFUNCTION("""COMPUTED_VALUE"""),157000.0)</f>
        <v>157000</v>
      </c>
      <c r="B315" s="2">
        <f>IFERROR(__xludf.DUMMYFUNCTION("""COMPUTED_VALUE"""),3140.0)</f>
        <v>3140</v>
      </c>
      <c r="C315" s="66">
        <f>IFERROR(__xludf.DUMMYFUNCTION("""COMPUTED_VALUE"""),4.9141E8)</f>
        <v>491410000</v>
      </c>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2">
        <f>IFERROR(__xludf.DUMMYFUNCTION("""COMPUTED_VALUE"""),157500.0)</f>
        <v>157500</v>
      </c>
      <c r="B316" s="2">
        <f>IFERROR(__xludf.DUMMYFUNCTION("""COMPUTED_VALUE"""),3150.0)</f>
        <v>3150</v>
      </c>
      <c r="C316" s="66">
        <f>IFERROR(__xludf.DUMMYFUNCTION("""COMPUTED_VALUE"""),4.9455E8)</f>
        <v>494550000</v>
      </c>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2">
        <f>IFERROR(__xludf.DUMMYFUNCTION("""COMPUTED_VALUE"""),158000.0)</f>
        <v>158000</v>
      </c>
      <c r="B317" s="2">
        <f>IFERROR(__xludf.DUMMYFUNCTION("""COMPUTED_VALUE"""),3160.0)</f>
        <v>3160</v>
      </c>
      <c r="C317" s="66">
        <f>IFERROR(__xludf.DUMMYFUNCTION("""COMPUTED_VALUE"""),4.977E8)</f>
        <v>497700000</v>
      </c>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2">
        <f>IFERROR(__xludf.DUMMYFUNCTION("""COMPUTED_VALUE"""),158500.0)</f>
        <v>158500</v>
      </c>
      <c r="B318" s="2">
        <f>IFERROR(__xludf.DUMMYFUNCTION("""COMPUTED_VALUE"""),3170.0)</f>
        <v>3170</v>
      </c>
      <c r="C318" s="66">
        <f>IFERROR(__xludf.DUMMYFUNCTION("""COMPUTED_VALUE"""),5.0086E8)</f>
        <v>500860000</v>
      </c>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2">
        <f>IFERROR(__xludf.DUMMYFUNCTION("""COMPUTED_VALUE"""),159000.0)</f>
        <v>159000</v>
      </c>
      <c r="B319" s="2">
        <f>IFERROR(__xludf.DUMMYFUNCTION("""COMPUTED_VALUE"""),3180.0)</f>
        <v>3180</v>
      </c>
      <c r="C319" s="66">
        <f>IFERROR(__xludf.DUMMYFUNCTION("""COMPUTED_VALUE"""),5.0403E8)</f>
        <v>504030000</v>
      </c>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2">
        <f>IFERROR(__xludf.DUMMYFUNCTION("""COMPUTED_VALUE"""),159500.0)</f>
        <v>159500</v>
      </c>
      <c r="B320" s="2">
        <f>IFERROR(__xludf.DUMMYFUNCTION("""COMPUTED_VALUE"""),3190.0)</f>
        <v>3190</v>
      </c>
      <c r="C320" s="66">
        <f>IFERROR(__xludf.DUMMYFUNCTION("""COMPUTED_VALUE"""),5.0721E8)</f>
        <v>507210000</v>
      </c>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2">
        <f>IFERROR(__xludf.DUMMYFUNCTION("""COMPUTED_VALUE"""),160000.0)</f>
        <v>160000</v>
      </c>
      <c r="B321" s="2">
        <f>IFERROR(__xludf.DUMMYFUNCTION("""COMPUTED_VALUE"""),3200.0)</f>
        <v>3200</v>
      </c>
      <c r="C321" s="66">
        <f>IFERROR(__xludf.DUMMYFUNCTION("""COMPUTED_VALUE"""),5.104E8)</f>
        <v>510400000</v>
      </c>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2">
        <f>IFERROR(__xludf.DUMMYFUNCTION("""COMPUTED_VALUE"""),160500.0)</f>
        <v>160500</v>
      </c>
      <c r="B322" s="2">
        <f>IFERROR(__xludf.DUMMYFUNCTION("""COMPUTED_VALUE"""),3210.0)</f>
        <v>3210</v>
      </c>
      <c r="C322" s="66">
        <f>IFERROR(__xludf.DUMMYFUNCTION("""COMPUTED_VALUE"""),5.136E8)</f>
        <v>513600000</v>
      </c>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2">
        <f>IFERROR(__xludf.DUMMYFUNCTION("""COMPUTED_VALUE"""),161000.0)</f>
        <v>161000</v>
      </c>
      <c r="B323" s="2">
        <f>IFERROR(__xludf.DUMMYFUNCTION("""COMPUTED_VALUE"""),3220.0)</f>
        <v>3220</v>
      </c>
      <c r="C323" s="66">
        <f>IFERROR(__xludf.DUMMYFUNCTION("""COMPUTED_VALUE"""),5.1681E8)</f>
        <v>516810000</v>
      </c>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2">
        <f>IFERROR(__xludf.DUMMYFUNCTION("""COMPUTED_VALUE"""),161500.0)</f>
        <v>161500</v>
      </c>
      <c r="B324" s="2">
        <f>IFERROR(__xludf.DUMMYFUNCTION("""COMPUTED_VALUE"""),3230.0)</f>
        <v>3230</v>
      </c>
      <c r="C324" s="66">
        <f>IFERROR(__xludf.DUMMYFUNCTION("""COMPUTED_VALUE"""),5.2003E8)</f>
        <v>520030000</v>
      </c>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2">
        <f>IFERROR(__xludf.DUMMYFUNCTION("""COMPUTED_VALUE"""),162000.0)</f>
        <v>162000</v>
      </c>
      <c r="B325" s="2">
        <f>IFERROR(__xludf.DUMMYFUNCTION("""COMPUTED_VALUE"""),3240.0)</f>
        <v>3240</v>
      </c>
      <c r="C325" s="66">
        <f>IFERROR(__xludf.DUMMYFUNCTION("""COMPUTED_VALUE"""),5.2326E8)</f>
        <v>523260000</v>
      </c>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2">
        <f>IFERROR(__xludf.DUMMYFUNCTION("""COMPUTED_VALUE"""),162500.0)</f>
        <v>162500</v>
      </c>
      <c r="B326" s="2">
        <f>IFERROR(__xludf.DUMMYFUNCTION("""COMPUTED_VALUE"""),3250.0)</f>
        <v>3250</v>
      </c>
      <c r="C326" s="66">
        <f>IFERROR(__xludf.DUMMYFUNCTION("""COMPUTED_VALUE"""),5.265E8)</f>
        <v>526500000</v>
      </c>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2">
        <f>IFERROR(__xludf.DUMMYFUNCTION("""COMPUTED_VALUE"""),163000.0)</f>
        <v>163000</v>
      </c>
      <c r="B327" s="2">
        <f>IFERROR(__xludf.DUMMYFUNCTION("""COMPUTED_VALUE"""),3260.0)</f>
        <v>3260</v>
      </c>
      <c r="C327" s="66">
        <f>IFERROR(__xludf.DUMMYFUNCTION("""COMPUTED_VALUE"""),5.2975E8)</f>
        <v>529750000</v>
      </c>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2">
        <f>IFERROR(__xludf.DUMMYFUNCTION("""COMPUTED_VALUE"""),163500.0)</f>
        <v>163500</v>
      </c>
      <c r="B328" s="2">
        <f>IFERROR(__xludf.DUMMYFUNCTION("""COMPUTED_VALUE"""),3270.0)</f>
        <v>3270</v>
      </c>
      <c r="C328" s="66">
        <f>IFERROR(__xludf.DUMMYFUNCTION("""COMPUTED_VALUE"""),5.3301E8)</f>
        <v>533010000</v>
      </c>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2">
        <f>IFERROR(__xludf.DUMMYFUNCTION("""COMPUTED_VALUE"""),164000.0)</f>
        <v>164000</v>
      </c>
      <c r="B329" s="2">
        <f>IFERROR(__xludf.DUMMYFUNCTION("""COMPUTED_VALUE"""),3280.0)</f>
        <v>3280</v>
      </c>
      <c r="C329" s="66">
        <f>IFERROR(__xludf.DUMMYFUNCTION("""COMPUTED_VALUE"""),5.3628E8)</f>
        <v>536280000</v>
      </c>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2">
        <f>IFERROR(__xludf.DUMMYFUNCTION("""COMPUTED_VALUE"""),164500.0)</f>
        <v>164500</v>
      </c>
      <c r="B330" s="2">
        <f>IFERROR(__xludf.DUMMYFUNCTION("""COMPUTED_VALUE"""),3290.0)</f>
        <v>3290</v>
      </c>
      <c r="C330" s="66">
        <f>IFERROR(__xludf.DUMMYFUNCTION("""COMPUTED_VALUE"""),5.3956E8)</f>
        <v>539560000</v>
      </c>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2">
        <f>IFERROR(__xludf.DUMMYFUNCTION("""COMPUTED_VALUE"""),165000.0)</f>
        <v>165000</v>
      </c>
      <c r="B331" s="2">
        <f>IFERROR(__xludf.DUMMYFUNCTION("""COMPUTED_VALUE"""),3300.0)</f>
        <v>3300</v>
      </c>
      <c r="C331" s="66">
        <f>IFERROR(__xludf.DUMMYFUNCTION("""COMPUTED_VALUE"""),5.4285E8)</f>
        <v>542850000</v>
      </c>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2">
        <f>IFERROR(__xludf.DUMMYFUNCTION("""COMPUTED_VALUE"""),165500.0)</f>
        <v>165500</v>
      </c>
      <c r="B332" s="2">
        <f>IFERROR(__xludf.DUMMYFUNCTION("""COMPUTED_VALUE"""),3310.0)</f>
        <v>3310</v>
      </c>
      <c r="C332" s="66">
        <f>IFERROR(__xludf.DUMMYFUNCTION("""COMPUTED_VALUE"""),5.4615E8)</f>
        <v>546150000</v>
      </c>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2">
        <f>IFERROR(__xludf.DUMMYFUNCTION("""COMPUTED_VALUE"""),166000.0)</f>
        <v>166000</v>
      </c>
      <c r="B333" s="2">
        <f>IFERROR(__xludf.DUMMYFUNCTION("""COMPUTED_VALUE"""),3320.0)</f>
        <v>3320</v>
      </c>
      <c r="C333" s="66">
        <f>IFERROR(__xludf.DUMMYFUNCTION("""COMPUTED_VALUE"""),5.4946E8)</f>
        <v>549460000</v>
      </c>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2">
        <f>IFERROR(__xludf.DUMMYFUNCTION("""COMPUTED_VALUE"""),166500.0)</f>
        <v>166500</v>
      </c>
      <c r="B334" s="2">
        <f>IFERROR(__xludf.DUMMYFUNCTION("""COMPUTED_VALUE"""),3330.0)</f>
        <v>3330</v>
      </c>
      <c r="C334" s="66">
        <f>IFERROR(__xludf.DUMMYFUNCTION("""COMPUTED_VALUE"""),5.5278E8)</f>
        <v>552780000</v>
      </c>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2">
        <f>IFERROR(__xludf.DUMMYFUNCTION("""COMPUTED_VALUE"""),167000.0)</f>
        <v>167000</v>
      </c>
      <c r="B335" s="2">
        <f>IFERROR(__xludf.DUMMYFUNCTION("""COMPUTED_VALUE"""),3340.0)</f>
        <v>3340</v>
      </c>
      <c r="C335" s="66">
        <f>IFERROR(__xludf.DUMMYFUNCTION("""COMPUTED_VALUE"""),5.5611E8)</f>
        <v>556110000</v>
      </c>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2">
        <f>IFERROR(__xludf.DUMMYFUNCTION("""COMPUTED_VALUE"""),167500.0)</f>
        <v>167500</v>
      </c>
      <c r="B336" s="2">
        <f>IFERROR(__xludf.DUMMYFUNCTION("""COMPUTED_VALUE"""),3350.0)</f>
        <v>3350</v>
      </c>
      <c r="C336" s="66">
        <f>IFERROR(__xludf.DUMMYFUNCTION("""COMPUTED_VALUE"""),5.5945E8)</f>
        <v>559450000</v>
      </c>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2">
        <f>IFERROR(__xludf.DUMMYFUNCTION("""COMPUTED_VALUE"""),168000.0)</f>
        <v>168000</v>
      </c>
      <c r="B337" s="2">
        <f>IFERROR(__xludf.DUMMYFUNCTION("""COMPUTED_VALUE"""),3360.0)</f>
        <v>3360</v>
      </c>
      <c r="C337" s="66">
        <f>IFERROR(__xludf.DUMMYFUNCTION("""COMPUTED_VALUE"""),5.628E8)</f>
        <v>562800000</v>
      </c>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2">
        <f>IFERROR(__xludf.DUMMYFUNCTION("""COMPUTED_VALUE"""),168500.0)</f>
        <v>168500</v>
      </c>
      <c r="B338" s="2">
        <f>IFERROR(__xludf.DUMMYFUNCTION("""COMPUTED_VALUE"""),3370.0)</f>
        <v>3370</v>
      </c>
      <c r="C338" s="66">
        <f>IFERROR(__xludf.DUMMYFUNCTION("""COMPUTED_VALUE"""),5.6616E8)</f>
        <v>566160000</v>
      </c>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2">
        <f>IFERROR(__xludf.DUMMYFUNCTION("""COMPUTED_VALUE"""),169000.0)</f>
        <v>169000</v>
      </c>
      <c r="B339" s="2">
        <f>IFERROR(__xludf.DUMMYFUNCTION("""COMPUTED_VALUE"""),3380.0)</f>
        <v>3380</v>
      </c>
      <c r="C339" s="66">
        <f>IFERROR(__xludf.DUMMYFUNCTION("""COMPUTED_VALUE"""),5.6953E8)</f>
        <v>569530000</v>
      </c>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2">
        <f>IFERROR(__xludf.DUMMYFUNCTION("""COMPUTED_VALUE"""),169500.0)</f>
        <v>169500</v>
      </c>
      <c r="B340" s="2">
        <f>IFERROR(__xludf.DUMMYFUNCTION("""COMPUTED_VALUE"""),3390.0)</f>
        <v>3390</v>
      </c>
      <c r="C340" s="66">
        <f>IFERROR(__xludf.DUMMYFUNCTION("""COMPUTED_VALUE"""),5.7291E8)</f>
        <v>572910000</v>
      </c>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2">
        <f>IFERROR(__xludf.DUMMYFUNCTION("""COMPUTED_VALUE"""),170000.0)</f>
        <v>170000</v>
      </c>
      <c r="B341" s="2">
        <f>IFERROR(__xludf.DUMMYFUNCTION("""COMPUTED_VALUE"""),3400.0)</f>
        <v>3400</v>
      </c>
      <c r="C341" s="66">
        <f>IFERROR(__xludf.DUMMYFUNCTION("""COMPUTED_VALUE"""),5.763E8)</f>
        <v>576300000</v>
      </c>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2">
        <f>IFERROR(__xludf.DUMMYFUNCTION("""COMPUTED_VALUE"""),170500.0)</f>
        <v>170500</v>
      </c>
      <c r="B342" s="2">
        <f>IFERROR(__xludf.DUMMYFUNCTION("""COMPUTED_VALUE"""),3410.0)</f>
        <v>3410</v>
      </c>
      <c r="C342" s="66">
        <f>IFERROR(__xludf.DUMMYFUNCTION("""COMPUTED_VALUE"""),5.797E8)</f>
        <v>579700000</v>
      </c>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2">
        <f>IFERROR(__xludf.DUMMYFUNCTION("""COMPUTED_VALUE"""),171000.0)</f>
        <v>171000</v>
      </c>
      <c r="B343" s="2">
        <f>IFERROR(__xludf.DUMMYFUNCTION("""COMPUTED_VALUE"""),3420.0)</f>
        <v>3420</v>
      </c>
      <c r="C343" s="66">
        <f>IFERROR(__xludf.DUMMYFUNCTION("""COMPUTED_VALUE"""),5.8311E8)</f>
        <v>583110000</v>
      </c>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2">
        <f>IFERROR(__xludf.DUMMYFUNCTION("""COMPUTED_VALUE"""),171500.0)</f>
        <v>171500</v>
      </c>
      <c r="B344" s="2">
        <f>IFERROR(__xludf.DUMMYFUNCTION("""COMPUTED_VALUE"""),3430.0)</f>
        <v>3430</v>
      </c>
      <c r="C344" s="66">
        <f>IFERROR(__xludf.DUMMYFUNCTION("""COMPUTED_VALUE"""),5.8653E8)</f>
        <v>586530000</v>
      </c>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2">
        <f>IFERROR(__xludf.DUMMYFUNCTION("""COMPUTED_VALUE"""),172000.0)</f>
        <v>172000</v>
      </c>
      <c r="B345" s="2">
        <f>IFERROR(__xludf.DUMMYFUNCTION("""COMPUTED_VALUE"""),3440.0)</f>
        <v>3440</v>
      </c>
      <c r="C345" s="66">
        <f>IFERROR(__xludf.DUMMYFUNCTION("""COMPUTED_VALUE"""),5.8996E8)</f>
        <v>589960000</v>
      </c>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2">
        <f>IFERROR(__xludf.DUMMYFUNCTION("""COMPUTED_VALUE"""),172500.0)</f>
        <v>172500</v>
      </c>
      <c r="B346" s="2">
        <f>IFERROR(__xludf.DUMMYFUNCTION("""COMPUTED_VALUE"""),3450.0)</f>
        <v>3450</v>
      </c>
      <c r="C346" s="66">
        <f>IFERROR(__xludf.DUMMYFUNCTION("""COMPUTED_VALUE"""),5.934E8)</f>
        <v>593400000</v>
      </c>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2">
        <f>IFERROR(__xludf.DUMMYFUNCTION("""COMPUTED_VALUE"""),173000.0)</f>
        <v>173000</v>
      </c>
      <c r="B347" s="2">
        <f>IFERROR(__xludf.DUMMYFUNCTION("""COMPUTED_VALUE"""),3460.0)</f>
        <v>3460</v>
      </c>
      <c r="C347" s="66">
        <f>IFERROR(__xludf.DUMMYFUNCTION("""COMPUTED_VALUE"""),5.9685E8)</f>
        <v>596850000</v>
      </c>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2">
        <f>IFERROR(__xludf.DUMMYFUNCTION("""COMPUTED_VALUE"""),173500.0)</f>
        <v>173500</v>
      </c>
      <c r="B348" s="2">
        <f>IFERROR(__xludf.DUMMYFUNCTION("""COMPUTED_VALUE"""),3470.0)</f>
        <v>3470</v>
      </c>
      <c r="C348" s="66">
        <f>IFERROR(__xludf.DUMMYFUNCTION("""COMPUTED_VALUE"""),6.0031E8)</f>
        <v>600310000</v>
      </c>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2">
        <f>IFERROR(__xludf.DUMMYFUNCTION("""COMPUTED_VALUE"""),174000.0)</f>
        <v>174000</v>
      </c>
      <c r="B349" s="2">
        <f>IFERROR(__xludf.DUMMYFUNCTION("""COMPUTED_VALUE"""),3480.0)</f>
        <v>3480</v>
      </c>
      <c r="C349" s="66">
        <f>IFERROR(__xludf.DUMMYFUNCTION("""COMPUTED_VALUE"""),6.0378E8)</f>
        <v>603780000</v>
      </c>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2">
        <f>IFERROR(__xludf.DUMMYFUNCTION("""COMPUTED_VALUE"""),174500.0)</f>
        <v>174500</v>
      </c>
      <c r="B350" s="2">
        <f>IFERROR(__xludf.DUMMYFUNCTION("""COMPUTED_VALUE"""),3490.0)</f>
        <v>3490</v>
      </c>
      <c r="C350" s="66">
        <f>IFERROR(__xludf.DUMMYFUNCTION("""COMPUTED_VALUE"""),6.0726E8)</f>
        <v>607260000</v>
      </c>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2">
        <f>IFERROR(__xludf.DUMMYFUNCTION("""COMPUTED_VALUE"""),175000.0)</f>
        <v>175000</v>
      </c>
      <c r="B351" s="2">
        <f>IFERROR(__xludf.DUMMYFUNCTION("""COMPUTED_VALUE"""),3500.0)</f>
        <v>3500</v>
      </c>
      <c r="C351" s="66">
        <f>IFERROR(__xludf.DUMMYFUNCTION("""COMPUTED_VALUE"""),6.1075E8)</f>
        <v>610750000</v>
      </c>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2">
        <f>IFERROR(__xludf.DUMMYFUNCTION("""COMPUTED_VALUE"""),175500.0)</f>
        <v>175500</v>
      </c>
      <c r="B352" s="2">
        <f>IFERROR(__xludf.DUMMYFUNCTION("""COMPUTED_VALUE"""),3510.0)</f>
        <v>3510</v>
      </c>
      <c r="C352" s="66">
        <f>IFERROR(__xludf.DUMMYFUNCTION("""COMPUTED_VALUE"""),6.1425E8)</f>
        <v>614250000</v>
      </c>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2">
        <f>IFERROR(__xludf.DUMMYFUNCTION("""COMPUTED_VALUE"""),176000.0)</f>
        <v>176000</v>
      </c>
      <c r="B353" s="2">
        <f>IFERROR(__xludf.DUMMYFUNCTION("""COMPUTED_VALUE"""),3520.0)</f>
        <v>3520</v>
      </c>
      <c r="C353" s="66">
        <f>IFERROR(__xludf.DUMMYFUNCTION("""COMPUTED_VALUE"""),6.1776E8)</f>
        <v>617760000</v>
      </c>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2">
        <f>IFERROR(__xludf.DUMMYFUNCTION("""COMPUTED_VALUE"""),176500.0)</f>
        <v>176500</v>
      </c>
      <c r="B354" s="2">
        <f>IFERROR(__xludf.DUMMYFUNCTION("""COMPUTED_VALUE"""),3530.0)</f>
        <v>3530</v>
      </c>
      <c r="C354" s="66">
        <f>IFERROR(__xludf.DUMMYFUNCTION("""COMPUTED_VALUE"""),6.2128E8)</f>
        <v>621280000</v>
      </c>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2">
        <f>IFERROR(__xludf.DUMMYFUNCTION("""COMPUTED_VALUE"""),177000.0)</f>
        <v>177000</v>
      </c>
      <c r="B355" s="2">
        <f>IFERROR(__xludf.DUMMYFUNCTION("""COMPUTED_VALUE"""),3540.0)</f>
        <v>3540</v>
      </c>
      <c r="C355" s="66">
        <f>IFERROR(__xludf.DUMMYFUNCTION("""COMPUTED_VALUE"""),6.2481E8)</f>
        <v>624810000</v>
      </c>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2">
        <f>IFERROR(__xludf.DUMMYFUNCTION("""COMPUTED_VALUE"""),177500.0)</f>
        <v>177500</v>
      </c>
      <c r="B356" s="2">
        <f>IFERROR(__xludf.DUMMYFUNCTION("""COMPUTED_VALUE"""),3550.0)</f>
        <v>3550</v>
      </c>
      <c r="C356" s="66">
        <f>IFERROR(__xludf.DUMMYFUNCTION("""COMPUTED_VALUE"""),6.2835E8)</f>
        <v>628350000</v>
      </c>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2">
        <f>IFERROR(__xludf.DUMMYFUNCTION("""COMPUTED_VALUE"""),178000.0)</f>
        <v>178000</v>
      </c>
      <c r="B357" s="2">
        <f>IFERROR(__xludf.DUMMYFUNCTION("""COMPUTED_VALUE"""),3560.0)</f>
        <v>3560</v>
      </c>
      <c r="C357" s="66">
        <f>IFERROR(__xludf.DUMMYFUNCTION("""COMPUTED_VALUE"""),6.319E8)</f>
        <v>631900000</v>
      </c>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2">
        <f>IFERROR(__xludf.DUMMYFUNCTION("""COMPUTED_VALUE"""),178500.0)</f>
        <v>178500</v>
      </c>
      <c r="B358" s="2">
        <f>IFERROR(__xludf.DUMMYFUNCTION("""COMPUTED_VALUE"""),3570.0)</f>
        <v>3570</v>
      </c>
      <c r="C358" s="66">
        <f>IFERROR(__xludf.DUMMYFUNCTION("""COMPUTED_VALUE"""),6.3546E8)</f>
        <v>635460000</v>
      </c>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2">
        <f>IFERROR(__xludf.DUMMYFUNCTION("""COMPUTED_VALUE"""),179000.0)</f>
        <v>179000</v>
      </c>
      <c r="B359" s="2">
        <f>IFERROR(__xludf.DUMMYFUNCTION("""COMPUTED_VALUE"""),3580.0)</f>
        <v>3580</v>
      </c>
      <c r="C359" s="66">
        <f>IFERROR(__xludf.DUMMYFUNCTION("""COMPUTED_VALUE"""),6.3903E8)</f>
        <v>639030000</v>
      </c>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2">
        <f>IFERROR(__xludf.DUMMYFUNCTION("""COMPUTED_VALUE"""),179500.0)</f>
        <v>179500</v>
      </c>
      <c r="B360" s="2">
        <f>IFERROR(__xludf.DUMMYFUNCTION("""COMPUTED_VALUE"""),3590.0)</f>
        <v>3590</v>
      </c>
      <c r="C360" s="66">
        <f>IFERROR(__xludf.DUMMYFUNCTION("""COMPUTED_VALUE"""),6.4261E8)</f>
        <v>642610000</v>
      </c>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2">
        <f>IFERROR(__xludf.DUMMYFUNCTION("""COMPUTED_VALUE"""),180000.0)</f>
        <v>180000</v>
      </c>
      <c r="B361" s="2">
        <f>IFERROR(__xludf.DUMMYFUNCTION("""COMPUTED_VALUE"""),3600.0)</f>
        <v>3600</v>
      </c>
      <c r="C361" s="66">
        <f>IFERROR(__xludf.DUMMYFUNCTION("""COMPUTED_VALUE"""),6.462E8)</f>
        <v>646200000</v>
      </c>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2">
        <f>IFERROR(__xludf.DUMMYFUNCTION("""COMPUTED_VALUE"""),180500.0)</f>
        <v>180500</v>
      </c>
      <c r="B362" s="2">
        <f>IFERROR(__xludf.DUMMYFUNCTION("""COMPUTED_VALUE"""),3610.0)</f>
        <v>3610</v>
      </c>
      <c r="C362" s="66">
        <f>IFERROR(__xludf.DUMMYFUNCTION("""COMPUTED_VALUE"""),6.498E8)</f>
        <v>649800000</v>
      </c>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2">
        <f>IFERROR(__xludf.DUMMYFUNCTION("""COMPUTED_VALUE"""),181000.0)</f>
        <v>181000</v>
      </c>
      <c r="B363" s="2">
        <f>IFERROR(__xludf.DUMMYFUNCTION("""COMPUTED_VALUE"""),3620.0)</f>
        <v>3620</v>
      </c>
      <c r="C363" s="66">
        <f>IFERROR(__xludf.DUMMYFUNCTION("""COMPUTED_VALUE"""),6.5341E8)</f>
        <v>653410000</v>
      </c>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2">
        <f>IFERROR(__xludf.DUMMYFUNCTION("""COMPUTED_VALUE"""),181500.0)</f>
        <v>181500</v>
      </c>
      <c r="B364" s="2">
        <f>IFERROR(__xludf.DUMMYFUNCTION("""COMPUTED_VALUE"""),3630.0)</f>
        <v>3630</v>
      </c>
      <c r="C364" s="66">
        <f>IFERROR(__xludf.DUMMYFUNCTION("""COMPUTED_VALUE"""),6.5703E8)</f>
        <v>657030000</v>
      </c>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2">
        <f>IFERROR(__xludf.DUMMYFUNCTION("""COMPUTED_VALUE"""),182000.0)</f>
        <v>182000</v>
      </c>
      <c r="B365" s="2">
        <f>IFERROR(__xludf.DUMMYFUNCTION("""COMPUTED_VALUE"""),3640.0)</f>
        <v>3640</v>
      </c>
      <c r="C365" s="66">
        <f>IFERROR(__xludf.DUMMYFUNCTION("""COMPUTED_VALUE"""),6.6066E8)</f>
        <v>660660000</v>
      </c>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2">
        <f>IFERROR(__xludf.DUMMYFUNCTION("""COMPUTED_VALUE"""),182500.0)</f>
        <v>182500</v>
      </c>
      <c r="B366" s="2">
        <f>IFERROR(__xludf.DUMMYFUNCTION("""COMPUTED_VALUE"""),3650.0)</f>
        <v>3650</v>
      </c>
      <c r="C366" s="66">
        <f>IFERROR(__xludf.DUMMYFUNCTION("""COMPUTED_VALUE"""),6.643E8)</f>
        <v>664300000</v>
      </c>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2">
        <f>IFERROR(__xludf.DUMMYFUNCTION("""COMPUTED_VALUE"""),183000.0)</f>
        <v>183000</v>
      </c>
      <c r="B367" s="2">
        <f>IFERROR(__xludf.DUMMYFUNCTION("""COMPUTED_VALUE"""),3660.0)</f>
        <v>3660</v>
      </c>
      <c r="C367" s="66">
        <f>IFERROR(__xludf.DUMMYFUNCTION("""COMPUTED_VALUE"""),6.6795E8)</f>
        <v>667950000</v>
      </c>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2">
        <f>IFERROR(__xludf.DUMMYFUNCTION("""COMPUTED_VALUE"""),183500.0)</f>
        <v>183500</v>
      </c>
      <c r="B368" s="2">
        <f>IFERROR(__xludf.DUMMYFUNCTION("""COMPUTED_VALUE"""),3670.0)</f>
        <v>3670</v>
      </c>
      <c r="C368" s="66">
        <f>IFERROR(__xludf.DUMMYFUNCTION("""COMPUTED_VALUE"""),6.7161E8)</f>
        <v>671610000</v>
      </c>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2">
        <f>IFERROR(__xludf.DUMMYFUNCTION("""COMPUTED_VALUE"""),184000.0)</f>
        <v>184000</v>
      </c>
      <c r="B369" s="2">
        <f>IFERROR(__xludf.DUMMYFUNCTION("""COMPUTED_VALUE"""),3680.0)</f>
        <v>3680</v>
      </c>
      <c r="C369" s="66">
        <f>IFERROR(__xludf.DUMMYFUNCTION("""COMPUTED_VALUE"""),6.7528E8)</f>
        <v>675280000</v>
      </c>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2">
        <f>IFERROR(__xludf.DUMMYFUNCTION("""COMPUTED_VALUE"""),184500.0)</f>
        <v>184500</v>
      </c>
      <c r="B370" s="2">
        <f>IFERROR(__xludf.DUMMYFUNCTION("""COMPUTED_VALUE"""),3690.0)</f>
        <v>3690</v>
      </c>
      <c r="C370" s="66">
        <f>IFERROR(__xludf.DUMMYFUNCTION("""COMPUTED_VALUE"""),6.7896E8)</f>
        <v>678960000</v>
      </c>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2">
        <f>IFERROR(__xludf.DUMMYFUNCTION("""COMPUTED_VALUE"""),185000.0)</f>
        <v>185000</v>
      </c>
      <c r="B371" s="2">
        <f>IFERROR(__xludf.DUMMYFUNCTION("""COMPUTED_VALUE"""),3700.0)</f>
        <v>3700</v>
      </c>
      <c r="C371" s="66">
        <f>IFERROR(__xludf.DUMMYFUNCTION("""COMPUTED_VALUE"""),6.8265E8)</f>
        <v>682650000</v>
      </c>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2">
        <f>IFERROR(__xludf.DUMMYFUNCTION("""COMPUTED_VALUE"""),185500.0)</f>
        <v>185500</v>
      </c>
      <c r="B372" s="2">
        <f>IFERROR(__xludf.DUMMYFUNCTION("""COMPUTED_VALUE"""),3710.0)</f>
        <v>3710</v>
      </c>
      <c r="C372" s="66">
        <f>IFERROR(__xludf.DUMMYFUNCTION("""COMPUTED_VALUE"""),6.8635E8)</f>
        <v>686350000</v>
      </c>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2">
        <f>IFERROR(__xludf.DUMMYFUNCTION("""COMPUTED_VALUE"""),186000.0)</f>
        <v>186000</v>
      </c>
      <c r="B373" s="2">
        <f>IFERROR(__xludf.DUMMYFUNCTION("""COMPUTED_VALUE"""),3720.0)</f>
        <v>3720</v>
      </c>
      <c r="C373" s="66">
        <f>IFERROR(__xludf.DUMMYFUNCTION("""COMPUTED_VALUE"""),6.9006E8)</f>
        <v>690060000</v>
      </c>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2">
        <f>IFERROR(__xludf.DUMMYFUNCTION("""COMPUTED_VALUE"""),186500.0)</f>
        <v>186500</v>
      </c>
      <c r="B374" s="2">
        <f>IFERROR(__xludf.DUMMYFUNCTION("""COMPUTED_VALUE"""),3730.0)</f>
        <v>3730</v>
      </c>
      <c r="C374" s="66">
        <f>IFERROR(__xludf.DUMMYFUNCTION("""COMPUTED_VALUE"""),6.9378E8)</f>
        <v>693780000</v>
      </c>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2">
        <f>IFERROR(__xludf.DUMMYFUNCTION("""COMPUTED_VALUE"""),187000.0)</f>
        <v>187000</v>
      </c>
      <c r="B375" s="2">
        <f>IFERROR(__xludf.DUMMYFUNCTION("""COMPUTED_VALUE"""),3740.0)</f>
        <v>3740</v>
      </c>
      <c r="C375" s="66">
        <f>IFERROR(__xludf.DUMMYFUNCTION("""COMPUTED_VALUE"""),6.9751E8)</f>
        <v>697510000</v>
      </c>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2">
        <f>IFERROR(__xludf.DUMMYFUNCTION("""COMPUTED_VALUE"""),187500.0)</f>
        <v>187500</v>
      </c>
      <c r="B376" s="2">
        <f>IFERROR(__xludf.DUMMYFUNCTION("""COMPUTED_VALUE"""),3750.0)</f>
        <v>3750</v>
      </c>
      <c r="C376" s="66">
        <f>IFERROR(__xludf.DUMMYFUNCTION("""COMPUTED_VALUE"""),7.0125E8)</f>
        <v>701250000</v>
      </c>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2">
        <f>IFERROR(__xludf.DUMMYFUNCTION("""COMPUTED_VALUE"""),188000.0)</f>
        <v>188000</v>
      </c>
      <c r="B377" s="2">
        <f>IFERROR(__xludf.DUMMYFUNCTION("""COMPUTED_VALUE"""),3760.0)</f>
        <v>3760</v>
      </c>
      <c r="C377" s="66">
        <f>IFERROR(__xludf.DUMMYFUNCTION("""COMPUTED_VALUE"""),7.05E8)</f>
        <v>705000000</v>
      </c>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2">
        <f>IFERROR(__xludf.DUMMYFUNCTION("""COMPUTED_VALUE"""),188500.0)</f>
        <v>188500</v>
      </c>
      <c r="B378" s="2">
        <f>IFERROR(__xludf.DUMMYFUNCTION("""COMPUTED_VALUE"""),3770.0)</f>
        <v>3770</v>
      </c>
      <c r="C378" s="66">
        <f>IFERROR(__xludf.DUMMYFUNCTION("""COMPUTED_VALUE"""),7.0876E8)</f>
        <v>708760000</v>
      </c>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2">
        <f>IFERROR(__xludf.DUMMYFUNCTION("""COMPUTED_VALUE"""),189000.0)</f>
        <v>189000</v>
      </c>
      <c r="B379" s="2">
        <f>IFERROR(__xludf.DUMMYFUNCTION("""COMPUTED_VALUE"""),3780.0)</f>
        <v>3780</v>
      </c>
      <c r="C379" s="66">
        <f>IFERROR(__xludf.DUMMYFUNCTION("""COMPUTED_VALUE"""),7.1253E8)</f>
        <v>712530000</v>
      </c>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2">
        <f>IFERROR(__xludf.DUMMYFUNCTION("""COMPUTED_VALUE"""),189500.0)</f>
        <v>189500</v>
      </c>
      <c r="B380" s="2">
        <f>IFERROR(__xludf.DUMMYFUNCTION("""COMPUTED_VALUE"""),3790.0)</f>
        <v>3790</v>
      </c>
      <c r="C380" s="66">
        <f>IFERROR(__xludf.DUMMYFUNCTION("""COMPUTED_VALUE"""),7.1631E8)</f>
        <v>716310000</v>
      </c>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2">
        <f>IFERROR(__xludf.DUMMYFUNCTION("""COMPUTED_VALUE"""),190000.0)</f>
        <v>190000</v>
      </c>
      <c r="B381" s="2">
        <f>IFERROR(__xludf.DUMMYFUNCTION("""COMPUTED_VALUE"""),3800.0)</f>
        <v>3800</v>
      </c>
      <c r="C381" s="66">
        <f>IFERROR(__xludf.DUMMYFUNCTION("""COMPUTED_VALUE"""),7.201E8)</f>
        <v>720100000</v>
      </c>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2">
        <f>IFERROR(__xludf.DUMMYFUNCTION("""COMPUTED_VALUE"""),190500.0)</f>
        <v>190500</v>
      </c>
      <c r="B382" s="2">
        <f>IFERROR(__xludf.DUMMYFUNCTION("""COMPUTED_VALUE"""),3810.0)</f>
        <v>3810</v>
      </c>
      <c r="C382" s="66">
        <f>IFERROR(__xludf.DUMMYFUNCTION("""COMPUTED_VALUE"""),7.239E8)</f>
        <v>723900000</v>
      </c>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2">
        <f>IFERROR(__xludf.DUMMYFUNCTION("""COMPUTED_VALUE"""),191000.0)</f>
        <v>191000</v>
      </c>
      <c r="B383" s="2">
        <f>IFERROR(__xludf.DUMMYFUNCTION("""COMPUTED_VALUE"""),3820.0)</f>
        <v>3820</v>
      </c>
      <c r="C383" s="66">
        <f>IFERROR(__xludf.DUMMYFUNCTION("""COMPUTED_VALUE"""),7.2771E8)</f>
        <v>727710000</v>
      </c>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2">
        <f>IFERROR(__xludf.DUMMYFUNCTION("""COMPUTED_VALUE"""),191500.0)</f>
        <v>191500</v>
      </c>
      <c r="B384" s="2">
        <f>IFERROR(__xludf.DUMMYFUNCTION("""COMPUTED_VALUE"""),3830.0)</f>
        <v>3830</v>
      </c>
      <c r="C384" s="66">
        <f>IFERROR(__xludf.DUMMYFUNCTION("""COMPUTED_VALUE"""),7.3153E8)</f>
        <v>731530000</v>
      </c>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2">
        <f>IFERROR(__xludf.DUMMYFUNCTION("""COMPUTED_VALUE"""),192000.0)</f>
        <v>192000</v>
      </c>
      <c r="B385" s="2">
        <f>IFERROR(__xludf.DUMMYFUNCTION("""COMPUTED_VALUE"""),3840.0)</f>
        <v>3840</v>
      </c>
      <c r="C385" s="66">
        <f>IFERROR(__xludf.DUMMYFUNCTION("""COMPUTED_VALUE"""),7.3536E8)</f>
        <v>735360000</v>
      </c>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2">
        <f>IFERROR(__xludf.DUMMYFUNCTION("""COMPUTED_VALUE"""),192500.0)</f>
        <v>192500</v>
      </c>
      <c r="B386" s="2">
        <f>IFERROR(__xludf.DUMMYFUNCTION("""COMPUTED_VALUE"""),3850.0)</f>
        <v>3850</v>
      </c>
      <c r="C386" s="66">
        <f>IFERROR(__xludf.DUMMYFUNCTION("""COMPUTED_VALUE"""),7.392E8)</f>
        <v>739200000</v>
      </c>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2">
        <f>IFERROR(__xludf.DUMMYFUNCTION("""COMPUTED_VALUE"""),193000.0)</f>
        <v>193000</v>
      </c>
      <c r="B387" s="2">
        <f>IFERROR(__xludf.DUMMYFUNCTION("""COMPUTED_VALUE"""),3860.0)</f>
        <v>3860</v>
      </c>
      <c r="C387" s="66">
        <f>IFERROR(__xludf.DUMMYFUNCTION("""COMPUTED_VALUE"""),7.4305E8)</f>
        <v>743050000</v>
      </c>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2">
        <f>IFERROR(__xludf.DUMMYFUNCTION("""COMPUTED_VALUE"""),193500.0)</f>
        <v>193500</v>
      </c>
      <c r="B388" s="2">
        <f>IFERROR(__xludf.DUMMYFUNCTION("""COMPUTED_VALUE"""),3870.0)</f>
        <v>3870</v>
      </c>
      <c r="C388" s="66">
        <f>IFERROR(__xludf.DUMMYFUNCTION("""COMPUTED_VALUE"""),7.4691E8)</f>
        <v>746910000</v>
      </c>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2">
        <f>IFERROR(__xludf.DUMMYFUNCTION("""COMPUTED_VALUE"""),194000.0)</f>
        <v>194000</v>
      </c>
      <c r="B389" s="2">
        <f>IFERROR(__xludf.DUMMYFUNCTION("""COMPUTED_VALUE"""),3880.0)</f>
        <v>3880</v>
      </c>
      <c r="C389" s="66">
        <f>IFERROR(__xludf.DUMMYFUNCTION("""COMPUTED_VALUE"""),7.5078E8)</f>
        <v>750780000</v>
      </c>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2">
        <f>IFERROR(__xludf.DUMMYFUNCTION("""COMPUTED_VALUE"""),194500.0)</f>
        <v>194500</v>
      </c>
      <c r="B390" s="2">
        <f>IFERROR(__xludf.DUMMYFUNCTION("""COMPUTED_VALUE"""),3890.0)</f>
        <v>3890</v>
      </c>
      <c r="C390" s="66">
        <f>IFERROR(__xludf.DUMMYFUNCTION("""COMPUTED_VALUE"""),7.5466E8)</f>
        <v>754660000</v>
      </c>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2">
        <f>IFERROR(__xludf.DUMMYFUNCTION("""COMPUTED_VALUE"""),195000.0)</f>
        <v>195000</v>
      </c>
      <c r="B391" s="2">
        <f>IFERROR(__xludf.DUMMYFUNCTION("""COMPUTED_VALUE"""),3900.0)</f>
        <v>3900</v>
      </c>
      <c r="C391" s="66">
        <f>IFERROR(__xludf.DUMMYFUNCTION("""COMPUTED_VALUE"""),7.5855E8)</f>
        <v>758550000</v>
      </c>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2">
        <f>IFERROR(__xludf.DUMMYFUNCTION("""COMPUTED_VALUE"""),195500.0)</f>
        <v>195500</v>
      </c>
      <c r="B392" s="2">
        <f>IFERROR(__xludf.DUMMYFUNCTION("""COMPUTED_VALUE"""),3910.0)</f>
        <v>3910</v>
      </c>
      <c r="C392" s="66">
        <f>IFERROR(__xludf.DUMMYFUNCTION("""COMPUTED_VALUE"""),7.6245E8)</f>
        <v>762450000</v>
      </c>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2">
        <f>IFERROR(__xludf.DUMMYFUNCTION("""COMPUTED_VALUE"""),196000.0)</f>
        <v>196000</v>
      </c>
      <c r="B393" s="2">
        <f>IFERROR(__xludf.DUMMYFUNCTION("""COMPUTED_VALUE"""),3920.0)</f>
        <v>3920</v>
      </c>
      <c r="C393" s="66">
        <f>IFERROR(__xludf.DUMMYFUNCTION("""COMPUTED_VALUE"""),7.6636E8)</f>
        <v>766360000</v>
      </c>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2">
        <f>IFERROR(__xludf.DUMMYFUNCTION("""COMPUTED_VALUE"""),196500.0)</f>
        <v>196500</v>
      </c>
      <c r="B394" s="2">
        <f>IFERROR(__xludf.DUMMYFUNCTION("""COMPUTED_VALUE"""),3930.0)</f>
        <v>3930</v>
      </c>
      <c r="C394" s="66">
        <f>IFERROR(__xludf.DUMMYFUNCTION("""COMPUTED_VALUE"""),7.7028E8)</f>
        <v>770280000</v>
      </c>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2">
        <f>IFERROR(__xludf.DUMMYFUNCTION("""COMPUTED_VALUE"""),197000.0)</f>
        <v>197000</v>
      </c>
      <c r="B395" s="2">
        <f>IFERROR(__xludf.DUMMYFUNCTION("""COMPUTED_VALUE"""),3940.0)</f>
        <v>3940</v>
      </c>
      <c r="C395" s="66">
        <f>IFERROR(__xludf.DUMMYFUNCTION("""COMPUTED_VALUE"""),7.7421E8)</f>
        <v>774210000</v>
      </c>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2">
        <f>IFERROR(__xludf.DUMMYFUNCTION("""COMPUTED_VALUE"""),197500.0)</f>
        <v>197500</v>
      </c>
      <c r="B396" s="2">
        <f>IFERROR(__xludf.DUMMYFUNCTION("""COMPUTED_VALUE"""),3950.0)</f>
        <v>3950</v>
      </c>
      <c r="C396" s="66">
        <f>IFERROR(__xludf.DUMMYFUNCTION("""COMPUTED_VALUE"""),7.7815E8)</f>
        <v>778150000</v>
      </c>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2">
        <f>IFERROR(__xludf.DUMMYFUNCTION("""COMPUTED_VALUE"""),198000.0)</f>
        <v>198000</v>
      </c>
      <c r="B397" s="2">
        <f>IFERROR(__xludf.DUMMYFUNCTION("""COMPUTED_VALUE"""),3960.0)</f>
        <v>3960</v>
      </c>
      <c r="C397" s="66">
        <f>IFERROR(__xludf.DUMMYFUNCTION("""COMPUTED_VALUE"""),7.821E8)</f>
        <v>782100000</v>
      </c>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2">
        <f>IFERROR(__xludf.DUMMYFUNCTION("""COMPUTED_VALUE"""),198500.0)</f>
        <v>198500</v>
      </c>
      <c r="B398" s="2">
        <f>IFERROR(__xludf.DUMMYFUNCTION("""COMPUTED_VALUE"""),3970.0)</f>
        <v>3970</v>
      </c>
      <c r="C398" s="66">
        <f>IFERROR(__xludf.DUMMYFUNCTION("""COMPUTED_VALUE"""),7.8606E8)</f>
        <v>786060000</v>
      </c>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2">
        <f>IFERROR(__xludf.DUMMYFUNCTION("""COMPUTED_VALUE"""),199000.0)</f>
        <v>199000</v>
      </c>
      <c r="B399" s="2">
        <f>IFERROR(__xludf.DUMMYFUNCTION("""COMPUTED_VALUE"""),3980.0)</f>
        <v>3980</v>
      </c>
      <c r="C399" s="66">
        <f>IFERROR(__xludf.DUMMYFUNCTION("""COMPUTED_VALUE"""),7.9003E8)</f>
        <v>790030000</v>
      </c>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2">
        <f>IFERROR(__xludf.DUMMYFUNCTION("""COMPUTED_VALUE"""),199500.0)</f>
        <v>199500</v>
      </c>
      <c r="B400" s="2">
        <f>IFERROR(__xludf.DUMMYFUNCTION("""COMPUTED_VALUE"""),3990.0)</f>
        <v>3990</v>
      </c>
      <c r="C400" s="66">
        <f>IFERROR(__xludf.DUMMYFUNCTION("""COMPUTED_VALUE"""),7.9401E8)</f>
        <v>794010000</v>
      </c>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2">
        <f>IFERROR(__xludf.DUMMYFUNCTION("""COMPUTED_VALUE"""),200000.0)</f>
        <v>200000</v>
      </c>
      <c r="B401" s="2">
        <f>IFERROR(__xludf.DUMMYFUNCTION("""COMPUTED_VALUE"""),4000.0)</f>
        <v>4000</v>
      </c>
      <c r="C401" s="66">
        <f>IFERROR(__xludf.DUMMYFUNCTION("""COMPUTED_VALUE"""),7.98E8)</f>
        <v>798000000</v>
      </c>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2">
        <f>IFERROR(__xludf.DUMMYFUNCTION("""COMPUTED_VALUE"""),200500.0)</f>
        <v>200500</v>
      </c>
      <c r="B402" s="2">
        <f>IFERROR(__xludf.DUMMYFUNCTION("""COMPUTED_VALUE"""),4010.0)</f>
        <v>4010</v>
      </c>
      <c r="C402" s="66">
        <f>IFERROR(__xludf.DUMMYFUNCTION("""COMPUTED_VALUE"""),8.02E8)</f>
        <v>802000000</v>
      </c>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2">
        <f>IFERROR(__xludf.DUMMYFUNCTION("""COMPUTED_VALUE"""),201000.0)</f>
        <v>201000</v>
      </c>
      <c r="B403" s="2">
        <f>IFERROR(__xludf.DUMMYFUNCTION("""COMPUTED_VALUE"""),4020.0)</f>
        <v>4020</v>
      </c>
      <c r="C403" s="66">
        <f>IFERROR(__xludf.DUMMYFUNCTION("""COMPUTED_VALUE"""),8.0601E8)</f>
        <v>806010000</v>
      </c>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2">
        <f>IFERROR(__xludf.DUMMYFUNCTION("""COMPUTED_VALUE"""),201500.0)</f>
        <v>201500</v>
      </c>
      <c r="B404" s="2">
        <f>IFERROR(__xludf.DUMMYFUNCTION("""COMPUTED_VALUE"""),4030.0)</f>
        <v>4030</v>
      </c>
      <c r="C404" s="66">
        <f>IFERROR(__xludf.DUMMYFUNCTION("""COMPUTED_VALUE"""),8.1003E8)</f>
        <v>810030000</v>
      </c>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2">
        <f>IFERROR(__xludf.DUMMYFUNCTION("""COMPUTED_VALUE"""),202000.0)</f>
        <v>202000</v>
      </c>
      <c r="B405" s="2">
        <f>IFERROR(__xludf.DUMMYFUNCTION("""COMPUTED_VALUE"""),4040.0)</f>
        <v>4040</v>
      </c>
      <c r="C405" s="66">
        <f>IFERROR(__xludf.DUMMYFUNCTION("""COMPUTED_VALUE"""),8.1406E8)</f>
        <v>814060000</v>
      </c>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2">
        <f>IFERROR(__xludf.DUMMYFUNCTION("""COMPUTED_VALUE"""),202500.0)</f>
        <v>202500</v>
      </c>
      <c r="B406" s="2">
        <f>IFERROR(__xludf.DUMMYFUNCTION("""COMPUTED_VALUE"""),4050.0)</f>
        <v>4050</v>
      </c>
      <c r="C406" s="66">
        <f>IFERROR(__xludf.DUMMYFUNCTION("""COMPUTED_VALUE"""),8.181E8)</f>
        <v>818100000</v>
      </c>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2">
        <f>IFERROR(__xludf.DUMMYFUNCTION("""COMPUTED_VALUE"""),203000.0)</f>
        <v>203000</v>
      </c>
      <c r="B407" s="2">
        <f>IFERROR(__xludf.DUMMYFUNCTION("""COMPUTED_VALUE"""),4060.0)</f>
        <v>4060</v>
      </c>
      <c r="C407" s="66">
        <f>IFERROR(__xludf.DUMMYFUNCTION("""COMPUTED_VALUE"""),8.2215E8)</f>
        <v>822150000</v>
      </c>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2">
        <f>IFERROR(__xludf.DUMMYFUNCTION("""COMPUTED_VALUE"""),203500.0)</f>
        <v>203500</v>
      </c>
      <c r="B408" s="2">
        <f>IFERROR(__xludf.DUMMYFUNCTION("""COMPUTED_VALUE"""),4070.0)</f>
        <v>4070</v>
      </c>
      <c r="C408" s="66">
        <f>IFERROR(__xludf.DUMMYFUNCTION("""COMPUTED_VALUE"""),8.2621E8)</f>
        <v>826210000</v>
      </c>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2">
        <f>IFERROR(__xludf.DUMMYFUNCTION("""COMPUTED_VALUE"""),204000.0)</f>
        <v>204000</v>
      </c>
      <c r="B409" s="2">
        <f>IFERROR(__xludf.DUMMYFUNCTION("""COMPUTED_VALUE"""),4080.0)</f>
        <v>4080</v>
      </c>
      <c r="C409" s="66">
        <f>IFERROR(__xludf.DUMMYFUNCTION("""COMPUTED_VALUE"""),8.3028E8)</f>
        <v>830280000</v>
      </c>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2">
        <f>IFERROR(__xludf.DUMMYFUNCTION("""COMPUTED_VALUE"""),204500.0)</f>
        <v>204500</v>
      </c>
      <c r="B410" s="2">
        <f>IFERROR(__xludf.DUMMYFUNCTION("""COMPUTED_VALUE"""),4090.0)</f>
        <v>4090</v>
      </c>
      <c r="C410" s="66">
        <f>IFERROR(__xludf.DUMMYFUNCTION("""COMPUTED_VALUE"""),8.3436E8)</f>
        <v>834360000</v>
      </c>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2">
        <f>IFERROR(__xludf.DUMMYFUNCTION("""COMPUTED_VALUE"""),205000.0)</f>
        <v>205000</v>
      </c>
      <c r="B411" s="2">
        <f>IFERROR(__xludf.DUMMYFUNCTION("""COMPUTED_VALUE"""),4100.0)</f>
        <v>4100</v>
      </c>
      <c r="C411" s="66">
        <f>IFERROR(__xludf.DUMMYFUNCTION("""COMPUTED_VALUE"""),8.3845E8)</f>
        <v>838450000</v>
      </c>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2">
        <f>IFERROR(__xludf.DUMMYFUNCTION("""COMPUTED_VALUE"""),205500.0)</f>
        <v>205500</v>
      </c>
      <c r="B412" s="2">
        <f>IFERROR(__xludf.DUMMYFUNCTION("""COMPUTED_VALUE"""),4110.0)</f>
        <v>4110</v>
      </c>
      <c r="C412" s="66">
        <f>IFERROR(__xludf.DUMMYFUNCTION("""COMPUTED_VALUE"""),8.4255E8)</f>
        <v>842550000</v>
      </c>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2">
        <f>IFERROR(__xludf.DUMMYFUNCTION("""COMPUTED_VALUE"""),206000.0)</f>
        <v>206000</v>
      </c>
      <c r="B413" s="2">
        <f>IFERROR(__xludf.DUMMYFUNCTION("""COMPUTED_VALUE"""),4120.0)</f>
        <v>4120</v>
      </c>
      <c r="C413" s="66">
        <f>IFERROR(__xludf.DUMMYFUNCTION("""COMPUTED_VALUE"""),8.4666E8)</f>
        <v>846660000</v>
      </c>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2">
        <f>IFERROR(__xludf.DUMMYFUNCTION("""COMPUTED_VALUE"""),206500.0)</f>
        <v>206500</v>
      </c>
      <c r="B414" s="2">
        <f>IFERROR(__xludf.DUMMYFUNCTION("""COMPUTED_VALUE"""),4130.0)</f>
        <v>4130</v>
      </c>
      <c r="C414" s="66">
        <f>IFERROR(__xludf.DUMMYFUNCTION("""COMPUTED_VALUE"""),8.5078E8)</f>
        <v>850780000</v>
      </c>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2">
        <f>IFERROR(__xludf.DUMMYFUNCTION("""COMPUTED_VALUE"""),207000.0)</f>
        <v>207000</v>
      </c>
      <c r="B415" s="2">
        <f>IFERROR(__xludf.DUMMYFUNCTION("""COMPUTED_VALUE"""),4140.0)</f>
        <v>4140</v>
      </c>
      <c r="C415" s="66">
        <f>IFERROR(__xludf.DUMMYFUNCTION("""COMPUTED_VALUE"""),8.5491E8)</f>
        <v>854910000</v>
      </c>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2">
        <f>IFERROR(__xludf.DUMMYFUNCTION("""COMPUTED_VALUE"""),207500.0)</f>
        <v>207500</v>
      </c>
      <c r="B416" s="2">
        <f>IFERROR(__xludf.DUMMYFUNCTION("""COMPUTED_VALUE"""),4150.0)</f>
        <v>4150</v>
      </c>
      <c r="C416" s="66">
        <f>IFERROR(__xludf.DUMMYFUNCTION("""COMPUTED_VALUE"""),8.5905E8)</f>
        <v>859050000</v>
      </c>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2">
        <f>IFERROR(__xludf.DUMMYFUNCTION("""COMPUTED_VALUE"""),208000.0)</f>
        <v>208000</v>
      </c>
      <c r="B417" s="2">
        <f>IFERROR(__xludf.DUMMYFUNCTION("""COMPUTED_VALUE"""),4160.0)</f>
        <v>4160</v>
      </c>
      <c r="C417" s="66">
        <f>IFERROR(__xludf.DUMMYFUNCTION("""COMPUTED_VALUE"""),8.632E8)</f>
        <v>863200000</v>
      </c>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2">
        <f>IFERROR(__xludf.DUMMYFUNCTION("""COMPUTED_VALUE"""),208500.0)</f>
        <v>208500</v>
      </c>
      <c r="B418" s="2">
        <f>IFERROR(__xludf.DUMMYFUNCTION("""COMPUTED_VALUE"""),4170.0)</f>
        <v>4170</v>
      </c>
      <c r="C418" s="66">
        <f>IFERROR(__xludf.DUMMYFUNCTION("""COMPUTED_VALUE"""),8.6736E8)</f>
        <v>867360000</v>
      </c>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2">
        <f>IFERROR(__xludf.DUMMYFUNCTION("""COMPUTED_VALUE"""),209000.0)</f>
        <v>209000</v>
      </c>
      <c r="B419" s="2">
        <f>IFERROR(__xludf.DUMMYFUNCTION("""COMPUTED_VALUE"""),4180.0)</f>
        <v>4180</v>
      </c>
      <c r="C419" s="66">
        <f>IFERROR(__xludf.DUMMYFUNCTION("""COMPUTED_VALUE"""),8.7153E8)</f>
        <v>871530000</v>
      </c>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2">
        <f>IFERROR(__xludf.DUMMYFUNCTION("""COMPUTED_VALUE"""),209500.0)</f>
        <v>209500</v>
      </c>
      <c r="B420" s="2">
        <f>IFERROR(__xludf.DUMMYFUNCTION("""COMPUTED_VALUE"""),4190.0)</f>
        <v>4190</v>
      </c>
      <c r="C420" s="66">
        <f>IFERROR(__xludf.DUMMYFUNCTION("""COMPUTED_VALUE"""),8.7571E8)</f>
        <v>875710000</v>
      </c>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2">
        <f>IFERROR(__xludf.DUMMYFUNCTION("""COMPUTED_VALUE"""),210000.0)</f>
        <v>210000</v>
      </c>
      <c r="B421" s="2">
        <f>IFERROR(__xludf.DUMMYFUNCTION("""COMPUTED_VALUE"""),4200.0)</f>
        <v>4200</v>
      </c>
      <c r="C421" s="66">
        <f>IFERROR(__xludf.DUMMYFUNCTION("""COMPUTED_VALUE"""),8.799E8)</f>
        <v>879900000</v>
      </c>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2">
        <f>IFERROR(__xludf.DUMMYFUNCTION("""COMPUTED_VALUE"""),210500.0)</f>
        <v>210500</v>
      </c>
      <c r="B422" s="2">
        <f>IFERROR(__xludf.DUMMYFUNCTION("""COMPUTED_VALUE"""),4210.0)</f>
        <v>4210</v>
      </c>
      <c r="C422" s="66">
        <f>IFERROR(__xludf.DUMMYFUNCTION("""COMPUTED_VALUE"""),8.841E8)</f>
        <v>884100000</v>
      </c>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2">
        <f>IFERROR(__xludf.DUMMYFUNCTION("""COMPUTED_VALUE"""),211000.0)</f>
        <v>211000</v>
      </c>
      <c r="B423" s="2">
        <f>IFERROR(__xludf.DUMMYFUNCTION("""COMPUTED_VALUE"""),4220.0)</f>
        <v>4220</v>
      </c>
      <c r="C423" s="66">
        <f>IFERROR(__xludf.DUMMYFUNCTION("""COMPUTED_VALUE"""),8.8831E8)</f>
        <v>888310000</v>
      </c>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2">
        <f>IFERROR(__xludf.DUMMYFUNCTION("""COMPUTED_VALUE"""),211500.0)</f>
        <v>211500</v>
      </c>
      <c r="B424" s="2">
        <f>IFERROR(__xludf.DUMMYFUNCTION("""COMPUTED_VALUE"""),4230.0)</f>
        <v>4230</v>
      </c>
      <c r="C424" s="66">
        <f>IFERROR(__xludf.DUMMYFUNCTION("""COMPUTED_VALUE"""),8.9253E8)</f>
        <v>892530000</v>
      </c>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2">
        <f>IFERROR(__xludf.DUMMYFUNCTION("""COMPUTED_VALUE"""),212000.0)</f>
        <v>212000</v>
      </c>
      <c r="B425" s="2">
        <f>IFERROR(__xludf.DUMMYFUNCTION("""COMPUTED_VALUE"""),4240.0)</f>
        <v>4240</v>
      </c>
      <c r="C425" s="66">
        <f>IFERROR(__xludf.DUMMYFUNCTION("""COMPUTED_VALUE"""),8.9676E8)</f>
        <v>896760000</v>
      </c>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2">
        <f>IFERROR(__xludf.DUMMYFUNCTION("""COMPUTED_VALUE"""),212500.0)</f>
        <v>212500</v>
      </c>
      <c r="B426" s="2">
        <f>IFERROR(__xludf.DUMMYFUNCTION("""COMPUTED_VALUE"""),4250.0)</f>
        <v>4250</v>
      </c>
      <c r="C426" s="66">
        <f>IFERROR(__xludf.DUMMYFUNCTION("""COMPUTED_VALUE"""),9.01E8)</f>
        <v>901000000</v>
      </c>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2">
        <f>IFERROR(__xludf.DUMMYFUNCTION("""COMPUTED_VALUE"""),213000.0)</f>
        <v>213000</v>
      </c>
      <c r="B427" s="2">
        <f>IFERROR(__xludf.DUMMYFUNCTION("""COMPUTED_VALUE"""),4260.0)</f>
        <v>4260</v>
      </c>
      <c r="C427" s="66">
        <f>IFERROR(__xludf.DUMMYFUNCTION("""COMPUTED_VALUE"""),9.0525E8)</f>
        <v>905250000</v>
      </c>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2">
        <f>IFERROR(__xludf.DUMMYFUNCTION("""COMPUTED_VALUE"""),213500.0)</f>
        <v>213500</v>
      </c>
      <c r="B428" s="2">
        <f>IFERROR(__xludf.DUMMYFUNCTION("""COMPUTED_VALUE"""),4270.0)</f>
        <v>4270</v>
      </c>
      <c r="C428" s="66">
        <f>IFERROR(__xludf.DUMMYFUNCTION("""COMPUTED_VALUE"""),9.0951E8)</f>
        <v>909510000</v>
      </c>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2">
        <f>IFERROR(__xludf.DUMMYFUNCTION("""COMPUTED_VALUE"""),214000.0)</f>
        <v>214000</v>
      </c>
      <c r="B429" s="2">
        <f>IFERROR(__xludf.DUMMYFUNCTION("""COMPUTED_VALUE"""),4280.0)</f>
        <v>4280</v>
      </c>
      <c r="C429" s="66">
        <f>IFERROR(__xludf.DUMMYFUNCTION("""COMPUTED_VALUE"""),9.1378E8)</f>
        <v>913780000</v>
      </c>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2">
        <f>IFERROR(__xludf.DUMMYFUNCTION("""COMPUTED_VALUE"""),214500.0)</f>
        <v>214500</v>
      </c>
      <c r="B430" s="2">
        <f>IFERROR(__xludf.DUMMYFUNCTION("""COMPUTED_VALUE"""),4290.0)</f>
        <v>4290</v>
      </c>
      <c r="C430" s="66">
        <f>IFERROR(__xludf.DUMMYFUNCTION("""COMPUTED_VALUE"""),9.1806E8)</f>
        <v>918060000</v>
      </c>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2">
        <f>IFERROR(__xludf.DUMMYFUNCTION("""COMPUTED_VALUE"""),215000.0)</f>
        <v>215000</v>
      </c>
      <c r="B431" s="2">
        <f>IFERROR(__xludf.DUMMYFUNCTION("""COMPUTED_VALUE"""),4300.0)</f>
        <v>4300</v>
      </c>
      <c r="C431" s="66">
        <f>IFERROR(__xludf.DUMMYFUNCTION("""COMPUTED_VALUE"""),9.2235E8)</f>
        <v>922350000</v>
      </c>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2">
        <f>IFERROR(__xludf.DUMMYFUNCTION("""COMPUTED_VALUE"""),215500.0)</f>
        <v>215500</v>
      </c>
      <c r="B432" s="2">
        <f>IFERROR(__xludf.DUMMYFUNCTION("""COMPUTED_VALUE"""),4310.0)</f>
        <v>4310</v>
      </c>
      <c r="C432" s="66">
        <f>IFERROR(__xludf.DUMMYFUNCTION("""COMPUTED_VALUE"""),9.2665E8)</f>
        <v>926650000</v>
      </c>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2">
        <f>IFERROR(__xludf.DUMMYFUNCTION("""COMPUTED_VALUE"""),216000.0)</f>
        <v>216000</v>
      </c>
      <c r="B433" s="2">
        <f>IFERROR(__xludf.DUMMYFUNCTION("""COMPUTED_VALUE"""),4320.0)</f>
        <v>4320</v>
      </c>
      <c r="C433" s="66">
        <f>IFERROR(__xludf.DUMMYFUNCTION("""COMPUTED_VALUE"""),9.3096E8)</f>
        <v>930960000</v>
      </c>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2">
        <f>IFERROR(__xludf.DUMMYFUNCTION("""COMPUTED_VALUE"""),216500.0)</f>
        <v>216500</v>
      </c>
      <c r="B434" s="2">
        <f>IFERROR(__xludf.DUMMYFUNCTION("""COMPUTED_VALUE"""),4330.0)</f>
        <v>4330</v>
      </c>
      <c r="C434" s="66">
        <f>IFERROR(__xludf.DUMMYFUNCTION("""COMPUTED_VALUE"""),9.3528E8)</f>
        <v>935280000</v>
      </c>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2">
        <f>IFERROR(__xludf.DUMMYFUNCTION("""COMPUTED_VALUE"""),217000.0)</f>
        <v>217000</v>
      </c>
      <c r="B435" s="2">
        <f>IFERROR(__xludf.DUMMYFUNCTION("""COMPUTED_VALUE"""),4340.0)</f>
        <v>4340</v>
      </c>
      <c r="C435" s="66">
        <f>IFERROR(__xludf.DUMMYFUNCTION("""COMPUTED_VALUE"""),9.3961E8)</f>
        <v>939610000</v>
      </c>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2">
        <f>IFERROR(__xludf.DUMMYFUNCTION("""COMPUTED_VALUE"""),217500.0)</f>
        <v>217500</v>
      </c>
      <c r="B436" s="2">
        <f>IFERROR(__xludf.DUMMYFUNCTION("""COMPUTED_VALUE"""),4350.0)</f>
        <v>4350</v>
      </c>
      <c r="C436" s="66">
        <f>IFERROR(__xludf.DUMMYFUNCTION("""COMPUTED_VALUE"""),9.4395E8)</f>
        <v>943950000</v>
      </c>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2">
        <f>IFERROR(__xludf.DUMMYFUNCTION("""COMPUTED_VALUE"""),218000.0)</f>
        <v>218000</v>
      </c>
      <c r="B437" s="2">
        <f>IFERROR(__xludf.DUMMYFUNCTION("""COMPUTED_VALUE"""),4360.0)</f>
        <v>4360</v>
      </c>
      <c r="C437" s="66">
        <f>IFERROR(__xludf.DUMMYFUNCTION("""COMPUTED_VALUE"""),9.483E8)</f>
        <v>948300000</v>
      </c>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2">
        <f>IFERROR(__xludf.DUMMYFUNCTION("""COMPUTED_VALUE"""),218500.0)</f>
        <v>218500</v>
      </c>
      <c r="B438" s="2">
        <f>IFERROR(__xludf.DUMMYFUNCTION("""COMPUTED_VALUE"""),4370.0)</f>
        <v>4370</v>
      </c>
      <c r="C438" s="66">
        <f>IFERROR(__xludf.DUMMYFUNCTION("""COMPUTED_VALUE"""),9.5266E8)</f>
        <v>952660000</v>
      </c>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2">
        <f>IFERROR(__xludf.DUMMYFUNCTION("""COMPUTED_VALUE"""),219000.0)</f>
        <v>219000</v>
      </c>
      <c r="B439" s="2">
        <f>IFERROR(__xludf.DUMMYFUNCTION("""COMPUTED_VALUE"""),4380.0)</f>
        <v>4380</v>
      </c>
      <c r="C439" s="66">
        <f>IFERROR(__xludf.DUMMYFUNCTION("""COMPUTED_VALUE"""),9.5703E8)</f>
        <v>957030000</v>
      </c>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2">
        <f>IFERROR(__xludf.DUMMYFUNCTION("""COMPUTED_VALUE"""),219500.0)</f>
        <v>219500</v>
      </c>
      <c r="B440" s="2">
        <f>IFERROR(__xludf.DUMMYFUNCTION("""COMPUTED_VALUE"""),4390.0)</f>
        <v>4390</v>
      </c>
      <c r="C440" s="66">
        <f>IFERROR(__xludf.DUMMYFUNCTION("""COMPUTED_VALUE"""),9.6141E8)</f>
        <v>961410000</v>
      </c>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2">
        <f>IFERROR(__xludf.DUMMYFUNCTION("""COMPUTED_VALUE"""),220000.0)</f>
        <v>220000</v>
      </c>
      <c r="B441" s="2">
        <f>IFERROR(__xludf.DUMMYFUNCTION("""COMPUTED_VALUE"""),4400.0)</f>
        <v>4400</v>
      </c>
      <c r="C441" s="66">
        <f>IFERROR(__xludf.DUMMYFUNCTION("""COMPUTED_VALUE"""),9.658E8)</f>
        <v>965800000</v>
      </c>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2">
        <f>IFERROR(__xludf.DUMMYFUNCTION("""COMPUTED_VALUE"""),220500.0)</f>
        <v>220500</v>
      </c>
      <c r="B442" s="2">
        <f>IFERROR(__xludf.DUMMYFUNCTION("""COMPUTED_VALUE"""),4410.0)</f>
        <v>4410</v>
      </c>
      <c r="C442" s="66">
        <f>IFERROR(__xludf.DUMMYFUNCTION("""COMPUTED_VALUE"""),9.702E8)</f>
        <v>970200000</v>
      </c>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2">
        <f>IFERROR(__xludf.DUMMYFUNCTION("""COMPUTED_VALUE"""),221000.0)</f>
        <v>221000</v>
      </c>
      <c r="B443" s="2">
        <f>IFERROR(__xludf.DUMMYFUNCTION("""COMPUTED_VALUE"""),4420.0)</f>
        <v>4420</v>
      </c>
      <c r="C443" s="66">
        <f>IFERROR(__xludf.DUMMYFUNCTION("""COMPUTED_VALUE"""),9.7461E8)</f>
        <v>974610000</v>
      </c>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2">
        <f>IFERROR(__xludf.DUMMYFUNCTION("""COMPUTED_VALUE"""),221500.0)</f>
        <v>221500</v>
      </c>
      <c r="B444" s="2">
        <f>IFERROR(__xludf.DUMMYFUNCTION("""COMPUTED_VALUE"""),4430.0)</f>
        <v>4430</v>
      </c>
      <c r="C444" s="66">
        <f>IFERROR(__xludf.DUMMYFUNCTION("""COMPUTED_VALUE"""),9.7903E8)</f>
        <v>979030000</v>
      </c>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2">
        <f>IFERROR(__xludf.DUMMYFUNCTION("""COMPUTED_VALUE"""),222000.0)</f>
        <v>222000</v>
      </c>
      <c r="B445" s="2">
        <f>IFERROR(__xludf.DUMMYFUNCTION("""COMPUTED_VALUE"""),4440.0)</f>
        <v>4440</v>
      </c>
      <c r="C445" s="66">
        <f>IFERROR(__xludf.DUMMYFUNCTION("""COMPUTED_VALUE"""),9.8346E8)</f>
        <v>983460000</v>
      </c>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2">
        <f>IFERROR(__xludf.DUMMYFUNCTION("""COMPUTED_VALUE"""),222500.0)</f>
        <v>222500</v>
      </c>
      <c r="B446" s="2">
        <f>IFERROR(__xludf.DUMMYFUNCTION("""COMPUTED_VALUE"""),4450.0)</f>
        <v>4450</v>
      </c>
      <c r="C446" s="66">
        <f>IFERROR(__xludf.DUMMYFUNCTION("""COMPUTED_VALUE"""),9.879E8)</f>
        <v>987900000</v>
      </c>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2">
        <f>IFERROR(__xludf.DUMMYFUNCTION("""COMPUTED_VALUE"""),223000.0)</f>
        <v>223000</v>
      </c>
      <c r="B447" s="2">
        <f>IFERROR(__xludf.DUMMYFUNCTION("""COMPUTED_VALUE"""),4460.0)</f>
        <v>4460</v>
      </c>
      <c r="C447" s="66">
        <f>IFERROR(__xludf.DUMMYFUNCTION("""COMPUTED_VALUE"""),9.9235E8)</f>
        <v>992350000</v>
      </c>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2">
        <f>IFERROR(__xludf.DUMMYFUNCTION("""COMPUTED_VALUE"""),223500.0)</f>
        <v>223500</v>
      </c>
      <c r="B448" s="2">
        <f>IFERROR(__xludf.DUMMYFUNCTION("""COMPUTED_VALUE"""),4470.0)</f>
        <v>4470</v>
      </c>
      <c r="C448" s="66">
        <f>IFERROR(__xludf.DUMMYFUNCTION("""COMPUTED_VALUE"""),9.9681E8)</f>
        <v>996810000</v>
      </c>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2">
        <f>IFERROR(__xludf.DUMMYFUNCTION("""COMPUTED_VALUE"""),224000.0)</f>
        <v>224000</v>
      </c>
      <c r="B449" s="2">
        <f>IFERROR(__xludf.DUMMYFUNCTION("""COMPUTED_VALUE"""),4480.0)</f>
        <v>4480</v>
      </c>
      <c r="C449" s="66">
        <f>IFERROR(__xludf.DUMMYFUNCTION("""COMPUTED_VALUE"""),1.00128E9)</f>
        <v>1001280000</v>
      </c>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2">
        <f>IFERROR(__xludf.DUMMYFUNCTION("""COMPUTED_VALUE"""),224500.0)</f>
        <v>224500</v>
      </c>
      <c r="B450" s="2">
        <f>IFERROR(__xludf.DUMMYFUNCTION("""COMPUTED_VALUE"""),4490.0)</f>
        <v>4490</v>
      </c>
      <c r="C450" s="66">
        <f>IFERROR(__xludf.DUMMYFUNCTION("""COMPUTED_VALUE"""),1.00576E9)</f>
        <v>1005760000</v>
      </c>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2">
        <f>IFERROR(__xludf.DUMMYFUNCTION("""COMPUTED_VALUE"""),225000.0)</f>
        <v>225000</v>
      </c>
      <c r="B451" s="2">
        <f>IFERROR(__xludf.DUMMYFUNCTION("""COMPUTED_VALUE"""),4500.0)</f>
        <v>4500</v>
      </c>
      <c r="C451" s="66">
        <f>IFERROR(__xludf.DUMMYFUNCTION("""COMPUTED_VALUE"""),1.01025E9)</f>
        <v>1010250000</v>
      </c>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2">
        <f>IFERROR(__xludf.DUMMYFUNCTION("""COMPUTED_VALUE"""),225500.0)</f>
        <v>225500</v>
      </c>
      <c r="B452" s="2">
        <f>IFERROR(__xludf.DUMMYFUNCTION("""COMPUTED_VALUE"""),4510.0)</f>
        <v>4510</v>
      </c>
      <c r="C452" s="66">
        <f>IFERROR(__xludf.DUMMYFUNCTION("""COMPUTED_VALUE"""),1.01475E9)</f>
        <v>1014750000</v>
      </c>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2">
        <f>IFERROR(__xludf.DUMMYFUNCTION("""COMPUTED_VALUE"""),226000.0)</f>
        <v>226000</v>
      </c>
      <c r="B453" s="2">
        <f>IFERROR(__xludf.DUMMYFUNCTION("""COMPUTED_VALUE"""),4520.0)</f>
        <v>4520</v>
      </c>
      <c r="C453" s="66">
        <f>IFERROR(__xludf.DUMMYFUNCTION("""COMPUTED_VALUE"""),1.01926E9)</f>
        <v>1019260000</v>
      </c>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2">
        <f>IFERROR(__xludf.DUMMYFUNCTION("""COMPUTED_VALUE"""),226500.0)</f>
        <v>226500</v>
      </c>
      <c r="B454" s="2">
        <f>IFERROR(__xludf.DUMMYFUNCTION("""COMPUTED_VALUE"""),4530.0)</f>
        <v>4530</v>
      </c>
      <c r="C454" s="66">
        <f>IFERROR(__xludf.DUMMYFUNCTION("""COMPUTED_VALUE"""),1.02378E9)</f>
        <v>1023780000</v>
      </c>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2">
        <f>IFERROR(__xludf.DUMMYFUNCTION("""COMPUTED_VALUE"""),227000.0)</f>
        <v>227000</v>
      </c>
      <c r="B455" s="2">
        <f>IFERROR(__xludf.DUMMYFUNCTION("""COMPUTED_VALUE"""),4540.0)</f>
        <v>4540</v>
      </c>
      <c r="C455" s="66">
        <f>IFERROR(__xludf.DUMMYFUNCTION("""COMPUTED_VALUE"""),1.02831E9)</f>
        <v>1028310000</v>
      </c>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2">
        <f>IFERROR(__xludf.DUMMYFUNCTION("""COMPUTED_VALUE"""),227500.0)</f>
        <v>227500</v>
      </c>
      <c r="B456" s="2">
        <f>IFERROR(__xludf.DUMMYFUNCTION("""COMPUTED_VALUE"""),4550.0)</f>
        <v>4550</v>
      </c>
      <c r="C456" s="66">
        <f>IFERROR(__xludf.DUMMYFUNCTION("""COMPUTED_VALUE"""),1.03285E9)</f>
        <v>1032850000</v>
      </c>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2">
        <f>IFERROR(__xludf.DUMMYFUNCTION("""COMPUTED_VALUE"""),228000.0)</f>
        <v>228000</v>
      </c>
      <c r="B457" s="2">
        <f>IFERROR(__xludf.DUMMYFUNCTION("""COMPUTED_VALUE"""),4560.0)</f>
        <v>4560</v>
      </c>
      <c r="C457" s="66">
        <f>IFERROR(__xludf.DUMMYFUNCTION("""COMPUTED_VALUE"""),1.0374E9)</f>
        <v>1037400000</v>
      </c>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2">
        <f>IFERROR(__xludf.DUMMYFUNCTION("""COMPUTED_VALUE"""),228500.0)</f>
        <v>228500</v>
      </c>
      <c r="B458" s="2">
        <f>IFERROR(__xludf.DUMMYFUNCTION("""COMPUTED_VALUE"""),4570.0)</f>
        <v>4570</v>
      </c>
      <c r="C458" s="66">
        <f>IFERROR(__xludf.DUMMYFUNCTION("""COMPUTED_VALUE"""),1.04196E9)</f>
        <v>1041960000</v>
      </c>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2">
        <f>IFERROR(__xludf.DUMMYFUNCTION("""COMPUTED_VALUE"""),229000.0)</f>
        <v>229000</v>
      </c>
      <c r="B459" s="2">
        <f>IFERROR(__xludf.DUMMYFUNCTION("""COMPUTED_VALUE"""),4580.0)</f>
        <v>4580</v>
      </c>
      <c r="C459" s="66">
        <f>IFERROR(__xludf.DUMMYFUNCTION("""COMPUTED_VALUE"""),1.04653E9)</f>
        <v>1046530000</v>
      </c>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2">
        <f>IFERROR(__xludf.DUMMYFUNCTION("""COMPUTED_VALUE"""),229500.0)</f>
        <v>229500</v>
      </c>
      <c r="B460" s="2">
        <f>IFERROR(__xludf.DUMMYFUNCTION("""COMPUTED_VALUE"""),4590.0)</f>
        <v>4590</v>
      </c>
      <c r="C460" s="66">
        <f>IFERROR(__xludf.DUMMYFUNCTION("""COMPUTED_VALUE"""),1.05111E9)</f>
        <v>1051110000</v>
      </c>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2">
        <f>IFERROR(__xludf.DUMMYFUNCTION("""COMPUTED_VALUE"""),230000.0)</f>
        <v>230000</v>
      </c>
      <c r="B461" s="2">
        <f>IFERROR(__xludf.DUMMYFUNCTION("""COMPUTED_VALUE"""),4600.0)</f>
        <v>4600</v>
      </c>
      <c r="C461" s="66">
        <f>IFERROR(__xludf.DUMMYFUNCTION("""COMPUTED_VALUE"""),1.0557E9)</f>
        <v>1055700000</v>
      </c>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2">
        <f>IFERROR(__xludf.DUMMYFUNCTION("""COMPUTED_VALUE"""),230500.0)</f>
        <v>230500</v>
      </c>
      <c r="B462" s="2">
        <f>IFERROR(__xludf.DUMMYFUNCTION("""COMPUTED_VALUE"""),4610.0)</f>
        <v>4610</v>
      </c>
      <c r="C462" s="66">
        <f>IFERROR(__xludf.DUMMYFUNCTION("""COMPUTED_VALUE"""),1.0603E9)</f>
        <v>1060300000</v>
      </c>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2">
        <f>IFERROR(__xludf.DUMMYFUNCTION("""COMPUTED_VALUE"""),231000.0)</f>
        <v>231000</v>
      </c>
      <c r="B463" s="2">
        <f>IFERROR(__xludf.DUMMYFUNCTION("""COMPUTED_VALUE"""),4620.0)</f>
        <v>4620</v>
      </c>
      <c r="C463" s="66">
        <f>IFERROR(__xludf.DUMMYFUNCTION("""COMPUTED_VALUE"""),1.06491E9)</f>
        <v>1064910000</v>
      </c>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2">
        <f>IFERROR(__xludf.DUMMYFUNCTION("""COMPUTED_VALUE"""),231500.0)</f>
        <v>231500</v>
      </c>
      <c r="B464" s="2">
        <f>IFERROR(__xludf.DUMMYFUNCTION("""COMPUTED_VALUE"""),4630.0)</f>
        <v>4630</v>
      </c>
      <c r="C464" s="66">
        <f>IFERROR(__xludf.DUMMYFUNCTION("""COMPUTED_VALUE"""),1.06953E9)</f>
        <v>1069530000</v>
      </c>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2">
        <f>IFERROR(__xludf.DUMMYFUNCTION("""COMPUTED_VALUE"""),232000.0)</f>
        <v>232000</v>
      </c>
      <c r="B465" s="2">
        <f>IFERROR(__xludf.DUMMYFUNCTION("""COMPUTED_VALUE"""),4640.0)</f>
        <v>4640</v>
      </c>
      <c r="C465" s="66">
        <f>IFERROR(__xludf.DUMMYFUNCTION("""COMPUTED_VALUE"""),1.07416E9)</f>
        <v>1074160000</v>
      </c>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2">
        <f>IFERROR(__xludf.DUMMYFUNCTION("""COMPUTED_VALUE"""),232500.0)</f>
        <v>232500</v>
      </c>
      <c r="B466" s="2">
        <f>IFERROR(__xludf.DUMMYFUNCTION("""COMPUTED_VALUE"""),4650.0)</f>
        <v>4650</v>
      </c>
      <c r="C466" s="66">
        <f>IFERROR(__xludf.DUMMYFUNCTION("""COMPUTED_VALUE"""),1.0788E9)</f>
        <v>1078800000</v>
      </c>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2">
        <f>IFERROR(__xludf.DUMMYFUNCTION("""COMPUTED_VALUE"""),233000.0)</f>
        <v>233000</v>
      </c>
      <c r="B467" s="2">
        <f>IFERROR(__xludf.DUMMYFUNCTION("""COMPUTED_VALUE"""),4660.0)</f>
        <v>4660</v>
      </c>
      <c r="C467" s="66">
        <f>IFERROR(__xludf.DUMMYFUNCTION("""COMPUTED_VALUE"""),1.08345E9)</f>
        <v>1083450000</v>
      </c>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2">
        <f>IFERROR(__xludf.DUMMYFUNCTION("""COMPUTED_VALUE"""),233500.0)</f>
        <v>233500</v>
      </c>
      <c r="B468" s="2">
        <f>IFERROR(__xludf.DUMMYFUNCTION("""COMPUTED_VALUE"""),4670.0)</f>
        <v>4670</v>
      </c>
      <c r="C468" s="66">
        <f>IFERROR(__xludf.DUMMYFUNCTION("""COMPUTED_VALUE"""),1.08811E9)</f>
        <v>1088110000</v>
      </c>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2">
        <f>IFERROR(__xludf.DUMMYFUNCTION("""COMPUTED_VALUE"""),234000.0)</f>
        <v>234000</v>
      </c>
      <c r="B469" s="2">
        <f>IFERROR(__xludf.DUMMYFUNCTION("""COMPUTED_VALUE"""),4680.0)</f>
        <v>4680</v>
      </c>
      <c r="C469" s="66">
        <f>IFERROR(__xludf.DUMMYFUNCTION("""COMPUTED_VALUE"""),1.09278E9)</f>
        <v>1092780000</v>
      </c>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2">
        <f>IFERROR(__xludf.DUMMYFUNCTION("""COMPUTED_VALUE"""),234500.0)</f>
        <v>234500</v>
      </c>
      <c r="B470" s="2">
        <f>IFERROR(__xludf.DUMMYFUNCTION("""COMPUTED_VALUE"""),4690.0)</f>
        <v>4690</v>
      </c>
      <c r="C470" s="66">
        <f>IFERROR(__xludf.DUMMYFUNCTION("""COMPUTED_VALUE"""),1.09746E9)</f>
        <v>1097460000</v>
      </c>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2">
        <f>IFERROR(__xludf.DUMMYFUNCTION("""COMPUTED_VALUE"""),235000.0)</f>
        <v>235000</v>
      </c>
      <c r="B471" s="2">
        <f>IFERROR(__xludf.DUMMYFUNCTION("""COMPUTED_VALUE"""),4700.0)</f>
        <v>4700</v>
      </c>
      <c r="C471" s="66">
        <f>IFERROR(__xludf.DUMMYFUNCTION("""COMPUTED_VALUE"""),1.10215E9)</f>
        <v>1102150000</v>
      </c>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2">
        <f>IFERROR(__xludf.DUMMYFUNCTION("""COMPUTED_VALUE"""),235500.0)</f>
        <v>235500</v>
      </c>
      <c r="B472" s="2">
        <f>IFERROR(__xludf.DUMMYFUNCTION("""COMPUTED_VALUE"""),4710.0)</f>
        <v>4710</v>
      </c>
      <c r="C472" s="66">
        <f>IFERROR(__xludf.DUMMYFUNCTION("""COMPUTED_VALUE"""),1.10685E9)</f>
        <v>1106850000</v>
      </c>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2">
        <f>IFERROR(__xludf.DUMMYFUNCTION("""COMPUTED_VALUE"""),236000.0)</f>
        <v>236000</v>
      </c>
      <c r="B473" s="2">
        <f>IFERROR(__xludf.DUMMYFUNCTION("""COMPUTED_VALUE"""),4720.0)</f>
        <v>4720</v>
      </c>
      <c r="C473" s="66">
        <f>IFERROR(__xludf.DUMMYFUNCTION("""COMPUTED_VALUE"""),1.11156E9)</f>
        <v>1111560000</v>
      </c>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2">
        <f>IFERROR(__xludf.DUMMYFUNCTION("""COMPUTED_VALUE"""),236500.0)</f>
        <v>236500</v>
      </c>
      <c r="B474" s="2">
        <f>IFERROR(__xludf.DUMMYFUNCTION("""COMPUTED_VALUE"""),4730.0)</f>
        <v>4730</v>
      </c>
      <c r="C474" s="66">
        <f>IFERROR(__xludf.DUMMYFUNCTION("""COMPUTED_VALUE"""),1.11628E9)</f>
        <v>1116280000</v>
      </c>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2">
        <f>IFERROR(__xludf.DUMMYFUNCTION("""COMPUTED_VALUE"""),237000.0)</f>
        <v>237000</v>
      </c>
      <c r="B475" s="2">
        <f>IFERROR(__xludf.DUMMYFUNCTION("""COMPUTED_VALUE"""),4740.0)</f>
        <v>4740</v>
      </c>
      <c r="C475" s="66">
        <f>IFERROR(__xludf.DUMMYFUNCTION("""COMPUTED_VALUE"""),1.12101E9)</f>
        <v>1121010000</v>
      </c>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2">
        <f>IFERROR(__xludf.DUMMYFUNCTION("""COMPUTED_VALUE"""),237500.0)</f>
        <v>237500</v>
      </c>
      <c r="B476" s="2">
        <f>IFERROR(__xludf.DUMMYFUNCTION("""COMPUTED_VALUE"""),4750.0)</f>
        <v>4750</v>
      </c>
      <c r="C476" s="66">
        <f>IFERROR(__xludf.DUMMYFUNCTION("""COMPUTED_VALUE"""),1.12575E9)</f>
        <v>1125750000</v>
      </c>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2">
        <f>IFERROR(__xludf.DUMMYFUNCTION("""COMPUTED_VALUE"""),238000.0)</f>
        <v>238000</v>
      </c>
      <c r="B477" s="2">
        <f>IFERROR(__xludf.DUMMYFUNCTION("""COMPUTED_VALUE"""),4760.0)</f>
        <v>4760</v>
      </c>
      <c r="C477" s="66">
        <f>IFERROR(__xludf.DUMMYFUNCTION("""COMPUTED_VALUE"""),1.1305E9)</f>
        <v>1130500000</v>
      </c>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2">
        <f>IFERROR(__xludf.DUMMYFUNCTION("""COMPUTED_VALUE"""),238500.0)</f>
        <v>238500</v>
      </c>
      <c r="B478" s="2">
        <f>IFERROR(__xludf.DUMMYFUNCTION("""COMPUTED_VALUE"""),4770.0)</f>
        <v>4770</v>
      </c>
      <c r="C478" s="66">
        <f>IFERROR(__xludf.DUMMYFUNCTION("""COMPUTED_VALUE"""),1.13526E9)</f>
        <v>1135260000</v>
      </c>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2">
        <f>IFERROR(__xludf.DUMMYFUNCTION("""COMPUTED_VALUE"""),239000.0)</f>
        <v>239000</v>
      </c>
      <c r="B479" s="2">
        <f>IFERROR(__xludf.DUMMYFUNCTION("""COMPUTED_VALUE"""),4780.0)</f>
        <v>4780</v>
      </c>
      <c r="C479" s="66">
        <f>IFERROR(__xludf.DUMMYFUNCTION("""COMPUTED_VALUE"""),1.14003E9)</f>
        <v>1140030000</v>
      </c>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2">
        <f>IFERROR(__xludf.DUMMYFUNCTION("""COMPUTED_VALUE"""),239500.0)</f>
        <v>239500</v>
      </c>
      <c r="B480" s="2">
        <f>IFERROR(__xludf.DUMMYFUNCTION("""COMPUTED_VALUE"""),4790.0)</f>
        <v>4790</v>
      </c>
      <c r="C480" s="66">
        <f>IFERROR(__xludf.DUMMYFUNCTION("""COMPUTED_VALUE"""),1.14481E9)</f>
        <v>1144810000</v>
      </c>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2">
        <f>IFERROR(__xludf.DUMMYFUNCTION("""COMPUTED_VALUE"""),240000.0)</f>
        <v>240000</v>
      </c>
      <c r="B481" s="2">
        <f>IFERROR(__xludf.DUMMYFUNCTION("""COMPUTED_VALUE"""),4800.0)</f>
        <v>4800</v>
      </c>
      <c r="C481" s="66">
        <f>IFERROR(__xludf.DUMMYFUNCTION("""COMPUTED_VALUE"""),1.1496E9)</f>
        <v>1149600000</v>
      </c>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2">
        <f>IFERROR(__xludf.DUMMYFUNCTION("""COMPUTED_VALUE"""),240500.0)</f>
        <v>240500</v>
      </c>
      <c r="B482" s="2">
        <f>IFERROR(__xludf.DUMMYFUNCTION("""COMPUTED_VALUE"""),4810.0)</f>
        <v>4810</v>
      </c>
      <c r="C482" s="66">
        <f>IFERROR(__xludf.DUMMYFUNCTION("""COMPUTED_VALUE"""),1.1544E9)</f>
        <v>1154400000</v>
      </c>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2">
        <f>IFERROR(__xludf.DUMMYFUNCTION("""COMPUTED_VALUE"""),241000.0)</f>
        <v>241000</v>
      </c>
      <c r="B483" s="2">
        <f>IFERROR(__xludf.DUMMYFUNCTION("""COMPUTED_VALUE"""),4820.0)</f>
        <v>4820</v>
      </c>
      <c r="C483" s="66">
        <f>IFERROR(__xludf.DUMMYFUNCTION("""COMPUTED_VALUE"""),1.15921E9)</f>
        <v>1159210000</v>
      </c>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2">
        <f>IFERROR(__xludf.DUMMYFUNCTION("""COMPUTED_VALUE"""),241500.0)</f>
        <v>241500</v>
      </c>
      <c r="B484" s="2">
        <f>IFERROR(__xludf.DUMMYFUNCTION("""COMPUTED_VALUE"""),4830.0)</f>
        <v>4830</v>
      </c>
      <c r="C484" s="66">
        <f>IFERROR(__xludf.DUMMYFUNCTION("""COMPUTED_VALUE"""),1.16403E9)</f>
        <v>1164030000</v>
      </c>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2">
        <f>IFERROR(__xludf.DUMMYFUNCTION("""COMPUTED_VALUE"""),242000.0)</f>
        <v>242000</v>
      </c>
      <c r="B485" s="2">
        <f>IFERROR(__xludf.DUMMYFUNCTION("""COMPUTED_VALUE"""),4840.0)</f>
        <v>4840</v>
      </c>
      <c r="C485" s="66">
        <f>IFERROR(__xludf.DUMMYFUNCTION("""COMPUTED_VALUE"""),1.16886E9)</f>
        <v>1168860000</v>
      </c>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2">
        <f>IFERROR(__xludf.DUMMYFUNCTION("""COMPUTED_VALUE"""),242500.0)</f>
        <v>242500</v>
      </c>
      <c r="B486" s="2">
        <f>IFERROR(__xludf.DUMMYFUNCTION("""COMPUTED_VALUE"""),4850.0)</f>
        <v>4850</v>
      </c>
      <c r="C486" s="66">
        <f>IFERROR(__xludf.DUMMYFUNCTION("""COMPUTED_VALUE"""),1.1737E9)</f>
        <v>1173700000</v>
      </c>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2">
        <f>IFERROR(__xludf.DUMMYFUNCTION("""COMPUTED_VALUE"""),243000.0)</f>
        <v>243000</v>
      </c>
      <c r="B487" s="2">
        <f>IFERROR(__xludf.DUMMYFUNCTION("""COMPUTED_VALUE"""),4860.0)</f>
        <v>4860</v>
      </c>
      <c r="C487" s="66">
        <f>IFERROR(__xludf.DUMMYFUNCTION("""COMPUTED_VALUE"""),1.17855E9)</f>
        <v>1178550000</v>
      </c>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2">
        <f>IFERROR(__xludf.DUMMYFUNCTION("""COMPUTED_VALUE"""),243500.0)</f>
        <v>243500</v>
      </c>
      <c r="B488" s="2">
        <f>IFERROR(__xludf.DUMMYFUNCTION("""COMPUTED_VALUE"""),4870.0)</f>
        <v>4870</v>
      </c>
      <c r="C488" s="66">
        <f>IFERROR(__xludf.DUMMYFUNCTION("""COMPUTED_VALUE"""),1.18341E9)</f>
        <v>1183410000</v>
      </c>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2">
        <f>IFERROR(__xludf.DUMMYFUNCTION("""COMPUTED_VALUE"""),244000.0)</f>
        <v>244000</v>
      </c>
      <c r="B489" s="2">
        <f>IFERROR(__xludf.DUMMYFUNCTION("""COMPUTED_VALUE"""),4880.0)</f>
        <v>4880</v>
      </c>
      <c r="C489" s="66">
        <f>IFERROR(__xludf.DUMMYFUNCTION("""COMPUTED_VALUE"""),1.18828E9)</f>
        <v>1188280000</v>
      </c>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2">
        <f>IFERROR(__xludf.DUMMYFUNCTION("""COMPUTED_VALUE"""),244500.0)</f>
        <v>244500</v>
      </c>
      <c r="B490" s="2">
        <f>IFERROR(__xludf.DUMMYFUNCTION("""COMPUTED_VALUE"""),4890.0)</f>
        <v>4890</v>
      </c>
      <c r="C490" s="66">
        <f>IFERROR(__xludf.DUMMYFUNCTION("""COMPUTED_VALUE"""),1.19316E9)</f>
        <v>1193160000</v>
      </c>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2">
        <f>IFERROR(__xludf.DUMMYFUNCTION("""COMPUTED_VALUE"""),245000.0)</f>
        <v>245000</v>
      </c>
      <c r="B491" s="2">
        <f>IFERROR(__xludf.DUMMYFUNCTION("""COMPUTED_VALUE"""),4900.0)</f>
        <v>4900</v>
      </c>
      <c r="C491" s="66">
        <f>IFERROR(__xludf.DUMMYFUNCTION("""COMPUTED_VALUE"""),1.19805E9)</f>
        <v>1198050000</v>
      </c>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2">
        <f>IFERROR(__xludf.DUMMYFUNCTION("""COMPUTED_VALUE"""),245500.0)</f>
        <v>245500</v>
      </c>
      <c r="B492" s="2">
        <f>IFERROR(__xludf.DUMMYFUNCTION("""COMPUTED_VALUE"""),4910.0)</f>
        <v>4910</v>
      </c>
      <c r="C492" s="66">
        <f>IFERROR(__xludf.DUMMYFUNCTION("""COMPUTED_VALUE"""),1.20295E9)</f>
        <v>1202950000</v>
      </c>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2">
        <f>IFERROR(__xludf.DUMMYFUNCTION("""COMPUTED_VALUE"""),246000.0)</f>
        <v>246000</v>
      </c>
      <c r="B493" s="2">
        <f>IFERROR(__xludf.DUMMYFUNCTION("""COMPUTED_VALUE"""),4920.0)</f>
        <v>4920</v>
      </c>
      <c r="C493" s="66">
        <f>IFERROR(__xludf.DUMMYFUNCTION("""COMPUTED_VALUE"""),1.20786E9)</f>
        <v>1207860000</v>
      </c>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2">
        <f>IFERROR(__xludf.DUMMYFUNCTION("""COMPUTED_VALUE"""),246500.0)</f>
        <v>246500</v>
      </c>
      <c r="B494" s="2">
        <f>IFERROR(__xludf.DUMMYFUNCTION("""COMPUTED_VALUE"""),4930.0)</f>
        <v>4930</v>
      </c>
      <c r="C494" s="66">
        <f>IFERROR(__xludf.DUMMYFUNCTION("""COMPUTED_VALUE"""),1.21278E9)</f>
        <v>1212780000</v>
      </c>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2">
        <f>IFERROR(__xludf.DUMMYFUNCTION("""COMPUTED_VALUE"""),247000.0)</f>
        <v>247000</v>
      </c>
      <c r="B495" s="2">
        <f>IFERROR(__xludf.DUMMYFUNCTION("""COMPUTED_VALUE"""),4940.0)</f>
        <v>4940</v>
      </c>
      <c r="C495" s="66">
        <f>IFERROR(__xludf.DUMMYFUNCTION("""COMPUTED_VALUE"""),1.21771E9)</f>
        <v>1217710000</v>
      </c>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2">
        <f>IFERROR(__xludf.DUMMYFUNCTION("""COMPUTED_VALUE"""),247500.0)</f>
        <v>247500</v>
      </c>
      <c r="B496" s="2">
        <f>IFERROR(__xludf.DUMMYFUNCTION("""COMPUTED_VALUE"""),4950.0)</f>
        <v>4950</v>
      </c>
      <c r="C496" s="66">
        <f>IFERROR(__xludf.DUMMYFUNCTION("""COMPUTED_VALUE"""),1.22265E9)</f>
        <v>1222650000</v>
      </c>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2">
        <f>IFERROR(__xludf.DUMMYFUNCTION("""COMPUTED_VALUE"""),248000.0)</f>
        <v>248000</v>
      </c>
      <c r="B497" s="2">
        <f>IFERROR(__xludf.DUMMYFUNCTION("""COMPUTED_VALUE"""),4960.0)</f>
        <v>4960</v>
      </c>
      <c r="C497" s="66">
        <f>IFERROR(__xludf.DUMMYFUNCTION("""COMPUTED_VALUE"""),1.2276E9)</f>
        <v>1227600000</v>
      </c>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2">
        <f>IFERROR(__xludf.DUMMYFUNCTION("""COMPUTED_VALUE"""),248500.0)</f>
        <v>248500</v>
      </c>
      <c r="B498" s="2">
        <f>IFERROR(__xludf.DUMMYFUNCTION("""COMPUTED_VALUE"""),4970.0)</f>
        <v>4970</v>
      </c>
      <c r="C498" s="66">
        <f>IFERROR(__xludf.DUMMYFUNCTION("""COMPUTED_VALUE"""),1.23256E9)</f>
        <v>1232560000</v>
      </c>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2">
        <f>IFERROR(__xludf.DUMMYFUNCTION("""COMPUTED_VALUE"""),249000.0)</f>
        <v>249000</v>
      </c>
      <c r="B499" s="2">
        <f>IFERROR(__xludf.DUMMYFUNCTION("""COMPUTED_VALUE"""),4980.0)</f>
        <v>4980</v>
      </c>
      <c r="C499" s="66">
        <f>IFERROR(__xludf.DUMMYFUNCTION("""COMPUTED_VALUE"""),1.23753E9)</f>
        <v>1237530000</v>
      </c>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2">
        <f>IFERROR(__xludf.DUMMYFUNCTION("""COMPUTED_VALUE"""),249500.0)</f>
        <v>249500</v>
      </c>
      <c r="B500" s="2">
        <f>IFERROR(__xludf.DUMMYFUNCTION("""COMPUTED_VALUE"""),4990.0)</f>
        <v>4990</v>
      </c>
      <c r="C500" s="66">
        <f>IFERROR(__xludf.DUMMYFUNCTION("""COMPUTED_VALUE"""),1.24251E9)</f>
        <v>1242510000</v>
      </c>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2">
        <f>IFERROR(__xludf.DUMMYFUNCTION("""COMPUTED_VALUE"""),250000.0)</f>
        <v>250000</v>
      </c>
      <c r="B501" s="2">
        <f>IFERROR(__xludf.DUMMYFUNCTION("""COMPUTED_VALUE"""),5000.0)</f>
        <v>5000</v>
      </c>
      <c r="C501" s="66">
        <f>IFERROR(__xludf.DUMMYFUNCTION("""COMPUTED_VALUE"""),1.2475E9)</f>
        <v>1247500000</v>
      </c>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2">
        <f>IFERROR(__xludf.DUMMYFUNCTION("""COMPUTED_VALUE"""),250500.0)</f>
        <v>250500</v>
      </c>
      <c r="B502" s="2">
        <f>IFERROR(__xludf.DUMMYFUNCTION("""COMPUTED_VALUE"""),5010.0)</f>
        <v>5010</v>
      </c>
      <c r="C502" s="66">
        <f>IFERROR(__xludf.DUMMYFUNCTION("""COMPUTED_VALUE"""),1.2525E9)</f>
        <v>1252500000</v>
      </c>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2">
        <f>IFERROR(__xludf.DUMMYFUNCTION("""COMPUTED_VALUE"""),251000.0)</f>
        <v>251000</v>
      </c>
      <c r="B503" s="2">
        <f>IFERROR(__xludf.DUMMYFUNCTION("""COMPUTED_VALUE"""),5020.0)</f>
        <v>5020</v>
      </c>
      <c r="C503" s="66">
        <f>IFERROR(__xludf.DUMMYFUNCTION("""COMPUTED_VALUE"""),1.25751E9)</f>
        <v>1257510000</v>
      </c>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2">
        <f>IFERROR(__xludf.DUMMYFUNCTION("""COMPUTED_VALUE"""),251500.0)</f>
        <v>251500</v>
      </c>
      <c r="B504" s="2">
        <f>IFERROR(__xludf.DUMMYFUNCTION("""COMPUTED_VALUE"""),5030.0)</f>
        <v>5030</v>
      </c>
      <c r="C504" s="66">
        <f>IFERROR(__xludf.DUMMYFUNCTION("""COMPUTED_VALUE"""),1.26253E9)</f>
        <v>1262530000</v>
      </c>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2">
        <f>IFERROR(__xludf.DUMMYFUNCTION("""COMPUTED_VALUE"""),252000.0)</f>
        <v>252000</v>
      </c>
      <c r="B505" s="2">
        <f>IFERROR(__xludf.DUMMYFUNCTION("""COMPUTED_VALUE"""),5040.0)</f>
        <v>5040</v>
      </c>
      <c r="C505" s="66">
        <f>IFERROR(__xludf.DUMMYFUNCTION("""COMPUTED_VALUE"""),1.26756E9)</f>
        <v>1267560000</v>
      </c>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2">
        <f>IFERROR(__xludf.DUMMYFUNCTION("""COMPUTED_VALUE"""),252500.0)</f>
        <v>252500</v>
      </c>
      <c r="B506" s="2">
        <f>IFERROR(__xludf.DUMMYFUNCTION("""COMPUTED_VALUE"""),5050.0)</f>
        <v>5050</v>
      </c>
      <c r="C506" s="66">
        <f>IFERROR(__xludf.DUMMYFUNCTION("""COMPUTED_VALUE"""),1.2726E9)</f>
        <v>1272600000</v>
      </c>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2">
        <f>IFERROR(__xludf.DUMMYFUNCTION("""COMPUTED_VALUE"""),253000.0)</f>
        <v>253000</v>
      </c>
      <c r="B507" s="2">
        <f>IFERROR(__xludf.DUMMYFUNCTION("""COMPUTED_VALUE"""),5060.0)</f>
        <v>5060</v>
      </c>
      <c r="C507" s="66">
        <f>IFERROR(__xludf.DUMMYFUNCTION("""COMPUTED_VALUE"""),1.27765E9)</f>
        <v>1277650000</v>
      </c>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2">
        <f>IFERROR(__xludf.DUMMYFUNCTION("""COMPUTED_VALUE"""),253500.0)</f>
        <v>253500</v>
      </c>
      <c r="B508" s="2">
        <f>IFERROR(__xludf.DUMMYFUNCTION("""COMPUTED_VALUE"""),5070.0)</f>
        <v>5070</v>
      </c>
      <c r="C508" s="66">
        <f>IFERROR(__xludf.DUMMYFUNCTION("""COMPUTED_VALUE"""),1.28271E9)</f>
        <v>1282710000</v>
      </c>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2">
        <f>IFERROR(__xludf.DUMMYFUNCTION("""COMPUTED_VALUE"""),254000.0)</f>
        <v>254000</v>
      </c>
      <c r="B509" s="2">
        <f>IFERROR(__xludf.DUMMYFUNCTION("""COMPUTED_VALUE"""),5080.0)</f>
        <v>5080</v>
      </c>
      <c r="C509" s="66">
        <f>IFERROR(__xludf.DUMMYFUNCTION("""COMPUTED_VALUE"""),1.28778E9)</f>
        <v>1287780000</v>
      </c>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2">
        <f>IFERROR(__xludf.DUMMYFUNCTION("""COMPUTED_VALUE"""),254500.0)</f>
        <v>254500</v>
      </c>
      <c r="B510" s="2">
        <f>IFERROR(__xludf.DUMMYFUNCTION("""COMPUTED_VALUE"""),5090.0)</f>
        <v>5090</v>
      </c>
      <c r="C510" s="66">
        <f>IFERROR(__xludf.DUMMYFUNCTION("""COMPUTED_VALUE"""),1.29286E9)</f>
        <v>1292860000</v>
      </c>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2">
        <f>IFERROR(__xludf.DUMMYFUNCTION("""COMPUTED_VALUE"""),255000.0)</f>
        <v>255000</v>
      </c>
      <c r="B511" s="2">
        <f>IFERROR(__xludf.DUMMYFUNCTION("""COMPUTED_VALUE"""),5100.0)</f>
        <v>5100</v>
      </c>
      <c r="C511" s="66">
        <f>IFERROR(__xludf.DUMMYFUNCTION("""COMPUTED_VALUE"""),1.29795E9)</f>
        <v>1297950000</v>
      </c>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2">
        <f>IFERROR(__xludf.DUMMYFUNCTION("""COMPUTED_VALUE"""),255500.0)</f>
        <v>255500</v>
      </c>
      <c r="B512" s="2">
        <f>IFERROR(__xludf.DUMMYFUNCTION("""COMPUTED_VALUE"""),5110.0)</f>
        <v>5110</v>
      </c>
      <c r="C512" s="66">
        <f>IFERROR(__xludf.DUMMYFUNCTION("""COMPUTED_VALUE"""),1.30305E9)</f>
        <v>1303050000</v>
      </c>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2">
        <f>IFERROR(__xludf.DUMMYFUNCTION("""COMPUTED_VALUE"""),256000.0)</f>
        <v>256000</v>
      </c>
      <c r="B513" s="2">
        <f>IFERROR(__xludf.DUMMYFUNCTION("""COMPUTED_VALUE"""),5120.0)</f>
        <v>5120</v>
      </c>
      <c r="C513" s="66">
        <f>IFERROR(__xludf.DUMMYFUNCTION("""COMPUTED_VALUE"""),1.30816E9)</f>
        <v>1308160000</v>
      </c>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2">
        <f>IFERROR(__xludf.DUMMYFUNCTION("""COMPUTED_VALUE"""),256500.0)</f>
        <v>256500</v>
      </c>
      <c r="B514" s="2">
        <f>IFERROR(__xludf.DUMMYFUNCTION("""COMPUTED_VALUE"""),5130.0)</f>
        <v>5130</v>
      </c>
      <c r="C514" s="66">
        <f>IFERROR(__xludf.DUMMYFUNCTION("""COMPUTED_VALUE"""),1.31328E9)</f>
        <v>1313280000</v>
      </c>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2">
        <f>IFERROR(__xludf.DUMMYFUNCTION("""COMPUTED_VALUE"""),257000.0)</f>
        <v>257000</v>
      </c>
      <c r="B515" s="2">
        <f>IFERROR(__xludf.DUMMYFUNCTION("""COMPUTED_VALUE"""),5140.0)</f>
        <v>5140</v>
      </c>
      <c r="C515" s="66">
        <f>IFERROR(__xludf.DUMMYFUNCTION("""COMPUTED_VALUE"""),1.31841E9)</f>
        <v>1318410000</v>
      </c>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2">
        <f>IFERROR(__xludf.DUMMYFUNCTION("""COMPUTED_VALUE"""),257500.0)</f>
        <v>257500</v>
      </c>
      <c r="B516" s="2">
        <f>IFERROR(__xludf.DUMMYFUNCTION("""COMPUTED_VALUE"""),5150.0)</f>
        <v>5150</v>
      </c>
      <c r="C516" s="66">
        <f>IFERROR(__xludf.DUMMYFUNCTION("""COMPUTED_VALUE"""),1.32355E9)</f>
        <v>1323550000</v>
      </c>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2">
        <f>IFERROR(__xludf.DUMMYFUNCTION("""COMPUTED_VALUE"""),258000.0)</f>
        <v>258000</v>
      </c>
      <c r="B517" s="2">
        <f>IFERROR(__xludf.DUMMYFUNCTION("""COMPUTED_VALUE"""),5160.0)</f>
        <v>5160</v>
      </c>
      <c r="C517" s="66">
        <f>IFERROR(__xludf.DUMMYFUNCTION("""COMPUTED_VALUE"""),1.3287E9)</f>
        <v>1328700000</v>
      </c>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2">
        <f>IFERROR(__xludf.DUMMYFUNCTION("""COMPUTED_VALUE"""),258500.0)</f>
        <v>258500</v>
      </c>
      <c r="B518" s="2">
        <f>IFERROR(__xludf.DUMMYFUNCTION("""COMPUTED_VALUE"""),5170.0)</f>
        <v>5170</v>
      </c>
      <c r="C518" s="66">
        <f>IFERROR(__xludf.DUMMYFUNCTION("""COMPUTED_VALUE"""),1.33386E9)</f>
        <v>1333860000</v>
      </c>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2">
        <f>IFERROR(__xludf.DUMMYFUNCTION("""COMPUTED_VALUE"""),259000.0)</f>
        <v>259000</v>
      </c>
      <c r="B519" s="2">
        <f>IFERROR(__xludf.DUMMYFUNCTION("""COMPUTED_VALUE"""),5180.0)</f>
        <v>5180</v>
      </c>
      <c r="C519" s="66">
        <f>IFERROR(__xludf.DUMMYFUNCTION("""COMPUTED_VALUE"""),1.33903E9)</f>
        <v>1339030000</v>
      </c>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2">
        <f>IFERROR(__xludf.DUMMYFUNCTION("""COMPUTED_VALUE"""),259500.0)</f>
        <v>259500</v>
      </c>
      <c r="B520" s="2">
        <f>IFERROR(__xludf.DUMMYFUNCTION("""COMPUTED_VALUE"""),5190.0)</f>
        <v>5190</v>
      </c>
      <c r="C520" s="66">
        <f>IFERROR(__xludf.DUMMYFUNCTION("""COMPUTED_VALUE"""),1.34421E9)</f>
        <v>1344210000</v>
      </c>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2">
        <f>IFERROR(__xludf.DUMMYFUNCTION("""COMPUTED_VALUE"""),260000.0)</f>
        <v>260000</v>
      </c>
      <c r="B521" s="2">
        <f>IFERROR(__xludf.DUMMYFUNCTION("""COMPUTED_VALUE"""),5200.0)</f>
        <v>5200</v>
      </c>
      <c r="C521" s="66">
        <f>IFERROR(__xludf.DUMMYFUNCTION("""COMPUTED_VALUE"""),1.3494E9)</f>
        <v>1349400000</v>
      </c>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2">
        <f>IFERROR(__xludf.DUMMYFUNCTION("""COMPUTED_VALUE"""),260500.0)</f>
        <v>260500</v>
      </c>
      <c r="B522" s="2">
        <f>IFERROR(__xludf.DUMMYFUNCTION("""COMPUTED_VALUE"""),5210.0)</f>
        <v>5210</v>
      </c>
      <c r="C522" s="66">
        <f>IFERROR(__xludf.DUMMYFUNCTION("""COMPUTED_VALUE"""),1.3546E9)</f>
        <v>1354600000</v>
      </c>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2">
        <f>IFERROR(__xludf.DUMMYFUNCTION("""COMPUTED_VALUE"""),261000.0)</f>
        <v>261000</v>
      </c>
      <c r="B523" s="2">
        <f>IFERROR(__xludf.DUMMYFUNCTION("""COMPUTED_VALUE"""),5220.0)</f>
        <v>5220</v>
      </c>
      <c r="C523" s="66">
        <f>IFERROR(__xludf.DUMMYFUNCTION("""COMPUTED_VALUE"""),1.35981E9)</f>
        <v>1359810000</v>
      </c>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2">
        <f>IFERROR(__xludf.DUMMYFUNCTION("""COMPUTED_VALUE"""),261500.0)</f>
        <v>261500</v>
      </c>
      <c r="B524" s="2">
        <f>IFERROR(__xludf.DUMMYFUNCTION("""COMPUTED_VALUE"""),5230.0)</f>
        <v>5230</v>
      </c>
      <c r="C524" s="66">
        <f>IFERROR(__xludf.DUMMYFUNCTION("""COMPUTED_VALUE"""),1.36503E9)</f>
        <v>1365030000</v>
      </c>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2">
        <f>IFERROR(__xludf.DUMMYFUNCTION("""COMPUTED_VALUE"""),262000.0)</f>
        <v>262000</v>
      </c>
      <c r="B525" s="2">
        <f>IFERROR(__xludf.DUMMYFUNCTION("""COMPUTED_VALUE"""),5240.0)</f>
        <v>5240</v>
      </c>
      <c r="C525" s="66">
        <f>IFERROR(__xludf.DUMMYFUNCTION("""COMPUTED_VALUE"""),1.37026E9)</f>
        <v>1370260000</v>
      </c>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2">
        <f>IFERROR(__xludf.DUMMYFUNCTION("""COMPUTED_VALUE"""),262500.0)</f>
        <v>262500</v>
      </c>
      <c r="B526" s="2">
        <f>IFERROR(__xludf.DUMMYFUNCTION("""COMPUTED_VALUE"""),5250.0)</f>
        <v>5250</v>
      </c>
      <c r="C526" s="66">
        <f>IFERROR(__xludf.DUMMYFUNCTION("""COMPUTED_VALUE"""),1.3755E9)</f>
        <v>1375500000</v>
      </c>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2">
        <f>IFERROR(__xludf.DUMMYFUNCTION("""COMPUTED_VALUE"""),263000.0)</f>
        <v>263000</v>
      </c>
      <c r="B527" s="2">
        <f>IFERROR(__xludf.DUMMYFUNCTION("""COMPUTED_VALUE"""),5260.0)</f>
        <v>5260</v>
      </c>
      <c r="C527" s="66">
        <f>IFERROR(__xludf.DUMMYFUNCTION("""COMPUTED_VALUE"""),1.38075E9)</f>
        <v>1380750000</v>
      </c>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2">
        <f>IFERROR(__xludf.DUMMYFUNCTION("""COMPUTED_VALUE"""),263500.0)</f>
        <v>263500</v>
      </c>
      <c r="B528" s="2">
        <f>IFERROR(__xludf.DUMMYFUNCTION("""COMPUTED_VALUE"""),5270.0)</f>
        <v>5270</v>
      </c>
      <c r="C528" s="66">
        <f>IFERROR(__xludf.DUMMYFUNCTION("""COMPUTED_VALUE"""),1.38601E9)</f>
        <v>1386010000</v>
      </c>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2">
        <f>IFERROR(__xludf.DUMMYFUNCTION("""COMPUTED_VALUE"""),264000.0)</f>
        <v>264000</v>
      </c>
      <c r="B529" s="2">
        <f>IFERROR(__xludf.DUMMYFUNCTION("""COMPUTED_VALUE"""),5280.0)</f>
        <v>5280</v>
      </c>
      <c r="C529" s="66">
        <f>IFERROR(__xludf.DUMMYFUNCTION("""COMPUTED_VALUE"""),1.39128E9)</f>
        <v>1391280000</v>
      </c>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2">
        <f>IFERROR(__xludf.DUMMYFUNCTION("""COMPUTED_VALUE"""),264500.0)</f>
        <v>264500</v>
      </c>
      <c r="B530" s="2">
        <f>IFERROR(__xludf.DUMMYFUNCTION("""COMPUTED_VALUE"""),5290.0)</f>
        <v>5290</v>
      </c>
      <c r="C530" s="66">
        <f>IFERROR(__xludf.DUMMYFUNCTION("""COMPUTED_VALUE"""),1.39656E9)</f>
        <v>1396560000</v>
      </c>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2">
        <f>IFERROR(__xludf.DUMMYFUNCTION("""COMPUTED_VALUE"""),265000.0)</f>
        <v>265000</v>
      </c>
      <c r="B531" s="2">
        <f>IFERROR(__xludf.DUMMYFUNCTION("""COMPUTED_VALUE"""),5300.0)</f>
        <v>5300</v>
      </c>
      <c r="C531" s="66">
        <f>IFERROR(__xludf.DUMMYFUNCTION("""COMPUTED_VALUE"""),1.40185E9)</f>
        <v>1401850000</v>
      </c>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2">
        <f>IFERROR(__xludf.DUMMYFUNCTION("""COMPUTED_VALUE"""),265500.0)</f>
        <v>265500</v>
      </c>
      <c r="B532" s="2">
        <f>IFERROR(__xludf.DUMMYFUNCTION("""COMPUTED_VALUE"""),5310.0)</f>
        <v>5310</v>
      </c>
      <c r="C532" s="66">
        <f>IFERROR(__xludf.DUMMYFUNCTION("""COMPUTED_VALUE"""),1.40715E9)</f>
        <v>1407150000</v>
      </c>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2">
        <f>IFERROR(__xludf.DUMMYFUNCTION("""COMPUTED_VALUE"""),266000.0)</f>
        <v>266000</v>
      </c>
      <c r="B533" s="2">
        <f>IFERROR(__xludf.DUMMYFUNCTION("""COMPUTED_VALUE"""),5320.0)</f>
        <v>5320</v>
      </c>
      <c r="C533" s="66">
        <f>IFERROR(__xludf.DUMMYFUNCTION("""COMPUTED_VALUE"""),1.41246E9)</f>
        <v>1412460000</v>
      </c>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2">
        <f>IFERROR(__xludf.DUMMYFUNCTION("""COMPUTED_VALUE"""),266500.0)</f>
        <v>266500</v>
      </c>
      <c r="B534" s="2">
        <f>IFERROR(__xludf.DUMMYFUNCTION("""COMPUTED_VALUE"""),5330.0)</f>
        <v>5330</v>
      </c>
      <c r="C534" s="66">
        <f>IFERROR(__xludf.DUMMYFUNCTION("""COMPUTED_VALUE"""),1.41778E9)</f>
        <v>1417780000</v>
      </c>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2">
        <f>IFERROR(__xludf.DUMMYFUNCTION("""COMPUTED_VALUE"""),267000.0)</f>
        <v>267000</v>
      </c>
      <c r="B535" s="2">
        <f>IFERROR(__xludf.DUMMYFUNCTION("""COMPUTED_VALUE"""),5340.0)</f>
        <v>5340</v>
      </c>
      <c r="C535" s="66">
        <f>IFERROR(__xludf.DUMMYFUNCTION("""COMPUTED_VALUE"""),1.42311E9)</f>
        <v>1423110000</v>
      </c>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2">
        <f>IFERROR(__xludf.DUMMYFUNCTION("""COMPUTED_VALUE"""),267500.0)</f>
        <v>267500</v>
      </c>
      <c r="B536" s="2">
        <f>IFERROR(__xludf.DUMMYFUNCTION("""COMPUTED_VALUE"""),5350.0)</f>
        <v>5350</v>
      </c>
      <c r="C536" s="66">
        <f>IFERROR(__xludf.DUMMYFUNCTION("""COMPUTED_VALUE"""),1.42845E9)</f>
        <v>1428450000</v>
      </c>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2">
        <f>IFERROR(__xludf.DUMMYFUNCTION("""COMPUTED_VALUE"""),268000.0)</f>
        <v>268000</v>
      </c>
      <c r="B537" s="2">
        <f>IFERROR(__xludf.DUMMYFUNCTION("""COMPUTED_VALUE"""),5360.0)</f>
        <v>5360</v>
      </c>
      <c r="C537" s="66">
        <f>IFERROR(__xludf.DUMMYFUNCTION("""COMPUTED_VALUE"""),1.4338E9)</f>
        <v>1433800000</v>
      </c>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2">
        <f>IFERROR(__xludf.DUMMYFUNCTION("""COMPUTED_VALUE"""),268500.0)</f>
        <v>268500</v>
      </c>
      <c r="B538" s="2">
        <f>IFERROR(__xludf.DUMMYFUNCTION("""COMPUTED_VALUE"""),5370.0)</f>
        <v>5370</v>
      </c>
      <c r="C538" s="66">
        <f>IFERROR(__xludf.DUMMYFUNCTION("""COMPUTED_VALUE"""),1.43916E9)</f>
        <v>1439160000</v>
      </c>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2">
        <f>IFERROR(__xludf.DUMMYFUNCTION("""COMPUTED_VALUE"""),269000.0)</f>
        <v>269000</v>
      </c>
      <c r="B539" s="2">
        <f>IFERROR(__xludf.DUMMYFUNCTION("""COMPUTED_VALUE"""),5380.0)</f>
        <v>5380</v>
      </c>
      <c r="C539" s="66">
        <f>IFERROR(__xludf.DUMMYFUNCTION("""COMPUTED_VALUE"""),1.44453E9)</f>
        <v>1444530000</v>
      </c>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2">
        <f>IFERROR(__xludf.DUMMYFUNCTION("""COMPUTED_VALUE"""),269500.0)</f>
        <v>269500</v>
      </c>
      <c r="B540" s="2">
        <f>IFERROR(__xludf.DUMMYFUNCTION("""COMPUTED_VALUE"""),5390.0)</f>
        <v>5390</v>
      </c>
      <c r="C540" s="66">
        <f>IFERROR(__xludf.DUMMYFUNCTION("""COMPUTED_VALUE"""),1.44991E9)</f>
        <v>1449910000</v>
      </c>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2">
        <f>IFERROR(__xludf.DUMMYFUNCTION("""COMPUTED_VALUE"""),270000.0)</f>
        <v>270000</v>
      </c>
      <c r="B541" s="2">
        <f>IFERROR(__xludf.DUMMYFUNCTION("""COMPUTED_VALUE"""),5400.0)</f>
        <v>5400</v>
      </c>
      <c r="C541" s="66">
        <f>IFERROR(__xludf.DUMMYFUNCTION("""COMPUTED_VALUE"""),1.4553E9)</f>
        <v>1455300000</v>
      </c>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2">
        <f>IFERROR(__xludf.DUMMYFUNCTION("""COMPUTED_VALUE"""),270500.0)</f>
        <v>270500</v>
      </c>
      <c r="B542" s="2">
        <f>IFERROR(__xludf.DUMMYFUNCTION("""COMPUTED_VALUE"""),5410.0)</f>
        <v>5410</v>
      </c>
      <c r="C542" s="66">
        <f>IFERROR(__xludf.DUMMYFUNCTION("""COMPUTED_VALUE"""),1.4607E9)</f>
        <v>1460700000</v>
      </c>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2">
        <f>IFERROR(__xludf.DUMMYFUNCTION("""COMPUTED_VALUE"""),271000.0)</f>
        <v>271000</v>
      </c>
      <c r="B543" s="2">
        <f>IFERROR(__xludf.DUMMYFUNCTION("""COMPUTED_VALUE"""),5420.0)</f>
        <v>5420</v>
      </c>
      <c r="C543" s="66">
        <f>IFERROR(__xludf.DUMMYFUNCTION("""COMPUTED_VALUE"""),1.46611E9)</f>
        <v>1466110000</v>
      </c>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2">
        <f>IFERROR(__xludf.DUMMYFUNCTION("""COMPUTED_VALUE"""),271500.0)</f>
        <v>271500</v>
      </c>
      <c r="B544" s="2">
        <f>IFERROR(__xludf.DUMMYFUNCTION("""COMPUTED_VALUE"""),5430.0)</f>
        <v>5430</v>
      </c>
      <c r="C544" s="66">
        <f>IFERROR(__xludf.DUMMYFUNCTION("""COMPUTED_VALUE"""),1.47153E9)</f>
        <v>1471530000</v>
      </c>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2">
        <f>IFERROR(__xludf.DUMMYFUNCTION("""COMPUTED_VALUE"""),272000.0)</f>
        <v>272000</v>
      </c>
      <c r="B545" s="2">
        <f>IFERROR(__xludf.DUMMYFUNCTION("""COMPUTED_VALUE"""),5440.0)</f>
        <v>5440</v>
      </c>
      <c r="C545" s="66">
        <f>IFERROR(__xludf.DUMMYFUNCTION("""COMPUTED_VALUE"""),1.47696E9)</f>
        <v>1476960000</v>
      </c>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2">
        <f>IFERROR(__xludf.DUMMYFUNCTION("""COMPUTED_VALUE"""),272500.0)</f>
        <v>272500</v>
      </c>
      <c r="B546" s="2">
        <f>IFERROR(__xludf.DUMMYFUNCTION("""COMPUTED_VALUE"""),5450.0)</f>
        <v>5450</v>
      </c>
      <c r="C546" s="66">
        <f>IFERROR(__xludf.DUMMYFUNCTION("""COMPUTED_VALUE"""),1.4824E9)</f>
        <v>1482400000</v>
      </c>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2">
        <f>IFERROR(__xludf.DUMMYFUNCTION("""COMPUTED_VALUE"""),273000.0)</f>
        <v>273000</v>
      </c>
      <c r="B547" s="2">
        <f>IFERROR(__xludf.DUMMYFUNCTION("""COMPUTED_VALUE"""),5460.0)</f>
        <v>5460</v>
      </c>
      <c r="C547" s="66">
        <f>IFERROR(__xludf.DUMMYFUNCTION("""COMPUTED_VALUE"""),1.48785E9)</f>
        <v>1487850000</v>
      </c>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2">
        <f>IFERROR(__xludf.DUMMYFUNCTION("""COMPUTED_VALUE"""),273500.0)</f>
        <v>273500</v>
      </c>
      <c r="B548" s="2">
        <f>IFERROR(__xludf.DUMMYFUNCTION("""COMPUTED_VALUE"""),5470.0)</f>
        <v>5470</v>
      </c>
      <c r="C548" s="66">
        <f>IFERROR(__xludf.DUMMYFUNCTION("""COMPUTED_VALUE"""),1.49331E9)</f>
        <v>1493310000</v>
      </c>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2">
        <f>IFERROR(__xludf.DUMMYFUNCTION("""COMPUTED_VALUE"""),274000.0)</f>
        <v>274000</v>
      </c>
      <c r="B549" s="2">
        <f>IFERROR(__xludf.DUMMYFUNCTION("""COMPUTED_VALUE"""),5480.0)</f>
        <v>5480</v>
      </c>
      <c r="C549" s="66">
        <f>IFERROR(__xludf.DUMMYFUNCTION("""COMPUTED_VALUE"""),1.49878E9)</f>
        <v>1498780000</v>
      </c>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2">
        <f>IFERROR(__xludf.DUMMYFUNCTION("""COMPUTED_VALUE"""),274500.0)</f>
        <v>274500</v>
      </c>
      <c r="B550" s="2">
        <f>IFERROR(__xludf.DUMMYFUNCTION("""COMPUTED_VALUE"""),5490.0)</f>
        <v>5490</v>
      </c>
      <c r="C550" s="66">
        <f>IFERROR(__xludf.DUMMYFUNCTION("""COMPUTED_VALUE"""),1.50426E9)</f>
        <v>1504260000</v>
      </c>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2">
        <f>IFERROR(__xludf.DUMMYFUNCTION("""COMPUTED_VALUE"""),275000.0)</f>
        <v>275000</v>
      </c>
      <c r="B551" s="2">
        <f>IFERROR(__xludf.DUMMYFUNCTION("""COMPUTED_VALUE"""),5500.0)</f>
        <v>5500</v>
      </c>
      <c r="C551" s="66">
        <f>IFERROR(__xludf.DUMMYFUNCTION("""COMPUTED_VALUE"""),1.50975E9)</f>
        <v>1509750000</v>
      </c>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2">
        <f>IFERROR(__xludf.DUMMYFUNCTION("""COMPUTED_VALUE"""),275500.0)</f>
        <v>275500</v>
      </c>
      <c r="B552" s="2">
        <f>IFERROR(__xludf.DUMMYFUNCTION("""COMPUTED_VALUE"""),5510.0)</f>
        <v>5510</v>
      </c>
      <c r="C552" s="66">
        <f>IFERROR(__xludf.DUMMYFUNCTION("""COMPUTED_VALUE"""),1.51525E9)</f>
        <v>1515250000</v>
      </c>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2">
        <f>IFERROR(__xludf.DUMMYFUNCTION("""COMPUTED_VALUE"""),276000.0)</f>
        <v>276000</v>
      </c>
      <c r="B553" s="2">
        <f>IFERROR(__xludf.DUMMYFUNCTION("""COMPUTED_VALUE"""),5520.0)</f>
        <v>5520</v>
      </c>
      <c r="C553" s="66">
        <f>IFERROR(__xludf.DUMMYFUNCTION("""COMPUTED_VALUE"""),1.52076E9)</f>
        <v>1520760000</v>
      </c>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2">
        <f>IFERROR(__xludf.DUMMYFUNCTION("""COMPUTED_VALUE"""),276500.0)</f>
        <v>276500</v>
      </c>
      <c r="B554" s="2">
        <f>IFERROR(__xludf.DUMMYFUNCTION("""COMPUTED_VALUE"""),5530.0)</f>
        <v>5530</v>
      </c>
      <c r="C554" s="66">
        <f>IFERROR(__xludf.DUMMYFUNCTION("""COMPUTED_VALUE"""),1.52628E9)</f>
        <v>1526280000</v>
      </c>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2">
        <f>IFERROR(__xludf.DUMMYFUNCTION("""COMPUTED_VALUE"""),277000.0)</f>
        <v>277000</v>
      </c>
      <c r="B555" s="2">
        <f>IFERROR(__xludf.DUMMYFUNCTION("""COMPUTED_VALUE"""),5540.0)</f>
        <v>5540</v>
      </c>
      <c r="C555" s="66">
        <f>IFERROR(__xludf.DUMMYFUNCTION("""COMPUTED_VALUE"""),1.53181E9)</f>
        <v>1531810000</v>
      </c>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2">
        <f>IFERROR(__xludf.DUMMYFUNCTION("""COMPUTED_VALUE"""),277500.0)</f>
        <v>277500</v>
      </c>
      <c r="B556" s="2">
        <f>IFERROR(__xludf.DUMMYFUNCTION("""COMPUTED_VALUE"""),5550.0)</f>
        <v>5550</v>
      </c>
      <c r="C556" s="66">
        <f>IFERROR(__xludf.DUMMYFUNCTION("""COMPUTED_VALUE"""),1.53735E9)</f>
        <v>1537350000</v>
      </c>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2">
        <f>IFERROR(__xludf.DUMMYFUNCTION("""COMPUTED_VALUE"""),278000.0)</f>
        <v>278000</v>
      </c>
      <c r="B557" s="2">
        <f>IFERROR(__xludf.DUMMYFUNCTION("""COMPUTED_VALUE"""),5560.0)</f>
        <v>5560</v>
      </c>
      <c r="C557" s="66">
        <f>IFERROR(__xludf.DUMMYFUNCTION("""COMPUTED_VALUE"""),1.5429E9)</f>
        <v>1542900000</v>
      </c>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2">
        <f>IFERROR(__xludf.DUMMYFUNCTION("""COMPUTED_VALUE"""),278500.0)</f>
        <v>278500</v>
      </c>
      <c r="B558" s="2">
        <f>IFERROR(__xludf.DUMMYFUNCTION("""COMPUTED_VALUE"""),5570.0)</f>
        <v>5570</v>
      </c>
      <c r="C558" s="66">
        <f>IFERROR(__xludf.DUMMYFUNCTION("""COMPUTED_VALUE"""),1.54846E9)</f>
        <v>1548460000</v>
      </c>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2">
        <f>IFERROR(__xludf.DUMMYFUNCTION("""COMPUTED_VALUE"""),279000.0)</f>
        <v>279000</v>
      </c>
      <c r="B559" s="2">
        <f>IFERROR(__xludf.DUMMYFUNCTION("""COMPUTED_VALUE"""),5580.0)</f>
        <v>5580</v>
      </c>
      <c r="C559" s="66">
        <f>IFERROR(__xludf.DUMMYFUNCTION("""COMPUTED_VALUE"""),1.55403E9)</f>
        <v>1554030000</v>
      </c>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2">
        <f>IFERROR(__xludf.DUMMYFUNCTION("""COMPUTED_VALUE"""),279500.0)</f>
        <v>279500</v>
      </c>
      <c r="B560" s="2">
        <f>IFERROR(__xludf.DUMMYFUNCTION("""COMPUTED_VALUE"""),5590.0)</f>
        <v>5590</v>
      </c>
      <c r="C560" s="66">
        <f>IFERROR(__xludf.DUMMYFUNCTION("""COMPUTED_VALUE"""),1.55961E9)</f>
        <v>1559610000</v>
      </c>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2">
        <f>IFERROR(__xludf.DUMMYFUNCTION("""COMPUTED_VALUE"""),280000.0)</f>
        <v>280000</v>
      </c>
      <c r="B561" s="2">
        <f>IFERROR(__xludf.DUMMYFUNCTION("""COMPUTED_VALUE"""),5600.0)</f>
        <v>5600</v>
      </c>
      <c r="C561" s="66">
        <f>IFERROR(__xludf.DUMMYFUNCTION("""COMPUTED_VALUE"""),1.5652E9)</f>
        <v>1565200000</v>
      </c>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2">
        <f>IFERROR(__xludf.DUMMYFUNCTION("""COMPUTED_VALUE"""),280500.0)</f>
        <v>280500</v>
      </c>
      <c r="B562" s="2">
        <f>IFERROR(__xludf.DUMMYFUNCTION("""COMPUTED_VALUE"""),5610.0)</f>
        <v>5610</v>
      </c>
      <c r="C562" s="66">
        <f>IFERROR(__xludf.DUMMYFUNCTION("""COMPUTED_VALUE"""),1.5708E9)</f>
        <v>1570800000</v>
      </c>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2">
        <f>IFERROR(__xludf.DUMMYFUNCTION("""COMPUTED_VALUE"""),281000.0)</f>
        <v>281000</v>
      </c>
      <c r="B563" s="2">
        <f>IFERROR(__xludf.DUMMYFUNCTION("""COMPUTED_VALUE"""),5620.0)</f>
        <v>5620</v>
      </c>
      <c r="C563" s="66">
        <f>IFERROR(__xludf.DUMMYFUNCTION("""COMPUTED_VALUE"""),1.57641E9)</f>
        <v>1576410000</v>
      </c>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2">
        <f>IFERROR(__xludf.DUMMYFUNCTION("""COMPUTED_VALUE"""),281500.0)</f>
        <v>281500</v>
      </c>
      <c r="B564" s="2">
        <f>IFERROR(__xludf.DUMMYFUNCTION("""COMPUTED_VALUE"""),5630.0)</f>
        <v>5630</v>
      </c>
      <c r="C564" s="66">
        <f>IFERROR(__xludf.DUMMYFUNCTION("""COMPUTED_VALUE"""),1.58203E9)</f>
        <v>1582030000</v>
      </c>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2">
        <f>IFERROR(__xludf.DUMMYFUNCTION("""COMPUTED_VALUE"""),282000.0)</f>
        <v>282000</v>
      </c>
      <c r="B565" s="2">
        <f>IFERROR(__xludf.DUMMYFUNCTION("""COMPUTED_VALUE"""),5640.0)</f>
        <v>5640</v>
      </c>
      <c r="C565" s="66">
        <f>IFERROR(__xludf.DUMMYFUNCTION("""COMPUTED_VALUE"""),1.58766E9)</f>
        <v>1587660000</v>
      </c>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2">
        <f>IFERROR(__xludf.DUMMYFUNCTION("""COMPUTED_VALUE"""),282500.0)</f>
        <v>282500</v>
      </c>
      <c r="B566" s="2">
        <f>IFERROR(__xludf.DUMMYFUNCTION("""COMPUTED_VALUE"""),5650.0)</f>
        <v>5650</v>
      </c>
      <c r="C566" s="66">
        <f>IFERROR(__xludf.DUMMYFUNCTION("""COMPUTED_VALUE"""),1.5933E9)</f>
        <v>1593300000</v>
      </c>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2">
        <f>IFERROR(__xludf.DUMMYFUNCTION("""COMPUTED_VALUE"""),283000.0)</f>
        <v>283000</v>
      </c>
      <c r="B567" s="2">
        <f>IFERROR(__xludf.DUMMYFUNCTION("""COMPUTED_VALUE"""),5660.0)</f>
        <v>5660</v>
      </c>
      <c r="C567" s="66">
        <f>IFERROR(__xludf.DUMMYFUNCTION("""COMPUTED_VALUE"""),1.59895E9)</f>
        <v>1598950000</v>
      </c>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2">
        <f>IFERROR(__xludf.DUMMYFUNCTION("""COMPUTED_VALUE"""),283500.0)</f>
        <v>283500</v>
      </c>
      <c r="B568" s="2">
        <f>IFERROR(__xludf.DUMMYFUNCTION("""COMPUTED_VALUE"""),5670.0)</f>
        <v>5670</v>
      </c>
      <c r="C568" s="66">
        <f>IFERROR(__xludf.DUMMYFUNCTION("""COMPUTED_VALUE"""),1.60461E9)</f>
        <v>1604610000</v>
      </c>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2">
        <f>IFERROR(__xludf.DUMMYFUNCTION("""COMPUTED_VALUE"""),284000.0)</f>
        <v>284000</v>
      </c>
      <c r="B569" s="2">
        <f>IFERROR(__xludf.DUMMYFUNCTION("""COMPUTED_VALUE"""),5680.0)</f>
        <v>5680</v>
      </c>
      <c r="C569" s="66">
        <f>IFERROR(__xludf.DUMMYFUNCTION("""COMPUTED_VALUE"""),1.61028E9)</f>
        <v>1610280000</v>
      </c>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2">
        <f>IFERROR(__xludf.DUMMYFUNCTION("""COMPUTED_VALUE"""),284500.0)</f>
        <v>284500</v>
      </c>
      <c r="B570" s="2">
        <f>IFERROR(__xludf.DUMMYFUNCTION("""COMPUTED_VALUE"""),5690.0)</f>
        <v>5690</v>
      </c>
      <c r="C570" s="66">
        <f>IFERROR(__xludf.DUMMYFUNCTION("""COMPUTED_VALUE"""),1.61596E9)</f>
        <v>1615960000</v>
      </c>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2">
        <f>IFERROR(__xludf.DUMMYFUNCTION("""COMPUTED_VALUE"""),285000.0)</f>
        <v>285000</v>
      </c>
      <c r="B571" s="2">
        <f>IFERROR(__xludf.DUMMYFUNCTION("""COMPUTED_VALUE"""),5700.0)</f>
        <v>5700</v>
      </c>
      <c r="C571" s="66">
        <f>IFERROR(__xludf.DUMMYFUNCTION("""COMPUTED_VALUE"""),1.62165E9)</f>
        <v>1621650000</v>
      </c>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2">
        <f>IFERROR(__xludf.DUMMYFUNCTION("""COMPUTED_VALUE"""),285500.0)</f>
        <v>285500</v>
      </c>
      <c r="B572" s="2">
        <f>IFERROR(__xludf.DUMMYFUNCTION("""COMPUTED_VALUE"""),5710.0)</f>
        <v>5710</v>
      </c>
      <c r="C572" s="66">
        <f>IFERROR(__xludf.DUMMYFUNCTION("""COMPUTED_VALUE"""),1.62735E9)</f>
        <v>1627350000</v>
      </c>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2">
        <f>IFERROR(__xludf.DUMMYFUNCTION("""COMPUTED_VALUE"""),286000.0)</f>
        <v>286000</v>
      </c>
      <c r="B573" s="2">
        <f>IFERROR(__xludf.DUMMYFUNCTION("""COMPUTED_VALUE"""),5720.0)</f>
        <v>5720</v>
      </c>
      <c r="C573" s="66">
        <f>IFERROR(__xludf.DUMMYFUNCTION("""COMPUTED_VALUE"""),1.63306E9)</f>
        <v>1633060000</v>
      </c>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2">
        <f>IFERROR(__xludf.DUMMYFUNCTION("""COMPUTED_VALUE"""),286500.0)</f>
        <v>286500</v>
      </c>
      <c r="B574" s="2">
        <f>IFERROR(__xludf.DUMMYFUNCTION("""COMPUTED_VALUE"""),5730.0)</f>
        <v>5730</v>
      </c>
      <c r="C574" s="66">
        <f>IFERROR(__xludf.DUMMYFUNCTION("""COMPUTED_VALUE"""),1.63878E9)</f>
        <v>1638780000</v>
      </c>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2">
        <f>IFERROR(__xludf.DUMMYFUNCTION("""COMPUTED_VALUE"""),287000.0)</f>
        <v>287000</v>
      </c>
      <c r="B575" s="2">
        <f>IFERROR(__xludf.DUMMYFUNCTION("""COMPUTED_VALUE"""),5740.0)</f>
        <v>5740</v>
      </c>
      <c r="C575" s="66">
        <f>IFERROR(__xludf.DUMMYFUNCTION("""COMPUTED_VALUE"""),1.64451E9)</f>
        <v>1644510000</v>
      </c>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2">
        <f>IFERROR(__xludf.DUMMYFUNCTION("""COMPUTED_VALUE"""),287500.0)</f>
        <v>287500</v>
      </c>
      <c r="B576" s="2">
        <f>IFERROR(__xludf.DUMMYFUNCTION("""COMPUTED_VALUE"""),5750.0)</f>
        <v>5750</v>
      </c>
      <c r="C576" s="66">
        <f>IFERROR(__xludf.DUMMYFUNCTION("""COMPUTED_VALUE"""),1.65025E9)</f>
        <v>1650250000</v>
      </c>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2">
        <f>IFERROR(__xludf.DUMMYFUNCTION("""COMPUTED_VALUE"""),288000.0)</f>
        <v>288000</v>
      </c>
      <c r="B577" s="2">
        <f>IFERROR(__xludf.DUMMYFUNCTION("""COMPUTED_VALUE"""),5760.0)</f>
        <v>5760</v>
      </c>
      <c r="C577" s="66">
        <f>IFERROR(__xludf.DUMMYFUNCTION("""COMPUTED_VALUE"""),1.656E9)</f>
        <v>1656000000</v>
      </c>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2">
        <f>IFERROR(__xludf.DUMMYFUNCTION("""COMPUTED_VALUE"""),288500.0)</f>
        <v>288500</v>
      </c>
      <c r="B578" s="2">
        <f>IFERROR(__xludf.DUMMYFUNCTION("""COMPUTED_VALUE"""),5770.0)</f>
        <v>5770</v>
      </c>
      <c r="C578" s="66">
        <f>IFERROR(__xludf.DUMMYFUNCTION("""COMPUTED_VALUE"""),1.66176E9)</f>
        <v>1661760000</v>
      </c>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2">
        <f>IFERROR(__xludf.DUMMYFUNCTION("""COMPUTED_VALUE"""),289000.0)</f>
        <v>289000</v>
      </c>
      <c r="B579" s="2">
        <f>IFERROR(__xludf.DUMMYFUNCTION("""COMPUTED_VALUE"""),5780.0)</f>
        <v>5780</v>
      </c>
      <c r="C579" s="66">
        <f>IFERROR(__xludf.DUMMYFUNCTION("""COMPUTED_VALUE"""),1.66753E9)</f>
        <v>1667530000</v>
      </c>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2">
        <f>IFERROR(__xludf.DUMMYFUNCTION("""COMPUTED_VALUE"""),289500.0)</f>
        <v>289500</v>
      </c>
      <c r="B580" s="2">
        <f>IFERROR(__xludf.DUMMYFUNCTION("""COMPUTED_VALUE"""),5790.0)</f>
        <v>5790</v>
      </c>
      <c r="C580" s="66">
        <f>IFERROR(__xludf.DUMMYFUNCTION("""COMPUTED_VALUE"""),1.67331E9)</f>
        <v>1673310000</v>
      </c>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2">
        <f>IFERROR(__xludf.DUMMYFUNCTION("""COMPUTED_VALUE"""),290000.0)</f>
        <v>290000</v>
      </c>
      <c r="B581" s="2">
        <f>IFERROR(__xludf.DUMMYFUNCTION("""COMPUTED_VALUE"""),5800.0)</f>
        <v>5800</v>
      </c>
      <c r="C581" s="66">
        <f>IFERROR(__xludf.DUMMYFUNCTION("""COMPUTED_VALUE"""),1.6791E9)</f>
        <v>1679100000</v>
      </c>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2">
        <f>IFERROR(__xludf.DUMMYFUNCTION("""COMPUTED_VALUE"""),290500.0)</f>
        <v>290500</v>
      </c>
      <c r="B582" s="2">
        <f>IFERROR(__xludf.DUMMYFUNCTION("""COMPUTED_VALUE"""),5810.0)</f>
        <v>5810</v>
      </c>
      <c r="C582" s="66">
        <f>IFERROR(__xludf.DUMMYFUNCTION("""COMPUTED_VALUE"""),1.6849E9)</f>
        <v>1684900000</v>
      </c>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2">
        <f>IFERROR(__xludf.DUMMYFUNCTION("""COMPUTED_VALUE"""),291000.0)</f>
        <v>291000</v>
      </c>
      <c r="B583" s="2">
        <f>IFERROR(__xludf.DUMMYFUNCTION("""COMPUTED_VALUE"""),5820.0)</f>
        <v>5820</v>
      </c>
      <c r="C583" s="66">
        <f>IFERROR(__xludf.DUMMYFUNCTION("""COMPUTED_VALUE"""),1.69071E9)</f>
        <v>1690710000</v>
      </c>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2">
        <f>IFERROR(__xludf.DUMMYFUNCTION("""COMPUTED_VALUE"""),291500.0)</f>
        <v>291500</v>
      </c>
      <c r="B584" s="2">
        <f>IFERROR(__xludf.DUMMYFUNCTION("""COMPUTED_VALUE"""),5830.0)</f>
        <v>5830</v>
      </c>
      <c r="C584" s="66">
        <f>IFERROR(__xludf.DUMMYFUNCTION("""COMPUTED_VALUE"""),1.69653E9)</f>
        <v>1696530000</v>
      </c>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2">
        <f>IFERROR(__xludf.DUMMYFUNCTION("""COMPUTED_VALUE"""),292000.0)</f>
        <v>292000</v>
      </c>
      <c r="B585" s="2">
        <f>IFERROR(__xludf.DUMMYFUNCTION("""COMPUTED_VALUE"""),5840.0)</f>
        <v>5840</v>
      </c>
      <c r="C585" s="66">
        <f>IFERROR(__xludf.DUMMYFUNCTION("""COMPUTED_VALUE"""),1.70236E9)</f>
        <v>1702360000</v>
      </c>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2">
        <f>IFERROR(__xludf.DUMMYFUNCTION("""COMPUTED_VALUE"""),292500.0)</f>
        <v>292500</v>
      </c>
      <c r="B586" s="2">
        <f>IFERROR(__xludf.DUMMYFUNCTION("""COMPUTED_VALUE"""),5850.0)</f>
        <v>5850</v>
      </c>
      <c r="C586" s="66">
        <f>IFERROR(__xludf.DUMMYFUNCTION("""COMPUTED_VALUE"""),1.7082E9)</f>
        <v>1708200000</v>
      </c>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2">
        <f>IFERROR(__xludf.DUMMYFUNCTION("""COMPUTED_VALUE"""),293000.0)</f>
        <v>293000</v>
      </c>
      <c r="B587" s="2">
        <f>IFERROR(__xludf.DUMMYFUNCTION("""COMPUTED_VALUE"""),5860.0)</f>
        <v>5860</v>
      </c>
      <c r="C587" s="66">
        <f>IFERROR(__xludf.DUMMYFUNCTION("""COMPUTED_VALUE"""),1.71405E9)</f>
        <v>1714050000</v>
      </c>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2">
        <f>IFERROR(__xludf.DUMMYFUNCTION("""COMPUTED_VALUE"""),293500.0)</f>
        <v>293500</v>
      </c>
      <c r="B588" s="2">
        <f>IFERROR(__xludf.DUMMYFUNCTION("""COMPUTED_VALUE"""),5870.0)</f>
        <v>5870</v>
      </c>
      <c r="C588" s="66">
        <f>IFERROR(__xludf.DUMMYFUNCTION("""COMPUTED_VALUE"""),1.71991E9)</f>
        <v>1719910000</v>
      </c>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2">
        <f>IFERROR(__xludf.DUMMYFUNCTION("""COMPUTED_VALUE"""),294000.0)</f>
        <v>294000</v>
      </c>
      <c r="B589" s="2">
        <f>IFERROR(__xludf.DUMMYFUNCTION("""COMPUTED_VALUE"""),5880.0)</f>
        <v>5880</v>
      </c>
      <c r="C589" s="66">
        <f>IFERROR(__xludf.DUMMYFUNCTION("""COMPUTED_VALUE"""),1.72578E9)</f>
        <v>1725780000</v>
      </c>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2">
        <f>IFERROR(__xludf.DUMMYFUNCTION("""COMPUTED_VALUE"""),294500.0)</f>
        <v>294500</v>
      </c>
      <c r="B590" s="2">
        <f>IFERROR(__xludf.DUMMYFUNCTION("""COMPUTED_VALUE"""),5890.0)</f>
        <v>5890</v>
      </c>
      <c r="C590" s="66">
        <f>IFERROR(__xludf.DUMMYFUNCTION("""COMPUTED_VALUE"""),1.73166E9)</f>
        <v>1731660000</v>
      </c>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2">
        <f>IFERROR(__xludf.DUMMYFUNCTION("""COMPUTED_VALUE"""),295000.0)</f>
        <v>295000</v>
      </c>
      <c r="B591" s="2">
        <f>IFERROR(__xludf.DUMMYFUNCTION("""COMPUTED_VALUE"""),5900.0)</f>
        <v>5900</v>
      </c>
      <c r="C591" s="66">
        <f>IFERROR(__xludf.DUMMYFUNCTION("""COMPUTED_VALUE"""),1.73755E9)</f>
        <v>1737550000</v>
      </c>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2">
        <f>IFERROR(__xludf.DUMMYFUNCTION("""COMPUTED_VALUE"""),295500.0)</f>
        <v>295500</v>
      </c>
      <c r="B592" s="2">
        <f>IFERROR(__xludf.DUMMYFUNCTION("""COMPUTED_VALUE"""),5910.0)</f>
        <v>5910</v>
      </c>
      <c r="C592" s="66">
        <f>IFERROR(__xludf.DUMMYFUNCTION("""COMPUTED_VALUE"""),1.74345E9)</f>
        <v>1743450000</v>
      </c>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2">
        <f>IFERROR(__xludf.DUMMYFUNCTION("""COMPUTED_VALUE"""),296000.0)</f>
        <v>296000</v>
      </c>
      <c r="B593" s="2">
        <f>IFERROR(__xludf.DUMMYFUNCTION("""COMPUTED_VALUE"""),5920.0)</f>
        <v>5920</v>
      </c>
      <c r="C593" s="66">
        <f>IFERROR(__xludf.DUMMYFUNCTION("""COMPUTED_VALUE"""),1.74936E9)</f>
        <v>1749360000</v>
      </c>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2">
        <f>IFERROR(__xludf.DUMMYFUNCTION("""COMPUTED_VALUE"""),296500.0)</f>
        <v>296500</v>
      </c>
      <c r="B594" s="2">
        <f>IFERROR(__xludf.DUMMYFUNCTION("""COMPUTED_VALUE"""),5930.0)</f>
        <v>5930</v>
      </c>
      <c r="C594" s="66">
        <f>IFERROR(__xludf.DUMMYFUNCTION("""COMPUTED_VALUE"""),1.75528E9)</f>
        <v>1755280000</v>
      </c>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2">
        <f>IFERROR(__xludf.DUMMYFUNCTION("""COMPUTED_VALUE"""),297000.0)</f>
        <v>297000</v>
      </c>
      <c r="B595" s="2">
        <f>IFERROR(__xludf.DUMMYFUNCTION("""COMPUTED_VALUE"""),5940.0)</f>
        <v>5940</v>
      </c>
      <c r="C595" s="66">
        <f>IFERROR(__xludf.DUMMYFUNCTION("""COMPUTED_VALUE"""),1.76121E9)</f>
        <v>1761210000</v>
      </c>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2">
        <f>IFERROR(__xludf.DUMMYFUNCTION("""COMPUTED_VALUE"""),297500.0)</f>
        <v>297500</v>
      </c>
      <c r="B596" s="2">
        <f>IFERROR(__xludf.DUMMYFUNCTION("""COMPUTED_VALUE"""),5950.0)</f>
        <v>5950</v>
      </c>
      <c r="C596" s="66">
        <f>IFERROR(__xludf.DUMMYFUNCTION("""COMPUTED_VALUE"""),1.76715E9)</f>
        <v>1767150000</v>
      </c>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2">
        <f>IFERROR(__xludf.DUMMYFUNCTION("""COMPUTED_VALUE"""),298000.0)</f>
        <v>298000</v>
      </c>
      <c r="B597" s="2">
        <f>IFERROR(__xludf.DUMMYFUNCTION("""COMPUTED_VALUE"""),5960.0)</f>
        <v>5960</v>
      </c>
      <c r="C597" s="66">
        <f>IFERROR(__xludf.DUMMYFUNCTION("""COMPUTED_VALUE"""),1.7731E9)</f>
        <v>1773100000</v>
      </c>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2">
        <f>IFERROR(__xludf.DUMMYFUNCTION("""COMPUTED_VALUE"""),298500.0)</f>
        <v>298500</v>
      </c>
      <c r="B598" s="2">
        <f>IFERROR(__xludf.DUMMYFUNCTION("""COMPUTED_VALUE"""),5970.0)</f>
        <v>5970</v>
      </c>
      <c r="C598" s="66">
        <f>IFERROR(__xludf.DUMMYFUNCTION("""COMPUTED_VALUE"""),1.77906E9)</f>
        <v>1779060000</v>
      </c>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2">
        <f>IFERROR(__xludf.DUMMYFUNCTION("""COMPUTED_VALUE"""),299000.0)</f>
        <v>299000</v>
      </c>
      <c r="B599" s="2">
        <f>IFERROR(__xludf.DUMMYFUNCTION("""COMPUTED_VALUE"""),5980.0)</f>
        <v>5980</v>
      </c>
      <c r="C599" s="66">
        <f>IFERROR(__xludf.DUMMYFUNCTION("""COMPUTED_VALUE"""),1.78503E9)</f>
        <v>1785030000</v>
      </c>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2">
        <f>IFERROR(__xludf.DUMMYFUNCTION("""COMPUTED_VALUE"""),299500.0)</f>
        <v>299500</v>
      </c>
      <c r="B600" s="2">
        <f>IFERROR(__xludf.DUMMYFUNCTION("""COMPUTED_VALUE"""),5990.0)</f>
        <v>5990</v>
      </c>
      <c r="C600" s="66">
        <f>IFERROR(__xludf.DUMMYFUNCTION("""COMPUTED_VALUE"""),1.79101E9)</f>
        <v>1791010000</v>
      </c>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2">
        <f>IFERROR(__xludf.DUMMYFUNCTION("""COMPUTED_VALUE"""),300000.0)</f>
        <v>300000</v>
      </c>
      <c r="B601" s="2">
        <f>IFERROR(__xludf.DUMMYFUNCTION("""COMPUTED_VALUE"""),6000.0)</f>
        <v>6000</v>
      </c>
      <c r="C601" s="66">
        <f>IFERROR(__xludf.DUMMYFUNCTION("""COMPUTED_VALUE"""),1.797E9)</f>
        <v>1797000000</v>
      </c>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2">
        <f>IFERROR(__xludf.DUMMYFUNCTION("""COMPUTED_VALUE"""),300500.0)</f>
        <v>300500</v>
      </c>
      <c r="B602" s="2">
        <f>IFERROR(__xludf.DUMMYFUNCTION("""COMPUTED_VALUE"""),6010.0)</f>
        <v>6010</v>
      </c>
      <c r="C602" s="66">
        <f>IFERROR(__xludf.DUMMYFUNCTION("""COMPUTED_VALUE"""),1.803E9)</f>
        <v>1803000000</v>
      </c>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2">
        <f>IFERROR(__xludf.DUMMYFUNCTION("""COMPUTED_VALUE"""),301000.0)</f>
        <v>301000</v>
      </c>
      <c r="B603" s="2">
        <f>IFERROR(__xludf.DUMMYFUNCTION("""COMPUTED_VALUE"""),6020.0)</f>
        <v>6020</v>
      </c>
      <c r="C603" s="66">
        <f>IFERROR(__xludf.DUMMYFUNCTION("""COMPUTED_VALUE"""),1.80901E9)</f>
        <v>1809010000</v>
      </c>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2">
        <f>IFERROR(__xludf.DUMMYFUNCTION("""COMPUTED_VALUE"""),301500.0)</f>
        <v>301500</v>
      </c>
      <c r="B604" s="2">
        <f>IFERROR(__xludf.DUMMYFUNCTION("""COMPUTED_VALUE"""),6030.0)</f>
        <v>6030</v>
      </c>
      <c r="C604" s="66">
        <f>IFERROR(__xludf.DUMMYFUNCTION("""COMPUTED_VALUE"""),1.81503E9)</f>
        <v>1815030000</v>
      </c>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2">
        <f>IFERROR(__xludf.DUMMYFUNCTION("""COMPUTED_VALUE"""),302000.0)</f>
        <v>302000</v>
      </c>
      <c r="B605" s="2">
        <f>IFERROR(__xludf.DUMMYFUNCTION("""COMPUTED_VALUE"""),6040.0)</f>
        <v>6040</v>
      </c>
      <c r="C605" s="66">
        <f>IFERROR(__xludf.DUMMYFUNCTION("""COMPUTED_VALUE"""),1.82106E9)</f>
        <v>1821060000</v>
      </c>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2">
        <f>IFERROR(__xludf.DUMMYFUNCTION("""COMPUTED_VALUE"""),302500.0)</f>
        <v>302500</v>
      </c>
      <c r="B606" s="2">
        <f>IFERROR(__xludf.DUMMYFUNCTION("""COMPUTED_VALUE"""),6050.0)</f>
        <v>6050</v>
      </c>
      <c r="C606" s="66">
        <f>IFERROR(__xludf.DUMMYFUNCTION("""COMPUTED_VALUE"""),1.8271E9)</f>
        <v>1827100000</v>
      </c>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2">
        <f>IFERROR(__xludf.DUMMYFUNCTION("""COMPUTED_VALUE"""),303000.0)</f>
        <v>303000</v>
      </c>
      <c r="B607" s="2">
        <f>IFERROR(__xludf.DUMMYFUNCTION("""COMPUTED_VALUE"""),6060.0)</f>
        <v>6060</v>
      </c>
      <c r="C607" s="66">
        <f>IFERROR(__xludf.DUMMYFUNCTION("""COMPUTED_VALUE"""),1.83315E9)</f>
        <v>1833150000</v>
      </c>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2">
        <f>IFERROR(__xludf.DUMMYFUNCTION("""COMPUTED_VALUE"""),303500.0)</f>
        <v>303500</v>
      </c>
      <c r="B608" s="2">
        <f>IFERROR(__xludf.DUMMYFUNCTION("""COMPUTED_VALUE"""),6070.0)</f>
        <v>6070</v>
      </c>
      <c r="C608" s="66">
        <f>IFERROR(__xludf.DUMMYFUNCTION("""COMPUTED_VALUE"""),1.83921E9)</f>
        <v>1839210000</v>
      </c>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2">
        <f>IFERROR(__xludf.DUMMYFUNCTION("""COMPUTED_VALUE"""),304000.0)</f>
        <v>304000</v>
      </c>
      <c r="B609" s="2">
        <f>IFERROR(__xludf.DUMMYFUNCTION("""COMPUTED_VALUE"""),6080.0)</f>
        <v>6080</v>
      </c>
      <c r="C609" s="66">
        <f>IFERROR(__xludf.DUMMYFUNCTION("""COMPUTED_VALUE"""),1.84528E9)</f>
        <v>1845280000</v>
      </c>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2">
        <f>IFERROR(__xludf.DUMMYFUNCTION("""COMPUTED_VALUE"""),304500.0)</f>
        <v>304500</v>
      </c>
      <c r="B610" s="2">
        <f>IFERROR(__xludf.DUMMYFUNCTION("""COMPUTED_VALUE"""),6090.0)</f>
        <v>6090</v>
      </c>
      <c r="C610" s="66">
        <f>IFERROR(__xludf.DUMMYFUNCTION("""COMPUTED_VALUE"""),1.85136E9)</f>
        <v>1851360000</v>
      </c>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2">
        <f>IFERROR(__xludf.DUMMYFUNCTION("""COMPUTED_VALUE"""),305000.0)</f>
        <v>305000</v>
      </c>
      <c r="B611" s="2">
        <f>IFERROR(__xludf.DUMMYFUNCTION("""COMPUTED_VALUE"""),6100.0)</f>
        <v>6100</v>
      </c>
      <c r="C611" s="66">
        <f>IFERROR(__xludf.DUMMYFUNCTION("""COMPUTED_VALUE"""),1.85745E9)</f>
        <v>1857450000</v>
      </c>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2">
        <f>IFERROR(__xludf.DUMMYFUNCTION("""COMPUTED_VALUE"""),305500.0)</f>
        <v>305500</v>
      </c>
      <c r="B612" s="2">
        <f>IFERROR(__xludf.DUMMYFUNCTION("""COMPUTED_VALUE"""),6110.0)</f>
        <v>6110</v>
      </c>
      <c r="C612" s="66">
        <f>IFERROR(__xludf.DUMMYFUNCTION("""COMPUTED_VALUE"""),1.86355E9)</f>
        <v>1863550000</v>
      </c>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2">
        <f>IFERROR(__xludf.DUMMYFUNCTION("""COMPUTED_VALUE"""),306000.0)</f>
        <v>306000</v>
      </c>
      <c r="B613" s="2">
        <f>IFERROR(__xludf.DUMMYFUNCTION("""COMPUTED_VALUE"""),6120.0)</f>
        <v>6120</v>
      </c>
      <c r="C613" s="66">
        <f>IFERROR(__xludf.DUMMYFUNCTION("""COMPUTED_VALUE"""),1.86966E9)</f>
        <v>1869660000</v>
      </c>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2">
        <f>IFERROR(__xludf.DUMMYFUNCTION("""COMPUTED_VALUE"""),306500.0)</f>
        <v>306500</v>
      </c>
      <c r="B614" s="2">
        <f>IFERROR(__xludf.DUMMYFUNCTION("""COMPUTED_VALUE"""),6130.0)</f>
        <v>6130</v>
      </c>
      <c r="C614" s="66">
        <f>IFERROR(__xludf.DUMMYFUNCTION("""COMPUTED_VALUE"""),1.87578E9)</f>
        <v>1875780000</v>
      </c>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2">
        <f>IFERROR(__xludf.DUMMYFUNCTION("""COMPUTED_VALUE"""),307000.0)</f>
        <v>307000</v>
      </c>
      <c r="B615" s="2">
        <f>IFERROR(__xludf.DUMMYFUNCTION("""COMPUTED_VALUE"""),6140.0)</f>
        <v>6140</v>
      </c>
      <c r="C615" s="66">
        <f>IFERROR(__xludf.DUMMYFUNCTION("""COMPUTED_VALUE"""),1.88191E9)</f>
        <v>1881910000</v>
      </c>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2">
        <f>IFERROR(__xludf.DUMMYFUNCTION("""COMPUTED_VALUE"""),307500.0)</f>
        <v>307500</v>
      </c>
      <c r="B616" s="2">
        <f>IFERROR(__xludf.DUMMYFUNCTION("""COMPUTED_VALUE"""),6150.0)</f>
        <v>6150</v>
      </c>
      <c r="C616" s="66">
        <f>IFERROR(__xludf.DUMMYFUNCTION("""COMPUTED_VALUE"""),1.88805E9)</f>
        <v>1888050000</v>
      </c>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2">
        <f>IFERROR(__xludf.DUMMYFUNCTION("""COMPUTED_VALUE"""),308000.0)</f>
        <v>308000</v>
      </c>
      <c r="B617" s="2">
        <f>IFERROR(__xludf.DUMMYFUNCTION("""COMPUTED_VALUE"""),6160.0)</f>
        <v>6160</v>
      </c>
      <c r="C617" s="66">
        <f>IFERROR(__xludf.DUMMYFUNCTION("""COMPUTED_VALUE"""),1.8942E9)</f>
        <v>1894200000</v>
      </c>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2">
        <f>IFERROR(__xludf.DUMMYFUNCTION("""COMPUTED_VALUE"""),308500.0)</f>
        <v>308500</v>
      </c>
      <c r="B618" s="2">
        <f>IFERROR(__xludf.DUMMYFUNCTION("""COMPUTED_VALUE"""),6170.0)</f>
        <v>6170</v>
      </c>
      <c r="C618" s="66">
        <f>IFERROR(__xludf.DUMMYFUNCTION("""COMPUTED_VALUE"""),1.90036E9)</f>
        <v>1900360000</v>
      </c>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2">
        <f>IFERROR(__xludf.DUMMYFUNCTION("""COMPUTED_VALUE"""),309000.0)</f>
        <v>309000</v>
      </c>
      <c r="B619" s="2">
        <f>IFERROR(__xludf.DUMMYFUNCTION("""COMPUTED_VALUE"""),6180.0)</f>
        <v>6180</v>
      </c>
      <c r="C619" s="66">
        <f>IFERROR(__xludf.DUMMYFUNCTION("""COMPUTED_VALUE"""),1.90653E9)</f>
        <v>1906530000</v>
      </c>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2">
        <f>IFERROR(__xludf.DUMMYFUNCTION("""COMPUTED_VALUE"""),309500.0)</f>
        <v>309500</v>
      </c>
      <c r="B620" s="2">
        <f>IFERROR(__xludf.DUMMYFUNCTION("""COMPUTED_VALUE"""),6190.0)</f>
        <v>6190</v>
      </c>
      <c r="C620" s="66">
        <f>IFERROR(__xludf.DUMMYFUNCTION("""COMPUTED_VALUE"""),1.91271E9)</f>
        <v>1912710000</v>
      </c>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2">
        <f>IFERROR(__xludf.DUMMYFUNCTION("""COMPUTED_VALUE"""),310000.0)</f>
        <v>310000</v>
      </c>
      <c r="B621" s="2">
        <f>IFERROR(__xludf.DUMMYFUNCTION("""COMPUTED_VALUE"""),6200.0)</f>
        <v>6200</v>
      </c>
      <c r="C621" s="66">
        <f>IFERROR(__xludf.DUMMYFUNCTION("""COMPUTED_VALUE"""),1.9189E9)</f>
        <v>1918900000</v>
      </c>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2">
        <f>IFERROR(__xludf.DUMMYFUNCTION("""COMPUTED_VALUE"""),310500.0)</f>
        <v>310500</v>
      </c>
      <c r="B622" s="2">
        <f>IFERROR(__xludf.DUMMYFUNCTION("""COMPUTED_VALUE"""),6210.0)</f>
        <v>6210</v>
      </c>
      <c r="C622" s="66">
        <f>IFERROR(__xludf.DUMMYFUNCTION("""COMPUTED_VALUE"""),1.9251E9)</f>
        <v>1925100000</v>
      </c>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2">
        <f>IFERROR(__xludf.DUMMYFUNCTION("""COMPUTED_VALUE"""),311000.0)</f>
        <v>311000</v>
      </c>
      <c r="B623" s="2">
        <f>IFERROR(__xludf.DUMMYFUNCTION("""COMPUTED_VALUE"""),6220.0)</f>
        <v>6220</v>
      </c>
      <c r="C623" s="66">
        <f>IFERROR(__xludf.DUMMYFUNCTION("""COMPUTED_VALUE"""),1.93131E9)</f>
        <v>1931310000</v>
      </c>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2">
        <f>IFERROR(__xludf.DUMMYFUNCTION("""COMPUTED_VALUE"""),311500.0)</f>
        <v>311500</v>
      </c>
      <c r="B624" s="2">
        <f>IFERROR(__xludf.DUMMYFUNCTION("""COMPUTED_VALUE"""),6230.0)</f>
        <v>6230</v>
      </c>
      <c r="C624" s="66">
        <f>IFERROR(__xludf.DUMMYFUNCTION("""COMPUTED_VALUE"""),1.93753E9)</f>
        <v>1937530000</v>
      </c>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2">
        <f>IFERROR(__xludf.DUMMYFUNCTION("""COMPUTED_VALUE"""),312000.0)</f>
        <v>312000</v>
      </c>
      <c r="B625" s="2">
        <f>IFERROR(__xludf.DUMMYFUNCTION("""COMPUTED_VALUE"""),6240.0)</f>
        <v>6240</v>
      </c>
      <c r="C625" s="66">
        <f>IFERROR(__xludf.DUMMYFUNCTION("""COMPUTED_VALUE"""),1.94376E9)</f>
        <v>1943760000</v>
      </c>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2">
        <f>IFERROR(__xludf.DUMMYFUNCTION("""COMPUTED_VALUE"""),312500.0)</f>
        <v>312500</v>
      </c>
      <c r="B626" s="2">
        <f>IFERROR(__xludf.DUMMYFUNCTION("""COMPUTED_VALUE"""),6250.0)</f>
        <v>6250</v>
      </c>
      <c r="C626" s="66">
        <f>IFERROR(__xludf.DUMMYFUNCTION("""COMPUTED_VALUE"""),1.95E9)</f>
        <v>1950000000</v>
      </c>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2">
        <f>IFERROR(__xludf.DUMMYFUNCTION("""COMPUTED_VALUE"""),313000.0)</f>
        <v>313000</v>
      </c>
      <c r="B627" s="2">
        <f>IFERROR(__xludf.DUMMYFUNCTION("""COMPUTED_VALUE"""),6260.0)</f>
        <v>6260</v>
      </c>
      <c r="C627" s="66">
        <f>IFERROR(__xludf.DUMMYFUNCTION("""COMPUTED_VALUE"""),1.95625E9)</f>
        <v>1956250000</v>
      </c>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2">
        <f>IFERROR(__xludf.DUMMYFUNCTION("""COMPUTED_VALUE"""),313500.0)</f>
        <v>313500</v>
      </c>
      <c r="B628" s="2">
        <f>IFERROR(__xludf.DUMMYFUNCTION("""COMPUTED_VALUE"""),6270.0)</f>
        <v>6270</v>
      </c>
      <c r="C628" s="66">
        <f>IFERROR(__xludf.DUMMYFUNCTION("""COMPUTED_VALUE"""),1.96251E9)</f>
        <v>1962510000</v>
      </c>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2">
        <f>IFERROR(__xludf.DUMMYFUNCTION("""COMPUTED_VALUE"""),314000.0)</f>
        <v>314000</v>
      </c>
      <c r="B629" s="2">
        <f>IFERROR(__xludf.DUMMYFUNCTION("""COMPUTED_VALUE"""),6280.0)</f>
        <v>6280</v>
      </c>
      <c r="C629" s="66">
        <f>IFERROR(__xludf.DUMMYFUNCTION("""COMPUTED_VALUE"""),1.96878E9)</f>
        <v>1968780000</v>
      </c>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2">
        <f>IFERROR(__xludf.DUMMYFUNCTION("""COMPUTED_VALUE"""),314500.0)</f>
        <v>314500</v>
      </c>
      <c r="B630" s="2">
        <f>IFERROR(__xludf.DUMMYFUNCTION("""COMPUTED_VALUE"""),6290.0)</f>
        <v>6290</v>
      </c>
      <c r="C630" s="66">
        <f>IFERROR(__xludf.DUMMYFUNCTION("""COMPUTED_VALUE"""),1.97506E9)</f>
        <v>1975060000</v>
      </c>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2">
        <f>IFERROR(__xludf.DUMMYFUNCTION("""COMPUTED_VALUE"""),315000.0)</f>
        <v>315000</v>
      </c>
      <c r="B631" s="2">
        <f>IFERROR(__xludf.DUMMYFUNCTION("""COMPUTED_VALUE"""),6300.0)</f>
        <v>6300</v>
      </c>
      <c r="C631" s="66">
        <f>IFERROR(__xludf.DUMMYFUNCTION("""COMPUTED_VALUE"""),1.98135E9)</f>
        <v>1981350000</v>
      </c>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2">
        <f>IFERROR(__xludf.DUMMYFUNCTION("""COMPUTED_VALUE"""),315500.0)</f>
        <v>315500</v>
      </c>
      <c r="B632" s="2">
        <f>IFERROR(__xludf.DUMMYFUNCTION("""COMPUTED_VALUE"""),6310.0)</f>
        <v>6310</v>
      </c>
      <c r="C632" s="66">
        <f>IFERROR(__xludf.DUMMYFUNCTION("""COMPUTED_VALUE"""),1.98765E9)</f>
        <v>1987650000</v>
      </c>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2">
        <f>IFERROR(__xludf.DUMMYFUNCTION("""COMPUTED_VALUE"""),316000.0)</f>
        <v>316000</v>
      </c>
      <c r="B633" s="2">
        <f>IFERROR(__xludf.DUMMYFUNCTION("""COMPUTED_VALUE"""),6320.0)</f>
        <v>6320</v>
      </c>
      <c r="C633" s="66">
        <f>IFERROR(__xludf.DUMMYFUNCTION("""COMPUTED_VALUE"""),1.99396E9)</f>
        <v>1993960000</v>
      </c>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2">
        <f>IFERROR(__xludf.DUMMYFUNCTION("""COMPUTED_VALUE"""),316500.0)</f>
        <v>316500</v>
      </c>
      <c r="B634" s="2">
        <f>IFERROR(__xludf.DUMMYFUNCTION("""COMPUTED_VALUE"""),6330.0)</f>
        <v>6330</v>
      </c>
      <c r="C634" s="66">
        <f>IFERROR(__xludf.DUMMYFUNCTION("""COMPUTED_VALUE"""),2.00028E9)</f>
        <v>2000280000</v>
      </c>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2">
        <f>IFERROR(__xludf.DUMMYFUNCTION("""COMPUTED_VALUE"""),317000.0)</f>
        <v>317000</v>
      </c>
      <c r="B635" s="2">
        <f>IFERROR(__xludf.DUMMYFUNCTION("""COMPUTED_VALUE"""),6340.0)</f>
        <v>6340</v>
      </c>
      <c r="C635" s="66">
        <f>IFERROR(__xludf.DUMMYFUNCTION("""COMPUTED_VALUE"""),2.00661E9)</f>
        <v>2006610000</v>
      </c>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2">
        <f>IFERROR(__xludf.DUMMYFUNCTION("""COMPUTED_VALUE"""),317500.0)</f>
        <v>317500</v>
      </c>
      <c r="B636" s="2">
        <f>IFERROR(__xludf.DUMMYFUNCTION("""COMPUTED_VALUE"""),6350.0)</f>
        <v>6350</v>
      </c>
      <c r="C636" s="66">
        <f>IFERROR(__xludf.DUMMYFUNCTION("""COMPUTED_VALUE"""),2.01295E9)</f>
        <v>2012950000</v>
      </c>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2">
        <f>IFERROR(__xludf.DUMMYFUNCTION("""COMPUTED_VALUE"""),318000.0)</f>
        <v>318000</v>
      </c>
      <c r="B637" s="2">
        <f>IFERROR(__xludf.DUMMYFUNCTION("""COMPUTED_VALUE"""),6360.0)</f>
        <v>6360</v>
      </c>
      <c r="C637" s="66">
        <f>IFERROR(__xludf.DUMMYFUNCTION("""COMPUTED_VALUE"""),2.0193E9)</f>
        <v>2019300000</v>
      </c>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2">
        <f>IFERROR(__xludf.DUMMYFUNCTION("""COMPUTED_VALUE"""),318500.0)</f>
        <v>318500</v>
      </c>
      <c r="B638" s="2">
        <f>IFERROR(__xludf.DUMMYFUNCTION("""COMPUTED_VALUE"""),6370.0)</f>
        <v>6370</v>
      </c>
      <c r="C638" s="66">
        <f>IFERROR(__xludf.DUMMYFUNCTION("""COMPUTED_VALUE"""),2.02566E9)</f>
        <v>2025660000</v>
      </c>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2">
        <f>IFERROR(__xludf.DUMMYFUNCTION("""COMPUTED_VALUE"""),319000.0)</f>
        <v>319000</v>
      </c>
      <c r="B639" s="2">
        <f>IFERROR(__xludf.DUMMYFUNCTION("""COMPUTED_VALUE"""),6380.0)</f>
        <v>6380</v>
      </c>
      <c r="C639" s="66">
        <f>IFERROR(__xludf.DUMMYFUNCTION("""COMPUTED_VALUE"""),2.03203E9)</f>
        <v>2032030000</v>
      </c>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2">
        <f>IFERROR(__xludf.DUMMYFUNCTION("""COMPUTED_VALUE"""),319500.0)</f>
        <v>319500</v>
      </c>
      <c r="B640" s="2">
        <f>IFERROR(__xludf.DUMMYFUNCTION("""COMPUTED_VALUE"""),6390.0)</f>
        <v>6390</v>
      </c>
      <c r="C640" s="66">
        <f>IFERROR(__xludf.DUMMYFUNCTION("""COMPUTED_VALUE"""),2.03841E9)</f>
        <v>2038410000</v>
      </c>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2">
        <f>IFERROR(__xludf.DUMMYFUNCTION("""COMPUTED_VALUE"""),320000.0)</f>
        <v>320000</v>
      </c>
      <c r="B641" s="2">
        <f>IFERROR(__xludf.DUMMYFUNCTION("""COMPUTED_VALUE"""),6400.0)</f>
        <v>6400</v>
      </c>
      <c r="C641" s="66">
        <f>IFERROR(__xludf.DUMMYFUNCTION("""COMPUTED_VALUE"""),2.0448E9)</f>
        <v>2044800000</v>
      </c>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2">
        <f>IFERROR(__xludf.DUMMYFUNCTION("""COMPUTED_VALUE"""),320500.0)</f>
        <v>320500</v>
      </c>
      <c r="B642" s="2">
        <f>IFERROR(__xludf.DUMMYFUNCTION("""COMPUTED_VALUE"""),6410.0)</f>
        <v>6410</v>
      </c>
      <c r="C642" s="66">
        <f>IFERROR(__xludf.DUMMYFUNCTION("""COMPUTED_VALUE"""),2.0512E9)</f>
        <v>2051200000</v>
      </c>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2">
        <f>IFERROR(__xludf.DUMMYFUNCTION("""COMPUTED_VALUE"""),321000.0)</f>
        <v>321000</v>
      </c>
      <c r="B643" s="2">
        <f>IFERROR(__xludf.DUMMYFUNCTION("""COMPUTED_VALUE"""),6420.0)</f>
        <v>6420</v>
      </c>
      <c r="C643" s="66">
        <f>IFERROR(__xludf.DUMMYFUNCTION("""COMPUTED_VALUE"""),2.05761E9)</f>
        <v>2057610000</v>
      </c>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2">
        <f>IFERROR(__xludf.DUMMYFUNCTION("""COMPUTED_VALUE"""),321500.0)</f>
        <v>321500</v>
      </c>
      <c r="B644" s="2">
        <f>IFERROR(__xludf.DUMMYFUNCTION("""COMPUTED_VALUE"""),6430.0)</f>
        <v>6430</v>
      </c>
      <c r="C644" s="66">
        <f>IFERROR(__xludf.DUMMYFUNCTION("""COMPUTED_VALUE"""),2.06403E9)</f>
        <v>2064030000</v>
      </c>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2">
        <f>IFERROR(__xludf.DUMMYFUNCTION("""COMPUTED_VALUE"""),322000.0)</f>
        <v>322000</v>
      </c>
      <c r="B645" s="2">
        <f>IFERROR(__xludf.DUMMYFUNCTION("""COMPUTED_VALUE"""),6440.0)</f>
        <v>6440</v>
      </c>
      <c r="C645" s="66">
        <f>IFERROR(__xludf.DUMMYFUNCTION("""COMPUTED_VALUE"""),2.07046E9)</f>
        <v>2070460000</v>
      </c>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2">
        <f>IFERROR(__xludf.DUMMYFUNCTION("""COMPUTED_VALUE"""),322500.0)</f>
        <v>322500</v>
      </c>
      <c r="B646" s="2">
        <f>IFERROR(__xludf.DUMMYFUNCTION("""COMPUTED_VALUE"""),6450.0)</f>
        <v>6450</v>
      </c>
      <c r="C646" s="66">
        <f>IFERROR(__xludf.DUMMYFUNCTION("""COMPUTED_VALUE"""),2.0769E9)</f>
        <v>2076900000</v>
      </c>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2">
        <f>IFERROR(__xludf.DUMMYFUNCTION("""COMPUTED_VALUE"""),323000.0)</f>
        <v>323000</v>
      </c>
      <c r="B647" s="2">
        <f>IFERROR(__xludf.DUMMYFUNCTION("""COMPUTED_VALUE"""),6460.0)</f>
        <v>6460</v>
      </c>
      <c r="C647" s="66">
        <f>IFERROR(__xludf.DUMMYFUNCTION("""COMPUTED_VALUE"""),2.08335E9)</f>
        <v>2083350000</v>
      </c>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2">
        <f>IFERROR(__xludf.DUMMYFUNCTION("""COMPUTED_VALUE"""),323500.0)</f>
        <v>323500</v>
      </c>
      <c r="B648" s="2">
        <f>IFERROR(__xludf.DUMMYFUNCTION("""COMPUTED_VALUE"""),6470.0)</f>
        <v>6470</v>
      </c>
      <c r="C648" s="66">
        <f>IFERROR(__xludf.DUMMYFUNCTION("""COMPUTED_VALUE"""),2.08981E9)</f>
        <v>2089810000</v>
      </c>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2">
        <f>IFERROR(__xludf.DUMMYFUNCTION("""COMPUTED_VALUE"""),324000.0)</f>
        <v>324000</v>
      </c>
      <c r="B649" s="2">
        <f>IFERROR(__xludf.DUMMYFUNCTION("""COMPUTED_VALUE"""),6480.0)</f>
        <v>6480</v>
      </c>
      <c r="C649" s="66">
        <f>IFERROR(__xludf.DUMMYFUNCTION("""COMPUTED_VALUE"""),2.09628E9)</f>
        <v>2096280000</v>
      </c>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2">
        <f>IFERROR(__xludf.DUMMYFUNCTION("""COMPUTED_VALUE"""),324500.0)</f>
        <v>324500</v>
      </c>
      <c r="B650" s="2">
        <f>IFERROR(__xludf.DUMMYFUNCTION("""COMPUTED_VALUE"""),6490.0)</f>
        <v>6490</v>
      </c>
      <c r="C650" s="66">
        <f>IFERROR(__xludf.DUMMYFUNCTION("""COMPUTED_VALUE"""),2.10276E9)</f>
        <v>2102760000</v>
      </c>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2">
        <f>IFERROR(__xludf.DUMMYFUNCTION("""COMPUTED_VALUE"""),325000.0)</f>
        <v>325000</v>
      </c>
      <c r="B651" s="2">
        <f>IFERROR(__xludf.DUMMYFUNCTION("""COMPUTED_VALUE"""),6500.0)</f>
        <v>6500</v>
      </c>
      <c r="C651" s="66">
        <f>IFERROR(__xludf.DUMMYFUNCTION("""COMPUTED_VALUE"""),2.10925E9)</f>
        <v>2109250000</v>
      </c>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2">
        <f>IFERROR(__xludf.DUMMYFUNCTION("""COMPUTED_VALUE"""),325500.0)</f>
        <v>325500</v>
      </c>
      <c r="B652" s="2">
        <f>IFERROR(__xludf.DUMMYFUNCTION("""COMPUTED_VALUE"""),6510.0)</f>
        <v>6510</v>
      </c>
      <c r="C652" s="66">
        <f>IFERROR(__xludf.DUMMYFUNCTION("""COMPUTED_VALUE"""),2.11575E9)</f>
        <v>2115750000</v>
      </c>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2">
        <f>IFERROR(__xludf.DUMMYFUNCTION("""COMPUTED_VALUE"""),326000.0)</f>
        <v>326000</v>
      </c>
      <c r="B653" s="2">
        <f>IFERROR(__xludf.DUMMYFUNCTION("""COMPUTED_VALUE"""),6520.0)</f>
        <v>6520</v>
      </c>
      <c r="C653" s="66">
        <f>IFERROR(__xludf.DUMMYFUNCTION("""COMPUTED_VALUE"""),2.12226E9)</f>
        <v>2122260000</v>
      </c>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2">
        <f>IFERROR(__xludf.DUMMYFUNCTION("""COMPUTED_VALUE"""),326500.0)</f>
        <v>326500</v>
      </c>
      <c r="B654" s="2">
        <f>IFERROR(__xludf.DUMMYFUNCTION("""COMPUTED_VALUE"""),6530.0)</f>
        <v>6530</v>
      </c>
      <c r="C654" s="66">
        <f>IFERROR(__xludf.DUMMYFUNCTION("""COMPUTED_VALUE"""),2.12878E9)</f>
        <v>2128780000</v>
      </c>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2">
        <f>IFERROR(__xludf.DUMMYFUNCTION("""COMPUTED_VALUE"""),327000.0)</f>
        <v>327000</v>
      </c>
      <c r="B655" s="2">
        <f>IFERROR(__xludf.DUMMYFUNCTION("""COMPUTED_VALUE"""),6540.0)</f>
        <v>6540</v>
      </c>
      <c r="C655" s="66">
        <f>IFERROR(__xludf.DUMMYFUNCTION("""COMPUTED_VALUE"""),2.13531E9)</f>
        <v>2135310000</v>
      </c>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2">
        <f>IFERROR(__xludf.DUMMYFUNCTION("""COMPUTED_VALUE"""),327500.0)</f>
        <v>327500</v>
      </c>
      <c r="B656" s="2">
        <f>IFERROR(__xludf.DUMMYFUNCTION("""COMPUTED_VALUE"""),6550.0)</f>
        <v>6550</v>
      </c>
      <c r="C656" s="66">
        <f>IFERROR(__xludf.DUMMYFUNCTION("""COMPUTED_VALUE"""),2.14185E9)</f>
        <v>2141850000</v>
      </c>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2">
        <f>IFERROR(__xludf.DUMMYFUNCTION("""COMPUTED_VALUE"""),328000.0)</f>
        <v>328000</v>
      </c>
      <c r="B657" s="2">
        <f>IFERROR(__xludf.DUMMYFUNCTION("""COMPUTED_VALUE"""),6560.0)</f>
        <v>6560</v>
      </c>
      <c r="C657" s="66">
        <f>IFERROR(__xludf.DUMMYFUNCTION("""COMPUTED_VALUE"""),2.1484E9)</f>
        <v>2148400000</v>
      </c>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2">
        <f>IFERROR(__xludf.DUMMYFUNCTION("""COMPUTED_VALUE"""),328500.0)</f>
        <v>328500</v>
      </c>
      <c r="B658" s="2">
        <f>IFERROR(__xludf.DUMMYFUNCTION("""COMPUTED_VALUE"""),6570.0)</f>
        <v>6570</v>
      </c>
      <c r="C658" s="66">
        <f>IFERROR(__xludf.DUMMYFUNCTION("""COMPUTED_VALUE"""),2.15496E9)</f>
        <v>2154960000</v>
      </c>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2">
        <f>IFERROR(__xludf.DUMMYFUNCTION("""COMPUTED_VALUE"""),329000.0)</f>
        <v>329000</v>
      </c>
      <c r="B659" s="2">
        <f>IFERROR(__xludf.DUMMYFUNCTION("""COMPUTED_VALUE"""),6580.0)</f>
        <v>6580</v>
      </c>
      <c r="C659" s="66">
        <f>IFERROR(__xludf.DUMMYFUNCTION("""COMPUTED_VALUE"""),2.16153E9)</f>
        <v>2161530000</v>
      </c>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2">
        <f>IFERROR(__xludf.DUMMYFUNCTION("""COMPUTED_VALUE"""),329500.0)</f>
        <v>329500</v>
      </c>
      <c r="B660" s="2">
        <f>IFERROR(__xludf.DUMMYFUNCTION("""COMPUTED_VALUE"""),6590.0)</f>
        <v>6590</v>
      </c>
      <c r="C660" s="66">
        <f>IFERROR(__xludf.DUMMYFUNCTION("""COMPUTED_VALUE"""),2.16811E9)</f>
        <v>2168110000</v>
      </c>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2">
        <f>IFERROR(__xludf.DUMMYFUNCTION("""COMPUTED_VALUE"""),330000.0)</f>
        <v>330000</v>
      </c>
      <c r="B661" s="2">
        <f>IFERROR(__xludf.DUMMYFUNCTION("""COMPUTED_VALUE"""),6600.0)</f>
        <v>6600</v>
      </c>
      <c r="C661" s="66">
        <f>IFERROR(__xludf.DUMMYFUNCTION("""COMPUTED_VALUE"""),2.1747E9)</f>
        <v>2174700000</v>
      </c>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2">
        <f>IFERROR(__xludf.DUMMYFUNCTION("""COMPUTED_VALUE"""),330500.0)</f>
        <v>330500</v>
      </c>
      <c r="B662" s="2">
        <f>IFERROR(__xludf.DUMMYFUNCTION("""COMPUTED_VALUE"""),6610.0)</f>
        <v>6610</v>
      </c>
      <c r="C662" s="66">
        <f>IFERROR(__xludf.DUMMYFUNCTION("""COMPUTED_VALUE"""),2.1813E9)</f>
        <v>2181300000</v>
      </c>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2">
        <f>IFERROR(__xludf.DUMMYFUNCTION("""COMPUTED_VALUE"""),331000.0)</f>
        <v>331000</v>
      </c>
      <c r="B663" s="2">
        <f>IFERROR(__xludf.DUMMYFUNCTION("""COMPUTED_VALUE"""),6620.0)</f>
        <v>6620</v>
      </c>
      <c r="C663" s="66">
        <f>IFERROR(__xludf.DUMMYFUNCTION("""COMPUTED_VALUE"""),2.18791E9)</f>
        <v>2187910000</v>
      </c>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2">
        <f>IFERROR(__xludf.DUMMYFUNCTION("""COMPUTED_VALUE"""),331500.0)</f>
        <v>331500</v>
      </c>
      <c r="B664" s="2">
        <f>IFERROR(__xludf.DUMMYFUNCTION("""COMPUTED_VALUE"""),6630.0)</f>
        <v>6630</v>
      </c>
      <c r="C664" s="66">
        <f>IFERROR(__xludf.DUMMYFUNCTION("""COMPUTED_VALUE"""),2.19453E9)</f>
        <v>2194530000</v>
      </c>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2">
        <f>IFERROR(__xludf.DUMMYFUNCTION("""COMPUTED_VALUE"""),332000.0)</f>
        <v>332000</v>
      </c>
      <c r="B665" s="2">
        <f>IFERROR(__xludf.DUMMYFUNCTION("""COMPUTED_VALUE"""),6640.0)</f>
        <v>6640</v>
      </c>
      <c r="C665" s="66">
        <f>IFERROR(__xludf.DUMMYFUNCTION("""COMPUTED_VALUE"""),2.20116E9)</f>
        <v>2201160000</v>
      </c>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2">
        <f>IFERROR(__xludf.DUMMYFUNCTION("""COMPUTED_VALUE"""),332500.0)</f>
        <v>332500</v>
      </c>
      <c r="B666" s="2">
        <f>IFERROR(__xludf.DUMMYFUNCTION("""COMPUTED_VALUE"""),6650.0)</f>
        <v>6650</v>
      </c>
      <c r="C666" s="66">
        <f>IFERROR(__xludf.DUMMYFUNCTION("""COMPUTED_VALUE"""),2.2078E9)</f>
        <v>2207800000</v>
      </c>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2">
        <f>IFERROR(__xludf.DUMMYFUNCTION("""COMPUTED_VALUE"""),333000.0)</f>
        <v>333000</v>
      </c>
      <c r="B667" s="2">
        <f>IFERROR(__xludf.DUMMYFUNCTION("""COMPUTED_VALUE"""),6660.0)</f>
        <v>6660</v>
      </c>
      <c r="C667" s="66">
        <f>IFERROR(__xludf.DUMMYFUNCTION("""COMPUTED_VALUE"""),2.21445E9)</f>
        <v>2214450000</v>
      </c>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2">
        <f>IFERROR(__xludf.DUMMYFUNCTION("""COMPUTED_VALUE"""),333500.0)</f>
        <v>333500</v>
      </c>
      <c r="B668" s="2">
        <f>IFERROR(__xludf.DUMMYFUNCTION("""COMPUTED_VALUE"""),6670.0)</f>
        <v>6670</v>
      </c>
      <c r="C668" s="66">
        <f>IFERROR(__xludf.DUMMYFUNCTION("""COMPUTED_VALUE"""),2.22111E9)</f>
        <v>2221110000</v>
      </c>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2">
        <f>IFERROR(__xludf.DUMMYFUNCTION("""COMPUTED_VALUE"""),334000.0)</f>
        <v>334000</v>
      </c>
      <c r="B669" s="2">
        <f>IFERROR(__xludf.DUMMYFUNCTION("""COMPUTED_VALUE"""),6680.0)</f>
        <v>6680</v>
      </c>
      <c r="C669" s="66">
        <f>IFERROR(__xludf.DUMMYFUNCTION("""COMPUTED_VALUE"""),2.22778E9)</f>
        <v>2227780000</v>
      </c>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2">
        <f>IFERROR(__xludf.DUMMYFUNCTION("""COMPUTED_VALUE"""),334500.0)</f>
        <v>334500</v>
      </c>
      <c r="B670" s="2">
        <f>IFERROR(__xludf.DUMMYFUNCTION("""COMPUTED_VALUE"""),6690.0)</f>
        <v>6690</v>
      </c>
      <c r="C670" s="66">
        <f>IFERROR(__xludf.DUMMYFUNCTION("""COMPUTED_VALUE"""),2.23446E9)</f>
        <v>2234460000</v>
      </c>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2">
        <f>IFERROR(__xludf.DUMMYFUNCTION("""COMPUTED_VALUE"""),335000.0)</f>
        <v>335000</v>
      </c>
      <c r="B671" s="2">
        <f>IFERROR(__xludf.DUMMYFUNCTION("""COMPUTED_VALUE"""),6700.0)</f>
        <v>6700</v>
      </c>
      <c r="C671" s="66">
        <f>IFERROR(__xludf.DUMMYFUNCTION("""COMPUTED_VALUE"""),2.24115E9)</f>
        <v>2241150000</v>
      </c>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2">
        <f>IFERROR(__xludf.DUMMYFUNCTION("""COMPUTED_VALUE"""),335500.0)</f>
        <v>335500</v>
      </c>
      <c r="B672" s="2">
        <f>IFERROR(__xludf.DUMMYFUNCTION("""COMPUTED_VALUE"""),6710.0)</f>
        <v>6710</v>
      </c>
      <c r="C672" s="66">
        <f>IFERROR(__xludf.DUMMYFUNCTION("""COMPUTED_VALUE"""),2.24785E9)</f>
        <v>2247850000</v>
      </c>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2">
        <f>IFERROR(__xludf.DUMMYFUNCTION("""COMPUTED_VALUE"""),336000.0)</f>
        <v>336000</v>
      </c>
      <c r="B673" s="2">
        <f>IFERROR(__xludf.DUMMYFUNCTION("""COMPUTED_VALUE"""),6720.0)</f>
        <v>6720</v>
      </c>
      <c r="C673" s="66">
        <f>IFERROR(__xludf.DUMMYFUNCTION("""COMPUTED_VALUE"""),2.25456E9)</f>
        <v>2254560000</v>
      </c>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2">
        <f>IFERROR(__xludf.DUMMYFUNCTION("""COMPUTED_VALUE"""),336500.0)</f>
        <v>336500</v>
      </c>
      <c r="B674" s="2">
        <f>IFERROR(__xludf.DUMMYFUNCTION("""COMPUTED_VALUE"""),6730.0)</f>
        <v>6730</v>
      </c>
      <c r="C674" s="66">
        <f>IFERROR(__xludf.DUMMYFUNCTION("""COMPUTED_VALUE"""),2.26128E9)</f>
        <v>2261280000</v>
      </c>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2">
        <f>IFERROR(__xludf.DUMMYFUNCTION("""COMPUTED_VALUE"""),337000.0)</f>
        <v>337000</v>
      </c>
      <c r="B675" s="2">
        <f>IFERROR(__xludf.DUMMYFUNCTION("""COMPUTED_VALUE"""),6740.0)</f>
        <v>6740</v>
      </c>
      <c r="C675" s="66">
        <f>IFERROR(__xludf.DUMMYFUNCTION("""COMPUTED_VALUE"""),2.26801E9)</f>
        <v>2268010000</v>
      </c>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2">
        <f>IFERROR(__xludf.DUMMYFUNCTION("""COMPUTED_VALUE"""),337500.0)</f>
        <v>337500</v>
      </c>
      <c r="B676" s="2">
        <f>IFERROR(__xludf.DUMMYFUNCTION("""COMPUTED_VALUE"""),6750.0)</f>
        <v>6750</v>
      </c>
      <c r="C676" s="66">
        <f>IFERROR(__xludf.DUMMYFUNCTION("""COMPUTED_VALUE"""),2.27475E9)</f>
        <v>2274750000</v>
      </c>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2">
        <f>IFERROR(__xludf.DUMMYFUNCTION("""COMPUTED_VALUE"""),338000.0)</f>
        <v>338000</v>
      </c>
      <c r="B677" s="2">
        <f>IFERROR(__xludf.DUMMYFUNCTION("""COMPUTED_VALUE"""),6760.0)</f>
        <v>6760</v>
      </c>
      <c r="C677" s="66">
        <f>IFERROR(__xludf.DUMMYFUNCTION("""COMPUTED_VALUE"""),2.2815E9)</f>
        <v>2281500000</v>
      </c>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2">
        <f>IFERROR(__xludf.DUMMYFUNCTION("""COMPUTED_VALUE"""),338500.0)</f>
        <v>338500</v>
      </c>
      <c r="B678" s="2">
        <f>IFERROR(__xludf.DUMMYFUNCTION("""COMPUTED_VALUE"""),6770.0)</f>
        <v>6770</v>
      </c>
      <c r="C678" s="66">
        <f>IFERROR(__xludf.DUMMYFUNCTION("""COMPUTED_VALUE"""),2.28826E9)</f>
        <v>2288260000</v>
      </c>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2">
        <f>IFERROR(__xludf.DUMMYFUNCTION("""COMPUTED_VALUE"""),339000.0)</f>
        <v>339000</v>
      </c>
      <c r="B679" s="2">
        <f>IFERROR(__xludf.DUMMYFUNCTION("""COMPUTED_VALUE"""),6780.0)</f>
        <v>6780</v>
      </c>
      <c r="C679" s="66">
        <f>IFERROR(__xludf.DUMMYFUNCTION("""COMPUTED_VALUE"""),2.29503E9)</f>
        <v>2295030000</v>
      </c>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2">
        <f>IFERROR(__xludf.DUMMYFUNCTION("""COMPUTED_VALUE"""),339500.0)</f>
        <v>339500</v>
      </c>
      <c r="B680" s="2">
        <f>IFERROR(__xludf.DUMMYFUNCTION("""COMPUTED_VALUE"""),6790.0)</f>
        <v>6790</v>
      </c>
      <c r="C680" s="66">
        <f>IFERROR(__xludf.DUMMYFUNCTION("""COMPUTED_VALUE"""),2.30181E9)</f>
        <v>2301810000</v>
      </c>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2">
        <f>IFERROR(__xludf.DUMMYFUNCTION("""COMPUTED_VALUE"""),340000.0)</f>
        <v>340000</v>
      </c>
      <c r="B681" s="2">
        <f>IFERROR(__xludf.DUMMYFUNCTION("""COMPUTED_VALUE"""),6800.0)</f>
        <v>6800</v>
      </c>
      <c r="C681" s="66">
        <f>IFERROR(__xludf.DUMMYFUNCTION("""COMPUTED_VALUE"""),2.3086E9)</f>
        <v>2308600000</v>
      </c>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2">
        <f>IFERROR(__xludf.DUMMYFUNCTION("""COMPUTED_VALUE"""),340500.0)</f>
        <v>340500</v>
      </c>
      <c r="B682" s="2">
        <f>IFERROR(__xludf.DUMMYFUNCTION("""COMPUTED_VALUE"""),6810.0)</f>
        <v>6810</v>
      </c>
      <c r="C682" s="66">
        <f>IFERROR(__xludf.DUMMYFUNCTION("""COMPUTED_VALUE"""),2.3154E9)</f>
        <v>2315400000</v>
      </c>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2">
        <f>IFERROR(__xludf.DUMMYFUNCTION("""COMPUTED_VALUE"""),341000.0)</f>
        <v>341000</v>
      </c>
      <c r="B683" s="2">
        <f>IFERROR(__xludf.DUMMYFUNCTION("""COMPUTED_VALUE"""),6820.0)</f>
        <v>6820</v>
      </c>
      <c r="C683" s="66">
        <f>IFERROR(__xludf.DUMMYFUNCTION("""COMPUTED_VALUE"""),2.32221E9)</f>
        <v>2322210000</v>
      </c>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2">
        <f>IFERROR(__xludf.DUMMYFUNCTION("""COMPUTED_VALUE"""),341500.0)</f>
        <v>341500</v>
      </c>
      <c r="B684" s="2">
        <f>IFERROR(__xludf.DUMMYFUNCTION("""COMPUTED_VALUE"""),6830.0)</f>
        <v>6830</v>
      </c>
      <c r="C684" s="66">
        <f>IFERROR(__xludf.DUMMYFUNCTION("""COMPUTED_VALUE"""),2.32903E9)</f>
        <v>2329030000</v>
      </c>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2">
        <f>IFERROR(__xludf.DUMMYFUNCTION("""COMPUTED_VALUE"""),342000.0)</f>
        <v>342000</v>
      </c>
      <c r="B685" s="2">
        <f>IFERROR(__xludf.DUMMYFUNCTION("""COMPUTED_VALUE"""),6840.0)</f>
        <v>6840</v>
      </c>
      <c r="C685" s="66">
        <f>IFERROR(__xludf.DUMMYFUNCTION("""COMPUTED_VALUE"""),2.33586E9)</f>
        <v>2335860000</v>
      </c>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2">
        <f>IFERROR(__xludf.DUMMYFUNCTION("""COMPUTED_VALUE"""),342500.0)</f>
        <v>342500</v>
      </c>
      <c r="B686" s="2">
        <f>IFERROR(__xludf.DUMMYFUNCTION("""COMPUTED_VALUE"""),6850.0)</f>
        <v>6850</v>
      </c>
      <c r="C686" s="66">
        <f>IFERROR(__xludf.DUMMYFUNCTION("""COMPUTED_VALUE"""),2.3427E9)</f>
        <v>2342700000</v>
      </c>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2">
        <f>IFERROR(__xludf.DUMMYFUNCTION("""COMPUTED_VALUE"""),343000.0)</f>
        <v>343000</v>
      </c>
      <c r="B687" s="2">
        <f>IFERROR(__xludf.DUMMYFUNCTION("""COMPUTED_VALUE"""),6860.0)</f>
        <v>6860</v>
      </c>
      <c r="C687" s="66">
        <f>IFERROR(__xludf.DUMMYFUNCTION("""COMPUTED_VALUE"""),2.34955E9)</f>
        <v>2349550000</v>
      </c>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2">
        <f>IFERROR(__xludf.DUMMYFUNCTION("""COMPUTED_VALUE"""),343500.0)</f>
        <v>343500</v>
      </c>
      <c r="B688" s="2">
        <f>IFERROR(__xludf.DUMMYFUNCTION("""COMPUTED_VALUE"""),6870.0)</f>
        <v>6870</v>
      </c>
      <c r="C688" s="66">
        <f>IFERROR(__xludf.DUMMYFUNCTION("""COMPUTED_VALUE"""),2.35641E9)</f>
        <v>2356410000</v>
      </c>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2">
        <f>IFERROR(__xludf.DUMMYFUNCTION("""COMPUTED_VALUE"""),344000.0)</f>
        <v>344000</v>
      </c>
      <c r="B689" s="2">
        <f>IFERROR(__xludf.DUMMYFUNCTION("""COMPUTED_VALUE"""),6880.0)</f>
        <v>6880</v>
      </c>
      <c r="C689" s="66">
        <f>IFERROR(__xludf.DUMMYFUNCTION("""COMPUTED_VALUE"""),2.36328E9)</f>
        <v>2363280000</v>
      </c>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2">
        <f>IFERROR(__xludf.DUMMYFUNCTION("""COMPUTED_VALUE"""),344500.0)</f>
        <v>344500</v>
      </c>
      <c r="B690" s="2">
        <f>IFERROR(__xludf.DUMMYFUNCTION("""COMPUTED_VALUE"""),6890.0)</f>
        <v>6890</v>
      </c>
      <c r="C690" s="66">
        <f>IFERROR(__xludf.DUMMYFUNCTION("""COMPUTED_VALUE"""),2.37016E9)</f>
        <v>2370160000</v>
      </c>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2">
        <f>IFERROR(__xludf.DUMMYFUNCTION("""COMPUTED_VALUE"""),345000.0)</f>
        <v>345000</v>
      </c>
      <c r="B691" s="2">
        <f>IFERROR(__xludf.DUMMYFUNCTION("""COMPUTED_VALUE"""),6900.0)</f>
        <v>6900</v>
      </c>
      <c r="C691" s="66">
        <f>IFERROR(__xludf.DUMMYFUNCTION("""COMPUTED_VALUE"""),2.37705E9)</f>
        <v>2377050000</v>
      </c>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2">
        <f>IFERROR(__xludf.DUMMYFUNCTION("""COMPUTED_VALUE"""),345500.0)</f>
        <v>345500</v>
      </c>
      <c r="B692" s="2">
        <f>IFERROR(__xludf.DUMMYFUNCTION("""COMPUTED_VALUE"""),6910.0)</f>
        <v>6910</v>
      </c>
      <c r="C692" s="66">
        <f>IFERROR(__xludf.DUMMYFUNCTION("""COMPUTED_VALUE"""),2.38395E9)</f>
        <v>2383950000</v>
      </c>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2">
        <f>IFERROR(__xludf.DUMMYFUNCTION("""COMPUTED_VALUE"""),346000.0)</f>
        <v>346000</v>
      </c>
      <c r="B693" s="2">
        <f>IFERROR(__xludf.DUMMYFUNCTION("""COMPUTED_VALUE"""),6920.0)</f>
        <v>6920</v>
      </c>
      <c r="C693" s="66">
        <f>IFERROR(__xludf.DUMMYFUNCTION("""COMPUTED_VALUE"""),2.39086E9)</f>
        <v>2390860000</v>
      </c>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2">
        <f>IFERROR(__xludf.DUMMYFUNCTION("""COMPUTED_VALUE"""),346500.0)</f>
        <v>346500</v>
      </c>
      <c r="B694" s="2">
        <f>IFERROR(__xludf.DUMMYFUNCTION("""COMPUTED_VALUE"""),6930.0)</f>
        <v>6930</v>
      </c>
      <c r="C694" s="66">
        <f>IFERROR(__xludf.DUMMYFUNCTION("""COMPUTED_VALUE"""),2.39778E9)</f>
        <v>2397780000</v>
      </c>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2">
        <f>IFERROR(__xludf.DUMMYFUNCTION("""COMPUTED_VALUE"""),347000.0)</f>
        <v>347000</v>
      </c>
      <c r="B695" s="2">
        <f>IFERROR(__xludf.DUMMYFUNCTION("""COMPUTED_VALUE"""),6940.0)</f>
        <v>6940</v>
      </c>
      <c r="C695" s="66">
        <f>IFERROR(__xludf.DUMMYFUNCTION("""COMPUTED_VALUE"""),2.40471E9)</f>
        <v>2404710000</v>
      </c>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2">
        <f>IFERROR(__xludf.DUMMYFUNCTION("""COMPUTED_VALUE"""),347500.0)</f>
        <v>347500</v>
      </c>
      <c r="B696" s="2">
        <f>IFERROR(__xludf.DUMMYFUNCTION("""COMPUTED_VALUE"""),6950.0)</f>
        <v>6950</v>
      </c>
      <c r="C696" s="66">
        <f>IFERROR(__xludf.DUMMYFUNCTION("""COMPUTED_VALUE"""),2.41165E9)</f>
        <v>2411650000</v>
      </c>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2">
        <f>IFERROR(__xludf.DUMMYFUNCTION("""COMPUTED_VALUE"""),348000.0)</f>
        <v>348000</v>
      </c>
      <c r="B697" s="2">
        <f>IFERROR(__xludf.DUMMYFUNCTION("""COMPUTED_VALUE"""),6960.0)</f>
        <v>6960</v>
      </c>
      <c r="C697" s="66">
        <f>IFERROR(__xludf.DUMMYFUNCTION("""COMPUTED_VALUE"""),2.4186E9)</f>
        <v>2418600000</v>
      </c>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2">
        <f>IFERROR(__xludf.DUMMYFUNCTION("""COMPUTED_VALUE"""),348500.0)</f>
        <v>348500</v>
      </c>
      <c r="B698" s="2">
        <f>IFERROR(__xludf.DUMMYFUNCTION("""COMPUTED_VALUE"""),6970.0)</f>
        <v>6970</v>
      </c>
      <c r="C698" s="66">
        <f>IFERROR(__xludf.DUMMYFUNCTION("""COMPUTED_VALUE"""),2.42556E9)</f>
        <v>2425560000</v>
      </c>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2">
        <f>IFERROR(__xludf.DUMMYFUNCTION("""COMPUTED_VALUE"""),349000.0)</f>
        <v>349000</v>
      </c>
      <c r="B699" s="2">
        <f>IFERROR(__xludf.DUMMYFUNCTION("""COMPUTED_VALUE"""),6980.0)</f>
        <v>6980</v>
      </c>
      <c r="C699" s="66">
        <f>IFERROR(__xludf.DUMMYFUNCTION("""COMPUTED_VALUE"""),2.43253E9)</f>
        <v>2432530000</v>
      </c>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2">
        <f>IFERROR(__xludf.DUMMYFUNCTION("""COMPUTED_VALUE"""),349500.0)</f>
        <v>349500</v>
      </c>
      <c r="B700" s="2">
        <f>IFERROR(__xludf.DUMMYFUNCTION("""COMPUTED_VALUE"""),6990.0)</f>
        <v>6990</v>
      </c>
      <c r="C700" s="66">
        <f>IFERROR(__xludf.DUMMYFUNCTION("""COMPUTED_VALUE"""),2.43951E9)</f>
        <v>2439510000</v>
      </c>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2">
        <f>IFERROR(__xludf.DUMMYFUNCTION("""COMPUTED_VALUE"""),350000.0)</f>
        <v>350000</v>
      </c>
      <c r="B701" s="2">
        <f>IFERROR(__xludf.DUMMYFUNCTION("""COMPUTED_VALUE"""),7000.0)</f>
        <v>7000</v>
      </c>
      <c r="C701" s="66">
        <f>IFERROR(__xludf.DUMMYFUNCTION("""COMPUTED_VALUE"""),2.4465E9)</f>
        <v>2446500000</v>
      </c>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2">
        <f>IFERROR(__xludf.DUMMYFUNCTION("""COMPUTED_VALUE"""),350500.0)</f>
        <v>350500</v>
      </c>
      <c r="B702" s="2">
        <f>IFERROR(__xludf.DUMMYFUNCTION("""COMPUTED_VALUE"""),7010.0)</f>
        <v>7010</v>
      </c>
      <c r="C702" s="66">
        <f>IFERROR(__xludf.DUMMYFUNCTION("""COMPUTED_VALUE"""),2.4535E9)</f>
        <v>2453500000</v>
      </c>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2">
        <f>IFERROR(__xludf.DUMMYFUNCTION("""COMPUTED_VALUE"""),351000.0)</f>
        <v>351000</v>
      </c>
      <c r="B703" s="2">
        <f>IFERROR(__xludf.DUMMYFUNCTION("""COMPUTED_VALUE"""),7020.0)</f>
        <v>7020</v>
      </c>
      <c r="C703" s="66">
        <f>IFERROR(__xludf.DUMMYFUNCTION("""COMPUTED_VALUE"""),2.46051E9)</f>
        <v>2460510000</v>
      </c>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2">
        <f>IFERROR(__xludf.DUMMYFUNCTION("""COMPUTED_VALUE"""),351500.0)</f>
        <v>351500</v>
      </c>
      <c r="B704" s="2">
        <f>IFERROR(__xludf.DUMMYFUNCTION("""COMPUTED_VALUE"""),7030.0)</f>
        <v>7030</v>
      </c>
      <c r="C704" s="66">
        <f>IFERROR(__xludf.DUMMYFUNCTION("""COMPUTED_VALUE"""),2.46753E9)</f>
        <v>2467530000</v>
      </c>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2">
        <f>IFERROR(__xludf.DUMMYFUNCTION("""COMPUTED_VALUE"""),352000.0)</f>
        <v>352000</v>
      </c>
      <c r="B705" s="2">
        <f>IFERROR(__xludf.DUMMYFUNCTION("""COMPUTED_VALUE"""),7040.0)</f>
        <v>7040</v>
      </c>
      <c r="C705" s="66">
        <f>IFERROR(__xludf.DUMMYFUNCTION("""COMPUTED_VALUE"""),2.47456E9)</f>
        <v>2474560000</v>
      </c>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2">
        <f>IFERROR(__xludf.DUMMYFUNCTION("""COMPUTED_VALUE"""),352500.0)</f>
        <v>352500</v>
      </c>
      <c r="B706" s="2">
        <f>IFERROR(__xludf.DUMMYFUNCTION("""COMPUTED_VALUE"""),7050.0)</f>
        <v>7050</v>
      </c>
      <c r="C706" s="66">
        <f>IFERROR(__xludf.DUMMYFUNCTION("""COMPUTED_VALUE"""),2.4816E9)</f>
        <v>2481600000</v>
      </c>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2">
        <f>IFERROR(__xludf.DUMMYFUNCTION("""COMPUTED_VALUE"""),353000.0)</f>
        <v>353000</v>
      </c>
      <c r="B707" s="2">
        <f>IFERROR(__xludf.DUMMYFUNCTION("""COMPUTED_VALUE"""),7060.0)</f>
        <v>7060</v>
      </c>
      <c r="C707" s="66">
        <f>IFERROR(__xludf.DUMMYFUNCTION("""COMPUTED_VALUE"""),2.48865E9)</f>
        <v>2488650000</v>
      </c>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2">
        <f>IFERROR(__xludf.DUMMYFUNCTION("""COMPUTED_VALUE"""),353500.0)</f>
        <v>353500</v>
      </c>
      <c r="B708" s="2">
        <f>IFERROR(__xludf.DUMMYFUNCTION("""COMPUTED_VALUE"""),7070.0)</f>
        <v>7070</v>
      </c>
      <c r="C708" s="66">
        <f>IFERROR(__xludf.DUMMYFUNCTION("""COMPUTED_VALUE"""),2.49571E9)</f>
        <v>2495710000</v>
      </c>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2">
        <f>IFERROR(__xludf.DUMMYFUNCTION("""COMPUTED_VALUE"""),354000.0)</f>
        <v>354000</v>
      </c>
      <c r="B709" s="2">
        <f>IFERROR(__xludf.DUMMYFUNCTION("""COMPUTED_VALUE"""),7080.0)</f>
        <v>7080</v>
      </c>
      <c r="C709" s="66">
        <f>IFERROR(__xludf.DUMMYFUNCTION("""COMPUTED_VALUE"""),2.50278E9)</f>
        <v>2502780000</v>
      </c>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2">
        <f>IFERROR(__xludf.DUMMYFUNCTION("""COMPUTED_VALUE"""),354500.0)</f>
        <v>354500</v>
      </c>
      <c r="B710" s="2">
        <f>IFERROR(__xludf.DUMMYFUNCTION("""COMPUTED_VALUE"""),7090.0)</f>
        <v>7090</v>
      </c>
      <c r="C710" s="66">
        <f>IFERROR(__xludf.DUMMYFUNCTION("""COMPUTED_VALUE"""),2.50986E9)</f>
        <v>2509860000</v>
      </c>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2">
        <f>IFERROR(__xludf.DUMMYFUNCTION("""COMPUTED_VALUE"""),355000.0)</f>
        <v>355000</v>
      </c>
      <c r="B711" s="2">
        <f>IFERROR(__xludf.DUMMYFUNCTION("""COMPUTED_VALUE"""),7100.0)</f>
        <v>7100</v>
      </c>
      <c r="C711" s="66">
        <f>IFERROR(__xludf.DUMMYFUNCTION("""COMPUTED_VALUE"""),2.51695E9)</f>
        <v>2516950000</v>
      </c>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2">
        <f>IFERROR(__xludf.DUMMYFUNCTION("""COMPUTED_VALUE"""),355500.0)</f>
        <v>355500</v>
      </c>
      <c r="B712" s="2">
        <f>IFERROR(__xludf.DUMMYFUNCTION("""COMPUTED_VALUE"""),7110.0)</f>
        <v>7110</v>
      </c>
      <c r="C712" s="66">
        <f>IFERROR(__xludf.DUMMYFUNCTION("""COMPUTED_VALUE"""),2.52405E9)</f>
        <v>2524050000</v>
      </c>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2">
        <f>IFERROR(__xludf.DUMMYFUNCTION("""COMPUTED_VALUE"""),356000.0)</f>
        <v>356000</v>
      </c>
      <c r="B713" s="2">
        <f>IFERROR(__xludf.DUMMYFUNCTION("""COMPUTED_VALUE"""),7120.0)</f>
        <v>7120</v>
      </c>
      <c r="C713" s="66">
        <f>IFERROR(__xludf.DUMMYFUNCTION("""COMPUTED_VALUE"""),2.53116E9)</f>
        <v>2531160000</v>
      </c>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2">
        <f>IFERROR(__xludf.DUMMYFUNCTION("""COMPUTED_VALUE"""),356500.0)</f>
        <v>356500</v>
      </c>
      <c r="B714" s="2">
        <f>IFERROR(__xludf.DUMMYFUNCTION("""COMPUTED_VALUE"""),7130.0)</f>
        <v>7130</v>
      </c>
      <c r="C714" s="66">
        <f>IFERROR(__xludf.DUMMYFUNCTION("""COMPUTED_VALUE"""),2.53828E9)</f>
        <v>2538280000</v>
      </c>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2">
        <f>IFERROR(__xludf.DUMMYFUNCTION("""COMPUTED_VALUE"""),357000.0)</f>
        <v>357000</v>
      </c>
      <c r="B715" s="2">
        <f>IFERROR(__xludf.DUMMYFUNCTION("""COMPUTED_VALUE"""),7140.0)</f>
        <v>7140</v>
      </c>
      <c r="C715" s="66">
        <f>IFERROR(__xludf.DUMMYFUNCTION("""COMPUTED_VALUE"""),2.54541E9)</f>
        <v>2545410000</v>
      </c>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2">
        <f>IFERROR(__xludf.DUMMYFUNCTION("""COMPUTED_VALUE"""),357500.0)</f>
        <v>357500</v>
      </c>
      <c r="B716" s="2">
        <f>IFERROR(__xludf.DUMMYFUNCTION("""COMPUTED_VALUE"""),7150.0)</f>
        <v>7150</v>
      </c>
      <c r="C716" s="66">
        <f>IFERROR(__xludf.DUMMYFUNCTION("""COMPUTED_VALUE"""),2.55255E9)</f>
        <v>2552550000</v>
      </c>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2">
        <f>IFERROR(__xludf.DUMMYFUNCTION("""COMPUTED_VALUE"""),358000.0)</f>
        <v>358000</v>
      </c>
      <c r="B717" s="2">
        <f>IFERROR(__xludf.DUMMYFUNCTION("""COMPUTED_VALUE"""),7160.0)</f>
        <v>7160</v>
      </c>
      <c r="C717" s="66">
        <f>IFERROR(__xludf.DUMMYFUNCTION("""COMPUTED_VALUE"""),2.5597E9)</f>
        <v>2559700000</v>
      </c>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2">
        <f>IFERROR(__xludf.DUMMYFUNCTION("""COMPUTED_VALUE"""),358500.0)</f>
        <v>358500</v>
      </c>
      <c r="B718" s="2">
        <f>IFERROR(__xludf.DUMMYFUNCTION("""COMPUTED_VALUE"""),7170.0)</f>
        <v>7170</v>
      </c>
      <c r="C718" s="66">
        <f>IFERROR(__xludf.DUMMYFUNCTION("""COMPUTED_VALUE"""),2.56686E9)</f>
        <v>2566860000</v>
      </c>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2">
        <f>IFERROR(__xludf.DUMMYFUNCTION("""COMPUTED_VALUE"""),359000.0)</f>
        <v>359000</v>
      </c>
      <c r="B719" s="2">
        <f>IFERROR(__xludf.DUMMYFUNCTION("""COMPUTED_VALUE"""),7180.0)</f>
        <v>7180</v>
      </c>
      <c r="C719" s="66">
        <f>IFERROR(__xludf.DUMMYFUNCTION("""COMPUTED_VALUE"""),2.57403E9)</f>
        <v>2574030000</v>
      </c>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2">
        <f>IFERROR(__xludf.DUMMYFUNCTION("""COMPUTED_VALUE"""),359500.0)</f>
        <v>359500</v>
      </c>
      <c r="B720" s="2">
        <f>IFERROR(__xludf.DUMMYFUNCTION("""COMPUTED_VALUE"""),7190.0)</f>
        <v>7190</v>
      </c>
      <c r="C720" s="66">
        <f>IFERROR(__xludf.DUMMYFUNCTION("""COMPUTED_VALUE"""),2.58121E9)</f>
        <v>2581210000</v>
      </c>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2">
        <f>IFERROR(__xludf.DUMMYFUNCTION("""COMPUTED_VALUE"""),360000.0)</f>
        <v>360000</v>
      </c>
      <c r="B721" s="2">
        <f>IFERROR(__xludf.DUMMYFUNCTION("""COMPUTED_VALUE"""),7200.0)</f>
        <v>7200</v>
      </c>
      <c r="C721" s="66">
        <f>IFERROR(__xludf.DUMMYFUNCTION("""COMPUTED_VALUE"""),2.5884E9)</f>
        <v>2588400000</v>
      </c>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2">
        <f>IFERROR(__xludf.DUMMYFUNCTION("""COMPUTED_VALUE"""),360500.0)</f>
        <v>360500</v>
      </c>
      <c r="B722" s="2">
        <f>IFERROR(__xludf.DUMMYFUNCTION("""COMPUTED_VALUE"""),7210.0)</f>
        <v>7210</v>
      </c>
      <c r="C722" s="66">
        <f>IFERROR(__xludf.DUMMYFUNCTION("""COMPUTED_VALUE"""),2.5956E9)</f>
        <v>2595600000</v>
      </c>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2">
        <f>IFERROR(__xludf.DUMMYFUNCTION("""COMPUTED_VALUE"""),361000.0)</f>
        <v>361000</v>
      </c>
      <c r="B723" s="2">
        <f>IFERROR(__xludf.DUMMYFUNCTION("""COMPUTED_VALUE"""),7220.0)</f>
        <v>7220</v>
      </c>
      <c r="C723" s="66">
        <f>IFERROR(__xludf.DUMMYFUNCTION("""COMPUTED_VALUE"""),2.60281E9)</f>
        <v>2602810000</v>
      </c>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2">
        <f>IFERROR(__xludf.DUMMYFUNCTION("""COMPUTED_VALUE"""),361500.0)</f>
        <v>361500</v>
      </c>
      <c r="B724" s="2">
        <f>IFERROR(__xludf.DUMMYFUNCTION("""COMPUTED_VALUE"""),7230.0)</f>
        <v>7230</v>
      </c>
      <c r="C724" s="66">
        <f>IFERROR(__xludf.DUMMYFUNCTION("""COMPUTED_VALUE"""),2.61003E9)</f>
        <v>2610030000</v>
      </c>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2">
        <f>IFERROR(__xludf.DUMMYFUNCTION("""COMPUTED_VALUE"""),362000.0)</f>
        <v>362000</v>
      </c>
      <c r="B725" s="2">
        <f>IFERROR(__xludf.DUMMYFUNCTION("""COMPUTED_VALUE"""),7240.0)</f>
        <v>7240</v>
      </c>
      <c r="C725" s="66">
        <f>IFERROR(__xludf.DUMMYFUNCTION("""COMPUTED_VALUE"""),2.61726E9)</f>
        <v>2617260000</v>
      </c>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2">
        <f>IFERROR(__xludf.DUMMYFUNCTION("""COMPUTED_VALUE"""),362500.0)</f>
        <v>362500</v>
      </c>
      <c r="B726" s="2">
        <f>IFERROR(__xludf.DUMMYFUNCTION("""COMPUTED_VALUE"""),7250.0)</f>
        <v>7250</v>
      </c>
      <c r="C726" s="66">
        <f>IFERROR(__xludf.DUMMYFUNCTION("""COMPUTED_VALUE"""),2.6245E9)</f>
        <v>2624500000</v>
      </c>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2">
        <f>IFERROR(__xludf.DUMMYFUNCTION("""COMPUTED_VALUE"""),363000.0)</f>
        <v>363000</v>
      </c>
      <c r="B727" s="2">
        <f>IFERROR(__xludf.DUMMYFUNCTION("""COMPUTED_VALUE"""),7260.0)</f>
        <v>7260</v>
      </c>
      <c r="C727" s="66">
        <f>IFERROR(__xludf.DUMMYFUNCTION("""COMPUTED_VALUE"""),2.63175E9)</f>
        <v>2631750000</v>
      </c>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2">
        <f>IFERROR(__xludf.DUMMYFUNCTION("""COMPUTED_VALUE"""),363500.0)</f>
        <v>363500</v>
      </c>
      <c r="B728" s="2">
        <f>IFERROR(__xludf.DUMMYFUNCTION("""COMPUTED_VALUE"""),7270.0)</f>
        <v>7270</v>
      </c>
      <c r="C728" s="66">
        <f>IFERROR(__xludf.DUMMYFUNCTION("""COMPUTED_VALUE"""),2.63901E9)</f>
        <v>2639010000</v>
      </c>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2">
        <f>IFERROR(__xludf.DUMMYFUNCTION("""COMPUTED_VALUE"""),364000.0)</f>
        <v>364000</v>
      </c>
      <c r="B729" s="2">
        <f>IFERROR(__xludf.DUMMYFUNCTION("""COMPUTED_VALUE"""),7280.0)</f>
        <v>7280</v>
      </c>
      <c r="C729" s="66">
        <f>IFERROR(__xludf.DUMMYFUNCTION("""COMPUTED_VALUE"""),2.64628E9)</f>
        <v>2646280000</v>
      </c>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2">
        <f>IFERROR(__xludf.DUMMYFUNCTION("""COMPUTED_VALUE"""),364500.0)</f>
        <v>364500</v>
      </c>
      <c r="B730" s="2">
        <f>IFERROR(__xludf.DUMMYFUNCTION("""COMPUTED_VALUE"""),7290.0)</f>
        <v>7290</v>
      </c>
      <c r="C730" s="66">
        <f>IFERROR(__xludf.DUMMYFUNCTION("""COMPUTED_VALUE"""),2.65356E9)</f>
        <v>2653560000</v>
      </c>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2">
        <f>IFERROR(__xludf.DUMMYFUNCTION("""COMPUTED_VALUE"""),365000.0)</f>
        <v>365000</v>
      </c>
      <c r="B731" s="2">
        <f>IFERROR(__xludf.DUMMYFUNCTION("""COMPUTED_VALUE"""),7300.0)</f>
        <v>7300</v>
      </c>
      <c r="C731" s="66">
        <f>IFERROR(__xludf.DUMMYFUNCTION("""COMPUTED_VALUE"""),2.66085E9)</f>
        <v>2660850000</v>
      </c>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2">
        <f>IFERROR(__xludf.DUMMYFUNCTION("""COMPUTED_VALUE"""),365500.0)</f>
        <v>365500</v>
      </c>
      <c r="B732" s="2">
        <f>IFERROR(__xludf.DUMMYFUNCTION("""COMPUTED_VALUE"""),7310.0)</f>
        <v>7310</v>
      </c>
      <c r="C732" s="66">
        <f>IFERROR(__xludf.DUMMYFUNCTION("""COMPUTED_VALUE"""),2.66815E9)</f>
        <v>2668150000</v>
      </c>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2">
        <f>IFERROR(__xludf.DUMMYFUNCTION("""COMPUTED_VALUE"""),366000.0)</f>
        <v>366000</v>
      </c>
      <c r="B733" s="2">
        <f>IFERROR(__xludf.DUMMYFUNCTION("""COMPUTED_VALUE"""),7320.0)</f>
        <v>7320</v>
      </c>
      <c r="C733" s="66">
        <f>IFERROR(__xludf.DUMMYFUNCTION("""COMPUTED_VALUE"""),2.67546E9)</f>
        <v>2675460000</v>
      </c>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2">
        <f>IFERROR(__xludf.DUMMYFUNCTION("""COMPUTED_VALUE"""),366500.0)</f>
        <v>366500</v>
      </c>
      <c r="B734" s="2">
        <f>IFERROR(__xludf.DUMMYFUNCTION("""COMPUTED_VALUE"""),7330.0)</f>
        <v>7330</v>
      </c>
      <c r="C734" s="66">
        <f>IFERROR(__xludf.DUMMYFUNCTION("""COMPUTED_VALUE"""),2.68278E9)</f>
        <v>2682780000</v>
      </c>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2">
        <f>IFERROR(__xludf.DUMMYFUNCTION("""COMPUTED_VALUE"""),367000.0)</f>
        <v>367000</v>
      </c>
      <c r="B735" s="2">
        <f>IFERROR(__xludf.DUMMYFUNCTION("""COMPUTED_VALUE"""),7340.0)</f>
        <v>7340</v>
      </c>
      <c r="C735" s="66">
        <f>IFERROR(__xludf.DUMMYFUNCTION("""COMPUTED_VALUE"""),2.69011E9)</f>
        <v>2690110000</v>
      </c>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2">
        <f>IFERROR(__xludf.DUMMYFUNCTION("""COMPUTED_VALUE"""),367500.0)</f>
        <v>367500</v>
      </c>
      <c r="B736" s="2">
        <f>IFERROR(__xludf.DUMMYFUNCTION("""COMPUTED_VALUE"""),7350.0)</f>
        <v>7350</v>
      </c>
      <c r="C736" s="66">
        <f>IFERROR(__xludf.DUMMYFUNCTION("""COMPUTED_VALUE"""),2.69745E9)</f>
        <v>2697450000</v>
      </c>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2">
        <f>IFERROR(__xludf.DUMMYFUNCTION("""COMPUTED_VALUE"""),368000.0)</f>
        <v>368000</v>
      </c>
      <c r="B737" s="2">
        <f>IFERROR(__xludf.DUMMYFUNCTION("""COMPUTED_VALUE"""),7360.0)</f>
        <v>7360</v>
      </c>
      <c r="C737" s="66">
        <f>IFERROR(__xludf.DUMMYFUNCTION("""COMPUTED_VALUE"""),2.7048E9)</f>
        <v>2704800000</v>
      </c>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2">
        <f>IFERROR(__xludf.DUMMYFUNCTION("""COMPUTED_VALUE"""),368500.0)</f>
        <v>368500</v>
      </c>
      <c r="B738" s="2">
        <f>IFERROR(__xludf.DUMMYFUNCTION("""COMPUTED_VALUE"""),7370.0)</f>
        <v>7370</v>
      </c>
      <c r="C738" s="66">
        <f>IFERROR(__xludf.DUMMYFUNCTION("""COMPUTED_VALUE"""),2.71216E9)</f>
        <v>2712160000</v>
      </c>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2">
        <f>IFERROR(__xludf.DUMMYFUNCTION("""COMPUTED_VALUE"""),369000.0)</f>
        <v>369000</v>
      </c>
      <c r="B739" s="2">
        <f>IFERROR(__xludf.DUMMYFUNCTION("""COMPUTED_VALUE"""),7380.0)</f>
        <v>7380</v>
      </c>
      <c r="C739" s="66">
        <f>IFERROR(__xludf.DUMMYFUNCTION("""COMPUTED_VALUE"""),2.71953E9)</f>
        <v>2719530000</v>
      </c>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2">
        <f>IFERROR(__xludf.DUMMYFUNCTION("""COMPUTED_VALUE"""),369500.0)</f>
        <v>369500</v>
      </c>
      <c r="B740" s="2">
        <f>IFERROR(__xludf.DUMMYFUNCTION("""COMPUTED_VALUE"""),7390.0)</f>
        <v>7390</v>
      </c>
      <c r="C740" s="66">
        <f>IFERROR(__xludf.DUMMYFUNCTION("""COMPUTED_VALUE"""),2.72691E9)</f>
        <v>2726910000</v>
      </c>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2">
        <f>IFERROR(__xludf.DUMMYFUNCTION("""COMPUTED_VALUE"""),370000.0)</f>
        <v>370000</v>
      </c>
      <c r="B741" s="2">
        <f>IFERROR(__xludf.DUMMYFUNCTION("""COMPUTED_VALUE"""),7400.0)</f>
        <v>7400</v>
      </c>
      <c r="C741" s="66">
        <f>IFERROR(__xludf.DUMMYFUNCTION("""COMPUTED_VALUE"""),2.7343E9)</f>
        <v>2734300000</v>
      </c>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2">
        <f>IFERROR(__xludf.DUMMYFUNCTION("""COMPUTED_VALUE"""),370500.0)</f>
        <v>370500</v>
      </c>
      <c r="B742" s="2">
        <f>IFERROR(__xludf.DUMMYFUNCTION("""COMPUTED_VALUE"""),7410.0)</f>
        <v>7410</v>
      </c>
      <c r="C742" s="66">
        <f>IFERROR(__xludf.DUMMYFUNCTION("""COMPUTED_VALUE"""),2.7417E9)</f>
        <v>2741700000</v>
      </c>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2">
        <f>IFERROR(__xludf.DUMMYFUNCTION("""COMPUTED_VALUE"""),371000.0)</f>
        <v>371000</v>
      </c>
      <c r="B743" s="2">
        <f>IFERROR(__xludf.DUMMYFUNCTION("""COMPUTED_VALUE"""),7420.0)</f>
        <v>7420</v>
      </c>
      <c r="C743" s="66">
        <f>IFERROR(__xludf.DUMMYFUNCTION("""COMPUTED_VALUE"""),2.74911E9)</f>
        <v>2749110000</v>
      </c>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2">
        <f>IFERROR(__xludf.DUMMYFUNCTION("""COMPUTED_VALUE"""),371500.0)</f>
        <v>371500</v>
      </c>
      <c r="B744" s="2">
        <f>IFERROR(__xludf.DUMMYFUNCTION("""COMPUTED_VALUE"""),7430.0)</f>
        <v>7430</v>
      </c>
      <c r="C744" s="66">
        <f>IFERROR(__xludf.DUMMYFUNCTION("""COMPUTED_VALUE"""),2.75653E9)</f>
        <v>2756530000</v>
      </c>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2">
        <f>IFERROR(__xludf.DUMMYFUNCTION("""COMPUTED_VALUE"""),372000.0)</f>
        <v>372000</v>
      </c>
      <c r="B745" s="2">
        <f>IFERROR(__xludf.DUMMYFUNCTION("""COMPUTED_VALUE"""),7440.0)</f>
        <v>7440</v>
      </c>
      <c r="C745" s="66">
        <f>IFERROR(__xludf.DUMMYFUNCTION("""COMPUTED_VALUE"""),2.76396E9)</f>
        <v>2763960000</v>
      </c>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2">
        <f>IFERROR(__xludf.DUMMYFUNCTION("""COMPUTED_VALUE"""),372500.0)</f>
        <v>372500</v>
      </c>
      <c r="B746" s="2">
        <f>IFERROR(__xludf.DUMMYFUNCTION("""COMPUTED_VALUE"""),7450.0)</f>
        <v>7450</v>
      </c>
      <c r="C746" s="66">
        <f>IFERROR(__xludf.DUMMYFUNCTION("""COMPUTED_VALUE"""),2.7714E9)</f>
        <v>2771400000</v>
      </c>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2">
        <f>IFERROR(__xludf.DUMMYFUNCTION("""COMPUTED_VALUE"""),373000.0)</f>
        <v>373000</v>
      </c>
      <c r="B747" s="2">
        <f>IFERROR(__xludf.DUMMYFUNCTION("""COMPUTED_VALUE"""),7460.0)</f>
        <v>7460</v>
      </c>
      <c r="C747" s="66">
        <f>IFERROR(__xludf.DUMMYFUNCTION("""COMPUTED_VALUE"""),2.77885E9)</f>
        <v>2778850000</v>
      </c>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2">
        <f>IFERROR(__xludf.DUMMYFUNCTION("""COMPUTED_VALUE"""),373500.0)</f>
        <v>373500</v>
      </c>
      <c r="B748" s="2">
        <f>IFERROR(__xludf.DUMMYFUNCTION("""COMPUTED_VALUE"""),7470.0)</f>
        <v>7470</v>
      </c>
      <c r="C748" s="66">
        <f>IFERROR(__xludf.DUMMYFUNCTION("""COMPUTED_VALUE"""),2.78631E9)</f>
        <v>2786310000</v>
      </c>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2">
        <f>IFERROR(__xludf.DUMMYFUNCTION("""COMPUTED_VALUE"""),374000.0)</f>
        <v>374000</v>
      </c>
      <c r="B749" s="2">
        <f>IFERROR(__xludf.DUMMYFUNCTION("""COMPUTED_VALUE"""),7480.0)</f>
        <v>7480</v>
      </c>
      <c r="C749" s="66">
        <f>IFERROR(__xludf.DUMMYFUNCTION("""COMPUTED_VALUE"""),2.79378E9)</f>
        <v>2793780000</v>
      </c>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2">
        <f>IFERROR(__xludf.DUMMYFUNCTION("""COMPUTED_VALUE"""),374500.0)</f>
        <v>374500</v>
      </c>
      <c r="B750" s="2">
        <f>IFERROR(__xludf.DUMMYFUNCTION("""COMPUTED_VALUE"""),7490.0)</f>
        <v>7490</v>
      </c>
      <c r="C750" s="66">
        <f>IFERROR(__xludf.DUMMYFUNCTION("""COMPUTED_VALUE"""),2.80126E9)</f>
        <v>2801260000</v>
      </c>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2">
        <f>IFERROR(__xludf.DUMMYFUNCTION("""COMPUTED_VALUE"""),375000.0)</f>
        <v>375000</v>
      </c>
      <c r="B751" s="2">
        <f>IFERROR(__xludf.DUMMYFUNCTION("""COMPUTED_VALUE"""),7500.0)</f>
        <v>7500</v>
      </c>
      <c r="C751" s="66">
        <f>IFERROR(__xludf.DUMMYFUNCTION("""COMPUTED_VALUE"""),2.80875E9)</f>
        <v>2808750000</v>
      </c>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2">
        <f>IFERROR(__xludf.DUMMYFUNCTION("""COMPUTED_VALUE"""),375500.0)</f>
        <v>375500</v>
      </c>
      <c r="B752" s="2">
        <f>IFERROR(__xludf.DUMMYFUNCTION("""COMPUTED_VALUE"""),7510.0)</f>
        <v>7510</v>
      </c>
      <c r="C752" s="66">
        <f>IFERROR(__xludf.DUMMYFUNCTION("""COMPUTED_VALUE"""),2.81625E9)</f>
        <v>2816250000</v>
      </c>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2">
        <f>IFERROR(__xludf.DUMMYFUNCTION("""COMPUTED_VALUE"""),376000.0)</f>
        <v>376000</v>
      </c>
      <c r="B753" s="2">
        <f>IFERROR(__xludf.DUMMYFUNCTION("""COMPUTED_VALUE"""),7520.0)</f>
        <v>7520</v>
      </c>
      <c r="C753" s="66">
        <f>IFERROR(__xludf.DUMMYFUNCTION("""COMPUTED_VALUE"""),2.82376E9)</f>
        <v>2823760000</v>
      </c>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2">
        <f>IFERROR(__xludf.DUMMYFUNCTION("""COMPUTED_VALUE"""),376500.0)</f>
        <v>376500</v>
      </c>
      <c r="B754" s="2">
        <f>IFERROR(__xludf.DUMMYFUNCTION("""COMPUTED_VALUE"""),7530.0)</f>
        <v>7530</v>
      </c>
      <c r="C754" s="66">
        <f>IFERROR(__xludf.DUMMYFUNCTION("""COMPUTED_VALUE"""),2.83128E9)</f>
        <v>2831280000</v>
      </c>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2">
        <f>IFERROR(__xludf.DUMMYFUNCTION("""COMPUTED_VALUE"""),377000.0)</f>
        <v>377000</v>
      </c>
      <c r="B755" s="2">
        <f>IFERROR(__xludf.DUMMYFUNCTION("""COMPUTED_VALUE"""),7540.0)</f>
        <v>7540</v>
      </c>
      <c r="C755" s="66">
        <f>IFERROR(__xludf.DUMMYFUNCTION("""COMPUTED_VALUE"""),2.83881E9)</f>
        <v>2838810000</v>
      </c>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2">
        <f>IFERROR(__xludf.DUMMYFUNCTION("""COMPUTED_VALUE"""),377500.0)</f>
        <v>377500</v>
      </c>
      <c r="B756" s="2">
        <f>IFERROR(__xludf.DUMMYFUNCTION("""COMPUTED_VALUE"""),7550.0)</f>
        <v>7550</v>
      </c>
      <c r="C756" s="66">
        <f>IFERROR(__xludf.DUMMYFUNCTION("""COMPUTED_VALUE"""),2.84635E9)</f>
        <v>2846350000</v>
      </c>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2">
        <f>IFERROR(__xludf.DUMMYFUNCTION("""COMPUTED_VALUE"""),378000.0)</f>
        <v>378000</v>
      </c>
      <c r="B757" s="2">
        <f>IFERROR(__xludf.DUMMYFUNCTION("""COMPUTED_VALUE"""),7560.0)</f>
        <v>7560</v>
      </c>
      <c r="C757" s="66">
        <f>IFERROR(__xludf.DUMMYFUNCTION("""COMPUTED_VALUE"""),2.8539E9)</f>
        <v>2853900000</v>
      </c>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2">
        <f>IFERROR(__xludf.DUMMYFUNCTION("""COMPUTED_VALUE"""),378500.0)</f>
        <v>378500</v>
      </c>
      <c r="B758" s="2">
        <f>IFERROR(__xludf.DUMMYFUNCTION("""COMPUTED_VALUE"""),7570.0)</f>
        <v>7570</v>
      </c>
      <c r="C758" s="66">
        <f>IFERROR(__xludf.DUMMYFUNCTION("""COMPUTED_VALUE"""),2.86146E9)</f>
        <v>2861460000</v>
      </c>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2">
        <f>IFERROR(__xludf.DUMMYFUNCTION("""COMPUTED_VALUE"""),379000.0)</f>
        <v>379000</v>
      </c>
      <c r="B759" s="2">
        <f>IFERROR(__xludf.DUMMYFUNCTION("""COMPUTED_VALUE"""),7580.0)</f>
        <v>7580</v>
      </c>
      <c r="C759" s="66">
        <f>IFERROR(__xludf.DUMMYFUNCTION("""COMPUTED_VALUE"""),2.86903E9)</f>
        <v>2869030000</v>
      </c>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2">
        <f>IFERROR(__xludf.DUMMYFUNCTION("""COMPUTED_VALUE"""),379500.0)</f>
        <v>379500</v>
      </c>
      <c r="B760" s="2">
        <f>IFERROR(__xludf.DUMMYFUNCTION("""COMPUTED_VALUE"""),7590.0)</f>
        <v>7590</v>
      </c>
      <c r="C760" s="66">
        <f>IFERROR(__xludf.DUMMYFUNCTION("""COMPUTED_VALUE"""),2.87661E9)</f>
        <v>2876610000</v>
      </c>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2">
        <f>IFERROR(__xludf.DUMMYFUNCTION("""COMPUTED_VALUE"""),380000.0)</f>
        <v>380000</v>
      </c>
      <c r="B761" s="2">
        <f>IFERROR(__xludf.DUMMYFUNCTION("""COMPUTED_VALUE"""),7600.0)</f>
        <v>7600</v>
      </c>
      <c r="C761" s="66">
        <f>IFERROR(__xludf.DUMMYFUNCTION("""COMPUTED_VALUE"""),2.8842E9)</f>
        <v>2884200000</v>
      </c>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2">
        <f>IFERROR(__xludf.DUMMYFUNCTION("""COMPUTED_VALUE"""),380500.0)</f>
        <v>380500</v>
      </c>
      <c r="B762" s="2">
        <f>IFERROR(__xludf.DUMMYFUNCTION("""COMPUTED_VALUE"""),7610.0)</f>
        <v>7610</v>
      </c>
      <c r="C762" s="66">
        <f>IFERROR(__xludf.DUMMYFUNCTION("""COMPUTED_VALUE"""),2.8918E9)</f>
        <v>2891800000</v>
      </c>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2">
        <f>IFERROR(__xludf.DUMMYFUNCTION("""COMPUTED_VALUE"""),381000.0)</f>
        <v>381000</v>
      </c>
      <c r="B763" s="2">
        <f>IFERROR(__xludf.DUMMYFUNCTION("""COMPUTED_VALUE"""),7620.0)</f>
        <v>7620</v>
      </c>
      <c r="C763" s="66">
        <f>IFERROR(__xludf.DUMMYFUNCTION("""COMPUTED_VALUE"""),2.89941E9)</f>
        <v>2899410000</v>
      </c>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2">
        <f>IFERROR(__xludf.DUMMYFUNCTION("""COMPUTED_VALUE"""),381500.0)</f>
        <v>381500</v>
      </c>
      <c r="B764" s="2">
        <f>IFERROR(__xludf.DUMMYFUNCTION("""COMPUTED_VALUE"""),7630.0)</f>
        <v>7630</v>
      </c>
      <c r="C764" s="66">
        <f>IFERROR(__xludf.DUMMYFUNCTION("""COMPUTED_VALUE"""),2.90703E9)</f>
        <v>2907030000</v>
      </c>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2">
        <f>IFERROR(__xludf.DUMMYFUNCTION("""COMPUTED_VALUE"""),382000.0)</f>
        <v>382000</v>
      </c>
      <c r="B765" s="2">
        <f>IFERROR(__xludf.DUMMYFUNCTION("""COMPUTED_VALUE"""),7640.0)</f>
        <v>7640</v>
      </c>
      <c r="C765" s="66">
        <f>IFERROR(__xludf.DUMMYFUNCTION("""COMPUTED_VALUE"""),2.91466E9)</f>
        <v>2914660000</v>
      </c>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2">
        <f>IFERROR(__xludf.DUMMYFUNCTION("""COMPUTED_VALUE"""),382500.0)</f>
        <v>382500</v>
      </c>
      <c r="B766" s="2">
        <f>IFERROR(__xludf.DUMMYFUNCTION("""COMPUTED_VALUE"""),7650.0)</f>
        <v>7650</v>
      </c>
      <c r="C766" s="66">
        <f>IFERROR(__xludf.DUMMYFUNCTION("""COMPUTED_VALUE"""),2.9223E9)</f>
        <v>2922300000</v>
      </c>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2">
        <f>IFERROR(__xludf.DUMMYFUNCTION("""COMPUTED_VALUE"""),383000.0)</f>
        <v>383000</v>
      </c>
      <c r="B767" s="2">
        <f>IFERROR(__xludf.DUMMYFUNCTION("""COMPUTED_VALUE"""),7660.0)</f>
        <v>7660</v>
      </c>
      <c r="C767" s="66">
        <f>IFERROR(__xludf.DUMMYFUNCTION("""COMPUTED_VALUE"""),2.92995E9)</f>
        <v>2929950000</v>
      </c>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2">
        <f>IFERROR(__xludf.DUMMYFUNCTION("""COMPUTED_VALUE"""),383500.0)</f>
        <v>383500</v>
      </c>
      <c r="B768" s="2">
        <f>IFERROR(__xludf.DUMMYFUNCTION("""COMPUTED_VALUE"""),7670.0)</f>
        <v>7670</v>
      </c>
      <c r="C768" s="66">
        <f>IFERROR(__xludf.DUMMYFUNCTION("""COMPUTED_VALUE"""),2.93761E9)</f>
        <v>2937610000</v>
      </c>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2">
        <f>IFERROR(__xludf.DUMMYFUNCTION("""COMPUTED_VALUE"""),384000.0)</f>
        <v>384000</v>
      </c>
      <c r="B769" s="2">
        <f>IFERROR(__xludf.DUMMYFUNCTION("""COMPUTED_VALUE"""),7680.0)</f>
        <v>7680</v>
      </c>
      <c r="C769" s="66">
        <f>IFERROR(__xludf.DUMMYFUNCTION("""COMPUTED_VALUE"""),2.94528E9)</f>
        <v>2945280000</v>
      </c>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2">
        <f>IFERROR(__xludf.DUMMYFUNCTION("""COMPUTED_VALUE"""),384500.0)</f>
        <v>384500</v>
      </c>
      <c r="B770" s="2">
        <f>IFERROR(__xludf.DUMMYFUNCTION("""COMPUTED_VALUE"""),7690.0)</f>
        <v>7690</v>
      </c>
      <c r="C770" s="66">
        <f>IFERROR(__xludf.DUMMYFUNCTION("""COMPUTED_VALUE"""),2.95296E9)</f>
        <v>2952960000</v>
      </c>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2">
        <f>IFERROR(__xludf.DUMMYFUNCTION("""COMPUTED_VALUE"""),385000.0)</f>
        <v>385000</v>
      </c>
      <c r="B771" s="2">
        <f>IFERROR(__xludf.DUMMYFUNCTION("""COMPUTED_VALUE"""),7700.0)</f>
        <v>7700</v>
      </c>
      <c r="C771" s="66">
        <f>IFERROR(__xludf.DUMMYFUNCTION("""COMPUTED_VALUE"""),2.96065E9)</f>
        <v>2960650000</v>
      </c>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2">
        <f>IFERROR(__xludf.DUMMYFUNCTION("""COMPUTED_VALUE"""),385500.0)</f>
        <v>385500</v>
      </c>
      <c r="B772" s="2">
        <f>IFERROR(__xludf.DUMMYFUNCTION("""COMPUTED_VALUE"""),7710.0)</f>
        <v>7710</v>
      </c>
      <c r="C772" s="66">
        <f>IFERROR(__xludf.DUMMYFUNCTION("""COMPUTED_VALUE"""),2.96835E9)</f>
        <v>2968350000</v>
      </c>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2">
        <f>IFERROR(__xludf.DUMMYFUNCTION("""COMPUTED_VALUE"""),386000.0)</f>
        <v>386000</v>
      </c>
      <c r="B773" s="2">
        <f>IFERROR(__xludf.DUMMYFUNCTION("""COMPUTED_VALUE"""),7720.0)</f>
        <v>7720</v>
      </c>
      <c r="C773" s="66">
        <f>IFERROR(__xludf.DUMMYFUNCTION("""COMPUTED_VALUE"""),2.97606E9)</f>
        <v>2976060000</v>
      </c>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2">
        <f>IFERROR(__xludf.DUMMYFUNCTION("""COMPUTED_VALUE"""),386500.0)</f>
        <v>386500</v>
      </c>
      <c r="B774" s="2">
        <f>IFERROR(__xludf.DUMMYFUNCTION("""COMPUTED_VALUE"""),7730.0)</f>
        <v>7730</v>
      </c>
      <c r="C774" s="66">
        <f>IFERROR(__xludf.DUMMYFUNCTION("""COMPUTED_VALUE"""),2.98378E9)</f>
        <v>2983780000</v>
      </c>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2">
        <f>IFERROR(__xludf.DUMMYFUNCTION("""COMPUTED_VALUE"""),387000.0)</f>
        <v>387000</v>
      </c>
      <c r="B775" s="2">
        <f>IFERROR(__xludf.DUMMYFUNCTION("""COMPUTED_VALUE"""),7740.0)</f>
        <v>7740</v>
      </c>
      <c r="C775" s="66">
        <f>IFERROR(__xludf.DUMMYFUNCTION("""COMPUTED_VALUE"""),2.99151E9)</f>
        <v>2991510000</v>
      </c>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2">
        <f>IFERROR(__xludf.DUMMYFUNCTION("""COMPUTED_VALUE"""),387500.0)</f>
        <v>387500</v>
      </c>
      <c r="B776" s="2">
        <f>IFERROR(__xludf.DUMMYFUNCTION("""COMPUTED_VALUE"""),7750.0)</f>
        <v>7750</v>
      </c>
      <c r="C776" s="66">
        <f>IFERROR(__xludf.DUMMYFUNCTION("""COMPUTED_VALUE"""),2.99925E9)</f>
        <v>2999250000</v>
      </c>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2">
        <f>IFERROR(__xludf.DUMMYFUNCTION("""COMPUTED_VALUE"""),388000.0)</f>
        <v>388000</v>
      </c>
      <c r="B777" s="2">
        <f>IFERROR(__xludf.DUMMYFUNCTION("""COMPUTED_VALUE"""),7760.0)</f>
        <v>7760</v>
      </c>
      <c r="C777" s="66">
        <f>IFERROR(__xludf.DUMMYFUNCTION("""COMPUTED_VALUE"""),3.007E9)</f>
        <v>3007000000</v>
      </c>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2">
        <f>IFERROR(__xludf.DUMMYFUNCTION("""COMPUTED_VALUE"""),388500.0)</f>
        <v>388500</v>
      </c>
      <c r="B778" s="2">
        <f>IFERROR(__xludf.DUMMYFUNCTION("""COMPUTED_VALUE"""),7770.0)</f>
        <v>7770</v>
      </c>
      <c r="C778" s="66">
        <f>IFERROR(__xludf.DUMMYFUNCTION("""COMPUTED_VALUE"""),3.01476E9)</f>
        <v>3014760000</v>
      </c>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2">
        <f>IFERROR(__xludf.DUMMYFUNCTION("""COMPUTED_VALUE"""),389000.0)</f>
        <v>389000</v>
      </c>
      <c r="B779" s="2">
        <f>IFERROR(__xludf.DUMMYFUNCTION("""COMPUTED_VALUE"""),7780.0)</f>
        <v>7780</v>
      </c>
      <c r="C779" s="66">
        <f>IFERROR(__xludf.DUMMYFUNCTION("""COMPUTED_VALUE"""),3.02253E9)</f>
        <v>3022530000</v>
      </c>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2">
        <f>IFERROR(__xludf.DUMMYFUNCTION("""COMPUTED_VALUE"""),389500.0)</f>
        <v>389500</v>
      </c>
      <c r="B780" s="2">
        <f>IFERROR(__xludf.DUMMYFUNCTION("""COMPUTED_VALUE"""),7790.0)</f>
        <v>7790</v>
      </c>
      <c r="C780" s="66">
        <f>IFERROR(__xludf.DUMMYFUNCTION("""COMPUTED_VALUE"""),3.03031E9)</f>
        <v>3030310000</v>
      </c>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2">
        <f>IFERROR(__xludf.DUMMYFUNCTION("""COMPUTED_VALUE"""),390000.0)</f>
        <v>390000</v>
      </c>
      <c r="B781" s="2">
        <f>IFERROR(__xludf.DUMMYFUNCTION("""COMPUTED_VALUE"""),7800.0)</f>
        <v>7800</v>
      </c>
      <c r="C781" s="66">
        <f>IFERROR(__xludf.DUMMYFUNCTION("""COMPUTED_VALUE"""),3.0381E9)</f>
        <v>3038100000</v>
      </c>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2">
        <f>IFERROR(__xludf.DUMMYFUNCTION("""COMPUTED_VALUE"""),390500.0)</f>
        <v>390500</v>
      </c>
      <c r="B782" s="2">
        <f>IFERROR(__xludf.DUMMYFUNCTION("""COMPUTED_VALUE"""),7810.0)</f>
        <v>7810</v>
      </c>
      <c r="C782" s="66">
        <f>IFERROR(__xludf.DUMMYFUNCTION("""COMPUTED_VALUE"""),3.0459E9)</f>
        <v>3045900000</v>
      </c>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2">
        <f>IFERROR(__xludf.DUMMYFUNCTION("""COMPUTED_VALUE"""),391000.0)</f>
        <v>391000</v>
      </c>
      <c r="B783" s="2">
        <f>IFERROR(__xludf.DUMMYFUNCTION("""COMPUTED_VALUE"""),7820.0)</f>
        <v>7820</v>
      </c>
      <c r="C783" s="66">
        <f>IFERROR(__xludf.DUMMYFUNCTION("""COMPUTED_VALUE"""),3.05371E9)</f>
        <v>3053710000</v>
      </c>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2">
        <f>IFERROR(__xludf.DUMMYFUNCTION("""COMPUTED_VALUE"""),391500.0)</f>
        <v>391500</v>
      </c>
      <c r="B784" s="2">
        <f>IFERROR(__xludf.DUMMYFUNCTION("""COMPUTED_VALUE"""),7830.0)</f>
        <v>7830</v>
      </c>
      <c r="C784" s="66">
        <f>IFERROR(__xludf.DUMMYFUNCTION("""COMPUTED_VALUE"""),3.06153E9)</f>
        <v>3061530000</v>
      </c>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2">
        <f>IFERROR(__xludf.DUMMYFUNCTION("""COMPUTED_VALUE"""),392000.0)</f>
        <v>392000</v>
      </c>
      <c r="B785" s="2">
        <f>IFERROR(__xludf.DUMMYFUNCTION("""COMPUTED_VALUE"""),7840.0)</f>
        <v>7840</v>
      </c>
      <c r="C785" s="66">
        <f>IFERROR(__xludf.DUMMYFUNCTION("""COMPUTED_VALUE"""),3.06936E9)</f>
        <v>3069360000</v>
      </c>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2">
        <f>IFERROR(__xludf.DUMMYFUNCTION("""COMPUTED_VALUE"""),392500.0)</f>
        <v>392500</v>
      </c>
      <c r="B786" s="2">
        <f>IFERROR(__xludf.DUMMYFUNCTION("""COMPUTED_VALUE"""),7850.0)</f>
        <v>7850</v>
      </c>
      <c r="C786" s="66">
        <f>IFERROR(__xludf.DUMMYFUNCTION("""COMPUTED_VALUE"""),3.0772E9)</f>
        <v>3077200000</v>
      </c>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2">
        <f>IFERROR(__xludf.DUMMYFUNCTION("""COMPUTED_VALUE"""),393000.0)</f>
        <v>393000</v>
      </c>
      <c r="B787" s="2">
        <f>IFERROR(__xludf.DUMMYFUNCTION("""COMPUTED_VALUE"""),7860.0)</f>
        <v>7860</v>
      </c>
      <c r="C787" s="66">
        <f>IFERROR(__xludf.DUMMYFUNCTION("""COMPUTED_VALUE"""),3.08505E9)</f>
        <v>3085050000</v>
      </c>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2">
        <f>IFERROR(__xludf.DUMMYFUNCTION("""COMPUTED_VALUE"""),393500.0)</f>
        <v>393500</v>
      </c>
      <c r="B788" s="2">
        <f>IFERROR(__xludf.DUMMYFUNCTION("""COMPUTED_VALUE"""),7870.0)</f>
        <v>7870</v>
      </c>
      <c r="C788" s="66">
        <f>IFERROR(__xludf.DUMMYFUNCTION("""COMPUTED_VALUE"""),3.09291E9)</f>
        <v>3092910000</v>
      </c>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2">
        <f>IFERROR(__xludf.DUMMYFUNCTION("""COMPUTED_VALUE"""),394000.0)</f>
        <v>394000</v>
      </c>
      <c r="B789" s="2">
        <f>IFERROR(__xludf.DUMMYFUNCTION("""COMPUTED_VALUE"""),7880.0)</f>
        <v>7880</v>
      </c>
      <c r="C789" s="66">
        <f>IFERROR(__xludf.DUMMYFUNCTION("""COMPUTED_VALUE"""),3.10078E9)</f>
        <v>3100780000</v>
      </c>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2">
        <f>IFERROR(__xludf.DUMMYFUNCTION("""COMPUTED_VALUE"""),394500.0)</f>
        <v>394500</v>
      </c>
      <c r="B790" s="2">
        <f>IFERROR(__xludf.DUMMYFUNCTION("""COMPUTED_VALUE"""),7890.0)</f>
        <v>7890</v>
      </c>
      <c r="C790" s="66">
        <f>IFERROR(__xludf.DUMMYFUNCTION("""COMPUTED_VALUE"""),3.10866E9)</f>
        <v>3108660000</v>
      </c>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2">
        <f>IFERROR(__xludf.DUMMYFUNCTION("""COMPUTED_VALUE"""),395000.0)</f>
        <v>395000</v>
      </c>
      <c r="B791" s="2">
        <f>IFERROR(__xludf.DUMMYFUNCTION("""COMPUTED_VALUE"""),7900.0)</f>
        <v>7900</v>
      </c>
      <c r="C791" s="66">
        <f>IFERROR(__xludf.DUMMYFUNCTION("""COMPUTED_VALUE"""),3.11655E9)</f>
        <v>3116550000</v>
      </c>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2">
        <f>IFERROR(__xludf.DUMMYFUNCTION("""COMPUTED_VALUE"""),395500.0)</f>
        <v>395500</v>
      </c>
      <c r="B792" s="2">
        <f>IFERROR(__xludf.DUMMYFUNCTION("""COMPUTED_VALUE"""),7910.0)</f>
        <v>7910</v>
      </c>
      <c r="C792" s="66">
        <f>IFERROR(__xludf.DUMMYFUNCTION("""COMPUTED_VALUE"""),3.12445E9)</f>
        <v>3124450000</v>
      </c>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2">
        <f>IFERROR(__xludf.DUMMYFUNCTION("""COMPUTED_VALUE"""),396000.0)</f>
        <v>396000</v>
      </c>
      <c r="B793" s="2">
        <f>IFERROR(__xludf.DUMMYFUNCTION("""COMPUTED_VALUE"""),7920.0)</f>
        <v>7920</v>
      </c>
      <c r="C793" s="66">
        <f>IFERROR(__xludf.DUMMYFUNCTION("""COMPUTED_VALUE"""),3.13236E9)</f>
        <v>3132360000</v>
      </c>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2">
        <f>IFERROR(__xludf.DUMMYFUNCTION("""COMPUTED_VALUE"""),396500.0)</f>
        <v>396500</v>
      </c>
      <c r="B794" s="2">
        <f>IFERROR(__xludf.DUMMYFUNCTION("""COMPUTED_VALUE"""),7930.0)</f>
        <v>7930</v>
      </c>
      <c r="C794" s="66">
        <f>IFERROR(__xludf.DUMMYFUNCTION("""COMPUTED_VALUE"""),3.14028E9)</f>
        <v>3140280000</v>
      </c>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2">
        <f>IFERROR(__xludf.DUMMYFUNCTION("""COMPUTED_VALUE"""),397000.0)</f>
        <v>397000</v>
      </c>
      <c r="B795" s="2">
        <f>IFERROR(__xludf.DUMMYFUNCTION("""COMPUTED_VALUE"""),7940.0)</f>
        <v>7940</v>
      </c>
      <c r="C795" s="66">
        <f>IFERROR(__xludf.DUMMYFUNCTION("""COMPUTED_VALUE"""),3.14821E9)</f>
        <v>3148210000</v>
      </c>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2">
        <f>IFERROR(__xludf.DUMMYFUNCTION("""COMPUTED_VALUE"""),397500.0)</f>
        <v>397500</v>
      </c>
      <c r="B796" s="2">
        <f>IFERROR(__xludf.DUMMYFUNCTION("""COMPUTED_VALUE"""),7950.0)</f>
        <v>7950</v>
      </c>
      <c r="C796" s="66">
        <f>IFERROR(__xludf.DUMMYFUNCTION("""COMPUTED_VALUE"""),3.15615E9)</f>
        <v>3156150000</v>
      </c>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2">
        <f>IFERROR(__xludf.DUMMYFUNCTION("""COMPUTED_VALUE"""),398000.0)</f>
        <v>398000</v>
      </c>
      <c r="B797" s="2">
        <f>IFERROR(__xludf.DUMMYFUNCTION("""COMPUTED_VALUE"""),7960.0)</f>
        <v>7960</v>
      </c>
      <c r="C797" s="66">
        <f>IFERROR(__xludf.DUMMYFUNCTION("""COMPUTED_VALUE"""),3.1641E9)</f>
        <v>3164100000</v>
      </c>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2">
        <f>IFERROR(__xludf.DUMMYFUNCTION("""COMPUTED_VALUE"""),398500.0)</f>
        <v>398500</v>
      </c>
      <c r="B798" s="2">
        <f>IFERROR(__xludf.DUMMYFUNCTION("""COMPUTED_VALUE"""),7970.0)</f>
        <v>7970</v>
      </c>
      <c r="C798" s="66">
        <f>IFERROR(__xludf.DUMMYFUNCTION("""COMPUTED_VALUE"""),3.17206E9)</f>
        <v>3172060000</v>
      </c>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2">
        <f>IFERROR(__xludf.DUMMYFUNCTION("""COMPUTED_VALUE"""),399000.0)</f>
        <v>399000</v>
      </c>
      <c r="B799" s="2">
        <f>IFERROR(__xludf.DUMMYFUNCTION("""COMPUTED_VALUE"""),7980.0)</f>
        <v>7980</v>
      </c>
      <c r="C799" s="66">
        <f>IFERROR(__xludf.DUMMYFUNCTION("""COMPUTED_VALUE"""),3.18003E9)</f>
        <v>3180030000</v>
      </c>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2">
        <f>IFERROR(__xludf.DUMMYFUNCTION("""COMPUTED_VALUE"""),399500.0)</f>
        <v>399500</v>
      </c>
      <c r="B800" s="2">
        <f>IFERROR(__xludf.DUMMYFUNCTION("""COMPUTED_VALUE"""),7990.0)</f>
        <v>7990</v>
      </c>
      <c r="C800" s="66">
        <f>IFERROR(__xludf.DUMMYFUNCTION("""COMPUTED_VALUE"""),3.18801E9)</f>
        <v>3188010000</v>
      </c>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2">
        <f>IFERROR(__xludf.DUMMYFUNCTION("""COMPUTED_VALUE"""),400000.0)</f>
        <v>400000</v>
      </c>
      <c r="B801" s="2">
        <f>IFERROR(__xludf.DUMMYFUNCTION("""COMPUTED_VALUE"""),8000.0)</f>
        <v>8000</v>
      </c>
      <c r="C801" s="66">
        <f>IFERROR(__xludf.DUMMYFUNCTION("""COMPUTED_VALUE"""),3.196E9)</f>
        <v>3196000000</v>
      </c>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2">
        <f>IFERROR(__xludf.DUMMYFUNCTION("""COMPUTED_VALUE"""),400500.0)</f>
        <v>400500</v>
      </c>
      <c r="B802" s="2">
        <f>IFERROR(__xludf.DUMMYFUNCTION("""COMPUTED_VALUE"""),8010.0)</f>
        <v>8010</v>
      </c>
      <c r="C802" s="66">
        <f>IFERROR(__xludf.DUMMYFUNCTION("""COMPUTED_VALUE"""),3.204E9)</f>
        <v>3204000000</v>
      </c>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2">
        <f>IFERROR(__xludf.DUMMYFUNCTION("""COMPUTED_VALUE"""),401000.0)</f>
        <v>401000</v>
      </c>
      <c r="B803" s="2">
        <f>IFERROR(__xludf.DUMMYFUNCTION("""COMPUTED_VALUE"""),8020.0)</f>
        <v>8020</v>
      </c>
      <c r="C803" s="66">
        <f>IFERROR(__xludf.DUMMYFUNCTION("""COMPUTED_VALUE"""),3.21201E9)</f>
        <v>3212010000</v>
      </c>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2">
        <f>IFERROR(__xludf.DUMMYFUNCTION("""COMPUTED_VALUE"""),401500.0)</f>
        <v>401500</v>
      </c>
      <c r="B804" s="2">
        <f>IFERROR(__xludf.DUMMYFUNCTION("""COMPUTED_VALUE"""),8030.0)</f>
        <v>8030</v>
      </c>
      <c r="C804" s="66">
        <f>IFERROR(__xludf.DUMMYFUNCTION("""COMPUTED_VALUE"""),3.22003E9)</f>
        <v>3220030000</v>
      </c>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2">
        <f>IFERROR(__xludf.DUMMYFUNCTION("""COMPUTED_VALUE"""),402000.0)</f>
        <v>402000</v>
      </c>
      <c r="B805" s="2">
        <f>IFERROR(__xludf.DUMMYFUNCTION("""COMPUTED_VALUE"""),8040.0)</f>
        <v>8040</v>
      </c>
      <c r="C805" s="66">
        <f>IFERROR(__xludf.DUMMYFUNCTION("""COMPUTED_VALUE"""),3.22806E9)</f>
        <v>3228060000</v>
      </c>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2">
        <f>IFERROR(__xludf.DUMMYFUNCTION("""COMPUTED_VALUE"""),402500.0)</f>
        <v>402500</v>
      </c>
      <c r="B806" s="2">
        <f>IFERROR(__xludf.DUMMYFUNCTION("""COMPUTED_VALUE"""),8050.0)</f>
        <v>8050</v>
      </c>
      <c r="C806" s="66">
        <f>IFERROR(__xludf.DUMMYFUNCTION("""COMPUTED_VALUE"""),3.2361E9)</f>
        <v>3236100000</v>
      </c>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2">
        <f>IFERROR(__xludf.DUMMYFUNCTION("""COMPUTED_VALUE"""),403000.0)</f>
        <v>403000</v>
      </c>
      <c r="B807" s="2">
        <f>IFERROR(__xludf.DUMMYFUNCTION("""COMPUTED_VALUE"""),8060.0)</f>
        <v>8060</v>
      </c>
      <c r="C807" s="66">
        <f>IFERROR(__xludf.DUMMYFUNCTION("""COMPUTED_VALUE"""),3.24415E9)</f>
        <v>3244150000</v>
      </c>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2">
        <f>IFERROR(__xludf.DUMMYFUNCTION("""COMPUTED_VALUE"""),403500.0)</f>
        <v>403500</v>
      </c>
      <c r="B808" s="2">
        <f>IFERROR(__xludf.DUMMYFUNCTION("""COMPUTED_VALUE"""),8070.0)</f>
        <v>8070</v>
      </c>
      <c r="C808" s="66">
        <f>IFERROR(__xludf.DUMMYFUNCTION("""COMPUTED_VALUE"""),3.25221E9)</f>
        <v>3252210000</v>
      </c>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2">
        <f>IFERROR(__xludf.DUMMYFUNCTION("""COMPUTED_VALUE"""),404000.0)</f>
        <v>404000</v>
      </c>
      <c r="B809" s="2">
        <f>IFERROR(__xludf.DUMMYFUNCTION("""COMPUTED_VALUE"""),8080.0)</f>
        <v>8080</v>
      </c>
      <c r="C809" s="66">
        <f>IFERROR(__xludf.DUMMYFUNCTION("""COMPUTED_VALUE"""),3.26028E9)</f>
        <v>3260280000</v>
      </c>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2">
        <f>IFERROR(__xludf.DUMMYFUNCTION("""COMPUTED_VALUE"""),404500.0)</f>
        <v>404500</v>
      </c>
      <c r="B810" s="2">
        <f>IFERROR(__xludf.DUMMYFUNCTION("""COMPUTED_VALUE"""),8090.0)</f>
        <v>8090</v>
      </c>
      <c r="C810" s="66">
        <f>IFERROR(__xludf.DUMMYFUNCTION("""COMPUTED_VALUE"""),3.26836E9)</f>
        <v>3268360000</v>
      </c>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2">
        <f>IFERROR(__xludf.DUMMYFUNCTION("""COMPUTED_VALUE"""),405000.0)</f>
        <v>405000</v>
      </c>
      <c r="B811" s="2">
        <f>IFERROR(__xludf.DUMMYFUNCTION("""COMPUTED_VALUE"""),8100.0)</f>
        <v>8100</v>
      </c>
      <c r="C811" s="66">
        <f>IFERROR(__xludf.DUMMYFUNCTION("""COMPUTED_VALUE"""),3.27645E9)</f>
        <v>3276450000</v>
      </c>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2">
        <f>IFERROR(__xludf.DUMMYFUNCTION("""COMPUTED_VALUE"""),405500.0)</f>
        <v>405500</v>
      </c>
      <c r="B812" s="2">
        <f>IFERROR(__xludf.DUMMYFUNCTION("""COMPUTED_VALUE"""),8110.0)</f>
        <v>8110</v>
      </c>
      <c r="C812" s="66">
        <f>IFERROR(__xludf.DUMMYFUNCTION("""COMPUTED_VALUE"""),3.28455E9)</f>
        <v>3284550000</v>
      </c>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2">
        <f>IFERROR(__xludf.DUMMYFUNCTION("""COMPUTED_VALUE"""),406000.0)</f>
        <v>406000</v>
      </c>
      <c r="B813" s="2">
        <f>IFERROR(__xludf.DUMMYFUNCTION("""COMPUTED_VALUE"""),8120.0)</f>
        <v>8120</v>
      </c>
      <c r="C813" s="66">
        <f>IFERROR(__xludf.DUMMYFUNCTION("""COMPUTED_VALUE"""),3.29266E9)</f>
        <v>3292660000</v>
      </c>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2">
        <f>IFERROR(__xludf.DUMMYFUNCTION("""COMPUTED_VALUE"""),406500.0)</f>
        <v>406500</v>
      </c>
      <c r="B814" s="2">
        <f>IFERROR(__xludf.DUMMYFUNCTION("""COMPUTED_VALUE"""),8130.0)</f>
        <v>8130</v>
      </c>
      <c r="C814" s="66">
        <f>IFERROR(__xludf.DUMMYFUNCTION("""COMPUTED_VALUE"""),3.30078E9)</f>
        <v>3300780000</v>
      </c>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2">
        <f>IFERROR(__xludf.DUMMYFUNCTION("""COMPUTED_VALUE"""),407000.0)</f>
        <v>407000</v>
      </c>
      <c r="B815" s="2">
        <f>IFERROR(__xludf.DUMMYFUNCTION("""COMPUTED_VALUE"""),8140.0)</f>
        <v>8140</v>
      </c>
      <c r="C815" s="66">
        <f>IFERROR(__xludf.DUMMYFUNCTION("""COMPUTED_VALUE"""),3.30891E9)</f>
        <v>3308910000</v>
      </c>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2">
        <f>IFERROR(__xludf.DUMMYFUNCTION("""COMPUTED_VALUE"""),407500.0)</f>
        <v>407500</v>
      </c>
      <c r="B816" s="2">
        <f>IFERROR(__xludf.DUMMYFUNCTION("""COMPUTED_VALUE"""),8150.0)</f>
        <v>8150</v>
      </c>
      <c r="C816" s="66">
        <f>IFERROR(__xludf.DUMMYFUNCTION("""COMPUTED_VALUE"""),3.31705E9)</f>
        <v>3317050000</v>
      </c>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2">
        <f>IFERROR(__xludf.DUMMYFUNCTION("""COMPUTED_VALUE"""),408000.0)</f>
        <v>408000</v>
      </c>
      <c r="B817" s="2">
        <f>IFERROR(__xludf.DUMMYFUNCTION("""COMPUTED_VALUE"""),8160.0)</f>
        <v>8160</v>
      </c>
      <c r="C817" s="66">
        <f>IFERROR(__xludf.DUMMYFUNCTION("""COMPUTED_VALUE"""),3.3252E9)</f>
        <v>3325200000</v>
      </c>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2">
        <f>IFERROR(__xludf.DUMMYFUNCTION("""COMPUTED_VALUE"""),408500.0)</f>
        <v>408500</v>
      </c>
      <c r="B818" s="2">
        <f>IFERROR(__xludf.DUMMYFUNCTION("""COMPUTED_VALUE"""),8170.0)</f>
        <v>8170</v>
      </c>
      <c r="C818" s="66">
        <f>IFERROR(__xludf.DUMMYFUNCTION("""COMPUTED_VALUE"""),3.33336E9)</f>
        <v>3333360000</v>
      </c>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2">
        <f>IFERROR(__xludf.DUMMYFUNCTION("""COMPUTED_VALUE"""),409000.0)</f>
        <v>409000</v>
      </c>
      <c r="B819" s="2">
        <f>IFERROR(__xludf.DUMMYFUNCTION("""COMPUTED_VALUE"""),8180.0)</f>
        <v>8180</v>
      </c>
      <c r="C819" s="66">
        <f>IFERROR(__xludf.DUMMYFUNCTION("""COMPUTED_VALUE"""),3.34153E9)</f>
        <v>3341530000</v>
      </c>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2">
        <f>IFERROR(__xludf.DUMMYFUNCTION("""COMPUTED_VALUE"""),409500.0)</f>
        <v>409500</v>
      </c>
      <c r="B820" s="2">
        <f>IFERROR(__xludf.DUMMYFUNCTION("""COMPUTED_VALUE"""),8190.0)</f>
        <v>8190</v>
      </c>
      <c r="C820" s="66">
        <f>IFERROR(__xludf.DUMMYFUNCTION("""COMPUTED_VALUE"""),3.34971E9)</f>
        <v>3349710000</v>
      </c>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2">
        <f>IFERROR(__xludf.DUMMYFUNCTION("""COMPUTED_VALUE"""),410000.0)</f>
        <v>410000</v>
      </c>
      <c r="B821" s="2">
        <f>IFERROR(__xludf.DUMMYFUNCTION("""COMPUTED_VALUE"""),8200.0)</f>
        <v>8200</v>
      </c>
      <c r="C821" s="66">
        <f>IFERROR(__xludf.DUMMYFUNCTION("""COMPUTED_VALUE"""),3.3579E9)</f>
        <v>3357900000</v>
      </c>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2">
        <f>IFERROR(__xludf.DUMMYFUNCTION("""COMPUTED_VALUE"""),410500.0)</f>
        <v>410500</v>
      </c>
      <c r="B822" s="2">
        <f>IFERROR(__xludf.DUMMYFUNCTION("""COMPUTED_VALUE"""),8210.0)</f>
        <v>8210</v>
      </c>
      <c r="C822" s="66">
        <f>IFERROR(__xludf.DUMMYFUNCTION("""COMPUTED_VALUE"""),3.3661E9)</f>
        <v>3366100000</v>
      </c>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2">
        <f>IFERROR(__xludf.DUMMYFUNCTION("""COMPUTED_VALUE"""),411000.0)</f>
        <v>411000</v>
      </c>
      <c r="B823" s="2">
        <f>IFERROR(__xludf.DUMMYFUNCTION("""COMPUTED_VALUE"""),8220.0)</f>
        <v>8220</v>
      </c>
      <c r="C823" s="66">
        <f>IFERROR(__xludf.DUMMYFUNCTION("""COMPUTED_VALUE"""),3.37431E9)</f>
        <v>3374310000</v>
      </c>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2">
        <f>IFERROR(__xludf.DUMMYFUNCTION("""COMPUTED_VALUE"""),411500.0)</f>
        <v>411500</v>
      </c>
      <c r="B824" s="2">
        <f>IFERROR(__xludf.DUMMYFUNCTION("""COMPUTED_VALUE"""),8230.0)</f>
        <v>8230</v>
      </c>
      <c r="C824" s="66">
        <f>IFERROR(__xludf.DUMMYFUNCTION("""COMPUTED_VALUE"""),3.38253E9)</f>
        <v>3382530000</v>
      </c>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2">
        <f>IFERROR(__xludf.DUMMYFUNCTION("""COMPUTED_VALUE"""),412000.0)</f>
        <v>412000</v>
      </c>
      <c r="B825" s="2">
        <f>IFERROR(__xludf.DUMMYFUNCTION("""COMPUTED_VALUE"""),8240.0)</f>
        <v>8240</v>
      </c>
      <c r="C825" s="66">
        <f>IFERROR(__xludf.DUMMYFUNCTION("""COMPUTED_VALUE"""),3.39076E9)</f>
        <v>3390760000</v>
      </c>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2">
        <f>IFERROR(__xludf.DUMMYFUNCTION("""COMPUTED_VALUE"""),412500.0)</f>
        <v>412500</v>
      </c>
      <c r="B826" s="2">
        <f>IFERROR(__xludf.DUMMYFUNCTION("""COMPUTED_VALUE"""),8250.0)</f>
        <v>8250</v>
      </c>
      <c r="C826" s="66">
        <f>IFERROR(__xludf.DUMMYFUNCTION("""COMPUTED_VALUE"""),3.399E9)</f>
        <v>3399000000</v>
      </c>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2">
        <f>IFERROR(__xludf.DUMMYFUNCTION("""COMPUTED_VALUE"""),413000.0)</f>
        <v>413000</v>
      </c>
      <c r="B827" s="2">
        <f>IFERROR(__xludf.DUMMYFUNCTION("""COMPUTED_VALUE"""),8260.0)</f>
        <v>8260</v>
      </c>
      <c r="C827" s="66">
        <f>IFERROR(__xludf.DUMMYFUNCTION("""COMPUTED_VALUE"""),3.40725E9)</f>
        <v>3407250000</v>
      </c>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2">
        <f>IFERROR(__xludf.DUMMYFUNCTION("""COMPUTED_VALUE"""),413500.0)</f>
        <v>413500</v>
      </c>
      <c r="B828" s="2">
        <f>IFERROR(__xludf.DUMMYFUNCTION("""COMPUTED_VALUE"""),8270.0)</f>
        <v>8270</v>
      </c>
      <c r="C828" s="66">
        <f>IFERROR(__xludf.DUMMYFUNCTION("""COMPUTED_VALUE"""),3.41551E9)</f>
        <v>3415510000</v>
      </c>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2">
        <f>IFERROR(__xludf.DUMMYFUNCTION("""COMPUTED_VALUE"""),414000.0)</f>
        <v>414000</v>
      </c>
      <c r="B829" s="2">
        <f>IFERROR(__xludf.DUMMYFUNCTION("""COMPUTED_VALUE"""),8280.0)</f>
        <v>8280</v>
      </c>
      <c r="C829" s="66">
        <f>IFERROR(__xludf.DUMMYFUNCTION("""COMPUTED_VALUE"""),3.42378E9)</f>
        <v>3423780000</v>
      </c>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2">
        <f>IFERROR(__xludf.DUMMYFUNCTION("""COMPUTED_VALUE"""),414500.0)</f>
        <v>414500</v>
      </c>
      <c r="B830" s="2">
        <f>IFERROR(__xludf.DUMMYFUNCTION("""COMPUTED_VALUE"""),8290.0)</f>
        <v>8290</v>
      </c>
      <c r="C830" s="66">
        <f>IFERROR(__xludf.DUMMYFUNCTION("""COMPUTED_VALUE"""),3.43206E9)</f>
        <v>3432060000</v>
      </c>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2">
        <f>IFERROR(__xludf.DUMMYFUNCTION("""COMPUTED_VALUE"""),415000.0)</f>
        <v>415000</v>
      </c>
      <c r="B831" s="2">
        <f>IFERROR(__xludf.DUMMYFUNCTION("""COMPUTED_VALUE"""),8300.0)</f>
        <v>8300</v>
      </c>
      <c r="C831" s="66">
        <f>IFERROR(__xludf.DUMMYFUNCTION("""COMPUTED_VALUE"""),3.44035E9)</f>
        <v>3440350000</v>
      </c>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2">
        <f>IFERROR(__xludf.DUMMYFUNCTION("""COMPUTED_VALUE"""),415500.0)</f>
        <v>415500</v>
      </c>
      <c r="B832" s="2">
        <f>IFERROR(__xludf.DUMMYFUNCTION("""COMPUTED_VALUE"""),8310.0)</f>
        <v>8310</v>
      </c>
      <c r="C832" s="66">
        <f>IFERROR(__xludf.DUMMYFUNCTION("""COMPUTED_VALUE"""),3.44865E9)</f>
        <v>3448650000</v>
      </c>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2">
        <f>IFERROR(__xludf.DUMMYFUNCTION("""COMPUTED_VALUE"""),416000.0)</f>
        <v>416000</v>
      </c>
      <c r="B833" s="2">
        <f>IFERROR(__xludf.DUMMYFUNCTION("""COMPUTED_VALUE"""),8320.0)</f>
        <v>8320</v>
      </c>
      <c r="C833" s="66">
        <f>IFERROR(__xludf.DUMMYFUNCTION("""COMPUTED_VALUE"""),3.45696E9)</f>
        <v>3456960000</v>
      </c>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2">
        <f>IFERROR(__xludf.DUMMYFUNCTION("""COMPUTED_VALUE"""),416500.0)</f>
        <v>416500</v>
      </c>
      <c r="B834" s="2">
        <f>IFERROR(__xludf.DUMMYFUNCTION("""COMPUTED_VALUE"""),8330.0)</f>
        <v>8330</v>
      </c>
      <c r="C834" s="66">
        <f>IFERROR(__xludf.DUMMYFUNCTION("""COMPUTED_VALUE"""),3.46528E9)</f>
        <v>3465280000</v>
      </c>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2">
        <f>IFERROR(__xludf.DUMMYFUNCTION("""COMPUTED_VALUE"""),417000.0)</f>
        <v>417000</v>
      </c>
      <c r="B835" s="2">
        <f>IFERROR(__xludf.DUMMYFUNCTION("""COMPUTED_VALUE"""),8340.0)</f>
        <v>8340</v>
      </c>
      <c r="C835" s="66">
        <f>IFERROR(__xludf.DUMMYFUNCTION("""COMPUTED_VALUE"""),3.47361E9)</f>
        <v>3473610000</v>
      </c>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2">
        <f>IFERROR(__xludf.DUMMYFUNCTION("""COMPUTED_VALUE"""),417500.0)</f>
        <v>417500</v>
      </c>
      <c r="B836" s="2">
        <f>IFERROR(__xludf.DUMMYFUNCTION("""COMPUTED_VALUE"""),8350.0)</f>
        <v>8350</v>
      </c>
      <c r="C836" s="66">
        <f>IFERROR(__xludf.DUMMYFUNCTION("""COMPUTED_VALUE"""),3.48195E9)</f>
        <v>3481950000</v>
      </c>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2">
        <f>IFERROR(__xludf.DUMMYFUNCTION("""COMPUTED_VALUE"""),418000.0)</f>
        <v>418000</v>
      </c>
      <c r="B837" s="2">
        <f>IFERROR(__xludf.DUMMYFUNCTION("""COMPUTED_VALUE"""),8360.0)</f>
        <v>8360</v>
      </c>
      <c r="C837" s="66">
        <f>IFERROR(__xludf.DUMMYFUNCTION("""COMPUTED_VALUE"""),3.4903E9)</f>
        <v>3490300000</v>
      </c>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2">
        <f>IFERROR(__xludf.DUMMYFUNCTION("""COMPUTED_VALUE"""),418500.0)</f>
        <v>418500</v>
      </c>
      <c r="B838" s="2">
        <f>IFERROR(__xludf.DUMMYFUNCTION("""COMPUTED_VALUE"""),8370.0)</f>
        <v>8370</v>
      </c>
      <c r="C838" s="66">
        <f>IFERROR(__xludf.DUMMYFUNCTION("""COMPUTED_VALUE"""),3.49866E9)</f>
        <v>3498660000</v>
      </c>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2">
        <f>IFERROR(__xludf.DUMMYFUNCTION("""COMPUTED_VALUE"""),419000.0)</f>
        <v>419000</v>
      </c>
      <c r="B839" s="2">
        <f>IFERROR(__xludf.DUMMYFUNCTION("""COMPUTED_VALUE"""),8380.0)</f>
        <v>8380</v>
      </c>
      <c r="C839" s="66">
        <f>IFERROR(__xludf.DUMMYFUNCTION("""COMPUTED_VALUE"""),3.50703E9)</f>
        <v>3507030000</v>
      </c>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2">
        <f>IFERROR(__xludf.DUMMYFUNCTION("""COMPUTED_VALUE"""),419500.0)</f>
        <v>419500</v>
      </c>
      <c r="B840" s="2">
        <f>IFERROR(__xludf.DUMMYFUNCTION("""COMPUTED_VALUE"""),8390.0)</f>
        <v>8390</v>
      </c>
      <c r="C840" s="66">
        <f>IFERROR(__xludf.DUMMYFUNCTION("""COMPUTED_VALUE"""),3.51541E9)</f>
        <v>3515410000</v>
      </c>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2">
        <f>IFERROR(__xludf.DUMMYFUNCTION("""COMPUTED_VALUE"""),420000.0)</f>
        <v>420000</v>
      </c>
      <c r="B841" s="2">
        <f>IFERROR(__xludf.DUMMYFUNCTION("""COMPUTED_VALUE"""),8400.0)</f>
        <v>8400</v>
      </c>
      <c r="C841" s="66">
        <f>IFERROR(__xludf.DUMMYFUNCTION("""COMPUTED_VALUE"""),3.5238E9)</f>
        <v>3523800000</v>
      </c>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2">
        <f>IFERROR(__xludf.DUMMYFUNCTION("""COMPUTED_VALUE"""),420500.0)</f>
        <v>420500</v>
      </c>
      <c r="B842" s="2">
        <f>IFERROR(__xludf.DUMMYFUNCTION("""COMPUTED_VALUE"""),8410.0)</f>
        <v>8410</v>
      </c>
      <c r="C842" s="66">
        <f>IFERROR(__xludf.DUMMYFUNCTION("""COMPUTED_VALUE"""),3.5322E9)</f>
        <v>3532200000</v>
      </c>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2">
        <f>IFERROR(__xludf.DUMMYFUNCTION("""COMPUTED_VALUE"""),421000.0)</f>
        <v>421000</v>
      </c>
      <c r="B843" s="2">
        <f>IFERROR(__xludf.DUMMYFUNCTION("""COMPUTED_VALUE"""),8420.0)</f>
        <v>8420</v>
      </c>
      <c r="C843" s="66">
        <f>IFERROR(__xludf.DUMMYFUNCTION("""COMPUTED_VALUE"""),3.54061E9)</f>
        <v>3540610000</v>
      </c>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2">
        <f>IFERROR(__xludf.DUMMYFUNCTION("""COMPUTED_VALUE"""),421500.0)</f>
        <v>421500</v>
      </c>
      <c r="B844" s="2">
        <f>IFERROR(__xludf.DUMMYFUNCTION("""COMPUTED_VALUE"""),8430.0)</f>
        <v>8430</v>
      </c>
      <c r="C844" s="66">
        <f>IFERROR(__xludf.DUMMYFUNCTION("""COMPUTED_VALUE"""),3.54903E9)</f>
        <v>3549030000</v>
      </c>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2">
        <f>IFERROR(__xludf.DUMMYFUNCTION("""COMPUTED_VALUE"""),422000.0)</f>
        <v>422000</v>
      </c>
      <c r="B845" s="2">
        <f>IFERROR(__xludf.DUMMYFUNCTION("""COMPUTED_VALUE"""),8440.0)</f>
        <v>8440</v>
      </c>
      <c r="C845" s="66">
        <f>IFERROR(__xludf.DUMMYFUNCTION("""COMPUTED_VALUE"""),3.55746E9)</f>
        <v>3557460000</v>
      </c>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2">
        <f>IFERROR(__xludf.DUMMYFUNCTION("""COMPUTED_VALUE"""),422500.0)</f>
        <v>422500</v>
      </c>
      <c r="B846" s="2">
        <f>IFERROR(__xludf.DUMMYFUNCTION("""COMPUTED_VALUE"""),8450.0)</f>
        <v>8450</v>
      </c>
      <c r="C846" s="66">
        <f>IFERROR(__xludf.DUMMYFUNCTION("""COMPUTED_VALUE"""),3.5659E9)</f>
        <v>3565900000</v>
      </c>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2">
        <f>IFERROR(__xludf.DUMMYFUNCTION("""COMPUTED_VALUE"""),423000.0)</f>
        <v>423000</v>
      </c>
      <c r="B847" s="2">
        <f>IFERROR(__xludf.DUMMYFUNCTION("""COMPUTED_VALUE"""),8460.0)</f>
        <v>8460</v>
      </c>
      <c r="C847" s="66">
        <f>IFERROR(__xludf.DUMMYFUNCTION("""COMPUTED_VALUE"""),3.57435E9)</f>
        <v>3574350000</v>
      </c>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2">
        <f>IFERROR(__xludf.DUMMYFUNCTION("""COMPUTED_VALUE"""),423500.0)</f>
        <v>423500</v>
      </c>
      <c r="B848" s="2">
        <f>IFERROR(__xludf.DUMMYFUNCTION("""COMPUTED_VALUE"""),8470.0)</f>
        <v>8470</v>
      </c>
      <c r="C848" s="66">
        <f>IFERROR(__xludf.DUMMYFUNCTION("""COMPUTED_VALUE"""),3.58281E9)</f>
        <v>3582810000</v>
      </c>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2">
        <f>IFERROR(__xludf.DUMMYFUNCTION("""COMPUTED_VALUE"""),424000.0)</f>
        <v>424000</v>
      </c>
      <c r="B849" s="2">
        <f>IFERROR(__xludf.DUMMYFUNCTION("""COMPUTED_VALUE"""),8480.0)</f>
        <v>8480</v>
      </c>
      <c r="C849" s="66">
        <f>IFERROR(__xludf.DUMMYFUNCTION("""COMPUTED_VALUE"""),3.59128E9)</f>
        <v>3591280000</v>
      </c>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2">
        <f>IFERROR(__xludf.DUMMYFUNCTION("""COMPUTED_VALUE"""),424500.0)</f>
        <v>424500</v>
      </c>
      <c r="B850" s="2">
        <f>IFERROR(__xludf.DUMMYFUNCTION("""COMPUTED_VALUE"""),8490.0)</f>
        <v>8490</v>
      </c>
      <c r="C850" s="66">
        <f>IFERROR(__xludf.DUMMYFUNCTION("""COMPUTED_VALUE"""),3.59976E9)</f>
        <v>3599760000</v>
      </c>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2">
        <f>IFERROR(__xludf.DUMMYFUNCTION("""COMPUTED_VALUE"""),425000.0)</f>
        <v>425000</v>
      </c>
      <c r="B851" s="2">
        <f>IFERROR(__xludf.DUMMYFUNCTION("""COMPUTED_VALUE"""),8500.0)</f>
        <v>8500</v>
      </c>
      <c r="C851" s="66">
        <f>IFERROR(__xludf.DUMMYFUNCTION("""COMPUTED_VALUE"""),3.60825E9)</f>
        <v>3608250000</v>
      </c>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2">
        <f>IFERROR(__xludf.DUMMYFUNCTION("""COMPUTED_VALUE"""),425500.0)</f>
        <v>425500</v>
      </c>
      <c r="B852" s="2">
        <f>IFERROR(__xludf.DUMMYFUNCTION("""COMPUTED_VALUE"""),8510.0)</f>
        <v>8510</v>
      </c>
      <c r="C852" s="66">
        <f>IFERROR(__xludf.DUMMYFUNCTION("""COMPUTED_VALUE"""),3.61675E9)</f>
        <v>3616750000</v>
      </c>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2">
        <f>IFERROR(__xludf.DUMMYFUNCTION("""COMPUTED_VALUE"""),426000.0)</f>
        <v>426000</v>
      </c>
      <c r="B853" s="2">
        <f>IFERROR(__xludf.DUMMYFUNCTION("""COMPUTED_VALUE"""),8520.0)</f>
        <v>8520</v>
      </c>
      <c r="C853" s="66">
        <f>IFERROR(__xludf.DUMMYFUNCTION("""COMPUTED_VALUE"""),3.62526E9)</f>
        <v>3625260000</v>
      </c>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2">
        <f>IFERROR(__xludf.DUMMYFUNCTION("""COMPUTED_VALUE"""),426500.0)</f>
        <v>426500</v>
      </c>
      <c r="B854" s="2">
        <f>IFERROR(__xludf.DUMMYFUNCTION("""COMPUTED_VALUE"""),8530.0)</f>
        <v>8530</v>
      </c>
      <c r="C854" s="66">
        <f>IFERROR(__xludf.DUMMYFUNCTION("""COMPUTED_VALUE"""),3.63378E9)</f>
        <v>3633780000</v>
      </c>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2">
        <f>IFERROR(__xludf.DUMMYFUNCTION("""COMPUTED_VALUE"""),427000.0)</f>
        <v>427000</v>
      </c>
      <c r="B855" s="2">
        <f>IFERROR(__xludf.DUMMYFUNCTION("""COMPUTED_VALUE"""),8540.0)</f>
        <v>8540</v>
      </c>
      <c r="C855" s="66">
        <f>IFERROR(__xludf.DUMMYFUNCTION("""COMPUTED_VALUE"""),3.64231E9)</f>
        <v>3642310000</v>
      </c>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2">
        <f>IFERROR(__xludf.DUMMYFUNCTION("""COMPUTED_VALUE"""),427500.0)</f>
        <v>427500</v>
      </c>
      <c r="B856" s="2">
        <f>IFERROR(__xludf.DUMMYFUNCTION("""COMPUTED_VALUE"""),8550.0)</f>
        <v>8550</v>
      </c>
      <c r="C856" s="66">
        <f>IFERROR(__xludf.DUMMYFUNCTION("""COMPUTED_VALUE"""),3.65085E9)</f>
        <v>3650850000</v>
      </c>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2">
        <f>IFERROR(__xludf.DUMMYFUNCTION("""COMPUTED_VALUE"""),428000.0)</f>
        <v>428000</v>
      </c>
      <c r="B857" s="2">
        <f>IFERROR(__xludf.DUMMYFUNCTION("""COMPUTED_VALUE"""),8560.0)</f>
        <v>8560</v>
      </c>
      <c r="C857" s="66">
        <f>IFERROR(__xludf.DUMMYFUNCTION("""COMPUTED_VALUE"""),3.6594E9)</f>
        <v>3659400000</v>
      </c>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2">
        <f>IFERROR(__xludf.DUMMYFUNCTION("""COMPUTED_VALUE"""),428500.0)</f>
        <v>428500</v>
      </c>
      <c r="B858" s="2">
        <f>IFERROR(__xludf.DUMMYFUNCTION("""COMPUTED_VALUE"""),8570.0)</f>
        <v>8570</v>
      </c>
      <c r="C858" s="66">
        <f>IFERROR(__xludf.DUMMYFUNCTION("""COMPUTED_VALUE"""),3.66796E9)</f>
        <v>3667960000</v>
      </c>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2">
        <f>IFERROR(__xludf.DUMMYFUNCTION("""COMPUTED_VALUE"""),429000.0)</f>
        <v>429000</v>
      </c>
      <c r="B859" s="2">
        <f>IFERROR(__xludf.DUMMYFUNCTION("""COMPUTED_VALUE"""),8580.0)</f>
        <v>8580</v>
      </c>
      <c r="C859" s="66">
        <f>IFERROR(__xludf.DUMMYFUNCTION("""COMPUTED_VALUE"""),3.67653E9)</f>
        <v>3676530000</v>
      </c>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2">
        <f>IFERROR(__xludf.DUMMYFUNCTION("""COMPUTED_VALUE"""),429500.0)</f>
        <v>429500</v>
      </c>
      <c r="B860" s="2">
        <f>IFERROR(__xludf.DUMMYFUNCTION("""COMPUTED_VALUE"""),8590.0)</f>
        <v>8590</v>
      </c>
      <c r="C860" s="66">
        <f>IFERROR(__xludf.DUMMYFUNCTION("""COMPUTED_VALUE"""),3.68511E9)</f>
        <v>3685110000</v>
      </c>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2">
        <f>IFERROR(__xludf.DUMMYFUNCTION("""COMPUTED_VALUE"""),430000.0)</f>
        <v>430000</v>
      </c>
      <c r="B861" s="2">
        <f>IFERROR(__xludf.DUMMYFUNCTION("""COMPUTED_VALUE"""),8600.0)</f>
        <v>8600</v>
      </c>
      <c r="C861" s="66">
        <f>IFERROR(__xludf.DUMMYFUNCTION("""COMPUTED_VALUE"""),3.6937E9)</f>
        <v>3693700000</v>
      </c>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2">
        <f>IFERROR(__xludf.DUMMYFUNCTION("""COMPUTED_VALUE"""),430500.0)</f>
        <v>430500</v>
      </c>
      <c r="B862" s="2">
        <f>IFERROR(__xludf.DUMMYFUNCTION("""COMPUTED_VALUE"""),8610.0)</f>
        <v>8610</v>
      </c>
      <c r="C862" s="66">
        <f>IFERROR(__xludf.DUMMYFUNCTION("""COMPUTED_VALUE"""),3.7023E9)</f>
        <v>3702300000</v>
      </c>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2">
        <f>IFERROR(__xludf.DUMMYFUNCTION("""COMPUTED_VALUE"""),431000.0)</f>
        <v>431000</v>
      </c>
      <c r="B863" s="2">
        <f>IFERROR(__xludf.DUMMYFUNCTION("""COMPUTED_VALUE"""),8620.0)</f>
        <v>8620</v>
      </c>
      <c r="C863" s="66">
        <f>IFERROR(__xludf.DUMMYFUNCTION("""COMPUTED_VALUE"""),3.71091E9)</f>
        <v>3710910000</v>
      </c>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2">
        <f>IFERROR(__xludf.DUMMYFUNCTION("""COMPUTED_VALUE"""),431500.0)</f>
        <v>431500</v>
      </c>
      <c r="B864" s="2">
        <f>IFERROR(__xludf.DUMMYFUNCTION("""COMPUTED_VALUE"""),8630.0)</f>
        <v>8630</v>
      </c>
      <c r="C864" s="66">
        <f>IFERROR(__xludf.DUMMYFUNCTION("""COMPUTED_VALUE"""),3.71953E9)</f>
        <v>3719530000</v>
      </c>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2">
        <f>IFERROR(__xludf.DUMMYFUNCTION("""COMPUTED_VALUE"""),432000.0)</f>
        <v>432000</v>
      </c>
      <c r="B865" s="2">
        <f>IFERROR(__xludf.DUMMYFUNCTION("""COMPUTED_VALUE"""),8640.0)</f>
        <v>8640</v>
      </c>
      <c r="C865" s="66">
        <f>IFERROR(__xludf.DUMMYFUNCTION("""COMPUTED_VALUE"""),3.72816E9)</f>
        <v>3728160000</v>
      </c>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2">
        <f>IFERROR(__xludf.DUMMYFUNCTION("""COMPUTED_VALUE"""),432500.0)</f>
        <v>432500</v>
      </c>
      <c r="B866" s="2">
        <f>IFERROR(__xludf.DUMMYFUNCTION("""COMPUTED_VALUE"""),8650.0)</f>
        <v>8650</v>
      </c>
      <c r="C866" s="66">
        <f>IFERROR(__xludf.DUMMYFUNCTION("""COMPUTED_VALUE"""),3.7368E9)</f>
        <v>3736800000</v>
      </c>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2">
        <f>IFERROR(__xludf.DUMMYFUNCTION("""COMPUTED_VALUE"""),433000.0)</f>
        <v>433000</v>
      </c>
      <c r="B867" s="2">
        <f>IFERROR(__xludf.DUMMYFUNCTION("""COMPUTED_VALUE"""),8660.0)</f>
        <v>8660</v>
      </c>
      <c r="C867" s="66">
        <f>IFERROR(__xludf.DUMMYFUNCTION("""COMPUTED_VALUE"""),3.74545E9)</f>
        <v>3745450000</v>
      </c>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2">
        <f>IFERROR(__xludf.DUMMYFUNCTION("""COMPUTED_VALUE"""),433500.0)</f>
        <v>433500</v>
      </c>
      <c r="B868" s="2">
        <f>IFERROR(__xludf.DUMMYFUNCTION("""COMPUTED_VALUE"""),8670.0)</f>
        <v>8670</v>
      </c>
      <c r="C868" s="66">
        <f>IFERROR(__xludf.DUMMYFUNCTION("""COMPUTED_VALUE"""),3.75411E9)</f>
        <v>3754110000</v>
      </c>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2">
        <f>IFERROR(__xludf.DUMMYFUNCTION("""COMPUTED_VALUE"""),434000.0)</f>
        <v>434000</v>
      </c>
      <c r="B869" s="2">
        <f>IFERROR(__xludf.DUMMYFUNCTION("""COMPUTED_VALUE"""),8680.0)</f>
        <v>8680</v>
      </c>
      <c r="C869" s="66">
        <f>IFERROR(__xludf.DUMMYFUNCTION("""COMPUTED_VALUE"""),3.76278E9)</f>
        <v>3762780000</v>
      </c>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2">
        <f>IFERROR(__xludf.DUMMYFUNCTION("""COMPUTED_VALUE"""),434500.0)</f>
        <v>434500</v>
      </c>
      <c r="B870" s="2">
        <f>IFERROR(__xludf.DUMMYFUNCTION("""COMPUTED_VALUE"""),8690.0)</f>
        <v>8690</v>
      </c>
      <c r="C870" s="66">
        <f>IFERROR(__xludf.DUMMYFUNCTION("""COMPUTED_VALUE"""),3.77146E9)</f>
        <v>3771460000</v>
      </c>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2">
        <f>IFERROR(__xludf.DUMMYFUNCTION("""COMPUTED_VALUE"""),435000.0)</f>
        <v>435000</v>
      </c>
      <c r="B871" s="2">
        <f>IFERROR(__xludf.DUMMYFUNCTION("""COMPUTED_VALUE"""),8700.0)</f>
        <v>8700</v>
      </c>
      <c r="C871" s="66">
        <f>IFERROR(__xludf.DUMMYFUNCTION("""COMPUTED_VALUE"""),3.78015E9)</f>
        <v>3780150000</v>
      </c>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2">
        <f>IFERROR(__xludf.DUMMYFUNCTION("""COMPUTED_VALUE"""),435500.0)</f>
        <v>435500</v>
      </c>
      <c r="B872" s="2">
        <f>IFERROR(__xludf.DUMMYFUNCTION("""COMPUTED_VALUE"""),8710.0)</f>
        <v>8710</v>
      </c>
      <c r="C872" s="66">
        <f>IFERROR(__xludf.DUMMYFUNCTION("""COMPUTED_VALUE"""),3.78885E9)</f>
        <v>3788850000</v>
      </c>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2">
        <f>IFERROR(__xludf.DUMMYFUNCTION("""COMPUTED_VALUE"""),436000.0)</f>
        <v>436000</v>
      </c>
      <c r="B873" s="2">
        <f>IFERROR(__xludf.DUMMYFUNCTION("""COMPUTED_VALUE"""),8720.0)</f>
        <v>8720</v>
      </c>
      <c r="C873" s="66">
        <f>IFERROR(__xludf.DUMMYFUNCTION("""COMPUTED_VALUE"""),3.79756E9)</f>
        <v>3797560000</v>
      </c>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2">
        <f>IFERROR(__xludf.DUMMYFUNCTION("""COMPUTED_VALUE"""),436500.0)</f>
        <v>436500</v>
      </c>
      <c r="B874" s="2">
        <f>IFERROR(__xludf.DUMMYFUNCTION("""COMPUTED_VALUE"""),8730.0)</f>
        <v>8730</v>
      </c>
      <c r="C874" s="66">
        <f>IFERROR(__xludf.DUMMYFUNCTION("""COMPUTED_VALUE"""),3.80628E9)</f>
        <v>3806280000</v>
      </c>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2">
        <f>IFERROR(__xludf.DUMMYFUNCTION("""COMPUTED_VALUE"""),437000.0)</f>
        <v>437000</v>
      </c>
      <c r="B875" s="2">
        <f>IFERROR(__xludf.DUMMYFUNCTION("""COMPUTED_VALUE"""),8740.0)</f>
        <v>8740</v>
      </c>
      <c r="C875" s="66">
        <f>IFERROR(__xludf.DUMMYFUNCTION("""COMPUTED_VALUE"""),3.81501E9)</f>
        <v>3815010000</v>
      </c>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2">
        <f>IFERROR(__xludf.DUMMYFUNCTION("""COMPUTED_VALUE"""),437500.0)</f>
        <v>437500</v>
      </c>
      <c r="B876" s="2">
        <f>IFERROR(__xludf.DUMMYFUNCTION("""COMPUTED_VALUE"""),8750.0)</f>
        <v>8750</v>
      </c>
      <c r="C876" s="66">
        <f>IFERROR(__xludf.DUMMYFUNCTION("""COMPUTED_VALUE"""),3.82375E9)</f>
        <v>3823750000</v>
      </c>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2">
        <f>IFERROR(__xludf.DUMMYFUNCTION("""COMPUTED_VALUE"""),438000.0)</f>
        <v>438000</v>
      </c>
      <c r="B877" s="2">
        <f>IFERROR(__xludf.DUMMYFUNCTION("""COMPUTED_VALUE"""),8760.0)</f>
        <v>8760</v>
      </c>
      <c r="C877" s="66">
        <f>IFERROR(__xludf.DUMMYFUNCTION("""COMPUTED_VALUE"""),3.8325E9)</f>
        <v>3832500000</v>
      </c>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2">
        <f>IFERROR(__xludf.DUMMYFUNCTION("""COMPUTED_VALUE"""),438500.0)</f>
        <v>438500</v>
      </c>
      <c r="B878" s="2">
        <f>IFERROR(__xludf.DUMMYFUNCTION("""COMPUTED_VALUE"""),8770.0)</f>
        <v>8770</v>
      </c>
      <c r="C878" s="66">
        <f>IFERROR(__xludf.DUMMYFUNCTION("""COMPUTED_VALUE"""),3.84126E9)</f>
        <v>3841260000</v>
      </c>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2">
        <f>IFERROR(__xludf.DUMMYFUNCTION("""COMPUTED_VALUE"""),439000.0)</f>
        <v>439000</v>
      </c>
      <c r="B879" s="2">
        <f>IFERROR(__xludf.DUMMYFUNCTION("""COMPUTED_VALUE"""),8780.0)</f>
        <v>8780</v>
      </c>
      <c r="C879" s="66">
        <f>IFERROR(__xludf.DUMMYFUNCTION("""COMPUTED_VALUE"""),3.85003E9)</f>
        <v>3850030000</v>
      </c>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2">
        <f>IFERROR(__xludf.DUMMYFUNCTION("""COMPUTED_VALUE"""),439500.0)</f>
        <v>439500</v>
      </c>
      <c r="B880" s="2">
        <f>IFERROR(__xludf.DUMMYFUNCTION("""COMPUTED_VALUE"""),8790.0)</f>
        <v>8790</v>
      </c>
      <c r="C880" s="66">
        <f>IFERROR(__xludf.DUMMYFUNCTION("""COMPUTED_VALUE"""),3.85881E9)</f>
        <v>3858810000</v>
      </c>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2">
        <f>IFERROR(__xludf.DUMMYFUNCTION("""COMPUTED_VALUE"""),440000.0)</f>
        <v>440000</v>
      </c>
      <c r="B881" s="2">
        <f>IFERROR(__xludf.DUMMYFUNCTION("""COMPUTED_VALUE"""),8800.0)</f>
        <v>8800</v>
      </c>
      <c r="C881" s="66">
        <f>IFERROR(__xludf.DUMMYFUNCTION("""COMPUTED_VALUE"""),3.8676E9)</f>
        <v>3867600000</v>
      </c>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2">
        <f>IFERROR(__xludf.DUMMYFUNCTION("""COMPUTED_VALUE"""),440500.0)</f>
        <v>440500</v>
      </c>
      <c r="B882" s="2">
        <f>IFERROR(__xludf.DUMMYFUNCTION("""COMPUTED_VALUE"""),8810.0)</f>
        <v>8810</v>
      </c>
      <c r="C882" s="66">
        <f>IFERROR(__xludf.DUMMYFUNCTION("""COMPUTED_VALUE"""),3.8764E9)</f>
        <v>3876400000</v>
      </c>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2">
        <f>IFERROR(__xludf.DUMMYFUNCTION("""COMPUTED_VALUE"""),441000.0)</f>
        <v>441000</v>
      </c>
      <c r="B883" s="2">
        <f>IFERROR(__xludf.DUMMYFUNCTION("""COMPUTED_VALUE"""),8820.0)</f>
        <v>8820</v>
      </c>
      <c r="C883" s="66">
        <f>IFERROR(__xludf.DUMMYFUNCTION("""COMPUTED_VALUE"""),3.88521E9)</f>
        <v>3885210000</v>
      </c>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2">
        <f>IFERROR(__xludf.DUMMYFUNCTION("""COMPUTED_VALUE"""),441500.0)</f>
        <v>441500</v>
      </c>
      <c r="B884" s="2">
        <f>IFERROR(__xludf.DUMMYFUNCTION("""COMPUTED_VALUE"""),8830.0)</f>
        <v>8830</v>
      </c>
      <c r="C884" s="66">
        <f>IFERROR(__xludf.DUMMYFUNCTION("""COMPUTED_VALUE"""),3.89403E9)</f>
        <v>3894030000</v>
      </c>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2">
        <f>IFERROR(__xludf.DUMMYFUNCTION("""COMPUTED_VALUE"""),442000.0)</f>
        <v>442000</v>
      </c>
      <c r="B885" s="2">
        <f>IFERROR(__xludf.DUMMYFUNCTION("""COMPUTED_VALUE"""),8840.0)</f>
        <v>8840</v>
      </c>
      <c r="C885" s="66">
        <f>IFERROR(__xludf.DUMMYFUNCTION("""COMPUTED_VALUE"""),3.90286E9)</f>
        <v>3902860000</v>
      </c>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2">
        <f>IFERROR(__xludf.DUMMYFUNCTION("""COMPUTED_VALUE"""),442500.0)</f>
        <v>442500</v>
      </c>
      <c r="B886" s="2">
        <f>IFERROR(__xludf.DUMMYFUNCTION("""COMPUTED_VALUE"""),8850.0)</f>
        <v>8850</v>
      </c>
      <c r="C886" s="66">
        <f>IFERROR(__xludf.DUMMYFUNCTION("""COMPUTED_VALUE"""),3.9117E9)</f>
        <v>3911700000</v>
      </c>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2">
        <f>IFERROR(__xludf.DUMMYFUNCTION("""COMPUTED_VALUE"""),443000.0)</f>
        <v>443000</v>
      </c>
      <c r="B887" s="2">
        <f>IFERROR(__xludf.DUMMYFUNCTION("""COMPUTED_VALUE"""),8860.0)</f>
        <v>8860</v>
      </c>
      <c r="C887" s="66">
        <f>IFERROR(__xludf.DUMMYFUNCTION("""COMPUTED_VALUE"""),3.92055E9)</f>
        <v>3920550000</v>
      </c>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2">
        <f>IFERROR(__xludf.DUMMYFUNCTION("""COMPUTED_VALUE"""),443500.0)</f>
        <v>443500</v>
      </c>
      <c r="B888" s="2">
        <f>IFERROR(__xludf.DUMMYFUNCTION("""COMPUTED_VALUE"""),8870.0)</f>
        <v>8870</v>
      </c>
      <c r="C888" s="66">
        <f>IFERROR(__xludf.DUMMYFUNCTION("""COMPUTED_VALUE"""),3.92941E9)</f>
        <v>3929410000</v>
      </c>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2">
        <f>IFERROR(__xludf.DUMMYFUNCTION("""COMPUTED_VALUE"""),444000.0)</f>
        <v>444000</v>
      </c>
      <c r="B889" s="2">
        <f>IFERROR(__xludf.DUMMYFUNCTION("""COMPUTED_VALUE"""),8880.0)</f>
        <v>8880</v>
      </c>
      <c r="C889" s="66">
        <f>IFERROR(__xludf.DUMMYFUNCTION("""COMPUTED_VALUE"""),3.93828E9)</f>
        <v>3938280000</v>
      </c>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2">
        <f>IFERROR(__xludf.DUMMYFUNCTION("""COMPUTED_VALUE"""),444500.0)</f>
        <v>444500</v>
      </c>
      <c r="B890" s="2">
        <f>IFERROR(__xludf.DUMMYFUNCTION("""COMPUTED_VALUE"""),8890.0)</f>
        <v>8890</v>
      </c>
      <c r="C890" s="66">
        <f>IFERROR(__xludf.DUMMYFUNCTION("""COMPUTED_VALUE"""),3.94716E9)</f>
        <v>3947160000</v>
      </c>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2">
        <f>IFERROR(__xludf.DUMMYFUNCTION("""COMPUTED_VALUE"""),445000.0)</f>
        <v>445000</v>
      </c>
      <c r="B891" s="2">
        <f>IFERROR(__xludf.DUMMYFUNCTION("""COMPUTED_VALUE"""),8900.0)</f>
        <v>8900</v>
      </c>
      <c r="C891" s="66">
        <f>IFERROR(__xludf.DUMMYFUNCTION("""COMPUTED_VALUE"""),3.95605E9)</f>
        <v>3956050000</v>
      </c>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2">
        <f>IFERROR(__xludf.DUMMYFUNCTION("""COMPUTED_VALUE"""),445500.0)</f>
        <v>445500</v>
      </c>
      <c r="B892" s="2">
        <f>IFERROR(__xludf.DUMMYFUNCTION("""COMPUTED_VALUE"""),8910.0)</f>
        <v>8910</v>
      </c>
      <c r="C892" s="66">
        <f>IFERROR(__xludf.DUMMYFUNCTION("""COMPUTED_VALUE"""),3.96495E9)</f>
        <v>3964950000</v>
      </c>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2">
        <f>IFERROR(__xludf.DUMMYFUNCTION("""COMPUTED_VALUE"""),446000.0)</f>
        <v>446000</v>
      </c>
      <c r="B893" s="2">
        <f>IFERROR(__xludf.DUMMYFUNCTION("""COMPUTED_VALUE"""),8920.0)</f>
        <v>8920</v>
      </c>
      <c r="C893" s="66">
        <f>IFERROR(__xludf.DUMMYFUNCTION("""COMPUTED_VALUE"""),3.97386E9)</f>
        <v>3973860000</v>
      </c>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2">
        <f>IFERROR(__xludf.DUMMYFUNCTION("""COMPUTED_VALUE"""),446500.0)</f>
        <v>446500</v>
      </c>
      <c r="B894" s="2">
        <f>IFERROR(__xludf.DUMMYFUNCTION("""COMPUTED_VALUE"""),8930.0)</f>
        <v>8930</v>
      </c>
      <c r="C894" s="66">
        <f>IFERROR(__xludf.DUMMYFUNCTION("""COMPUTED_VALUE"""),3.98278E9)</f>
        <v>3982780000</v>
      </c>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2">
        <f>IFERROR(__xludf.DUMMYFUNCTION("""COMPUTED_VALUE"""),447000.0)</f>
        <v>447000</v>
      </c>
      <c r="B895" s="2">
        <f>IFERROR(__xludf.DUMMYFUNCTION("""COMPUTED_VALUE"""),8940.0)</f>
        <v>8940</v>
      </c>
      <c r="C895" s="66">
        <f>IFERROR(__xludf.DUMMYFUNCTION("""COMPUTED_VALUE"""),3.99171E9)</f>
        <v>3991710000</v>
      </c>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2">
        <f>IFERROR(__xludf.DUMMYFUNCTION("""COMPUTED_VALUE"""),447500.0)</f>
        <v>447500</v>
      </c>
      <c r="B896" s="2">
        <f>IFERROR(__xludf.DUMMYFUNCTION("""COMPUTED_VALUE"""),8950.0)</f>
        <v>8950</v>
      </c>
      <c r="C896" s="66">
        <f>IFERROR(__xludf.DUMMYFUNCTION("""COMPUTED_VALUE"""),4.00065E9)</f>
        <v>4000650000</v>
      </c>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2">
        <f>IFERROR(__xludf.DUMMYFUNCTION("""COMPUTED_VALUE"""),448000.0)</f>
        <v>448000</v>
      </c>
      <c r="B897" s="2">
        <f>IFERROR(__xludf.DUMMYFUNCTION("""COMPUTED_VALUE"""),8960.0)</f>
        <v>8960</v>
      </c>
      <c r="C897" s="66">
        <f>IFERROR(__xludf.DUMMYFUNCTION("""COMPUTED_VALUE"""),4.0096E9)</f>
        <v>4009600000</v>
      </c>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2">
        <f>IFERROR(__xludf.DUMMYFUNCTION("""COMPUTED_VALUE"""),448500.0)</f>
        <v>448500</v>
      </c>
      <c r="B898" s="2">
        <f>IFERROR(__xludf.DUMMYFUNCTION("""COMPUTED_VALUE"""),8970.0)</f>
        <v>8970</v>
      </c>
      <c r="C898" s="66">
        <f>IFERROR(__xludf.DUMMYFUNCTION("""COMPUTED_VALUE"""),4.01856E9)</f>
        <v>4018560000</v>
      </c>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2">
        <f>IFERROR(__xludf.DUMMYFUNCTION("""COMPUTED_VALUE"""),449000.0)</f>
        <v>449000</v>
      </c>
      <c r="B899" s="2">
        <f>IFERROR(__xludf.DUMMYFUNCTION("""COMPUTED_VALUE"""),8980.0)</f>
        <v>8980</v>
      </c>
      <c r="C899" s="66">
        <f>IFERROR(__xludf.DUMMYFUNCTION("""COMPUTED_VALUE"""),4.02753E9)</f>
        <v>4027530000</v>
      </c>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2">
        <f>IFERROR(__xludf.DUMMYFUNCTION("""COMPUTED_VALUE"""),449500.0)</f>
        <v>449500</v>
      </c>
      <c r="B900" s="2">
        <f>IFERROR(__xludf.DUMMYFUNCTION("""COMPUTED_VALUE"""),8990.0)</f>
        <v>8990</v>
      </c>
      <c r="C900" s="66">
        <f>IFERROR(__xludf.DUMMYFUNCTION("""COMPUTED_VALUE"""),4.03651E9)</f>
        <v>4036510000</v>
      </c>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2">
        <f>IFERROR(__xludf.DUMMYFUNCTION("""COMPUTED_VALUE"""),450000.0)</f>
        <v>450000</v>
      </c>
      <c r="B901" s="2">
        <f>IFERROR(__xludf.DUMMYFUNCTION("""COMPUTED_VALUE"""),9000.0)</f>
        <v>9000</v>
      </c>
      <c r="C901" s="66">
        <f>IFERROR(__xludf.DUMMYFUNCTION("""COMPUTED_VALUE"""),4.0455E9)</f>
        <v>4045500000</v>
      </c>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2">
        <f>IFERROR(__xludf.DUMMYFUNCTION("""COMPUTED_VALUE"""),450500.0)</f>
        <v>450500</v>
      </c>
      <c r="B902" s="2">
        <f>IFERROR(__xludf.DUMMYFUNCTION("""COMPUTED_VALUE"""),9010.0)</f>
        <v>9010</v>
      </c>
      <c r="C902" s="66">
        <f>IFERROR(__xludf.DUMMYFUNCTION("""COMPUTED_VALUE"""),4.0545E9)</f>
        <v>4054500000</v>
      </c>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2">
        <f>IFERROR(__xludf.DUMMYFUNCTION("""COMPUTED_VALUE"""),451000.0)</f>
        <v>451000</v>
      </c>
      <c r="B903" s="2">
        <f>IFERROR(__xludf.DUMMYFUNCTION("""COMPUTED_VALUE"""),9020.0)</f>
        <v>9020</v>
      </c>
      <c r="C903" s="66">
        <f>IFERROR(__xludf.DUMMYFUNCTION("""COMPUTED_VALUE"""),4.06351E9)</f>
        <v>4063510000</v>
      </c>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2">
        <f>IFERROR(__xludf.DUMMYFUNCTION("""COMPUTED_VALUE"""),451500.0)</f>
        <v>451500</v>
      </c>
      <c r="B904" s="2">
        <f>IFERROR(__xludf.DUMMYFUNCTION("""COMPUTED_VALUE"""),9030.0)</f>
        <v>9030</v>
      </c>
      <c r="C904" s="66">
        <f>IFERROR(__xludf.DUMMYFUNCTION("""COMPUTED_VALUE"""),4.07253E9)</f>
        <v>4072530000</v>
      </c>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2">
        <f>IFERROR(__xludf.DUMMYFUNCTION("""COMPUTED_VALUE"""),452000.0)</f>
        <v>452000</v>
      </c>
      <c r="B905" s="2">
        <f>IFERROR(__xludf.DUMMYFUNCTION("""COMPUTED_VALUE"""),9040.0)</f>
        <v>9040</v>
      </c>
      <c r="C905" s="66">
        <f>IFERROR(__xludf.DUMMYFUNCTION("""COMPUTED_VALUE"""),4.08156E9)</f>
        <v>4081560000</v>
      </c>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2">
        <f>IFERROR(__xludf.DUMMYFUNCTION("""COMPUTED_VALUE"""),452500.0)</f>
        <v>452500</v>
      </c>
      <c r="B906" s="2">
        <f>IFERROR(__xludf.DUMMYFUNCTION("""COMPUTED_VALUE"""),9050.0)</f>
        <v>9050</v>
      </c>
      <c r="C906" s="66">
        <f>IFERROR(__xludf.DUMMYFUNCTION("""COMPUTED_VALUE"""),4.0906E9)</f>
        <v>4090600000</v>
      </c>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2">
        <f>IFERROR(__xludf.DUMMYFUNCTION("""COMPUTED_VALUE"""),453000.0)</f>
        <v>453000</v>
      </c>
      <c r="B907" s="2">
        <f>IFERROR(__xludf.DUMMYFUNCTION("""COMPUTED_VALUE"""),9060.0)</f>
        <v>9060</v>
      </c>
      <c r="C907" s="66">
        <f>IFERROR(__xludf.DUMMYFUNCTION("""COMPUTED_VALUE"""),4.09965E9)</f>
        <v>4099650000</v>
      </c>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2">
        <f>IFERROR(__xludf.DUMMYFUNCTION("""COMPUTED_VALUE"""),453500.0)</f>
        <v>453500</v>
      </c>
      <c r="B908" s="2">
        <f>IFERROR(__xludf.DUMMYFUNCTION("""COMPUTED_VALUE"""),9070.0)</f>
        <v>9070</v>
      </c>
      <c r="C908" s="66">
        <f>IFERROR(__xludf.DUMMYFUNCTION("""COMPUTED_VALUE"""),4.10871E9)</f>
        <v>4108710000</v>
      </c>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2">
        <f>IFERROR(__xludf.DUMMYFUNCTION("""COMPUTED_VALUE"""),454000.0)</f>
        <v>454000</v>
      </c>
      <c r="B909" s="2">
        <f>IFERROR(__xludf.DUMMYFUNCTION("""COMPUTED_VALUE"""),9080.0)</f>
        <v>9080</v>
      </c>
      <c r="C909" s="66">
        <f>IFERROR(__xludf.DUMMYFUNCTION("""COMPUTED_VALUE"""),4.11778E9)</f>
        <v>4117780000</v>
      </c>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2">
        <f>IFERROR(__xludf.DUMMYFUNCTION("""COMPUTED_VALUE"""),454500.0)</f>
        <v>454500</v>
      </c>
      <c r="B910" s="2">
        <f>IFERROR(__xludf.DUMMYFUNCTION("""COMPUTED_VALUE"""),9090.0)</f>
        <v>9090</v>
      </c>
      <c r="C910" s="66">
        <f>IFERROR(__xludf.DUMMYFUNCTION("""COMPUTED_VALUE"""),4.12686E9)</f>
        <v>4126860000</v>
      </c>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2">
        <f>IFERROR(__xludf.DUMMYFUNCTION("""COMPUTED_VALUE"""),455000.0)</f>
        <v>455000</v>
      </c>
      <c r="B911" s="2">
        <f>IFERROR(__xludf.DUMMYFUNCTION("""COMPUTED_VALUE"""),9100.0)</f>
        <v>9100</v>
      </c>
      <c r="C911" s="66">
        <f>IFERROR(__xludf.DUMMYFUNCTION("""COMPUTED_VALUE"""),4.13595E9)</f>
        <v>4135950000</v>
      </c>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2">
        <f>IFERROR(__xludf.DUMMYFUNCTION("""COMPUTED_VALUE"""),455500.0)</f>
        <v>455500</v>
      </c>
      <c r="B912" s="2">
        <f>IFERROR(__xludf.DUMMYFUNCTION("""COMPUTED_VALUE"""),9110.0)</f>
        <v>9110</v>
      </c>
      <c r="C912" s="66">
        <f>IFERROR(__xludf.DUMMYFUNCTION("""COMPUTED_VALUE"""),4.14505E9)</f>
        <v>4145050000</v>
      </c>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2">
        <f>IFERROR(__xludf.DUMMYFUNCTION("""COMPUTED_VALUE"""),456000.0)</f>
        <v>456000</v>
      </c>
      <c r="B913" s="2">
        <f>IFERROR(__xludf.DUMMYFUNCTION("""COMPUTED_VALUE"""),9120.0)</f>
        <v>9120</v>
      </c>
      <c r="C913" s="66">
        <f>IFERROR(__xludf.DUMMYFUNCTION("""COMPUTED_VALUE"""),4.15416E9)</f>
        <v>4154160000</v>
      </c>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2">
        <f>IFERROR(__xludf.DUMMYFUNCTION("""COMPUTED_VALUE"""),456500.0)</f>
        <v>456500</v>
      </c>
      <c r="B914" s="2">
        <f>IFERROR(__xludf.DUMMYFUNCTION("""COMPUTED_VALUE"""),9130.0)</f>
        <v>9130</v>
      </c>
      <c r="C914" s="66">
        <f>IFERROR(__xludf.DUMMYFUNCTION("""COMPUTED_VALUE"""),4.16328E9)</f>
        <v>4163280000</v>
      </c>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2">
        <f>IFERROR(__xludf.DUMMYFUNCTION("""COMPUTED_VALUE"""),457000.0)</f>
        <v>457000</v>
      </c>
      <c r="B915" s="2">
        <f>IFERROR(__xludf.DUMMYFUNCTION("""COMPUTED_VALUE"""),9140.0)</f>
        <v>9140</v>
      </c>
      <c r="C915" s="66">
        <f>IFERROR(__xludf.DUMMYFUNCTION("""COMPUTED_VALUE"""),4.17241E9)</f>
        <v>4172410000</v>
      </c>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2">
        <f>IFERROR(__xludf.DUMMYFUNCTION("""COMPUTED_VALUE"""),457500.0)</f>
        <v>457500</v>
      </c>
      <c r="B916" s="2">
        <f>IFERROR(__xludf.DUMMYFUNCTION("""COMPUTED_VALUE"""),9150.0)</f>
        <v>9150</v>
      </c>
      <c r="C916" s="66">
        <f>IFERROR(__xludf.DUMMYFUNCTION("""COMPUTED_VALUE"""),4.18155E9)</f>
        <v>4181550000</v>
      </c>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2">
        <f>IFERROR(__xludf.DUMMYFUNCTION("""COMPUTED_VALUE"""),458000.0)</f>
        <v>458000</v>
      </c>
      <c r="B917" s="2">
        <f>IFERROR(__xludf.DUMMYFUNCTION("""COMPUTED_VALUE"""),9160.0)</f>
        <v>9160</v>
      </c>
      <c r="C917" s="66">
        <f>IFERROR(__xludf.DUMMYFUNCTION("""COMPUTED_VALUE"""),4.1907E9)</f>
        <v>4190700000</v>
      </c>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2">
        <f>IFERROR(__xludf.DUMMYFUNCTION("""COMPUTED_VALUE"""),458500.0)</f>
        <v>458500</v>
      </c>
      <c r="B918" s="2">
        <f>IFERROR(__xludf.DUMMYFUNCTION("""COMPUTED_VALUE"""),9170.0)</f>
        <v>9170</v>
      </c>
      <c r="C918" s="66">
        <f>IFERROR(__xludf.DUMMYFUNCTION("""COMPUTED_VALUE"""),4.19986E9)</f>
        <v>4199860000</v>
      </c>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2">
        <f>IFERROR(__xludf.DUMMYFUNCTION("""COMPUTED_VALUE"""),459000.0)</f>
        <v>459000</v>
      </c>
      <c r="B919" s="2">
        <f>IFERROR(__xludf.DUMMYFUNCTION("""COMPUTED_VALUE"""),9180.0)</f>
        <v>9180</v>
      </c>
      <c r="C919" s="66">
        <f>IFERROR(__xludf.DUMMYFUNCTION("""COMPUTED_VALUE"""),4.20903E9)</f>
        <v>4209030000</v>
      </c>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2">
        <f>IFERROR(__xludf.DUMMYFUNCTION("""COMPUTED_VALUE"""),459500.0)</f>
        <v>459500</v>
      </c>
      <c r="B920" s="2">
        <f>IFERROR(__xludf.DUMMYFUNCTION("""COMPUTED_VALUE"""),9190.0)</f>
        <v>9190</v>
      </c>
      <c r="C920" s="66">
        <f>IFERROR(__xludf.DUMMYFUNCTION("""COMPUTED_VALUE"""),4.21821E9)</f>
        <v>4218210000</v>
      </c>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2">
        <f>IFERROR(__xludf.DUMMYFUNCTION("""COMPUTED_VALUE"""),460000.0)</f>
        <v>460000</v>
      </c>
      <c r="B921" s="2">
        <f>IFERROR(__xludf.DUMMYFUNCTION("""COMPUTED_VALUE"""),9200.0)</f>
        <v>9200</v>
      </c>
      <c r="C921" s="66">
        <f>IFERROR(__xludf.DUMMYFUNCTION("""COMPUTED_VALUE"""),4.2274E9)</f>
        <v>4227400000</v>
      </c>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2">
        <f>IFERROR(__xludf.DUMMYFUNCTION("""COMPUTED_VALUE"""),460500.0)</f>
        <v>460500</v>
      </c>
      <c r="B922" s="2">
        <f>IFERROR(__xludf.DUMMYFUNCTION("""COMPUTED_VALUE"""),9210.0)</f>
        <v>9210</v>
      </c>
      <c r="C922" s="66">
        <f>IFERROR(__xludf.DUMMYFUNCTION("""COMPUTED_VALUE"""),4.2366E9)</f>
        <v>4236600000</v>
      </c>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2">
        <f>IFERROR(__xludf.DUMMYFUNCTION("""COMPUTED_VALUE"""),461000.0)</f>
        <v>461000</v>
      </c>
      <c r="B923" s="2">
        <f>IFERROR(__xludf.DUMMYFUNCTION("""COMPUTED_VALUE"""),9220.0)</f>
        <v>9220</v>
      </c>
      <c r="C923" s="66">
        <f>IFERROR(__xludf.DUMMYFUNCTION("""COMPUTED_VALUE"""),4.24581E9)</f>
        <v>4245810000</v>
      </c>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2">
        <f>IFERROR(__xludf.DUMMYFUNCTION("""COMPUTED_VALUE"""),461500.0)</f>
        <v>461500</v>
      </c>
      <c r="B924" s="2">
        <f>IFERROR(__xludf.DUMMYFUNCTION("""COMPUTED_VALUE"""),9230.0)</f>
        <v>9230</v>
      </c>
      <c r="C924" s="66">
        <f>IFERROR(__xludf.DUMMYFUNCTION("""COMPUTED_VALUE"""),4.25503E9)</f>
        <v>4255030000</v>
      </c>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2">
        <f>IFERROR(__xludf.DUMMYFUNCTION("""COMPUTED_VALUE"""),462000.0)</f>
        <v>462000</v>
      </c>
      <c r="B925" s="2">
        <f>IFERROR(__xludf.DUMMYFUNCTION("""COMPUTED_VALUE"""),9240.0)</f>
        <v>9240</v>
      </c>
      <c r="C925" s="66">
        <f>IFERROR(__xludf.DUMMYFUNCTION("""COMPUTED_VALUE"""),4.26426E9)</f>
        <v>4264260000</v>
      </c>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2">
        <f>IFERROR(__xludf.DUMMYFUNCTION("""COMPUTED_VALUE"""),462500.0)</f>
        <v>462500</v>
      </c>
      <c r="B926" s="2">
        <f>IFERROR(__xludf.DUMMYFUNCTION("""COMPUTED_VALUE"""),9250.0)</f>
        <v>9250</v>
      </c>
      <c r="C926" s="66">
        <f>IFERROR(__xludf.DUMMYFUNCTION("""COMPUTED_VALUE"""),4.2735E9)</f>
        <v>4273500000</v>
      </c>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2">
        <f>IFERROR(__xludf.DUMMYFUNCTION("""COMPUTED_VALUE"""),463000.0)</f>
        <v>463000</v>
      </c>
      <c r="B927" s="2">
        <f>IFERROR(__xludf.DUMMYFUNCTION("""COMPUTED_VALUE"""),9260.0)</f>
        <v>9260</v>
      </c>
      <c r="C927" s="66">
        <f>IFERROR(__xludf.DUMMYFUNCTION("""COMPUTED_VALUE"""),4.28275E9)</f>
        <v>4282750000</v>
      </c>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2">
        <f>IFERROR(__xludf.DUMMYFUNCTION("""COMPUTED_VALUE"""),463500.0)</f>
        <v>463500</v>
      </c>
      <c r="B928" s="2">
        <f>IFERROR(__xludf.DUMMYFUNCTION("""COMPUTED_VALUE"""),9270.0)</f>
        <v>9270</v>
      </c>
      <c r="C928" s="66">
        <f>IFERROR(__xludf.DUMMYFUNCTION("""COMPUTED_VALUE"""),4.29201E9)</f>
        <v>4292010000</v>
      </c>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2">
        <f>IFERROR(__xludf.DUMMYFUNCTION("""COMPUTED_VALUE"""),464000.0)</f>
        <v>464000</v>
      </c>
      <c r="B929" s="2">
        <f>IFERROR(__xludf.DUMMYFUNCTION("""COMPUTED_VALUE"""),9280.0)</f>
        <v>9280</v>
      </c>
      <c r="C929" s="66">
        <f>IFERROR(__xludf.DUMMYFUNCTION("""COMPUTED_VALUE"""),4.30128E9)</f>
        <v>4301280000</v>
      </c>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2">
        <f>IFERROR(__xludf.DUMMYFUNCTION("""COMPUTED_VALUE"""),464500.0)</f>
        <v>464500</v>
      </c>
      <c r="B930" s="2">
        <f>IFERROR(__xludf.DUMMYFUNCTION("""COMPUTED_VALUE"""),9290.0)</f>
        <v>9290</v>
      </c>
      <c r="C930" s="66">
        <f>IFERROR(__xludf.DUMMYFUNCTION("""COMPUTED_VALUE"""),4.31056E9)</f>
        <v>4310560000</v>
      </c>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2">
        <f>IFERROR(__xludf.DUMMYFUNCTION("""COMPUTED_VALUE"""),465000.0)</f>
        <v>465000</v>
      </c>
      <c r="B931" s="2">
        <f>IFERROR(__xludf.DUMMYFUNCTION("""COMPUTED_VALUE"""),9300.0)</f>
        <v>9300</v>
      </c>
      <c r="C931" s="66">
        <f>IFERROR(__xludf.DUMMYFUNCTION("""COMPUTED_VALUE"""),4.31985E9)</f>
        <v>4319850000</v>
      </c>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2">
        <f>IFERROR(__xludf.DUMMYFUNCTION("""COMPUTED_VALUE"""),465500.0)</f>
        <v>465500</v>
      </c>
      <c r="B932" s="2">
        <f>IFERROR(__xludf.DUMMYFUNCTION("""COMPUTED_VALUE"""),9310.0)</f>
        <v>9310</v>
      </c>
      <c r="C932" s="66">
        <f>IFERROR(__xludf.DUMMYFUNCTION("""COMPUTED_VALUE"""),4.32915E9)</f>
        <v>4329150000</v>
      </c>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2">
        <f>IFERROR(__xludf.DUMMYFUNCTION("""COMPUTED_VALUE"""),466000.0)</f>
        <v>466000</v>
      </c>
      <c r="B933" s="2">
        <f>IFERROR(__xludf.DUMMYFUNCTION("""COMPUTED_VALUE"""),9320.0)</f>
        <v>9320</v>
      </c>
      <c r="C933" s="66">
        <f>IFERROR(__xludf.DUMMYFUNCTION("""COMPUTED_VALUE"""),4.33846E9)</f>
        <v>4338460000</v>
      </c>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2">
        <f>IFERROR(__xludf.DUMMYFUNCTION("""COMPUTED_VALUE"""),466500.0)</f>
        <v>466500</v>
      </c>
      <c r="B934" s="2">
        <f>IFERROR(__xludf.DUMMYFUNCTION("""COMPUTED_VALUE"""),9330.0)</f>
        <v>9330</v>
      </c>
      <c r="C934" s="66">
        <f>IFERROR(__xludf.DUMMYFUNCTION("""COMPUTED_VALUE"""),4.34778E9)</f>
        <v>4347780000</v>
      </c>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2">
        <f>IFERROR(__xludf.DUMMYFUNCTION("""COMPUTED_VALUE"""),467000.0)</f>
        <v>467000</v>
      </c>
      <c r="B935" s="2">
        <f>IFERROR(__xludf.DUMMYFUNCTION("""COMPUTED_VALUE"""),9340.0)</f>
        <v>9340</v>
      </c>
      <c r="C935" s="66">
        <f>IFERROR(__xludf.DUMMYFUNCTION("""COMPUTED_VALUE"""),4.35711E9)</f>
        <v>4357110000</v>
      </c>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2">
        <f>IFERROR(__xludf.DUMMYFUNCTION("""COMPUTED_VALUE"""),467500.0)</f>
        <v>467500</v>
      </c>
      <c r="B936" s="2">
        <f>IFERROR(__xludf.DUMMYFUNCTION("""COMPUTED_VALUE"""),9350.0)</f>
        <v>9350</v>
      </c>
      <c r="C936" s="66">
        <f>IFERROR(__xludf.DUMMYFUNCTION("""COMPUTED_VALUE"""),4.36645E9)</f>
        <v>4366450000</v>
      </c>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2">
        <f>IFERROR(__xludf.DUMMYFUNCTION("""COMPUTED_VALUE"""),468000.0)</f>
        <v>468000</v>
      </c>
      <c r="B937" s="2">
        <f>IFERROR(__xludf.DUMMYFUNCTION("""COMPUTED_VALUE"""),9360.0)</f>
        <v>9360</v>
      </c>
      <c r="C937" s="66">
        <f>IFERROR(__xludf.DUMMYFUNCTION("""COMPUTED_VALUE"""),4.3758E9)</f>
        <v>4375800000</v>
      </c>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2">
        <f>IFERROR(__xludf.DUMMYFUNCTION("""COMPUTED_VALUE"""),468500.0)</f>
        <v>468500</v>
      </c>
      <c r="B938" s="2">
        <f>IFERROR(__xludf.DUMMYFUNCTION("""COMPUTED_VALUE"""),9370.0)</f>
        <v>9370</v>
      </c>
      <c r="C938" s="66">
        <f>IFERROR(__xludf.DUMMYFUNCTION("""COMPUTED_VALUE"""),4.38516E9)</f>
        <v>4385160000</v>
      </c>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2">
        <f>IFERROR(__xludf.DUMMYFUNCTION("""COMPUTED_VALUE"""),469000.0)</f>
        <v>469000</v>
      </c>
      <c r="B939" s="2">
        <f>IFERROR(__xludf.DUMMYFUNCTION("""COMPUTED_VALUE"""),9380.0)</f>
        <v>9380</v>
      </c>
      <c r="C939" s="66">
        <f>IFERROR(__xludf.DUMMYFUNCTION("""COMPUTED_VALUE"""),4.39453E9)</f>
        <v>4394530000</v>
      </c>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2">
        <f>IFERROR(__xludf.DUMMYFUNCTION("""COMPUTED_VALUE"""),469500.0)</f>
        <v>469500</v>
      </c>
      <c r="B940" s="2">
        <f>IFERROR(__xludf.DUMMYFUNCTION("""COMPUTED_VALUE"""),9390.0)</f>
        <v>9390</v>
      </c>
      <c r="C940" s="66">
        <f>IFERROR(__xludf.DUMMYFUNCTION("""COMPUTED_VALUE"""),4.40391E9)</f>
        <v>4403910000</v>
      </c>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2">
        <f>IFERROR(__xludf.DUMMYFUNCTION("""COMPUTED_VALUE"""),470000.0)</f>
        <v>470000</v>
      </c>
      <c r="B941" s="2">
        <f>IFERROR(__xludf.DUMMYFUNCTION("""COMPUTED_VALUE"""),9400.0)</f>
        <v>9400</v>
      </c>
      <c r="C941" s="66">
        <f>IFERROR(__xludf.DUMMYFUNCTION("""COMPUTED_VALUE"""),4.4133E9)</f>
        <v>4413300000</v>
      </c>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2">
        <f>IFERROR(__xludf.DUMMYFUNCTION("""COMPUTED_VALUE"""),470500.0)</f>
        <v>470500</v>
      </c>
      <c r="B942" s="2">
        <f>IFERROR(__xludf.DUMMYFUNCTION("""COMPUTED_VALUE"""),9410.0)</f>
        <v>9410</v>
      </c>
      <c r="C942" s="66">
        <f>IFERROR(__xludf.DUMMYFUNCTION("""COMPUTED_VALUE"""),4.4227E9)</f>
        <v>4422700000</v>
      </c>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2">
        <f>IFERROR(__xludf.DUMMYFUNCTION("""COMPUTED_VALUE"""),471000.0)</f>
        <v>471000</v>
      </c>
      <c r="B943" s="2">
        <f>IFERROR(__xludf.DUMMYFUNCTION("""COMPUTED_VALUE"""),9420.0)</f>
        <v>9420</v>
      </c>
      <c r="C943" s="66">
        <f>IFERROR(__xludf.DUMMYFUNCTION("""COMPUTED_VALUE"""),4.43211E9)</f>
        <v>4432110000</v>
      </c>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2">
        <f>IFERROR(__xludf.DUMMYFUNCTION("""COMPUTED_VALUE"""),471500.0)</f>
        <v>471500</v>
      </c>
      <c r="B944" s="2">
        <f>IFERROR(__xludf.DUMMYFUNCTION("""COMPUTED_VALUE"""),9430.0)</f>
        <v>9430</v>
      </c>
      <c r="C944" s="66">
        <f>IFERROR(__xludf.DUMMYFUNCTION("""COMPUTED_VALUE"""),4.44153E9)</f>
        <v>4441530000</v>
      </c>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2">
        <f>IFERROR(__xludf.DUMMYFUNCTION("""COMPUTED_VALUE"""),472000.0)</f>
        <v>472000</v>
      </c>
      <c r="B945" s="2">
        <f>IFERROR(__xludf.DUMMYFUNCTION("""COMPUTED_VALUE"""),9440.0)</f>
        <v>9440</v>
      </c>
      <c r="C945" s="66">
        <f>IFERROR(__xludf.DUMMYFUNCTION("""COMPUTED_VALUE"""),4.45096E9)</f>
        <v>4450960000</v>
      </c>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2">
        <f>IFERROR(__xludf.DUMMYFUNCTION("""COMPUTED_VALUE"""),472500.0)</f>
        <v>472500</v>
      </c>
      <c r="B946" s="2">
        <f>IFERROR(__xludf.DUMMYFUNCTION("""COMPUTED_VALUE"""),9450.0)</f>
        <v>9450</v>
      </c>
      <c r="C946" s="66">
        <f>IFERROR(__xludf.DUMMYFUNCTION("""COMPUTED_VALUE"""),4.4604E9)</f>
        <v>4460400000</v>
      </c>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2">
        <f>IFERROR(__xludf.DUMMYFUNCTION("""COMPUTED_VALUE"""),473000.0)</f>
        <v>473000</v>
      </c>
      <c r="B947" s="2">
        <f>IFERROR(__xludf.DUMMYFUNCTION("""COMPUTED_VALUE"""),9460.0)</f>
        <v>9460</v>
      </c>
      <c r="C947" s="66">
        <f>IFERROR(__xludf.DUMMYFUNCTION("""COMPUTED_VALUE"""),4.46985E9)</f>
        <v>4469850000</v>
      </c>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2">
        <f>IFERROR(__xludf.DUMMYFUNCTION("""COMPUTED_VALUE"""),473500.0)</f>
        <v>473500</v>
      </c>
      <c r="B948" s="2">
        <f>IFERROR(__xludf.DUMMYFUNCTION("""COMPUTED_VALUE"""),9470.0)</f>
        <v>9470</v>
      </c>
      <c r="C948" s="66">
        <f>IFERROR(__xludf.DUMMYFUNCTION("""COMPUTED_VALUE"""),4.47931E9)</f>
        <v>4479310000</v>
      </c>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2">
        <f>IFERROR(__xludf.DUMMYFUNCTION("""COMPUTED_VALUE"""),474000.0)</f>
        <v>474000</v>
      </c>
      <c r="B949" s="2">
        <f>IFERROR(__xludf.DUMMYFUNCTION("""COMPUTED_VALUE"""),9480.0)</f>
        <v>9480</v>
      </c>
      <c r="C949" s="66">
        <f>IFERROR(__xludf.DUMMYFUNCTION("""COMPUTED_VALUE"""),4.48878E9)</f>
        <v>4488780000</v>
      </c>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2">
        <f>IFERROR(__xludf.DUMMYFUNCTION("""COMPUTED_VALUE"""),474500.0)</f>
        <v>474500</v>
      </c>
      <c r="B950" s="2">
        <f>IFERROR(__xludf.DUMMYFUNCTION("""COMPUTED_VALUE"""),9490.0)</f>
        <v>9490</v>
      </c>
      <c r="C950" s="66">
        <f>IFERROR(__xludf.DUMMYFUNCTION("""COMPUTED_VALUE"""),4.49826E9)</f>
        <v>4498260000</v>
      </c>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2">
        <f>IFERROR(__xludf.DUMMYFUNCTION("""COMPUTED_VALUE"""),475000.0)</f>
        <v>475000</v>
      </c>
      <c r="B951" s="2">
        <f>IFERROR(__xludf.DUMMYFUNCTION("""COMPUTED_VALUE"""),9500.0)</f>
        <v>9500</v>
      </c>
      <c r="C951" s="66">
        <f>IFERROR(__xludf.DUMMYFUNCTION("""COMPUTED_VALUE"""),4.50775E9)</f>
        <v>4507750000</v>
      </c>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2">
        <f>IFERROR(__xludf.DUMMYFUNCTION("""COMPUTED_VALUE"""),475500.0)</f>
        <v>475500</v>
      </c>
      <c r="B952" s="2">
        <f>IFERROR(__xludf.DUMMYFUNCTION("""COMPUTED_VALUE"""),9510.0)</f>
        <v>9510</v>
      </c>
      <c r="C952" s="66">
        <f>IFERROR(__xludf.DUMMYFUNCTION("""COMPUTED_VALUE"""),4.51725E9)</f>
        <v>4517250000</v>
      </c>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2">
        <f>IFERROR(__xludf.DUMMYFUNCTION("""COMPUTED_VALUE"""),476000.0)</f>
        <v>476000</v>
      </c>
      <c r="B953" s="2">
        <f>IFERROR(__xludf.DUMMYFUNCTION("""COMPUTED_VALUE"""),9520.0)</f>
        <v>9520</v>
      </c>
      <c r="C953" s="66">
        <f>IFERROR(__xludf.DUMMYFUNCTION("""COMPUTED_VALUE"""),4.52676E9)</f>
        <v>4526760000</v>
      </c>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2">
        <f>IFERROR(__xludf.DUMMYFUNCTION("""COMPUTED_VALUE"""),476500.0)</f>
        <v>476500</v>
      </c>
      <c r="B954" s="2">
        <f>IFERROR(__xludf.DUMMYFUNCTION("""COMPUTED_VALUE"""),9530.0)</f>
        <v>9530</v>
      </c>
      <c r="C954" s="66">
        <f>IFERROR(__xludf.DUMMYFUNCTION("""COMPUTED_VALUE"""),4.53628E9)</f>
        <v>4536280000</v>
      </c>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2">
        <f>IFERROR(__xludf.DUMMYFUNCTION("""COMPUTED_VALUE"""),477000.0)</f>
        <v>477000</v>
      </c>
      <c r="B955" s="2">
        <f>IFERROR(__xludf.DUMMYFUNCTION("""COMPUTED_VALUE"""),9540.0)</f>
        <v>9540</v>
      </c>
      <c r="C955" s="66">
        <f>IFERROR(__xludf.DUMMYFUNCTION("""COMPUTED_VALUE"""),4.54581E9)</f>
        <v>4545810000</v>
      </c>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2">
        <f>IFERROR(__xludf.DUMMYFUNCTION("""COMPUTED_VALUE"""),477500.0)</f>
        <v>477500</v>
      </c>
      <c r="B956" s="2">
        <f>IFERROR(__xludf.DUMMYFUNCTION("""COMPUTED_VALUE"""),9550.0)</f>
        <v>9550</v>
      </c>
      <c r="C956" s="66">
        <f>IFERROR(__xludf.DUMMYFUNCTION("""COMPUTED_VALUE"""),4.55535E9)</f>
        <v>4555350000</v>
      </c>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2">
        <f>IFERROR(__xludf.DUMMYFUNCTION("""COMPUTED_VALUE"""),478000.0)</f>
        <v>478000</v>
      </c>
      <c r="B957" s="2">
        <f>IFERROR(__xludf.DUMMYFUNCTION("""COMPUTED_VALUE"""),9560.0)</f>
        <v>9560</v>
      </c>
      <c r="C957" s="66">
        <f>IFERROR(__xludf.DUMMYFUNCTION("""COMPUTED_VALUE"""),4.5649E9)</f>
        <v>4564900000</v>
      </c>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2">
        <f>IFERROR(__xludf.DUMMYFUNCTION("""COMPUTED_VALUE"""),478500.0)</f>
        <v>478500</v>
      </c>
      <c r="B958" s="2">
        <f>IFERROR(__xludf.DUMMYFUNCTION("""COMPUTED_VALUE"""),9570.0)</f>
        <v>9570</v>
      </c>
      <c r="C958" s="66">
        <f>IFERROR(__xludf.DUMMYFUNCTION("""COMPUTED_VALUE"""),4.57446E9)</f>
        <v>4574460000</v>
      </c>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2">
        <f>IFERROR(__xludf.DUMMYFUNCTION("""COMPUTED_VALUE"""),479000.0)</f>
        <v>479000</v>
      </c>
      <c r="B959" s="2">
        <f>IFERROR(__xludf.DUMMYFUNCTION("""COMPUTED_VALUE"""),9580.0)</f>
        <v>9580</v>
      </c>
      <c r="C959" s="66">
        <f>IFERROR(__xludf.DUMMYFUNCTION("""COMPUTED_VALUE"""),4.58403E9)</f>
        <v>4584030000</v>
      </c>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2">
        <f>IFERROR(__xludf.DUMMYFUNCTION("""COMPUTED_VALUE"""),479500.0)</f>
        <v>479500</v>
      </c>
      <c r="B960" s="2">
        <f>IFERROR(__xludf.DUMMYFUNCTION("""COMPUTED_VALUE"""),9590.0)</f>
        <v>9590</v>
      </c>
      <c r="C960" s="66">
        <f>IFERROR(__xludf.DUMMYFUNCTION("""COMPUTED_VALUE"""),4.59361E9)</f>
        <v>4593610000</v>
      </c>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2">
        <f>IFERROR(__xludf.DUMMYFUNCTION("""COMPUTED_VALUE"""),480000.0)</f>
        <v>480000</v>
      </c>
      <c r="B961" s="2">
        <f>IFERROR(__xludf.DUMMYFUNCTION("""COMPUTED_VALUE"""),9600.0)</f>
        <v>9600</v>
      </c>
      <c r="C961" s="66">
        <f>IFERROR(__xludf.DUMMYFUNCTION("""COMPUTED_VALUE"""),4.6032E9)</f>
        <v>4603200000</v>
      </c>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2">
        <f>IFERROR(__xludf.DUMMYFUNCTION("""COMPUTED_VALUE"""),480500.0)</f>
        <v>480500</v>
      </c>
      <c r="B962" s="2">
        <f>IFERROR(__xludf.DUMMYFUNCTION("""COMPUTED_VALUE"""),9610.0)</f>
        <v>9610</v>
      </c>
      <c r="C962" s="66">
        <f>IFERROR(__xludf.DUMMYFUNCTION("""COMPUTED_VALUE"""),4.6128E9)</f>
        <v>4612800000</v>
      </c>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2">
        <f>IFERROR(__xludf.DUMMYFUNCTION("""COMPUTED_VALUE"""),481000.0)</f>
        <v>481000</v>
      </c>
      <c r="B963" s="2">
        <f>IFERROR(__xludf.DUMMYFUNCTION("""COMPUTED_VALUE"""),9620.0)</f>
        <v>9620</v>
      </c>
      <c r="C963" s="66">
        <f>IFERROR(__xludf.DUMMYFUNCTION("""COMPUTED_VALUE"""),4.62241E9)</f>
        <v>4622410000</v>
      </c>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2">
        <f>IFERROR(__xludf.DUMMYFUNCTION("""COMPUTED_VALUE"""),481500.0)</f>
        <v>481500</v>
      </c>
      <c r="B964" s="2">
        <f>IFERROR(__xludf.DUMMYFUNCTION("""COMPUTED_VALUE"""),9630.0)</f>
        <v>9630</v>
      </c>
      <c r="C964" s="66">
        <f>IFERROR(__xludf.DUMMYFUNCTION("""COMPUTED_VALUE"""),4.63203E9)</f>
        <v>4632030000</v>
      </c>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2">
        <f>IFERROR(__xludf.DUMMYFUNCTION("""COMPUTED_VALUE"""),482000.0)</f>
        <v>482000</v>
      </c>
      <c r="B965" s="2">
        <f>IFERROR(__xludf.DUMMYFUNCTION("""COMPUTED_VALUE"""),9640.0)</f>
        <v>9640</v>
      </c>
      <c r="C965" s="66">
        <f>IFERROR(__xludf.DUMMYFUNCTION("""COMPUTED_VALUE"""),4.64166E9)</f>
        <v>4641660000</v>
      </c>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2">
        <f>IFERROR(__xludf.DUMMYFUNCTION("""COMPUTED_VALUE"""),482500.0)</f>
        <v>482500</v>
      </c>
      <c r="B966" s="2">
        <f>IFERROR(__xludf.DUMMYFUNCTION("""COMPUTED_VALUE"""),9650.0)</f>
        <v>9650</v>
      </c>
      <c r="C966" s="66">
        <f>IFERROR(__xludf.DUMMYFUNCTION("""COMPUTED_VALUE"""),4.6513E9)</f>
        <v>4651300000</v>
      </c>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2">
        <f>IFERROR(__xludf.DUMMYFUNCTION("""COMPUTED_VALUE"""),483000.0)</f>
        <v>483000</v>
      </c>
      <c r="B967" s="2">
        <f>IFERROR(__xludf.DUMMYFUNCTION("""COMPUTED_VALUE"""),9660.0)</f>
        <v>9660</v>
      </c>
      <c r="C967" s="66">
        <f>IFERROR(__xludf.DUMMYFUNCTION("""COMPUTED_VALUE"""),4.66095E9)</f>
        <v>4660950000</v>
      </c>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2">
        <f>IFERROR(__xludf.DUMMYFUNCTION("""COMPUTED_VALUE"""),483500.0)</f>
        <v>483500</v>
      </c>
      <c r="B968" s="2">
        <f>IFERROR(__xludf.DUMMYFUNCTION("""COMPUTED_VALUE"""),9670.0)</f>
        <v>9670</v>
      </c>
      <c r="C968" s="66">
        <f>IFERROR(__xludf.DUMMYFUNCTION("""COMPUTED_VALUE"""),4.67061E9)</f>
        <v>4670610000</v>
      </c>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2">
        <f>IFERROR(__xludf.DUMMYFUNCTION("""COMPUTED_VALUE"""),484000.0)</f>
        <v>484000</v>
      </c>
      <c r="B969" s="2">
        <f>IFERROR(__xludf.DUMMYFUNCTION("""COMPUTED_VALUE"""),9680.0)</f>
        <v>9680</v>
      </c>
      <c r="C969" s="66">
        <f>IFERROR(__xludf.DUMMYFUNCTION("""COMPUTED_VALUE"""),4.68028E9)</f>
        <v>4680280000</v>
      </c>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2">
        <f>IFERROR(__xludf.DUMMYFUNCTION("""COMPUTED_VALUE"""),484500.0)</f>
        <v>484500</v>
      </c>
      <c r="B970" s="2">
        <f>IFERROR(__xludf.DUMMYFUNCTION("""COMPUTED_VALUE"""),9690.0)</f>
        <v>9690</v>
      </c>
      <c r="C970" s="66">
        <f>IFERROR(__xludf.DUMMYFUNCTION("""COMPUTED_VALUE"""),4.68996E9)</f>
        <v>4689960000</v>
      </c>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2">
        <f>IFERROR(__xludf.DUMMYFUNCTION("""COMPUTED_VALUE"""),485000.0)</f>
        <v>485000</v>
      </c>
      <c r="B971" s="2">
        <f>IFERROR(__xludf.DUMMYFUNCTION("""COMPUTED_VALUE"""),9700.0)</f>
        <v>9700</v>
      </c>
      <c r="C971" s="66">
        <f>IFERROR(__xludf.DUMMYFUNCTION("""COMPUTED_VALUE"""),4.69965E9)</f>
        <v>4699650000</v>
      </c>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2">
        <f>IFERROR(__xludf.DUMMYFUNCTION("""COMPUTED_VALUE"""),485500.0)</f>
        <v>485500</v>
      </c>
      <c r="B972" s="2">
        <f>IFERROR(__xludf.DUMMYFUNCTION("""COMPUTED_VALUE"""),9710.0)</f>
        <v>9710</v>
      </c>
      <c r="C972" s="66">
        <f>IFERROR(__xludf.DUMMYFUNCTION("""COMPUTED_VALUE"""),4.70935E9)</f>
        <v>4709350000</v>
      </c>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2">
        <f>IFERROR(__xludf.DUMMYFUNCTION("""COMPUTED_VALUE"""),486000.0)</f>
        <v>486000</v>
      </c>
      <c r="B973" s="2">
        <f>IFERROR(__xludf.DUMMYFUNCTION("""COMPUTED_VALUE"""),9720.0)</f>
        <v>9720</v>
      </c>
      <c r="C973" s="66">
        <f>IFERROR(__xludf.DUMMYFUNCTION("""COMPUTED_VALUE"""),4.71906E9)</f>
        <v>4719060000</v>
      </c>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2">
        <f>IFERROR(__xludf.DUMMYFUNCTION("""COMPUTED_VALUE"""),486500.0)</f>
        <v>486500</v>
      </c>
      <c r="B974" s="2">
        <f>IFERROR(__xludf.DUMMYFUNCTION("""COMPUTED_VALUE"""),9730.0)</f>
        <v>9730</v>
      </c>
      <c r="C974" s="66">
        <f>IFERROR(__xludf.DUMMYFUNCTION("""COMPUTED_VALUE"""),4.72878E9)</f>
        <v>4728780000</v>
      </c>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2">
        <f>IFERROR(__xludf.DUMMYFUNCTION("""COMPUTED_VALUE"""),487000.0)</f>
        <v>487000</v>
      </c>
      <c r="B975" s="2">
        <f>IFERROR(__xludf.DUMMYFUNCTION("""COMPUTED_VALUE"""),9740.0)</f>
        <v>9740</v>
      </c>
      <c r="C975" s="66">
        <f>IFERROR(__xludf.DUMMYFUNCTION("""COMPUTED_VALUE"""),4.73851E9)</f>
        <v>4738510000</v>
      </c>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2">
        <f>IFERROR(__xludf.DUMMYFUNCTION("""COMPUTED_VALUE"""),487500.0)</f>
        <v>487500</v>
      </c>
      <c r="B976" s="2">
        <f>IFERROR(__xludf.DUMMYFUNCTION("""COMPUTED_VALUE"""),9750.0)</f>
        <v>9750</v>
      </c>
      <c r="C976" s="66">
        <f>IFERROR(__xludf.DUMMYFUNCTION("""COMPUTED_VALUE"""),4.74825E9)</f>
        <v>4748250000</v>
      </c>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2">
        <f>IFERROR(__xludf.DUMMYFUNCTION("""COMPUTED_VALUE"""),488000.0)</f>
        <v>488000</v>
      </c>
      <c r="B977" s="2">
        <f>IFERROR(__xludf.DUMMYFUNCTION("""COMPUTED_VALUE"""),9760.0)</f>
        <v>9760</v>
      </c>
      <c r="C977" s="66">
        <f>IFERROR(__xludf.DUMMYFUNCTION("""COMPUTED_VALUE"""),4.758E9)</f>
        <v>4758000000</v>
      </c>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2">
        <f>IFERROR(__xludf.DUMMYFUNCTION("""COMPUTED_VALUE"""),488500.0)</f>
        <v>488500</v>
      </c>
      <c r="B978" s="2">
        <f>IFERROR(__xludf.DUMMYFUNCTION("""COMPUTED_VALUE"""),9770.0)</f>
        <v>9770</v>
      </c>
      <c r="C978" s="66">
        <f>IFERROR(__xludf.DUMMYFUNCTION("""COMPUTED_VALUE"""),4.76776E9)</f>
        <v>4767760000</v>
      </c>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2">
        <f>IFERROR(__xludf.DUMMYFUNCTION("""COMPUTED_VALUE"""),489000.0)</f>
        <v>489000</v>
      </c>
      <c r="B979" s="2">
        <f>IFERROR(__xludf.DUMMYFUNCTION("""COMPUTED_VALUE"""),9780.0)</f>
        <v>9780</v>
      </c>
      <c r="C979" s="66">
        <f>IFERROR(__xludf.DUMMYFUNCTION("""COMPUTED_VALUE"""),4.77753E9)</f>
        <v>4777530000</v>
      </c>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2">
        <f>IFERROR(__xludf.DUMMYFUNCTION("""COMPUTED_VALUE"""),489500.0)</f>
        <v>489500</v>
      </c>
      <c r="B980" s="2">
        <f>IFERROR(__xludf.DUMMYFUNCTION("""COMPUTED_VALUE"""),9790.0)</f>
        <v>9790</v>
      </c>
      <c r="C980" s="66">
        <f>IFERROR(__xludf.DUMMYFUNCTION("""COMPUTED_VALUE"""),4.78731E9)</f>
        <v>4787310000</v>
      </c>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2">
        <f>IFERROR(__xludf.DUMMYFUNCTION("""COMPUTED_VALUE"""),490000.0)</f>
        <v>490000</v>
      </c>
      <c r="B981" s="2">
        <f>IFERROR(__xludf.DUMMYFUNCTION("""COMPUTED_VALUE"""),9800.0)</f>
        <v>9800</v>
      </c>
      <c r="C981" s="66">
        <f>IFERROR(__xludf.DUMMYFUNCTION("""COMPUTED_VALUE"""),4.7971E9)</f>
        <v>4797100000</v>
      </c>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2">
        <f>IFERROR(__xludf.DUMMYFUNCTION("""COMPUTED_VALUE"""),490500.0)</f>
        <v>490500</v>
      </c>
      <c r="B982" s="2">
        <f>IFERROR(__xludf.DUMMYFUNCTION("""COMPUTED_VALUE"""),9810.0)</f>
        <v>9810</v>
      </c>
      <c r="C982" s="66">
        <f>IFERROR(__xludf.DUMMYFUNCTION("""COMPUTED_VALUE"""),4.8069E9)</f>
        <v>4806900000</v>
      </c>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2">
        <f>IFERROR(__xludf.DUMMYFUNCTION("""COMPUTED_VALUE"""),491000.0)</f>
        <v>491000</v>
      </c>
      <c r="B983" s="2">
        <f>IFERROR(__xludf.DUMMYFUNCTION("""COMPUTED_VALUE"""),9820.0)</f>
        <v>9820</v>
      </c>
      <c r="C983" s="66">
        <f>IFERROR(__xludf.DUMMYFUNCTION("""COMPUTED_VALUE"""),4.81671E9)</f>
        <v>4816710000</v>
      </c>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2">
        <f>IFERROR(__xludf.DUMMYFUNCTION("""COMPUTED_VALUE"""),491500.0)</f>
        <v>491500</v>
      </c>
      <c r="B984" s="2">
        <f>IFERROR(__xludf.DUMMYFUNCTION("""COMPUTED_VALUE"""),9830.0)</f>
        <v>9830</v>
      </c>
      <c r="C984" s="66">
        <f>IFERROR(__xludf.DUMMYFUNCTION("""COMPUTED_VALUE"""),4.82653E9)</f>
        <v>4826530000</v>
      </c>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2">
        <f>IFERROR(__xludf.DUMMYFUNCTION("""COMPUTED_VALUE"""),492000.0)</f>
        <v>492000</v>
      </c>
      <c r="B985" s="2">
        <f>IFERROR(__xludf.DUMMYFUNCTION("""COMPUTED_VALUE"""),9840.0)</f>
        <v>9840</v>
      </c>
      <c r="C985" s="66">
        <f>IFERROR(__xludf.DUMMYFUNCTION("""COMPUTED_VALUE"""),4.83636E9)</f>
        <v>4836360000</v>
      </c>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2">
        <f>IFERROR(__xludf.DUMMYFUNCTION("""COMPUTED_VALUE"""),492500.0)</f>
        <v>492500</v>
      </c>
      <c r="B986" s="2">
        <f>IFERROR(__xludf.DUMMYFUNCTION("""COMPUTED_VALUE"""),9850.0)</f>
        <v>9850</v>
      </c>
      <c r="C986" s="66">
        <f>IFERROR(__xludf.DUMMYFUNCTION("""COMPUTED_VALUE"""),4.8462E9)</f>
        <v>4846200000</v>
      </c>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2">
        <f>IFERROR(__xludf.DUMMYFUNCTION("""COMPUTED_VALUE"""),493000.0)</f>
        <v>493000</v>
      </c>
      <c r="B987" s="2">
        <f>IFERROR(__xludf.DUMMYFUNCTION("""COMPUTED_VALUE"""),9860.0)</f>
        <v>9860</v>
      </c>
      <c r="C987" s="66">
        <f>IFERROR(__xludf.DUMMYFUNCTION("""COMPUTED_VALUE"""),4.85605E9)</f>
        <v>4856050000</v>
      </c>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2">
        <f>IFERROR(__xludf.DUMMYFUNCTION("""COMPUTED_VALUE"""),493500.0)</f>
        <v>493500</v>
      </c>
      <c r="B988" s="2">
        <f>IFERROR(__xludf.DUMMYFUNCTION("""COMPUTED_VALUE"""),9870.0)</f>
        <v>9870</v>
      </c>
      <c r="C988" s="66">
        <f>IFERROR(__xludf.DUMMYFUNCTION("""COMPUTED_VALUE"""),4.86591E9)</f>
        <v>4865910000</v>
      </c>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2">
        <f>IFERROR(__xludf.DUMMYFUNCTION("""COMPUTED_VALUE"""),494000.0)</f>
        <v>494000</v>
      </c>
      <c r="B989" s="2">
        <f>IFERROR(__xludf.DUMMYFUNCTION("""COMPUTED_VALUE"""),9880.0)</f>
        <v>9880</v>
      </c>
      <c r="C989" s="66">
        <f>IFERROR(__xludf.DUMMYFUNCTION("""COMPUTED_VALUE"""),4.87578E9)</f>
        <v>4875780000</v>
      </c>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2">
        <f>IFERROR(__xludf.DUMMYFUNCTION("""COMPUTED_VALUE"""),494500.0)</f>
        <v>494500</v>
      </c>
      <c r="B990" s="2">
        <f>IFERROR(__xludf.DUMMYFUNCTION("""COMPUTED_VALUE"""),9890.0)</f>
        <v>9890</v>
      </c>
      <c r="C990" s="66">
        <f>IFERROR(__xludf.DUMMYFUNCTION("""COMPUTED_VALUE"""),4.88566E9)</f>
        <v>4885660000</v>
      </c>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2">
        <f>IFERROR(__xludf.DUMMYFUNCTION("""COMPUTED_VALUE"""),495000.0)</f>
        <v>495000</v>
      </c>
      <c r="B991" s="2">
        <f>IFERROR(__xludf.DUMMYFUNCTION("""COMPUTED_VALUE"""),9900.0)</f>
        <v>9900</v>
      </c>
      <c r="C991" s="66">
        <f>IFERROR(__xludf.DUMMYFUNCTION("""COMPUTED_VALUE"""),4.89555E9)</f>
        <v>4895550000</v>
      </c>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2">
        <f>IFERROR(__xludf.DUMMYFUNCTION("""COMPUTED_VALUE"""),495500.0)</f>
        <v>495500</v>
      </c>
      <c r="B992" s="2">
        <f>IFERROR(__xludf.DUMMYFUNCTION("""COMPUTED_VALUE"""),9910.0)</f>
        <v>9910</v>
      </c>
      <c r="C992" s="66">
        <f>IFERROR(__xludf.DUMMYFUNCTION("""COMPUTED_VALUE"""),4.90545E9)</f>
        <v>4905450000</v>
      </c>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2">
        <f>IFERROR(__xludf.DUMMYFUNCTION("""COMPUTED_VALUE"""),496000.0)</f>
        <v>496000</v>
      </c>
      <c r="B993" s="2">
        <f>IFERROR(__xludf.DUMMYFUNCTION("""COMPUTED_VALUE"""),9920.0)</f>
        <v>9920</v>
      </c>
      <c r="C993" s="66">
        <f>IFERROR(__xludf.DUMMYFUNCTION("""COMPUTED_VALUE"""),4.91536E9)</f>
        <v>4915360000</v>
      </c>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2">
        <f>IFERROR(__xludf.DUMMYFUNCTION("""COMPUTED_VALUE"""),496500.0)</f>
        <v>496500</v>
      </c>
      <c r="B994" s="2">
        <f>IFERROR(__xludf.DUMMYFUNCTION("""COMPUTED_VALUE"""),9930.0)</f>
        <v>9930</v>
      </c>
      <c r="C994" s="66">
        <f>IFERROR(__xludf.DUMMYFUNCTION("""COMPUTED_VALUE"""),4.92528E9)</f>
        <v>4925280000</v>
      </c>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2">
        <f>IFERROR(__xludf.DUMMYFUNCTION("""COMPUTED_VALUE"""),497000.0)</f>
        <v>497000</v>
      </c>
      <c r="B995" s="2">
        <f>IFERROR(__xludf.DUMMYFUNCTION("""COMPUTED_VALUE"""),9940.0)</f>
        <v>9940</v>
      </c>
      <c r="C995" s="66">
        <f>IFERROR(__xludf.DUMMYFUNCTION("""COMPUTED_VALUE"""),4.93521E9)</f>
        <v>4935210000</v>
      </c>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2">
        <f>IFERROR(__xludf.DUMMYFUNCTION("""COMPUTED_VALUE"""),497500.0)</f>
        <v>497500</v>
      </c>
      <c r="B996" s="2">
        <f>IFERROR(__xludf.DUMMYFUNCTION("""COMPUTED_VALUE"""),9950.0)</f>
        <v>9950</v>
      </c>
      <c r="C996" s="66">
        <f>IFERROR(__xludf.DUMMYFUNCTION("""COMPUTED_VALUE"""),4.94515E9)</f>
        <v>4945150000</v>
      </c>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2">
        <f>IFERROR(__xludf.DUMMYFUNCTION("""COMPUTED_VALUE"""),498000.0)</f>
        <v>498000</v>
      </c>
      <c r="B997" s="2">
        <f>IFERROR(__xludf.DUMMYFUNCTION("""COMPUTED_VALUE"""),9960.0)</f>
        <v>9960</v>
      </c>
      <c r="C997" s="66">
        <f>IFERROR(__xludf.DUMMYFUNCTION("""COMPUTED_VALUE"""),4.9551E9)</f>
        <v>4955100000</v>
      </c>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2">
        <f>IFERROR(__xludf.DUMMYFUNCTION("""COMPUTED_VALUE"""),498500.0)</f>
        <v>498500</v>
      </c>
      <c r="B998" s="2">
        <f>IFERROR(__xludf.DUMMYFUNCTION("""COMPUTED_VALUE"""),9970.0)</f>
        <v>9970</v>
      </c>
      <c r="C998" s="66">
        <f>IFERROR(__xludf.DUMMYFUNCTION("""COMPUTED_VALUE"""),4.96506E9)</f>
        <v>4965060000</v>
      </c>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2">
        <f>IFERROR(__xludf.DUMMYFUNCTION("""COMPUTED_VALUE"""),499000.0)</f>
        <v>499000</v>
      </c>
      <c r="B999" s="2">
        <f>IFERROR(__xludf.DUMMYFUNCTION("""COMPUTED_VALUE"""),9980.0)</f>
        <v>9980</v>
      </c>
      <c r="C999" s="66">
        <f>IFERROR(__xludf.DUMMYFUNCTION("""COMPUTED_VALUE"""),4.97503E9)</f>
        <v>4975030000</v>
      </c>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2">
        <f>IFERROR(__xludf.DUMMYFUNCTION("""COMPUTED_VALUE"""),499500.0)</f>
        <v>499500</v>
      </c>
      <c r="B1000" s="2">
        <f>IFERROR(__xludf.DUMMYFUNCTION("""COMPUTED_VALUE"""),9990.0)</f>
        <v>9990</v>
      </c>
      <c r="C1000" s="66">
        <f>IFERROR(__xludf.DUMMYFUNCTION("""COMPUTED_VALUE"""),4.98501E9)</f>
        <v>4985010000</v>
      </c>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ht="15.75" customHeight="1">
      <c r="A1001" s="2">
        <f>IFERROR(__xludf.DUMMYFUNCTION("""COMPUTED_VALUE"""),500000.0)</f>
        <v>500000</v>
      </c>
      <c r="B1001" s="2">
        <f>IFERROR(__xludf.DUMMYFUNCTION("""COMPUTED_VALUE"""),10000.0)</f>
        <v>10000</v>
      </c>
      <c r="C1001" s="66">
        <f>IFERROR(__xludf.DUMMYFUNCTION("""COMPUTED_VALUE"""),4.995E9)</f>
        <v>4995000000</v>
      </c>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ht="15.75" customHeight="1">
      <c r="A1002" s="2">
        <f>IFERROR(__xludf.DUMMYFUNCTION("""COMPUTED_VALUE"""),500500.0)</f>
        <v>500500</v>
      </c>
      <c r="B1002" s="2">
        <f>IFERROR(__xludf.DUMMYFUNCTION("""COMPUTED_VALUE"""),10010.0)</f>
        <v>10010</v>
      </c>
      <c r="C1002" s="66">
        <f>IFERROR(__xludf.DUMMYFUNCTION("""COMPUTED_VALUE"""),5.005E9)</f>
        <v>5005000000</v>
      </c>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ht="15.75" customHeight="1">
      <c r="A1003" s="2">
        <f>IFERROR(__xludf.DUMMYFUNCTION("""COMPUTED_VALUE"""),501000.0)</f>
        <v>501000</v>
      </c>
      <c r="B1003" s="2">
        <f>IFERROR(__xludf.DUMMYFUNCTION("""COMPUTED_VALUE"""),10020.0)</f>
        <v>10020</v>
      </c>
      <c r="C1003" s="66">
        <f>IFERROR(__xludf.DUMMYFUNCTION("""COMPUTED_VALUE"""),5.01501E9)</f>
        <v>5015010000</v>
      </c>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ht="15.75" customHeight="1">
      <c r="A1004" s="2">
        <f>IFERROR(__xludf.DUMMYFUNCTION("""COMPUTED_VALUE"""),501500.0)</f>
        <v>501500</v>
      </c>
      <c r="B1004" s="2">
        <f>IFERROR(__xludf.DUMMYFUNCTION("""COMPUTED_VALUE"""),10030.0)</f>
        <v>10030</v>
      </c>
      <c r="C1004" s="66">
        <f>IFERROR(__xludf.DUMMYFUNCTION("""COMPUTED_VALUE"""),5.02503E9)</f>
        <v>5025030000</v>
      </c>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ht="15.75" customHeight="1">
      <c r="A1005" s="2">
        <f>IFERROR(__xludf.DUMMYFUNCTION("""COMPUTED_VALUE"""),502000.0)</f>
        <v>502000</v>
      </c>
      <c r="B1005" s="2">
        <f>IFERROR(__xludf.DUMMYFUNCTION("""COMPUTED_VALUE"""),10040.0)</f>
        <v>10040</v>
      </c>
      <c r="C1005" s="66">
        <f>IFERROR(__xludf.DUMMYFUNCTION("""COMPUTED_VALUE"""),5.03506E9)</f>
        <v>5035060000</v>
      </c>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ht="15.75" customHeight="1">
      <c r="A1006" s="2">
        <f>IFERROR(__xludf.DUMMYFUNCTION("""COMPUTED_VALUE"""),502500.0)</f>
        <v>502500</v>
      </c>
      <c r="B1006" s="2">
        <f>IFERROR(__xludf.DUMMYFUNCTION("""COMPUTED_VALUE"""),10050.0)</f>
        <v>10050</v>
      </c>
      <c r="C1006" s="66">
        <f>IFERROR(__xludf.DUMMYFUNCTION("""COMPUTED_VALUE"""),5.0451E9)</f>
        <v>5045100000</v>
      </c>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ht="15.75" customHeight="1">
      <c r="A1007" s="2">
        <f>IFERROR(__xludf.DUMMYFUNCTION("""COMPUTED_VALUE"""),503000.0)</f>
        <v>503000</v>
      </c>
      <c r="B1007" s="2">
        <f>IFERROR(__xludf.DUMMYFUNCTION("""COMPUTED_VALUE"""),10060.0)</f>
        <v>10060</v>
      </c>
      <c r="C1007" s="66">
        <f>IFERROR(__xludf.DUMMYFUNCTION("""COMPUTED_VALUE"""),5.05515E9)</f>
        <v>5055150000</v>
      </c>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row r="1008" ht="15.75" customHeight="1">
      <c r="A1008" s="2">
        <f>IFERROR(__xludf.DUMMYFUNCTION("""COMPUTED_VALUE"""),503500.0)</f>
        <v>503500</v>
      </c>
      <c r="B1008" s="2">
        <f>IFERROR(__xludf.DUMMYFUNCTION("""COMPUTED_VALUE"""),10070.0)</f>
        <v>10070</v>
      </c>
      <c r="C1008" s="66">
        <f>IFERROR(__xludf.DUMMYFUNCTION("""COMPUTED_VALUE"""),5.06521E9)</f>
        <v>5065210000</v>
      </c>
      <c r="D1008" s="1"/>
      <c r="E1008" s="1"/>
      <c r="F1008" s="1"/>
      <c r="G1008" s="1"/>
      <c r="H1008" s="1"/>
      <c r="I1008" s="1"/>
      <c r="J1008" s="1"/>
      <c r="K1008" s="1"/>
      <c r="L1008" s="1"/>
      <c r="M1008" s="1"/>
      <c r="N1008" s="1"/>
      <c r="O1008" s="1"/>
      <c r="P1008" s="1"/>
      <c r="Q1008" s="1"/>
      <c r="R1008" s="1"/>
      <c r="S1008" s="1"/>
      <c r="T1008" s="1"/>
      <c r="U1008" s="1"/>
      <c r="V1008" s="1"/>
      <c r="W1008" s="1"/>
      <c r="X1008" s="1"/>
      <c r="Y1008" s="1"/>
      <c r="Z1008" s="1"/>
    </row>
    <row r="1009" ht="15.75" customHeight="1">
      <c r="A1009" s="2">
        <f>IFERROR(__xludf.DUMMYFUNCTION("""COMPUTED_VALUE"""),504000.0)</f>
        <v>504000</v>
      </c>
      <c r="B1009" s="2">
        <f>IFERROR(__xludf.DUMMYFUNCTION("""COMPUTED_VALUE"""),10080.0)</f>
        <v>10080</v>
      </c>
      <c r="C1009" s="66">
        <f>IFERROR(__xludf.DUMMYFUNCTION("""COMPUTED_VALUE"""),5.07528E9)</f>
        <v>5075280000</v>
      </c>
      <c r="D1009" s="1"/>
      <c r="E1009" s="1"/>
      <c r="F1009" s="1"/>
      <c r="G1009" s="1"/>
      <c r="H1009" s="1"/>
      <c r="I1009" s="1"/>
      <c r="J1009" s="1"/>
      <c r="K1009" s="1"/>
      <c r="L1009" s="1"/>
      <c r="M1009" s="1"/>
      <c r="N1009" s="1"/>
      <c r="O1009" s="1"/>
      <c r="P1009" s="1"/>
      <c r="Q1009" s="1"/>
      <c r="R1009" s="1"/>
      <c r="S1009" s="1"/>
      <c r="T1009" s="1"/>
      <c r="U1009" s="1"/>
      <c r="V1009" s="1"/>
      <c r="W1009" s="1"/>
      <c r="X1009" s="1"/>
      <c r="Y1009" s="1"/>
      <c r="Z1009" s="1"/>
    </row>
    <row r="1010" ht="15.75" customHeight="1">
      <c r="A1010" s="2">
        <f>IFERROR(__xludf.DUMMYFUNCTION("""COMPUTED_VALUE"""),504500.0)</f>
        <v>504500</v>
      </c>
      <c r="B1010" s="2">
        <f>IFERROR(__xludf.DUMMYFUNCTION("""COMPUTED_VALUE"""),10090.0)</f>
        <v>10090</v>
      </c>
      <c r="C1010" s="66">
        <f>IFERROR(__xludf.DUMMYFUNCTION("""COMPUTED_VALUE"""),5.08536E9)</f>
        <v>5085360000</v>
      </c>
      <c r="D1010" s="1"/>
      <c r="E1010" s="1"/>
      <c r="F1010" s="1"/>
      <c r="G1010" s="1"/>
      <c r="H1010" s="1"/>
      <c r="I1010" s="1"/>
      <c r="J1010" s="1"/>
      <c r="K1010" s="1"/>
      <c r="L1010" s="1"/>
      <c r="M1010" s="1"/>
      <c r="N1010" s="1"/>
      <c r="O1010" s="1"/>
      <c r="P1010" s="1"/>
      <c r="Q1010" s="1"/>
      <c r="R1010" s="1"/>
      <c r="S1010" s="1"/>
      <c r="T1010" s="1"/>
      <c r="U1010" s="1"/>
      <c r="V1010" s="1"/>
      <c r="W1010" s="1"/>
      <c r="X1010" s="1"/>
      <c r="Y1010" s="1"/>
      <c r="Z1010" s="1"/>
    </row>
    <row r="1011" ht="15.75" customHeight="1">
      <c r="A1011" s="2">
        <f>IFERROR(__xludf.DUMMYFUNCTION("""COMPUTED_VALUE"""),505000.0)</f>
        <v>505000</v>
      </c>
      <c r="B1011" s="2">
        <f>IFERROR(__xludf.DUMMYFUNCTION("""COMPUTED_VALUE"""),10100.0)</f>
        <v>10100</v>
      </c>
      <c r="C1011" s="66">
        <f>IFERROR(__xludf.DUMMYFUNCTION("""COMPUTED_VALUE"""),5.09545E9)</f>
        <v>5095450000</v>
      </c>
      <c r="D1011" s="1"/>
      <c r="E1011" s="1"/>
      <c r="F1011" s="1"/>
      <c r="G1011" s="1"/>
      <c r="H1011" s="1"/>
      <c r="I1011" s="1"/>
      <c r="J1011" s="1"/>
      <c r="K1011" s="1"/>
      <c r="L1011" s="1"/>
      <c r="M1011" s="1"/>
      <c r="N1011" s="1"/>
      <c r="O1011" s="1"/>
      <c r="P1011" s="1"/>
      <c r="Q1011" s="1"/>
      <c r="R1011" s="1"/>
      <c r="S1011" s="1"/>
      <c r="T1011" s="1"/>
      <c r="U1011" s="1"/>
      <c r="V1011" s="1"/>
      <c r="W1011" s="1"/>
      <c r="X1011" s="1"/>
      <c r="Y1011" s="1"/>
      <c r="Z1011" s="1"/>
    </row>
    <row r="1012" ht="15.75" customHeight="1">
      <c r="A1012" s="2">
        <f>IFERROR(__xludf.DUMMYFUNCTION("""COMPUTED_VALUE"""),505500.0)</f>
        <v>505500</v>
      </c>
      <c r="B1012" s="2">
        <f>IFERROR(__xludf.DUMMYFUNCTION("""COMPUTED_VALUE"""),10110.0)</f>
        <v>10110</v>
      </c>
      <c r="C1012" s="66">
        <f>IFERROR(__xludf.DUMMYFUNCTION("""COMPUTED_VALUE"""),5.10555E9)</f>
        <v>5105550000</v>
      </c>
      <c r="D1012" s="1"/>
      <c r="E1012" s="1"/>
      <c r="F1012" s="1"/>
      <c r="G1012" s="1"/>
      <c r="H1012" s="1"/>
      <c r="I1012" s="1"/>
      <c r="J1012" s="1"/>
      <c r="K1012" s="1"/>
      <c r="L1012" s="1"/>
      <c r="M1012" s="1"/>
      <c r="N1012" s="1"/>
      <c r="O1012" s="1"/>
      <c r="P1012" s="1"/>
      <c r="Q1012" s="1"/>
      <c r="R1012" s="1"/>
      <c r="S1012" s="1"/>
      <c r="T1012" s="1"/>
      <c r="U1012" s="1"/>
      <c r="V1012" s="1"/>
      <c r="W1012" s="1"/>
      <c r="X1012" s="1"/>
      <c r="Y1012" s="1"/>
      <c r="Z1012" s="1"/>
    </row>
    <row r="1013" ht="15.75" customHeight="1">
      <c r="A1013" s="2">
        <f>IFERROR(__xludf.DUMMYFUNCTION("""COMPUTED_VALUE"""),506000.0)</f>
        <v>506000</v>
      </c>
      <c r="B1013" s="2">
        <f>IFERROR(__xludf.DUMMYFUNCTION("""COMPUTED_VALUE"""),10120.0)</f>
        <v>10120</v>
      </c>
      <c r="C1013" s="66">
        <f>IFERROR(__xludf.DUMMYFUNCTION("""COMPUTED_VALUE"""),5.11566E9)</f>
        <v>5115660000</v>
      </c>
      <c r="D1013" s="1"/>
      <c r="E1013" s="1"/>
      <c r="F1013" s="1"/>
      <c r="G1013" s="1"/>
      <c r="H1013" s="1"/>
      <c r="I1013" s="1"/>
      <c r="J1013" s="1"/>
      <c r="K1013" s="1"/>
      <c r="L1013" s="1"/>
      <c r="M1013" s="1"/>
      <c r="N1013" s="1"/>
      <c r="O1013" s="1"/>
      <c r="P1013" s="1"/>
      <c r="Q1013" s="1"/>
      <c r="R1013" s="1"/>
      <c r="S1013" s="1"/>
      <c r="T1013" s="1"/>
      <c r="U1013" s="1"/>
      <c r="V1013" s="1"/>
      <c r="W1013" s="1"/>
      <c r="X1013" s="1"/>
      <c r="Y1013" s="1"/>
      <c r="Z1013" s="1"/>
    </row>
    <row r="1014" ht="15.75" customHeight="1">
      <c r="A1014" s="2">
        <f>IFERROR(__xludf.DUMMYFUNCTION("""COMPUTED_VALUE"""),506500.0)</f>
        <v>506500</v>
      </c>
      <c r="B1014" s="2">
        <f>IFERROR(__xludf.DUMMYFUNCTION("""COMPUTED_VALUE"""),10130.0)</f>
        <v>10130</v>
      </c>
      <c r="C1014" s="66">
        <f>IFERROR(__xludf.DUMMYFUNCTION("""COMPUTED_VALUE"""),5.12578E9)</f>
        <v>5125780000</v>
      </c>
      <c r="D1014" s="1"/>
      <c r="E1014" s="1"/>
      <c r="F1014" s="1"/>
      <c r="G1014" s="1"/>
      <c r="H1014" s="1"/>
      <c r="I1014" s="1"/>
      <c r="J1014" s="1"/>
      <c r="K1014" s="1"/>
      <c r="L1014" s="1"/>
      <c r="M1014" s="1"/>
      <c r="N1014" s="1"/>
      <c r="O1014" s="1"/>
      <c r="P1014" s="1"/>
      <c r="Q1014" s="1"/>
      <c r="R1014" s="1"/>
      <c r="S1014" s="1"/>
      <c r="T1014" s="1"/>
      <c r="U1014" s="1"/>
      <c r="V1014" s="1"/>
      <c r="W1014" s="1"/>
      <c r="X1014" s="1"/>
      <c r="Y1014" s="1"/>
      <c r="Z1014" s="1"/>
    </row>
    <row r="1015" ht="15.75" customHeight="1">
      <c r="A1015" s="2">
        <f>IFERROR(__xludf.DUMMYFUNCTION("""COMPUTED_VALUE"""),507000.0)</f>
        <v>507000</v>
      </c>
      <c r="B1015" s="2">
        <f>IFERROR(__xludf.DUMMYFUNCTION("""COMPUTED_VALUE"""),10140.0)</f>
        <v>10140</v>
      </c>
      <c r="C1015" s="66">
        <f>IFERROR(__xludf.DUMMYFUNCTION("""COMPUTED_VALUE"""),5.13591E9)</f>
        <v>5135910000</v>
      </c>
      <c r="D1015" s="1"/>
      <c r="E1015" s="1"/>
      <c r="F1015" s="1"/>
      <c r="G1015" s="1"/>
      <c r="H1015" s="1"/>
      <c r="I1015" s="1"/>
      <c r="J1015" s="1"/>
      <c r="K1015" s="1"/>
      <c r="L1015" s="1"/>
      <c r="M1015" s="1"/>
      <c r="N1015" s="1"/>
      <c r="O1015" s="1"/>
      <c r="P1015" s="1"/>
      <c r="Q1015" s="1"/>
      <c r="R1015" s="1"/>
      <c r="S1015" s="1"/>
      <c r="T1015" s="1"/>
      <c r="U1015" s="1"/>
      <c r="V1015" s="1"/>
      <c r="W1015" s="1"/>
      <c r="X1015" s="1"/>
      <c r="Y1015" s="1"/>
      <c r="Z1015" s="1"/>
    </row>
    <row r="1016" ht="15.75" customHeight="1">
      <c r="A1016" s="2">
        <f>IFERROR(__xludf.DUMMYFUNCTION("""COMPUTED_VALUE"""),507500.0)</f>
        <v>507500</v>
      </c>
      <c r="B1016" s="2">
        <f>IFERROR(__xludf.DUMMYFUNCTION("""COMPUTED_VALUE"""),10150.0)</f>
        <v>10150</v>
      </c>
      <c r="C1016" s="66">
        <f>IFERROR(__xludf.DUMMYFUNCTION("""COMPUTED_VALUE"""),5.14605E9)</f>
        <v>5146050000</v>
      </c>
      <c r="D1016" s="1"/>
      <c r="E1016" s="1"/>
      <c r="F1016" s="1"/>
      <c r="G1016" s="1"/>
      <c r="H1016" s="1"/>
      <c r="I1016" s="1"/>
      <c r="J1016" s="1"/>
      <c r="K1016" s="1"/>
      <c r="L1016" s="1"/>
      <c r="M1016" s="1"/>
      <c r="N1016" s="1"/>
      <c r="O1016" s="1"/>
      <c r="P1016" s="1"/>
      <c r="Q1016" s="1"/>
      <c r="R1016" s="1"/>
      <c r="S1016" s="1"/>
      <c r="T1016" s="1"/>
      <c r="U1016" s="1"/>
      <c r="V1016" s="1"/>
      <c r="W1016" s="1"/>
      <c r="X1016" s="1"/>
      <c r="Y1016" s="1"/>
      <c r="Z1016" s="1"/>
    </row>
    <row r="1017" ht="15.75" customHeight="1">
      <c r="A1017" s="2">
        <f>IFERROR(__xludf.DUMMYFUNCTION("""COMPUTED_VALUE"""),508000.0)</f>
        <v>508000</v>
      </c>
      <c r="B1017" s="2">
        <f>IFERROR(__xludf.DUMMYFUNCTION("""COMPUTED_VALUE"""),10160.0)</f>
        <v>10160</v>
      </c>
      <c r="C1017" s="66">
        <f>IFERROR(__xludf.DUMMYFUNCTION("""COMPUTED_VALUE"""),5.1562E9)</f>
        <v>5156200000</v>
      </c>
      <c r="D1017" s="1"/>
      <c r="E1017" s="1"/>
      <c r="F1017" s="1"/>
      <c r="G1017" s="1"/>
      <c r="H1017" s="1"/>
      <c r="I1017" s="1"/>
      <c r="J1017" s="1"/>
      <c r="K1017" s="1"/>
      <c r="L1017" s="1"/>
      <c r="M1017" s="1"/>
      <c r="N1017" s="1"/>
      <c r="O1017" s="1"/>
      <c r="P1017" s="1"/>
      <c r="Q1017" s="1"/>
      <c r="R1017" s="1"/>
      <c r="S1017" s="1"/>
      <c r="T1017" s="1"/>
      <c r="U1017" s="1"/>
      <c r="V1017" s="1"/>
      <c r="W1017" s="1"/>
      <c r="X1017" s="1"/>
      <c r="Y1017" s="1"/>
      <c r="Z1017" s="1"/>
    </row>
    <row r="1018" ht="15.75" customHeight="1">
      <c r="A1018" s="2">
        <f>IFERROR(__xludf.DUMMYFUNCTION("""COMPUTED_VALUE"""),508500.0)</f>
        <v>508500</v>
      </c>
      <c r="B1018" s="2">
        <f>IFERROR(__xludf.DUMMYFUNCTION("""COMPUTED_VALUE"""),10170.0)</f>
        <v>10170</v>
      </c>
      <c r="C1018" s="66">
        <f>IFERROR(__xludf.DUMMYFUNCTION("""COMPUTED_VALUE"""),5.16636E9)</f>
        <v>5166360000</v>
      </c>
      <c r="D1018" s="1"/>
      <c r="E1018" s="1"/>
      <c r="F1018" s="1"/>
      <c r="G1018" s="1"/>
      <c r="H1018" s="1"/>
      <c r="I1018" s="1"/>
      <c r="J1018" s="1"/>
      <c r="K1018" s="1"/>
      <c r="L1018" s="1"/>
      <c r="M1018" s="1"/>
      <c r="N1018" s="1"/>
      <c r="O1018" s="1"/>
      <c r="P1018" s="1"/>
      <c r="Q1018" s="1"/>
      <c r="R1018" s="1"/>
      <c r="S1018" s="1"/>
      <c r="T1018" s="1"/>
      <c r="U1018" s="1"/>
      <c r="V1018" s="1"/>
      <c r="W1018" s="1"/>
      <c r="X1018" s="1"/>
      <c r="Y1018" s="1"/>
      <c r="Z1018" s="1"/>
    </row>
    <row r="1019" ht="15.75" customHeight="1">
      <c r="A1019" s="2">
        <f>IFERROR(__xludf.DUMMYFUNCTION("""COMPUTED_VALUE"""),509000.0)</f>
        <v>509000</v>
      </c>
      <c r="B1019" s="2">
        <f>IFERROR(__xludf.DUMMYFUNCTION("""COMPUTED_VALUE"""),10180.0)</f>
        <v>10180</v>
      </c>
      <c r="C1019" s="66">
        <f>IFERROR(__xludf.DUMMYFUNCTION("""COMPUTED_VALUE"""),5.17653E9)</f>
        <v>5176530000</v>
      </c>
      <c r="D1019" s="1"/>
      <c r="E1019" s="1"/>
      <c r="F1019" s="1"/>
      <c r="G1019" s="1"/>
      <c r="H1019" s="1"/>
      <c r="I1019" s="1"/>
      <c r="J1019" s="1"/>
      <c r="K1019" s="1"/>
      <c r="L1019" s="1"/>
      <c r="M1019" s="1"/>
      <c r="N1019" s="1"/>
      <c r="O1019" s="1"/>
      <c r="P1019" s="1"/>
      <c r="Q1019" s="1"/>
      <c r="R1019" s="1"/>
      <c r="S1019" s="1"/>
      <c r="T1019" s="1"/>
      <c r="U1019" s="1"/>
      <c r="V1019" s="1"/>
      <c r="W1019" s="1"/>
      <c r="X1019" s="1"/>
      <c r="Y1019" s="1"/>
      <c r="Z1019" s="1"/>
    </row>
    <row r="1020" ht="15.75" customHeight="1">
      <c r="A1020" s="2">
        <f>IFERROR(__xludf.DUMMYFUNCTION("""COMPUTED_VALUE"""),509500.0)</f>
        <v>509500</v>
      </c>
      <c r="B1020" s="2">
        <f>IFERROR(__xludf.DUMMYFUNCTION("""COMPUTED_VALUE"""),10190.0)</f>
        <v>10190</v>
      </c>
      <c r="C1020" s="66">
        <f>IFERROR(__xludf.DUMMYFUNCTION("""COMPUTED_VALUE"""),5.18671E9)</f>
        <v>5186710000</v>
      </c>
      <c r="D1020" s="1"/>
      <c r="E1020" s="1"/>
      <c r="F1020" s="1"/>
      <c r="G1020" s="1"/>
      <c r="H1020" s="1"/>
      <c r="I1020" s="1"/>
      <c r="J1020" s="1"/>
      <c r="K1020" s="1"/>
      <c r="L1020" s="1"/>
      <c r="M1020" s="1"/>
      <c r="N1020" s="1"/>
      <c r="O1020" s="1"/>
      <c r="P1020" s="1"/>
      <c r="Q1020" s="1"/>
      <c r="R1020" s="1"/>
      <c r="S1020" s="1"/>
      <c r="T1020" s="1"/>
      <c r="U1020" s="1"/>
      <c r="V1020" s="1"/>
      <c r="W1020" s="1"/>
      <c r="X1020" s="1"/>
      <c r="Y1020" s="1"/>
      <c r="Z1020" s="1"/>
    </row>
    <row r="1021" ht="15.75" customHeight="1">
      <c r="A1021" s="2">
        <f>IFERROR(__xludf.DUMMYFUNCTION("""COMPUTED_VALUE"""),510000.0)</f>
        <v>510000</v>
      </c>
      <c r="B1021" s="2">
        <f>IFERROR(__xludf.DUMMYFUNCTION("""COMPUTED_VALUE"""),10200.0)</f>
        <v>10200</v>
      </c>
      <c r="C1021" s="66">
        <f>IFERROR(__xludf.DUMMYFUNCTION("""COMPUTED_VALUE"""),5.1969E9)</f>
        <v>5196900000</v>
      </c>
      <c r="D1021" s="1"/>
      <c r="E1021" s="1"/>
      <c r="F1021" s="1"/>
      <c r="G1021" s="1"/>
      <c r="H1021" s="1"/>
      <c r="I1021" s="1"/>
      <c r="J1021" s="1"/>
      <c r="K1021" s="1"/>
      <c r="L1021" s="1"/>
      <c r="M1021" s="1"/>
      <c r="N1021" s="1"/>
      <c r="O1021" s="1"/>
      <c r="P1021" s="1"/>
      <c r="Q1021" s="1"/>
      <c r="R1021" s="1"/>
      <c r="S1021" s="1"/>
      <c r="T1021" s="1"/>
      <c r="U1021" s="1"/>
      <c r="V1021" s="1"/>
      <c r="W1021" s="1"/>
      <c r="X1021" s="1"/>
      <c r="Y1021" s="1"/>
      <c r="Z1021" s="1"/>
    </row>
    <row r="1022" ht="15.75" customHeight="1">
      <c r="A1022" s="2">
        <f>IFERROR(__xludf.DUMMYFUNCTION("""COMPUTED_VALUE"""),510500.0)</f>
        <v>510500</v>
      </c>
      <c r="B1022" s="2">
        <f>IFERROR(__xludf.DUMMYFUNCTION("""COMPUTED_VALUE"""),10210.0)</f>
        <v>10210</v>
      </c>
      <c r="C1022" s="66">
        <f>IFERROR(__xludf.DUMMYFUNCTION("""COMPUTED_VALUE"""),5.2071E9)</f>
        <v>5207100000</v>
      </c>
      <c r="D1022" s="1"/>
      <c r="E1022" s="1"/>
      <c r="F1022" s="1"/>
      <c r="G1022" s="1"/>
      <c r="H1022" s="1"/>
      <c r="I1022" s="1"/>
      <c r="J1022" s="1"/>
      <c r="K1022" s="1"/>
      <c r="L1022" s="1"/>
      <c r="M1022" s="1"/>
      <c r="N1022" s="1"/>
      <c r="O1022" s="1"/>
      <c r="P1022" s="1"/>
      <c r="Q1022" s="1"/>
      <c r="R1022" s="1"/>
      <c r="S1022" s="1"/>
      <c r="T1022" s="1"/>
      <c r="U1022" s="1"/>
      <c r="V1022" s="1"/>
      <c r="W1022" s="1"/>
      <c r="X1022" s="1"/>
      <c r="Y1022" s="1"/>
      <c r="Z1022" s="1"/>
    </row>
    <row r="1023" ht="15.75" customHeight="1">
      <c r="A1023" s="2">
        <f>IFERROR(__xludf.DUMMYFUNCTION("""COMPUTED_VALUE"""),511000.0)</f>
        <v>511000</v>
      </c>
      <c r="B1023" s="2">
        <f>IFERROR(__xludf.DUMMYFUNCTION("""COMPUTED_VALUE"""),10220.0)</f>
        <v>10220</v>
      </c>
      <c r="C1023" s="66">
        <f>IFERROR(__xludf.DUMMYFUNCTION("""COMPUTED_VALUE"""),5.21731E9)</f>
        <v>5217310000</v>
      </c>
      <c r="D1023" s="1"/>
      <c r="E1023" s="1"/>
      <c r="F1023" s="1"/>
      <c r="G1023" s="1"/>
      <c r="H1023" s="1"/>
      <c r="I1023" s="1"/>
      <c r="J1023" s="1"/>
      <c r="K1023" s="1"/>
      <c r="L1023" s="1"/>
      <c r="M1023" s="1"/>
      <c r="N1023" s="1"/>
      <c r="O1023" s="1"/>
      <c r="P1023" s="1"/>
      <c r="Q1023" s="1"/>
      <c r="R1023" s="1"/>
      <c r="S1023" s="1"/>
      <c r="T1023" s="1"/>
      <c r="U1023" s="1"/>
      <c r="V1023" s="1"/>
      <c r="W1023" s="1"/>
      <c r="X1023" s="1"/>
      <c r="Y1023" s="1"/>
      <c r="Z1023" s="1"/>
    </row>
    <row r="1024" ht="15.75" customHeight="1">
      <c r="A1024" s="2">
        <f>IFERROR(__xludf.DUMMYFUNCTION("""COMPUTED_VALUE"""),511500.0)</f>
        <v>511500</v>
      </c>
      <c r="B1024" s="2">
        <f>IFERROR(__xludf.DUMMYFUNCTION("""COMPUTED_VALUE"""),10230.0)</f>
        <v>10230</v>
      </c>
      <c r="C1024" s="66">
        <f>IFERROR(__xludf.DUMMYFUNCTION("""COMPUTED_VALUE"""),5.22753E9)</f>
        <v>5227530000</v>
      </c>
      <c r="D1024" s="1"/>
      <c r="E1024" s="1"/>
      <c r="F1024" s="1"/>
      <c r="G1024" s="1"/>
      <c r="H1024" s="1"/>
      <c r="I1024" s="1"/>
      <c r="J1024" s="1"/>
      <c r="K1024" s="1"/>
      <c r="L1024" s="1"/>
      <c r="M1024" s="1"/>
      <c r="N1024" s="1"/>
      <c r="O1024" s="1"/>
      <c r="P1024" s="1"/>
      <c r="Q1024" s="1"/>
      <c r="R1024" s="1"/>
      <c r="S1024" s="1"/>
      <c r="T1024" s="1"/>
      <c r="U1024" s="1"/>
      <c r="V1024" s="1"/>
      <c r="W1024" s="1"/>
      <c r="X1024" s="1"/>
      <c r="Y1024" s="1"/>
      <c r="Z1024" s="1"/>
    </row>
    <row r="1025" ht="15.75" customHeight="1">
      <c r="A1025" s="2">
        <f>IFERROR(__xludf.DUMMYFUNCTION("""COMPUTED_VALUE"""),512000.0)</f>
        <v>512000</v>
      </c>
      <c r="B1025" s="2">
        <f>IFERROR(__xludf.DUMMYFUNCTION("""COMPUTED_VALUE"""),10240.0)</f>
        <v>10240</v>
      </c>
      <c r="C1025" s="66">
        <f>IFERROR(__xludf.DUMMYFUNCTION("""COMPUTED_VALUE"""),5.23776E9)</f>
        <v>5237760000</v>
      </c>
      <c r="D1025" s="1"/>
      <c r="E1025" s="1"/>
      <c r="F1025" s="1"/>
      <c r="G1025" s="1"/>
      <c r="H1025" s="1"/>
      <c r="I1025" s="1"/>
      <c r="J1025" s="1"/>
      <c r="K1025" s="1"/>
      <c r="L1025" s="1"/>
      <c r="M1025" s="1"/>
      <c r="N1025" s="1"/>
      <c r="O1025" s="1"/>
      <c r="P1025" s="1"/>
      <c r="Q1025" s="1"/>
      <c r="R1025" s="1"/>
      <c r="S1025" s="1"/>
      <c r="T1025" s="1"/>
      <c r="U1025" s="1"/>
      <c r="V1025" s="1"/>
      <c r="W1025" s="1"/>
      <c r="X1025" s="1"/>
      <c r="Y1025" s="1"/>
      <c r="Z1025" s="1"/>
    </row>
    <row r="1026" ht="15.75" customHeight="1">
      <c r="A1026" s="2">
        <f>IFERROR(__xludf.DUMMYFUNCTION("""COMPUTED_VALUE"""),512500.0)</f>
        <v>512500</v>
      </c>
      <c r="B1026" s="2">
        <f>IFERROR(__xludf.DUMMYFUNCTION("""COMPUTED_VALUE"""),10250.0)</f>
        <v>10250</v>
      </c>
      <c r="C1026" s="66">
        <f>IFERROR(__xludf.DUMMYFUNCTION("""COMPUTED_VALUE"""),5.248E9)</f>
        <v>5248000000</v>
      </c>
      <c r="D1026" s="1"/>
      <c r="E1026" s="1"/>
      <c r="F1026" s="1"/>
      <c r="G1026" s="1"/>
      <c r="H1026" s="1"/>
      <c r="I1026" s="1"/>
      <c r="J1026" s="1"/>
      <c r="K1026" s="1"/>
      <c r="L1026" s="1"/>
      <c r="M1026" s="1"/>
      <c r="N1026" s="1"/>
      <c r="O1026" s="1"/>
      <c r="P1026" s="1"/>
      <c r="Q1026" s="1"/>
      <c r="R1026" s="1"/>
      <c r="S1026" s="1"/>
      <c r="T1026" s="1"/>
      <c r="U1026" s="1"/>
      <c r="V1026" s="1"/>
      <c r="W1026" s="1"/>
      <c r="X1026" s="1"/>
      <c r="Y1026" s="1"/>
      <c r="Z1026" s="1"/>
    </row>
    <row r="1027" ht="15.75" customHeight="1">
      <c r="A1027" s="2">
        <f>IFERROR(__xludf.DUMMYFUNCTION("""COMPUTED_VALUE"""),513000.0)</f>
        <v>513000</v>
      </c>
      <c r="B1027" s="2">
        <f>IFERROR(__xludf.DUMMYFUNCTION("""COMPUTED_VALUE"""),10260.0)</f>
        <v>10260</v>
      </c>
      <c r="C1027" s="66">
        <f>IFERROR(__xludf.DUMMYFUNCTION("""COMPUTED_VALUE"""),5.25825E9)</f>
        <v>5258250000</v>
      </c>
      <c r="D1027" s="1"/>
      <c r="E1027" s="1"/>
      <c r="F1027" s="1"/>
      <c r="G1027" s="1"/>
      <c r="H1027" s="1"/>
      <c r="I1027" s="1"/>
      <c r="J1027" s="1"/>
      <c r="K1027" s="1"/>
      <c r="L1027" s="1"/>
      <c r="M1027" s="1"/>
      <c r="N1027" s="1"/>
      <c r="O1027" s="1"/>
      <c r="P1027" s="1"/>
      <c r="Q1027" s="1"/>
      <c r="R1027" s="1"/>
      <c r="S1027" s="1"/>
      <c r="T1027" s="1"/>
      <c r="U1027" s="1"/>
      <c r="V1027" s="1"/>
      <c r="W1027" s="1"/>
      <c r="X1027" s="1"/>
      <c r="Y1027" s="1"/>
      <c r="Z1027" s="1"/>
    </row>
    <row r="1028" ht="15.75" customHeight="1">
      <c r="A1028" s="2">
        <f>IFERROR(__xludf.DUMMYFUNCTION("""COMPUTED_VALUE"""),513500.0)</f>
        <v>513500</v>
      </c>
      <c r="B1028" s="2">
        <f>IFERROR(__xludf.DUMMYFUNCTION("""COMPUTED_VALUE"""),10270.0)</f>
        <v>10270</v>
      </c>
      <c r="C1028" s="66">
        <f>IFERROR(__xludf.DUMMYFUNCTION("""COMPUTED_VALUE"""),5.26851E9)</f>
        <v>5268510000</v>
      </c>
      <c r="D1028" s="1"/>
      <c r="E1028" s="1"/>
      <c r="F1028" s="1"/>
      <c r="G1028" s="1"/>
      <c r="H1028" s="1"/>
      <c r="I1028" s="1"/>
      <c r="J1028" s="1"/>
      <c r="K1028" s="1"/>
      <c r="L1028" s="1"/>
      <c r="M1028" s="1"/>
      <c r="N1028" s="1"/>
      <c r="O1028" s="1"/>
      <c r="P1028" s="1"/>
      <c r="Q1028" s="1"/>
      <c r="R1028" s="1"/>
      <c r="S1028" s="1"/>
      <c r="T1028" s="1"/>
      <c r="U1028" s="1"/>
      <c r="V1028" s="1"/>
      <c r="W1028" s="1"/>
      <c r="X1028" s="1"/>
      <c r="Y1028" s="1"/>
      <c r="Z1028" s="1"/>
    </row>
    <row r="1029" ht="15.75" customHeight="1">
      <c r="A1029" s="2">
        <f>IFERROR(__xludf.DUMMYFUNCTION("""COMPUTED_VALUE"""),514000.0)</f>
        <v>514000</v>
      </c>
      <c r="B1029" s="2">
        <f>IFERROR(__xludf.DUMMYFUNCTION("""COMPUTED_VALUE"""),10280.0)</f>
        <v>10280</v>
      </c>
      <c r="C1029" s="66">
        <f>IFERROR(__xludf.DUMMYFUNCTION("""COMPUTED_VALUE"""),5.27878E9)</f>
        <v>5278780000</v>
      </c>
      <c r="D1029" s="1"/>
      <c r="E1029" s="1"/>
      <c r="F1029" s="1"/>
      <c r="G1029" s="1"/>
      <c r="H1029" s="1"/>
      <c r="I1029" s="1"/>
      <c r="J1029" s="1"/>
      <c r="K1029" s="1"/>
      <c r="L1029" s="1"/>
      <c r="M1029" s="1"/>
      <c r="N1029" s="1"/>
      <c r="O1029" s="1"/>
      <c r="P1029" s="1"/>
      <c r="Q1029" s="1"/>
      <c r="R1029" s="1"/>
      <c r="S1029" s="1"/>
      <c r="T1029" s="1"/>
      <c r="U1029" s="1"/>
      <c r="V1029" s="1"/>
      <c r="W1029" s="1"/>
      <c r="X1029" s="1"/>
      <c r="Y1029" s="1"/>
      <c r="Z1029" s="1"/>
    </row>
    <row r="1030" ht="15.75" customHeight="1">
      <c r="A1030" s="2">
        <f>IFERROR(__xludf.DUMMYFUNCTION("""COMPUTED_VALUE"""),514500.0)</f>
        <v>514500</v>
      </c>
      <c r="B1030" s="2">
        <f>IFERROR(__xludf.DUMMYFUNCTION("""COMPUTED_VALUE"""),10290.0)</f>
        <v>10290</v>
      </c>
      <c r="C1030" s="66">
        <f>IFERROR(__xludf.DUMMYFUNCTION("""COMPUTED_VALUE"""),5.28906E9)</f>
        <v>5289060000</v>
      </c>
      <c r="D1030" s="1"/>
      <c r="E1030" s="1"/>
      <c r="F1030" s="1"/>
      <c r="G1030" s="1"/>
      <c r="H1030" s="1"/>
      <c r="I1030" s="1"/>
      <c r="J1030" s="1"/>
      <c r="K1030" s="1"/>
      <c r="L1030" s="1"/>
      <c r="M1030" s="1"/>
      <c r="N1030" s="1"/>
      <c r="O1030" s="1"/>
      <c r="P1030" s="1"/>
      <c r="Q1030" s="1"/>
      <c r="R1030" s="1"/>
      <c r="S1030" s="1"/>
      <c r="T1030" s="1"/>
      <c r="U1030" s="1"/>
      <c r="V1030" s="1"/>
      <c r="W1030" s="1"/>
      <c r="X1030" s="1"/>
      <c r="Y1030" s="1"/>
      <c r="Z1030" s="1"/>
    </row>
    <row r="1031" ht="15.75" customHeight="1">
      <c r="A1031" s="2">
        <f>IFERROR(__xludf.DUMMYFUNCTION("""COMPUTED_VALUE"""),515000.0)</f>
        <v>515000</v>
      </c>
      <c r="B1031" s="2">
        <f>IFERROR(__xludf.DUMMYFUNCTION("""COMPUTED_VALUE"""),10300.0)</f>
        <v>10300</v>
      </c>
      <c r="C1031" s="66">
        <f>IFERROR(__xludf.DUMMYFUNCTION("""COMPUTED_VALUE"""),5.29935E9)</f>
        <v>5299350000</v>
      </c>
      <c r="D1031" s="1"/>
      <c r="E1031" s="1"/>
      <c r="F1031" s="1"/>
      <c r="G1031" s="1"/>
      <c r="H1031" s="1"/>
      <c r="I1031" s="1"/>
      <c r="J1031" s="1"/>
      <c r="K1031" s="1"/>
      <c r="L1031" s="1"/>
      <c r="M1031" s="1"/>
      <c r="N1031" s="1"/>
      <c r="O1031" s="1"/>
      <c r="P1031" s="1"/>
      <c r="Q1031" s="1"/>
      <c r="R1031" s="1"/>
      <c r="S1031" s="1"/>
      <c r="T1031" s="1"/>
      <c r="U1031" s="1"/>
      <c r="V1031" s="1"/>
      <c r="W1031" s="1"/>
      <c r="X1031" s="1"/>
      <c r="Y1031" s="1"/>
      <c r="Z1031" s="1"/>
    </row>
    <row r="1032" ht="15.75" customHeight="1">
      <c r="A1032" s="2">
        <f>IFERROR(__xludf.DUMMYFUNCTION("""COMPUTED_VALUE"""),515500.0)</f>
        <v>515500</v>
      </c>
      <c r="B1032" s="2">
        <f>IFERROR(__xludf.DUMMYFUNCTION("""COMPUTED_VALUE"""),10310.0)</f>
        <v>10310</v>
      </c>
      <c r="C1032" s="66">
        <f>IFERROR(__xludf.DUMMYFUNCTION("""COMPUTED_VALUE"""),5.30965E9)</f>
        <v>5309650000</v>
      </c>
      <c r="D1032" s="1"/>
      <c r="E1032" s="1"/>
      <c r="F1032" s="1"/>
      <c r="G1032" s="1"/>
      <c r="H1032" s="1"/>
      <c r="I1032" s="1"/>
      <c r="J1032" s="1"/>
      <c r="K1032" s="1"/>
      <c r="L1032" s="1"/>
      <c r="M1032" s="1"/>
      <c r="N1032" s="1"/>
      <c r="O1032" s="1"/>
      <c r="P1032" s="1"/>
      <c r="Q1032" s="1"/>
      <c r="R1032" s="1"/>
      <c r="S1032" s="1"/>
      <c r="T1032" s="1"/>
      <c r="U1032" s="1"/>
      <c r="V1032" s="1"/>
      <c r="W1032" s="1"/>
      <c r="X1032" s="1"/>
      <c r="Y1032" s="1"/>
      <c r="Z1032" s="1"/>
    </row>
    <row r="1033" ht="15.75" customHeight="1">
      <c r="A1033" s="2">
        <f>IFERROR(__xludf.DUMMYFUNCTION("""COMPUTED_VALUE"""),516000.0)</f>
        <v>516000</v>
      </c>
      <c r="B1033" s="2">
        <f>IFERROR(__xludf.DUMMYFUNCTION("""COMPUTED_VALUE"""),10320.0)</f>
        <v>10320</v>
      </c>
      <c r="C1033" s="66">
        <f>IFERROR(__xludf.DUMMYFUNCTION("""COMPUTED_VALUE"""),5.31996E9)</f>
        <v>5319960000</v>
      </c>
      <c r="D1033" s="1"/>
      <c r="E1033" s="1"/>
      <c r="F1033" s="1"/>
      <c r="G1033" s="1"/>
      <c r="H1033" s="1"/>
      <c r="I1033" s="1"/>
      <c r="J1033" s="1"/>
      <c r="K1033" s="1"/>
      <c r="L1033" s="1"/>
      <c r="M1033" s="1"/>
      <c r="N1033" s="1"/>
      <c r="O1033" s="1"/>
      <c r="P1033" s="1"/>
      <c r="Q1033" s="1"/>
      <c r="R1033" s="1"/>
      <c r="S1033" s="1"/>
      <c r="T1033" s="1"/>
      <c r="U1033" s="1"/>
      <c r="V1033" s="1"/>
      <c r="W1033" s="1"/>
      <c r="X1033" s="1"/>
      <c r="Y1033" s="1"/>
      <c r="Z1033" s="1"/>
    </row>
    <row r="1034" ht="15.75" customHeight="1">
      <c r="A1034" s="2">
        <f>IFERROR(__xludf.DUMMYFUNCTION("""COMPUTED_VALUE"""),516500.0)</f>
        <v>516500</v>
      </c>
      <c r="B1034" s="2">
        <f>IFERROR(__xludf.DUMMYFUNCTION("""COMPUTED_VALUE"""),10330.0)</f>
        <v>10330</v>
      </c>
      <c r="C1034" s="66">
        <f>IFERROR(__xludf.DUMMYFUNCTION("""COMPUTED_VALUE"""),5.33028E9)</f>
        <v>5330280000</v>
      </c>
      <c r="D1034" s="1"/>
      <c r="E1034" s="1"/>
      <c r="F1034" s="1"/>
      <c r="G1034" s="1"/>
      <c r="H1034" s="1"/>
      <c r="I1034" s="1"/>
      <c r="J1034" s="1"/>
      <c r="K1034" s="1"/>
      <c r="L1034" s="1"/>
      <c r="M1034" s="1"/>
      <c r="N1034" s="1"/>
      <c r="O1034" s="1"/>
      <c r="P1034" s="1"/>
      <c r="Q1034" s="1"/>
      <c r="R1034" s="1"/>
      <c r="S1034" s="1"/>
      <c r="T1034" s="1"/>
      <c r="U1034" s="1"/>
      <c r="V1034" s="1"/>
      <c r="W1034" s="1"/>
      <c r="X1034" s="1"/>
      <c r="Y1034" s="1"/>
      <c r="Z1034" s="1"/>
    </row>
    <row r="1035" ht="15.75" customHeight="1">
      <c r="A1035" s="2">
        <f>IFERROR(__xludf.DUMMYFUNCTION("""COMPUTED_VALUE"""),517000.0)</f>
        <v>517000</v>
      </c>
      <c r="B1035" s="2">
        <f>IFERROR(__xludf.DUMMYFUNCTION("""COMPUTED_VALUE"""),10340.0)</f>
        <v>10340</v>
      </c>
      <c r="C1035" s="66">
        <f>IFERROR(__xludf.DUMMYFUNCTION("""COMPUTED_VALUE"""),5.34061E9)</f>
        <v>5340610000</v>
      </c>
      <c r="D1035" s="1"/>
      <c r="E1035" s="1"/>
      <c r="F1035" s="1"/>
      <c r="G1035" s="1"/>
      <c r="H1035" s="1"/>
      <c r="I1035" s="1"/>
      <c r="J1035" s="1"/>
      <c r="K1035" s="1"/>
      <c r="L1035" s="1"/>
      <c r="M1035" s="1"/>
      <c r="N1035" s="1"/>
      <c r="O1035" s="1"/>
      <c r="P1035" s="1"/>
      <c r="Q1035" s="1"/>
      <c r="R1035" s="1"/>
      <c r="S1035" s="1"/>
      <c r="T1035" s="1"/>
      <c r="U1035" s="1"/>
      <c r="V1035" s="1"/>
      <c r="W1035" s="1"/>
      <c r="X1035" s="1"/>
      <c r="Y1035" s="1"/>
      <c r="Z1035" s="1"/>
    </row>
    <row r="1036" ht="15.75" customHeight="1">
      <c r="A1036" s="2">
        <f>IFERROR(__xludf.DUMMYFUNCTION("""COMPUTED_VALUE"""),517500.0)</f>
        <v>517500</v>
      </c>
      <c r="B1036" s="2">
        <f>IFERROR(__xludf.DUMMYFUNCTION("""COMPUTED_VALUE"""),10350.0)</f>
        <v>10350</v>
      </c>
      <c r="C1036" s="66">
        <f>IFERROR(__xludf.DUMMYFUNCTION("""COMPUTED_VALUE"""),5.35095E9)</f>
        <v>5350950000</v>
      </c>
      <c r="D1036" s="1"/>
      <c r="E1036" s="1"/>
      <c r="F1036" s="1"/>
      <c r="G1036" s="1"/>
      <c r="H1036" s="1"/>
      <c r="I1036" s="1"/>
      <c r="J1036" s="1"/>
      <c r="K1036" s="1"/>
      <c r="L1036" s="1"/>
      <c r="M1036" s="1"/>
      <c r="N1036" s="1"/>
      <c r="O1036" s="1"/>
      <c r="P1036" s="1"/>
      <c r="Q1036" s="1"/>
      <c r="R1036" s="1"/>
      <c r="S1036" s="1"/>
      <c r="T1036" s="1"/>
      <c r="U1036" s="1"/>
      <c r="V1036" s="1"/>
      <c r="W1036" s="1"/>
      <c r="X1036" s="1"/>
      <c r="Y1036" s="1"/>
      <c r="Z1036" s="1"/>
    </row>
    <row r="1037" ht="15.75" customHeight="1">
      <c r="A1037" s="2">
        <f>IFERROR(__xludf.DUMMYFUNCTION("""COMPUTED_VALUE"""),518000.0)</f>
        <v>518000</v>
      </c>
      <c r="B1037" s="2">
        <f>IFERROR(__xludf.DUMMYFUNCTION("""COMPUTED_VALUE"""),10360.0)</f>
        <v>10360</v>
      </c>
      <c r="C1037" s="66">
        <f>IFERROR(__xludf.DUMMYFUNCTION("""COMPUTED_VALUE"""),5.3613E9)</f>
        <v>5361300000</v>
      </c>
      <c r="D1037" s="1"/>
      <c r="E1037" s="1"/>
      <c r="F1037" s="1"/>
      <c r="G1037" s="1"/>
      <c r="H1037" s="1"/>
      <c r="I1037" s="1"/>
      <c r="J1037" s="1"/>
      <c r="K1037" s="1"/>
      <c r="L1037" s="1"/>
      <c r="M1037" s="1"/>
      <c r="N1037" s="1"/>
      <c r="O1037" s="1"/>
      <c r="P1037" s="1"/>
      <c r="Q1037" s="1"/>
      <c r="R1037" s="1"/>
      <c r="S1037" s="1"/>
      <c r="T1037" s="1"/>
      <c r="U1037" s="1"/>
      <c r="V1037" s="1"/>
      <c r="W1037" s="1"/>
      <c r="X1037" s="1"/>
      <c r="Y1037" s="1"/>
      <c r="Z1037" s="1"/>
    </row>
    <row r="1038" ht="15.75" customHeight="1">
      <c r="A1038" s="2">
        <f>IFERROR(__xludf.DUMMYFUNCTION("""COMPUTED_VALUE"""),518500.0)</f>
        <v>518500</v>
      </c>
      <c r="B1038" s="2">
        <f>IFERROR(__xludf.DUMMYFUNCTION("""COMPUTED_VALUE"""),10370.0)</f>
        <v>10370</v>
      </c>
      <c r="C1038" s="66">
        <f>IFERROR(__xludf.DUMMYFUNCTION("""COMPUTED_VALUE"""),5.37166E9)</f>
        <v>5371660000</v>
      </c>
      <c r="D1038" s="1"/>
      <c r="E1038" s="1"/>
      <c r="F1038" s="1"/>
      <c r="G1038" s="1"/>
      <c r="H1038" s="1"/>
      <c r="I1038" s="1"/>
      <c r="J1038" s="1"/>
      <c r="K1038" s="1"/>
      <c r="L1038" s="1"/>
      <c r="M1038" s="1"/>
      <c r="N1038" s="1"/>
      <c r="O1038" s="1"/>
      <c r="P1038" s="1"/>
      <c r="Q1038" s="1"/>
      <c r="R1038" s="1"/>
      <c r="S1038" s="1"/>
      <c r="T1038" s="1"/>
      <c r="U1038" s="1"/>
      <c r="V1038" s="1"/>
      <c r="W1038" s="1"/>
      <c r="X1038" s="1"/>
      <c r="Y1038" s="1"/>
      <c r="Z1038" s="1"/>
    </row>
    <row r="1039" ht="15.75" customHeight="1">
      <c r="A1039" s="2">
        <f>IFERROR(__xludf.DUMMYFUNCTION("""COMPUTED_VALUE"""),519000.0)</f>
        <v>519000</v>
      </c>
      <c r="B1039" s="2">
        <f>IFERROR(__xludf.DUMMYFUNCTION("""COMPUTED_VALUE"""),10380.0)</f>
        <v>10380</v>
      </c>
      <c r="C1039" s="66">
        <f>IFERROR(__xludf.DUMMYFUNCTION("""COMPUTED_VALUE"""),5.38203E9)</f>
        <v>5382030000</v>
      </c>
      <c r="D1039" s="1"/>
      <c r="E1039" s="1"/>
      <c r="F1039" s="1"/>
      <c r="G1039" s="1"/>
      <c r="H1039" s="1"/>
      <c r="I1039" s="1"/>
      <c r="J1039" s="1"/>
      <c r="K1039" s="1"/>
      <c r="L1039" s="1"/>
      <c r="M1039" s="1"/>
      <c r="N1039" s="1"/>
      <c r="O1039" s="1"/>
      <c r="P1039" s="1"/>
      <c r="Q1039" s="1"/>
      <c r="R1039" s="1"/>
      <c r="S1039" s="1"/>
      <c r="T1039" s="1"/>
      <c r="U1039" s="1"/>
      <c r="V1039" s="1"/>
      <c r="W1039" s="1"/>
      <c r="X1039" s="1"/>
      <c r="Y1039" s="1"/>
      <c r="Z1039" s="1"/>
    </row>
    <row r="1040" ht="15.75" customHeight="1">
      <c r="A1040" s="2">
        <f>IFERROR(__xludf.DUMMYFUNCTION("""COMPUTED_VALUE"""),519500.0)</f>
        <v>519500</v>
      </c>
      <c r="B1040" s="2">
        <f>IFERROR(__xludf.DUMMYFUNCTION("""COMPUTED_VALUE"""),10390.0)</f>
        <v>10390</v>
      </c>
      <c r="C1040" s="66">
        <f>IFERROR(__xludf.DUMMYFUNCTION("""COMPUTED_VALUE"""),5.39241E9)</f>
        <v>5392410000</v>
      </c>
      <c r="D1040" s="1"/>
      <c r="E1040" s="1"/>
      <c r="F1040" s="1"/>
      <c r="G1040" s="1"/>
      <c r="H1040" s="1"/>
      <c r="I1040" s="1"/>
      <c r="J1040" s="1"/>
      <c r="K1040" s="1"/>
      <c r="L1040" s="1"/>
      <c r="M1040" s="1"/>
      <c r="N1040" s="1"/>
      <c r="O1040" s="1"/>
      <c r="P1040" s="1"/>
      <c r="Q1040" s="1"/>
      <c r="R1040" s="1"/>
      <c r="S1040" s="1"/>
      <c r="T1040" s="1"/>
      <c r="U1040" s="1"/>
      <c r="V1040" s="1"/>
      <c r="W1040" s="1"/>
      <c r="X1040" s="1"/>
      <c r="Y1040" s="1"/>
      <c r="Z1040" s="1"/>
    </row>
    <row r="1041" ht="15.75" customHeight="1">
      <c r="A1041" s="2">
        <f>IFERROR(__xludf.DUMMYFUNCTION("""COMPUTED_VALUE"""),520000.0)</f>
        <v>520000</v>
      </c>
      <c r="B1041" s="2">
        <f>IFERROR(__xludf.DUMMYFUNCTION("""COMPUTED_VALUE"""),10400.0)</f>
        <v>10400</v>
      </c>
      <c r="C1041" s="66">
        <f>IFERROR(__xludf.DUMMYFUNCTION("""COMPUTED_VALUE"""),5.4028E9)</f>
        <v>5402800000</v>
      </c>
      <c r="D1041" s="1"/>
      <c r="E1041" s="1"/>
      <c r="F1041" s="1"/>
      <c r="G1041" s="1"/>
      <c r="H1041" s="1"/>
      <c r="I1041" s="1"/>
      <c r="J1041" s="1"/>
      <c r="K1041" s="1"/>
      <c r="L1041" s="1"/>
      <c r="M1041" s="1"/>
      <c r="N1041" s="1"/>
      <c r="O1041" s="1"/>
      <c r="P1041" s="1"/>
      <c r="Q1041" s="1"/>
      <c r="R1041" s="1"/>
      <c r="S1041" s="1"/>
      <c r="T1041" s="1"/>
      <c r="U1041" s="1"/>
      <c r="V1041" s="1"/>
      <c r="W1041" s="1"/>
      <c r="X1041" s="1"/>
      <c r="Y1041" s="1"/>
      <c r="Z1041" s="1"/>
    </row>
    <row r="1042" ht="15.75" customHeight="1">
      <c r="A1042" s="2">
        <f>IFERROR(__xludf.DUMMYFUNCTION("""COMPUTED_VALUE"""),520500.0)</f>
        <v>520500</v>
      </c>
      <c r="B1042" s="2">
        <f>IFERROR(__xludf.DUMMYFUNCTION("""COMPUTED_VALUE"""),10410.0)</f>
        <v>10410</v>
      </c>
      <c r="C1042" s="66">
        <f>IFERROR(__xludf.DUMMYFUNCTION("""COMPUTED_VALUE"""),5.4132E9)</f>
        <v>5413200000</v>
      </c>
      <c r="D1042" s="1"/>
      <c r="E1042" s="1"/>
      <c r="F1042" s="1"/>
      <c r="G1042" s="1"/>
      <c r="H1042" s="1"/>
      <c r="I1042" s="1"/>
      <c r="J1042" s="1"/>
      <c r="K1042" s="1"/>
      <c r="L1042" s="1"/>
      <c r="M1042" s="1"/>
      <c r="N1042" s="1"/>
      <c r="O1042" s="1"/>
      <c r="P1042" s="1"/>
      <c r="Q1042" s="1"/>
      <c r="R1042" s="1"/>
      <c r="S1042" s="1"/>
      <c r="T1042" s="1"/>
      <c r="U1042" s="1"/>
      <c r="V1042" s="1"/>
      <c r="W1042" s="1"/>
      <c r="X1042" s="1"/>
      <c r="Y1042" s="1"/>
      <c r="Z1042" s="1"/>
    </row>
    <row r="1043" ht="15.75" customHeight="1">
      <c r="A1043" s="2">
        <f>IFERROR(__xludf.DUMMYFUNCTION("""COMPUTED_VALUE"""),521000.0)</f>
        <v>521000</v>
      </c>
      <c r="B1043" s="2">
        <f>IFERROR(__xludf.DUMMYFUNCTION("""COMPUTED_VALUE"""),10420.0)</f>
        <v>10420</v>
      </c>
      <c r="C1043" s="66">
        <f>IFERROR(__xludf.DUMMYFUNCTION("""COMPUTED_VALUE"""),5.42361E9)</f>
        <v>5423610000</v>
      </c>
      <c r="D1043" s="1"/>
      <c r="E1043" s="1"/>
      <c r="F1043" s="1"/>
      <c r="G1043" s="1"/>
      <c r="H1043" s="1"/>
      <c r="I1043" s="1"/>
      <c r="J1043" s="1"/>
      <c r="K1043" s="1"/>
      <c r="L1043" s="1"/>
      <c r="M1043" s="1"/>
      <c r="N1043" s="1"/>
      <c r="O1043" s="1"/>
      <c r="P1043" s="1"/>
      <c r="Q1043" s="1"/>
      <c r="R1043" s="1"/>
      <c r="S1043" s="1"/>
      <c r="T1043" s="1"/>
      <c r="U1043" s="1"/>
      <c r="V1043" s="1"/>
      <c r="W1043" s="1"/>
      <c r="X1043" s="1"/>
      <c r="Y1043" s="1"/>
      <c r="Z1043" s="1"/>
    </row>
    <row r="1044" ht="15.75" customHeight="1">
      <c r="A1044" s="2">
        <f>IFERROR(__xludf.DUMMYFUNCTION("""COMPUTED_VALUE"""),521500.0)</f>
        <v>521500</v>
      </c>
      <c r="B1044" s="2">
        <f>IFERROR(__xludf.DUMMYFUNCTION("""COMPUTED_VALUE"""),10430.0)</f>
        <v>10430</v>
      </c>
      <c r="C1044" s="66">
        <f>IFERROR(__xludf.DUMMYFUNCTION("""COMPUTED_VALUE"""),5.43403E9)</f>
        <v>5434030000</v>
      </c>
      <c r="D1044" s="1"/>
      <c r="E1044" s="1"/>
      <c r="F1044" s="1"/>
      <c r="G1044" s="1"/>
      <c r="H1044" s="1"/>
      <c r="I1044" s="1"/>
      <c r="J1044" s="1"/>
      <c r="K1044" s="1"/>
      <c r="L1044" s="1"/>
      <c r="M1044" s="1"/>
      <c r="N1044" s="1"/>
      <c r="O1044" s="1"/>
      <c r="P1044" s="1"/>
      <c r="Q1044" s="1"/>
      <c r="R1044" s="1"/>
      <c r="S1044" s="1"/>
      <c r="T1044" s="1"/>
      <c r="U1044" s="1"/>
      <c r="V1044" s="1"/>
      <c r="W1044" s="1"/>
      <c r="X1044" s="1"/>
      <c r="Y1044" s="1"/>
      <c r="Z1044" s="1"/>
    </row>
    <row r="1045" ht="15.75" customHeight="1">
      <c r="A1045" s="2">
        <f>IFERROR(__xludf.DUMMYFUNCTION("""COMPUTED_VALUE"""),522000.0)</f>
        <v>522000</v>
      </c>
      <c r="B1045" s="2">
        <f>IFERROR(__xludf.DUMMYFUNCTION("""COMPUTED_VALUE"""),10440.0)</f>
        <v>10440</v>
      </c>
      <c r="C1045" s="66">
        <f>IFERROR(__xludf.DUMMYFUNCTION("""COMPUTED_VALUE"""),5.44446E9)</f>
        <v>5444460000</v>
      </c>
      <c r="D1045" s="1"/>
      <c r="E1045" s="1"/>
      <c r="F1045" s="1"/>
      <c r="G1045" s="1"/>
      <c r="H1045" s="1"/>
      <c r="I1045" s="1"/>
      <c r="J1045" s="1"/>
      <c r="K1045" s="1"/>
      <c r="L1045" s="1"/>
      <c r="M1045" s="1"/>
      <c r="N1045" s="1"/>
      <c r="O1045" s="1"/>
      <c r="P1045" s="1"/>
      <c r="Q1045" s="1"/>
      <c r="R1045" s="1"/>
      <c r="S1045" s="1"/>
      <c r="T1045" s="1"/>
      <c r="U1045" s="1"/>
      <c r="V1045" s="1"/>
      <c r="W1045" s="1"/>
      <c r="X1045" s="1"/>
      <c r="Y1045" s="1"/>
      <c r="Z1045" s="1"/>
    </row>
    <row r="1046" ht="15.75" customHeight="1">
      <c r="A1046" s="2">
        <f>IFERROR(__xludf.DUMMYFUNCTION("""COMPUTED_VALUE"""),522500.0)</f>
        <v>522500</v>
      </c>
      <c r="B1046" s="2">
        <f>IFERROR(__xludf.DUMMYFUNCTION("""COMPUTED_VALUE"""),10450.0)</f>
        <v>10450</v>
      </c>
      <c r="C1046" s="66">
        <f>IFERROR(__xludf.DUMMYFUNCTION("""COMPUTED_VALUE"""),5.4549E9)</f>
        <v>5454900000</v>
      </c>
      <c r="D1046" s="1"/>
      <c r="E1046" s="1"/>
      <c r="F1046" s="1"/>
      <c r="G1046" s="1"/>
      <c r="H1046" s="1"/>
      <c r="I1046" s="1"/>
      <c r="J1046" s="1"/>
      <c r="K1046" s="1"/>
      <c r="L1046" s="1"/>
      <c r="M1046" s="1"/>
      <c r="N1046" s="1"/>
      <c r="O1046" s="1"/>
      <c r="P1046" s="1"/>
      <c r="Q1046" s="1"/>
      <c r="R1046" s="1"/>
      <c r="S1046" s="1"/>
      <c r="T1046" s="1"/>
      <c r="U1046" s="1"/>
      <c r="V1046" s="1"/>
      <c r="W1046" s="1"/>
      <c r="X1046" s="1"/>
      <c r="Y1046" s="1"/>
      <c r="Z1046" s="1"/>
    </row>
    <row r="1047" ht="15.75" customHeight="1">
      <c r="A1047" s="2">
        <f>IFERROR(__xludf.DUMMYFUNCTION("""COMPUTED_VALUE"""),523000.0)</f>
        <v>523000</v>
      </c>
      <c r="B1047" s="2">
        <f>IFERROR(__xludf.DUMMYFUNCTION("""COMPUTED_VALUE"""),10460.0)</f>
        <v>10460</v>
      </c>
      <c r="C1047" s="66">
        <f>IFERROR(__xludf.DUMMYFUNCTION("""COMPUTED_VALUE"""),5.46535E9)</f>
        <v>5465350000</v>
      </c>
      <c r="D1047" s="1"/>
      <c r="E1047" s="1"/>
      <c r="F1047" s="1"/>
      <c r="G1047" s="1"/>
      <c r="H1047" s="1"/>
      <c r="I1047" s="1"/>
      <c r="J1047" s="1"/>
      <c r="K1047" s="1"/>
      <c r="L1047" s="1"/>
      <c r="M1047" s="1"/>
      <c r="N1047" s="1"/>
      <c r="O1047" s="1"/>
      <c r="P1047" s="1"/>
      <c r="Q1047" s="1"/>
      <c r="R1047" s="1"/>
      <c r="S1047" s="1"/>
      <c r="T1047" s="1"/>
      <c r="U1047" s="1"/>
      <c r="V1047" s="1"/>
      <c r="W1047" s="1"/>
      <c r="X1047" s="1"/>
      <c r="Y1047" s="1"/>
      <c r="Z1047" s="1"/>
    </row>
    <row r="1048" ht="15.75" customHeight="1">
      <c r="A1048" s="2">
        <f>IFERROR(__xludf.DUMMYFUNCTION("""COMPUTED_VALUE"""),523500.0)</f>
        <v>523500</v>
      </c>
      <c r="B1048" s="2">
        <f>IFERROR(__xludf.DUMMYFUNCTION("""COMPUTED_VALUE"""),10470.0)</f>
        <v>10470</v>
      </c>
      <c r="C1048" s="66">
        <f>IFERROR(__xludf.DUMMYFUNCTION("""COMPUTED_VALUE"""),5.47581E9)</f>
        <v>5475810000</v>
      </c>
      <c r="D1048" s="1"/>
      <c r="E1048" s="1"/>
      <c r="F1048" s="1"/>
      <c r="G1048" s="1"/>
      <c r="H1048" s="1"/>
      <c r="I1048" s="1"/>
      <c r="J1048" s="1"/>
      <c r="K1048" s="1"/>
      <c r="L1048" s="1"/>
      <c r="M1048" s="1"/>
      <c r="N1048" s="1"/>
      <c r="O1048" s="1"/>
      <c r="P1048" s="1"/>
      <c r="Q1048" s="1"/>
      <c r="R1048" s="1"/>
      <c r="S1048" s="1"/>
      <c r="T1048" s="1"/>
      <c r="U1048" s="1"/>
      <c r="V1048" s="1"/>
      <c r="W1048" s="1"/>
      <c r="X1048" s="1"/>
      <c r="Y1048" s="1"/>
      <c r="Z1048" s="1"/>
    </row>
    <row r="1049" ht="15.75" customHeight="1">
      <c r="A1049" s="2">
        <f>IFERROR(__xludf.DUMMYFUNCTION("""COMPUTED_VALUE"""),524000.0)</f>
        <v>524000</v>
      </c>
      <c r="B1049" s="2">
        <f>IFERROR(__xludf.DUMMYFUNCTION("""COMPUTED_VALUE"""),10480.0)</f>
        <v>10480</v>
      </c>
      <c r="C1049" s="66">
        <f>IFERROR(__xludf.DUMMYFUNCTION("""COMPUTED_VALUE"""),5.48628E9)</f>
        <v>5486280000</v>
      </c>
      <c r="D1049" s="1"/>
      <c r="E1049" s="1"/>
      <c r="F1049" s="1"/>
      <c r="G1049" s="1"/>
      <c r="H1049" s="1"/>
      <c r="I1049" s="1"/>
      <c r="J1049" s="1"/>
      <c r="K1049" s="1"/>
      <c r="L1049" s="1"/>
      <c r="M1049" s="1"/>
      <c r="N1049" s="1"/>
      <c r="O1049" s="1"/>
      <c r="P1049" s="1"/>
      <c r="Q1049" s="1"/>
      <c r="R1049" s="1"/>
      <c r="S1049" s="1"/>
      <c r="T1049" s="1"/>
      <c r="U1049" s="1"/>
      <c r="V1049" s="1"/>
      <c r="W1049" s="1"/>
      <c r="X1049" s="1"/>
      <c r="Y1049" s="1"/>
      <c r="Z1049" s="1"/>
    </row>
    <row r="1050" ht="15.75" customHeight="1">
      <c r="A1050" s="2">
        <f>IFERROR(__xludf.DUMMYFUNCTION("""COMPUTED_VALUE"""),524500.0)</f>
        <v>524500</v>
      </c>
      <c r="B1050" s="2">
        <f>IFERROR(__xludf.DUMMYFUNCTION("""COMPUTED_VALUE"""),10490.0)</f>
        <v>10490</v>
      </c>
      <c r="C1050" s="66">
        <f>IFERROR(__xludf.DUMMYFUNCTION("""COMPUTED_VALUE"""),5.49676E9)</f>
        <v>5496760000</v>
      </c>
      <c r="D1050" s="1"/>
      <c r="E1050" s="1"/>
      <c r="F1050" s="1"/>
      <c r="G1050" s="1"/>
      <c r="H1050" s="1"/>
      <c r="I1050" s="1"/>
      <c r="J1050" s="1"/>
      <c r="K1050" s="1"/>
      <c r="L1050" s="1"/>
      <c r="M1050" s="1"/>
      <c r="N1050" s="1"/>
      <c r="O1050" s="1"/>
      <c r="P1050" s="1"/>
      <c r="Q1050" s="1"/>
      <c r="R1050" s="1"/>
      <c r="S1050" s="1"/>
      <c r="T1050" s="1"/>
      <c r="U1050" s="1"/>
      <c r="V1050" s="1"/>
      <c r="W1050" s="1"/>
      <c r="X1050" s="1"/>
      <c r="Y1050" s="1"/>
      <c r="Z1050" s="1"/>
    </row>
    <row r="1051" ht="15.75" customHeight="1">
      <c r="A1051" s="2">
        <f>IFERROR(__xludf.DUMMYFUNCTION("""COMPUTED_VALUE"""),525000.0)</f>
        <v>525000</v>
      </c>
      <c r="B1051" s="2">
        <f>IFERROR(__xludf.DUMMYFUNCTION("""COMPUTED_VALUE"""),10500.0)</f>
        <v>10500</v>
      </c>
      <c r="C1051" s="66">
        <f>IFERROR(__xludf.DUMMYFUNCTION("""COMPUTED_VALUE"""),5.50725E9)</f>
        <v>5507250000</v>
      </c>
      <c r="D1051" s="1"/>
      <c r="E1051" s="1"/>
      <c r="F1051" s="1"/>
      <c r="G1051" s="1"/>
      <c r="H1051" s="1"/>
      <c r="I1051" s="1"/>
      <c r="J1051" s="1"/>
      <c r="K1051" s="1"/>
      <c r="L1051" s="1"/>
      <c r="M1051" s="1"/>
      <c r="N1051" s="1"/>
      <c r="O1051" s="1"/>
      <c r="P1051" s="1"/>
      <c r="Q1051" s="1"/>
      <c r="R1051" s="1"/>
      <c r="S1051" s="1"/>
      <c r="T1051" s="1"/>
      <c r="U1051" s="1"/>
      <c r="V1051" s="1"/>
      <c r="W1051" s="1"/>
      <c r="X1051" s="1"/>
      <c r="Y1051" s="1"/>
      <c r="Z1051" s="1"/>
    </row>
    <row r="1052" ht="15.75" customHeight="1">
      <c r="A1052" s="2">
        <f>IFERROR(__xludf.DUMMYFUNCTION("""COMPUTED_VALUE"""),525500.0)</f>
        <v>525500</v>
      </c>
      <c r="B1052" s="2">
        <f>IFERROR(__xludf.DUMMYFUNCTION("""COMPUTED_VALUE"""),10510.0)</f>
        <v>10510</v>
      </c>
      <c r="C1052" s="66">
        <f>IFERROR(__xludf.DUMMYFUNCTION("""COMPUTED_VALUE"""),5.51775E9)</f>
        <v>5517750000</v>
      </c>
      <c r="D1052" s="1"/>
      <c r="E1052" s="1"/>
      <c r="F1052" s="1"/>
      <c r="G1052" s="1"/>
      <c r="H1052" s="1"/>
      <c r="I1052" s="1"/>
      <c r="J1052" s="1"/>
      <c r="K1052" s="1"/>
      <c r="L1052" s="1"/>
      <c r="M1052" s="1"/>
      <c r="N1052" s="1"/>
      <c r="O1052" s="1"/>
      <c r="P1052" s="1"/>
      <c r="Q1052" s="1"/>
      <c r="R1052" s="1"/>
      <c r="S1052" s="1"/>
      <c r="T1052" s="1"/>
      <c r="U1052" s="1"/>
      <c r="V1052" s="1"/>
      <c r="W1052" s="1"/>
      <c r="X1052" s="1"/>
      <c r="Y1052" s="1"/>
      <c r="Z1052" s="1"/>
    </row>
    <row r="1053" ht="15.75" customHeight="1">
      <c r="A1053" s="2">
        <f>IFERROR(__xludf.DUMMYFUNCTION("""COMPUTED_VALUE"""),526000.0)</f>
        <v>526000</v>
      </c>
      <c r="B1053" s="2">
        <f>IFERROR(__xludf.DUMMYFUNCTION("""COMPUTED_VALUE"""),10520.0)</f>
        <v>10520</v>
      </c>
      <c r="C1053" s="66">
        <f>IFERROR(__xludf.DUMMYFUNCTION("""COMPUTED_VALUE"""),5.52826E9)</f>
        <v>5528260000</v>
      </c>
      <c r="D1053" s="1"/>
      <c r="E1053" s="1"/>
      <c r="F1053" s="1"/>
      <c r="G1053" s="1"/>
      <c r="H1053" s="1"/>
      <c r="I1053" s="1"/>
      <c r="J1053" s="1"/>
      <c r="K1053" s="1"/>
      <c r="L1053" s="1"/>
      <c r="M1053" s="1"/>
      <c r="N1053" s="1"/>
      <c r="O1053" s="1"/>
      <c r="P1053" s="1"/>
      <c r="Q1053" s="1"/>
      <c r="R1053" s="1"/>
      <c r="S1053" s="1"/>
      <c r="T1053" s="1"/>
      <c r="U1053" s="1"/>
      <c r="V1053" s="1"/>
      <c r="W1053" s="1"/>
      <c r="X1053" s="1"/>
      <c r="Y1053" s="1"/>
      <c r="Z1053" s="1"/>
    </row>
    <row r="1054" ht="15.75" customHeight="1">
      <c r="A1054" s="2">
        <f>IFERROR(__xludf.DUMMYFUNCTION("""COMPUTED_VALUE"""),526500.0)</f>
        <v>526500</v>
      </c>
      <c r="B1054" s="2">
        <f>IFERROR(__xludf.DUMMYFUNCTION("""COMPUTED_VALUE"""),10530.0)</f>
        <v>10530</v>
      </c>
      <c r="C1054" s="66">
        <f>IFERROR(__xludf.DUMMYFUNCTION("""COMPUTED_VALUE"""),5.53878E9)</f>
        <v>5538780000</v>
      </c>
      <c r="D1054" s="1"/>
      <c r="E1054" s="1"/>
      <c r="F1054" s="1"/>
      <c r="G1054" s="1"/>
      <c r="H1054" s="1"/>
      <c r="I1054" s="1"/>
      <c r="J1054" s="1"/>
      <c r="K1054" s="1"/>
      <c r="L1054" s="1"/>
      <c r="M1054" s="1"/>
      <c r="N1054" s="1"/>
      <c r="O1054" s="1"/>
      <c r="P1054" s="1"/>
      <c r="Q1054" s="1"/>
      <c r="R1054" s="1"/>
      <c r="S1054" s="1"/>
      <c r="T1054" s="1"/>
      <c r="U1054" s="1"/>
      <c r="V1054" s="1"/>
      <c r="W1054" s="1"/>
      <c r="X1054" s="1"/>
      <c r="Y1054" s="1"/>
      <c r="Z1054" s="1"/>
    </row>
    <row r="1055" ht="15.75" customHeight="1">
      <c r="A1055" s="2">
        <f>IFERROR(__xludf.DUMMYFUNCTION("""COMPUTED_VALUE"""),527000.0)</f>
        <v>527000</v>
      </c>
      <c r="B1055" s="2">
        <f>IFERROR(__xludf.DUMMYFUNCTION("""COMPUTED_VALUE"""),10540.0)</f>
        <v>10540</v>
      </c>
      <c r="C1055" s="66">
        <f>IFERROR(__xludf.DUMMYFUNCTION("""COMPUTED_VALUE"""),5.54931E9)</f>
        <v>5549310000</v>
      </c>
      <c r="D1055" s="1"/>
      <c r="E1055" s="1"/>
      <c r="F1055" s="1"/>
      <c r="G1055" s="1"/>
      <c r="H1055" s="1"/>
      <c r="I1055" s="1"/>
      <c r="J1055" s="1"/>
      <c r="K1055" s="1"/>
      <c r="L1055" s="1"/>
      <c r="M1055" s="1"/>
      <c r="N1055" s="1"/>
      <c r="O1055" s="1"/>
      <c r="P1055" s="1"/>
      <c r="Q1055" s="1"/>
      <c r="R1055" s="1"/>
      <c r="S1055" s="1"/>
      <c r="T1055" s="1"/>
      <c r="U1055" s="1"/>
      <c r="V1055" s="1"/>
      <c r="W1055" s="1"/>
      <c r="X1055" s="1"/>
      <c r="Y1055" s="1"/>
      <c r="Z1055" s="1"/>
    </row>
    <row r="1056" ht="15.75" customHeight="1">
      <c r="A1056" s="2">
        <f>IFERROR(__xludf.DUMMYFUNCTION("""COMPUTED_VALUE"""),527500.0)</f>
        <v>527500</v>
      </c>
      <c r="B1056" s="2">
        <f>IFERROR(__xludf.DUMMYFUNCTION("""COMPUTED_VALUE"""),10550.0)</f>
        <v>10550</v>
      </c>
      <c r="C1056" s="66">
        <f>IFERROR(__xludf.DUMMYFUNCTION("""COMPUTED_VALUE"""),5.55985E9)</f>
        <v>5559850000</v>
      </c>
      <c r="D1056" s="1"/>
      <c r="E1056" s="1"/>
      <c r="F1056" s="1"/>
      <c r="G1056" s="1"/>
      <c r="H1056" s="1"/>
      <c r="I1056" s="1"/>
      <c r="J1056" s="1"/>
      <c r="K1056" s="1"/>
      <c r="L1056" s="1"/>
      <c r="M1056" s="1"/>
      <c r="N1056" s="1"/>
      <c r="O1056" s="1"/>
      <c r="P1056" s="1"/>
      <c r="Q1056" s="1"/>
      <c r="R1056" s="1"/>
      <c r="S1056" s="1"/>
      <c r="T1056" s="1"/>
      <c r="U1056" s="1"/>
      <c r="V1056" s="1"/>
      <c r="W1056" s="1"/>
      <c r="X1056" s="1"/>
      <c r="Y1056" s="1"/>
      <c r="Z1056" s="1"/>
    </row>
    <row r="1057" ht="15.75" customHeight="1">
      <c r="A1057" s="2">
        <f>IFERROR(__xludf.DUMMYFUNCTION("""COMPUTED_VALUE"""),528000.0)</f>
        <v>528000</v>
      </c>
      <c r="B1057" s="2">
        <f>IFERROR(__xludf.DUMMYFUNCTION("""COMPUTED_VALUE"""),10560.0)</f>
        <v>10560</v>
      </c>
      <c r="C1057" s="66">
        <f>IFERROR(__xludf.DUMMYFUNCTION("""COMPUTED_VALUE"""),5.5704E9)</f>
        <v>5570400000</v>
      </c>
      <c r="D1057" s="1"/>
      <c r="E1057" s="1"/>
      <c r="F1057" s="1"/>
      <c r="G1057" s="1"/>
      <c r="H1057" s="1"/>
      <c r="I1057" s="1"/>
      <c r="J1057" s="1"/>
      <c r="K1057" s="1"/>
      <c r="L1057" s="1"/>
      <c r="M1057" s="1"/>
      <c r="N1057" s="1"/>
      <c r="O1057" s="1"/>
      <c r="P1057" s="1"/>
      <c r="Q1057" s="1"/>
      <c r="R1057" s="1"/>
      <c r="S1057" s="1"/>
      <c r="T1057" s="1"/>
      <c r="U1057" s="1"/>
      <c r="V1057" s="1"/>
      <c r="W1057" s="1"/>
      <c r="X1057" s="1"/>
      <c r="Y1057" s="1"/>
      <c r="Z1057" s="1"/>
    </row>
    <row r="1058" ht="15.75" customHeight="1">
      <c r="A1058" s="2">
        <f>IFERROR(__xludf.DUMMYFUNCTION("""COMPUTED_VALUE"""),528500.0)</f>
        <v>528500</v>
      </c>
      <c r="B1058" s="2">
        <f>IFERROR(__xludf.DUMMYFUNCTION("""COMPUTED_VALUE"""),10570.0)</f>
        <v>10570</v>
      </c>
      <c r="C1058" s="66">
        <f>IFERROR(__xludf.DUMMYFUNCTION("""COMPUTED_VALUE"""),5.58096E9)</f>
        <v>5580960000</v>
      </c>
      <c r="D1058" s="1"/>
      <c r="E1058" s="1"/>
      <c r="F1058" s="1"/>
      <c r="G1058" s="1"/>
      <c r="H1058" s="1"/>
      <c r="I1058" s="1"/>
      <c r="J1058" s="1"/>
      <c r="K1058" s="1"/>
      <c r="L1058" s="1"/>
      <c r="M1058" s="1"/>
      <c r="N1058" s="1"/>
      <c r="O1058" s="1"/>
      <c r="P1058" s="1"/>
      <c r="Q1058" s="1"/>
      <c r="R1058" s="1"/>
      <c r="S1058" s="1"/>
      <c r="T1058" s="1"/>
      <c r="U1058" s="1"/>
      <c r="V1058" s="1"/>
      <c r="W1058" s="1"/>
      <c r="X1058" s="1"/>
      <c r="Y1058" s="1"/>
      <c r="Z1058" s="1"/>
    </row>
    <row r="1059" ht="15.75" customHeight="1">
      <c r="A1059" s="2">
        <f>IFERROR(__xludf.DUMMYFUNCTION("""COMPUTED_VALUE"""),529000.0)</f>
        <v>529000</v>
      </c>
      <c r="B1059" s="2">
        <f>IFERROR(__xludf.DUMMYFUNCTION("""COMPUTED_VALUE"""),10580.0)</f>
        <v>10580</v>
      </c>
      <c r="C1059" s="66">
        <f>IFERROR(__xludf.DUMMYFUNCTION("""COMPUTED_VALUE"""),5.59153E9)</f>
        <v>5591530000</v>
      </c>
      <c r="D1059" s="1"/>
      <c r="E1059" s="1"/>
      <c r="F1059" s="1"/>
      <c r="G1059" s="1"/>
      <c r="H1059" s="1"/>
      <c r="I1059" s="1"/>
      <c r="J1059" s="1"/>
      <c r="K1059" s="1"/>
      <c r="L1059" s="1"/>
      <c r="M1059" s="1"/>
      <c r="N1059" s="1"/>
      <c r="O1059" s="1"/>
      <c r="P1059" s="1"/>
      <c r="Q1059" s="1"/>
      <c r="R1059" s="1"/>
      <c r="S1059" s="1"/>
      <c r="T1059" s="1"/>
      <c r="U1059" s="1"/>
      <c r="V1059" s="1"/>
      <c r="W1059" s="1"/>
      <c r="X1059" s="1"/>
      <c r="Y1059" s="1"/>
      <c r="Z1059" s="1"/>
    </row>
    <row r="1060" ht="15.75" customHeight="1">
      <c r="A1060" s="2">
        <f>IFERROR(__xludf.DUMMYFUNCTION("""COMPUTED_VALUE"""),529500.0)</f>
        <v>529500</v>
      </c>
      <c r="B1060" s="2">
        <f>IFERROR(__xludf.DUMMYFUNCTION("""COMPUTED_VALUE"""),10590.0)</f>
        <v>10590</v>
      </c>
      <c r="C1060" s="66">
        <f>IFERROR(__xludf.DUMMYFUNCTION("""COMPUTED_VALUE"""),5.60211E9)</f>
        <v>5602110000</v>
      </c>
      <c r="D1060" s="1"/>
      <c r="E1060" s="1"/>
      <c r="F1060" s="1"/>
      <c r="G1060" s="1"/>
      <c r="H1060" s="1"/>
      <c r="I1060" s="1"/>
      <c r="J1060" s="1"/>
      <c r="K1060" s="1"/>
      <c r="L1060" s="1"/>
      <c r="M1060" s="1"/>
      <c r="N1060" s="1"/>
      <c r="O1060" s="1"/>
      <c r="P1060" s="1"/>
      <c r="Q1060" s="1"/>
      <c r="R1060" s="1"/>
      <c r="S1060" s="1"/>
      <c r="T1060" s="1"/>
      <c r="U1060" s="1"/>
      <c r="V1060" s="1"/>
      <c r="W1060" s="1"/>
      <c r="X1060" s="1"/>
      <c r="Y1060" s="1"/>
      <c r="Z1060" s="1"/>
    </row>
    <row r="1061" ht="15.75" customHeight="1">
      <c r="A1061" s="2">
        <f>IFERROR(__xludf.DUMMYFUNCTION("""COMPUTED_VALUE"""),530000.0)</f>
        <v>530000</v>
      </c>
      <c r="B1061" s="2">
        <f>IFERROR(__xludf.DUMMYFUNCTION("""COMPUTED_VALUE"""),10600.0)</f>
        <v>10600</v>
      </c>
      <c r="C1061" s="66">
        <f>IFERROR(__xludf.DUMMYFUNCTION("""COMPUTED_VALUE"""),5.6127E9)</f>
        <v>5612700000</v>
      </c>
      <c r="D1061" s="1"/>
      <c r="E1061" s="1"/>
      <c r="F1061" s="1"/>
      <c r="G1061" s="1"/>
      <c r="H1061" s="1"/>
      <c r="I1061" s="1"/>
      <c r="J1061" s="1"/>
      <c r="K1061" s="1"/>
      <c r="L1061" s="1"/>
      <c r="M1061" s="1"/>
      <c r="N1061" s="1"/>
      <c r="O1061" s="1"/>
      <c r="P1061" s="1"/>
      <c r="Q1061" s="1"/>
      <c r="R1061" s="1"/>
      <c r="S1061" s="1"/>
      <c r="T1061" s="1"/>
      <c r="U1061" s="1"/>
      <c r="V1061" s="1"/>
      <c r="W1061" s="1"/>
      <c r="X1061" s="1"/>
      <c r="Y1061" s="1"/>
      <c r="Z1061" s="1"/>
    </row>
    <row r="1062" ht="15.75" customHeight="1">
      <c r="A1062" s="2">
        <f>IFERROR(__xludf.DUMMYFUNCTION("""COMPUTED_VALUE"""),530500.0)</f>
        <v>530500</v>
      </c>
      <c r="B1062" s="2">
        <f>IFERROR(__xludf.DUMMYFUNCTION("""COMPUTED_VALUE"""),10610.0)</f>
        <v>10610</v>
      </c>
      <c r="C1062" s="66">
        <f>IFERROR(__xludf.DUMMYFUNCTION("""COMPUTED_VALUE"""),5.6233E9)</f>
        <v>5623300000</v>
      </c>
      <c r="D1062" s="1"/>
      <c r="E1062" s="1"/>
      <c r="F1062" s="1"/>
      <c r="G1062" s="1"/>
      <c r="H1062" s="1"/>
      <c r="I1062" s="1"/>
      <c r="J1062" s="1"/>
      <c r="K1062" s="1"/>
      <c r="L1062" s="1"/>
      <c r="M1062" s="1"/>
      <c r="N1062" s="1"/>
      <c r="O1062" s="1"/>
      <c r="P1062" s="1"/>
      <c r="Q1062" s="1"/>
      <c r="R1062" s="1"/>
      <c r="S1062" s="1"/>
      <c r="T1062" s="1"/>
      <c r="U1062" s="1"/>
      <c r="V1062" s="1"/>
      <c r="W1062" s="1"/>
      <c r="X1062" s="1"/>
      <c r="Y1062" s="1"/>
      <c r="Z1062" s="1"/>
    </row>
    <row r="1063" ht="15.75" customHeight="1">
      <c r="A1063" s="2">
        <f>IFERROR(__xludf.DUMMYFUNCTION("""COMPUTED_VALUE"""),531000.0)</f>
        <v>531000</v>
      </c>
      <c r="B1063" s="2">
        <f>IFERROR(__xludf.DUMMYFUNCTION("""COMPUTED_VALUE"""),10620.0)</f>
        <v>10620</v>
      </c>
      <c r="C1063" s="66">
        <f>IFERROR(__xludf.DUMMYFUNCTION("""COMPUTED_VALUE"""),5.63391E9)</f>
        <v>5633910000</v>
      </c>
      <c r="D1063" s="1"/>
      <c r="E1063" s="1"/>
      <c r="F1063" s="1"/>
      <c r="G1063" s="1"/>
      <c r="H1063" s="1"/>
      <c r="I1063" s="1"/>
      <c r="J1063" s="1"/>
      <c r="K1063" s="1"/>
      <c r="L1063" s="1"/>
      <c r="M1063" s="1"/>
      <c r="N1063" s="1"/>
      <c r="O1063" s="1"/>
      <c r="P1063" s="1"/>
      <c r="Q1063" s="1"/>
      <c r="R1063" s="1"/>
      <c r="S1063" s="1"/>
      <c r="T1063" s="1"/>
      <c r="U1063" s="1"/>
      <c r="V1063" s="1"/>
      <c r="W1063" s="1"/>
      <c r="X1063" s="1"/>
      <c r="Y1063" s="1"/>
      <c r="Z1063" s="1"/>
    </row>
    <row r="1064" ht="15.75" customHeight="1">
      <c r="A1064" s="2">
        <f>IFERROR(__xludf.DUMMYFUNCTION("""COMPUTED_VALUE"""),531500.0)</f>
        <v>531500</v>
      </c>
      <c r="B1064" s="2">
        <f>IFERROR(__xludf.DUMMYFUNCTION("""COMPUTED_VALUE"""),10630.0)</f>
        <v>10630</v>
      </c>
      <c r="C1064" s="66">
        <f>IFERROR(__xludf.DUMMYFUNCTION("""COMPUTED_VALUE"""),5.64453E9)</f>
        <v>5644530000</v>
      </c>
      <c r="D1064" s="1"/>
      <c r="E1064" s="1"/>
      <c r="F1064" s="1"/>
      <c r="G1064" s="1"/>
      <c r="H1064" s="1"/>
      <c r="I1064" s="1"/>
      <c r="J1064" s="1"/>
      <c r="K1064" s="1"/>
      <c r="L1064" s="1"/>
      <c r="M1064" s="1"/>
      <c r="N1064" s="1"/>
      <c r="O1064" s="1"/>
      <c r="P1064" s="1"/>
      <c r="Q1064" s="1"/>
      <c r="R1064" s="1"/>
      <c r="S1064" s="1"/>
      <c r="T1064" s="1"/>
      <c r="U1064" s="1"/>
      <c r="V1064" s="1"/>
      <c r="W1064" s="1"/>
      <c r="X1064" s="1"/>
      <c r="Y1064" s="1"/>
      <c r="Z1064" s="1"/>
    </row>
    <row r="1065" ht="15.75" customHeight="1">
      <c r="A1065" s="2">
        <f>IFERROR(__xludf.DUMMYFUNCTION("""COMPUTED_VALUE"""),532000.0)</f>
        <v>532000</v>
      </c>
      <c r="B1065" s="2">
        <f>IFERROR(__xludf.DUMMYFUNCTION("""COMPUTED_VALUE"""),10640.0)</f>
        <v>10640</v>
      </c>
      <c r="C1065" s="66">
        <f>IFERROR(__xludf.DUMMYFUNCTION("""COMPUTED_VALUE"""),5.65516E9)</f>
        <v>5655160000</v>
      </c>
      <c r="D1065" s="1"/>
      <c r="E1065" s="1"/>
      <c r="F1065" s="1"/>
      <c r="G1065" s="1"/>
      <c r="H1065" s="1"/>
      <c r="I1065" s="1"/>
      <c r="J1065" s="1"/>
      <c r="K1065" s="1"/>
      <c r="L1065" s="1"/>
      <c r="M1065" s="1"/>
      <c r="N1065" s="1"/>
      <c r="O1065" s="1"/>
      <c r="P1065" s="1"/>
      <c r="Q1065" s="1"/>
      <c r="R1065" s="1"/>
      <c r="S1065" s="1"/>
      <c r="T1065" s="1"/>
      <c r="U1065" s="1"/>
      <c r="V1065" s="1"/>
      <c r="W1065" s="1"/>
      <c r="X1065" s="1"/>
      <c r="Y1065" s="1"/>
      <c r="Z1065" s="1"/>
    </row>
    <row r="1066" ht="15.75" customHeight="1">
      <c r="A1066" s="2">
        <f>IFERROR(__xludf.DUMMYFUNCTION("""COMPUTED_VALUE"""),532500.0)</f>
        <v>532500</v>
      </c>
      <c r="B1066" s="2">
        <f>IFERROR(__xludf.DUMMYFUNCTION("""COMPUTED_VALUE"""),10650.0)</f>
        <v>10650</v>
      </c>
      <c r="C1066" s="66">
        <f>IFERROR(__xludf.DUMMYFUNCTION("""COMPUTED_VALUE"""),5.6658E9)</f>
        <v>5665800000</v>
      </c>
      <c r="D1066" s="1"/>
      <c r="E1066" s="1"/>
      <c r="F1066" s="1"/>
      <c r="G1066" s="1"/>
      <c r="H1066" s="1"/>
      <c r="I1066" s="1"/>
      <c r="J1066" s="1"/>
      <c r="K1066" s="1"/>
      <c r="L1066" s="1"/>
      <c r="M1066" s="1"/>
      <c r="N1066" s="1"/>
      <c r="O1066" s="1"/>
      <c r="P1066" s="1"/>
      <c r="Q1066" s="1"/>
      <c r="R1066" s="1"/>
      <c r="S1066" s="1"/>
      <c r="T1066" s="1"/>
      <c r="U1066" s="1"/>
      <c r="V1066" s="1"/>
      <c r="W1066" s="1"/>
      <c r="X1066" s="1"/>
      <c r="Y1066" s="1"/>
      <c r="Z1066" s="1"/>
    </row>
    <row r="1067" ht="15.75" customHeight="1">
      <c r="A1067" s="2">
        <f>IFERROR(__xludf.DUMMYFUNCTION("""COMPUTED_VALUE"""),533000.0)</f>
        <v>533000</v>
      </c>
      <c r="B1067" s="2">
        <f>IFERROR(__xludf.DUMMYFUNCTION("""COMPUTED_VALUE"""),10660.0)</f>
        <v>10660</v>
      </c>
      <c r="C1067" s="66">
        <f>IFERROR(__xludf.DUMMYFUNCTION("""COMPUTED_VALUE"""),5.67645E9)</f>
        <v>5676450000</v>
      </c>
      <c r="D1067" s="1"/>
      <c r="E1067" s="1"/>
      <c r="F1067" s="1"/>
      <c r="G1067" s="1"/>
      <c r="H1067" s="1"/>
      <c r="I1067" s="1"/>
      <c r="J1067" s="1"/>
      <c r="K1067" s="1"/>
      <c r="L1067" s="1"/>
      <c r="M1067" s="1"/>
      <c r="N1067" s="1"/>
      <c r="O1067" s="1"/>
      <c r="P1067" s="1"/>
      <c r="Q1067" s="1"/>
      <c r="R1067" s="1"/>
      <c r="S1067" s="1"/>
      <c r="T1067" s="1"/>
      <c r="U1067" s="1"/>
      <c r="V1067" s="1"/>
      <c r="W1067" s="1"/>
      <c r="X1067" s="1"/>
      <c r="Y1067" s="1"/>
      <c r="Z1067" s="1"/>
    </row>
    <row r="1068" ht="15.75" customHeight="1">
      <c r="A1068" s="2">
        <f>IFERROR(__xludf.DUMMYFUNCTION("""COMPUTED_VALUE"""),533500.0)</f>
        <v>533500</v>
      </c>
      <c r="B1068" s="2">
        <f>IFERROR(__xludf.DUMMYFUNCTION("""COMPUTED_VALUE"""),10670.0)</f>
        <v>10670</v>
      </c>
      <c r="C1068" s="66">
        <f>IFERROR(__xludf.DUMMYFUNCTION("""COMPUTED_VALUE"""),5.68711E9)</f>
        <v>5687110000</v>
      </c>
      <c r="D1068" s="1"/>
      <c r="E1068" s="1"/>
      <c r="F1068" s="1"/>
      <c r="G1068" s="1"/>
      <c r="H1068" s="1"/>
      <c r="I1068" s="1"/>
      <c r="J1068" s="1"/>
      <c r="K1068" s="1"/>
      <c r="L1068" s="1"/>
      <c r="M1068" s="1"/>
      <c r="N1068" s="1"/>
      <c r="O1068" s="1"/>
      <c r="P1068" s="1"/>
      <c r="Q1068" s="1"/>
      <c r="R1068" s="1"/>
      <c r="S1068" s="1"/>
      <c r="T1068" s="1"/>
      <c r="U1068" s="1"/>
      <c r="V1068" s="1"/>
      <c r="W1068" s="1"/>
      <c r="X1068" s="1"/>
      <c r="Y1068" s="1"/>
      <c r="Z1068" s="1"/>
    </row>
    <row r="1069" ht="15.75" customHeight="1">
      <c r="A1069" s="2">
        <f>IFERROR(__xludf.DUMMYFUNCTION("""COMPUTED_VALUE"""),534000.0)</f>
        <v>534000</v>
      </c>
      <c r="B1069" s="2">
        <f>IFERROR(__xludf.DUMMYFUNCTION("""COMPUTED_VALUE"""),10680.0)</f>
        <v>10680</v>
      </c>
      <c r="C1069" s="66">
        <f>IFERROR(__xludf.DUMMYFUNCTION("""COMPUTED_VALUE"""),5.69778E9)</f>
        <v>5697780000</v>
      </c>
      <c r="D1069" s="1"/>
      <c r="E1069" s="1"/>
      <c r="F1069" s="1"/>
      <c r="G1069" s="1"/>
      <c r="H1069" s="1"/>
      <c r="I1069" s="1"/>
      <c r="J1069" s="1"/>
      <c r="K1069" s="1"/>
      <c r="L1069" s="1"/>
      <c r="M1069" s="1"/>
      <c r="N1069" s="1"/>
      <c r="O1069" s="1"/>
      <c r="P1069" s="1"/>
      <c r="Q1069" s="1"/>
      <c r="R1069" s="1"/>
      <c r="S1069" s="1"/>
      <c r="T1069" s="1"/>
      <c r="U1069" s="1"/>
      <c r="V1069" s="1"/>
      <c r="W1069" s="1"/>
      <c r="X1069" s="1"/>
      <c r="Y1069" s="1"/>
      <c r="Z1069" s="1"/>
    </row>
    <row r="1070" ht="15.75" customHeight="1">
      <c r="A1070" s="2">
        <f>IFERROR(__xludf.DUMMYFUNCTION("""COMPUTED_VALUE"""),534500.0)</f>
        <v>534500</v>
      </c>
      <c r="B1070" s="2">
        <f>IFERROR(__xludf.DUMMYFUNCTION("""COMPUTED_VALUE"""),10690.0)</f>
        <v>10690</v>
      </c>
      <c r="C1070" s="66">
        <f>IFERROR(__xludf.DUMMYFUNCTION("""COMPUTED_VALUE"""),5.70846E9)</f>
        <v>5708460000</v>
      </c>
      <c r="D1070" s="1"/>
      <c r="E1070" s="1"/>
      <c r="F1070" s="1"/>
      <c r="G1070" s="1"/>
      <c r="H1070" s="1"/>
      <c r="I1070" s="1"/>
      <c r="J1070" s="1"/>
      <c r="K1070" s="1"/>
      <c r="L1070" s="1"/>
      <c r="M1070" s="1"/>
      <c r="N1070" s="1"/>
      <c r="O1070" s="1"/>
      <c r="P1070" s="1"/>
      <c r="Q1070" s="1"/>
      <c r="R1070" s="1"/>
      <c r="S1070" s="1"/>
      <c r="T1070" s="1"/>
      <c r="U1070" s="1"/>
      <c r="V1070" s="1"/>
      <c r="W1070" s="1"/>
      <c r="X1070" s="1"/>
      <c r="Y1070" s="1"/>
      <c r="Z1070" s="1"/>
    </row>
    <row r="1071" ht="15.75" customHeight="1">
      <c r="A1071" s="2">
        <f>IFERROR(__xludf.DUMMYFUNCTION("""COMPUTED_VALUE"""),535000.0)</f>
        <v>535000</v>
      </c>
      <c r="B1071" s="2">
        <f>IFERROR(__xludf.DUMMYFUNCTION("""COMPUTED_VALUE"""),10700.0)</f>
        <v>10700</v>
      </c>
      <c r="C1071" s="66">
        <f>IFERROR(__xludf.DUMMYFUNCTION("""COMPUTED_VALUE"""),5.71915E9)</f>
        <v>5719150000</v>
      </c>
      <c r="D1071" s="1"/>
      <c r="E1071" s="1"/>
      <c r="F1071" s="1"/>
      <c r="G1071" s="1"/>
      <c r="H1071" s="1"/>
      <c r="I1071" s="1"/>
      <c r="J1071" s="1"/>
      <c r="K1071" s="1"/>
      <c r="L1071" s="1"/>
      <c r="M1071" s="1"/>
      <c r="N1071" s="1"/>
      <c r="O1071" s="1"/>
      <c r="P1071" s="1"/>
      <c r="Q1071" s="1"/>
      <c r="R1071" s="1"/>
      <c r="S1071" s="1"/>
      <c r="T1071" s="1"/>
      <c r="U1071" s="1"/>
      <c r="V1071" s="1"/>
      <c r="W1071" s="1"/>
      <c r="X1071" s="1"/>
      <c r="Y1071" s="1"/>
      <c r="Z1071" s="1"/>
    </row>
    <row r="1072" ht="15.75" customHeight="1">
      <c r="A1072" s="2">
        <f>IFERROR(__xludf.DUMMYFUNCTION("""COMPUTED_VALUE"""),535500.0)</f>
        <v>535500</v>
      </c>
      <c r="B1072" s="2">
        <f>IFERROR(__xludf.DUMMYFUNCTION("""COMPUTED_VALUE"""),10710.0)</f>
        <v>10710</v>
      </c>
      <c r="C1072" s="66">
        <f>IFERROR(__xludf.DUMMYFUNCTION("""COMPUTED_VALUE"""),5.72985E9)</f>
        <v>5729850000</v>
      </c>
      <c r="D1072" s="1"/>
      <c r="E1072" s="1"/>
      <c r="F1072" s="1"/>
      <c r="G1072" s="1"/>
      <c r="H1072" s="1"/>
      <c r="I1072" s="1"/>
      <c r="J1072" s="1"/>
      <c r="K1072" s="1"/>
      <c r="L1072" s="1"/>
      <c r="M1072" s="1"/>
      <c r="N1072" s="1"/>
      <c r="O1072" s="1"/>
      <c r="P1072" s="1"/>
      <c r="Q1072" s="1"/>
      <c r="R1072" s="1"/>
      <c r="S1072" s="1"/>
      <c r="T1072" s="1"/>
      <c r="U1072" s="1"/>
      <c r="V1072" s="1"/>
      <c r="W1072" s="1"/>
      <c r="X1072" s="1"/>
      <c r="Y1072" s="1"/>
      <c r="Z1072" s="1"/>
    </row>
    <row r="1073" ht="15.75" customHeight="1">
      <c r="A1073" s="2">
        <f>IFERROR(__xludf.DUMMYFUNCTION("""COMPUTED_VALUE"""),536000.0)</f>
        <v>536000</v>
      </c>
      <c r="B1073" s="2">
        <f>IFERROR(__xludf.DUMMYFUNCTION("""COMPUTED_VALUE"""),10720.0)</f>
        <v>10720</v>
      </c>
      <c r="C1073" s="66">
        <f>IFERROR(__xludf.DUMMYFUNCTION("""COMPUTED_VALUE"""),5.74056E9)</f>
        <v>5740560000</v>
      </c>
      <c r="D1073" s="1"/>
      <c r="E1073" s="1"/>
      <c r="F1073" s="1"/>
      <c r="G1073" s="1"/>
      <c r="H1073" s="1"/>
      <c r="I1073" s="1"/>
      <c r="J1073" s="1"/>
      <c r="K1073" s="1"/>
      <c r="L1073" s="1"/>
      <c r="M1073" s="1"/>
      <c r="N1073" s="1"/>
      <c r="O1073" s="1"/>
      <c r="P1073" s="1"/>
      <c r="Q1073" s="1"/>
      <c r="R1073" s="1"/>
      <c r="S1073" s="1"/>
      <c r="T1073" s="1"/>
      <c r="U1073" s="1"/>
      <c r="V1073" s="1"/>
      <c r="W1073" s="1"/>
      <c r="X1073" s="1"/>
      <c r="Y1073" s="1"/>
      <c r="Z1073" s="1"/>
    </row>
    <row r="1074" ht="15.75" customHeight="1">
      <c r="A1074" s="2">
        <f>IFERROR(__xludf.DUMMYFUNCTION("""COMPUTED_VALUE"""),536500.0)</f>
        <v>536500</v>
      </c>
      <c r="B1074" s="2">
        <f>IFERROR(__xludf.DUMMYFUNCTION("""COMPUTED_VALUE"""),10730.0)</f>
        <v>10730</v>
      </c>
      <c r="C1074" s="66">
        <f>IFERROR(__xludf.DUMMYFUNCTION("""COMPUTED_VALUE"""),5.75128E9)</f>
        <v>5751280000</v>
      </c>
      <c r="D1074" s="1"/>
      <c r="E1074" s="1"/>
      <c r="F1074" s="1"/>
      <c r="G1074" s="1"/>
      <c r="H1074" s="1"/>
      <c r="I1074" s="1"/>
      <c r="J1074" s="1"/>
      <c r="K1074" s="1"/>
      <c r="L1074" s="1"/>
      <c r="M1074" s="1"/>
      <c r="N1074" s="1"/>
      <c r="O1074" s="1"/>
      <c r="P1074" s="1"/>
      <c r="Q1074" s="1"/>
      <c r="R1074" s="1"/>
      <c r="S1074" s="1"/>
      <c r="T1074" s="1"/>
      <c r="U1074" s="1"/>
      <c r="V1074" s="1"/>
      <c r="W1074" s="1"/>
      <c r="X1074" s="1"/>
      <c r="Y1074" s="1"/>
      <c r="Z1074" s="1"/>
    </row>
    <row r="1075" ht="15.75" customHeight="1">
      <c r="A1075" s="2">
        <f>IFERROR(__xludf.DUMMYFUNCTION("""COMPUTED_VALUE"""),537000.0)</f>
        <v>537000</v>
      </c>
      <c r="B1075" s="2">
        <f>IFERROR(__xludf.DUMMYFUNCTION("""COMPUTED_VALUE"""),10740.0)</f>
        <v>10740</v>
      </c>
      <c r="C1075" s="66">
        <f>IFERROR(__xludf.DUMMYFUNCTION("""COMPUTED_VALUE"""),5.76201E9)</f>
        <v>5762010000</v>
      </c>
      <c r="D1075" s="1"/>
      <c r="E1075" s="1"/>
      <c r="F1075" s="1"/>
      <c r="G1075" s="1"/>
      <c r="H1075" s="1"/>
      <c r="I1075" s="1"/>
      <c r="J1075" s="1"/>
      <c r="K1075" s="1"/>
      <c r="L1075" s="1"/>
      <c r="M1075" s="1"/>
      <c r="N1075" s="1"/>
      <c r="O1075" s="1"/>
      <c r="P1075" s="1"/>
      <c r="Q1075" s="1"/>
      <c r="R1075" s="1"/>
      <c r="S1075" s="1"/>
      <c r="T1075" s="1"/>
      <c r="U1075" s="1"/>
      <c r="V1075" s="1"/>
      <c r="W1075" s="1"/>
      <c r="X1075" s="1"/>
      <c r="Y1075" s="1"/>
      <c r="Z1075" s="1"/>
    </row>
    <row r="1076" ht="15.75" customHeight="1">
      <c r="A1076" s="2">
        <f>IFERROR(__xludf.DUMMYFUNCTION("""COMPUTED_VALUE"""),537500.0)</f>
        <v>537500</v>
      </c>
      <c r="B1076" s="2">
        <f>IFERROR(__xludf.DUMMYFUNCTION("""COMPUTED_VALUE"""),10750.0)</f>
        <v>10750</v>
      </c>
      <c r="C1076" s="66">
        <f>IFERROR(__xludf.DUMMYFUNCTION("""COMPUTED_VALUE"""),5.77275E9)</f>
        <v>5772750000</v>
      </c>
      <c r="D1076" s="1"/>
      <c r="E1076" s="1"/>
      <c r="F1076" s="1"/>
      <c r="G1076" s="1"/>
      <c r="H1076" s="1"/>
      <c r="I1076" s="1"/>
      <c r="J1076" s="1"/>
      <c r="K1076" s="1"/>
      <c r="L1076" s="1"/>
      <c r="M1076" s="1"/>
      <c r="N1076" s="1"/>
      <c r="O1076" s="1"/>
      <c r="P1076" s="1"/>
      <c r="Q1076" s="1"/>
      <c r="R1076" s="1"/>
      <c r="S1076" s="1"/>
      <c r="T1076" s="1"/>
      <c r="U1076" s="1"/>
      <c r="V1076" s="1"/>
      <c r="W1076" s="1"/>
      <c r="X1076" s="1"/>
      <c r="Y1076" s="1"/>
      <c r="Z1076" s="1"/>
    </row>
    <row r="1077" ht="15.75" customHeight="1">
      <c r="A1077" s="2">
        <f>IFERROR(__xludf.DUMMYFUNCTION("""COMPUTED_VALUE"""),538000.0)</f>
        <v>538000</v>
      </c>
      <c r="B1077" s="2">
        <f>IFERROR(__xludf.DUMMYFUNCTION("""COMPUTED_VALUE"""),10760.0)</f>
        <v>10760</v>
      </c>
      <c r="C1077" s="66">
        <f>IFERROR(__xludf.DUMMYFUNCTION("""COMPUTED_VALUE"""),5.7835E9)</f>
        <v>5783500000</v>
      </c>
      <c r="D1077" s="1"/>
      <c r="E1077" s="1"/>
      <c r="F1077" s="1"/>
      <c r="G1077" s="1"/>
      <c r="H1077" s="1"/>
      <c r="I1077" s="1"/>
      <c r="J1077" s="1"/>
      <c r="K1077" s="1"/>
      <c r="L1077" s="1"/>
      <c r="M1077" s="1"/>
      <c r="N1077" s="1"/>
      <c r="O1077" s="1"/>
      <c r="P1077" s="1"/>
      <c r="Q1077" s="1"/>
      <c r="R1077" s="1"/>
      <c r="S1077" s="1"/>
      <c r="T1077" s="1"/>
      <c r="U1077" s="1"/>
      <c r="V1077" s="1"/>
      <c r="W1077" s="1"/>
      <c r="X1077" s="1"/>
      <c r="Y1077" s="1"/>
      <c r="Z1077" s="1"/>
    </row>
    <row r="1078" ht="15.75" customHeight="1">
      <c r="A1078" s="2">
        <f>IFERROR(__xludf.DUMMYFUNCTION("""COMPUTED_VALUE"""),538500.0)</f>
        <v>538500</v>
      </c>
      <c r="B1078" s="2">
        <f>IFERROR(__xludf.DUMMYFUNCTION("""COMPUTED_VALUE"""),10770.0)</f>
        <v>10770</v>
      </c>
      <c r="C1078" s="66">
        <f>IFERROR(__xludf.DUMMYFUNCTION("""COMPUTED_VALUE"""),5.79426E9)</f>
        <v>5794260000</v>
      </c>
      <c r="D1078" s="1"/>
      <c r="E1078" s="1"/>
      <c r="F1078" s="1"/>
      <c r="G1078" s="1"/>
      <c r="H1078" s="1"/>
      <c r="I1078" s="1"/>
      <c r="J1078" s="1"/>
      <c r="K1078" s="1"/>
      <c r="L1078" s="1"/>
      <c r="M1078" s="1"/>
      <c r="N1078" s="1"/>
      <c r="O1078" s="1"/>
      <c r="P1078" s="1"/>
      <c r="Q1078" s="1"/>
      <c r="R1078" s="1"/>
      <c r="S1078" s="1"/>
      <c r="T1078" s="1"/>
      <c r="U1078" s="1"/>
      <c r="V1078" s="1"/>
      <c r="W1078" s="1"/>
      <c r="X1078" s="1"/>
      <c r="Y1078" s="1"/>
      <c r="Z1078" s="1"/>
    </row>
    <row r="1079" ht="15.75" customHeight="1">
      <c r="A1079" s="2">
        <f>IFERROR(__xludf.DUMMYFUNCTION("""COMPUTED_VALUE"""),539000.0)</f>
        <v>539000</v>
      </c>
      <c r="B1079" s="2">
        <f>IFERROR(__xludf.DUMMYFUNCTION("""COMPUTED_VALUE"""),10780.0)</f>
        <v>10780</v>
      </c>
      <c r="C1079" s="66">
        <f>IFERROR(__xludf.DUMMYFUNCTION("""COMPUTED_VALUE"""),5.80503E9)</f>
        <v>5805030000</v>
      </c>
      <c r="D1079" s="1"/>
      <c r="E1079" s="1"/>
      <c r="F1079" s="1"/>
      <c r="G1079" s="1"/>
      <c r="H1079" s="1"/>
      <c r="I1079" s="1"/>
      <c r="J1079" s="1"/>
      <c r="K1079" s="1"/>
      <c r="L1079" s="1"/>
      <c r="M1079" s="1"/>
      <c r="N1079" s="1"/>
      <c r="O1079" s="1"/>
      <c r="P1079" s="1"/>
      <c r="Q1079" s="1"/>
      <c r="R1079" s="1"/>
      <c r="S1079" s="1"/>
      <c r="T1079" s="1"/>
      <c r="U1079" s="1"/>
      <c r="V1079" s="1"/>
      <c r="W1079" s="1"/>
      <c r="X1079" s="1"/>
      <c r="Y1079" s="1"/>
      <c r="Z1079" s="1"/>
    </row>
    <row r="1080" ht="15.75" customHeight="1">
      <c r="A1080" s="2">
        <f>IFERROR(__xludf.DUMMYFUNCTION("""COMPUTED_VALUE"""),539500.0)</f>
        <v>539500</v>
      </c>
      <c r="B1080" s="2">
        <f>IFERROR(__xludf.DUMMYFUNCTION("""COMPUTED_VALUE"""),10790.0)</f>
        <v>10790</v>
      </c>
      <c r="C1080" s="66">
        <f>IFERROR(__xludf.DUMMYFUNCTION("""COMPUTED_VALUE"""),5.81581E9)</f>
        <v>5815810000</v>
      </c>
      <c r="D1080" s="1"/>
      <c r="E1080" s="1"/>
      <c r="F1080" s="1"/>
      <c r="G1080" s="1"/>
      <c r="H1080" s="1"/>
      <c r="I1080" s="1"/>
      <c r="J1080" s="1"/>
      <c r="K1080" s="1"/>
      <c r="L1080" s="1"/>
      <c r="M1080" s="1"/>
      <c r="N1080" s="1"/>
      <c r="O1080" s="1"/>
      <c r="P1080" s="1"/>
      <c r="Q1080" s="1"/>
      <c r="R1080" s="1"/>
      <c r="S1080" s="1"/>
      <c r="T1080" s="1"/>
      <c r="U1080" s="1"/>
      <c r="V1080" s="1"/>
      <c r="W1080" s="1"/>
      <c r="X1080" s="1"/>
      <c r="Y1080" s="1"/>
      <c r="Z1080" s="1"/>
    </row>
    <row r="1081" ht="15.75" customHeight="1">
      <c r="A1081" s="2">
        <f>IFERROR(__xludf.DUMMYFUNCTION("""COMPUTED_VALUE"""),540000.0)</f>
        <v>540000</v>
      </c>
      <c r="B1081" s="2">
        <f>IFERROR(__xludf.DUMMYFUNCTION("""COMPUTED_VALUE"""),10800.0)</f>
        <v>10800</v>
      </c>
      <c r="C1081" s="66">
        <f>IFERROR(__xludf.DUMMYFUNCTION("""COMPUTED_VALUE"""),5.8266E9)</f>
        <v>5826600000</v>
      </c>
      <c r="D1081" s="1"/>
      <c r="E1081" s="1"/>
      <c r="F1081" s="1"/>
      <c r="G1081" s="1"/>
      <c r="H1081" s="1"/>
      <c r="I1081" s="1"/>
      <c r="J1081" s="1"/>
      <c r="K1081" s="1"/>
      <c r="L1081" s="1"/>
      <c r="M1081" s="1"/>
      <c r="N1081" s="1"/>
      <c r="O1081" s="1"/>
      <c r="P1081" s="1"/>
      <c r="Q1081" s="1"/>
      <c r="R1081" s="1"/>
      <c r="S1081" s="1"/>
      <c r="T1081" s="1"/>
      <c r="U1081" s="1"/>
      <c r="V1081" s="1"/>
      <c r="W1081" s="1"/>
      <c r="X1081" s="1"/>
      <c r="Y1081" s="1"/>
      <c r="Z1081" s="1"/>
    </row>
    <row r="1082" ht="15.75" customHeight="1">
      <c r="A1082" s="2">
        <f>IFERROR(__xludf.DUMMYFUNCTION("""COMPUTED_VALUE"""),540500.0)</f>
        <v>540500</v>
      </c>
      <c r="B1082" s="2">
        <f>IFERROR(__xludf.DUMMYFUNCTION("""COMPUTED_VALUE"""),10810.0)</f>
        <v>10810</v>
      </c>
      <c r="C1082" s="66">
        <f>IFERROR(__xludf.DUMMYFUNCTION("""COMPUTED_VALUE"""),5.8374E9)</f>
        <v>5837400000</v>
      </c>
      <c r="D1082" s="1"/>
      <c r="E1082" s="1"/>
      <c r="F1082" s="1"/>
      <c r="G1082" s="1"/>
      <c r="H1082" s="1"/>
      <c r="I1082" s="1"/>
      <c r="J1082" s="1"/>
      <c r="K1082" s="1"/>
      <c r="L1082" s="1"/>
      <c r="M1082" s="1"/>
      <c r="N1082" s="1"/>
      <c r="O1082" s="1"/>
      <c r="P1082" s="1"/>
      <c r="Q1082" s="1"/>
      <c r="R1082" s="1"/>
      <c r="S1082" s="1"/>
      <c r="T1082" s="1"/>
      <c r="U1082" s="1"/>
      <c r="V1082" s="1"/>
      <c r="W1082" s="1"/>
      <c r="X1082" s="1"/>
      <c r="Y1082" s="1"/>
      <c r="Z1082" s="1"/>
    </row>
    <row r="1083" ht="15.75" customHeight="1">
      <c r="A1083" s="2">
        <f>IFERROR(__xludf.DUMMYFUNCTION("""COMPUTED_VALUE"""),541000.0)</f>
        <v>541000</v>
      </c>
      <c r="B1083" s="2">
        <f>IFERROR(__xludf.DUMMYFUNCTION("""COMPUTED_VALUE"""),10820.0)</f>
        <v>10820</v>
      </c>
      <c r="C1083" s="66">
        <f>IFERROR(__xludf.DUMMYFUNCTION("""COMPUTED_VALUE"""),5.84821E9)</f>
        <v>5848210000</v>
      </c>
      <c r="D1083" s="1"/>
      <c r="E1083" s="1"/>
      <c r="F1083" s="1"/>
      <c r="G1083" s="1"/>
      <c r="H1083" s="1"/>
      <c r="I1083" s="1"/>
      <c r="J1083" s="1"/>
      <c r="K1083" s="1"/>
      <c r="L1083" s="1"/>
      <c r="M1083" s="1"/>
      <c r="N1083" s="1"/>
      <c r="O1083" s="1"/>
      <c r="P1083" s="1"/>
      <c r="Q1083" s="1"/>
      <c r="R1083" s="1"/>
      <c r="S1083" s="1"/>
      <c r="T1083" s="1"/>
      <c r="U1083" s="1"/>
      <c r="V1083" s="1"/>
      <c r="W1083" s="1"/>
      <c r="X1083" s="1"/>
      <c r="Y1083" s="1"/>
      <c r="Z1083" s="1"/>
    </row>
    <row r="1084" ht="15.75" customHeight="1">
      <c r="A1084" s="2">
        <f>IFERROR(__xludf.DUMMYFUNCTION("""COMPUTED_VALUE"""),541500.0)</f>
        <v>541500</v>
      </c>
      <c r="B1084" s="2">
        <f>IFERROR(__xludf.DUMMYFUNCTION("""COMPUTED_VALUE"""),10830.0)</f>
        <v>10830</v>
      </c>
      <c r="C1084" s="66">
        <f>IFERROR(__xludf.DUMMYFUNCTION("""COMPUTED_VALUE"""),5.85903E9)</f>
        <v>5859030000</v>
      </c>
      <c r="D1084" s="1"/>
      <c r="E1084" s="1"/>
      <c r="F1084" s="1"/>
      <c r="G1084" s="1"/>
      <c r="H1084" s="1"/>
      <c r="I1084" s="1"/>
      <c r="J1084" s="1"/>
      <c r="K1084" s="1"/>
      <c r="L1084" s="1"/>
      <c r="M1084" s="1"/>
      <c r="N1084" s="1"/>
      <c r="O1084" s="1"/>
      <c r="P1084" s="1"/>
      <c r="Q1084" s="1"/>
      <c r="R1084" s="1"/>
      <c r="S1084" s="1"/>
      <c r="T1084" s="1"/>
      <c r="U1084" s="1"/>
      <c r="V1084" s="1"/>
      <c r="W1084" s="1"/>
      <c r="X1084" s="1"/>
      <c r="Y1084" s="1"/>
      <c r="Z1084" s="1"/>
    </row>
    <row r="1085" ht="15.75" customHeight="1">
      <c r="A1085" s="2">
        <f>IFERROR(__xludf.DUMMYFUNCTION("""COMPUTED_VALUE"""),542000.0)</f>
        <v>542000</v>
      </c>
      <c r="B1085" s="2">
        <f>IFERROR(__xludf.DUMMYFUNCTION("""COMPUTED_VALUE"""),10840.0)</f>
        <v>10840</v>
      </c>
      <c r="C1085" s="66">
        <f>IFERROR(__xludf.DUMMYFUNCTION("""COMPUTED_VALUE"""),5.86986E9)</f>
        <v>5869860000</v>
      </c>
      <c r="D1085" s="1"/>
      <c r="E1085" s="1"/>
      <c r="F1085" s="1"/>
      <c r="G1085" s="1"/>
      <c r="H1085" s="1"/>
      <c r="I1085" s="1"/>
      <c r="J1085" s="1"/>
      <c r="K1085" s="1"/>
      <c r="L1085" s="1"/>
      <c r="M1085" s="1"/>
      <c r="N1085" s="1"/>
      <c r="O1085" s="1"/>
      <c r="P1085" s="1"/>
      <c r="Q1085" s="1"/>
      <c r="R1085" s="1"/>
      <c r="S1085" s="1"/>
      <c r="T1085" s="1"/>
      <c r="U1085" s="1"/>
      <c r="V1085" s="1"/>
      <c r="W1085" s="1"/>
      <c r="X1085" s="1"/>
      <c r="Y1085" s="1"/>
      <c r="Z1085" s="1"/>
    </row>
    <row r="1086" ht="15.75" customHeight="1">
      <c r="A1086" s="2">
        <f>IFERROR(__xludf.DUMMYFUNCTION("""COMPUTED_VALUE"""),542500.0)</f>
        <v>542500</v>
      </c>
      <c r="B1086" s="2">
        <f>IFERROR(__xludf.DUMMYFUNCTION("""COMPUTED_VALUE"""),10850.0)</f>
        <v>10850</v>
      </c>
      <c r="C1086" s="66">
        <f>IFERROR(__xludf.DUMMYFUNCTION("""COMPUTED_VALUE"""),5.8807E9)</f>
        <v>5880700000</v>
      </c>
      <c r="D1086" s="1"/>
      <c r="E1086" s="1"/>
      <c r="F1086" s="1"/>
      <c r="G1086" s="1"/>
      <c r="H1086" s="1"/>
      <c r="I1086" s="1"/>
      <c r="J1086" s="1"/>
      <c r="K1086" s="1"/>
      <c r="L1086" s="1"/>
      <c r="M1086" s="1"/>
      <c r="N1086" s="1"/>
      <c r="O1086" s="1"/>
      <c r="P1086" s="1"/>
      <c r="Q1086" s="1"/>
      <c r="R1086" s="1"/>
      <c r="S1086" s="1"/>
      <c r="T1086" s="1"/>
      <c r="U1086" s="1"/>
      <c r="V1086" s="1"/>
      <c r="W1086" s="1"/>
      <c r="X1086" s="1"/>
      <c r="Y1086" s="1"/>
      <c r="Z1086" s="1"/>
    </row>
    <row r="1087" ht="15.75" customHeight="1">
      <c r="A1087" s="2">
        <f>IFERROR(__xludf.DUMMYFUNCTION("""COMPUTED_VALUE"""),543000.0)</f>
        <v>543000</v>
      </c>
      <c r="B1087" s="2">
        <f>IFERROR(__xludf.DUMMYFUNCTION("""COMPUTED_VALUE"""),10860.0)</f>
        <v>10860</v>
      </c>
      <c r="C1087" s="66">
        <f>IFERROR(__xludf.DUMMYFUNCTION("""COMPUTED_VALUE"""),5.89155E9)</f>
        <v>5891550000</v>
      </c>
      <c r="D1087" s="1"/>
      <c r="E1087" s="1"/>
      <c r="F1087" s="1"/>
      <c r="G1087" s="1"/>
      <c r="H1087" s="1"/>
      <c r="I1087" s="1"/>
      <c r="J1087" s="1"/>
      <c r="K1087" s="1"/>
      <c r="L1087" s="1"/>
      <c r="M1087" s="1"/>
      <c r="N1087" s="1"/>
      <c r="O1087" s="1"/>
      <c r="P1087" s="1"/>
      <c r="Q1087" s="1"/>
      <c r="R1087" s="1"/>
      <c r="S1087" s="1"/>
      <c r="T1087" s="1"/>
      <c r="U1087" s="1"/>
      <c r="V1087" s="1"/>
      <c r="W1087" s="1"/>
      <c r="X1087" s="1"/>
      <c r="Y1087" s="1"/>
      <c r="Z1087" s="1"/>
    </row>
    <row r="1088" ht="15.75" customHeight="1">
      <c r="A1088" s="2">
        <f>IFERROR(__xludf.DUMMYFUNCTION("""COMPUTED_VALUE"""),543500.0)</f>
        <v>543500</v>
      </c>
      <c r="B1088" s="2">
        <f>IFERROR(__xludf.DUMMYFUNCTION("""COMPUTED_VALUE"""),10870.0)</f>
        <v>10870</v>
      </c>
      <c r="C1088" s="66">
        <f>IFERROR(__xludf.DUMMYFUNCTION("""COMPUTED_VALUE"""),5.90241E9)</f>
        <v>5902410000</v>
      </c>
      <c r="D1088" s="1"/>
      <c r="E1088" s="1"/>
      <c r="F1088" s="1"/>
      <c r="G1088" s="1"/>
      <c r="H1088" s="1"/>
      <c r="I1088" s="1"/>
      <c r="J1088" s="1"/>
      <c r="K1088" s="1"/>
      <c r="L1088" s="1"/>
      <c r="M1088" s="1"/>
      <c r="N1088" s="1"/>
      <c r="O1088" s="1"/>
      <c r="P1088" s="1"/>
      <c r="Q1088" s="1"/>
      <c r="R1088" s="1"/>
      <c r="S1088" s="1"/>
      <c r="T1088" s="1"/>
      <c r="U1088" s="1"/>
      <c r="V1088" s="1"/>
      <c r="W1088" s="1"/>
      <c r="X1088" s="1"/>
      <c r="Y1088" s="1"/>
      <c r="Z1088" s="1"/>
    </row>
    <row r="1089" ht="15.75" customHeight="1">
      <c r="A1089" s="2">
        <f>IFERROR(__xludf.DUMMYFUNCTION("""COMPUTED_VALUE"""),544000.0)</f>
        <v>544000</v>
      </c>
      <c r="B1089" s="2">
        <f>IFERROR(__xludf.DUMMYFUNCTION("""COMPUTED_VALUE"""),10880.0)</f>
        <v>10880</v>
      </c>
      <c r="C1089" s="66">
        <f>IFERROR(__xludf.DUMMYFUNCTION("""COMPUTED_VALUE"""),5.91328E9)</f>
        <v>5913280000</v>
      </c>
      <c r="D1089" s="1"/>
      <c r="E1089" s="1"/>
      <c r="F1089" s="1"/>
      <c r="G1089" s="1"/>
      <c r="H1089" s="1"/>
      <c r="I1089" s="1"/>
      <c r="J1089" s="1"/>
      <c r="K1089" s="1"/>
      <c r="L1089" s="1"/>
      <c r="M1089" s="1"/>
      <c r="N1089" s="1"/>
      <c r="O1089" s="1"/>
      <c r="P1089" s="1"/>
      <c r="Q1089" s="1"/>
      <c r="R1089" s="1"/>
      <c r="S1089" s="1"/>
      <c r="T1089" s="1"/>
      <c r="U1089" s="1"/>
      <c r="V1089" s="1"/>
      <c r="W1089" s="1"/>
      <c r="X1089" s="1"/>
      <c r="Y1089" s="1"/>
      <c r="Z1089" s="1"/>
    </row>
    <row r="1090" ht="15.75" customHeight="1">
      <c r="A1090" s="2">
        <f>IFERROR(__xludf.DUMMYFUNCTION("""COMPUTED_VALUE"""),544500.0)</f>
        <v>544500</v>
      </c>
      <c r="B1090" s="2">
        <f>IFERROR(__xludf.DUMMYFUNCTION("""COMPUTED_VALUE"""),10890.0)</f>
        <v>10890</v>
      </c>
      <c r="C1090" s="66">
        <f>IFERROR(__xludf.DUMMYFUNCTION("""COMPUTED_VALUE"""),5.92416E9)</f>
        <v>5924160000</v>
      </c>
      <c r="D1090" s="1"/>
      <c r="E1090" s="1"/>
      <c r="F1090" s="1"/>
      <c r="G1090" s="1"/>
      <c r="H1090" s="1"/>
      <c r="I1090" s="1"/>
      <c r="J1090" s="1"/>
      <c r="K1090" s="1"/>
      <c r="L1090" s="1"/>
      <c r="M1090" s="1"/>
      <c r="N1090" s="1"/>
      <c r="O1090" s="1"/>
      <c r="P1090" s="1"/>
      <c r="Q1090" s="1"/>
      <c r="R1090" s="1"/>
      <c r="S1090" s="1"/>
      <c r="T1090" s="1"/>
      <c r="U1090" s="1"/>
      <c r="V1090" s="1"/>
      <c r="W1090" s="1"/>
      <c r="X1090" s="1"/>
      <c r="Y1090" s="1"/>
      <c r="Z1090" s="1"/>
    </row>
    <row r="1091" ht="15.75" customHeight="1">
      <c r="A1091" s="2">
        <f>IFERROR(__xludf.DUMMYFUNCTION("""COMPUTED_VALUE"""),545000.0)</f>
        <v>545000</v>
      </c>
      <c r="B1091" s="2">
        <f>IFERROR(__xludf.DUMMYFUNCTION("""COMPUTED_VALUE"""),10900.0)</f>
        <v>10900</v>
      </c>
      <c r="C1091" s="66">
        <f>IFERROR(__xludf.DUMMYFUNCTION("""COMPUTED_VALUE"""),5.93505E9)</f>
        <v>5935050000</v>
      </c>
      <c r="D1091" s="1"/>
      <c r="E1091" s="1"/>
      <c r="F1091" s="1"/>
      <c r="G1091" s="1"/>
      <c r="H1091" s="1"/>
      <c r="I1091" s="1"/>
      <c r="J1091" s="1"/>
      <c r="K1091" s="1"/>
      <c r="L1091" s="1"/>
      <c r="M1091" s="1"/>
      <c r="N1091" s="1"/>
      <c r="O1091" s="1"/>
      <c r="P1091" s="1"/>
      <c r="Q1091" s="1"/>
      <c r="R1091" s="1"/>
      <c r="S1091" s="1"/>
      <c r="T1091" s="1"/>
      <c r="U1091" s="1"/>
      <c r="V1091" s="1"/>
      <c r="W1091" s="1"/>
      <c r="X1091" s="1"/>
      <c r="Y1091" s="1"/>
      <c r="Z1091" s="1"/>
    </row>
    <row r="1092" ht="15.75" customHeight="1">
      <c r="A1092" s="2">
        <f>IFERROR(__xludf.DUMMYFUNCTION("""COMPUTED_VALUE"""),545500.0)</f>
        <v>545500</v>
      </c>
      <c r="B1092" s="2">
        <f>IFERROR(__xludf.DUMMYFUNCTION("""COMPUTED_VALUE"""),10910.0)</f>
        <v>10910</v>
      </c>
      <c r="C1092" s="66">
        <f>IFERROR(__xludf.DUMMYFUNCTION("""COMPUTED_VALUE"""),5.94595E9)</f>
        <v>5945950000</v>
      </c>
      <c r="D1092" s="1"/>
      <c r="E1092" s="1"/>
      <c r="F1092" s="1"/>
      <c r="G1092" s="1"/>
      <c r="H1092" s="1"/>
      <c r="I1092" s="1"/>
      <c r="J1092" s="1"/>
      <c r="K1092" s="1"/>
      <c r="L1092" s="1"/>
      <c r="M1092" s="1"/>
      <c r="N1092" s="1"/>
      <c r="O1092" s="1"/>
      <c r="P1092" s="1"/>
      <c r="Q1092" s="1"/>
      <c r="R1092" s="1"/>
      <c r="S1092" s="1"/>
      <c r="T1092" s="1"/>
      <c r="U1092" s="1"/>
      <c r="V1092" s="1"/>
      <c r="W1092" s="1"/>
      <c r="X1092" s="1"/>
      <c r="Y1092" s="1"/>
      <c r="Z1092" s="1"/>
    </row>
    <row r="1093" ht="15.75" customHeight="1">
      <c r="A1093" s="2">
        <f>IFERROR(__xludf.DUMMYFUNCTION("""COMPUTED_VALUE"""),546000.0)</f>
        <v>546000</v>
      </c>
      <c r="B1093" s="2">
        <f>IFERROR(__xludf.DUMMYFUNCTION("""COMPUTED_VALUE"""),10920.0)</f>
        <v>10920</v>
      </c>
      <c r="C1093" s="66">
        <f>IFERROR(__xludf.DUMMYFUNCTION("""COMPUTED_VALUE"""),5.95686E9)</f>
        <v>5956860000</v>
      </c>
      <c r="D1093" s="1"/>
      <c r="E1093" s="1"/>
      <c r="F1093" s="1"/>
      <c r="G1093" s="1"/>
      <c r="H1093" s="1"/>
      <c r="I1093" s="1"/>
      <c r="J1093" s="1"/>
      <c r="K1093" s="1"/>
      <c r="L1093" s="1"/>
      <c r="M1093" s="1"/>
      <c r="N1093" s="1"/>
      <c r="O1093" s="1"/>
      <c r="P1093" s="1"/>
      <c r="Q1093" s="1"/>
      <c r="R1093" s="1"/>
      <c r="S1093" s="1"/>
      <c r="T1093" s="1"/>
      <c r="U1093" s="1"/>
      <c r="V1093" s="1"/>
      <c r="W1093" s="1"/>
      <c r="X1093" s="1"/>
      <c r="Y1093" s="1"/>
      <c r="Z1093" s="1"/>
    </row>
    <row r="1094" ht="15.75" customHeight="1">
      <c r="A1094" s="2">
        <f>IFERROR(__xludf.DUMMYFUNCTION("""COMPUTED_VALUE"""),546500.0)</f>
        <v>546500</v>
      </c>
      <c r="B1094" s="2">
        <f>IFERROR(__xludf.DUMMYFUNCTION("""COMPUTED_VALUE"""),10930.0)</f>
        <v>10930</v>
      </c>
      <c r="C1094" s="66">
        <f>IFERROR(__xludf.DUMMYFUNCTION("""COMPUTED_VALUE"""),5.96778E9)</f>
        <v>5967780000</v>
      </c>
      <c r="D1094" s="1"/>
      <c r="E1094" s="1"/>
      <c r="F1094" s="1"/>
      <c r="G1094" s="1"/>
      <c r="H1094" s="1"/>
      <c r="I1094" s="1"/>
      <c r="J1094" s="1"/>
      <c r="K1094" s="1"/>
      <c r="L1094" s="1"/>
      <c r="M1094" s="1"/>
      <c r="N1094" s="1"/>
      <c r="O1094" s="1"/>
      <c r="P1094" s="1"/>
      <c r="Q1094" s="1"/>
      <c r="R1094" s="1"/>
      <c r="S1094" s="1"/>
      <c r="T1094" s="1"/>
      <c r="U1094" s="1"/>
      <c r="V1094" s="1"/>
      <c r="W1094" s="1"/>
      <c r="X1094" s="1"/>
      <c r="Y1094" s="1"/>
      <c r="Z1094" s="1"/>
    </row>
    <row r="1095" ht="15.75" customHeight="1">
      <c r="A1095" s="2">
        <f>IFERROR(__xludf.DUMMYFUNCTION("""COMPUTED_VALUE"""),547000.0)</f>
        <v>547000</v>
      </c>
      <c r="B1095" s="2">
        <f>IFERROR(__xludf.DUMMYFUNCTION("""COMPUTED_VALUE"""),10940.0)</f>
        <v>10940</v>
      </c>
      <c r="C1095" s="66">
        <f>IFERROR(__xludf.DUMMYFUNCTION("""COMPUTED_VALUE"""),5.97871E9)</f>
        <v>5978710000</v>
      </c>
      <c r="D1095" s="1"/>
      <c r="E1095" s="1"/>
      <c r="F1095" s="1"/>
      <c r="G1095" s="1"/>
      <c r="H1095" s="1"/>
      <c r="I1095" s="1"/>
      <c r="J1095" s="1"/>
      <c r="K1095" s="1"/>
      <c r="L1095" s="1"/>
      <c r="M1095" s="1"/>
      <c r="N1095" s="1"/>
      <c r="O1095" s="1"/>
      <c r="P1095" s="1"/>
      <c r="Q1095" s="1"/>
      <c r="R1095" s="1"/>
      <c r="S1095" s="1"/>
      <c r="T1095" s="1"/>
      <c r="U1095" s="1"/>
      <c r="V1095" s="1"/>
      <c r="W1095" s="1"/>
      <c r="X1095" s="1"/>
      <c r="Y1095" s="1"/>
      <c r="Z1095" s="1"/>
    </row>
    <row r="1096" ht="15.75" customHeight="1">
      <c r="A1096" s="2">
        <f>IFERROR(__xludf.DUMMYFUNCTION("""COMPUTED_VALUE"""),547500.0)</f>
        <v>547500</v>
      </c>
      <c r="B1096" s="2">
        <f>IFERROR(__xludf.DUMMYFUNCTION("""COMPUTED_VALUE"""),10950.0)</f>
        <v>10950</v>
      </c>
      <c r="C1096" s="66">
        <f>IFERROR(__xludf.DUMMYFUNCTION("""COMPUTED_VALUE"""),5.98965E9)</f>
        <v>5989650000</v>
      </c>
      <c r="D1096" s="1"/>
      <c r="E1096" s="1"/>
      <c r="F1096" s="1"/>
      <c r="G1096" s="1"/>
      <c r="H1096" s="1"/>
      <c r="I1096" s="1"/>
      <c r="J1096" s="1"/>
      <c r="K1096" s="1"/>
      <c r="L1096" s="1"/>
      <c r="M1096" s="1"/>
      <c r="N1096" s="1"/>
      <c r="O1096" s="1"/>
      <c r="P1096" s="1"/>
      <c r="Q1096" s="1"/>
      <c r="R1096" s="1"/>
      <c r="S1096" s="1"/>
      <c r="T1096" s="1"/>
      <c r="U1096" s="1"/>
      <c r="V1096" s="1"/>
      <c r="W1096" s="1"/>
      <c r="X1096" s="1"/>
      <c r="Y1096" s="1"/>
      <c r="Z1096" s="1"/>
    </row>
    <row r="1097" ht="15.75" customHeight="1">
      <c r="A1097" s="2">
        <f>IFERROR(__xludf.DUMMYFUNCTION("""COMPUTED_VALUE"""),548000.0)</f>
        <v>548000</v>
      </c>
      <c r="B1097" s="2">
        <f>IFERROR(__xludf.DUMMYFUNCTION("""COMPUTED_VALUE"""),10960.0)</f>
        <v>10960</v>
      </c>
      <c r="C1097" s="66">
        <f>IFERROR(__xludf.DUMMYFUNCTION("""COMPUTED_VALUE"""),6.0006E9)</f>
        <v>6000600000</v>
      </c>
      <c r="D1097" s="1"/>
      <c r="E1097" s="1"/>
      <c r="F1097" s="1"/>
      <c r="G1097" s="1"/>
      <c r="H1097" s="1"/>
      <c r="I1097" s="1"/>
      <c r="J1097" s="1"/>
      <c r="K1097" s="1"/>
      <c r="L1097" s="1"/>
      <c r="M1097" s="1"/>
      <c r="N1097" s="1"/>
      <c r="O1097" s="1"/>
      <c r="P1097" s="1"/>
      <c r="Q1097" s="1"/>
      <c r="R1097" s="1"/>
      <c r="S1097" s="1"/>
      <c r="T1097" s="1"/>
      <c r="U1097" s="1"/>
      <c r="V1097" s="1"/>
      <c r="W1097" s="1"/>
      <c r="X1097" s="1"/>
      <c r="Y1097" s="1"/>
      <c r="Z1097" s="1"/>
    </row>
    <row r="1098" ht="15.75" customHeight="1">
      <c r="A1098" s="2">
        <f>IFERROR(__xludf.DUMMYFUNCTION("""COMPUTED_VALUE"""),548500.0)</f>
        <v>548500</v>
      </c>
      <c r="B1098" s="2">
        <f>IFERROR(__xludf.DUMMYFUNCTION("""COMPUTED_VALUE"""),10970.0)</f>
        <v>10970</v>
      </c>
      <c r="C1098" s="66">
        <f>IFERROR(__xludf.DUMMYFUNCTION("""COMPUTED_VALUE"""),6.01156E9)</f>
        <v>6011560000</v>
      </c>
      <c r="D1098" s="1"/>
      <c r="E1098" s="1"/>
      <c r="F1098" s="1"/>
      <c r="G1098" s="1"/>
      <c r="H1098" s="1"/>
      <c r="I1098" s="1"/>
      <c r="J1098" s="1"/>
      <c r="K1098" s="1"/>
      <c r="L1098" s="1"/>
      <c r="M1098" s="1"/>
      <c r="N1098" s="1"/>
      <c r="O1098" s="1"/>
      <c r="P1098" s="1"/>
      <c r="Q1098" s="1"/>
      <c r="R1098" s="1"/>
      <c r="S1098" s="1"/>
      <c r="T1098" s="1"/>
      <c r="U1098" s="1"/>
      <c r="V1098" s="1"/>
      <c r="W1098" s="1"/>
      <c r="X1098" s="1"/>
      <c r="Y1098" s="1"/>
      <c r="Z1098" s="1"/>
    </row>
    <row r="1099" ht="15.75" customHeight="1">
      <c r="A1099" s="2">
        <f>IFERROR(__xludf.DUMMYFUNCTION("""COMPUTED_VALUE"""),549000.0)</f>
        <v>549000</v>
      </c>
      <c r="B1099" s="2">
        <f>IFERROR(__xludf.DUMMYFUNCTION("""COMPUTED_VALUE"""),10980.0)</f>
        <v>10980</v>
      </c>
      <c r="C1099" s="66">
        <f>IFERROR(__xludf.DUMMYFUNCTION("""COMPUTED_VALUE"""),6.02253E9)</f>
        <v>6022530000</v>
      </c>
      <c r="D1099" s="1"/>
      <c r="E1099" s="1"/>
      <c r="F1099" s="1"/>
      <c r="G1099" s="1"/>
      <c r="H1099" s="1"/>
      <c r="I1099" s="1"/>
      <c r="J1099" s="1"/>
      <c r="K1099" s="1"/>
      <c r="L1099" s="1"/>
      <c r="M1099" s="1"/>
      <c r="N1099" s="1"/>
      <c r="O1099" s="1"/>
      <c r="P1099" s="1"/>
      <c r="Q1099" s="1"/>
      <c r="R1099" s="1"/>
      <c r="S1099" s="1"/>
      <c r="T1099" s="1"/>
      <c r="U1099" s="1"/>
      <c r="V1099" s="1"/>
      <c r="W1099" s="1"/>
      <c r="X1099" s="1"/>
      <c r="Y1099" s="1"/>
      <c r="Z1099" s="1"/>
    </row>
    <row r="1100" ht="15.75" customHeight="1">
      <c r="A1100" s="2">
        <f>IFERROR(__xludf.DUMMYFUNCTION("""COMPUTED_VALUE"""),549500.0)</f>
        <v>549500</v>
      </c>
      <c r="B1100" s="2">
        <f>IFERROR(__xludf.DUMMYFUNCTION("""COMPUTED_VALUE"""),10990.0)</f>
        <v>10990</v>
      </c>
      <c r="C1100" s="66">
        <f>IFERROR(__xludf.DUMMYFUNCTION("""COMPUTED_VALUE"""),6.03351E9)</f>
        <v>6033510000</v>
      </c>
      <c r="D1100" s="1"/>
      <c r="E1100" s="1"/>
      <c r="F1100" s="1"/>
      <c r="G1100" s="1"/>
      <c r="H1100" s="1"/>
      <c r="I1100" s="1"/>
      <c r="J1100" s="1"/>
      <c r="K1100" s="1"/>
      <c r="L1100" s="1"/>
      <c r="M1100" s="1"/>
      <c r="N1100" s="1"/>
      <c r="O1100" s="1"/>
      <c r="P1100" s="1"/>
      <c r="Q1100" s="1"/>
      <c r="R1100" s="1"/>
      <c r="S1100" s="1"/>
      <c r="T1100" s="1"/>
      <c r="U1100" s="1"/>
      <c r="V1100" s="1"/>
      <c r="W1100" s="1"/>
      <c r="X1100" s="1"/>
      <c r="Y1100" s="1"/>
      <c r="Z1100" s="1"/>
    </row>
    <row r="1101" ht="15.75" customHeight="1">
      <c r="A1101" s="2">
        <f>IFERROR(__xludf.DUMMYFUNCTION("""COMPUTED_VALUE"""),550000.0)</f>
        <v>550000</v>
      </c>
      <c r="B1101" s="2">
        <f>IFERROR(__xludf.DUMMYFUNCTION("""COMPUTED_VALUE"""),11000.0)</f>
        <v>11000</v>
      </c>
      <c r="C1101" s="66">
        <f>IFERROR(__xludf.DUMMYFUNCTION("""COMPUTED_VALUE"""),6.0445E9)</f>
        <v>6044500000</v>
      </c>
      <c r="D1101" s="1"/>
      <c r="E1101" s="1"/>
      <c r="F1101" s="1"/>
      <c r="G1101" s="1"/>
      <c r="H1101" s="1"/>
      <c r="I1101" s="1"/>
      <c r="J1101" s="1"/>
      <c r="K1101" s="1"/>
      <c r="L1101" s="1"/>
      <c r="M1101" s="1"/>
      <c r="N1101" s="1"/>
      <c r="O1101" s="1"/>
      <c r="P1101" s="1"/>
      <c r="Q1101" s="1"/>
      <c r="R1101" s="1"/>
      <c r="S1101" s="1"/>
      <c r="T1101" s="1"/>
      <c r="U1101" s="1"/>
      <c r="V1101" s="1"/>
      <c r="W1101" s="1"/>
      <c r="X1101" s="1"/>
      <c r="Y1101" s="1"/>
      <c r="Z1101" s="1"/>
    </row>
    <row r="1102" ht="15.75" customHeight="1">
      <c r="A1102" s="2">
        <f>IFERROR(__xludf.DUMMYFUNCTION("""COMPUTED_VALUE"""),550500.0)</f>
        <v>550500</v>
      </c>
      <c r="B1102" s="2">
        <f>IFERROR(__xludf.DUMMYFUNCTION("""COMPUTED_VALUE"""),11010.0)</f>
        <v>11010</v>
      </c>
      <c r="C1102" s="66">
        <f>IFERROR(__xludf.DUMMYFUNCTION("""COMPUTED_VALUE"""),6.0555E9)</f>
        <v>6055500000</v>
      </c>
      <c r="D1102" s="1"/>
      <c r="E1102" s="1"/>
      <c r="F1102" s="1"/>
      <c r="G1102" s="1"/>
      <c r="H1102" s="1"/>
      <c r="I1102" s="1"/>
      <c r="J1102" s="1"/>
      <c r="K1102" s="1"/>
      <c r="L1102" s="1"/>
      <c r="M1102" s="1"/>
      <c r="N1102" s="1"/>
      <c r="O1102" s="1"/>
      <c r="P1102" s="1"/>
      <c r="Q1102" s="1"/>
      <c r="R1102" s="1"/>
      <c r="S1102" s="1"/>
      <c r="T1102" s="1"/>
      <c r="U1102" s="1"/>
      <c r="V1102" s="1"/>
      <c r="W1102" s="1"/>
      <c r="X1102" s="1"/>
      <c r="Y1102" s="1"/>
      <c r="Z1102" s="1"/>
    </row>
    <row r="1103" ht="15.75" customHeight="1">
      <c r="A1103" s="2">
        <f>IFERROR(__xludf.DUMMYFUNCTION("""COMPUTED_VALUE"""),551000.0)</f>
        <v>551000</v>
      </c>
      <c r="B1103" s="2">
        <f>IFERROR(__xludf.DUMMYFUNCTION("""COMPUTED_VALUE"""),11020.0)</f>
        <v>11020</v>
      </c>
      <c r="C1103" s="66">
        <f>IFERROR(__xludf.DUMMYFUNCTION("""COMPUTED_VALUE"""),6.06651E9)</f>
        <v>6066510000</v>
      </c>
      <c r="D1103" s="1"/>
      <c r="E1103" s="1"/>
      <c r="F1103" s="1"/>
      <c r="G1103" s="1"/>
      <c r="H1103" s="1"/>
      <c r="I1103" s="1"/>
      <c r="J1103" s="1"/>
      <c r="K1103" s="1"/>
      <c r="L1103" s="1"/>
      <c r="M1103" s="1"/>
      <c r="N1103" s="1"/>
      <c r="O1103" s="1"/>
      <c r="P1103" s="1"/>
      <c r="Q1103" s="1"/>
      <c r="R1103" s="1"/>
      <c r="S1103" s="1"/>
      <c r="T1103" s="1"/>
      <c r="U1103" s="1"/>
      <c r="V1103" s="1"/>
      <c r="W1103" s="1"/>
      <c r="X1103" s="1"/>
      <c r="Y1103" s="1"/>
      <c r="Z1103" s="1"/>
    </row>
    <row r="1104" ht="15.75" customHeight="1">
      <c r="A1104" s="2">
        <f>IFERROR(__xludf.DUMMYFUNCTION("""COMPUTED_VALUE"""),551500.0)</f>
        <v>551500</v>
      </c>
      <c r="B1104" s="2">
        <f>IFERROR(__xludf.DUMMYFUNCTION("""COMPUTED_VALUE"""),11030.0)</f>
        <v>11030</v>
      </c>
      <c r="C1104" s="66">
        <f>IFERROR(__xludf.DUMMYFUNCTION("""COMPUTED_VALUE"""),6.07753E9)</f>
        <v>6077530000</v>
      </c>
      <c r="D1104" s="1"/>
      <c r="E1104" s="1"/>
      <c r="F1104" s="1"/>
      <c r="G1104" s="1"/>
      <c r="H1104" s="1"/>
      <c r="I1104" s="1"/>
      <c r="J1104" s="1"/>
      <c r="K1104" s="1"/>
      <c r="L1104" s="1"/>
      <c r="M1104" s="1"/>
      <c r="N1104" s="1"/>
      <c r="O1104" s="1"/>
      <c r="P1104" s="1"/>
      <c r="Q1104" s="1"/>
      <c r="R1104" s="1"/>
      <c r="S1104" s="1"/>
      <c r="T1104" s="1"/>
      <c r="U1104" s="1"/>
      <c r="V1104" s="1"/>
      <c r="W1104" s="1"/>
      <c r="X1104" s="1"/>
      <c r="Y1104" s="1"/>
      <c r="Z1104" s="1"/>
    </row>
    <row r="1105" ht="15.75" customHeight="1">
      <c r="A1105" s="2">
        <f>IFERROR(__xludf.DUMMYFUNCTION("""COMPUTED_VALUE"""),552000.0)</f>
        <v>552000</v>
      </c>
      <c r="B1105" s="2">
        <f>IFERROR(__xludf.DUMMYFUNCTION("""COMPUTED_VALUE"""),11040.0)</f>
        <v>11040</v>
      </c>
      <c r="C1105" s="66">
        <f>IFERROR(__xludf.DUMMYFUNCTION("""COMPUTED_VALUE"""),6.08856E9)</f>
        <v>6088560000</v>
      </c>
      <c r="D1105" s="1"/>
      <c r="E1105" s="1"/>
      <c r="F1105" s="1"/>
      <c r="G1105" s="1"/>
      <c r="H1105" s="1"/>
      <c r="I1105" s="1"/>
      <c r="J1105" s="1"/>
      <c r="K1105" s="1"/>
      <c r="L1105" s="1"/>
      <c r="M1105" s="1"/>
      <c r="N1105" s="1"/>
      <c r="O1105" s="1"/>
      <c r="P1105" s="1"/>
      <c r="Q1105" s="1"/>
      <c r="R1105" s="1"/>
      <c r="S1105" s="1"/>
      <c r="T1105" s="1"/>
      <c r="U1105" s="1"/>
      <c r="V1105" s="1"/>
      <c r="W1105" s="1"/>
      <c r="X1105" s="1"/>
      <c r="Y1105" s="1"/>
      <c r="Z1105" s="1"/>
    </row>
    <row r="1106" ht="15.75" customHeight="1">
      <c r="A1106" s="2">
        <f>IFERROR(__xludf.DUMMYFUNCTION("""COMPUTED_VALUE"""),552500.0)</f>
        <v>552500</v>
      </c>
      <c r="B1106" s="2">
        <f>IFERROR(__xludf.DUMMYFUNCTION("""COMPUTED_VALUE"""),11050.0)</f>
        <v>11050</v>
      </c>
      <c r="C1106" s="66">
        <f>IFERROR(__xludf.DUMMYFUNCTION("""COMPUTED_VALUE"""),6.0996E9)</f>
        <v>6099600000</v>
      </c>
      <c r="D1106" s="1"/>
      <c r="E1106" s="1"/>
      <c r="F1106" s="1"/>
      <c r="G1106" s="1"/>
      <c r="H1106" s="1"/>
      <c r="I1106" s="1"/>
      <c r="J1106" s="1"/>
      <c r="K1106" s="1"/>
      <c r="L1106" s="1"/>
      <c r="M1106" s="1"/>
      <c r="N1106" s="1"/>
      <c r="O1106" s="1"/>
      <c r="P1106" s="1"/>
      <c r="Q1106" s="1"/>
      <c r="R1106" s="1"/>
      <c r="S1106" s="1"/>
      <c r="T1106" s="1"/>
      <c r="U1106" s="1"/>
      <c r="V1106" s="1"/>
      <c r="W1106" s="1"/>
      <c r="X1106" s="1"/>
      <c r="Y1106" s="1"/>
      <c r="Z1106" s="1"/>
    </row>
    <row r="1107" ht="15.75" customHeight="1">
      <c r="A1107" s="2">
        <f>IFERROR(__xludf.DUMMYFUNCTION("""COMPUTED_VALUE"""),553000.0)</f>
        <v>553000</v>
      </c>
      <c r="B1107" s="2">
        <f>IFERROR(__xludf.DUMMYFUNCTION("""COMPUTED_VALUE"""),11060.0)</f>
        <v>11060</v>
      </c>
      <c r="C1107" s="66">
        <f>IFERROR(__xludf.DUMMYFUNCTION("""COMPUTED_VALUE"""),6.11065E9)</f>
        <v>6110650000</v>
      </c>
      <c r="D1107" s="1"/>
      <c r="E1107" s="1"/>
      <c r="F1107" s="1"/>
      <c r="G1107" s="1"/>
      <c r="H1107" s="1"/>
      <c r="I1107" s="1"/>
      <c r="J1107" s="1"/>
      <c r="K1107" s="1"/>
      <c r="L1107" s="1"/>
      <c r="M1107" s="1"/>
      <c r="N1107" s="1"/>
      <c r="O1107" s="1"/>
      <c r="P1107" s="1"/>
      <c r="Q1107" s="1"/>
      <c r="R1107" s="1"/>
      <c r="S1107" s="1"/>
      <c r="T1107" s="1"/>
      <c r="U1107" s="1"/>
      <c r="V1107" s="1"/>
      <c r="W1107" s="1"/>
      <c r="X1107" s="1"/>
      <c r="Y1107" s="1"/>
      <c r="Z1107" s="1"/>
    </row>
    <row r="1108" ht="15.75" customHeight="1">
      <c r="A1108" s="2">
        <f>IFERROR(__xludf.DUMMYFUNCTION("""COMPUTED_VALUE"""),553500.0)</f>
        <v>553500</v>
      </c>
      <c r="B1108" s="2">
        <f>IFERROR(__xludf.DUMMYFUNCTION("""COMPUTED_VALUE"""),11070.0)</f>
        <v>11070</v>
      </c>
      <c r="C1108" s="66">
        <f>IFERROR(__xludf.DUMMYFUNCTION("""COMPUTED_VALUE"""),6.12171E9)</f>
        <v>6121710000</v>
      </c>
      <c r="D1108" s="1"/>
      <c r="E1108" s="1"/>
      <c r="F1108" s="1"/>
      <c r="G1108" s="1"/>
      <c r="H1108" s="1"/>
      <c r="I1108" s="1"/>
      <c r="J1108" s="1"/>
      <c r="K1108" s="1"/>
      <c r="L1108" s="1"/>
      <c r="M1108" s="1"/>
      <c r="N1108" s="1"/>
      <c r="O1108" s="1"/>
      <c r="P1108" s="1"/>
      <c r="Q1108" s="1"/>
      <c r="R1108" s="1"/>
      <c r="S1108" s="1"/>
      <c r="T1108" s="1"/>
      <c r="U1108" s="1"/>
      <c r="V1108" s="1"/>
      <c r="W1108" s="1"/>
      <c r="X1108" s="1"/>
      <c r="Y1108" s="1"/>
      <c r="Z1108" s="1"/>
    </row>
    <row r="1109" ht="15.75" customHeight="1">
      <c r="A1109" s="2">
        <f>IFERROR(__xludf.DUMMYFUNCTION("""COMPUTED_VALUE"""),554000.0)</f>
        <v>554000</v>
      </c>
      <c r="B1109" s="2">
        <f>IFERROR(__xludf.DUMMYFUNCTION("""COMPUTED_VALUE"""),11080.0)</f>
        <v>11080</v>
      </c>
      <c r="C1109" s="66">
        <f>IFERROR(__xludf.DUMMYFUNCTION("""COMPUTED_VALUE"""),6.13278E9)</f>
        <v>6132780000</v>
      </c>
      <c r="D1109" s="1"/>
      <c r="E1109" s="1"/>
      <c r="F1109" s="1"/>
      <c r="G1109" s="1"/>
      <c r="H1109" s="1"/>
      <c r="I1109" s="1"/>
      <c r="J1109" s="1"/>
      <c r="K1109" s="1"/>
      <c r="L1109" s="1"/>
      <c r="M1109" s="1"/>
      <c r="N1109" s="1"/>
      <c r="O1109" s="1"/>
      <c r="P1109" s="1"/>
      <c r="Q1109" s="1"/>
      <c r="R1109" s="1"/>
      <c r="S1109" s="1"/>
      <c r="T1109" s="1"/>
      <c r="U1109" s="1"/>
      <c r="V1109" s="1"/>
      <c r="W1109" s="1"/>
      <c r="X1109" s="1"/>
      <c r="Y1109" s="1"/>
      <c r="Z1109" s="1"/>
    </row>
    <row r="1110" ht="15.75" customHeight="1">
      <c r="A1110" s="2">
        <f>IFERROR(__xludf.DUMMYFUNCTION("""COMPUTED_VALUE"""),554500.0)</f>
        <v>554500</v>
      </c>
      <c r="B1110" s="2">
        <f>IFERROR(__xludf.DUMMYFUNCTION("""COMPUTED_VALUE"""),11090.0)</f>
        <v>11090</v>
      </c>
      <c r="C1110" s="66">
        <f>IFERROR(__xludf.DUMMYFUNCTION("""COMPUTED_VALUE"""),6.14386E9)</f>
        <v>6143860000</v>
      </c>
      <c r="D1110" s="1"/>
      <c r="E1110" s="1"/>
      <c r="F1110" s="1"/>
      <c r="G1110" s="1"/>
      <c r="H1110" s="1"/>
      <c r="I1110" s="1"/>
      <c r="J1110" s="1"/>
      <c r="K1110" s="1"/>
      <c r="L1110" s="1"/>
      <c r="M1110" s="1"/>
      <c r="N1110" s="1"/>
      <c r="O1110" s="1"/>
      <c r="P1110" s="1"/>
      <c r="Q1110" s="1"/>
      <c r="R1110" s="1"/>
      <c r="S1110" s="1"/>
      <c r="T1110" s="1"/>
      <c r="U1110" s="1"/>
      <c r="V1110" s="1"/>
      <c r="W1110" s="1"/>
      <c r="X1110" s="1"/>
      <c r="Y1110" s="1"/>
      <c r="Z1110" s="1"/>
    </row>
    <row r="1111" ht="15.75" customHeight="1">
      <c r="A1111" s="2">
        <f>IFERROR(__xludf.DUMMYFUNCTION("""COMPUTED_VALUE"""),555000.0)</f>
        <v>555000</v>
      </c>
      <c r="B1111" s="2">
        <f>IFERROR(__xludf.DUMMYFUNCTION("""COMPUTED_VALUE"""),11100.0)</f>
        <v>11100</v>
      </c>
      <c r="C1111" s="66">
        <f>IFERROR(__xludf.DUMMYFUNCTION("""COMPUTED_VALUE"""),6.15495E9)</f>
        <v>6154950000</v>
      </c>
      <c r="D1111" s="1"/>
      <c r="E1111" s="1"/>
      <c r="F1111" s="1"/>
      <c r="G1111" s="1"/>
      <c r="H1111" s="1"/>
      <c r="I1111" s="1"/>
      <c r="J1111" s="1"/>
      <c r="K1111" s="1"/>
      <c r="L1111" s="1"/>
      <c r="M1111" s="1"/>
      <c r="N1111" s="1"/>
      <c r="O1111" s="1"/>
      <c r="P1111" s="1"/>
      <c r="Q1111" s="1"/>
      <c r="R1111" s="1"/>
      <c r="S1111" s="1"/>
      <c r="T1111" s="1"/>
      <c r="U1111" s="1"/>
      <c r="V1111" s="1"/>
      <c r="W1111" s="1"/>
      <c r="X1111" s="1"/>
      <c r="Y1111" s="1"/>
      <c r="Z1111" s="1"/>
    </row>
    <row r="1112" ht="15.75" customHeight="1">
      <c r="A1112" s="2">
        <f>IFERROR(__xludf.DUMMYFUNCTION("""COMPUTED_VALUE"""),555500.0)</f>
        <v>555500</v>
      </c>
      <c r="B1112" s="2">
        <f>IFERROR(__xludf.DUMMYFUNCTION("""COMPUTED_VALUE"""),11110.0)</f>
        <v>11110</v>
      </c>
      <c r="C1112" s="66">
        <f>IFERROR(__xludf.DUMMYFUNCTION("""COMPUTED_VALUE"""),6.16605E9)</f>
        <v>6166050000</v>
      </c>
      <c r="D1112" s="1"/>
      <c r="E1112" s="1"/>
      <c r="F1112" s="1"/>
      <c r="G1112" s="1"/>
      <c r="H1112" s="1"/>
      <c r="I1112" s="1"/>
      <c r="J1112" s="1"/>
      <c r="K1112" s="1"/>
      <c r="L1112" s="1"/>
      <c r="M1112" s="1"/>
      <c r="N1112" s="1"/>
      <c r="O1112" s="1"/>
      <c r="P1112" s="1"/>
      <c r="Q1112" s="1"/>
      <c r="R1112" s="1"/>
      <c r="S1112" s="1"/>
      <c r="T1112" s="1"/>
      <c r="U1112" s="1"/>
      <c r="V1112" s="1"/>
      <c r="W1112" s="1"/>
      <c r="X1112" s="1"/>
      <c r="Y1112" s="1"/>
      <c r="Z1112" s="1"/>
    </row>
    <row r="1113" ht="15.75" customHeight="1">
      <c r="A1113" s="2">
        <f>IFERROR(__xludf.DUMMYFUNCTION("""COMPUTED_VALUE"""),556000.0)</f>
        <v>556000</v>
      </c>
      <c r="B1113" s="2">
        <f>IFERROR(__xludf.DUMMYFUNCTION("""COMPUTED_VALUE"""),11120.0)</f>
        <v>11120</v>
      </c>
      <c r="C1113" s="66">
        <f>IFERROR(__xludf.DUMMYFUNCTION("""COMPUTED_VALUE"""),6.17716E9)</f>
        <v>6177160000</v>
      </c>
      <c r="D1113" s="1"/>
      <c r="E1113" s="1"/>
      <c r="F1113" s="1"/>
      <c r="G1113" s="1"/>
      <c r="H1113" s="1"/>
      <c r="I1113" s="1"/>
      <c r="J1113" s="1"/>
      <c r="K1113" s="1"/>
      <c r="L1113" s="1"/>
      <c r="M1113" s="1"/>
      <c r="N1113" s="1"/>
      <c r="O1113" s="1"/>
      <c r="P1113" s="1"/>
      <c r="Q1113" s="1"/>
      <c r="R1113" s="1"/>
      <c r="S1113" s="1"/>
      <c r="T1113" s="1"/>
      <c r="U1113" s="1"/>
      <c r="V1113" s="1"/>
      <c r="W1113" s="1"/>
      <c r="X1113" s="1"/>
      <c r="Y1113" s="1"/>
      <c r="Z1113" s="1"/>
    </row>
    <row r="1114" ht="15.75" customHeight="1">
      <c r="A1114" s="2">
        <f>IFERROR(__xludf.DUMMYFUNCTION("""COMPUTED_VALUE"""),556500.0)</f>
        <v>556500</v>
      </c>
      <c r="B1114" s="2">
        <f>IFERROR(__xludf.DUMMYFUNCTION("""COMPUTED_VALUE"""),11130.0)</f>
        <v>11130</v>
      </c>
      <c r="C1114" s="66">
        <f>IFERROR(__xludf.DUMMYFUNCTION("""COMPUTED_VALUE"""),6.18828E9)</f>
        <v>6188280000</v>
      </c>
      <c r="D1114" s="1"/>
      <c r="E1114" s="1"/>
      <c r="F1114" s="1"/>
      <c r="G1114" s="1"/>
      <c r="H1114" s="1"/>
      <c r="I1114" s="1"/>
      <c r="J1114" s="1"/>
      <c r="K1114" s="1"/>
      <c r="L1114" s="1"/>
      <c r="M1114" s="1"/>
      <c r="N1114" s="1"/>
      <c r="O1114" s="1"/>
      <c r="P1114" s="1"/>
      <c r="Q1114" s="1"/>
      <c r="R1114" s="1"/>
      <c r="S1114" s="1"/>
      <c r="T1114" s="1"/>
      <c r="U1114" s="1"/>
      <c r="V1114" s="1"/>
      <c r="W1114" s="1"/>
      <c r="X1114" s="1"/>
      <c r="Y1114" s="1"/>
      <c r="Z1114" s="1"/>
    </row>
    <row r="1115" ht="15.75" customHeight="1">
      <c r="A1115" s="2">
        <f>IFERROR(__xludf.DUMMYFUNCTION("""COMPUTED_VALUE"""),557000.0)</f>
        <v>557000</v>
      </c>
      <c r="B1115" s="2">
        <f>IFERROR(__xludf.DUMMYFUNCTION("""COMPUTED_VALUE"""),11140.0)</f>
        <v>11140</v>
      </c>
      <c r="C1115" s="66">
        <f>IFERROR(__xludf.DUMMYFUNCTION("""COMPUTED_VALUE"""),6.19941E9)</f>
        <v>6199410000</v>
      </c>
      <c r="D1115" s="1"/>
      <c r="E1115" s="1"/>
      <c r="F1115" s="1"/>
      <c r="G1115" s="1"/>
      <c r="H1115" s="1"/>
      <c r="I1115" s="1"/>
      <c r="J1115" s="1"/>
      <c r="K1115" s="1"/>
      <c r="L1115" s="1"/>
      <c r="M1115" s="1"/>
      <c r="N1115" s="1"/>
      <c r="O1115" s="1"/>
      <c r="P1115" s="1"/>
      <c r="Q1115" s="1"/>
      <c r="R1115" s="1"/>
      <c r="S1115" s="1"/>
      <c r="T1115" s="1"/>
      <c r="U1115" s="1"/>
      <c r="V1115" s="1"/>
      <c r="W1115" s="1"/>
      <c r="X1115" s="1"/>
      <c r="Y1115" s="1"/>
      <c r="Z1115" s="1"/>
    </row>
    <row r="1116" ht="15.75" customHeight="1">
      <c r="A1116" s="2">
        <f>IFERROR(__xludf.DUMMYFUNCTION("""COMPUTED_VALUE"""),557500.0)</f>
        <v>557500</v>
      </c>
      <c r="B1116" s="2">
        <f>IFERROR(__xludf.DUMMYFUNCTION("""COMPUTED_VALUE"""),11150.0)</f>
        <v>11150</v>
      </c>
      <c r="C1116" s="66">
        <f>IFERROR(__xludf.DUMMYFUNCTION("""COMPUTED_VALUE"""),6.21055E9)</f>
        <v>6210550000</v>
      </c>
      <c r="D1116" s="1"/>
      <c r="E1116" s="1"/>
      <c r="F1116" s="1"/>
      <c r="G1116" s="1"/>
      <c r="H1116" s="1"/>
      <c r="I1116" s="1"/>
      <c r="J1116" s="1"/>
      <c r="K1116" s="1"/>
      <c r="L1116" s="1"/>
      <c r="M1116" s="1"/>
      <c r="N1116" s="1"/>
      <c r="O1116" s="1"/>
      <c r="P1116" s="1"/>
      <c r="Q1116" s="1"/>
      <c r="R1116" s="1"/>
      <c r="S1116" s="1"/>
      <c r="T1116" s="1"/>
      <c r="U1116" s="1"/>
      <c r="V1116" s="1"/>
      <c r="W1116" s="1"/>
      <c r="X1116" s="1"/>
      <c r="Y1116" s="1"/>
      <c r="Z1116" s="1"/>
    </row>
    <row r="1117" ht="15.75" customHeight="1">
      <c r="A1117" s="2">
        <f>IFERROR(__xludf.DUMMYFUNCTION("""COMPUTED_VALUE"""),558000.0)</f>
        <v>558000</v>
      </c>
      <c r="B1117" s="2">
        <f>IFERROR(__xludf.DUMMYFUNCTION("""COMPUTED_VALUE"""),11160.0)</f>
        <v>11160</v>
      </c>
      <c r="C1117" s="66">
        <f>IFERROR(__xludf.DUMMYFUNCTION("""COMPUTED_VALUE"""),6.2217E9)</f>
        <v>6221700000</v>
      </c>
      <c r="D1117" s="1"/>
      <c r="E1117" s="1"/>
      <c r="F1117" s="1"/>
      <c r="G1117" s="1"/>
      <c r="H1117" s="1"/>
      <c r="I1117" s="1"/>
      <c r="J1117" s="1"/>
      <c r="K1117" s="1"/>
      <c r="L1117" s="1"/>
      <c r="M1117" s="1"/>
      <c r="N1117" s="1"/>
      <c r="O1117" s="1"/>
      <c r="P1117" s="1"/>
      <c r="Q1117" s="1"/>
      <c r="R1117" s="1"/>
      <c r="S1117" s="1"/>
      <c r="T1117" s="1"/>
      <c r="U1117" s="1"/>
      <c r="V1117" s="1"/>
      <c r="W1117" s="1"/>
      <c r="X1117" s="1"/>
      <c r="Y1117" s="1"/>
      <c r="Z1117" s="1"/>
    </row>
    <row r="1118" ht="15.75" customHeight="1">
      <c r="A1118" s="2">
        <f>IFERROR(__xludf.DUMMYFUNCTION("""COMPUTED_VALUE"""),558500.0)</f>
        <v>558500</v>
      </c>
      <c r="B1118" s="2">
        <f>IFERROR(__xludf.DUMMYFUNCTION("""COMPUTED_VALUE"""),11170.0)</f>
        <v>11170</v>
      </c>
      <c r="C1118" s="66">
        <f>IFERROR(__xludf.DUMMYFUNCTION("""COMPUTED_VALUE"""),6.23286E9)</f>
        <v>6232860000</v>
      </c>
      <c r="D1118" s="1"/>
      <c r="E1118" s="1"/>
      <c r="F1118" s="1"/>
      <c r="G1118" s="1"/>
      <c r="H1118" s="1"/>
      <c r="I1118" s="1"/>
      <c r="J1118" s="1"/>
      <c r="K1118" s="1"/>
      <c r="L1118" s="1"/>
      <c r="M1118" s="1"/>
      <c r="N1118" s="1"/>
      <c r="O1118" s="1"/>
      <c r="P1118" s="1"/>
      <c r="Q1118" s="1"/>
      <c r="R1118" s="1"/>
      <c r="S1118" s="1"/>
      <c r="T1118" s="1"/>
      <c r="U1118" s="1"/>
      <c r="V1118" s="1"/>
      <c r="W1118" s="1"/>
      <c r="X1118" s="1"/>
      <c r="Y1118" s="1"/>
      <c r="Z1118" s="1"/>
    </row>
    <row r="1119" ht="15.75" customHeight="1">
      <c r="A1119" s="2">
        <f>IFERROR(__xludf.DUMMYFUNCTION("""COMPUTED_VALUE"""),559000.0)</f>
        <v>559000</v>
      </c>
      <c r="B1119" s="2">
        <f>IFERROR(__xludf.DUMMYFUNCTION("""COMPUTED_VALUE"""),11180.0)</f>
        <v>11180</v>
      </c>
      <c r="C1119" s="66">
        <f>IFERROR(__xludf.DUMMYFUNCTION("""COMPUTED_VALUE"""),6.24403E9)</f>
        <v>6244030000</v>
      </c>
      <c r="D1119" s="1"/>
      <c r="E1119" s="1"/>
      <c r="F1119" s="1"/>
      <c r="G1119" s="1"/>
      <c r="H1119" s="1"/>
      <c r="I1119" s="1"/>
      <c r="J1119" s="1"/>
      <c r="K1119" s="1"/>
      <c r="L1119" s="1"/>
      <c r="M1119" s="1"/>
      <c r="N1119" s="1"/>
      <c r="O1119" s="1"/>
      <c r="P1119" s="1"/>
      <c r="Q1119" s="1"/>
      <c r="R1119" s="1"/>
      <c r="S1119" s="1"/>
      <c r="T1119" s="1"/>
      <c r="U1119" s="1"/>
      <c r="V1119" s="1"/>
      <c r="W1119" s="1"/>
      <c r="X1119" s="1"/>
      <c r="Y1119" s="1"/>
      <c r="Z1119" s="1"/>
    </row>
    <row r="1120" ht="15.75" customHeight="1">
      <c r="A1120" s="2">
        <f>IFERROR(__xludf.DUMMYFUNCTION("""COMPUTED_VALUE"""),559500.0)</f>
        <v>559500</v>
      </c>
      <c r="B1120" s="2">
        <f>IFERROR(__xludf.DUMMYFUNCTION("""COMPUTED_VALUE"""),11190.0)</f>
        <v>11190</v>
      </c>
      <c r="C1120" s="66">
        <f>IFERROR(__xludf.DUMMYFUNCTION("""COMPUTED_VALUE"""),6.25521E9)</f>
        <v>6255210000</v>
      </c>
      <c r="D1120" s="1"/>
      <c r="E1120" s="1"/>
      <c r="F1120" s="1"/>
      <c r="G1120" s="1"/>
      <c r="H1120" s="1"/>
      <c r="I1120" s="1"/>
      <c r="J1120" s="1"/>
      <c r="K1120" s="1"/>
      <c r="L1120" s="1"/>
      <c r="M1120" s="1"/>
      <c r="N1120" s="1"/>
      <c r="O1120" s="1"/>
      <c r="P1120" s="1"/>
      <c r="Q1120" s="1"/>
      <c r="R1120" s="1"/>
      <c r="S1120" s="1"/>
      <c r="T1120" s="1"/>
      <c r="U1120" s="1"/>
      <c r="V1120" s="1"/>
      <c r="W1120" s="1"/>
      <c r="X1120" s="1"/>
      <c r="Y1120" s="1"/>
      <c r="Z1120" s="1"/>
    </row>
    <row r="1121" ht="15.75" customHeight="1">
      <c r="A1121" s="2">
        <f>IFERROR(__xludf.DUMMYFUNCTION("""COMPUTED_VALUE"""),560000.0)</f>
        <v>560000</v>
      </c>
      <c r="B1121" s="2">
        <f>IFERROR(__xludf.DUMMYFUNCTION("""COMPUTED_VALUE"""),11200.0)</f>
        <v>11200</v>
      </c>
      <c r="C1121" s="66">
        <f>IFERROR(__xludf.DUMMYFUNCTION("""COMPUTED_VALUE"""),6.2664E9)</f>
        <v>6266400000</v>
      </c>
      <c r="D1121" s="1"/>
      <c r="E1121" s="1"/>
      <c r="F1121" s="1"/>
      <c r="G1121" s="1"/>
      <c r="H1121" s="1"/>
      <c r="I1121" s="1"/>
      <c r="J1121" s="1"/>
      <c r="K1121" s="1"/>
      <c r="L1121" s="1"/>
      <c r="M1121" s="1"/>
      <c r="N1121" s="1"/>
      <c r="O1121" s="1"/>
      <c r="P1121" s="1"/>
      <c r="Q1121" s="1"/>
      <c r="R1121" s="1"/>
      <c r="S1121" s="1"/>
      <c r="T1121" s="1"/>
      <c r="U1121" s="1"/>
      <c r="V1121" s="1"/>
      <c r="W1121" s="1"/>
      <c r="X1121" s="1"/>
      <c r="Y1121" s="1"/>
      <c r="Z1121" s="1"/>
    </row>
    <row r="1122" ht="15.75" customHeight="1">
      <c r="A1122" s="2">
        <f>IFERROR(__xludf.DUMMYFUNCTION("""COMPUTED_VALUE"""),560500.0)</f>
        <v>560500</v>
      </c>
      <c r="B1122" s="2">
        <f>IFERROR(__xludf.DUMMYFUNCTION("""COMPUTED_VALUE"""),11210.0)</f>
        <v>11210</v>
      </c>
      <c r="C1122" s="66">
        <f>IFERROR(__xludf.DUMMYFUNCTION("""COMPUTED_VALUE"""),6.2776E9)</f>
        <v>6277600000</v>
      </c>
      <c r="D1122" s="1"/>
      <c r="E1122" s="1"/>
      <c r="F1122" s="1"/>
      <c r="G1122" s="1"/>
      <c r="H1122" s="1"/>
      <c r="I1122" s="1"/>
      <c r="J1122" s="1"/>
      <c r="K1122" s="1"/>
      <c r="L1122" s="1"/>
      <c r="M1122" s="1"/>
      <c r="N1122" s="1"/>
      <c r="O1122" s="1"/>
      <c r="P1122" s="1"/>
      <c r="Q1122" s="1"/>
      <c r="R1122" s="1"/>
      <c r="S1122" s="1"/>
      <c r="T1122" s="1"/>
      <c r="U1122" s="1"/>
      <c r="V1122" s="1"/>
      <c r="W1122" s="1"/>
      <c r="X1122" s="1"/>
      <c r="Y1122" s="1"/>
      <c r="Z1122" s="1"/>
    </row>
    <row r="1123" ht="15.75" customHeight="1">
      <c r="A1123" s="2">
        <f>IFERROR(__xludf.DUMMYFUNCTION("""COMPUTED_VALUE"""),561000.0)</f>
        <v>561000</v>
      </c>
      <c r="B1123" s="2">
        <f>IFERROR(__xludf.DUMMYFUNCTION("""COMPUTED_VALUE"""),11220.0)</f>
        <v>11220</v>
      </c>
      <c r="C1123" s="66">
        <f>IFERROR(__xludf.DUMMYFUNCTION("""COMPUTED_VALUE"""),6.28881E9)</f>
        <v>6288810000</v>
      </c>
      <c r="D1123" s="1"/>
      <c r="E1123" s="1"/>
      <c r="F1123" s="1"/>
      <c r="G1123" s="1"/>
      <c r="H1123" s="1"/>
      <c r="I1123" s="1"/>
      <c r="J1123" s="1"/>
      <c r="K1123" s="1"/>
      <c r="L1123" s="1"/>
      <c r="M1123" s="1"/>
      <c r="N1123" s="1"/>
      <c r="O1123" s="1"/>
      <c r="P1123" s="1"/>
      <c r="Q1123" s="1"/>
      <c r="R1123" s="1"/>
      <c r="S1123" s="1"/>
      <c r="T1123" s="1"/>
      <c r="U1123" s="1"/>
      <c r="V1123" s="1"/>
      <c r="W1123" s="1"/>
      <c r="X1123" s="1"/>
      <c r="Y1123" s="1"/>
      <c r="Z1123" s="1"/>
    </row>
    <row r="1124" ht="15.75" customHeight="1">
      <c r="A1124" s="2">
        <f>IFERROR(__xludf.DUMMYFUNCTION("""COMPUTED_VALUE"""),561500.0)</f>
        <v>561500</v>
      </c>
      <c r="B1124" s="2">
        <f>IFERROR(__xludf.DUMMYFUNCTION("""COMPUTED_VALUE"""),11230.0)</f>
        <v>11230</v>
      </c>
      <c r="C1124" s="66">
        <f>IFERROR(__xludf.DUMMYFUNCTION("""COMPUTED_VALUE"""),6.30003E9)</f>
        <v>6300030000</v>
      </c>
      <c r="D1124" s="1"/>
      <c r="E1124" s="1"/>
      <c r="F1124" s="1"/>
      <c r="G1124" s="1"/>
      <c r="H1124" s="1"/>
      <c r="I1124" s="1"/>
      <c r="J1124" s="1"/>
      <c r="K1124" s="1"/>
      <c r="L1124" s="1"/>
      <c r="M1124" s="1"/>
      <c r="N1124" s="1"/>
      <c r="O1124" s="1"/>
      <c r="P1124" s="1"/>
      <c r="Q1124" s="1"/>
      <c r="R1124" s="1"/>
      <c r="S1124" s="1"/>
      <c r="T1124" s="1"/>
      <c r="U1124" s="1"/>
      <c r="V1124" s="1"/>
      <c r="W1124" s="1"/>
      <c r="X1124" s="1"/>
      <c r="Y1124" s="1"/>
      <c r="Z1124" s="1"/>
    </row>
    <row r="1125" ht="15.75" customHeight="1">
      <c r="A1125" s="2">
        <f>IFERROR(__xludf.DUMMYFUNCTION("""COMPUTED_VALUE"""),562000.0)</f>
        <v>562000</v>
      </c>
      <c r="B1125" s="2">
        <f>IFERROR(__xludf.DUMMYFUNCTION("""COMPUTED_VALUE"""),11240.0)</f>
        <v>11240</v>
      </c>
      <c r="C1125" s="66">
        <f>IFERROR(__xludf.DUMMYFUNCTION("""COMPUTED_VALUE"""),6.31126E9)</f>
        <v>6311260000</v>
      </c>
      <c r="D1125" s="1"/>
      <c r="E1125" s="1"/>
      <c r="F1125" s="1"/>
      <c r="G1125" s="1"/>
      <c r="H1125" s="1"/>
      <c r="I1125" s="1"/>
      <c r="J1125" s="1"/>
      <c r="K1125" s="1"/>
      <c r="L1125" s="1"/>
      <c r="M1125" s="1"/>
      <c r="N1125" s="1"/>
      <c r="O1125" s="1"/>
      <c r="P1125" s="1"/>
      <c r="Q1125" s="1"/>
      <c r="R1125" s="1"/>
      <c r="S1125" s="1"/>
      <c r="T1125" s="1"/>
      <c r="U1125" s="1"/>
      <c r="V1125" s="1"/>
      <c r="W1125" s="1"/>
      <c r="X1125" s="1"/>
      <c r="Y1125" s="1"/>
      <c r="Z1125" s="1"/>
    </row>
    <row r="1126" ht="15.75" customHeight="1">
      <c r="A1126" s="2">
        <f>IFERROR(__xludf.DUMMYFUNCTION("""COMPUTED_VALUE"""),562500.0)</f>
        <v>562500</v>
      </c>
      <c r="B1126" s="2">
        <f>IFERROR(__xludf.DUMMYFUNCTION("""COMPUTED_VALUE"""),11250.0)</f>
        <v>11250</v>
      </c>
      <c r="C1126" s="66">
        <f>IFERROR(__xludf.DUMMYFUNCTION("""COMPUTED_VALUE"""),6.3225E9)</f>
        <v>6322500000</v>
      </c>
      <c r="D1126" s="1"/>
      <c r="E1126" s="1"/>
      <c r="F1126" s="1"/>
      <c r="G1126" s="1"/>
      <c r="H1126" s="1"/>
      <c r="I1126" s="1"/>
      <c r="J1126" s="1"/>
      <c r="K1126" s="1"/>
      <c r="L1126" s="1"/>
      <c r="M1126" s="1"/>
      <c r="N1126" s="1"/>
      <c r="O1126" s="1"/>
      <c r="P1126" s="1"/>
      <c r="Q1126" s="1"/>
      <c r="R1126" s="1"/>
      <c r="S1126" s="1"/>
      <c r="T1126" s="1"/>
      <c r="U1126" s="1"/>
      <c r="V1126" s="1"/>
      <c r="W1126" s="1"/>
      <c r="X1126" s="1"/>
      <c r="Y1126" s="1"/>
      <c r="Z1126" s="1"/>
    </row>
    <row r="1127" ht="15.75" customHeight="1">
      <c r="A1127" s="2">
        <f>IFERROR(__xludf.DUMMYFUNCTION("""COMPUTED_VALUE"""),563000.0)</f>
        <v>563000</v>
      </c>
      <c r="B1127" s="2">
        <f>IFERROR(__xludf.DUMMYFUNCTION("""COMPUTED_VALUE"""),11260.0)</f>
        <v>11260</v>
      </c>
      <c r="C1127" s="66">
        <f>IFERROR(__xludf.DUMMYFUNCTION("""COMPUTED_VALUE"""),6.33375E9)</f>
        <v>6333750000</v>
      </c>
      <c r="D1127" s="1"/>
      <c r="E1127" s="1"/>
      <c r="F1127" s="1"/>
      <c r="G1127" s="1"/>
      <c r="H1127" s="1"/>
      <c r="I1127" s="1"/>
      <c r="J1127" s="1"/>
      <c r="K1127" s="1"/>
      <c r="L1127" s="1"/>
      <c r="M1127" s="1"/>
      <c r="N1127" s="1"/>
      <c r="O1127" s="1"/>
      <c r="P1127" s="1"/>
      <c r="Q1127" s="1"/>
      <c r="R1127" s="1"/>
      <c r="S1127" s="1"/>
      <c r="T1127" s="1"/>
      <c r="U1127" s="1"/>
      <c r="V1127" s="1"/>
      <c r="W1127" s="1"/>
      <c r="X1127" s="1"/>
      <c r="Y1127" s="1"/>
      <c r="Z1127" s="1"/>
    </row>
    <row r="1128" ht="15.75" customHeight="1">
      <c r="A1128" s="2">
        <f>IFERROR(__xludf.DUMMYFUNCTION("""COMPUTED_VALUE"""),563500.0)</f>
        <v>563500</v>
      </c>
      <c r="B1128" s="2">
        <f>IFERROR(__xludf.DUMMYFUNCTION("""COMPUTED_VALUE"""),11270.0)</f>
        <v>11270</v>
      </c>
      <c r="C1128" s="66">
        <f>IFERROR(__xludf.DUMMYFUNCTION("""COMPUTED_VALUE"""),6.34501E9)</f>
        <v>6345010000</v>
      </c>
      <c r="D1128" s="1"/>
      <c r="E1128" s="1"/>
      <c r="F1128" s="1"/>
      <c r="G1128" s="1"/>
      <c r="H1128" s="1"/>
      <c r="I1128" s="1"/>
      <c r="J1128" s="1"/>
      <c r="K1128" s="1"/>
      <c r="L1128" s="1"/>
      <c r="M1128" s="1"/>
      <c r="N1128" s="1"/>
      <c r="O1128" s="1"/>
      <c r="P1128" s="1"/>
      <c r="Q1128" s="1"/>
      <c r="R1128" s="1"/>
      <c r="S1128" s="1"/>
      <c r="T1128" s="1"/>
      <c r="U1128" s="1"/>
      <c r="V1128" s="1"/>
      <c r="W1128" s="1"/>
      <c r="X1128" s="1"/>
      <c r="Y1128" s="1"/>
      <c r="Z1128" s="1"/>
    </row>
    <row r="1129" ht="15.75" customHeight="1">
      <c r="A1129" s="2">
        <f>IFERROR(__xludf.DUMMYFUNCTION("""COMPUTED_VALUE"""),564000.0)</f>
        <v>564000</v>
      </c>
      <c r="B1129" s="2">
        <f>IFERROR(__xludf.DUMMYFUNCTION("""COMPUTED_VALUE"""),11280.0)</f>
        <v>11280</v>
      </c>
      <c r="C1129" s="66">
        <f>IFERROR(__xludf.DUMMYFUNCTION("""COMPUTED_VALUE"""),6.35628E9)</f>
        <v>6356280000</v>
      </c>
      <c r="D1129" s="1"/>
      <c r="E1129" s="1"/>
      <c r="F1129" s="1"/>
      <c r="G1129" s="1"/>
      <c r="H1129" s="1"/>
      <c r="I1129" s="1"/>
      <c r="J1129" s="1"/>
      <c r="K1129" s="1"/>
      <c r="L1129" s="1"/>
      <c r="M1129" s="1"/>
      <c r="N1129" s="1"/>
      <c r="O1129" s="1"/>
      <c r="P1129" s="1"/>
      <c r="Q1129" s="1"/>
      <c r="R1129" s="1"/>
      <c r="S1129" s="1"/>
      <c r="T1129" s="1"/>
      <c r="U1129" s="1"/>
      <c r="V1129" s="1"/>
      <c r="W1129" s="1"/>
      <c r="X1129" s="1"/>
      <c r="Y1129" s="1"/>
      <c r="Z1129" s="1"/>
    </row>
    <row r="1130" ht="15.75" customHeight="1">
      <c r="A1130" s="2">
        <f>IFERROR(__xludf.DUMMYFUNCTION("""COMPUTED_VALUE"""),564500.0)</f>
        <v>564500</v>
      </c>
      <c r="B1130" s="2">
        <f>IFERROR(__xludf.DUMMYFUNCTION("""COMPUTED_VALUE"""),11290.0)</f>
        <v>11290</v>
      </c>
      <c r="C1130" s="66">
        <f>IFERROR(__xludf.DUMMYFUNCTION("""COMPUTED_VALUE"""),6.36756E9)</f>
        <v>6367560000</v>
      </c>
      <c r="D1130" s="1"/>
      <c r="E1130" s="1"/>
      <c r="F1130" s="1"/>
      <c r="G1130" s="1"/>
      <c r="H1130" s="1"/>
      <c r="I1130" s="1"/>
      <c r="J1130" s="1"/>
      <c r="K1130" s="1"/>
      <c r="L1130" s="1"/>
      <c r="M1130" s="1"/>
      <c r="N1130" s="1"/>
      <c r="O1130" s="1"/>
      <c r="P1130" s="1"/>
      <c r="Q1130" s="1"/>
      <c r="R1130" s="1"/>
      <c r="S1130" s="1"/>
      <c r="T1130" s="1"/>
      <c r="U1130" s="1"/>
      <c r="V1130" s="1"/>
      <c r="W1130" s="1"/>
      <c r="X1130" s="1"/>
      <c r="Y1130" s="1"/>
      <c r="Z1130" s="1"/>
    </row>
    <row r="1131" ht="15.75" customHeight="1">
      <c r="A1131" s="2">
        <f>IFERROR(__xludf.DUMMYFUNCTION("""COMPUTED_VALUE"""),565000.0)</f>
        <v>565000</v>
      </c>
      <c r="B1131" s="2">
        <f>IFERROR(__xludf.DUMMYFUNCTION("""COMPUTED_VALUE"""),11300.0)</f>
        <v>11300</v>
      </c>
      <c r="C1131" s="66">
        <f>IFERROR(__xludf.DUMMYFUNCTION("""COMPUTED_VALUE"""),6.37885E9)</f>
        <v>6378850000</v>
      </c>
      <c r="D1131" s="1"/>
      <c r="E1131" s="1"/>
      <c r="F1131" s="1"/>
      <c r="G1131" s="1"/>
      <c r="H1131" s="1"/>
      <c r="I1131" s="1"/>
      <c r="J1131" s="1"/>
      <c r="K1131" s="1"/>
      <c r="L1131" s="1"/>
      <c r="M1131" s="1"/>
      <c r="N1131" s="1"/>
      <c r="O1131" s="1"/>
      <c r="P1131" s="1"/>
      <c r="Q1131" s="1"/>
      <c r="R1131" s="1"/>
      <c r="S1131" s="1"/>
      <c r="T1131" s="1"/>
      <c r="U1131" s="1"/>
      <c r="V1131" s="1"/>
      <c r="W1131" s="1"/>
      <c r="X1131" s="1"/>
      <c r="Y1131" s="1"/>
      <c r="Z1131" s="1"/>
    </row>
    <row r="1132" ht="15.75" customHeight="1">
      <c r="A1132" s="2">
        <f>IFERROR(__xludf.DUMMYFUNCTION("""COMPUTED_VALUE"""),565500.0)</f>
        <v>565500</v>
      </c>
      <c r="B1132" s="2">
        <f>IFERROR(__xludf.DUMMYFUNCTION("""COMPUTED_VALUE"""),11310.0)</f>
        <v>11310</v>
      </c>
      <c r="C1132" s="66">
        <f>IFERROR(__xludf.DUMMYFUNCTION("""COMPUTED_VALUE"""),6.39015E9)</f>
        <v>6390150000</v>
      </c>
      <c r="D1132" s="1"/>
      <c r="E1132" s="1"/>
      <c r="F1132" s="1"/>
      <c r="G1132" s="1"/>
      <c r="H1132" s="1"/>
      <c r="I1132" s="1"/>
      <c r="J1132" s="1"/>
      <c r="K1132" s="1"/>
      <c r="L1132" s="1"/>
      <c r="M1132" s="1"/>
      <c r="N1132" s="1"/>
      <c r="O1132" s="1"/>
      <c r="P1132" s="1"/>
      <c r="Q1132" s="1"/>
      <c r="R1132" s="1"/>
      <c r="S1132" s="1"/>
      <c r="T1132" s="1"/>
      <c r="U1132" s="1"/>
      <c r="V1132" s="1"/>
      <c r="W1132" s="1"/>
      <c r="X1132" s="1"/>
      <c r="Y1132" s="1"/>
      <c r="Z1132" s="1"/>
    </row>
    <row r="1133" ht="15.75" customHeight="1">
      <c r="A1133" s="2">
        <f>IFERROR(__xludf.DUMMYFUNCTION("""COMPUTED_VALUE"""),566000.0)</f>
        <v>566000</v>
      </c>
      <c r="B1133" s="2">
        <f>IFERROR(__xludf.DUMMYFUNCTION("""COMPUTED_VALUE"""),11320.0)</f>
        <v>11320</v>
      </c>
      <c r="C1133" s="66">
        <f>IFERROR(__xludf.DUMMYFUNCTION("""COMPUTED_VALUE"""),6.40146E9)</f>
        <v>6401460000</v>
      </c>
      <c r="D1133" s="1"/>
      <c r="E1133" s="1"/>
      <c r="F1133" s="1"/>
      <c r="G1133" s="1"/>
      <c r="H1133" s="1"/>
      <c r="I1133" s="1"/>
      <c r="J1133" s="1"/>
      <c r="K1133" s="1"/>
      <c r="L1133" s="1"/>
      <c r="M1133" s="1"/>
      <c r="N1133" s="1"/>
      <c r="O1133" s="1"/>
      <c r="P1133" s="1"/>
      <c r="Q1133" s="1"/>
      <c r="R1133" s="1"/>
      <c r="S1133" s="1"/>
      <c r="T1133" s="1"/>
      <c r="U1133" s="1"/>
      <c r="V1133" s="1"/>
      <c r="W1133" s="1"/>
      <c r="X1133" s="1"/>
      <c r="Y1133" s="1"/>
      <c r="Z1133" s="1"/>
    </row>
    <row r="1134" ht="15.75" customHeight="1">
      <c r="A1134" s="2">
        <f>IFERROR(__xludf.DUMMYFUNCTION("""COMPUTED_VALUE"""),566500.0)</f>
        <v>566500</v>
      </c>
      <c r="B1134" s="2">
        <f>IFERROR(__xludf.DUMMYFUNCTION("""COMPUTED_VALUE"""),11330.0)</f>
        <v>11330</v>
      </c>
      <c r="C1134" s="66">
        <f>IFERROR(__xludf.DUMMYFUNCTION("""COMPUTED_VALUE"""),6.41278E9)</f>
        <v>6412780000</v>
      </c>
      <c r="D1134" s="1"/>
      <c r="E1134" s="1"/>
      <c r="F1134" s="1"/>
      <c r="G1134" s="1"/>
      <c r="H1134" s="1"/>
      <c r="I1134" s="1"/>
      <c r="J1134" s="1"/>
      <c r="K1134" s="1"/>
      <c r="L1134" s="1"/>
      <c r="M1134" s="1"/>
      <c r="N1134" s="1"/>
      <c r="O1134" s="1"/>
      <c r="P1134" s="1"/>
      <c r="Q1134" s="1"/>
      <c r="R1134" s="1"/>
      <c r="S1134" s="1"/>
      <c r="T1134" s="1"/>
      <c r="U1134" s="1"/>
      <c r="V1134" s="1"/>
      <c r="W1134" s="1"/>
      <c r="X1134" s="1"/>
      <c r="Y1134" s="1"/>
      <c r="Z1134" s="1"/>
    </row>
    <row r="1135" ht="15.75" customHeight="1">
      <c r="A1135" s="2">
        <f>IFERROR(__xludf.DUMMYFUNCTION("""COMPUTED_VALUE"""),567000.0)</f>
        <v>567000</v>
      </c>
      <c r="B1135" s="2">
        <f>IFERROR(__xludf.DUMMYFUNCTION("""COMPUTED_VALUE"""),11340.0)</f>
        <v>11340</v>
      </c>
      <c r="C1135" s="66">
        <f>IFERROR(__xludf.DUMMYFUNCTION("""COMPUTED_VALUE"""),6.42411E9)</f>
        <v>6424110000</v>
      </c>
      <c r="D1135" s="1"/>
      <c r="E1135" s="1"/>
      <c r="F1135" s="1"/>
      <c r="G1135" s="1"/>
      <c r="H1135" s="1"/>
      <c r="I1135" s="1"/>
      <c r="J1135" s="1"/>
      <c r="K1135" s="1"/>
      <c r="L1135" s="1"/>
      <c r="M1135" s="1"/>
      <c r="N1135" s="1"/>
      <c r="O1135" s="1"/>
      <c r="P1135" s="1"/>
      <c r="Q1135" s="1"/>
      <c r="R1135" s="1"/>
      <c r="S1135" s="1"/>
      <c r="T1135" s="1"/>
      <c r="U1135" s="1"/>
      <c r="V1135" s="1"/>
      <c r="W1135" s="1"/>
      <c r="X1135" s="1"/>
      <c r="Y1135" s="1"/>
      <c r="Z1135" s="1"/>
    </row>
    <row r="1136" ht="15.75" customHeight="1">
      <c r="A1136" s="2">
        <f>IFERROR(__xludf.DUMMYFUNCTION("""COMPUTED_VALUE"""),567500.0)</f>
        <v>567500</v>
      </c>
      <c r="B1136" s="2">
        <f>IFERROR(__xludf.DUMMYFUNCTION("""COMPUTED_VALUE"""),11350.0)</f>
        <v>11350</v>
      </c>
      <c r="C1136" s="66">
        <f>IFERROR(__xludf.DUMMYFUNCTION("""COMPUTED_VALUE"""),6.43545E9)</f>
        <v>6435450000</v>
      </c>
      <c r="D1136" s="1"/>
      <c r="E1136" s="1"/>
      <c r="F1136" s="1"/>
      <c r="G1136" s="1"/>
      <c r="H1136" s="1"/>
      <c r="I1136" s="1"/>
      <c r="J1136" s="1"/>
      <c r="K1136" s="1"/>
      <c r="L1136" s="1"/>
      <c r="M1136" s="1"/>
      <c r="N1136" s="1"/>
      <c r="O1136" s="1"/>
      <c r="P1136" s="1"/>
      <c r="Q1136" s="1"/>
      <c r="R1136" s="1"/>
      <c r="S1136" s="1"/>
      <c r="T1136" s="1"/>
      <c r="U1136" s="1"/>
      <c r="V1136" s="1"/>
      <c r="W1136" s="1"/>
      <c r="X1136" s="1"/>
      <c r="Y1136" s="1"/>
      <c r="Z1136" s="1"/>
    </row>
    <row r="1137" ht="15.75" customHeight="1">
      <c r="A1137" s="2">
        <f>IFERROR(__xludf.DUMMYFUNCTION("""COMPUTED_VALUE"""),568000.0)</f>
        <v>568000</v>
      </c>
      <c r="B1137" s="2">
        <f>IFERROR(__xludf.DUMMYFUNCTION("""COMPUTED_VALUE"""),11360.0)</f>
        <v>11360</v>
      </c>
      <c r="C1137" s="66">
        <f>IFERROR(__xludf.DUMMYFUNCTION("""COMPUTED_VALUE"""),6.4468E9)</f>
        <v>6446800000</v>
      </c>
      <c r="D1137" s="1"/>
      <c r="E1137" s="1"/>
      <c r="F1137" s="1"/>
      <c r="G1137" s="1"/>
      <c r="H1137" s="1"/>
      <c r="I1137" s="1"/>
      <c r="J1137" s="1"/>
      <c r="K1137" s="1"/>
      <c r="L1137" s="1"/>
      <c r="M1137" s="1"/>
      <c r="N1137" s="1"/>
      <c r="O1137" s="1"/>
      <c r="P1137" s="1"/>
      <c r="Q1137" s="1"/>
      <c r="R1137" s="1"/>
      <c r="S1137" s="1"/>
      <c r="T1137" s="1"/>
      <c r="U1137" s="1"/>
      <c r="V1137" s="1"/>
      <c r="W1137" s="1"/>
      <c r="X1137" s="1"/>
      <c r="Y1137" s="1"/>
      <c r="Z1137" s="1"/>
    </row>
    <row r="1138" ht="15.75" customHeight="1">
      <c r="A1138" s="2">
        <f>IFERROR(__xludf.DUMMYFUNCTION("""COMPUTED_VALUE"""),568500.0)</f>
        <v>568500</v>
      </c>
      <c r="B1138" s="2">
        <f>IFERROR(__xludf.DUMMYFUNCTION("""COMPUTED_VALUE"""),11370.0)</f>
        <v>11370</v>
      </c>
      <c r="C1138" s="66">
        <f>IFERROR(__xludf.DUMMYFUNCTION("""COMPUTED_VALUE"""),6.45816E9)</f>
        <v>6458160000</v>
      </c>
      <c r="D1138" s="1"/>
      <c r="E1138" s="1"/>
      <c r="F1138" s="1"/>
      <c r="G1138" s="1"/>
      <c r="H1138" s="1"/>
      <c r="I1138" s="1"/>
      <c r="J1138" s="1"/>
      <c r="K1138" s="1"/>
      <c r="L1138" s="1"/>
      <c r="M1138" s="1"/>
      <c r="N1138" s="1"/>
      <c r="O1138" s="1"/>
      <c r="P1138" s="1"/>
      <c r="Q1138" s="1"/>
      <c r="R1138" s="1"/>
      <c r="S1138" s="1"/>
      <c r="T1138" s="1"/>
      <c r="U1138" s="1"/>
      <c r="V1138" s="1"/>
      <c r="W1138" s="1"/>
      <c r="X1138" s="1"/>
      <c r="Y1138" s="1"/>
      <c r="Z1138" s="1"/>
    </row>
    <row r="1139" ht="15.75" customHeight="1">
      <c r="A1139" s="2">
        <f>IFERROR(__xludf.DUMMYFUNCTION("""COMPUTED_VALUE"""),569000.0)</f>
        <v>569000</v>
      </c>
      <c r="B1139" s="2">
        <f>IFERROR(__xludf.DUMMYFUNCTION("""COMPUTED_VALUE"""),11380.0)</f>
        <v>11380</v>
      </c>
      <c r="C1139" s="66">
        <f>IFERROR(__xludf.DUMMYFUNCTION("""COMPUTED_VALUE"""),6.46953E9)</f>
        <v>6469530000</v>
      </c>
      <c r="D1139" s="1"/>
      <c r="E1139" s="1"/>
      <c r="F1139" s="1"/>
      <c r="G1139" s="1"/>
      <c r="H1139" s="1"/>
      <c r="I1139" s="1"/>
      <c r="J1139" s="1"/>
      <c r="K1139" s="1"/>
      <c r="L1139" s="1"/>
      <c r="M1139" s="1"/>
      <c r="N1139" s="1"/>
      <c r="O1139" s="1"/>
      <c r="P1139" s="1"/>
      <c r="Q1139" s="1"/>
      <c r="R1139" s="1"/>
      <c r="S1139" s="1"/>
      <c r="T1139" s="1"/>
      <c r="U1139" s="1"/>
      <c r="V1139" s="1"/>
      <c r="W1139" s="1"/>
      <c r="X1139" s="1"/>
      <c r="Y1139" s="1"/>
      <c r="Z1139" s="1"/>
    </row>
    <row r="1140" ht="15.75" customHeight="1">
      <c r="A1140" s="2">
        <f>IFERROR(__xludf.DUMMYFUNCTION("""COMPUTED_VALUE"""),569500.0)</f>
        <v>569500</v>
      </c>
      <c r="B1140" s="2">
        <f>IFERROR(__xludf.DUMMYFUNCTION("""COMPUTED_VALUE"""),11390.0)</f>
        <v>11390</v>
      </c>
      <c r="C1140" s="66">
        <f>IFERROR(__xludf.DUMMYFUNCTION("""COMPUTED_VALUE"""),6.48091E9)</f>
        <v>6480910000</v>
      </c>
      <c r="D1140" s="1"/>
      <c r="E1140" s="1"/>
      <c r="F1140" s="1"/>
      <c r="G1140" s="1"/>
      <c r="H1140" s="1"/>
      <c r="I1140" s="1"/>
      <c r="J1140" s="1"/>
      <c r="K1140" s="1"/>
      <c r="L1140" s="1"/>
      <c r="M1140" s="1"/>
      <c r="N1140" s="1"/>
      <c r="O1140" s="1"/>
      <c r="P1140" s="1"/>
      <c r="Q1140" s="1"/>
      <c r="R1140" s="1"/>
      <c r="S1140" s="1"/>
      <c r="T1140" s="1"/>
      <c r="U1140" s="1"/>
      <c r="V1140" s="1"/>
      <c r="W1140" s="1"/>
      <c r="X1140" s="1"/>
      <c r="Y1140" s="1"/>
      <c r="Z1140" s="1"/>
    </row>
    <row r="1141" ht="15.75" customHeight="1">
      <c r="A1141" s="2">
        <f>IFERROR(__xludf.DUMMYFUNCTION("""COMPUTED_VALUE"""),570000.0)</f>
        <v>570000</v>
      </c>
      <c r="B1141" s="2">
        <f>IFERROR(__xludf.DUMMYFUNCTION("""COMPUTED_VALUE"""),11400.0)</f>
        <v>11400</v>
      </c>
      <c r="C1141" s="66">
        <f>IFERROR(__xludf.DUMMYFUNCTION("""COMPUTED_VALUE"""),6.4923E9)</f>
        <v>6492300000</v>
      </c>
      <c r="D1141" s="1"/>
      <c r="E1141" s="1"/>
      <c r="F1141" s="1"/>
      <c r="G1141" s="1"/>
      <c r="H1141" s="1"/>
      <c r="I1141" s="1"/>
      <c r="J1141" s="1"/>
      <c r="K1141" s="1"/>
      <c r="L1141" s="1"/>
      <c r="M1141" s="1"/>
      <c r="N1141" s="1"/>
      <c r="O1141" s="1"/>
      <c r="P1141" s="1"/>
      <c r="Q1141" s="1"/>
      <c r="R1141" s="1"/>
      <c r="S1141" s="1"/>
      <c r="T1141" s="1"/>
      <c r="U1141" s="1"/>
      <c r="V1141" s="1"/>
      <c r="W1141" s="1"/>
      <c r="X1141" s="1"/>
      <c r="Y1141" s="1"/>
      <c r="Z1141" s="1"/>
    </row>
    <row r="1142" ht="15.75" customHeight="1">
      <c r="A1142" s="2">
        <f>IFERROR(__xludf.DUMMYFUNCTION("""COMPUTED_VALUE"""),570500.0)</f>
        <v>570500</v>
      </c>
      <c r="B1142" s="2">
        <f>IFERROR(__xludf.DUMMYFUNCTION("""COMPUTED_VALUE"""),11410.0)</f>
        <v>11410</v>
      </c>
      <c r="C1142" s="66">
        <f>IFERROR(__xludf.DUMMYFUNCTION("""COMPUTED_VALUE"""),6.5037E9)</f>
        <v>6503700000</v>
      </c>
      <c r="D1142" s="1"/>
      <c r="E1142" s="1"/>
      <c r="F1142" s="1"/>
      <c r="G1142" s="1"/>
      <c r="H1142" s="1"/>
      <c r="I1142" s="1"/>
      <c r="J1142" s="1"/>
      <c r="K1142" s="1"/>
      <c r="L1142" s="1"/>
      <c r="M1142" s="1"/>
      <c r="N1142" s="1"/>
      <c r="O1142" s="1"/>
      <c r="P1142" s="1"/>
      <c r="Q1142" s="1"/>
      <c r="R1142" s="1"/>
      <c r="S1142" s="1"/>
      <c r="T1142" s="1"/>
      <c r="U1142" s="1"/>
      <c r="V1142" s="1"/>
      <c r="W1142" s="1"/>
      <c r="X1142" s="1"/>
      <c r="Y1142" s="1"/>
      <c r="Z1142" s="1"/>
    </row>
    <row r="1143" ht="15.75" customHeight="1">
      <c r="A1143" s="2">
        <f>IFERROR(__xludf.DUMMYFUNCTION("""COMPUTED_VALUE"""),571000.0)</f>
        <v>571000</v>
      </c>
      <c r="B1143" s="2">
        <f>IFERROR(__xludf.DUMMYFUNCTION("""COMPUTED_VALUE"""),11420.0)</f>
        <v>11420</v>
      </c>
      <c r="C1143" s="66">
        <f>IFERROR(__xludf.DUMMYFUNCTION("""COMPUTED_VALUE"""),6.51511E9)</f>
        <v>6515110000</v>
      </c>
      <c r="D1143" s="1"/>
      <c r="E1143" s="1"/>
      <c r="F1143" s="1"/>
      <c r="G1143" s="1"/>
      <c r="H1143" s="1"/>
      <c r="I1143" s="1"/>
      <c r="J1143" s="1"/>
      <c r="K1143" s="1"/>
      <c r="L1143" s="1"/>
      <c r="M1143" s="1"/>
      <c r="N1143" s="1"/>
      <c r="O1143" s="1"/>
      <c r="P1143" s="1"/>
      <c r="Q1143" s="1"/>
      <c r="R1143" s="1"/>
      <c r="S1143" s="1"/>
      <c r="T1143" s="1"/>
      <c r="U1143" s="1"/>
      <c r="V1143" s="1"/>
      <c r="W1143" s="1"/>
      <c r="X1143" s="1"/>
      <c r="Y1143" s="1"/>
      <c r="Z1143" s="1"/>
    </row>
    <row r="1144" ht="15.75" customHeight="1">
      <c r="A1144" s="2">
        <f>IFERROR(__xludf.DUMMYFUNCTION("""COMPUTED_VALUE"""),571500.0)</f>
        <v>571500</v>
      </c>
      <c r="B1144" s="2">
        <f>IFERROR(__xludf.DUMMYFUNCTION("""COMPUTED_VALUE"""),11430.0)</f>
        <v>11430</v>
      </c>
      <c r="C1144" s="66">
        <f>IFERROR(__xludf.DUMMYFUNCTION("""COMPUTED_VALUE"""),6.52653E9)</f>
        <v>6526530000</v>
      </c>
      <c r="D1144" s="1"/>
      <c r="E1144" s="1"/>
      <c r="F1144" s="1"/>
      <c r="G1144" s="1"/>
      <c r="H1144" s="1"/>
      <c r="I1144" s="1"/>
      <c r="J1144" s="1"/>
      <c r="K1144" s="1"/>
      <c r="L1144" s="1"/>
      <c r="M1144" s="1"/>
      <c r="N1144" s="1"/>
      <c r="O1144" s="1"/>
      <c r="P1144" s="1"/>
      <c r="Q1144" s="1"/>
      <c r="R1144" s="1"/>
      <c r="S1144" s="1"/>
      <c r="T1144" s="1"/>
      <c r="U1144" s="1"/>
      <c r="V1144" s="1"/>
      <c r="W1144" s="1"/>
      <c r="X1144" s="1"/>
      <c r="Y1144" s="1"/>
      <c r="Z1144" s="1"/>
    </row>
    <row r="1145" ht="15.75" customHeight="1">
      <c r="A1145" s="2">
        <f>IFERROR(__xludf.DUMMYFUNCTION("""COMPUTED_VALUE"""),572000.0)</f>
        <v>572000</v>
      </c>
      <c r="B1145" s="2">
        <f>IFERROR(__xludf.DUMMYFUNCTION("""COMPUTED_VALUE"""),11440.0)</f>
        <v>11440</v>
      </c>
      <c r="C1145" s="66">
        <f>IFERROR(__xludf.DUMMYFUNCTION("""COMPUTED_VALUE"""),6.53796E9)</f>
        <v>6537960000</v>
      </c>
      <c r="D1145" s="1"/>
      <c r="E1145" s="1"/>
      <c r="F1145" s="1"/>
      <c r="G1145" s="1"/>
      <c r="H1145" s="1"/>
      <c r="I1145" s="1"/>
      <c r="J1145" s="1"/>
      <c r="K1145" s="1"/>
      <c r="L1145" s="1"/>
      <c r="M1145" s="1"/>
      <c r="N1145" s="1"/>
      <c r="O1145" s="1"/>
      <c r="P1145" s="1"/>
      <c r="Q1145" s="1"/>
      <c r="R1145" s="1"/>
      <c r="S1145" s="1"/>
      <c r="T1145" s="1"/>
      <c r="U1145" s="1"/>
      <c r="V1145" s="1"/>
      <c r="W1145" s="1"/>
      <c r="X1145" s="1"/>
      <c r="Y1145" s="1"/>
      <c r="Z1145" s="1"/>
    </row>
    <row r="1146" ht="15.75" customHeight="1">
      <c r="A1146" s="2">
        <f>IFERROR(__xludf.DUMMYFUNCTION("""COMPUTED_VALUE"""),572500.0)</f>
        <v>572500</v>
      </c>
      <c r="B1146" s="2">
        <f>IFERROR(__xludf.DUMMYFUNCTION("""COMPUTED_VALUE"""),11450.0)</f>
        <v>11450</v>
      </c>
      <c r="C1146" s="66">
        <f>IFERROR(__xludf.DUMMYFUNCTION("""COMPUTED_VALUE"""),6.5494E9)</f>
        <v>6549400000</v>
      </c>
      <c r="D1146" s="1"/>
      <c r="E1146" s="1"/>
      <c r="F1146" s="1"/>
      <c r="G1146" s="1"/>
      <c r="H1146" s="1"/>
      <c r="I1146" s="1"/>
      <c r="J1146" s="1"/>
      <c r="K1146" s="1"/>
      <c r="L1146" s="1"/>
      <c r="M1146" s="1"/>
      <c r="N1146" s="1"/>
      <c r="O1146" s="1"/>
      <c r="P1146" s="1"/>
      <c r="Q1146" s="1"/>
      <c r="R1146" s="1"/>
      <c r="S1146" s="1"/>
      <c r="T1146" s="1"/>
      <c r="U1146" s="1"/>
      <c r="V1146" s="1"/>
      <c r="W1146" s="1"/>
      <c r="X1146" s="1"/>
      <c r="Y1146" s="1"/>
      <c r="Z1146" s="1"/>
    </row>
    <row r="1147" ht="15.75" customHeight="1">
      <c r="A1147" s="2">
        <f>IFERROR(__xludf.DUMMYFUNCTION("""COMPUTED_VALUE"""),573000.0)</f>
        <v>573000</v>
      </c>
      <c r="B1147" s="2">
        <f>IFERROR(__xludf.DUMMYFUNCTION("""COMPUTED_VALUE"""),11460.0)</f>
        <v>11460</v>
      </c>
      <c r="C1147" s="66">
        <f>IFERROR(__xludf.DUMMYFUNCTION("""COMPUTED_VALUE"""),6.56085E9)</f>
        <v>6560850000</v>
      </c>
      <c r="D1147" s="1"/>
      <c r="E1147" s="1"/>
      <c r="F1147" s="1"/>
      <c r="G1147" s="1"/>
      <c r="H1147" s="1"/>
      <c r="I1147" s="1"/>
      <c r="J1147" s="1"/>
      <c r="K1147" s="1"/>
      <c r="L1147" s="1"/>
      <c r="M1147" s="1"/>
      <c r="N1147" s="1"/>
      <c r="O1147" s="1"/>
      <c r="P1147" s="1"/>
      <c r="Q1147" s="1"/>
      <c r="R1147" s="1"/>
      <c r="S1147" s="1"/>
      <c r="T1147" s="1"/>
      <c r="U1147" s="1"/>
      <c r="V1147" s="1"/>
      <c r="W1147" s="1"/>
      <c r="X1147" s="1"/>
      <c r="Y1147" s="1"/>
      <c r="Z1147" s="1"/>
    </row>
    <row r="1148" ht="15.75" customHeight="1">
      <c r="A1148" s="2">
        <f>IFERROR(__xludf.DUMMYFUNCTION("""COMPUTED_VALUE"""),573500.0)</f>
        <v>573500</v>
      </c>
      <c r="B1148" s="2">
        <f>IFERROR(__xludf.DUMMYFUNCTION("""COMPUTED_VALUE"""),11470.0)</f>
        <v>11470</v>
      </c>
      <c r="C1148" s="66">
        <f>IFERROR(__xludf.DUMMYFUNCTION("""COMPUTED_VALUE"""),6.57231E9)</f>
        <v>6572310000</v>
      </c>
      <c r="D1148" s="1"/>
      <c r="E1148" s="1"/>
      <c r="F1148" s="1"/>
      <c r="G1148" s="1"/>
      <c r="H1148" s="1"/>
      <c r="I1148" s="1"/>
      <c r="J1148" s="1"/>
      <c r="K1148" s="1"/>
      <c r="L1148" s="1"/>
      <c r="M1148" s="1"/>
      <c r="N1148" s="1"/>
      <c r="O1148" s="1"/>
      <c r="P1148" s="1"/>
      <c r="Q1148" s="1"/>
      <c r="R1148" s="1"/>
      <c r="S1148" s="1"/>
      <c r="T1148" s="1"/>
      <c r="U1148" s="1"/>
      <c r="V1148" s="1"/>
      <c r="W1148" s="1"/>
      <c r="X1148" s="1"/>
      <c r="Y1148" s="1"/>
      <c r="Z1148" s="1"/>
    </row>
    <row r="1149" ht="15.75" customHeight="1">
      <c r="A1149" s="2">
        <f>IFERROR(__xludf.DUMMYFUNCTION("""COMPUTED_VALUE"""),574000.0)</f>
        <v>574000</v>
      </c>
      <c r="B1149" s="2">
        <f>IFERROR(__xludf.DUMMYFUNCTION("""COMPUTED_VALUE"""),11480.0)</f>
        <v>11480</v>
      </c>
      <c r="C1149" s="66">
        <f>IFERROR(__xludf.DUMMYFUNCTION("""COMPUTED_VALUE"""),6.58378E9)</f>
        <v>6583780000</v>
      </c>
      <c r="D1149" s="1"/>
      <c r="E1149" s="1"/>
      <c r="F1149" s="1"/>
      <c r="G1149" s="1"/>
      <c r="H1149" s="1"/>
      <c r="I1149" s="1"/>
      <c r="J1149" s="1"/>
      <c r="K1149" s="1"/>
      <c r="L1149" s="1"/>
      <c r="M1149" s="1"/>
      <c r="N1149" s="1"/>
      <c r="O1149" s="1"/>
      <c r="P1149" s="1"/>
      <c r="Q1149" s="1"/>
      <c r="R1149" s="1"/>
      <c r="S1149" s="1"/>
      <c r="T1149" s="1"/>
      <c r="U1149" s="1"/>
      <c r="V1149" s="1"/>
      <c r="W1149" s="1"/>
      <c r="X1149" s="1"/>
      <c r="Y1149" s="1"/>
      <c r="Z1149" s="1"/>
    </row>
    <row r="1150" ht="15.75" customHeight="1">
      <c r="A1150" s="2">
        <f>IFERROR(__xludf.DUMMYFUNCTION("""COMPUTED_VALUE"""),574500.0)</f>
        <v>574500</v>
      </c>
      <c r="B1150" s="2">
        <f>IFERROR(__xludf.DUMMYFUNCTION("""COMPUTED_VALUE"""),11490.0)</f>
        <v>11490</v>
      </c>
      <c r="C1150" s="66">
        <f>IFERROR(__xludf.DUMMYFUNCTION("""COMPUTED_VALUE"""),6.59526E9)</f>
        <v>6595260000</v>
      </c>
      <c r="D1150" s="1"/>
      <c r="E1150" s="1"/>
      <c r="F1150" s="1"/>
      <c r="G1150" s="1"/>
      <c r="H1150" s="1"/>
      <c r="I1150" s="1"/>
      <c r="J1150" s="1"/>
      <c r="K1150" s="1"/>
      <c r="L1150" s="1"/>
      <c r="M1150" s="1"/>
      <c r="N1150" s="1"/>
      <c r="O1150" s="1"/>
      <c r="P1150" s="1"/>
      <c r="Q1150" s="1"/>
      <c r="R1150" s="1"/>
      <c r="S1150" s="1"/>
      <c r="T1150" s="1"/>
      <c r="U1150" s="1"/>
      <c r="V1150" s="1"/>
      <c r="W1150" s="1"/>
      <c r="X1150" s="1"/>
      <c r="Y1150" s="1"/>
      <c r="Z1150" s="1"/>
    </row>
    <row r="1151" ht="15.75" customHeight="1">
      <c r="A1151" s="2">
        <f>IFERROR(__xludf.DUMMYFUNCTION("""COMPUTED_VALUE"""),575000.0)</f>
        <v>575000</v>
      </c>
      <c r="B1151" s="2">
        <f>IFERROR(__xludf.DUMMYFUNCTION("""COMPUTED_VALUE"""),11500.0)</f>
        <v>11500</v>
      </c>
      <c r="C1151" s="66">
        <f>IFERROR(__xludf.DUMMYFUNCTION("""COMPUTED_VALUE"""),6.60675E9)</f>
        <v>6606750000</v>
      </c>
      <c r="D1151" s="1"/>
      <c r="E1151" s="1"/>
      <c r="F1151" s="1"/>
      <c r="G1151" s="1"/>
      <c r="H1151" s="1"/>
      <c r="I1151" s="1"/>
      <c r="J1151" s="1"/>
      <c r="K1151" s="1"/>
      <c r="L1151" s="1"/>
      <c r="M1151" s="1"/>
      <c r="N1151" s="1"/>
      <c r="O1151" s="1"/>
      <c r="P1151" s="1"/>
      <c r="Q1151" s="1"/>
      <c r="R1151" s="1"/>
      <c r="S1151" s="1"/>
      <c r="T1151" s="1"/>
      <c r="U1151" s="1"/>
      <c r="V1151" s="1"/>
      <c r="W1151" s="1"/>
      <c r="X1151" s="1"/>
      <c r="Y1151" s="1"/>
      <c r="Z1151" s="1"/>
    </row>
    <row r="1152" ht="15.75" customHeight="1">
      <c r="A1152" s="2">
        <f>IFERROR(__xludf.DUMMYFUNCTION("""COMPUTED_VALUE"""),575500.0)</f>
        <v>575500</v>
      </c>
      <c r="B1152" s="2">
        <f>IFERROR(__xludf.DUMMYFUNCTION("""COMPUTED_VALUE"""),11510.0)</f>
        <v>11510</v>
      </c>
      <c r="C1152" s="66">
        <f>IFERROR(__xludf.DUMMYFUNCTION("""COMPUTED_VALUE"""),6.61825E9)</f>
        <v>6618250000</v>
      </c>
      <c r="D1152" s="1"/>
      <c r="E1152" s="1"/>
      <c r="F1152" s="1"/>
      <c r="G1152" s="1"/>
      <c r="H1152" s="1"/>
      <c r="I1152" s="1"/>
      <c r="J1152" s="1"/>
      <c r="K1152" s="1"/>
      <c r="L1152" s="1"/>
      <c r="M1152" s="1"/>
      <c r="N1152" s="1"/>
      <c r="O1152" s="1"/>
      <c r="P1152" s="1"/>
      <c r="Q1152" s="1"/>
      <c r="R1152" s="1"/>
      <c r="S1152" s="1"/>
      <c r="T1152" s="1"/>
      <c r="U1152" s="1"/>
      <c r="V1152" s="1"/>
      <c r="W1152" s="1"/>
      <c r="X1152" s="1"/>
      <c r="Y1152" s="1"/>
      <c r="Z1152" s="1"/>
    </row>
    <row r="1153" ht="15.75" customHeight="1">
      <c r="A1153" s="2">
        <f>IFERROR(__xludf.DUMMYFUNCTION("""COMPUTED_VALUE"""),576000.0)</f>
        <v>576000</v>
      </c>
      <c r="B1153" s="2">
        <f>IFERROR(__xludf.DUMMYFUNCTION("""COMPUTED_VALUE"""),11520.0)</f>
        <v>11520</v>
      </c>
      <c r="C1153" s="66">
        <f>IFERROR(__xludf.DUMMYFUNCTION("""COMPUTED_VALUE"""),6.62976E9)</f>
        <v>6629760000</v>
      </c>
      <c r="D1153" s="1"/>
      <c r="E1153" s="1"/>
      <c r="F1153" s="1"/>
      <c r="G1153" s="1"/>
      <c r="H1153" s="1"/>
      <c r="I1153" s="1"/>
      <c r="J1153" s="1"/>
      <c r="K1153" s="1"/>
      <c r="L1153" s="1"/>
      <c r="M1153" s="1"/>
      <c r="N1153" s="1"/>
      <c r="O1153" s="1"/>
      <c r="P1153" s="1"/>
      <c r="Q1153" s="1"/>
      <c r="R1153" s="1"/>
      <c r="S1153" s="1"/>
      <c r="T1153" s="1"/>
      <c r="U1153" s="1"/>
      <c r="V1153" s="1"/>
      <c r="W1153" s="1"/>
      <c r="X1153" s="1"/>
      <c r="Y1153" s="1"/>
      <c r="Z1153" s="1"/>
    </row>
    <row r="1154" ht="15.75" customHeight="1">
      <c r="A1154" s="2">
        <f>IFERROR(__xludf.DUMMYFUNCTION("""COMPUTED_VALUE"""),576500.0)</f>
        <v>576500</v>
      </c>
      <c r="B1154" s="2">
        <f>IFERROR(__xludf.DUMMYFUNCTION("""COMPUTED_VALUE"""),11530.0)</f>
        <v>11530</v>
      </c>
      <c r="C1154" s="66">
        <f>IFERROR(__xludf.DUMMYFUNCTION("""COMPUTED_VALUE"""),6.64128E9)</f>
        <v>6641280000</v>
      </c>
      <c r="D1154" s="1"/>
      <c r="E1154" s="1"/>
      <c r="F1154" s="1"/>
      <c r="G1154" s="1"/>
      <c r="H1154" s="1"/>
      <c r="I1154" s="1"/>
      <c r="J1154" s="1"/>
      <c r="K1154" s="1"/>
      <c r="L1154" s="1"/>
      <c r="M1154" s="1"/>
      <c r="N1154" s="1"/>
      <c r="O1154" s="1"/>
      <c r="P1154" s="1"/>
      <c r="Q1154" s="1"/>
      <c r="R1154" s="1"/>
      <c r="S1154" s="1"/>
      <c r="T1154" s="1"/>
      <c r="U1154" s="1"/>
      <c r="V1154" s="1"/>
      <c r="W1154" s="1"/>
      <c r="X1154" s="1"/>
      <c r="Y1154" s="1"/>
      <c r="Z1154" s="1"/>
    </row>
    <row r="1155" ht="15.75" customHeight="1">
      <c r="A1155" s="2">
        <f>IFERROR(__xludf.DUMMYFUNCTION("""COMPUTED_VALUE"""),577000.0)</f>
        <v>577000</v>
      </c>
      <c r="B1155" s="2">
        <f>IFERROR(__xludf.DUMMYFUNCTION("""COMPUTED_VALUE"""),11540.0)</f>
        <v>11540</v>
      </c>
      <c r="C1155" s="66">
        <f>IFERROR(__xludf.DUMMYFUNCTION("""COMPUTED_VALUE"""),6.65281E9)</f>
        <v>6652810000</v>
      </c>
      <c r="D1155" s="1"/>
      <c r="E1155" s="1"/>
      <c r="F1155" s="1"/>
      <c r="G1155" s="1"/>
      <c r="H1155" s="1"/>
      <c r="I1155" s="1"/>
      <c r="J1155" s="1"/>
      <c r="K1155" s="1"/>
      <c r="L1155" s="1"/>
      <c r="M1155" s="1"/>
      <c r="N1155" s="1"/>
      <c r="O1155" s="1"/>
      <c r="P1155" s="1"/>
      <c r="Q1155" s="1"/>
      <c r="R1155" s="1"/>
      <c r="S1155" s="1"/>
      <c r="T1155" s="1"/>
      <c r="U1155" s="1"/>
      <c r="V1155" s="1"/>
      <c r="W1155" s="1"/>
      <c r="X1155" s="1"/>
      <c r="Y1155" s="1"/>
      <c r="Z1155" s="1"/>
    </row>
    <row r="1156" ht="15.75" customHeight="1">
      <c r="A1156" s="2">
        <f>IFERROR(__xludf.DUMMYFUNCTION("""COMPUTED_VALUE"""),577500.0)</f>
        <v>577500</v>
      </c>
      <c r="B1156" s="2">
        <f>IFERROR(__xludf.DUMMYFUNCTION("""COMPUTED_VALUE"""),11550.0)</f>
        <v>11550</v>
      </c>
      <c r="C1156" s="66">
        <f>IFERROR(__xludf.DUMMYFUNCTION("""COMPUTED_VALUE"""),6.66435E9)</f>
        <v>6664350000</v>
      </c>
      <c r="D1156" s="1"/>
      <c r="E1156" s="1"/>
      <c r="F1156" s="1"/>
      <c r="G1156" s="1"/>
      <c r="H1156" s="1"/>
      <c r="I1156" s="1"/>
      <c r="J1156" s="1"/>
      <c r="K1156" s="1"/>
      <c r="L1156" s="1"/>
      <c r="M1156" s="1"/>
      <c r="N1156" s="1"/>
      <c r="O1156" s="1"/>
      <c r="P1156" s="1"/>
      <c r="Q1156" s="1"/>
      <c r="R1156" s="1"/>
      <c r="S1156" s="1"/>
      <c r="T1156" s="1"/>
      <c r="U1156" s="1"/>
      <c r="V1156" s="1"/>
      <c r="W1156" s="1"/>
      <c r="X1156" s="1"/>
      <c r="Y1156" s="1"/>
      <c r="Z1156" s="1"/>
    </row>
    <row r="1157" ht="15.75" customHeight="1">
      <c r="A1157" s="2">
        <f>IFERROR(__xludf.DUMMYFUNCTION("""COMPUTED_VALUE"""),578000.0)</f>
        <v>578000</v>
      </c>
      <c r="B1157" s="2">
        <f>IFERROR(__xludf.DUMMYFUNCTION("""COMPUTED_VALUE"""),11560.0)</f>
        <v>11560</v>
      </c>
      <c r="C1157" s="66">
        <f>IFERROR(__xludf.DUMMYFUNCTION("""COMPUTED_VALUE"""),6.6759E9)</f>
        <v>6675900000</v>
      </c>
      <c r="D1157" s="1"/>
      <c r="E1157" s="1"/>
      <c r="F1157" s="1"/>
      <c r="G1157" s="1"/>
      <c r="H1157" s="1"/>
      <c r="I1157" s="1"/>
      <c r="J1157" s="1"/>
      <c r="K1157" s="1"/>
      <c r="L1157" s="1"/>
      <c r="M1157" s="1"/>
      <c r="N1157" s="1"/>
      <c r="O1157" s="1"/>
      <c r="P1157" s="1"/>
      <c r="Q1157" s="1"/>
      <c r="R1157" s="1"/>
      <c r="S1157" s="1"/>
      <c r="T1157" s="1"/>
      <c r="U1157" s="1"/>
      <c r="V1157" s="1"/>
      <c r="W1157" s="1"/>
      <c r="X1157" s="1"/>
      <c r="Y1157" s="1"/>
      <c r="Z1157" s="1"/>
    </row>
    <row r="1158" ht="15.75" customHeight="1">
      <c r="A1158" s="2">
        <f>IFERROR(__xludf.DUMMYFUNCTION("""COMPUTED_VALUE"""),578500.0)</f>
        <v>578500</v>
      </c>
      <c r="B1158" s="2">
        <f>IFERROR(__xludf.DUMMYFUNCTION("""COMPUTED_VALUE"""),11570.0)</f>
        <v>11570</v>
      </c>
      <c r="C1158" s="66">
        <f>IFERROR(__xludf.DUMMYFUNCTION("""COMPUTED_VALUE"""),6.68746E9)</f>
        <v>6687460000</v>
      </c>
      <c r="D1158" s="1"/>
      <c r="E1158" s="1"/>
      <c r="F1158" s="1"/>
      <c r="G1158" s="1"/>
      <c r="H1158" s="1"/>
      <c r="I1158" s="1"/>
      <c r="J1158" s="1"/>
      <c r="K1158" s="1"/>
      <c r="L1158" s="1"/>
      <c r="M1158" s="1"/>
      <c r="N1158" s="1"/>
      <c r="O1158" s="1"/>
      <c r="P1158" s="1"/>
      <c r="Q1158" s="1"/>
      <c r="R1158" s="1"/>
      <c r="S1158" s="1"/>
      <c r="T1158" s="1"/>
      <c r="U1158" s="1"/>
      <c r="V1158" s="1"/>
      <c r="W1158" s="1"/>
      <c r="X1158" s="1"/>
      <c r="Y1158" s="1"/>
      <c r="Z1158" s="1"/>
    </row>
    <row r="1159" ht="15.75" customHeight="1">
      <c r="A1159" s="2">
        <f>IFERROR(__xludf.DUMMYFUNCTION("""COMPUTED_VALUE"""),579000.0)</f>
        <v>579000</v>
      </c>
      <c r="B1159" s="2">
        <f>IFERROR(__xludf.DUMMYFUNCTION("""COMPUTED_VALUE"""),11580.0)</f>
        <v>11580</v>
      </c>
      <c r="C1159" s="66">
        <f>IFERROR(__xludf.DUMMYFUNCTION("""COMPUTED_VALUE"""),6.69903E9)</f>
        <v>6699030000</v>
      </c>
      <c r="D1159" s="1"/>
      <c r="E1159" s="1"/>
      <c r="F1159" s="1"/>
      <c r="G1159" s="1"/>
      <c r="H1159" s="1"/>
      <c r="I1159" s="1"/>
      <c r="J1159" s="1"/>
      <c r="K1159" s="1"/>
      <c r="L1159" s="1"/>
      <c r="M1159" s="1"/>
      <c r="N1159" s="1"/>
      <c r="O1159" s="1"/>
      <c r="P1159" s="1"/>
      <c r="Q1159" s="1"/>
      <c r="R1159" s="1"/>
      <c r="S1159" s="1"/>
      <c r="T1159" s="1"/>
      <c r="U1159" s="1"/>
      <c r="V1159" s="1"/>
      <c r="W1159" s="1"/>
      <c r="X1159" s="1"/>
      <c r="Y1159" s="1"/>
      <c r="Z1159" s="1"/>
    </row>
    <row r="1160" ht="15.75" customHeight="1">
      <c r="A1160" s="2">
        <f>IFERROR(__xludf.DUMMYFUNCTION("""COMPUTED_VALUE"""),579500.0)</f>
        <v>579500</v>
      </c>
      <c r="B1160" s="2">
        <f>IFERROR(__xludf.DUMMYFUNCTION("""COMPUTED_VALUE"""),11590.0)</f>
        <v>11590</v>
      </c>
      <c r="C1160" s="66">
        <f>IFERROR(__xludf.DUMMYFUNCTION("""COMPUTED_VALUE"""),6.71061E9)</f>
        <v>6710610000</v>
      </c>
      <c r="D1160" s="1"/>
      <c r="E1160" s="1"/>
      <c r="F1160" s="1"/>
      <c r="G1160" s="1"/>
      <c r="H1160" s="1"/>
      <c r="I1160" s="1"/>
      <c r="J1160" s="1"/>
      <c r="K1160" s="1"/>
      <c r="L1160" s="1"/>
      <c r="M1160" s="1"/>
      <c r="N1160" s="1"/>
      <c r="O1160" s="1"/>
      <c r="P1160" s="1"/>
      <c r="Q1160" s="1"/>
      <c r="R1160" s="1"/>
      <c r="S1160" s="1"/>
      <c r="T1160" s="1"/>
      <c r="U1160" s="1"/>
      <c r="V1160" s="1"/>
      <c r="W1160" s="1"/>
      <c r="X1160" s="1"/>
      <c r="Y1160" s="1"/>
      <c r="Z1160" s="1"/>
    </row>
    <row r="1161" ht="15.75" customHeight="1">
      <c r="A1161" s="2">
        <f>IFERROR(__xludf.DUMMYFUNCTION("""COMPUTED_VALUE"""),580000.0)</f>
        <v>580000</v>
      </c>
      <c r="B1161" s="2">
        <f>IFERROR(__xludf.DUMMYFUNCTION("""COMPUTED_VALUE"""),11600.0)</f>
        <v>11600</v>
      </c>
      <c r="C1161" s="66">
        <f>IFERROR(__xludf.DUMMYFUNCTION("""COMPUTED_VALUE"""),6.7222E9)</f>
        <v>6722200000</v>
      </c>
      <c r="D1161" s="1"/>
      <c r="E1161" s="1"/>
      <c r="F1161" s="1"/>
      <c r="G1161" s="1"/>
      <c r="H1161" s="1"/>
      <c r="I1161" s="1"/>
      <c r="J1161" s="1"/>
      <c r="K1161" s="1"/>
      <c r="L1161" s="1"/>
      <c r="M1161" s="1"/>
      <c r="N1161" s="1"/>
      <c r="O1161" s="1"/>
      <c r="P1161" s="1"/>
      <c r="Q1161" s="1"/>
      <c r="R1161" s="1"/>
      <c r="S1161" s="1"/>
      <c r="T1161" s="1"/>
      <c r="U1161" s="1"/>
      <c r="V1161" s="1"/>
      <c r="W1161" s="1"/>
      <c r="X1161" s="1"/>
      <c r="Y1161" s="1"/>
      <c r="Z1161" s="1"/>
    </row>
    <row r="1162" ht="15.75" customHeight="1">
      <c r="A1162" s="2">
        <f>IFERROR(__xludf.DUMMYFUNCTION("""COMPUTED_VALUE"""),580500.0)</f>
        <v>580500</v>
      </c>
      <c r="B1162" s="2">
        <f>IFERROR(__xludf.DUMMYFUNCTION("""COMPUTED_VALUE"""),11610.0)</f>
        <v>11610</v>
      </c>
      <c r="C1162" s="66">
        <f>IFERROR(__xludf.DUMMYFUNCTION("""COMPUTED_VALUE"""),6.7338E9)</f>
        <v>6733800000</v>
      </c>
      <c r="D1162" s="1"/>
      <c r="E1162" s="1"/>
      <c r="F1162" s="1"/>
      <c r="G1162" s="1"/>
      <c r="H1162" s="1"/>
      <c r="I1162" s="1"/>
      <c r="J1162" s="1"/>
      <c r="K1162" s="1"/>
      <c r="L1162" s="1"/>
      <c r="M1162" s="1"/>
      <c r="N1162" s="1"/>
      <c r="O1162" s="1"/>
      <c r="P1162" s="1"/>
      <c r="Q1162" s="1"/>
      <c r="R1162" s="1"/>
      <c r="S1162" s="1"/>
      <c r="T1162" s="1"/>
      <c r="U1162" s="1"/>
      <c r="V1162" s="1"/>
      <c r="W1162" s="1"/>
      <c r="X1162" s="1"/>
      <c r="Y1162" s="1"/>
      <c r="Z1162" s="1"/>
    </row>
    <row r="1163" ht="15.75" customHeight="1">
      <c r="A1163" s="2">
        <f>IFERROR(__xludf.DUMMYFUNCTION("""COMPUTED_VALUE"""),581000.0)</f>
        <v>581000</v>
      </c>
      <c r="B1163" s="2">
        <f>IFERROR(__xludf.DUMMYFUNCTION("""COMPUTED_VALUE"""),11620.0)</f>
        <v>11620</v>
      </c>
      <c r="C1163" s="66">
        <f>IFERROR(__xludf.DUMMYFUNCTION("""COMPUTED_VALUE"""),6.74541E9)</f>
        <v>6745410000</v>
      </c>
      <c r="D1163" s="1"/>
      <c r="E1163" s="1"/>
      <c r="F1163" s="1"/>
      <c r="G1163" s="1"/>
      <c r="H1163" s="1"/>
      <c r="I1163" s="1"/>
      <c r="J1163" s="1"/>
      <c r="K1163" s="1"/>
      <c r="L1163" s="1"/>
      <c r="M1163" s="1"/>
      <c r="N1163" s="1"/>
      <c r="O1163" s="1"/>
      <c r="P1163" s="1"/>
      <c r="Q1163" s="1"/>
      <c r="R1163" s="1"/>
      <c r="S1163" s="1"/>
      <c r="T1163" s="1"/>
      <c r="U1163" s="1"/>
      <c r="V1163" s="1"/>
      <c r="W1163" s="1"/>
      <c r="X1163" s="1"/>
      <c r="Y1163" s="1"/>
      <c r="Z1163" s="1"/>
    </row>
    <row r="1164" ht="15.75" customHeight="1">
      <c r="A1164" s="2">
        <f>IFERROR(__xludf.DUMMYFUNCTION("""COMPUTED_VALUE"""),581500.0)</f>
        <v>581500</v>
      </c>
      <c r="B1164" s="2">
        <f>IFERROR(__xludf.DUMMYFUNCTION("""COMPUTED_VALUE"""),11630.0)</f>
        <v>11630</v>
      </c>
      <c r="C1164" s="66">
        <f>IFERROR(__xludf.DUMMYFUNCTION("""COMPUTED_VALUE"""),6.75703E9)</f>
        <v>6757030000</v>
      </c>
      <c r="D1164" s="1"/>
      <c r="E1164" s="1"/>
      <c r="F1164" s="1"/>
      <c r="G1164" s="1"/>
      <c r="H1164" s="1"/>
      <c r="I1164" s="1"/>
      <c r="J1164" s="1"/>
      <c r="K1164" s="1"/>
      <c r="L1164" s="1"/>
      <c r="M1164" s="1"/>
      <c r="N1164" s="1"/>
      <c r="O1164" s="1"/>
      <c r="P1164" s="1"/>
      <c r="Q1164" s="1"/>
      <c r="R1164" s="1"/>
      <c r="S1164" s="1"/>
      <c r="T1164" s="1"/>
      <c r="U1164" s="1"/>
      <c r="V1164" s="1"/>
      <c r="W1164" s="1"/>
      <c r="X1164" s="1"/>
      <c r="Y1164" s="1"/>
      <c r="Z1164" s="1"/>
    </row>
    <row r="1165" ht="15.75" customHeight="1">
      <c r="A1165" s="2">
        <f>IFERROR(__xludf.DUMMYFUNCTION("""COMPUTED_VALUE"""),582000.0)</f>
        <v>582000</v>
      </c>
      <c r="B1165" s="2">
        <f>IFERROR(__xludf.DUMMYFUNCTION("""COMPUTED_VALUE"""),11640.0)</f>
        <v>11640</v>
      </c>
      <c r="C1165" s="66">
        <f>IFERROR(__xludf.DUMMYFUNCTION("""COMPUTED_VALUE"""),6.76866E9)</f>
        <v>6768660000</v>
      </c>
      <c r="D1165" s="1"/>
      <c r="E1165" s="1"/>
      <c r="F1165" s="1"/>
      <c r="G1165" s="1"/>
      <c r="H1165" s="1"/>
      <c r="I1165" s="1"/>
      <c r="J1165" s="1"/>
      <c r="K1165" s="1"/>
      <c r="L1165" s="1"/>
      <c r="M1165" s="1"/>
      <c r="N1165" s="1"/>
      <c r="O1165" s="1"/>
      <c r="P1165" s="1"/>
      <c r="Q1165" s="1"/>
      <c r="R1165" s="1"/>
      <c r="S1165" s="1"/>
      <c r="T1165" s="1"/>
      <c r="U1165" s="1"/>
      <c r="V1165" s="1"/>
      <c r="W1165" s="1"/>
      <c r="X1165" s="1"/>
      <c r="Y1165" s="1"/>
      <c r="Z1165" s="1"/>
    </row>
    <row r="1166" ht="15.75" customHeight="1">
      <c r="A1166" s="2">
        <f>IFERROR(__xludf.DUMMYFUNCTION("""COMPUTED_VALUE"""),582500.0)</f>
        <v>582500</v>
      </c>
      <c r="B1166" s="2">
        <f>IFERROR(__xludf.DUMMYFUNCTION("""COMPUTED_VALUE"""),11650.0)</f>
        <v>11650</v>
      </c>
      <c r="C1166" s="66">
        <f>IFERROR(__xludf.DUMMYFUNCTION("""COMPUTED_VALUE"""),6.7803E9)</f>
        <v>6780300000</v>
      </c>
      <c r="D1166" s="1"/>
      <c r="E1166" s="1"/>
      <c r="F1166" s="1"/>
      <c r="G1166" s="1"/>
      <c r="H1166" s="1"/>
      <c r="I1166" s="1"/>
      <c r="J1166" s="1"/>
      <c r="K1166" s="1"/>
      <c r="L1166" s="1"/>
      <c r="M1166" s="1"/>
      <c r="N1166" s="1"/>
      <c r="O1166" s="1"/>
      <c r="P1166" s="1"/>
      <c r="Q1166" s="1"/>
      <c r="R1166" s="1"/>
      <c r="S1166" s="1"/>
      <c r="T1166" s="1"/>
      <c r="U1166" s="1"/>
      <c r="V1166" s="1"/>
      <c r="W1166" s="1"/>
      <c r="X1166" s="1"/>
      <c r="Y1166" s="1"/>
      <c r="Z1166" s="1"/>
    </row>
    <row r="1167" ht="15.75" customHeight="1">
      <c r="A1167" s="2">
        <f>IFERROR(__xludf.DUMMYFUNCTION("""COMPUTED_VALUE"""),583000.0)</f>
        <v>583000</v>
      </c>
      <c r="B1167" s="2">
        <f>IFERROR(__xludf.DUMMYFUNCTION("""COMPUTED_VALUE"""),11660.0)</f>
        <v>11660</v>
      </c>
      <c r="C1167" s="66">
        <f>IFERROR(__xludf.DUMMYFUNCTION("""COMPUTED_VALUE"""),6.79195E9)</f>
        <v>6791950000</v>
      </c>
      <c r="D1167" s="1"/>
      <c r="E1167" s="1"/>
      <c r="F1167" s="1"/>
      <c r="G1167" s="1"/>
      <c r="H1167" s="1"/>
      <c r="I1167" s="1"/>
      <c r="J1167" s="1"/>
      <c r="K1167" s="1"/>
      <c r="L1167" s="1"/>
      <c r="M1167" s="1"/>
      <c r="N1167" s="1"/>
      <c r="O1167" s="1"/>
      <c r="P1167" s="1"/>
      <c r="Q1167" s="1"/>
      <c r="R1167" s="1"/>
      <c r="S1167" s="1"/>
      <c r="T1167" s="1"/>
      <c r="U1167" s="1"/>
      <c r="V1167" s="1"/>
      <c r="W1167" s="1"/>
      <c r="X1167" s="1"/>
      <c r="Y1167" s="1"/>
      <c r="Z1167" s="1"/>
    </row>
    <row r="1168" ht="15.75" customHeight="1">
      <c r="A1168" s="2">
        <f>IFERROR(__xludf.DUMMYFUNCTION("""COMPUTED_VALUE"""),583500.0)</f>
        <v>583500</v>
      </c>
      <c r="B1168" s="2">
        <f>IFERROR(__xludf.DUMMYFUNCTION("""COMPUTED_VALUE"""),11670.0)</f>
        <v>11670</v>
      </c>
      <c r="C1168" s="66">
        <f>IFERROR(__xludf.DUMMYFUNCTION("""COMPUTED_VALUE"""),6.80361E9)</f>
        <v>6803610000</v>
      </c>
      <c r="D1168" s="1"/>
      <c r="E1168" s="1"/>
      <c r="F1168" s="1"/>
      <c r="G1168" s="1"/>
      <c r="H1168" s="1"/>
      <c r="I1168" s="1"/>
      <c r="J1168" s="1"/>
      <c r="K1168" s="1"/>
      <c r="L1168" s="1"/>
      <c r="M1168" s="1"/>
      <c r="N1168" s="1"/>
      <c r="O1168" s="1"/>
      <c r="P1168" s="1"/>
      <c r="Q1168" s="1"/>
      <c r="R1168" s="1"/>
      <c r="S1168" s="1"/>
      <c r="T1168" s="1"/>
      <c r="U1168" s="1"/>
      <c r="V1168" s="1"/>
      <c r="W1168" s="1"/>
      <c r="X1168" s="1"/>
      <c r="Y1168" s="1"/>
      <c r="Z1168" s="1"/>
    </row>
    <row r="1169" ht="15.75" customHeight="1">
      <c r="A1169" s="2">
        <f>IFERROR(__xludf.DUMMYFUNCTION("""COMPUTED_VALUE"""),584000.0)</f>
        <v>584000</v>
      </c>
      <c r="B1169" s="2">
        <f>IFERROR(__xludf.DUMMYFUNCTION("""COMPUTED_VALUE"""),11680.0)</f>
        <v>11680</v>
      </c>
      <c r="C1169" s="66">
        <f>IFERROR(__xludf.DUMMYFUNCTION("""COMPUTED_VALUE"""),6.81528E9)</f>
        <v>6815280000</v>
      </c>
      <c r="D1169" s="1"/>
      <c r="E1169" s="1"/>
      <c r="F1169" s="1"/>
      <c r="G1169" s="1"/>
      <c r="H1169" s="1"/>
      <c r="I1169" s="1"/>
      <c r="J1169" s="1"/>
      <c r="K1169" s="1"/>
      <c r="L1169" s="1"/>
      <c r="M1169" s="1"/>
      <c r="N1169" s="1"/>
      <c r="O1169" s="1"/>
      <c r="P1169" s="1"/>
      <c r="Q1169" s="1"/>
      <c r="R1169" s="1"/>
      <c r="S1169" s="1"/>
      <c r="T1169" s="1"/>
      <c r="U1169" s="1"/>
      <c r="V1169" s="1"/>
      <c r="W1169" s="1"/>
      <c r="X1169" s="1"/>
      <c r="Y1169" s="1"/>
      <c r="Z1169" s="1"/>
    </row>
    <row r="1170" ht="15.75" customHeight="1">
      <c r="A1170" s="2">
        <f>IFERROR(__xludf.DUMMYFUNCTION("""COMPUTED_VALUE"""),584500.0)</f>
        <v>584500</v>
      </c>
      <c r="B1170" s="2">
        <f>IFERROR(__xludf.DUMMYFUNCTION("""COMPUTED_VALUE"""),11690.0)</f>
        <v>11690</v>
      </c>
      <c r="C1170" s="66">
        <f>IFERROR(__xludf.DUMMYFUNCTION("""COMPUTED_VALUE"""),6.82696E9)</f>
        <v>6826960000</v>
      </c>
      <c r="D1170" s="1"/>
      <c r="E1170" s="1"/>
      <c r="F1170" s="1"/>
      <c r="G1170" s="1"/>
      <c r="H1170" s="1"/>
      <c r="I1170" s="1"/>
      <c r="J1170" s="1"/>
      <c r="K1170" s="1"/>
      <c r="L1170" s="1"/>
      <c r="M1170" s="1"/>
      <c r="N1170" s="1"/>
      <c r="O1170" s="1"/>
      <c r="P1170" s="1"/>
      <c r="Q1170" s="1"/>
      <c r="R1170" s="1"/>
      <c r="S1170" s="1"/>
      <c r="T1170" s="1"/>
      <c r="U1170" s="1"/>
      <c r="V1170" s="1"/>
      <c r="W1170" s="1"/>
      <c r="X1170" s="1"/>
      <c r="Y1170" s="1"/>
      <c r="Z1170" s="1"/>
    </row>
    <row r="1171" ht="15.75" customHeight="1">
      <c r="A1171" s="2">
        <f>IFERROR(__xludf.DUMMYFUNCTION("""COMPUTED_VALUE"""),585000.0)</f>
        <v>585000</v>
      </c>
      <c r="B1171" s="2">
        <f>IFERROR(__xludf.DUMMYFUNCTION("""COMPUTED_VALUE"""),11700.0)</f>
        <v>11700</v>
      </c>
      <c r="C1171" s="66">
        <f>IFERROR(__xludf.DUMMYFUNCTION("""COMPUTED_VALUE"""),6.83865E9)</f>
        <v>6838650000</v>
      </c>
      <c r="D1171" s="1"/>
      <c r="E1171" s="1"/>
      <c r="F1171" s="1"/>
      <c r="G1171" s="1"/>
      <c r="H1171" s="1"/>
      <c r="I1171" s="1"/>
      <c r="J1171" s="1"/>
      <c r="K1171" s="1"/>
      <c r="L1171" s="1"/>
      <c r="M1171" s="1"/>
      <c r="N1171" s="1"/>
      <c r="O1171" s="1"/>
      <c r="P1171" s="1"/>
      <c r="Q1171" s="1"/>
      <c r="R1171" s="1"/>
      <c r="S1171" s="1"/>
      <c r="T1171" s="1"/>
      <c r="U1171" s="1"/>
      <c r="V1171" s="1"/>
      <c r="W1171" s="1"/>
      <c r="X1171" s="1"/>
      <c r="Y1171" s="1"/>
      <c r="Z1171" s="1"/>
    </row>
    <row r="1172" ht="15.75" customHeight="1">
      <c r="A1172" s="2">
        <f>IFERROR(__xludf.DUMMYFUNCTION("""COMPUTED_VALUE"""),585500.0)</f>
        <v>585500</v>
      </c>
      <c r="B1172" s="2">
        <f>IFERROR(__xludf.DUMMYFUNCTION("""COMPUTED_VALUE"""),11710.0)</f>
        <v>11710</v>
      </c>
      <c r="C1172" s="66">
        <f>IFERROR(__xludf.DUMMYFUNCTION("""COMPUTED_VALUE"""),6.85035E9)</f>
        <v>6850350000</v>
      </c>
      <c r="D1172" s="1"/>
      <c r="E1172" s="1"/>
      <c r="F1172" s="1"/>
      <c r="G1172" s="1"/>
      <c r="H1172" s="1"/>
      <c r="I1172" s="1"/>
      <c r="J1172" s="1"/>
      <c r="K1172" s="1"/>
      <c r="L1172" s="1"/>
      <c r="M1172" s="1"/>
      <c r="N1172" s="1"/>
      <c r="O1172" s="1"/>
      <c r="P1172" s="1"/>
      <c r="Q1172" s="1"/>
      <c r="R1172" s="1"/>
      <c r="S1172" s="1"/>
      <c r="T1172" s="1"/>
      <c r="U1172" s="1"/>
      <c r="V1172" s="1"/>
      <c r="W1172" s="1"/>
      <c r="X1172" s="1"/>
      <c r="Y1172" s="1"/>
      <c r="Z1172" s="1"/>
    </row>
    <row r="1173" ht="15.75" customHeight="1">
      <c r="A1173" s="2">
        <f>IFERROR(__xludf.DUMMYFUNCTION("""COMPUTED_VALUE"""),586000.0)</f>
        <v>586000</v>
      </c>
      <c r="B1173" s="2">
        <f>IFERROR(__xludf.DUMMYFUNCTION("""COMPUTED_VALUE"""),11720.0)</f>
        <v>11720</v>
      </c>
      <c r="C1173" s="66">
        <f>IFERROR(__xludf.DUMMYFUNCTION("""COMPUTED_VALUE"""),6.86206E9)</f>
        <v>6862060000</v>
      </c>
      <c r="D1173" s="1"/>
      <c r="E1173" s="1"/>
      <c r="F1173" s="1"/>
      <c r="G1173" s="1"/>
      <c r="H1173" s="1"/>
      <c r="I1173" s="1"/>
      <c r="J1173" s="1"/>
      <c r="K1173" s="1"/>
      <c r="L1173" s="1"/>
      <c r="M1173" s="1"/>
      <c r="N1173" s="1"/>
      <c r="O1173" s="1"/>
      <c r="P1173" s="1"/>
      <c r="Q1173" s="1"/>
      <c r="R1173" s="1"/>
      <c r="S1173" s="1"/>
      <c r="T1173" s="1"/>
      <c r="U1173" s="1"/>
      <c r="V1173" s="1"/>
      <c r="W1173" s="1"/>
      <c r="X1173" s="1"/>
      <c r="Y1173" s="1"/>
      <c r="Z1173" s="1"/>
    </row>
    <row r="1174" ht="15.75" customHeight="1">
      <c r="A1174" s="2">
        <f>IFERROR(__xludf.DUMMYFUNCTION("""COMPUTED_VALUE"""),586500.0)</f>
        <v>586500</v>
      </c>
      <c r="B1174" s="2">
        <f>IFERROR(__xludf.DUMMYFUNCTION("""COMPUTED_VALUE"""),11730.0)</f>
        <v>11730</v>
      </c>
      <c r="C1174" s="66">
        <f>IFERROR(__xludf.DUMMYFUNCTION("""COMPUTED_VALUE"""),6.87378E9)</f>
        <v>6873780000</v>
      </c>
      <c r="D1174" s="1"/>
      <c r="E1174" s="1"/>
      <c r="F1174" s="1"/>
      <c r="G1174" s="1"/>
      <c r="H1174" s="1"/>
      <c r="I1174" s="1"/>
      <c r="J1174" s="1"/>
      <c r="K1174" s="1"/>
      <c r="L1174" s="1"/>
      <c r="M1174" s="1"/>
      <c r="N1174" s="1"/>
      <c r="O1174" s="1"/>
      <c r="P1174" s="1"/>
      <c r="Q1174" s="1"/>
      <c r="R1174" s="1"/>
      <c r="S1174" s="1"/>
      <c r="T1174" s="1"/>
      <c r="U1174" s="1"/>
      <c r="V1174" s="1"/>
      <c r="W1174" s="1"/>
      <c r="X1174" s="1"/>
      <c r="Y1174" s="1"/>
      <c r="Z1174" s="1"/>
    </row>
    <row r="1175" ht="15.75" customHeight="1">
      <c r="A1175" s="2">
        <f>IFERROR(__xludf.DUMMYFUNCTION("""COMPUTED_VALUE"""),587000.0)</f>
        <v>587000</v>
      </c>
      <c r="B1175" s="2">
        <f>IFERROR(__xludf.DUMMYFUNCTION("""COMPUTED_VALUE"""),11740.0)</f>
        <v>11740</v>
      </c>
      <c r="C1175" s="66">
        <f>IFERROR(__xludf.DUMMYFUNCTION("""COMPUTED_VALUE"""),6.88551E9)</f>
        <v>6885510000</v>
      </c>
      <c r="D1175" s="1"/>
      <c r="E1175" s="1"/>
      <c r="F1175" s="1"/>
      <c r="G1175" s="1"/>
      <c r="H1175" s="1"/>
      <c r="I1175" s="1"/>
      <c r="J1175" s="1"/>
      <c r="K1175" s="1"/>
      <c r="L1175" s="1"/>
      <c r="M1175" s="1"/>
      <c r="N1175" s="1"/>
      <c r="O1175" s="1"/>
      <c r="P1175" s="1"/>
      <c r="Q1175" s="1"/>
      <c r="R1175" s="1"/>
      <c r="S1175" s="1"/>
      <c r="T1175" s="1"/>
      <c r="U1175" s="1"/>
      <c r="V1175" s="1"/>
      <c r="W1175" s="1"/>
      <c r="X1175" s="1"/>
      <c r="Y1175" s="1"/>
      <c r="Z1175" s="1"/>
    </row>
    <row r="1176" ht="15.75" customHeight="1">
      <c r="A1176" s="2">
        <f>IFERROR(__xludf.DUMMYFUNCTION("""COMPUTED_VALUE"""),587500.0)</f>
        <v>587500</v>
      </c>
      <c r="B1176" s="2">
        <f>IFERROR(__xludf.DUMMYFUNCTION("""COMPUTED_VALUE"""),11750.0)</f>
        <v>11750</v>
      </c>
      <c r="C1176" s="66">
        <f>IFERROR(__xludf.DUMMYFUNCTION("""COMPUTED_VALUE"""),6.89725E9)</f>
        <v>6897250000</v>
      </c>
      <c r="D1176" s="1"/>
      <c r="E1176" s="1"/>
      <c r="F1176" s="1"/>
      <c r="G1176" s="1"/>
      <c r="H1176" s="1"/>
      <c r="I1176" s="1"/>
      <c r="J1176" s="1"/>
      <c r="K1176" s="1"/>
      <c r="L1176" s="1"/>
      <c r="M1176" s="1"/>
      <c r="N1176" s="1"/>
      <c r="O1176" s="1"/>
      <c r="P1176" s="1"/>
      <c r="Q1176" s="1"/>
      <c r="R1176" s="1"/>
      <c r="S1176" s="1"/>
      <c r="T1176" s="1"/>
      <c r="U1176" s="1"/>
      <c r="V1176" s="1"/>
      <c r="W1176" s="1"/>
      <c r="X1176" s="1"/>
      <c r="Y1176" s="1"/>
      <c r="Z1176" s="1"/>
    </row>
    <row r="1177" ht="15.75" customHeight="1">
      <c r="A1177" s="2">
        <f>IFERROR(__xludf.DUMMYFUNCTION("""COMPUTED_VALUE"""),588000.0)</f>
        <v>588000</v>
      </c>
      <c r="B1177" s="2">
        <f>IFERROR(__xludf.DUMMYFUNCTION("""COMPUTED_VALUE"""),11760.0)</f>
        <v>11760</v>
      </c>
      <c r="C1177" s="66">
        <f>IFERROR(__xludf.DUMMYFUNCTION("""COMPUTED_VALUE"""),6.909E9)</f>
        <v>6909000000</v>
      </c>
      <c r="D1177" s="1"/>
      <c r="E1177" s="1"/>
      <c r="F1177" s="1"/>
      <c r="G1177" s="1"/>
      <c r="H1177" s="1"/>
      <c r="I1177" s="1"/>
      <c r="J1177" s="1"/>
      <c r="K1177" s="1"/>
      <c r="L1177" s="1"/>
      <c r="M1177" s="1"/>
      <c r="N1177" s="1"/>
      <c r="O1177" s="1"/>
      <c r="P1177" s="1"/>
      <c r="Q1177" s="1"/>
      <c r="R1177" s="1"/>
      <c r="S1177" s="1"/>
      <c r="T1177" s="1"/>
      <c r="U1177" s="1"/>
      <c r="V1177" s="1"/>
      <c r="W1177" s="1"/>
      <c r="X1177" s="1"/>
      <c r="Y1177" s="1"/>
      <c r="Z1177" s="1"/>
    </row>
    <row r="1178" ht="15.75" customHeight="1">
      <c r="A1178" s="2">
        <f>IFERROR(__xludf.DUMMYFUNCTION("""COMPUTED_VALUE"""),588500.0)</f>
        <v>588500</v>
      </c>
      <c r="B1178" s="2">
        <f>IFERROR(__xludf.DUMMYFUNCTION("""COMPUTED_VALUE"""),11770.0)</f>
        <v>11770</v>
      </c>
      <c r="C1178" s="66">
        <f>IFERROR(__xludf.DUMMYFUNCTION("""COMPUTED_VALUE"""),6.92076E9)</f>
        <v>6920760000</v>
      </c>
      <c r="D1178" s="1"/>
      <c r="E1178" s="1"/>
      <c r="F1178" s="1"/>
      <c r="G1178" s="1"/>
      <c r="H1178" s="1"/>
      <c r="I1178" s="1"/>
      <c r="J1178" s="1"/>
      <c r="K1178" s="1"/>
      <c r="L1178" s="1"/>
      <c r="M1178" s="1"/>
      <c r="N1178" s="1"/>
      <c r="O1178" s="1"/>
      <c r="P1178" s="1"/>
      <c r="Q1178" s="1"/>
      <c r="R1178" s="1"/>
      <c r="S1178" s="1"/>
      <c r="T1178" s="1"/>
      <c r="U1178" s="1"/>
      <c r="V1178" s="1"/>
      <c r="W1178" s="1"/>
      <c r="X1178" s="1"/>
      <c r="Y1178" s="1"/>
      <c r="Z1178" s="1"/>
    </row>
    <row r="1179" ht="15.75" customHeight="1">
      <c r="A1179" s="2">
        <f>IFERROR(__xludf.DUMMYFUNCTION("""COMPUTED_VALUE"""),589000.0)</f>
        <v>589000</v>
      </c>
      <c r="B1179" s="2">
        <f>IFERROR(__xludf.DUMMYFUNCTION("""COMPUTED_VALUE"""),11780.0)</f>
        <v>11780</v>
      </c>
      <c r="C1179" s="66">
        <f>IFERROR(__xludf.DUMMYFUNCTION("""COMPUTED_VALUE"""),6.93253E9)</f>
        <v>6932530000</v>
      </c>
      <c r="D1179" s="1"/>
      <c r="E1179" s="1"/>
      <c r="F1179" s="1"/>
      <c r="G1179" s="1"/>
      <c r="H1179" s="1"/>
      <c r="I1179" s="1"/>
      <c r="J1179" s="1"/>
      <c r="K1179" s="1"/>
      <c r="L1179" s="1"/>
      <c r="M1179" s="1"/>
      <c r="N1179" s="1"/>
      <c r="O1179" s="1"/>
      <c r="P1179" s="1"/>
      <c r="Q1179" s="1"/>
      <c r="R1179" s="1"/>
      <c r="S1179" s="1"/>
      <c r="T1179" s="1"/>
      <c r="U1179" s="1"/>
      <c r="V1179" s="1"/>
      <c r="W1179" s="1"/>
      <c r="X1179" s="1"/>
      <c r="Y1179" s="1"/>
      <c r="Z1179" s="1"/>
    </row>
    <row r="1180" ht="15.75" customHeight="1">
      <c r="A1180" s="2">
        <f>IFERROR(__xludf.DUMMYFUNCTION("""COMPUTED_VALUE"""),589500.0)</f>
        <v>589500</v>
      </c>
      <c r="B1180" s="2">
        <f>IFERROR(__xludf.DUMMYFUNCTION("""COMPUTED_VALUE"""),11790.0)</f>
        <v>11790</v>
      </c>
      <c r="C1180" s="66">
        <f>IFERROR(__xludf.DUMMYFUNCTION("""COMPUTED_VALUE"""),6.94431E9)</f>
        <v>6944310000</v>
      </c>
      <c r="D1180" s="1"/>
      <c r="E1180" s="1"/>
      <c r="F1180" s="1"/>
      <c r="G1180" s="1"/>
      <c r="H1180" s="1"/>
      <c r="I1180" s="1"/>
      <c r="J1180" s="1"/>
      <c r="K1180" s="1"/>
      <c r="L1180" s="1"/>
      <c r="M1180" s="1"/>
      <c r="N1180" s="1"/>
      <c r="O1180" s="1"/>
      <c r="P1180" s="1"/>
      <c r="Q1180" s="1"/>
      <c r="R1180" s="1"/>
      <c r="S1180" s="1"/>
      <c r="T1180" s="1"/>
      <c r="U1180" s="1"/>
      <c r="V1180" s="1"/>
      <c r="W1180" s="1"/>
      <c r="X1180" s="1"/>
      <c r="Y1180" s="1"/>
      <c r="Z1180" s="1"/>
    </row>
    <row r="1181" ht="15.75" customHeight="1">
      <c r="A1181" s="2">
        <f>IFERROR(__xludf.DUMMYFUNCTION("""COMPUTED_VALUE"""),590000.0)</f>
        <v>590000</v>
      </c>
      <c r="B1181" s="2">
        <f>IFERROR(__xludf.DUMMYFUNCTION("""COMPUTED_VALUE"""),11800.0)</f>
        <v>11800</v>
      </c>
      <c r="C1181" s="66">
        <f>IFERROR(__xludf.DUMMYFUNCTION("""COMPUTED_VALUE"""),6.9561E9)</f>
        <v>6956100000</v>
      </c>
      <c r="D1181" s="1"/>
      <c r="E1181" s="1"/>
      <c r="F1181" s="1"/>
      <c r="G1181" s="1"/>
      <c r="H1181" s="1"/>
      <c r="I1181" s="1"/>
      <c r="J1181" s="1"/>
      <c r="K1181" s="1"/>
      <c r="L1181" s="1"/>
      <c r="M1181" s="1"/>
      <c r="N1181" s="1"/>
      <c r="O1181" s="1"/>
      <c r="P1181" s="1"/>
      <c r="Q1181" s="1"/>
      <c r="R1181" s="1"/>
      <c r="S1181" s="1"/>
      <c r="T1181" s="1"/>
      <c r="U1181" s="1"/>
      <c r="V1181" s="1"/>
      <c r="W1181" s="1"/>
      <c r="X1181" s="1"/>
      <c r="Y1181" s="1"/>
      <c r="Z1181" s="1"/>
    </row>
    <row r="1182" ht="15.75" customHeight="1">
      <c r="A1182" s="2">
        <f>IFERROR(__xludf.DUMMYFUNCTION("""COMPUTED_VALUE"""),590500.0)</f>
        <v>590500</v>
      </c>
      <c r="B1182" s="2">
        <f>IFERROR(__xludf.DUMMYFUNCTION("""COMPUTED_VALUE"""),11810.0)</f>
        <v>11810</v>
      </c>
      <c r="C1182" s="66">
        <f>IFERROR(__xludf.DUMMYFUNCTION("""COMPUTED_VALUE"""),6.9679E9)</f>
        <v>6967900000</v>
      </c>
      <c r="D1182" s="1"/>
      <c r="E1182" s="1"/>
      <c r="F1182" s="1"/>
      <c r="G1182" s="1"/>
      <c r="H1182" s="1"/>
      <c r="I1182" s="1"/>
      <c r="J1182" s="1"/>
      <c r="K1182" s="1"/>
      <c r="L1182" s="1"/>
      <c r="M1182" s="1"/>
      <c r="N1182" s="1"/>
      <c r="O1182" s="1"/>
      <c r="P1182" s="1"/>
      <c r="Q1182" s="1"/>
      <c r="R1182" s="1"/>
      <c r="S1182" s="1"/>
      <c r="T1182" s="1"/>
      <c r="U1182" s="1"/>
      <c r="V1182" s="1"/>
      <c r="W1182" s="1"/>
      <c r="X1182" s="1"/>
      <c r="Y1182" s="1"/>
      <c r="Z1182" s="1"/>
    </row>
    <row r="1183" ht="15.75" customHeight="1">
      <c r="A1183" s="2">
        <f>IFERROR(__xludf.DUMMYFUNCTION("""COMPUTED_VALUE"""),591000.0)</f>
        <v>591000</v>
      </c>
      <c r="B1183" s="2">
        <f>IFERROR(__xludf.DUMMYFUNCTION("""COMPUTED_VALUE"""),11820.0)</f>
        <v>11820</v>
      </c>
      <c r="C1183" s="66">
        <f>IFERROR(__xludf.DUMMYFUNCTION("""COMPUTED_VALUE"""),6.97971E9)</f>
        <v>6979710000</v>
      </c>
      <c r="D1183" s="1"/>
      <c r="E1183" s="1"/>
      <c r="F1183" s="1"/>
      <c r="G1183" s="1"/>
      <c r="H1183" s="1"/>
      <c r="I1183" s="1"/>
      <c r="J1183" s="1"/>
      <c r="K1183" s="1"/>
      <c r="L1183" s="1"/>
      <c r="M1183" s="1"/>
      <c r="N1183" s="1"/>
      <c r="O1183" s="1"/>
      <c r="P1183" s="1"/>
      <c r="Q1183" s="1"/>
      <c r="R1183" s="1"/>
      <c r="S1183" s="1"/>
      <c r="T1183" s="1"/>
      <c r="U1183" s="1"/>
      <c r="V1183" s="1"/>
      <c r="W1183" s="1"/>
      <c r="X1183" s="1"/>
      <c r="Y1183" s="1"/>
      <c r="Z1183" s="1"/>
    </row>
    <row r="1184" ht="15.75" customHeight="1">
      <c r="A1184" s="2">
        <f>IFERROR(__xludf.DUMMYFUNCTION("""COMPUTED_VALUE"""),591500.0)</f>
        <v>591500</v>
      </c>
      <c r="B1184" s="2">
        <f>IFERROR(__xludf.DUMMYFUNCTION("""COMPUTED_VALUE"""),11830.0)</f>
        <v>11830</v>
      </c>
      <c r="C1184" s="66">
        <f>IFERROR(__xludf.DUMMYFUNCTION("""COMPUTED_VALUE"""),6.99153E9)</f>
        <v>6991530000</v>
      </c>
      <c r="D1184" s="1"/>
      <c r="E1184" s="1"/>
      <c r="F1184" s="1"/>
      <c r="G1184" s="1"/>
      <c r="H1184" s="1"/>
      <c r="I1184" s="1"/>
      <c r="J1184" s="1"/>
      <c r="K1184" s="1"/>
      <c r="L1184" s="1"/>
      <c r="M1184" s="1"/>
      <c r="N1184" s="1"/>
      <c r="O1184" s="1"/>
      <c r="P1184" s="1"/>
      <c r="Q1184" s="1"/>
      <c r="R1184" s="1"/>
      <c r="S1184" s="1"/>
      <c r="T1184" s="1"/>
      <c r="U1184" s="1"/>
      <c r="V1184" s="1"/>
      <c r="W1184" s="1"/>
      <c r="X1184" s="1"/>
      <c r="Y1184" s="1"/>
      <c r="Z1184" s="1"/>
    </row>
    <row r="1185" ht="15.75" customHeight="1">
      <c r="A1185" s="2">
        <f>IFERROR(__xludf.DUMMYFUNCTION("""COMPUTED_VALUE"""),592000.0)</f>
        <v>592000</v>
      </c>
      <c r="B1185" s="2">
        <f>IFERROR(__xludf.DUMMYFUNCTION("""COMPUTED_VALUE"""),11840.0)</f>
        <v>11840</v>
      </c>
      <c r="C1185" s="66">
        <f>IFERROR(__xludf.DUMMYFUNCTION("""COMPUTED_VALUE"""),7.00336E9)</f>
        <v>7003360000</v>
      </c>
      <c r="D1185" s="1"/>
      <c r="E1185" s="1"/>
      <c r="F1185" s="1"/>
      <c r="G1185" s="1"/>
      <c r="H1185" s="1"/>
      <c r="I1185" s="1"/>
      <c r="J1185" s="1"/>
      <c r="K1185" s="1"/>
      <c r="L1185" s="1"/>
      <c r="M1185" s="1"/>
      <c r="N1185" s="1"/>
      <c r="O1185" s="1"/>
      <c r="P1185" s="1"/>
      <c r="Q1185" s="1"/>
      <c r="R1185" s="1"/>
      <c r="S1185" s="1"/>
      <c r="T1185" s="1"/>
      <c r="U1185" s="1"/>
      <c r="V1185" s="1"/>
      <c r="W1185" s="1"/>
      <c r="X1185" s="1"/>
      <c r="Y1185" s="1"/>
      <c r="Z1185" s="1"/>
    </row>
    <row r="1186" ht="15.75" customHeight="1">
      <c r="A1186" s="2">
        <f>IFERROR(__xludf.DUMMYFUNCTION("""COMPUTED_VALUE"""),592500.0)</f>
        <v>592500</v>
      </c>
      <c r="B1186" s="2">
        <f>IFERROR(__xludf.DUMMYFUNCTION("""COMPUTED_VALUE"""),11850.0)</f>
        <v>11850</v>
      </c>
      <c r="C1186" s="66">
        <f>IFERROR(__xludf.DUMMYFUNCTION("""COMPUTED_VALUE"""),7.0152E9)</f>
        <v>7015200000</v>
      </c>
      <c r="D1186" s="1"/>
      <c r="E1186" s="1"/>
      <c r="F1186" s="1"/>
      <c r="G1186" s="1"/>
      <c r="H1186" s="1"/>
      <c r="I1186" s="1"/>
      <c r="J1186" s="1"/>
      <c r="K1186" s="1"/>
      <c r="L1186" s="1"/>
      <c r="M1186" s="1"/>
      <c r="N1186" s="1"/>
      <c r="O1186" s="1"/>
      <c r="P1186" s="1"/>
      <c r="Q1186" s="1"/>
      <c r="R1186" s="1"/>
      <c r="S1186" s="1"/>
      <c r="T1186" s="1"/>
      <c r="U1186" s="1"/>
      <c r="V1186" s="1"/>
      <c r="W1186" s="1"/>
      <c r="X1186" s="1"/>
      <c r="Y1186" s="1"/>
      <c r="Z1186" s="1"/>
    </row>
    <row r="1187" ht="15.75" customHeight="1">
      <c r="A1187" s="2">
        <f>IFERROR(__xludf.DUMMYFUNCTION("""COMPUTED_VALUE"""),593000.0)</f>
        <v>593000</v>
      </c>
      <c r="B1187" s="2">
        <f>IFERROR(__xludf.DUMMYFUNCTION("""COMPUTED_VALUE"""),11860.0)</f>
        <v>11860</v>
      </c>
      <c r="C1187" s="66">
        <f>IFERROR(__xludf.DUMMYFUNCTION("""COMPUTED_VALUE"""),7.02705E9)</f>
        <v>7027050000</v>
      </c>
      <c r="D1187" s="1"/>
      <c r="E1187" s="1"/>
      <c r="F1187" s="1"/>
      <c r="G1187" s="1"/>
      <c r="H1187" s="1"/>
      <c r="I1187" s="1"/>
      <c r="J1187" s="1"/>
      <c r="K1187" s="1"/>
      <c r="L1187" s="1"/>
      <c r="M1187" s="1"/>
      <c r="N1187" s="1"/>
      <c r="O1187" s="1"/>
      <c r="P1187" s="1"/>
      <c r="Q1187" s="1"/>
      <c r="R1187" s="1"/>
      <c r="S1187" s="1"/>
      <c r="T1187" s="1"/>
      <c r="U1187" s="1"/>
      <c r="V1187" s="1"/>
      <c r="W1187" s="1"/>
      <c r="X1187" s="1"/>
      <c r="Y1187" s="1"/>
      <c r="Z1187" s="1"/>
    </row>
    <row r="1188" ht="15.75" customHeight="1">
      <c r="A1188" s="2">
        <f>IFERROR(__xludf.DUMMYFUNCTION("""COMPUTED_VALUE"""),593500.0)</f>
        <v>593500</v>
      </c>
      <c r="B1188" s="2">
        <f>IFERROR(__xludf.DUMMYFUNCTION("""COMPUTED_VALUE"""),11870.0)</f>
        <v>11870</v>
      </c>
      <c r="C1188" s="66">
        <f>IFERROR(__xludf.DUMMYFUNCTION("""COMPUTED_VALUE"""),7.03891E9)</f>
        <v>7038910000</v>
      </c>
      <c r="D1188" s="1"/>
      <c r="E1188" s="1"/>
      <c r="F1188" s="1"/>
      <c r="G1188" s="1"/>
      <c r="H1188" s="1"/>
      <c r="I1188" s="1"/>
      <c r="J1188" s="1"/>
      <c r="K1188" s="1"/>
      <c r="L1188" s="1"/>
      <c r="M1188" s="1"/>
      <c r="N1188" s="1"/>
      <c r="O1188" s="1"/>
      <c r="P1188" s="1"/>
      <c r="Q1188" s="1"/>
      <c r="R1188" s="1"/>
      <c r="S1188" s="1"/>
      <c r="T1188" s="1"/>
      <c r="U1188" s="1"/>
      <c r="V1188" s="1"/>
      <c r="W1188" s="1"/>
      <c r="X1188" s="1"/>
      <c r="Y1188" s="1"/>
      <c r="Z1188" s="1"/>
    </row>
    <row r="1189" ht="15.75" customHeight="1">
      <c r="A1189" s="2">
        <f>IFERROR(__xludf.DUMMYFUNCTION("""COMPUTED_VALUE"""),594000.0)</f>
        <v>594000</v>
      </c>
      <c r="B1189" s="2">
        <f>IFERROR(__xludf.DUMMYFUNCTION("""COMPUTED_VALUE"""),11880.0)</f>
        <v>11880</v>
      </c>
      <c r="C1189" s="66">
        <f>IFERROR(__xludf.DUMMYFUNCTION("""COMPUTED_VALUE"""),7.05078E9)</f>
        <v>7050780000</v>
      </c>
      <c r="D1189" s="1"/>
      <c r="E1189" s="1"/>
      <c r="F1189" s="1"/>
      <c r="G1189" s="1"/>
      <c r="H1189" s="1"/>
      <c r="I1189" s="1"/>
      <c r="J1189" s="1"/>
      <c r="K1189" s="1"/>
      <c r="L1189" s="1"/>
      <c r="M1189" s="1"/>
      <c r="N1189" s="1"/>
      <c r="O1189" s="1"/>
      <c r="P1189" s="1"/>
      <c r="Q1189" s="1"/>
      <c r="R1189" s="1"/>
      <c r="S1189" s="1"/>
      <c r="T1189" s="1"/>
      <c r="U1189" s="1"/>
      <c r="V1189" s="1"/>
      <c r="W1189" s="1"/>
      <c r="X1189" s="1"/>
      <c r="Y1189" s="1"/>
      <c r="Z1189" s="1"/>
    </row>
    <row r="1190" ht="15.75" customHeight="1">
      <c r="A1190" s="2">
        <f>IFERROR(__xludf.DUMMYFUNCTION("""COMPUTED_VALUE"""),594500.0)</f>
        <v>594500</v>
      </c>
      <c r="B1190" s="2">
        <f>IFERROR(__xludf.DUMMYFUNCTION("""COMPUTED_VALUE"""),11890.0)</f>
        <v>11890</v>
      </c>
      <c r="C1190" s="66">
        <f>IFERROR(__xludf.DUMMYFUNCTION("""COMPUTED_VALUE"""),7.06266E9)</f>
        <v>7062660000</v>
      </c>
      <c r="D1190" s="1"/>
      <c r="E1190" s="1"/>
      <c r="F1190" s="1"/>
      <c r="G1190" s="1"/>
      <c r="H1190" s="1"/>
      <c r="I1190" s="1"/>
      <c r="J1190" s="1"/>
      <c r="K1190" s="1"/>
      <c r="L1190" s="1"/>
      <c r="M1190" s="1"/>
      <c r="N1190" s="1"/>
      <c r="O1190" s="1"/>
      <c r="P1190" s="1"/>
      <c r="Q1190" s="1"/>
      <c r="R1190" s="1"/>
      <c r="S1190" s="1"/>
      <c r="T1190" s="1"/>
      <c r="U1190" s="1"/>
      <c r="V1190" s="1"/>
      <c r="W1190" s="1"/>
      <c r="X1190" s="1"/>
      <c r="Y1190" s="1"/>
      <c r="Z1190" s="1"/>
    </row>
    <row r="1191" ht="15.75" customHeight="1">
      <c r="A1191" s="2">
        <f>IFERROR(__xludf.DUMMYFUNCTION("""COMPUTED_VALUE"""),595000.0)</f>
        <v>595000</v>
      </c>
      <c r="B1191" s="2">
        <f>IFERROR(__xludf.DUMMYFUNCTION("""COMPUTED_VALUE"""),11900.0)</f>
        <v>11900</v>
      </c>
      <c r="C1191" s="66">
        <f>IFERROR(__xludf.DUMMYFUNCTION("""COMPUTED_VALUE"""),7.07455E9)</f>
        <v>7074550000</v>
      </c>
      <c r="D1191" s="1"/>
      <c r="E1191" s="1"/>
      <c r="F1191" s="1"/>
      <c r="G1191" s="1"/>
      <c r="H1191" s="1"/>
      <c r="I1191" s="1"/>
      <c r="J1191" s="1"/>
      <c r="K1191" s="1"/>
      <c r="L1191" s="1"/>
      <c r="M1191" s="1"/>
      <c r="N1191" s="1"/>
      <c r="O1191" s="1"/>
      <c r="P1191" s="1"/>
      <c r="Q1191" s="1"/>
      <c r="R1191" s="1"/>
      <c r="S1191" s="1"/>
      <c r="T1191" s="1"/>
      <c r="U1191" s="1"/>
      <c r="V1191" s="1"/>
      <c r="W1191" s="1"/>
      <c r="X1191" s="1"/>
      <c r="Y1191" s="1"/>
      <c r="Z1191" s="1"/>
    </row>
    <row r="1192" ht="15.75" customHeight="1">
      <c r="A1192" s="2">
        <f>IFERROR(__xludf.DUMMYFUNCTION("""COMPUTED_VALUE"""),595500.0)</f>
        <v>595500</v>
      </c>
      <c r="B1192" s="2">
        <f>IFERROR(__xludf.DUMMYFUNCTION("""COMPUTED_VALUE"""),11910.0)</f>
        <v>11910</v>
      </c>
      <c r="C1192" s="66">
        <f>IFERROR(__xludf.DUMMYFUNCTION("""COMPUTED_VALUE"""),7.08645E9)</f>
        <v>7086450000</v>
      </c>
      <c r="D1192" s="1"/>
      <c r="E1192" s="1"/>
      <c r="F1192" s="1"/>
      <c r="G1192" s="1"/>
      <c r="H1192" s="1"/>
      <c r="I1192" s="1"/>
      <c r="J1192" s="1"/>
      <c r="K1192" s="1"/>
      <c r="L1192" s="1"/>
      <c r="M1192" s="1"/>
      <c r="N1192" s="1"/>
      <c r="O1192" s="1"/>
      <c r="P1192" s="1"/>
      <c r="Q1192" s="1"/>
      <c r="R1192" s="1"/>
      <c r="S1192" s="1"/>
      <c r="T1192" s="1"/>
      <c r="U1192" s="1"/>
      <c r="V1192" s="1"/>
      <c r="W1192" s="1"/>
      <c r="X1192" s="1"/>
      <c r="Y1192" s="1"/>
      <c r="Z1192" s="1"/>
    </row>
    <row r="1193" ht="15.75" customHeight="1">
      <c r="A1193" s="2">
        <f>IFERROR(__xludf.DUMMYFUNCTION("""COMPUTED_VALUE"""),596000.0)</f>
        <v>596000</v>
      </c>
      <c r="B1193" s="2">
        <f>IFERROR(__xludf.DUMMYFUNCTION("""COMPUTED_VALUE"""),11920.0)</f>
        <v>11920</v>
      </c>
      <c r="C1193" s="66">
        <f>IFERROR(__xludf.DUMMYFUNCTION("""COMPUTED_VALUE"""),7.09836E9)</f>
        <v>7098360000</v>
      </c>
      <c r="D1193" s="1"/>
      <c r="E1193" s="1"/>
      <c r="F1193" s="1"/>
      <c r="G1193" s="1"/>
      <c r="H1193" s="1"/>
      <c r="I1193" s="1"/>
      <c r="J1193" s="1"/>
      <c r="K1193" s="1"/>
      <c r="L1193" s="1"/>
      <c r="M1193" s="1"/>
      <c r="N1193" s="1"/>
      <c r="O1193" s="1"/>
      <c r="P1193" s="1"/>
      <c r="Q1193" s="1"/>
      <c r="R1193" s="1"/>
      <c r="S1193" s="1"/>
      <c r="T1193" s="1"/>
      <c r="U1193" s="1"/>
      <c r="V1193" s="1"/>
      <c r="W1193" s="1"/>
      <c r="X1193" s="1"/>
      <c r="Y1193" s="1"/>
      <c r="Z1193" s="1"/>
    </row>
    <row r="1194" ht="15.75" customHeight="1">
      <c r="A1194" s="2">
        <f>IFERROR(__xludf.DUMMYFUNCTION("""COMPUTED_VALUE"""),596500.0)</f>
        <v>596500</v>
      </c>
      <c r="B1194" s="2">
        <f>IFERROR(__xludf.DUMMYFUNCTION("""COMPUTED_VALUE"""),11930.0)</f>
        <v>11930</v>
      </c>
      <c r="C1194" s="66">
        <f>IFERROR(__xludf.DUMMYFUNCTION("""COMPUTED_VALUE"""),7.11028E9)</f>
        <v>7110280000</v>
      </c>
      <c r="D1194" s="1"/>
      <c r="E1194" s="1"/>
      <c r="F1194" s="1"/>
      <c r="G1194" s="1"/>
      <c r="H1194" s="1"/>
      <c r="I1194" s="1"/>
      <c r="J1194" s="1"/>
      <c r="K1194" s="1"/>
      <c r="L1194" s="1"/>
      <c r="M1194" s="1"/>
      <c r="N1194" s="1"/>
      <c r="O1194" s="1"/>
      <c r="P1194" s="1"/>
      <c r="Q1194" s="1"/>
      <c r="R1194" s="1"/>
      <c r="S1194" s="1"/>
      <c r="T1194" s="1"/>
      <c r="U1194" s="1"/>
      <c r="V1194" s="1"/>
      <c r="W1194" s="1"/>
      <c r="X1194" s="1"/>
      <c r="Y1194" s="1"/>
      <c r="Z1194" s="1"/>
    </row>
    <row r="1195" ht="15.75" customHeight="1">
      <c r="A1195" s="2">
        <f>IFERROR(__xludf.DUMMYFUNCTION("""COMPUTED_VALUE"""),597000.0)</f>
        <v>597000</v>
      </c>
      <c r="B1195" s="2">
        <f>IFERROR(__xludf.DUMMYFUNCTION("""COMPUTED_VALUE"""),11940.0)</f>
        <v>11940</v>
      </c>
      <c r="C1195" s="66">
        <f>IFERROR(__xludf.DUMMYFUNCTION("""COMPUTED_VALUE"""),7.12221E9)</f>
        <v>7122210000</v>
      </c>
      <c r="D1195" s="1"/>
      <c r="E1195" s="1"/>
      <c r="F1195" s="1"/>
      <c r="G1195" s="1"/>
      <c r="H1195" s="1"/>
      <c r="I1195" s="1"/>
      <c r="J1195" s="1"/>
      <c r="K1195" s="1"/>
      <c r="L1195" s="1"/>
      <c r="M1195" s="1"/>
      <c r="N1195" s="1"/>
      <c r="O1195" s="1"/>
      <c r="P1195" s="1"/>
      <c r="Q1195" s="1"/>
      <c r="R1195" s="1"/>
      <c r="S1195" s="1"/>
      <c r="T1195" s="1"/>
      <c r="U1195" s="1"/>
      <c r="V1195" s="1"/>
      <c r="W1195" s="1"/>
      <c r="X1195" s="1"/>
      <c r="Y1195" s="1"/>
      <c r="Z1195" s="1"/>
    </row>
    <row r="1196" ht="15.75" customHeight="1">
      <c r="A1196" s="2">
        <f>IFERROR(__xludf.DUMMYFUNCTION("""COMPUTED_VALUE"""),597500.0)</f>
        <v>597500</v>
      </c>
      <c r="B1196" s="2">
        <f>IFERROR(__xludf.DUMMYFUNCTION("""COMPUTED_VALUE"""),11950.0)</f>
        <v>11950</v>
      </c>
      <c r="C1196" s="66">
        <f>IFERROR(__xludf.DUMMYFUNCTION("""COMPUTED_VALUE"""),7.13415E9)</f>
        <v>7134150000</v>
      </c>
      <c r="D1196" s="1"/>
      <c r="E1196" s="1"/>
      <c r="F1196" s="1"/>
      <c r="G1196" s="1"/>
      <c r="H1196" s="1"/>
      <c r="I1196" s="1"/>
      <c r="J1196" s="1"/>
      <c r="K1196" s="1"/>
      <c r="L1196" s="1"/>
      <c r="M1196" s="1"/>
      <c r="N1196" s="1"/>
      <c r="O1196" s="1"/>
      <c r="P1196" s="1"/>
      <c r="Q1196" s="1"/>
      <c r="R1196" s="1"/>
      <c r="S1196" s="1"/>
      <c r="T1196" s="1"/>
      <c r="U1196" s="1"/>
      <c r="V1196" s="1"/>
      <c r="W1196" s="1"/>
      <c r="X1196" s="1"/>
      <c r="Y1196" s="1"/>
      <c r="Z1196" s="1"/>
    </row>
    <row r="1197" ht="15.75" customHeight="1">
      <c r="A1197" s="2">
        <f>IFERROR(__xludf.DUMMYFUNCTION("""COMPUTED_VALUE"""),598000.0)</f>
        <v>598000</v>
      </c>
      <c r="B1197" s="2">
        <f>IFERROR(__xludf.DUMMYFUNCTION("""COMPUTED_VALUE"""),11960.0)</f>
        <v>11960</v>
      </c>
      <c r="C1197" s="66">
        <f>IFERROR(__xludf.DUMMYFUNCTION("""COMPUTED_VALUE"""),7.1461E9)</f>
        <v>7146100000</v>
      </c>
      <c r="D1197" s="1"/>
      <c r="E1197" s="1"/>
      <c r="F1197" s="1"/>
      <c r="G1197" s="1"/>
      <c r="H1197" s="1"/>
      <c r="I1197" s="1"/>
      <c r="J1197" s="1"/>
      <c r="K1197" s="1"/>
      <c r="L1197" s="1"/>
      <c r="M1197" s="1"/>
      <c r="N1197" s="1"/>
      <c r="O1197" s="1"/>
      <c r="P1197" s="1"/>
      <c r="Q1197" s="1"/>
      <c r="R1197" s="1"/>
      <c r="S1197" s="1"/>
      <c r="T1197" s="1"/>
      <c r="U1197" s="1"/>
      <c r="V1197" s="1"/>
      <c r="W1197" s="1"/>
      <c r="X1197" s="1"/>
      <c r="Y1197" s="1"/>
      <c r="Z1197" s="1"/>
    </row>
    <row r="1198" ht="15.75" customHeight="1">
      <c r="A1198" s="2">
        <f>IFERROR(__xludf.DUMMYFUNCTION("""COMPUTED_VALUE"""),598500.0)</f>
        <v>598500</v>
      </c>
      <c r="B1198" s="2">
        <f>IFERROR(__xludf.DUMMYFUNCTION("""COMPUTED_VALUE"""),11970.0)</f>
        <v>11970</v>
      </c>
      <c r="C1198" s="66">
        <f>IFERROR(__xludf.DUMMYFUNCTION("""COMPUTED_VALUE"""),7.15806E9)</f>
        <v>7158060000</v>
      </c>
      <c r="D1198" s="1"/>
      <c r="E1198" s="1"/>
      <c r="F1198" s="1"/>
      <c r="G1198" s="1"/>
      <c r="H1198" s="1"/>
      <c r="I1198" s="1"/>
      <c r="J1198" s="1"/>
      <c r="K1198" s="1"/>
      <c r="L1198" s="1"/>
      <c r="M1198" s="1"/>
      <c r="N1198" s="1"/>
      <c r="O1198" s="1"/>
      <c r="P1198" s="1"/>
      <c r="Q1198" s="1"/>
      <c r="R1198" s="1"/>
      <c r="S1198" s="1"/>
      <c r="T1198" s="1"/>
      <c r="U1198" s="1"/>
      <c r="V1198" s="1"/>
      <c r="W1198" s="1"/>
      <c r="X1198" s="1"/>
      <c r="Y1198" s="1"/>
      <c r="Z1198" s="1"/>
    </row>
    <row r="1199" ht="15.75" customHeight="1">
      <c r="A1199" s="2">
        <f>IFERROR(__xludf.DUMMYFUNCTION("""COMPUTED_VALUE"""),599000.0)</f>
        <v>599000</v>
      </c>
      <c r="B1199" s="2">
        <f>IFERROR(__xludf.DUMMYFUNCTION("""COMPUTED_VALUE"""),11980.0)</f>
        <v>11980</v>
      </c>
      <c r="C1199" s="66">
        <f>IFERROR(__xludf.DUMMYFUNCTION("""COMPUTED_VALUE"""),7.17003E9)</f>
        <v>7170030000</v>
      </c>
      <c r="D1199" s="1"/>
      <c r="E1199" s="1"/>
      <c r="F1199" s="1"/>
      <c r="G1199" s="1"/>
      <c r="H1199" s="1"/>
      <c r="I1199" s="1"/>
      <c r="J1199" s="1"/>
      <c r="K1199" s="1"/>
      <c r="L1199" s="1"/>
      <c r="M1199" s="1"/>
      <c r="N1199" s="1"/>
      <c r="O1199" s="1"/>
      <c r="P1199" s="1"/>
      <c r="Q1199" s="1"/>
      <c r="R1199" s="1"/>
      <c r="S1199" s="1"/>
      <c r="T1199" s="1"/>
      <c r="U1199" s="1"/>
      <c r="V1199" s="1"/>
      <c r="W1199" s="1"/>
      <c r="X1199" s="1"/>
      <c r="Y1199" s="1"/>
      <c r="Z1199" s="1"/>
    </row>
    <row r="1200" ht="15.75" customHeight="1">
      <c r="A1200" s="2">
        <f>IFERROR(__xludf.DUMMYFUNCTION("""COMPUTED_VALUE"""),599500.0)</f>
        <v>599500</v>
      </c>
      <c r="B1200" s="2">
        <f>IFERROR(__xludf.DUMMYFUNCTION("""COMPUTED_VALUE"""),11990.0)</f>
        <v>11990</v>
      </c>
      <c r="C1200" s="66">
        <f>IFERROR(__xludf.DUMMYFUNCTION("""COMPUTED_VALUE"""),7.18201E9)</f>
        <v>7182010000</v>
      </c>
      <c r="D1200" s="1"/>
      <c r="E1200" s="1"/>
      <c r="F1200" s="1"/>
      <c r="G1200" s="1"/>
      <c r="H1200" s="1"/>
      <c r="I1200" s="1"/>
      <c r="J1200" s="1"/>
      <c r="K1200" s="1"/>
      <c r="L1200" s="1"/>
      <c r="M1200" s="1"/>
      <c r="N1200" s="1"/>
      <c r="O1200" s="1"/>
      <c r="P1200" s="1"/>
      <c r="Q1200" s="1"/>
      <c r="R1200" s="1"/>
      <c r="S1200" s="1"/>
      <c r="T1200" s="1"/>
      <c r="U1200" s="1"/>
      <c r="V1200" s="1"/>
      <c r="W1200" s="1"/>
      <c r="X1200" s="1"/>
      <c r="Y1200" s="1"/>
      <c r="Z1200" s="1"/>
    </row>
    <row r="1201" ht="15.75" customHeight="1">
      <c r="A1201" s="2">
        <f>IFERROR(__xludf.DUMMYFUNCTION("""COMPUTED_VALUE"""),600000.0)</f>
        <v>600000</v>
      </c>
      <c r="B1201" s="2">
        <f>IFERROR(__xludf.DUMMYFUNCTION("""COMPUTED_VALUE"""),12000.0)</f>
        <v>12000</v>
      </c>
      <c r="C1201" s="66">
        <f>IFERROR(__xludf.DUMMYFUNCTION("""COMPUTED_VALUE"""),7.194E9)</f>
        <v>7194000000</v>
      </c>
      <c r="D1201" s="1"/>
      <c r="E1201" s="1"/>
      <c r="F1201" s="1"/>
      <c r="G1201" s="1"/>
      <c r="H1201" s="1"/>
      <c r="I1201" s="1"/>
      <c r="J1201" s="1"/>
      <c r="K1201" s="1"/>
      <c r="L1201" s="1"/>
      <c r="M1201" s="1"/>
      <c r="N1201" s="1"/>
      <c r="O1201" s="1"/>
      <c r="P1201" s="1"/>
      <c r="Q1201" s="1"/>
      <c r="R1201" s="1"/>
      <c r="S1201" s="1"/>
      <c r="T1201" s="1"/>
      <c r="U1201" s="1"/>
      <c r="V1201" s="1"/>
      <c r="W1201" s="1"/>
      <c r="X1201" s="1"/>
      <c r="Y1201" s="1"/>
      <c r="Z1201" s="1"/>
    </row>
    <row r="1202" ht="15.75" customHeight="1">
      <c r="A1202" s="2">
        <f>IFERROR(__xludf.DUMMYFUNCTION("""COMPUTED_VALUE"""),600500.0)</f>
        <v>600500</v>
      </c>
      <c r="B1202" s="2">
        <f>IFERROR(__xludf.DUMMYFUNCTION("""COMPUTED_VALUE"""),12010.0)</f>
        <v>12010</v>
      </c>
      <c r="C1202" s="66">
        <f>IFERROR(__xludf.DUMMYFUNCTION("""COMPUTED_VALUE"""),7.206E9)</f>
        <v>7206000000</v>
      </c>
      <c r="D1202" s="1"/>
      <c r="E1202" s="1"/>
      <c r="F1202" s="1"/>
      <c r="G1202" s="1"/>
      <c r="H1202" s="1"/>
      <c r="I1202" s="1"/>
      <c r="J1202" s="1"/>
      <c r="K1202" s="1"/>
      <c r="L1202" s="1"/>
      <c r="M1202" s="1"/>
      <c r="N1202" s="1"/>
      <c r="O1202" s="1"/>
      <c r="P1202" s="1"/>
      <c r="Q1202" s="1"/>
      <c r="R1202" s="1"/>
      <c r="S1202" s="1"/>
      <c r="T1202" s="1"/>
      <c r="U1202" s="1"/>
      <c r="V1202" s="1"/>
      <c r="W1202" s="1"/>
      <c r="X1202" s="1"/>
      <c r="Y1202" s="1"/>
      <c r="Z1202" s="1"/>
    </row>
    <row r="1203" ht="15.75" customHeight="1">
      <c r="A1203" s="2">
        <f>IFERROR(__xludf.DUMMYFUNCTION("""COMPUTED_VALUE"""),601000.0)</f>
        <v>601000</v>
      </c>
      <c r="B1203" s="2">
        <f>IFERROR(__xludf.DUMMYFUNCTION("""COMPUTED_VALUE"""),12020.0)</f>
        <v>12020</v>
      </c>
      <c r="C1203" s="66">
        <f>IFERROR(__xludf.DUMMYFUNCTION("""COMPUTED_VALUE"""),7.21801E9)</f>
        <v>7218010000</v>
      </c>
      <c r="D1203" s="1"/>
      <c r="E1203" s="1"/>
      <c r="F1203" s="1"/>
      <c r="G1203" s="1"/>
      <c r="H1203" s="1"/>
      <c r="I1203" s="1"/>
      <c r="J1203" s="1"/>
      <c r="K1203" s="1"/>
      <c r="L1203" s="1"/>
      <c r="M1203" s="1"/>
      <c r="N1203" s="1"/>
      <c r="O1203" s="1"/>
      <c r="P1203" s="1"/>
      <c r="Q1203" s="1"/>
      <c r="R1203" s="1"/>
      <c r="S1203" s="1"/>
      <c r="T1203" s="1"/>
      <c r="U1203" s="1"/>
      <c r="V1203" s="1"/>
      <c r="W1203" s="1"/>
      <c r="X1203" s="1"/>
      <c r="Y1203" s="1"/>
      <c r="Z1203" s="1"/>
    </row>
    <row r="1204" ht="15.75" customHeight="1">
      <c r="A1204" s="2">
        <f>IFERROR(__xludf.DUMMYFUNCTION("""COMPUTED_VALUE"""),601500.0)</f>
        <v>601500</v>
      </c>
      <c r="B1204" s="2">
        <f>IFERROR(__xludf.DUMMYFUNCTION("""COMPUTED_VALUE"""),12030.0)</f>
        <v>12030</v>
      </c>
      <c r="C1204" s="66">
        <f>IFERROR(__xludf.DUMMYFUNCTION("""COMPUTED_VALUE"""),7.23003E9)</f>
        <v>7230030000</v>
      </c>
      <c r="D1204" s="1"/>
      <c r="E1204" s="1"/>
      <c r="F1204" s="1"/>
      <c r="G1204" s="1"/>
      <c r="H1204" s="1"/>
      <c r="I1204" s="1"/>
      <c r="J1204" s="1"/>
      <c r="K1204" s="1"/>
      <c r="L1204" s="1"/>
      <c r="M1204" s="1"/>
      <c r="N1204" s="1"/>
      <c r="O1204" s="1"/>
      <c r="P1204" s="1"/>
      <c r="Q1204" s="1"/>
      <c r="R1204" s="1"/>
      <c r="S1204" s="1"/>
      <c r="T1204" s="1"/>
      <c r="U1204" s="1"/>
      <c r="V1204" s="1"/>
      <c r="W1204" s="1"/>
      <c r="X1204" s="1"/>
      <c r="Y1204" s="1"/>
      <c r="Z1204" s="1"/>
    </row>
    <row r="1205" ht="15.75" customHeight="1">
      <c r="A1205" s="2">
        <f>IFERROR(__xludf.DUMMYFUNCTION("""COMPUTED_VALUE"""),602000.0)</f>
        <v>602000</v>
      </c>
      <c r="B1205" s="2">
        <f>IFERROR(__xludf.DUMMYFUNCTION("""COMPUTED_VALUE"""),12040.0)</f>
        <v>12040</v>
      </c>
      <c r="C1205" s="66">
        <f>IFERROR(__xludf.DUMMYFUNCTION("""COMPUTED_VALUE"""),7.24206E9)</f>
        <v>7242060000</v>
      </c>
      <c r="D1205" s="1"/>
      <c r="E1205" s="1"/>
      <c r="F1205" s="1"/>
      <c r="G1205" s="1"/>
      <c r="H1205" s="1"/>
      <c r="I1205" s="1"/>
      <c r="J1205" s="1"/>
      <c r="K1205" s="1"/>
      <c r="L1205" s="1"/>
      <c r="M1205" s="1"/>
      <c r="N1205" s="1"/>
      <c r="O1205" s="1"/>
      <c r="P1205" s="1"/>
      <c r="Q1205" s="1"/>
      <c r="R1205" s="1"/>
      <c r="S1205" s="1"/>
      <c r="T1205" s="1"/>
      <c r="U1205" s="1"/>
      <c r="V1205" s="1"/>
      <c r="W1205" s="1"/>
      <c r="X1205" s="1"/>
      <c r="Y1205" s="1"/>
      <c r="Z1205" s="1"/>
    </row>
    <row r="1206" ht="15.75" customHeight="1">
      <c r="A1206" s="2">
        <f>IFERROR(__xludf.DUMMYFUNCTION("""COMPUTED_VALUE"""),602500.0)</f>
        <v>602500</v>
      </c>
      <c r="B1206" s="2">
        <f>IFERROR(__xludf.DUMMYFUNCTION("""COMPUTED_VALUE"""),12050.0)</f>
        <v>12050</v>
      </c>
      <c r="C1206" s="66">
        <f>IFERROR(__xludf.DUMMYFUNCTION("""COMPUTED_VALUE"""),7.2541E9)</f>
        <v>7254100000</v>
      </c>
      <c r="D1206" s="1"/>
      <c r="E1206" s="1"/>
      <c r="F1206" s="1"/>
      <c r="G1206" s="1"/>
      <c r="H1206" s="1"/>
      <c r="I1206" s="1"/>
      <c r="J1206" s="1"/>
      <c r="K1206" s="1"/>
      <c r="L1206" s="1"/>
      <c r="M1206" s="1"/>
      <c r="N1206" s="1"/>
      <c r="O1206" s="1"/>
      <c r="P1206" s="1"/>
      <c r="Q1206" s="1"/>
      <c r="R1206" s="1"/>
      <c r="S1206" s="1"/>
      <c r="T1206" s="1"/>
      <c r="U1206" s="1"/>
      <c r="V1206" s="1"/>
      <c r="W1206" s="1"/>
      <c r="X1206" s="1"/>
      <c r="Y1206" s="1"/>
      <c r="Z1206" s="1"/>
    </row>
    <row r="1207" ht="15.75" customHeight="1">
      <c r="A1207" s="2">
        <f>IFERROR(__xludf.DUMMYFUNCTION("""COMPUTED_VALUE"""),603000.0)</f>
        <v>603000</v>
      </c>
      <c r="B1207" s="2">
        <f>IFERROR(__xludf.DUMMYFUNCTION("""COMPUTED_VALUE"""),12060.0)</f>
        <v>12060</v>
      </c>
      <c r="C1207" s="66">
        <f>IFERROR(__xludf.DUMMYFUNCTION("""COMPUTED_VALUE"""),7.26615E9)</f>
        <v>7266150000</v>
      </c>
      <c r="D1207" s="1"/>
      <c r="E1207" s="1"/>
      <c r="F1207" s="1"/>
      <c r="G1207" s="1"/>
      <c r="H1207" s="1"/>
      <c r="I1207" s="1"/>
      <c r="J1207" s="1"/>
      <c r="K1207" s="1"/>
      <c r="L1207" s="1"/>
      <c r="M1207" s="1"/>
      <c r="N1207" s="1"/>
      <c r="O1207" s="1"/>
      <c r="P1207" s="1"/>
      <c r="Q1207" s="1"/>
      <c r="R1207" s="1"/>
      <c r="S1207" s="1"/>
      <c r="T1207" s="1"/>
      <c r="U1207" s="1"/>
      <c r="V1207" s="1"/>
      <c r="W1207" s="1"/>
      <c r="X1207" s="1"/>
      <c r="Y1207" s="1"/>
      <c r="Z1207" s="1"/>
    </row>
    <row r="1208" ht="15.75" customHeight="1">
      <c r="A1208" s="2">
        <f>IFERROR(__xludf.DUMMYFUNCTION("""COMPUTED_VALUE"""),603500.0)</f>
        <v>603500</v>
      </c>
      <c r="B1208" s="2">
        <f>IFERROR(__xludf.DUMMYFUNCTION("""COMPUTED_VALUE"""),12070.0)</f>
        <v>12070</v>
      </c>
      <c r="C1208" s="66">
        <f>IFERROR(__xludf.DUMMYFUNCTION("""COMPUTED_VALUE"""),7.27821E9)</f>
        <v>7278210000</v>
      </c>
      <c r="D1208" s="1"/>
      <c r="E1208" s="1"/>
      <c r="F1208" s="1"/>
      <c r="G1208" s="1"/>
      <c r="H1208" s="1"/>
      <c r="I1208" s="1"/>
      <c r="J1208" s="1"/>
      <c r="K1208" s="1"/>
      <c r="L1208" s="1"/>
      <c r="M1208" s="1"/>
      <c r="N1208" s="1"/>
      <c r="O1208" s="1"/>
      <c r="P1208" s="1"/>
      <c r="Q1208" s="1"/>
      <c r="R1208" s="1"/>
      <c r="S1208" s="1"/>
      <c r="T1208" s="1"/>
      <c r="U1208" s="1"/>
      <c r="V1208" s="1"/>
      <c r="W1208" s="1"/>
      <c r="X1208" s="1"/>
      <c r="Y1208" s="1"/>
      <c r="Z1208" s="1"/>
    </row>
    <row r="1209" ht="15.75" customHeight="1">
      <c r="A1209" s="2">
        <f>IFERROR(__xludf.DUMMYFUNCTION("""COMPUTED_VALUE"""),604000.0)</f>
        <v>604000</v>
      </c>
      <c r="B1209" s="2">
        <f>IFERROR(__xludf.DUMMYFUNCTION("""COMPUTED_VALUE"""),12080.0)</f>
        <v>12080</v>
      </c>
      <c r="C1209" s="66">
        <f>IFERROR(__xludf.DUMMYFUNCTION("""COMPUTED_VALUE"""),7.29028E9)</f>
        <v>7290280000</v>
      </c>
      <c r="D1209" s="1"/>
      <c r="E1209" s="1"/>
      <c r="F1209" s="1"/>
      <c r="G1209" s="1"/>
      <c r="H1209" s="1"/>
      <c r="I1209" s="1"/>
      <c r="J1209" s="1"/>
      <c r="K1209" s="1"/>
      <c r="L1209" s="1"/>
      <c r="M1209" s="1"/>
      <c r="N1209" s="1"/>
      <c r="O1209" s="1"/>
      <c r="P1209" s="1"/>
      <c r="Q1209" s="1"/>
      <c r="R1209" s="1"/>
      <c r="S1209" s="1"/>
      <c r="T1209" s="1"/>
      <c r="U1209" s="1"/>
      <c r="V1209" s="1"/>
      <c r="W1209" s="1"/>
      <c r="X1209" s="1"/>
      <c r="Y1209" s="1"/>
      <c r="Z1209" s="1"/>
    </row>
    <row r="1210" ht="15.75" customHeight="1">
      <c r="A1210" s="2">
        <f>IFERROR(__xludf.DUMMYFUNCTION("""COMPUTED_VALUE"""),604500.0)</f>
        <v>604500</v>
      </c>
      <c r="B1210" s="2">
        <f>IFERROR(__xludf.DUMMYFUNCTION("""COMPUTED_VALUE"""),12090.0)</f>
        <v>12090</v>
      </c>
      <c r="C1210" s="66">
        <f>IFERROR(__xludf.DUMMYFUNCTION("""COMPUTED_VALUE"""),7.30236E9)</f>
        <v>7302360000</v>
      </c>
      <c r="D1210" s="1"/>
      <c r="E1210" s="1"/>
      <c r="F1210" s="1"/>
      <c r="G1210" s="1"/>
      <c r="H1210" s="1"/>
      <c r="I1210" s="1"/>
      <c r="J1210" s="1"/>
      <c r="K1210" s="1"/>
      <c r="L1210" s="1"/>
      <c r="M1210" s="1"/>
      <c r="N1210" s="1"/>
      <c r="O1210" s="1"/>
      <c r="P1210" s="1"/>
      <c r="Q1210" s="1"/>
      <c r="R1210" s="1"/>
      <c r="S1210" s="1"/>
      <c r="T1210" s="1"/>
      <c r="U1210" s="1"/>
      <c r="V1210" s="1"/>
      <c r="W1210" s="1"/>
      <c r="X1210" s="1"/>
      <c r="Y1210" s="1"/>
      <c r="Z1210" s="1"/>
    </row>
    <row r="1211" ht="15.75" customHeight="1">
      <c r="A1211" s="2">
        <f>IFERROR(__xludf.DUMMYFUNCTION("""COMPUTED_VALUE"""),605000.0)</f>
        <v>605000</v>
      </c>
      <c r="B1211" s="2">
        <f>IFERROR(__xludf.DUMMYFUNCTION("""COMPUTED_VALUE"""),12100.0)</f>
        <v>12100</v>
      </c>
      <c r="C1211" s="66">
        <f>IFERROR(__xludf.DUMMYFUNCTION("""COMPUTED_VALUE"""),7.31445E9)</f>
        <v>7314450000</v>
      </c>
      <c r="D1211" s="1"/>
      <c r="E1211" s="1"/>
      <c r="F1211" s="1"/>
      <c r="G1211" s="1"/>
      <c r="H1211" s="1"/>
      <c r="I1211" s="1"/>
      <c r="J1211" s="1"/>
      <c r="K1211" s="1"/>
      <c r="L1211" s="1"/>
      <c r="M1211" s="1"/>
      <c r="N1211" s="1"/>
      <c r="O1211" s="1"/>
      <c r="P1211" s="1"/>
      <c r="Q1211" s="1"/>
      <c r="R1211" s="1"/>
      <c r="S1211" s="1"/>
      <c r="T1211" s="1"/>
      <c r="U1211" s="1"/>
      <c r="V1211" s="1"/>
      <c r="W1211" s="1"/>
      <c r="X1211" s="1"/>
      <c r="Y1211" s="1"/>
      <c r="Z1211" s="1"/>
    </row>
    <row r="1212" ht="15.75" customHeight="1">
      <c r="A1212" s="2">
        <f>IFERROR(__xludf.DUMMYFUNCTION("""COMPUTED_VALUE"""),605500.0)</f>
        <v>605500</v>
      </c>
      <c r="B1212" s="2">
        <f>IFERROR(__xludf.DUMMYFUNCTION("""COMPUTED_VALUE"""),12110.0)</f>
        <v>12110</v>
      </c>
      <c r="C1212" s="66">
        <f>IFERROR(__xludf.DUMMYFUNCTION("""COMPUTED_VALUE"""),7.32655E9)</f>
        <v>7326550000</v>
      </c>
      <c r="D1212" s="1"/>
      <c r="E1212" s="1"/>
      <c r="F1212" s="1"/>
      <c r="G1212" s="1"/>
      <c r="H1212" s="1"/>
      <c r="I1212" s="1"/>
      <c r="J1212" s="1"/>
      <c r="K1212" s="1"/>
      <c r="L1212" s="1"/>
      <c r="M1212" s="1"/>
      <c r="N1212" s="1"/>
      <c r="O1212" s="1"/>
      <c r="P1212" s="1"/>
      <c r="Q1212" s="1"/>
      <c r="R1212" s="1"/>
      <c r="S1212" s="1"/>
      <c r="T1212" s="1"/>
      <c r="U1212" s="1"/>
      <c r="V1212" s="1"/>
      <c r="W1212" s="1"/>
      <c r="X1212" s="1"/>
      <c r="Y1212" s="1"/>
      <c r="Z1212" s="1"/>
    </row>
    <row r="1213" ht="15.75" customHeight="1">
      <c r="A1213" s="2">
        <f>IFERROR(__xludf.DUMMYFUNCTION("""COMPUTED_VALUE"""),606000.0)</f>
        <v>606000</v>
      </c>
      <c r="B1213" s="2">
        <f>IFERROR(__xludf.DUMMYFUNCTION("""COMPUTED_VALUE"""),12120.0)</f>
        <v>12120</v>
      </c>
      <c r="C1213" s="66">
        <f>IFERROR(__xludf.DUMMYFUNCTION("""COMPUTED_VALUE"""),7.33866E9)</f>
        <v>7338660000</v>
      </c>
      <c r="D1213" s="1"/>
      <c r="E1213" s="1"/>
      <c r="F1213" s="1"/>
      <c r="G1213" s="1"/>
      <c r="H1213" s="1"/>
      <c r="I1213" s="1"/>
      <c r="J1213" s="1"/>
      <c r="K1213" s="1"/>
      <c r="L1213" s="1"/>
      <c r="M1213" s="1"/>
      <c r="N1213" s="1"/>
      <c r="O1213" s="1"/>
      <c r="P1213" s="1"/>
      <c r="Q1213" s="1"/>
      <c r="R1213" s="1"/>
      <c r="S1213" s="1"/>
      <c r="T1213" s="1"/>
      <c r="U1213" s="1"/>
      <c r="V1213" s="1"/>
      <c r="W1213" s="1"/>
      <c r="X1213" s="1"/>
      <c r="Y1213" s="1"/>
      <c r="Z1213" s="1"/>
    </row>
    <row r="1214" ht="15.75" customHeight="1">
      <c r="A1214" s="2">
        <f>IFERROR(__xludf.DUMMYFUNCTION("""COMPUTED_VALUE"""),606500.0)</f>
        <v>606500</v>
      </c>
      <c r="B1214" s="2">
        <f>IFERROR(__xludf.DUMMYFUNCTION("""COMPUTED_VALUE"""),12130.0)</f>
        <v>12130</v>
      </c>
      <c r="C1214" s="66">
        <f>IFERROR(__xludf.DUMMYFUNCTION("""COMPUTED_VALUE"""),7.35078E9)</f>
        <v>7350780000</v>
      </c>
      <c r="D1214" s="1"/>
      <c r="E1214" s="1"/>
      <c r="F1214" s="1"/>
      <c r="G1214" s="1"/>
      <c r="H1214" s="1"/>
      <c r="I1214" s="1"/>
      <c r="J1214" s="1"/>
      <c r="K1214" s="1"/>
      <c r="L1214" s="1"/>
      <c r="M1214" s="1"/>
      <c r="N1214" s="1"/>
      <c r="O1214" s="1"/>
      <c r="P1214" s="1"/>
      <c r="Q1214" s="1"/>
      <c r="R1214" s="1"/>
      <c r="S1214" s="1"/>
      <c r="T1214" s="1"/>
      <c r="U1214" s="1"/>
      <c r="V1214" s="1"/>
      <c r="W1214" s="1"/>
      <c r="X1214" s="1"/>
      <c r="Y1214" s="1"/>
      <c r="Z1214" s="1"/>
    </row>
    <row r="1215" ht="15.75" customHeight="1">
      <c r="A1215" s="2">
        <f>IFERROR(__xludf.DUMMYFUNCTION("""COMPUTED_VALUE"""),607000.0)</f>
        <v>607000</v>
      </c>
      <c r="B1215" s="2">
        <f>IFERROR(__xludf.DUMMYFUNCTION("""COMPUTED_VALUE"""),12140.0)</f>
        <v>12140</v>
      </c>
      <c r="C1215" s="66">
        <f>IFERROR(__xludf.DUMMYFUNCTION("""COMPUTED_VALUE"""),7.36291E9)</f>
        <v>7362910000</v>
      </c>
      <c r="D1215" s="1"/>
      <c r="E1215" s="1"/>
      <c r="F1215" s="1"/>
      <c r="G1215" s="1"/>
      <c r="H1215" s="1"/>
      <c r="I1215" s="1"/>
      <c r="J1215" s="1"/>
      <c r="K1215" s="1"/>
      <c r="L1215" s="1"/>
      <c r="M1215" s="1"/>
      <c r="N1215" s="1"/>
      <c r="O1215" s="1"/>
      <c r="P1215" s="1"/>
      <c r="Q1215" s="1"/>
      <c r="R1215" s="1"/>
      <c r="S1215" s="1"/>
      <c r="T1215" s="1"/>
      <c r="U1215" s="1"/>
      <c r="V1215" s="1"/>
      <c r="W1215" s="1"/>
      <c r="X1215" s="1"/>
      <c r="Y1215" s="1"/>
      <c r="Z1215" s="1"/>
    </row>
    <row r="1216" ht="15.75" customHeight="1">
      <c r="A1216" s="2">
        <f>IFERROR(__xludf.DUMMYFUNCTION("""COMPUTED_VALUE"""),607500.0)</f>
        <v>607500</v>
      </c>
      <c r="B1216" s="2">
        <f>IFERROR(__xludf.DUMMYFUNCTION("""COMPUTED_VALUE"""),12150.0)</f>
        <v>12150</v>
      </c>
      <c r="C1216" s="66">
        <f>IFERROR(__xludf.DUMMYFUNCTION("""COMPUTED_VALUE"""),7.37505E9)</f>
        <v>7375050000</v>
      </c>
      <c r="D1216" s="1"/>
      <c r="E1216" s="1"/>
      <c r="F1216" s="1"/>
      <c r="G1216" s="1"/>
      <c r="H1216" s="1"/>
      <c r="I1216" s="1"/>
      <c r="J1216" s="1"/>
      <c r="K1216" s="1"/>
      <c r="L1216" s="1"/>
      <c r="M1216" s="1"/>
      <c r="N1216" s="1"/>
      <c r="O1216" s="1"/>
      <c r="P1216" s="1"/>
      <c r="Q1216" s="1"/>
      <c r="R1216" s="1"/>
      <c r="S1216" s="1"/>
      <c r="T1216" s="1"/>
      <c r="U1216" s="1"/>
      <c r="V1216" s="1"/>
      <c r="W1216" s="1"/>
      <c r="X1216" s="1"/>
      <c r="Y1216" s="1"/>
      <c r="Z1216" s="1"/>
    </row>
    <row r="1217" ht="15.75" customHeight="1">
      <c r="A1217" s="2">
        <f>IFERROR(__xludf.DUMMYFUNCTION("""COMPUTED_VALUE"""),608000.0)</f>
        <v>608000</v>
      </c>
      <c r="B1217" s="2">
        <f>IFERROR(__xludf.DUMMYFUNCTION("""COMPUTED_VALUE"""),12160.0)</f>
        <v>12160</v>
      </c>
      <c r="C1217" s="66">
        <f>IFERROR(__xludf.DUMMYFUNCTION("""COMPUTED_VALUE"""),7.3872E9)</f>
        <v>7387200000</v>
      </c>
      <c r="D1217" s="1"/>
      <c r="E1217" s="1"/>
      <c r="F1217" s="1"/>
      <c r="G1217" s="1"/>
      <c r="H1217" s="1"/>
      <c r="I1217" s="1"/>
      <c r="J1217" s="1"/>
      <c r="K1217" s="1"/>
      <c r="L1217" s="1"/>
      <c r="M1217" s="1"/>
      <c r="N1217" s="1"/>
      <c r="O1217" s="1"/>
      <c r="P1217" s="1"/>
      <c r="Q1217" s="1"/>
      <c r="R1217" s="1"/>
      <c r="S1217" s="1"/>
      <c r="T1217" s="1"/>
      <c r="U1217" s="1"/>
      <c r="V1217" s="1"/>
      <c r="W1217" s="1"/>
      <c r="X1217" s="1"/>
      <c r="Y1217" s="1"/>
      <c r="Z1217" s="1"/>
    </row>
    <row r="1218" ht="15.75" customHeight="1">
      <c r="A1218" s="2">
        <f>IFERROR(__xludf.DUMMYFUNCTION("""COMPUTED_VALUE"""),608500.0)</f>
        <v>608500</v>
      </c>
      <c r="B1218" s="2">
        <f>IFERROR(__xludf.DUMMYFUNCTION("""COMPUTED_VALUE"""),12170.0)</f>
        <v>12170</v>
      </c>
      <c r="C1218" s="66">
        <f>IFERROR(__xludf.DUMMYFUNCTION("""COMPUTED_VALUE"""),7.39936E9)</f>
        <v>7399360000</v>
      </c>
      <c r="D1218" s="1"/>
      <c r="E1218" s="1"/>
      <c r="F1218" s="1"/>
      <c r="G1218" s="1"/>
      <c r="H1218" s="1"/>
      <c r="I1218" s="1"/>
      <c r="J1218" s="1"/>
      <c r="K1218" s="1"/>
      <c r="L1218" s="1"/>
      <c r="M1218" s="1"/>
      <c r="N1218" s="1"/>
      <c r="O1218" s="1"/>
      <c r="P1218" s="1"/>
      <c r="Q1218" s="1"/>
      <c r="R1218" s="1"/>
      <c r="S1218" s="1"/>
      <c r="T1218" s="1"/>
      <c r="U1218" s="1"/>
      <c r="V1218" s="1"/>
      <c r="W1218" s="1"/>
      <c r="X1218" s="1"/>
      <c r="Y1218" s="1"/>
      <c r="Z1218" s="1"/>
    </row>
    <row r="1219" ht="15.75" customHeight="1">
      <c r="A1219" s="2">
        <f>IFERROR(__xludf.DUMMYFUNCTION("""COMPUTED_VALUE"""),609000.0)</f>
        <v>609000</v>
      </c>
      <c r="B1219" s="2">
        <f>IFERROR(__xludf.DUMMYFUNCTION("""COMPUTED_VALUE"""),12180.0)</f>
        <v>12180</v>
      </c>
      <c r="C1219" s="66">
        <f>IFERROR(__xludf.DUMMYFUNCTION("""COMPUTED_VALUE"""),7.41153E9)</f>
        <v>7411530000</v>
      </c>
      <c r="D1219" s="1"/>
      <c r="E1219" s="1"/>
      <c r="F1219" s="1"/>
      <c r="G1219" s="1"/>
      <c r="H1219" s="1"/>
      <c r="I1219" s="1"/>
      <c r="J1219" s="1"/>
      <c r="K1219" s="1"/>
      <c r="L1219" s="1"/>
      <c r="M1219" s="1"/>
      <c r="N1219" s="1"/>
      <c r="O1219" s="1"/>
      <c r="P1219" s="1"/>
      <c r="Q1219" s="1"/>
      <c r="R1219" s="1"/>
      <c r="S1219" s="1"/>
      <c r="T1219" s="1"/>
      <c r="U1219" s="1"/>
      <c r="V1219" s="1"/>
      <c r="W1219" s="1"/>
      <c r="X1219" s="1"/>
      <c r="Y1219" s="1"/>
      <c r="Z1219" s="1"/>
    </row>
    <row r="1220" ht="15.75" customHeight="1">
      <c r="A1220" s="2">
        <f>IFERROR(__xludf.DUMMYFUNCTION("""COMPUTED_VALUE"""),609500.0)</f>
        <v>609500</v>
      </c>
      <c r="B1220" s="2">
        <f>IFERROR(__xludf.DUMMYFUNCTION("""COMPUTED_VALUE"""),12190.0)</f>
        <v>12190</v>
      </c>
      <c r="C1220" s="66">
        <f>IFERROR(__xludf.DUMMYFUNCTION("""COMPUTED_VALUE"""),7.42371E9)</f>
        <v>7423710000</v>
      </c>
      <c r="D1220" s="1"/>
      <c r="E1220" s="1"/>
      <c r="F1220" s="1"/>
      <c r="G1220" s="1"/>
      <c r="H1220" s="1"/>
      <c r="I1220" s="1"/>
      <c r="J1220" s="1"/>
      <c r="K1220" s="1"/>
      <c r="L1220" s="1"/>
      <c r="M1220" s="1"/>
      <c r="N1220" s="1"/>
      <c r="O1220" s="1"/>
      <c r="P1220" s="1"/>
      <c r="Q1220" s="1"/>
      <c r="R1220" s="1"/>
      <c r="S1220" s="1"/>
      <c r="T1220" s="1"/>
      <c r="U1220" s="1"/>
      <c r="V1220" s="1"/>
      <c r="W1220" s="1"/>
      <c r="X1220" s="1"/>
      <c r="Y1220" s="1"/>
      <c r="Z1220" s="1"/>
    </row>
    <row r="1221" ht="15.75" customHeight="1">
      <c r="A1221" s="2">
        <f>IFERROR(__xludf.DUMMYFUNCTION("""COMPUTED_VALUE"""),610000.0)</f>
        <v>610000</v>
      </c>
      <c r="B1221" s="2">
        <f>IFERROR(__xludf.DUMMYFUNCTION("""COMPUTED_VALUE"""),12200.0)</f>
        <v>12200</v>
      </c>
      <c r="C1221" s="66">
        <f>IFERROR(__xludf.DUMMYFUNCTION("""COMPUTED_VALUE"""),7.4359E9)</f>
        <v>7435900000</v>
      </c>
      <c r="D1221" s="1"/>
      <c r="E1221" s="1"/>
      <c r="F1221" s="1"/>
      <c r="G1221" s="1"/>
      <c r="H1221" s="1"/>
      <c r="I1221" s="1"/>
      <c r="J1221" s="1"/>
      <c r="K1221" s="1"/>
      <c r="L1221" s="1"/>
      <c r="M1221" s="1"/>
      <c r="N1221" s="1"/>
      <c r="O1221" s="1"/>
      <c r="P1221" s="1"/>
      <c r="Q1221" s="1"/>
      <c r="R1221" s="1"/>
      <c r="S1221" s="1"/>
      <c r="T1221" s="1"/>
      <c r="U1221" s="1"/>
      <c r="V1221" s="1"/>
      <c r="W1221" s="1"/>
      <c r="X1221" s="1"/>
      <c r="Y1221" s="1"/>
      <c r="Z1221" s="1"/>
    </row>
    <row r="1222" ht="15.75" customHeight="1">
      <c r="A1222" s="2">
        <f>IFERROR(__xludf.DUMMYFUNCTION("""COMPUTED_VALUE"""),610500.0)</f>
        <v>610500</v>
      </c>
      <c r="B1222" s="2">
        <f>IFERROR(__xludf.DUMMYFUNCTION("""COMPUTED_VALUE"""),12210.0)</f>
        <v>12210</v>
      </c>
      <c r="C1222" s="66">
        <f>IFERROR(__xludf.DUMMYFUNCTION("""COMPUTED_VALUE"""),7.4481E9)</f>
        <v>7448100000</v>
      </c>
      <c r="D1222" s="1"/>
      <c r="E1222" s="1"/>
      <c r="F1222" s="1"/>
      <c r="G1222" s="1"/>
      <c r="H1222" s="1"/>
      <c r="I1222" s="1"/>
      <c r="J1222" s="1"/>
      <c r="K1222" s="1"/>
      <c r="L1222" s="1"/>
      <c r="M1222" s="1"/>
      <c r="N1222" s="1"/>
      <c r="O1222" s="1"/>
      <c r="P1222" s="1"/>
      <c r="Q1222" s="1"/>
      <c r="R1222" s="1"/>
      <c r="S1222" s="1"/>
      <c r="T1222" s="1"/>
      <c r="U1222" s="1"/>
      <c r="V1222" s="1"/>
      <c r="W1222" s="1"/>
      <c r="X1222" s="1"/>
      <c r="Y1222" s="1"/>
      <c r="Z1222" s="1"/>
    </row>
    <row r="1223" ht="15.75" customHeight="1">
      <c r="A1223" s="2">
        <f>IFERROR(__xludf.DUMMYFUNCTION("""COMPUTED_VALUE"""),611000.0)</f>
        <v>611000</v>
      </c>
      <c r="B1223" s="2">
        <f>IFERROR(__xludf.DUMMYFUNCTION("""COMPUTED_VALUE"""),12220.0)</f>
        <v>12220</v>
      </c>
      <c r="C1223" s="66">
        <f>IFERROR(__xludf.DUMMYFUNCTION("""COMPUTED_VALUE"""),7.46031E9)</f>
        <v>7460310000</v>
      </c>
      <c r="D1223" s="1"/>
      <c r="E1223" s="1"/>
      <c r="F1223" s="1"/>
      <c r="G1223" s="1"/>
      <c r="H1223" s="1"/>
      <c r="I1223" s="1"/>
      <c r="J1223" s="1"/>
      <c r="K1223" s="1"/>
      <c r="L1223" s="1"/>
      <c r="M1223" s="1"/>
      <c r="N1223" s="1"/>
      <c r="O1223" s="1"/>
      <c r="P1223" s="1"/>
      <c r="Q1223" s="1"/>
      <c r="R1223" s="1"/>
      <c r="S1223" s="1"/>
      <c r="T1223" s="1"/>
      <c r="U1223" s="1"/>
      <c r="V1223" s="1"/>
      <c r="W1223" s="1"/>
      <c r="X1223" s="1"/>
      <c r="Y1223" s="1"/>
      <c r="Z1223" s="1"/>
    </row>
    <row r="1224" ht="15.75" customHeight="1">
      <c r="A1224" s="2">
        <f>IFERROR(__xludf.DUMMYFUNCTION("""COMPUTED_VALUE"""),611500.0)</f>
        <v>611500</v>
      </c>
      <c r="B1224" s="2">
        <f>IFERROR(__xludf.DUMMYFUNCTION("""COMPUTED_VALUE"""),12230.0)</f>
        <v>12230</v>
      </c>
      <c r="C1224" s="66">
        <f>IFERROR(__xludf.DUMMYFUNCTION("""COMPUTED_VALUE"""),7.47253E9)</f>
        <v>7472530000</v>
      </c>
      <c r="D1224" s="1"/>
      <c r="E1224" s="1"/>
      <c r="F1224" s="1"/>
      <c r="G1224" s="1"/>
      <c r="H1224" s="1"/>
      <c r="I1224" s="1"/>
      <c r="J1224" s="1"/>
      <c r="K1224" s="1"/>
      <c r="L1224" s="1"/>
      <c r="M1224" s="1"/>
      <c r="N1224" s="1"/>
      <c r="O1224" s="1"/>
      <c r="P1224" s="1"/>
      <c r="Q1224" s="1"/>
      <c r="R1224" s="1"/>
      <c r="S1224" s="1"/>
      <c r="T1224" s="1"/>
      <c r="U1224" s="1"/>
      <c r="V1224" s="1"/>
      <c r="W1224" s="1"/>
      <c r="X1224" s="1"/>
      <c r="Y1224" s="1"/>
      <c r="Z1224" s="1"/>
    </row>
    <row r="1225" ht="15.75" customHeight="1">
      <c r="A1225" s="2">
        <f>IFERROR(__xludf.DUMMYFUNCTION("""COMPUTED_VALUE"""),612000.0)</f>
        <v>612000</v>
      </c>
      <c r="B1225" s="2">
        <f>IFERROR(__xludf.DUMMYFUNCTION("""COMPUTED_VALUE"""),12240.0)</f>
        <v>12240</v>
      </c>
      <c r="C1225" s="66">
        <f>IFERROR(__xludf.DUMMYFUNCTION("""COMPUTED_VALUE"""),7.48476E9)</f>
        <v>7484760000</v>
      </c>
      <c r="D1225" s="1"/>
      <c r="E1225" s="1"/>
      <c r="F1225" s="1"/>
      <c r="G1225" s="1"/>
      <c r="H1225" s="1"/>
      <c r="I1225" s="1"/>
      <c r="J1225" s="1"/>
      <c r="K1225" s="1"/>
      <c r="L1225" s="1"/>
      <c r="M1225" s="1"/>
      <c r="N1225" s="1"/>
      <c r="O1225" s="1"/>
      <c r="P1225" s="1"/>
      <c r="Q1225" s="1"/>
      <c r="R1225" s="1"/>
      <c r="S1225" s="1"/>
      <c r="T1225" s="1"/>
      <c r="U1225" s="1"/>
      <c r="V1225" s="1"/>
      <c r="W1225" s="1"/>
      <c r="X1225" s="1"/>
      <c r="Y1225" s="1"/>
      <c r="Z1225" s="1"/>
    </row>
    <row r="1226" ht="15.75" customHeight="1">
      <c r="A1226" s="2">
        <f>IFERROR(__xludf.DUMMYFUNCTION("""COMPUTED_VALUE"""),612500.0)</f>
        <v>612500</v>
      </c>
      <c r="B1226" s="2">
        <f>IFERROR(__xludf.DUMMYFUNCTION("""COMPUTED_VALUE"""),12250.0)</f>
        <v>12250</v>
      </c>
      <c r="C1226" s="66">
        <f>IFERROR(__xludf.DUMMYFUNCTION("""COMPUTED_VALUE"""),7.497E9)</f>
        <v>7497000000</v>
      </c>
      <c r="D1226" s="1"/>
      <c r="E1226" s="1"/>
      <c r="F1226" s="1"/>
      <c r="G1226" s="1"/>
      <c r="H1226" s="1"/>
      <c r="I1226" s="1"/>
      <c r="J1226" s="1"/>
      <c r="K1226" s="1"/>
      <c r="L1226" s="1"/>
      <c r="M1226" s="1"/>
      <c r="N1226" s="1"/>
      <c r="O1226" s="1"/>
      <c r="P1226" s="1"/>
      <c r="Q1226" s="1"/>
      <c r="R1226" s="1"/>
      <c r="S1226" s="1"/>
      <c r="T1226" s="1"/>
      <c r="U1226" s="1"/>
      <c r="V1226" s="1"/>
      <c r="W1226" s="1"/>
      <c r="X1226" s="1"/>
      <c r="Y1226" s="1"/>
      <c r="Z1226" s="1"/>
    </row>
    <row r="1227" ht="15.75" customHeight="1">
      <c r="A1227" s="2">
        <f>IFERROR(__xludf.DUMMYFUNCTION("""COMPUTED_VALUE"""),613000.0)</f>
        <v>613000</v>
      </c>
      <c r="B1227" s="2">
        <f>IFERROR(__xludf.DUMMYFUNCTION("""COMPUTED_VALUE"""),12260.0)</f>
        <v>12260</v>
      </c>
      <c r="C1227" s="66">
        <f>IFERROR(__xludf.DUMMYFUNCTION("""COMPUTED_VALUE"""),7.50925E9)</f>
        <v>7509250000</v>
      </c>
      <c r="D1227" s="1"/>
      <c r="E1227" s="1"/>
      <c r="F1227" s="1"/>
      <c r="G1227" s="1"/>
      <c r="H1227" s="1"/>
      <c r="I1227" s="1"/>
      <c r="J1227" s="1"/>
      <c r="K1227" s="1"/>
      <c r="L1227" s="1"/>
      <c r="M1227" s="1"/>
      <c r="N1227" s="1"/>
      <c r="O1227" s="1"/>
      <c r="P1227" s="1"/>
      <c r="Q1227" s="1"/>
      <c r="R1227" s="1"/>
      <c r="S1227" s="1"/>
      <c r="T1227" s="1"/>
      <c r="U1227" s="1"/>
      <c r="V1227" s="1"/>
      <c r="W1227" s="1"/>
      <c r="X1227" s="1"/>
      <c r="Y1227" s="1"/>
      <c r="Z1227" s="1"/>
    </row>
    <row r="1228" ht="15.75" customHeight="1">
      <c r="A1228" s="2">
        <f>IFERROR(__xludf.DUMMYFUNCTION("""COMPUTED_VALUE"""),613500.0)</f>
        <v>613500</v>
      </c>
      <c r="B1228" s="2">
        <f>IFERROR(__xludf.DUMMYFUNCTION("""COMPUTED_VALUE"""),12270.0)</f>
        <v>12270</v>
      </c>
      <c r="C1228" s="66">
        <f>IFERROR(__xludf.DUMMYFUNCTION("""COMPUTED_VALUE"""),7.52151E9)</f>
        <v>7521510000</v>
      </c>
      <c r="D1228" s="1"/>
      <c r="E1228" s="1"/>
      <c r="F1228" s="1"/>
      <c r="G1228" s="1"/>
      <c r="H1228" s="1"/>
      <c r="I1228" s="1"/>
      <c r="J1228" s="1"/>
      <c r="K1228" s="1"/>
      <c r="L1228" s="1"/>
      <c r="M1228" s="1"/>
      <c r="N1228" s="1"/>
      <c r="O1228" s="1"/>
      <c r="P1228" s="1"/>
      <c r="Q1228" s="1"/>
      <c r="R1228" s="1"/>
      <c r="S1228" s="1"/>
      <c r="T1228" s="1"/>
      <c r="U1228" s="1"/>
      <c r="V1228" s="1"/>
      <c r="W1228" s="1"/>
      <c r="X1228" s="1"/>
      <c r="Y1228" s="1"/>
      <c r="Z1228" s="1"/>
    </row>
    <row r="1229" ht="15.75" customHeight="1">
      <c r="A1229" s="2">
        <f>IFERROR(__xludf.DUMMYFUNCTION("""COMPUTED_VALUE"""),614000.0)</f>
        <v>614000</v>
      </c>
      <c r="B1229" s="2">
        <f>IFERROR(__xludf.DUMMYFUNCTION("""COMPUTED_VALUE"""),12280.0)</f>
        <v>12280</v>
      </c>
      <c r="C1229" s="66">
        <f>IFERROR(__xludf.DUMMYFUNCTION("""COMPUTED_VALUE"""),7.53378E9)</f>
        <v>7533780000</v>
      </c>
      <c r="D1229" s="1"/>
      <c r="E1229" s="1"/>
      <c r="F1229" s="1"/>
      <c r="G1229" s="1"/>
      <c r="H1229" s="1"/>
      <c r="I1229" s="1"/>
      <c r="J1229" s="1"/>
      <c r="K1229" s="1"/>
      <c r="L1229" s="1"/>
      <c r="M1229" s="1"/>
      <c r="N1229" s="1"/>
      <c r="O1229" s="1"/>
      <c r="P1229" s="1"/>
      <c r="Q1229" s="1"/>
      <c r="R1229" s="1"/>
      <c r="S1229" s="1"/>
      <c r="T1229" s="1"/>
      <c r="U1229" s="1"/>
      <c r="V1229" s="1"/>
      <c r="W1229" s="1"/>
      <c r="X1229" s="1"/>
      <c r="Y1229" s="1"/>
      <c r="Z1229" s="1"/>
    </row>
    <row r="1230" ht="15.75" customHeight="1">
      <c r="A1230" s="2">
        <f>IFERROR(__xludf.DUMMYFUNCTION("""COMPUTED_VALUE"""),614500.0)</f>
        <v>614500</v>
      </c>
      <c r="B1230" s="2">
        <f>IFERROR(__xludf.DUMMYFUNCTION("""COMPUTED_VALUE"""),12290.0)</f>
        <v>12290</v>
      </c>
      <c r="C1230" s="66">
        <f>IFERROR(__xludf.DUMMYFUNCTION("""COMPUTED_VALUE"""),7.54606E9)</f>
        <v>7546060000</v>
      </c>
      <c r="D1230" s="1"/>
      <c r="E1230" s="1"/>
      <c r="F1230" s="1"/>
      <c r="G1230" s="1"/>
      <c r="H1230" s="1"/>
      <c r="I1230" s="1"/>
      <c r="J1230" s="1"/>
      <c r="K1230" s="1"/>
      <c r="L1230" s="1"/>
      <c r="M1230" s="1"/>
      <c r="N1230" s="1"/>
      <c r="O1230" s="1"/>
      <c r="P1230" s="1"/>
      <c r="Q1230" s="1"/>
      <c r="R1230" s="1"/>
      <c r="S1230" s="1"/>
      <c r="T1230" s="1"/>
      <c r="U1230" s="1"/>
      <c r="V1230" s="1"/>
      <c r="W1230" s="1"/>
      <c r="X1230" s="1"/>
      <c r="Y1230" s="1"/>
      <c r="Z1230" s="1"/>
    </row>
    <row r="1231" ht="15.75" customHeight="1">
      <c r="A1231" s="2">
        <f>IFERROR(__xludf.DUMMYFUNCTION("""COMPUTED_VALUE"""),615000.0)</f>
        <v>615000</v>
      </c>
      <c r="B1231" s="2">
        <f>IFERROR(__xludf.DUMMYFUNCTION("""COMPUTED_VALUE"""),12300.0)</f>
        <v>12300</v>
      </c>
      <c r="C1231" s="66">
        <f>IFERROR(__xludf.DUMMYFUNCTION("""COMPUTED_VALUE"""),7.55835E9)</f>
        <v>7558350000</v>
      </c>
      <c r="D1231" s="1"/>
      <c r="E1231" s="1"/>
      <c r="F1231" s="1"/>
      <c r="G1231" s="1"/>
      <c r="H1231" s="1"/>
      <c r="I1231" s="1"/>
      <c r="J1231" s="1"/>
      <c r="K1231" s="1"/>
      <c r="L1231" s="1"/>
      <c r="M1231" s="1"/>
      <c r="N1231" s="1"/>
      <c r="O1231" s="1"/>
      <c r="P1231" s="1"/>
      <c r="Q1231" s="1"/>
      <c r="R1231" s="1"/>
      <c r="S1231" s="1"/>
      <c r="T1231" s="1"/>
      <c r="U1231" s="1"/>
      <c r="V1231" s="1"/>
      <c r="W1231" s="1"/>
      <c r="X1231" s="1"/>
      <c r="Y1231" s="1"/>
      <c r="Z1231" s="1"/>
    </row>
    <row r="1232" ht="15.75" customHeight="1">
      <c r="A1232" s="2">
        <f>IFERROR(__xludf.DUMMYFUNCTION("""COMPUTED_VALUE"""),615500.0)</f>
        <v>615500</v>
      </c>
      <c r="B1232" s="2">
        <f>IFERROR(__xludf.DUMMYFUNCTION("""COMPUTED_VALUE"""),12310.0)</f>
        <v>12310</v>
      </c>
      <c r="C1232" s="66">
        <f>IFERROR(__xludf.DUMMYFUNCTION("""COMPUTED_VALUE"""),7.57065E9)</f>
        <v>7570650000</v>
      </c>
      <c r="D1232" s="1"/>
      <c r="E1232" s="1"/>
      <c r="F1232" s="1"/>
      <c r="G1232" s="1"/>
      <c r="H1232" s="1"/>
      <c r="I1232" s="1"/>
      <c r="J1232" s="1"/>
      <c r="K1232" s="1"/>
      <c r="L1232" s="1"/>
      <c r="M1232" s="1"/>
      <c r="N1232" s="1"/>
      <c r="O1232" s="1"/>
      <c r="P1232" s="1"/>
      <c r="Q1232" s="1"/>
      <c r="R1232" s="1"/>
      <c r="S1232" s="1"/>
      <c r="T1232" s="1"/>
      <c r="U1232" s="1"/>
      <c r="V1232" s="1"/>
      <c r="W1232" s="1"/>
      <c r="X1232" s="1"/>
      <c r="Y1232" s="1"/>
      <c r="Z1232" s="1"/>
    </row>
    <row r="1233" ht="15.75" customHeight="1">
      <c r="A1233" s="2">
        <f>IFERROR(__xludf.DUMMYFUNCTION("""COMPUTED_VALUE"""),616000.0)</f>
        <v>616000</v>
      </c>
      <c r="B1233" s="2">
        <f>IFERROR(__xludf.DUMMYFUNCTION("""COMPUTED_VALUE"""),12320.0)</f>
        <v>12320</v>
      </c>
      <c r="C1233" s="66">
        <f>IFERROR(__xludf.DUMMYFUNCTION("""COMPUTED_VALUE"""),7.58296E9)</f>
        <v>7582960000</v>
      </c>
      <c r="D1233" s="1"/>
      <c r="E1233" s="1"/>
      <c r="F1233" s="1"/>
      <c r="G1233" s="1"/>
      <c r="H1233" s="1"/>
      <c r="I1233" s="1"/>
      <c r="J1233" s="1"/>
      <c r="K1233" s="1"/>
      <c r="L1233" s="1"/>
      <c r="M1233" s="1"/>
      <c r="N1233" s="1"/>
      <c r="O1233" s="1"/>
      <c r="P1233" s="1"/>
      <c r="Q1233" s="1"/>
      <c r="R1233" s="1"/>
      <c r="S1233" s="1"/>
      <c r="T1233" s="1"/>
      <c r="U1233" s="1"/>
      <c r="V1233" s="1"/>
      <c r="W1233" s="1"/>
      <c r="X1233" s="1"/>
      <c r="Y1233" s="1"/>
      <c r="Z1233" s="1"/>
    </row>
    <row r="1234" ht="15.75" customHeight="1">
      <c r="A1234" s="2">
        <f>IFERROR(__xludf.DUMMYFUNCTION("""COMPUTED_VALUE"""),616500.0)</f>
        <v>616500</v>
      </c>
      <c r="B1234" s="2">
        <f>IFERROR(__xludf.DUMMYFUNCTION("""COMPUTED_VALUE"""),12330.0)</f>
        <v>12330</v>
      </c>
      <c r="C1234" s="66">
        <f>IFERROR(__xludf.DUMMYFUNCTION("""COMPUTED_VALUE"""),7.59528E9)</f>
        <v>7595280000</v>
      </c>
      <c r="D1234" s="1"/>
      <c r="E1234" s="1"/>
      <c r="F1234" s="1"/>
      <c r="G1234" s="1"/>
      <c r="H1234" s="1"/>
      <c r="I1234" s="1"/>
      <c r="J1234" s="1"/>
      <c r="K1234" s="1"/>
      <c r="L1234" s="1"/>
      <c r="M1234" s="1"/>
      <c r="N1234" s="1"/>
      <c r="O1234" s="1"/>
      <c r="P1234" s="1"/>
      <c r="Q1234" s="1"/>
      <c r="R1234" s="1"/>
      <c r="S1234" s="1"/>
      <c r="T1234" s="1"/>
      <c r="U1234" s="1"/>
      <c r="V1234" s="1"/>
      <c r="W1234" s="1"/>
      <c r="X1234" s="1"/>
      <c r="Y1234" s="1"/>
      <c r="Z1234" s="1"/>
    </row>
    <row r="1235" ht="15.75" customHeight="1">
      <c r="A1235" s="2">
        <f>IFERROR(__xludf.DUMMYFUNCTION("""COMPUTED_VALUE"""),617000.0)</f>
        <v>617000</v>
      </c>
      <c r="B1235" s="2">
        <f>IFERROR(__xludf.DUMMYFUNCTION("""COMPUTED_VALUE"""),12340.0)</f>
        <v>12340</v>
      </c>
      <c r="C1235" s="66">
        <f>IFERROR(__xludf.DUMMYFUNCTION("""COMPUTED_VALUE"""),7.60761E9)</f>
        <v>7607610000</v>
      </c>
      <c r="D1235" s="1"/>
      <c r="E1235" s="1"/>
      <c r="F1235" s="1"/>
      <c r="G1235" s="1"/>
      <c r="H1235" s="1"/>
      <c r="I1235" s="1"/>
      <c r="J1235" s="1"/>
      <c r="K1235" s="1"/>
      <c r="L1235" s="1"/>
      <c r="M1235" s="1"/>
      <c r="N1235" s="1"/>
      <c r="O1235" s="1"/>
      <c r="P1235" s="1"/>
      <c r="Q1235" s="1"/>
      <c r="R1235" s="1"/>
      <c r="S1235" s="1"/>
      <c r="T1235" s="1"/>
      <c r="U1235" s="1"/>
      <c r="V1235" s="1"/>
      <c r="W1235" s="1"/>
      <c r="X1235" s="1"/>
      <c r="Y1235" s="1"/>
      <c r="Z1235" s="1"/>
    </row>
    <row r="1236" ht="15.75" customHeight="1">
      <c r="A1236" s="2">
        <f>IFERROR(__xludf.DUMMYFUNCTION("""COMPUTED_VALUE"""),617500.0)</f>
        <v>617500</v>
      </c>
      <c r="B1236" s="2">
        <f>IFERROR(__xludf.DUMMYFUNCTION("""COMPUTED_VALUE"""),12350.0)</f>
        <v>12350</v>
      </c>
      <c r="C1236" s="66">
        <f>IFERROR(__xludf.DUMMYFUNCTION("""COMPUTED_VALUE"""),7.61995E9)</f>
        <v>7619950000</v>
      </c>
      <c r="D1236" s="1"/>
      <c r="E1236" s="1"/>
      <c r="F1236" s="1"/>
      <c r="G1236" s="1"/>
      <c r="H1236" s="1"/>
      <c r="I1236" s="1"/>
      <c r="J1236" s="1"/>
      <c r="K1236" s="1"/>
      <c r="L1236" s="1"/>
      <c r="M1236" s="1"/>
      <c r="N1236" s="1"/>
      <c r="O1236" s="1"/>
      <c r="P1236" s="1"/>
      <c r="Q1236" s="1"/>
      <c r="R1236" s="1"/>
      <c r="S1236" s="1"/>
      <c r="T1236" s="1"/>
      <c r="U1236" s="1"/>
      <c r="V1236" s="1"/>
      <c r="W1236" s="1"/>
      <c r="X1236" s="1"/>
      <c r="Y1236" s="1"/>
      <c r="Z1236" s="1"/>
    </row>
    <row r="1237" ht="15.75" customHeight="1">
      <c r="A1237" s="2">
        <f>IFERROR(__xludf.DUMMYFUNCTION("""COMPUTED_VALUE"""),618000.0)</f>
        <v>618000</v>
      </c>
      <c r="B1237" s="2">
        <f>IFERROR(__xludf.DUMMYFUNCTION("""COMPUTED_VALUE"""),12360.0)</f>
        <v>12360</v>
      </c>
      <c r="C1237" s="66">
        <f>IFERROR(__xludf.DUMMYFUNCTION("""COMPUTED_VALUE"""),7.6323E9)</f>
        <v>7632300000</v>
      </c>
      <c r="D1237" s="1"/>
      <c r="E1237" s="1"/>
      <c r="F1237" s="1"/>
      <c r="G1237" s="1"/>
      <c r="H1237" s="1"/>
      <c r="I1237" s="1"/>
      <c r="J1237" s="1"/>
      <c r="K1237" s="1"/>
      <c r="L1237" s="1"/>
      <c r="M1237" s="1"/>
      <c r="N1237" s="1"/>
      <c r="O1237" s="1"/>
      <c r="P1237" s="1"/>
      <c r="Q1237" s="1"/>
      <c r="R1237" s="1"/>
      <c r="S1237" s="1"/>
      <c r="T1237" s="1"/>
      <c r="U1237" s="1"/>
      <c r="V1237" s="1"/>
      <c r="W1237" s="1"/>
      <c r="X1237" s="1"/>
      <c r="Y1237" s="1"/>
      <c r="Z1237" s="1"/>
    </row>
    <row r="1238" ht="15.75" customHeight="1">
      <c r="A1238" s="2">
        <f>IFERROR(__xludf.DUMMYFUNCTION("""COMPUTED_VALUE"""),618500.0)</f>
        <v>618500</v>
      </c>
      <c r="B1238" s="2">
        <f>IFERROR(__xludf.DUMMYFUNCTION("""COMPUTED_VALUE"""),12370.0)</f>
        <v>12370</v>
      </c>
      <c r="C1238" s="66">
        <f>IFERROR(__xludf.DUMMYFUNCTION("""COMPUTED_VALUE"""),7.64466E9)</f>
        <v>7644660000</v>
      </c>
      <c r="D1238" s="1"/>
      <c r="E1238" s="1"/>
      <c r="F1238" s="1"/>
      <c r="G1238" s="1"/>
      <c r="H1238" s="1"/>
      <c r="I1238" s="1"/>
      <c r="J1238" s="1"/>
      <c r="K1238" s="1"/>
      <c r="L1238" s="1"/>
      <c r="M1238" s="1"/>
      <c r="N1238" s="1"/>
      <c r="O1238" s="1"/>
      <c r="P1238" s="1"/>
      <c r="Q1238" s="1"/>
      <c r="R1238" s="1"/>
      <c r="S1238" s="1"/>
      <c r="T1238" s="1"/>
      <c r="U1238" s="1"/>
      <c r="V1238" s="1"/>
      <c r="W1238" s="1"/>
      <c r="X1238" s="1"/>
      <c r="Y1238" s="1"/>
      <c r="Z1238" s="1"/>
    </row>
    <row r="1239" ht="15.75" customHeight="1">
      <c r="A1239" s="2">
        <f>IFERROR(__xludf.DUMMYFUNCTION("""COMPUTED_VALUE"""),619000.0)</f>
        <v>619000</v>
      </c>
      <c r="B1239" s="2">
        <f>IFERROR(__xludf.DUMMYFUNCTION("""COMPUTED_VALUE"""),12380.0)</f>
        <v>12380</v>
      </c>
      <c r="C1239" s="66">
        <f>IFERROR(__xludf.DUMMYFUNCTION("""COMPUTED_VALUE"""),7.65703E9)</f>
        <v>7657030000</v>
      </c>
      <c r="D1239" s="1"/>
      <c r="E1239" s="1"/>
      <c r="F1239" s="1"/>
      <c r="G1239" s="1"/>
      <c r="H1239" s="1"/>
      <c r="I1239" s="1"/>
      <c r="J1239" s="1"/>
      <c r="K1239" s="1"/>
      <c r="L1239" s="1"/>
      <c r="M1239" s="1"/>
      <c r="N1239" s="1"/>
      <c r="O1239" s="1"/>
      <c r="P1239" s="1"/>
      <c r="Q1239" s="1"/>
      <c r="R1239" s="1"/>
      <c r="S1239" s="1"/>
      <c r="T1239" s="1"/>
      <c r="U1239" s="1"/>
      <c r="V1239" s="1"/>
      <c r="W1239" s="1"/>
      <c r="X1239" s="1"/>
      <c r="Y1239" s="1"/>
      <c r="Z1239" s="1"/>
    </row>
    <row r="1240" ht="15.75" customHeight="1">
      <c r="A1240" s="2">
        <f>IFERROR(__xludf.DUMMYFUNCTION("""COMPUTED_VALUE"""),619500.0)</f>
        <v>619500</v>
      </c>
      <c r="B1240" s="2">
        <f>IFERROR(__xludf.DUMMYFUNCTION("""COMPUTED_VALUE"""),12390.0)</f>
        <v>12390</v>
      </c>
      <c r="C1240" s="66">
        <f>IFERROR(__xludf.DUMMYFUNCTION("""COMPUTED_VALUE"""),7.66941E9)</f>
        <v>7669410000</v>
      </c>
      <c r="D1240" s="1"/>
      <c r="E1240" s="1"/>
      <c r="F1240" s="1"/>
      <c r="G1240" s="1"/>
      <c r="H1240" s="1"/>
      <c r="I1240" s="1"/>
      <c r="J1240" s="1"/>
      <c r="K1240" s="1"/>
      <c r="L1240" s="1"/>
      <c r="M1240" s="1"/>
      <c r="N1240" s="1"/>
      <c r="O1240" s="1"/>
      <c r="P1240" s="1"/>
      <c r="Q1240" s="1"/>
      <c r="R1240" s="1"/>
      <c r="S1240" s="1"/>
      <c r="T1240" s="1"/>
      <c r="U1240" s="1"/>
      <c r="V1240" s="1"/>
      <c r="W1240" s="1"/>
      <c r="X1240" s="1"/>
      <c r="Y1240" s="1"/>
      <c r="Z1240" s="1"/>
    </row>
    <row r="1241" ht="15.75" customHeight="1">
      <c r="A1241" s="2">
        <f>IFERROR(__xludf.DUMMYFUNCTION("""COMPUTED_VALUE"""),620000.0)</f>
        <v>620000</v>
      </c>
      <c r="B1241" s="2">
        <f>IFERROR(__xludf.DUMMYFUNCTION("""COMPUTED_VALUE"""),12400.0)</f>
        <v>12400</v>
      </c>
      <c r="C1241" s="66">
        <f>IFERROR(__xludf.DUMMYFUNCTION("""COMPUTED_VALUE"""),7.6818E9)</f>
        <v>7681800000</v>
      </c>
      <c r="D1241" s="1"/>
      <c r="E1241" s="1"/>
      <c r="F1241" s="1"/>
      <c r="G1241" s="1"/>
      <c r="H1241" s="1"/>
      <c r="I1241" s="1"/>
      <c r="J1241" s="1"/>
      <c r="K1241" s="1"/>
      <c r="L1241" s="1"/>
      <c r="M1241" s="1"/>
      <c r="N1241" s="1"/>
      <c r="O1241" s="1"/>
      <c r="P1241" s="1"/>
      <c r="Q1241" s="1"/>
      <c r="R1241" s="1"/>
      <c r="S1241" s="1"/>
      <c r="T1241" s="1"/>
      <c r="U1241" s="1"/>
      <c r="V1241" s="1"/>
      <c r="W1241" s="1"/>
      <c r="X1241" s="1"/>
      <c r="Y1241" s="1"/>
      <c r="Z1241" s="1"/>
    </row>
    <row r="1242" ht="15.75" customHeight="1">
      <c r="A1242" s="2">
        <f>IFERROR(__xludf.DUMMYFUNCTION("""COMPUTED_VALUE"""),620500.0)</f>
        <v>620500</v>
      </c>
      <c r="B1242" s="2">
        <f>IFERROR(__xludf.DUMMYFUNCTION("""COMPUTED_VALUE"""),12410.0)</f>
        <v>12410</v>
      </c>
      <c r="C1242" s="66">
        <f>IFERROR(__xludf.DUMMYFUNCTION("""COMPUTED_VALUE"""),7.6942E9)</f>
        <v>7694200000</v>
      </c>
      <c r="D1242" s="1"/>
      <c r="E1242" s="1"/>
      <c r="F1242" s="1"/>
      <c r="G1242" s="1"/>
      <c r="H1242" s="1"/>
      <c r="I1242" s="1"/>
      <c r="J1242" s="1"/>
      <c r="K1242" s="1"/>
      <c r="L1242" s="1"/>
      <c r="M1242" s="1"/>
      <c r="N1242" s="1"/>
      <c r="O1242" s="1"/>
      <c r="P1242" s="1"/>
      <c r="Q1242" s="1"/>
      <c r="R1242" s="1"/>
      <c r="S1242" s="1"/>
      <c r="T1242" s="1"/>
      <c r="U1242" s="1"/>
      <c r="V1242" s="1"/>
      <c r="W1242" s="1"/>
      <c r="X1242" s="1"/>
      <c r="Y1242" s="1"/>
      <c r="Z1242" s="1"/>
    </row>
    <row r="1243" ht="15.75" customHeight="1">
      <c r="A1243" s="2">
        <f>IFERROR(__xludf.DUMMYFUNCTION("""COMPUTED_VALUE"""),621000.0)</f>
        <v>621000</v>
      </c>
      <c r="B1243" s="2">
        <f>IFERROR(__xludf.DUMMYFUNCTION("""COMPUTED_VALUE"""),12420.0)</f>
        <v>12420</v>
      </c>
      <c r="C1243" s="66">
        <f>IFERROR(__xludf.DUMMYFUNCTION("""COMPUTED_VALUE"""),7.70661E9)</f>
        <v>7706610000</v>
      </c>
      <c r="D1243" s="1"/>
      <c r="E1243" s="1"/>
      <c r="F1243" s="1"/>
      <c r="G1243" s="1"/>
      <c r="H1243" s="1"/>
      <c r="I1243" s="1"/>
      <c r="J1243" s="1"/>
      <c r="K1243" s="1"/>
      <c r="L1243" s="1"/>
      <c r="M1243" s="1"/>
      <c r="N1243" s="1"/>
      <c r="O1243" s="1"/>
      <c r="P1243" s="1"/>
      <c r="Q1243" s="1"/>
      <c r="R1243" s="1"/>
      <c r="S1243" s="1"/>
      <c r="T1243" s="1"/>
      <c r="U1243" s="1"/>
      <c r="V1243" s="1"/>
      <c r="W1243" s="1"/>
      <c r="X1243" s="1"/>
      <c r="Y1243" s="1"/>
      <c r="Z1243" s="1"/>
    </row>
    <row r="1244" ht="15.75" customHeight="1">
      <c r="A1244" s="2">
        <f>IFERROR(__xludf.DUMMYFUNCTION("""COMPUTED_VALUE"""),621500.0)</f>
        <v>621500</v>
      </c>
      <c r="B1244" s="2">
        <f>IFERROR(__xludf.DUMMYFUNCTION("""COMPUTED_VALUE"""),12430.0)</f>
        <v>12430</v>
      </c>
      <c r="C1244" s="66">
        <f>IFERROR(__xludf.DUMMYFUNCTION("""COMPUTED_VALUE"""),7.71903E9)</f>
        <v>7719030000</v>
      </c>
      <c r="D1244" s="1"/>
      <c r="E1244" s="1"/>
      <c r="F1244" s="1"/>
      <c r="G1244" s="1"/>
      <c r="H1244" s="1"/>
      <c r="I1244" s="1"/>
      <c r="J1244" s="1"/>
      <c r="K1244" s="1"/>
      <c r="L1244" s="1"/>
      <c r="M1244" s="1"/>
      <c r="N1244" s="1"/>
      <c r="O1244" s="1"/>
      <c r="P1244" s="1"/>
      <c r="Q1244" s="1"/>
      <c r="R1244" s="1"/>
      <c r="S1244" s="1"/>
      <c r="T1244" s="1"/>
      <c r="U1244" s="1"/>
      <c r="V1244" s="1"/>
      <c r="W1244" s="1"/>
      <c r="X1244" s="1"/>
      <c r="Y1244" s="1"/>
      <c r="Z1244" s="1"/>
    </row>
    <row r="1245" ht="15.75" customHeight="1">
      <c r="A1245" s="2">
        <f>IFERROR(__xludf.DUMMYFUNCTION("""COMPUTED_VALUE"""),622000.0)</f>
        <v>622000</v>
      </c>
      <c r="B1245" s="2">
        <f>IFERROR(__xludf.DUMMYFUNCTION("""COMPUTED_VALUE"""),12440.0)</f>
        <v>12440</v>
      </c>
      <c r="C1245" s="66">
        <f>IFERROR(__xludf.DUMMYFUNCTION("""COMPUTED_VALUE"""),7.73146E9)</f>
        <v>7731460000</v>
      </c>
      <c r="D1245" s="1"/>
      <c r="E1245" s="1"/>
      <c r="F1245" s="1"/>
      <c r="G1245" s="1"/>
      <c r="H1245" s="1"/>
      <c r="I1245" s="1"/>
      <c r="J1245" s="1"/>
      <c r="K1245" s="1"/>
      <c r="L1245" s="1"/>
      <c r="M1245" s="1"/>
      <c r="N1245" s="1"/>
      <c r="O1245" s="1"/>
      <c r="P1245" s="1"/>
      <c r="Q1245" s="1"/>
      <c r="R1245" s="1"/>
      <c r="S1245" s="1"/>
      <c r="T1245" s="1"/>
      <c r="U1245" s="1"/>
      <c r="V1245" s="1"/>
      <c r="W1245" s="1"/>
      <c r="X1245" s="1"/>
      <c r="Y1245" s="1"/>
      <c r="Z1245" s="1"/>
    </row>
    <row r="1246" ht="15.75" customHeight="1">
      <c r="A1246" s="2">
        <f>IFERROR(__xludf.DUMMYFUNCTION("""COMPUTED_VALUE"""),622500.0)</f>
        <v>622500</v>
      </c>
      <c r="B1246" s="2">
        <f>IFERROR(__xludf.DUMMYFUNCTION("""COMPUTED_VALUE"""),12450.0)</f>
        <v>12450</v>
      </c>
      <c r="C1246" s="66">
        <f>IFERROR(__xludf.DUMMYFUNCTION("""COMPUTED_VALUE"""),7.7439E9)</f>
        <v>7743900000</v>
      </c>
      <c r="D1246" s="1"/>
      <c r="E1246" s="1"/>
      <c r="F1246" s="1"/>
      <c r="G1246" s="1"/>
      <c r="H1246" s="1"/>
      <c r="I1246" s="1"/>
      <c r="J1246" s="1"/>
      <c r="K1246" s="1"/>
      <c r="L1246" s="1"/>
      <c r="M1246" s="1"/>
      <c r="N1246" s="1"/>
      <c r="O1246" s="1"/>
      <c r="P1246" s="1"/>
      <c r="Q1246" s="1"/>
      <c r="R1246" s="1"/>
      <c r="S1246" s="1"/>
      <c r="T1246" s="1"/>
      <c r="U1246" s="1"/>
      <c r="V1246" s="1"/>
      <c r="W1246" s="1"/>
      <c r="X1246" s="1"/>
      <c r="Y1246" s="1"/>
      <c r="Z1246" s="1"/>
    </row>
    <row r="1247" ht="15.75" customHeight="1">
      <c r="A1247" s="2">
        <f>IFERROR(__xludf.DUMMYFUNCTION("""COMPUTED_VALUE"""),623000.0)</f>
        <v>623000</v>
      </c>
      <c r="B1247" s="2">
        <f>IFERROR(__xludf.DUMMYFUNCTION("""COMPUTED_VALUE"""),12460.0)</f>
        <v>12460</v>
      </c>
      <c r="C1247" s="66">
        <f>IFERROR(__xludf.DUMMYFUNCTION("""COMPUTED_VALUE"""),7.75635E9)</f>
        <v>7756350000</v>
      </c>
      <c r="D1247" s="1"/>
      <c r="E1247" s="1"/>
      <c r="F1247" s="1"/>
      <c r="G1247" s="1"/>
      <c r="H1247" s="1"/>
      <c r="I1247" s="1"/>
      <c r="J1247" s="1"/>
      <c r="K1247" s="1"/>
      <c r="L1247" s="1"/>
      <c r="M1247" s="1"/>
      <c r="N1247" s="1"/>
      <c r="O1247" s="1"/>
      <c r="P1247" s="1"/>
      <c r="Q1247" s="1"/>
      <c r="R1247" s="1"/>
      <c r="S1247" s="1"/>
      <c r="T1247" s="1"/>
      <c r="U1247" s="1"/>
      <c r="V1247" s="1"/>
      <c r="W1247" s="1"/>
      <c r="X1247" s="1"/>
      <c r="Y1247" s="1"/>
      <c r="Z1247" s="1"/>
    </row>
    <row r="1248" ht="15.75" customHeight="1">
      <c r="A1248" s="2">
        <f>IFERROR(__xludf.DUMMYFUNCTION("""COMPUTED_VALUE"""),623500.0)</f>
        <v>623500</v>
      </c>
      <c r="B1248" s="2">
        <f>IFERROR(__xludf.DUMMYFUNCTION("""COMPUTED_VALUE"""),12470.0)</f>
        <v>12470</v>
      </c>
      <c r="C1248" s="66">
        <f>IFERROR(__xludf.DUMMYFUNCTION("""COMPUTED_VALUE"""),7.76881E9)</f>
        <v>7768810000</v>
      </c>
      <c r="D1248" s="1"/>
      <c r="E1248" s="1"/>
      <c r="F1248" s="1"/>
      <c r="G1248" s="1"/>
      <c r="H1248" s="1"/>
      <c r="I1248" s="1"/>
      <c r="J1248" s="1"/>
      <c r="K1248" s="1"/>
      <c r="L1248" s="1"/>
      <c r="M1248" s="1"/>
      <c r="N1248" s="1"/>
      <c r="O1248" s="1"/>
      <c r="P1248" s="1"/>
      <c r="Q1248" s="1"/>
      <c r="R1248" s="1"/>
      <c r="S1248" s="1"/>
      <c r="T1248" s="1"/>
      <c r="U1248" s="1"/>
      <c r="V1248" s="1"/>
      <c r="W1248" s="1"/>
      <c r="X1248" s="1"/>
      <c r="Y1248" s="1"/>
      <c r="Z1248" s="1"/>
    </row>
    <row r="1249" ht="15.75" customHeight="1">
      <c r="A1249" s="2">
        <f>IFERROR(__xludf.DUMMYFUNCTION("""COMPUTED_VALUE"""),624000.0)</f>
        <v>624000</v>
      </c>
      <c r="B1249" s="2">
        <f>IFERROR(__xludf.DUMMYFUNCTION("""COMPUTED_VALUE"""),12480.0)</f>
        <v>12480</v>
      </c>
      <c r="C1249" s="66">
        <f>IFERROR(__xludf.DUMMYFUNCTION("""COMPUTED_VALUE"""),7.78128E9)</f>
        <v>7781280000</v>
      </c>
      <c r="D1249" s="1"/>
      <c r="E1249" s="1"/>
      <c r="F1249" s="1"/>
      <c r="G1249" s="1"/>
      <c r="H1249" s="1"/>
      <c r="I1249" s="1"/>
      <c r="J1249" s="1"/>
      <c r="K1249" s="1"/>
      <c r="L1249" s="1"/>
      <c r="M1249" s="1"/>
      <c r="N1249" s="1"/>
      <c r="O1249" s="1"/>
      <c r="P1249" s="1"/>
      <c r="Q1249" s="1"/>
      <c r="R1249" s="1"/>
      <c r="S1249" s="1"/>
      <c r="T1249" s="1"/>
      <c r="U1249" s="1"/>
      <c r="V1249" s="1"/>
      <c r="W1249" s="1"/>
      <c r="X1249" s="1"/>
      <c r="Y1249" s="1"/>
      <c r="Z1249" s="1"/>
    </row>
    <row r="1250" ht="15.75" customHeight="1">
      <c r="A1250" s="2">
        <f>IFERROR(__xludf.DUMMYFUNCTION("""COMPUTED_VALUE"""),624500.0)</f>
        <v>624500</v>
      </c>
      <c r="B1250" s="2">
        <f>IFERROR(__xludf.DUMMYFUNCTION("""COMPUTED_VALUE"""),12490.0)</f>
        <v>12490</v>
      </c>
      <c r="C1250" s="66">
        <f>IFERROR(__xludf.DUMMYFUNCTION("""COMPUTED_VALUE"""),7.79376E9)</f>
        <v>7793760000</v>
      </c>
      <c r="D1250" s="1"/>
      <c r="E1250" s="1"/>
      <c r="F1250" s="1"/>
      <c r="G1250" s="1"/>
      <c r="H1250" s="1"/>
      <c r="I1250" s="1"/>
      <c r="J1250" s="1"/>
      <c r="K1250" s="1"/>
      <c r="L1250" s="1"/>
      <c r="M1250" s="1"/>
      <c r="N1250" s="1"/>
      <c r="O1250" s="1"/>
      <c r="P1250" s="1"/>
      <c r="Q1250" s="1"/>
      <c r="R1250" s="1"/>
      <c r="S1250" s="1"/>
      <c r="T1250" s="1"/>
      <c r="U1250" s="1"/>
      <c r="V1250" s="1"/>
      <c r="W1250" s="1"/>
      <c r="X1250" s="1"/>
      <c r="Y1250" s="1"/>
      <c r="Z1250" s="1"/>
    </row>
    <row r="1251" ht="15.75" customHeight="1">
      <c r="A1251" s="2">
        <f>IFERROR(__xludf.DUMMYFUNCTION("""COMPUTED_VALUE"""),625000.0)</f>
        <v>625000</v>
      </c>
      <c r="B1251" s="2">
        <f>IFERROR(__xludf.DUMMYFUNCTION("""COMPUTED_VALUE"""),12500.0)</f>
        <v>12500</v>
      </c>
      <c r="C1251" s="66">
        <f>IFERROR(__xludf.DUMMYFUNCTION("""COMPUTED_VALUE"""),7.80625E9)</f>
        <v>7806250000</v>
      </c>
      <c r="D1251" s="1"/>
      <c r="E1251" s="1"/>
      <c r="F1251" s="1"/>
      <c r="G1251" s="1"/>
      <c r="H1251" s="1"/>
      <c r="I1251" s="1"/>
      <c r="J1251" s="1"/>
      <c r="K1251" s="1"/>
      <c r="L1251" s="1"/>
      <c r="M1251" s="1"/>
      <c r="N1251" s="1"/>
      <c r="O1251" s="1"/>
      <c r="P1251" s="1"/>
      <c r="Q1251" s="1"/>
      <c r="R1251" s="1"/>
      <c r="S1251" s="1"/>
      <c r="T1251" s="1"/>
      <c r="U1251" s="1"/>
      <c r="V1251" s="1"/>
      <c r="W1251" s="1"/>
      <c r="X1251" s="1"/>
      <c r="Y1251" s="1"/>
      <c r="Z1251" s="1"/>
    </row>
    <row r="1252" ht="15.75" customHeight="1">
      <c r="A1252" s="2">
        <f>IFERROR(__xludf.DUMMYFUNCTION("""COMPUTED_VALUE"""),625500.0)</f>
        <v>625500</v>
      </c>
      <c r="B1252" s="2">
        <f>IFERROR(__xludf.DUMMYFUNCTION("""COMPUTED_VALUE"""),12510.0)</f>
        <v>12510</v>
      </c>
      <c r="C1252" s="66">
        <f>IFERROR(__xludf.DUMMYFUNCTION("""COMPUTED_VALUE"""),7.81875E9)</f>
        <v>7818750000</v>
      </c>
      <c r="D1252" s="1"/>
      <c r="E1252" s="1"/>
      <c r="F1252" s="1"/>
      <c r="G1252" s="1"/>
      <c r="H1252" s="1"/>
      <c r="I1252" s="1"/>
      <c r="J1252" s="1"/>
      <c r="K1252" s="1"/>
      <c r="L1252" s="1"/>
      <c r="M1252" s="1"/>
      <c r="N1252" s="1"/>
      <c r="O1252" s="1"/>
      <c r="P1252" s="1"/>
      <c r="Q1252" s="1"/>
      <c r="R1252" s="1"/>
      <c r="S1252" s="1"/>
      <c r="T1252" s="1"/>
      <c r="U1252" s="1"/>
      <c r="V1252" s="1"/>
      <c r="W1252" s="1"/>
      <c r="X1252" s="1"/>
      <c r="Y1252" s="1"/>
      <c r="Z1252" s="1"/>
    </row>
    <row r="1253" ht="15.75" customHeight="1">
      <c r="A1253" s="2">
        <f>IFERROR(__xludf.DUMMYFUNCTION("""COMPUTED_VALUE"""),626000.0)</f>
        <v>626000</v>
      </c>
      <c r="B1253" s="2">
        <f>IFERROR(__xludf.DUMMYFUNCTION("""COMPUTED_VALUE"""),12520.0)</f>
        <v>12520</v>
      </c>
      <c r="C1253" s="66">
        <f>IFERROR(__xludf.DUMMYFUNCTION("""COMPUTED_VALUE"""),7.83126E9)</f>
        <v>7831260000</v>
      </c>
      <c r="D1253" s="1"/>
      <c r="E1253" s="1"/>
      <c r="F1253" s="1"/>
      <c r="G1253" s="1"/>
      <c r="H1253" s="1"/>
      <c r="I1253" s="1"/>
      <c r="J1253" s="1"/>
      <c r="K1253" s="1"/>
      <c r="L1253" s="1"/>
      <c r="M1253" s="1"/>
      <c r="N1253" s="1"/>
      <c r="O1253" s="1"/>
      <c r="P1253" s="1"/>
      <c r="Q1253" s="1"/>
      <c r="R1253" s="1"/>
      <c r="S1253" s="1"/>
      <c r="T1253" s="1"/>
      <c r="U1253" s="1"/>
      <c r="V1253" s="1"/>
      <c r="W1253" s="1"/>
      <c r="X1253" s="1"/>
      <c r="Y1253" s="1"/>
      <c r="Z1253" s="1"/>
    </row>
    <row r="1254" ht="15.75" customHeight="1">
      <c r="A1254" s="2">
        <f>IFERROR(__xludf.DUMMYFUNCTION("""COMPUTED_VALUE"""),626500.0)</f>
        <v>626500</v>
      </c>
      <c r="B1254" s="2">
        <f>IFERROR(__xludf.DUMMYFUNCTION("""COMPUTED_VALUE"""),12530.0)</f>
        <v>12530</v>
      </c>
      <c r="C1254" s="66">
        <f>IFERROR(__xludf.DUMMYFUNCTION("""COMPUTED_VALUE"""),7.84378E9)</f>
        <v>7843780000</v>
      </c>
      <c r="D1254" s="1"/>
      <c r="E1254" s="1"/>
      <c r="F1254" s="1"/>
      <c r="G1254" s="1"/>
      <c r="H1254" s="1"/>
      <c r="I1254" s="1"/>
      <c r="J1254" s="1"/>
      <c r="K1254" s="1"/>
      <c r="L1254" s="1"/>
      <c r="M1254" s="1"/>
      <c r="N1254" s="1"/>
      <c r="O1254" s="1"/>
      <c r="P1254" s="1"/>
      <c r="Q1254" s="1"/>
      <c r="R1254" s="1"/>
      <c r="S1254" s="1"/>
      <c r="T1254" s="1"/>
      <c r="U1254" s="1"/>
      <c r="V1254" s="1"/>
      <c r="W1254" s="1"/>
      <c r="X1254" s="1"/>
      <c r="Y1254" s="1"/>
      <c r="Z1254" s="1"/>
    </row>
    <row r="1255" ht="15.75" customHeight="1">
      <c r="A1255" s="2">
        <f>IFERROR(__xludf.DUMMYFUNCTION("""COMPUTED_VALUE"""),627000.0)</f>
        <v>627000</v>
      </c>
      <c r="B1255" s="2">
        <f>IFERROR(__xludf.DUMMYFUNCTION("""COMPUTED_VALUE"""),12540.0)</f>
        <v>12540</v>
      </c>
      <c r="C1255" s="66">
        <f>IFERROR(__xludf.DUMMYFUNCTION("""COMPUTED_VALUE"""),7.85631E9)</f>
        <v>7856310000</v>
      </c>
      <c r="D1255" s="1"/>
      <c r="E1255" s="1"/>
      <c r="F1255" s="1"/>
      <c r="G1255" s="1"/>
      <c r="H1255" s="1"/>
      <c r="I1255" s="1"/>
      <c r="J1255" s="1"/>
      <c r="K1255" s="1"/>
      <c r="L1255" s="1"/>
      <c r="M1255" s="1"/>
      <c r="N1255" s="1"/>
      <c r="O1255" s="1"/>
      <c r="P1255" s="1"/>
      <c r="Q1255" s="1"/>
      <c r="R1255" s="1"/>
      <c r="S1255" s="1"/>
      <c r="T1255" s="1"/>
      <c r="U1255" s="1"/>
      <c r="V1255" s="1"/>
      <c r="W1255" s="1"/>
      <c r="X1255" s="1"/>
      <c r="Y1255" s="1"/>
      <c r="Z1255" s="1"/>
    </row>
    <row r="1256" ht="15.75" customHeight="1">
      <c r="A1256" s="2">
        <f>IFERROR(__xludf.DUMMYFUNCTION("""COMPUTED_VALUE"""),627500.0)</f>
        <v>627500</v>
      </c>
      <c r="B1256" s="2">
        <f>IFERROR(__xludf.DUMMYFUNCTION("""COMPUTED_VALUE"""),12550.0)</f>
        <v>12550</v>
      </c>
      <c r="C1256" s="66">
        <f>IFERROR(__xludf.DUMMYFUNCTION("""COMPUTED_VALUE"""),7.86885E9)</f>
        <v>7868850000</v>
      </c>
      <c r="D1256" s="1"/>
      <c r="E1256" s="1"/>
      <c r="F1256" s="1"/>
      <c r="G1256" s="1"/>
      <c r="H1256" s="1"/>
      <c r="I1256" s="1"/>
      <c r="J1256" s="1"/>
      <c r="K1256" s="1"/>
      <c r="L1256" s="1"/>
      <c r="M1256" s="1"/>
      <c r="N1256" s="1"/>
      <c r="O1256" s="1"/>
      <c r="P1256" s="1"/>
      <c r="Q1256" s="1"/>
      <c r="R1256" s="1"/>
      <c r="S1256" s="1"/>
      <c r="T1256" s="1"/>
      <c r="U1256" s="1"/>
      <c r="V1256" s="1"/>
      <c r="W1256" s="1"/>
      <c r="X1256" s="1"/>
      <c r="Y1256" s="1"/>
      <c r="Z1256" s="1"/>
    </row>
    <row r="1257" ht="15.75" customHeight="1">
      <c r="A1257" s="2">
        <f>IFERROR(__xludf.DUMMYFUNCTION("""COMPUTED_VALUE"""),628000.0)</f>
        <v>628000</v>
      </c>
      <c r="B1257" s="2">
        <f>IFERROR(__xludf.DUMMYFUNCTION("""COMPUTED_VALUE"""),12560.0)</f>
        <v>12560</v>
      </c>
      <c r="C1257" s="66">
        <f>IFERROR(__xludf.DUMMYFUNCTION("""COMPUTED_VALUE"""),7.8814E9)</f>
        <v>7881400000</v>
      </c>
      <c r="D1257" s="1"/>
      <c r="E1257" s="1"/>
      <c r="F1257" s="1"/>
      <c r="G1257" s="1"/>
      <c r="H1257" s="1"/>
      <c r="I1257" s="1"/>
      <c r="J1257" s="1"/>
      <c r="K1257" s="1"/>
      <c r="L1257" s="1"/>
      <c r="M1257" s="1"/>
      <c r="N1257" s="1"/>
      <c r="O1257" s="1"/>
      <c r="P1257" s="1"/>
      <c r="Q1257" s="1"/>
      <c r="R1257" s="1"/>
      <c r="S1257" s="1"/>
      <c r="T1257" s="1"/>
      <c r="U1257" s="1"/>
      <c r="V1257" s="1"/>
      <c r="W1257" s="1"/>
      <c r="X1257" s="1"/>
      <c r="Y1257" s="1"/>
      <c r="Z1257" s="1"/>
    </row>
    <row r="1258" ht="15.75" customHeight="1">
      <c r="A1258" s="2">
        <f>IFERROR(__xludf.DUMMYFUNCTION("""COMPUTED_VALUE"""),628500.0)</f>
        <v>628500</v>
      </c>
      <c r="B1258" s="2">
        <f>IFERROR(__xludf.DUMMYFUNCTION("""COMPUTED_VALUE"""),12570.0)</f>
        <v>12570</v>
      </c>
      <c r="C1258" s="66">
        <f>IFERROR(__xludf.DUMMYFUNCTION("""COMPUTED_VALUE"""),7.89396E9)</f>
        <v>7893960000</v>
      </c>
      <c r="D1258" s="1"/>
      <c r="E1258" s="1"/>
      <c r="F1258" s="1"/>
      <c r="G1258" s="1"/>
      <c r="H1258" s="1"/>
      <c r="I1258" s="1"/>
      <c r="J1258" s="1"/>
      <c r="K1258" s="1"/>
      <c r="L1258" s="1"/>
      <c r="M1258" s="1"/>
      <c r="N1258" s="1"/>
      <c r="O1258" s="1"/>
      <c r="P1258" s="1"/>
      <c r="Q1258" s="1"/>
      <c r="R1258" s="1"/>
      <c r="S1258" s="1"/>
      <c r="T1258" s="1"/>
      <c r="U1258" s="1"/>
      <c r="V1258" s="1"/>
      <c r="W1258" s="1"/>
      <c r="X1258" s="1"/>
      <c r="Y1258" s="1"/>
      <c r="Z1258" s="1"/>
    </row>
    <row r="1259" ht="15.75" customHeight="1">
      <c r="A1259" s="2">
        <f>IFERROR(__xludf.DUMMYFUNCTION("""COMPUTED_VALUE"""),629000.0)</f>
        <v>629000</v>
      </c>
      <c r="B1259" s="2">
        <f>IFERROR(__xludf.DUMMYFUNCTION("""COMPUTED_VALUE"""),12580.0)</f>
        <v>12580</v>
      </c>
      <c r="C1259" s="66">
        <f>IFERROR(__xludf.DUMMYFUNCTION("""COMPUTED_VALUE"""),7.90653E9)</f>
        <v>7906530000</v>
      </c>
      <c r="D1259" s="1"/>
      <c r="E1259" s="1"/>
      <c r="F1259" s="1"/>
      <c r="G1259" s="1"/>
      <c r="H1259" s="1"/>
      <c r="I1259" s="1"/>
      <c r="J1259" s="1"/>
      <c r="K1259" s="1"/>
      <c r="L1259" s="1"/>
      <c r="M1259" s="1"/>
      <c r="N1259" s="1"/>
      <c r="O1259" s="1"/>
      <c r="P1259" s="1"/>
      <c r="Q1259" s="1"/>
      <c r="R1259" s="1"/>
      <c r="S1259" s="1"/>
      <c r="T1259" s="1"/>
      <c r="U1259" s="1"/>
      <c r="V1259" s="1"/>
      <c r="W1259" s="1"/>
      <c r="X1259" s="1"/>
      <c r="Y1259" s="1"/>
      <c r="Z1259" s="1"/>
    </row>
    <row r="1260" ht="15.75" customHeight="1">
      <c r="A1260" s="2">
        <f>IFERROR(__xludf.DUMMYFUNCTION("""COMPUTED_VALUE"""),629500.0)</f>
        <v>629500</v>
      </c>
      <c r="B1260" s="2">
        <f>IFERROR(__xludf.DUMMYFUNCTION("""COMPUTED_VALUE"""),12590.0)</f>
        <v>12590</v>
      </c>
      <c r="C1260" s="66">
        <f>IFERROR(__xludf.DUMMYFUNCTION("""COMPUTED_VALUE"""),7.91911E9)</f>
        <v>7919110000</v>
      </c>
      <c r="D1260" s="1"/>
      <c r="E1260" s="1"/>
      <c r="F1260" s="1"/>
      <c r="G1260" s="1"/>
      <c r="H1260" s="1"/>
      <c r="I1260" s="1"/>
      <c r="J1260" s="1"/>
      <c r="K1260" s="1"/>
      <c r="L1260" s="1"/>
      <c r="M1260" s="1"/>
      <c r="N1260" s="1"/>
      <c r="O1260" s="1"/>
      <c r="P1260" s="1"/>
      <c r="Q1260" s="1"/>
      <c r="R1260" s="1"/>
      <c r="S1260" s="1"/>
      <c r="T1260" s="1"/>
      <c r="U1260" s="1"/>
      <c r="V1260" s="1"/>
      <c r="W1260" s="1"/>
      <c r="X1260" s="1"/>
      <c r="Y1260" s="1"/>
      <c r="Z1260" s="1"/>
    </row>
    <row r="1261" ht="15.75" customHeight="1">
      <c r="A1261" s="2">
        <f>IFERROR(__xludf.DUMMYFUNCTION("""COMPUTED_VALUE"""),630000.0)</f>
        <v>630000</v>
      </c>
      <c r="B1261" s="2">
        <f>IFERROR(__xludf.DUMMYFUNCTION("""COMPUTED_VALUE"""),12600.0)</f>
        <v>12600</v>
      </c>
      <c r="C1261" s="66">
        <f>IFERROR(__xludf.DUMMYFUNCTION("""COMPUTED_VALUE"""),7.9317E9)</f>
        <v>7931700000</v>
      </c>
      <c r="D1261" s="1"/>
      <c r="E1261" s="1"/>
      <c r="F1261" s="1"/>
      <c r="G1261" s="1"/>
      <c r="H1261" s="1"/>
      <c r="I1261" s="1"/>
      <c r="J1261" s="1"/>
      <c r="K1261" s="1"/>
      <c r="L1261" s="1"/>
      <c r="M1261" s="1"/>
      <c r="N1261" s="1"/>
      <c r="O1261" s="1"/>
      <c r="P1261" s="1"/>
      <c r="Q1261" s="1"/>
      <c r="R1261" s="1"/>
      <c r="S1261" s="1"/>
      <c r="T1261" s="1"/>
      <c r="U1261" s="1"/>
      <c r="V1261" s="1"/>
      <c r="W1261" s="1"/>
      <c r="X1261" s="1"/>
      <c r="Y1261" s="1"/>
      <c r="Z1261" s="1"/>
    </row>
    <row r="1262" ht="15.75" customHeight="1">
      <c r="A1262" s="2">
        <f>IFERROR(__xludf.DUMMYFUNCTION("""COMPUTED_VALUE"""),630500.0)</f>
        <v>630500</v>
      </c>
      <c r="B1262" s="2">
        <f>IFERROR(__xludf.DUMMYFUNCTION("""COMPUTED_VALUE"""),12610.0)</f>
        <v>12610</v>
      </c>
      <c r="C1262" s="66">
        <f>IFERROR(__xludf.DUMMYFUNCTION("""COMPUTED_VALUE"""),7.9443E9)</f>
        <v>7944300000</v>
      </c>
      <c r="D1262" s="1"/>
      <c r="E1262" s="1"/>
      <c r="F1262" s="1"/>
      <c r="G1262" s="1"/>
      <c r="H1262" s="1"/>
      <c r="I1262" s="1"/>
      <c r="J1262" s="1"/>
      <c r="K1262" s="1"/>
      <c r="L1262" s="1"/>
      <c r="M1262" s="1"/>
      <c r="N1262" s="1"/>
      <c r="O1262" s="1"/>
      <c r="P1262" s="1"/>
      <c r="Q1262" s="1"/>
      <c r="R1262" s="1"/>
      <c r="S1262" s="1"/>
      <c r="T1262" s="1"/>
      <c r="U1262" s="1"/>
      <c r="V1262" s="1"/>
      <c r="W1262" s="1"/>
      <c r="X1262" s="1"/>
      <c r="Y1262" s="1"/>
      <c r="Z1262" s="1"/>
    </row>
    <row r="1263" ht="15.75" customHeight="1">
      <c r="A1263" s="2">
        <f>IFERROR(__xludf.DUMMYFUNCTION("""COMPUTED_VALUE"""),631000.0)</f>
        <v>631000</v>
      </c>
      <c r="B1263" s="2">
        <f>IFERROR(__xludf.DUMMYFUNCTION("""COMPUTED_VALUE"""),12620.0)</f>
        <v>12620</v>
      </c>
      <c r="C1263" s="66">
        <f>IFERROR(__xludf.DUMMYFUNCTION("""COMPUTED_VALUE"""),7.95691E9)</f>
        <v>7956910000</v>
      </c>
      <c r="D1263" s="1"/>
      <c r="E1263" s="1"/>
      <c r="F1263" s="1"/>
      <c r="G1263" s="1"/>
      <c r="H1263" s="1"/>
      <c r="I1263" s="1"/>
      <c r="J1263" s="1"/>
      <c r="K1263" s="1"/>
      <c r="L1263" s="1"/>
      <c r="M1263" s="1"/>
      <c r="N1263" s="1"/>
      <c r="O1263" s="1"/>
      <c r="P1263" s="1"/>
      <c r="Q1263" s="1"/>
      <c r="R1263" s="1"/>
      <c r="S1263" s="1"/>
      <c r="T1263" s="1"/>
      <c r="U1263" s="1"/>
      <c r="V1263" s="1"/>
      <c r="W1263" s="1"/>
      <c r="X1263" s="1"/>
      <c r="Y1263" s="1"/>
      <c r="Z1263" s="1"/>
    </row>
    <row r="1264" ht="15.75" customHeight="1">
      <c r="A1264" s="2">
        <f>IFERROR(__xludf.DUMMYFUNCTION("""COMPUTED_VALUE"""),631500.0)</f>
        <v>631500</v>
      </c>
      <c r="B1264" s="2">
        <f>IFERROR(__xludf.DUMMYFUNCTION("""COMPUTED_VALUE"""),12630.0)</f>
        <v>12630</v>
      </c>
      <c r="C1264" s="66">
        <f>IFERROR(__xludf.DUMMYFUNCTION("""COMPUTED_VALUE"""),7.96953E9)</f>
        <v>7969530000</v>
      </c>
      <c r="D1264" s="1"/>
      <c r="E1264" s="1"/>
      <c r="F1264" s="1"/>
      <c r="G1264" s="1"/>
      <c r="H1264" s="1"/>
      <c r="I1264" s="1"/>
      <c r="J1264" s="1"/>
      <c r="K1264" s="1"/>
      <c r="L1264" s="1"/>
      <c r="M1264" s="1"/>
      <c r="N1264" s="1"/>
      <c r="O1264" s="1"/>
      <c r="P1264" s="1"/>
      <c r="Q1264" s="1"/>
      <c r="R1264" s="1"/>
      <c r="S1264" s="1"/>
      <c r="T1264" s="1"/>
      <c r="U1264" s="1"/>
      <c r="V1264" s="1"/>
      <c r="W1264" s="1"/>
      <c r="X1264" s="1"/>
      <c r="Y1264" s="1"/>
      <c r="Z1264" s="1"/>
    </row>
    <row r="1265" ht="15.75" customHeight="1">
      <c r="A1265" s="2">
        <f>IFERROR(__xludf.DUMMYFUNCTION("""COMPUTED_VALUE"""),632000.0)</f>
        <v>632000</v>
      </c>
      <c r="B1265" s="2">
        <f>IFERROR(__xludf.DUMMYFUNCTION("""COMPUTED_VALUE"""),12640.0)</f>
        <v>12640</v>
      </c>
      <c r="C1265" s="66">
        <f>IFERROR(__xludf.DUMMYFUNCTION("""COMPUTED_VALUE"""),7.98216E9)</f>
        <v>7982160000</v>
      </c>
      <c r="D1265" s="1"/>
      <c r="E1265" s="1"/>
      <c r="F1265" s="1"/>
      <c r="G1265" s="1"/>
      <c r="H1265" s="1"/>
      <c r="I1265" s="1"/>
      <c r="J1265" s="1"/>
      <c r="K1265" s="1"/>
      <c r="L1265" s="1"/>
      <c r="M1265" s="1"/>
      <c r="N1265" s="1"/>
      <c r="O1265" s="1"/>
      <c r="P1265" s="1"/>
      <c r="Q1265" s="1"/>
      <c r="R1265" s="1"/>
      <c r="S1265" s="1"/>
      <c r="T1265" s="1"/>
      <c r="U1265" s="1"/>
      <c r="V1265" s="1"/>
      <c r="W1265" s="1"/>
      <c r="X1265" s="1"/>
      <c r="Y1265" s="1"/>
      <c r="Z1265" s="1"/>
    </row>
    <row r="1266" ht="15.75" customHeight="1">
      <c r="A1266" s="2">
        <f>IFERROR(__xludf.DUMMYFUNCTION("""COMPUTED_VALUE"""),632500.0)</f>
        <v>632500</v>
      </c>
      <c r="B1266" s="2">
        <f>IFERROR(__xludf.DUMMYFUNCTION("""COMPUTED_VALUE"""),12650.0)</f>
        <v>12650</v>
      </c>
      <c r="C1266" s="66">
        <f>IFERROR(__xludf.DUMMYFUNCTION("""COMPUTED_VALUE"""),7.9948E9)</f>
        <v>7994800000</v>
      </c>
      <c r="D1266" s="1"/>
      <c r="E1266" s="1"/>
      <c r="F1266" s="1"/>
      <c r="G1266" s="1"/>
      <c r="H1266" s="1"/>
      <c r="I1266" s="1"/>
      <c r="J1266" s="1"/>
      <c r="K1266" s="1"/>
      <c r="L1266" s="1"/>
      <c r="M1266" s="1"/>
      <c r="N1266" s="1"/>
      <c r="O1266" s="1"/>
      <c r="P1266" s="1"/>
      <c r="Q1266" s="1"/>
      <c r="R1266" s="1"/>
      <c r="S1266" s="1"/>
      <c r="T1266" s="1"/>
      <c r="U1266" s="1"/>
      <c r="V1266" s="1"/>
      <c r="W1266" s="1"/>
      <c r="X1266" s="1"/>
      <c r="Y1266" s="1"/>
      <c r="Z1266" s="1"/>
    </row>
    <row r="1267" ht="15.75" customHeight="1">
      <c r="A1267" s="2">
        <f>IFERROR(__xludf.DUMMYFUNCTION("""COMPUTED_VALUE"""),633000.0)</f>
        <v>633000</v>
      </c>
      <c r="B1267" s="2">
        <f>IFERROR(__xludf.DUMMYFUNCTION("""COMPUTED_VALUE"""),12660.0)</f>
        <v>12660</v>
      </c>
      <c r="C1267" s="66">
        <f>IFERROR(__xludf.DUMMYFUNCTION("""COMPUTED_VALUE"""),8.00745E9)</f>
        <v>8007450000</v>
      </c>
      <c r="D1267" s="1"/>
      <c r="E1267" s="1"/>
      <c r="F1267" s="1"/>
      <c r="G1267" s="1"/>
      <c r="H1267" s="1"/>
      <c r="I1267" s="1"/>
      <c r="J1267" s="1"/>
      <c r="K1267" s="1"/>
      <c r="L1267" s="1"/>
      <c r="M1267" s="1"/>
      <c r="N1267" s="1"/>
      <c r="O1267" s="1"/>
      <c r="P1267" s="1"/>
      <c r="Q1267" s="1"/>
      <c r="R1267" s="1"/>
      <c r="S1267" s="1"/>
      <c r="T1267" s="1"/>
      <c r="U1267" s="1"/>
      <c r="V1267" s="1"/>
      <c r="W1267" s="1"/>
      <c r="X1267" s="1"/>
      <c r="Y1267" s="1"/>
      <c r="Z1267" s="1"/>
    </row>
    <row r="1268" ht="15.75" customHeight="1">
      <c r="A1268" s="2">
        <f>IFERROR(__xludf.DUMMYFUNCTION("""COMPUTED_VALUE"""),633500.0)</f>
        <v>633500</v>
      </c>
      <c r="B1268" s="2">
        <f>IFERROR(__xludf.DUMMYFUNCTION("""COMPUTED_VALUE"""),12670.0)</f>
        <v>12670</v>
      </c>
      <c r="C1268" s="66">
        <f>IFERROR(__xludf.DUMMYFUNCTION("""COMPUTED_VALUE"""),8.02011E9)</f>
        <v>8020110000</v>
      </c>
      <c r="D1268" s="1"/>
      <c r="E1268" s="1"/>
      <c r="F1268" s="1"/>
      <c r="G1268" s="1"/>
      <c r="H1268" s="1"/>
      <c r="I1268" s="1"/>
      <c r="J1268" s="1"/>
      <c r="K1268" s="1"/>
      <c r="L1268" s="1"/>
      <c r="M1268" s="1"/>
      <c r="N1268" s="1"/>
      <c r="O1268" s="1"/>
      <c r="P1268" s="1"/>
      <c r="Q1268" s="1"/>
      <c r="R1268" s="1"/>
      <c r="S1268" s="1"/>
      <c r="T1268" s="1"/>
      <c r="U1268" s="1"/>
      <c r="V1268" s="1"/>
      <c r="W1268" s="1"/>
      <c r="X1268" s="1"/>
      <c r="Y1268" s="1"/>
      <c r="Z1268" s="1"/>
    </row>
    <row r="1269" ht="15.75" customHeight="1">
      <c r="A1269" s="2">
        <f>IFERROR(__xludf.DUMMYFUNCTION("""COMPUTED_VALUE"""),634000.0)</f>
        <v>634000</v>
      </c>
      <c r="B1269" s="2">
        <f>IFERROR(__xludf.DUMMYFUNCTION("""COMPUTED_VALUE"""),12680.0)</f>
        <v>12680</v>
      </c>
      <c r="C1269" s="66">
        <f>IFERROR(__xludf.DUMMYFUNCTION("""COMPUTED_VALUE"""),8.03278E9)</f>
        <v>8032780000</v>
      </c>
      <c r="D1269" s="1"/>
      <c r="E1269" s="1"/>
      <c r="F1269" s="1"/>
      <c r="G1269" s="1"/>
      <c r="H1269" s="1"/>
      <c r="I1269" s="1"/>
      <c r="J1269" s="1"/>
      <c r="K1269" s="1"/>
      <c r="L1269" s="1"/>
      <c r="M1269" s="1"/>
      <c r="N1269" s="1"/>
      <c r="O1269" s="1"/>
      <c r="P1269" s="1"/>
      <c r="Q1269" s="1"/>
      <c r="R1269" s="1"/>
      <c r="S1269" s="1"/>
      <c r="T1269" s="1"/>
      <c r="U1269" s="1"/>
      <c r="V1269" s="1"/>
      <c r="W1269" s="1"/>
      <c r="X1269" s="1"/>
      <c r="Y1269" s="1"/>
      <c r="Z1269" s="1"/>
    </row>
    <row r="1270" ht="15.75" customHeight="1">
      <c r="A1270" s="2">
        <f>IFERROR(__xludf.DUMMYFUNCTION("""COMPUTED_VALUE"""),634500.0)</f>
        <v>634500</v>
      </c>
      <c r="B1270" s="2">
        <f>IFERROR(__xludf.DUMMYFUNCTION("""COMPUTED_VALUE"""),12690.0)</f>
        <v>12690</v>
      </c>
      <c r="C1270" s="66">
        <f>IFERROR(__xludf.DUMMYFUNCTION("""COMPUTED_VALUE"""),8.04546E9)</f>
        <v>8045460000</v>
      </c>
      <c r="D1270" s="1"/>
      <c r="E1270" s="1"/>
      <c r="F1270" s="1"/>
      <c r="G1270" s="1"/>
      <c r="H1270" s="1"/>
      <c r="I1270" s="1"/>
      <c r="J1270" s="1"/>
      <c r="K1270" s="1"/>
      <c r="L1270" s="1"/>
      <c r="M1270" s="1"/>
      <c r="N1270" s="1"/>
      <c r="O1270" s="1"/>
      <c r="P1270" s="1"/>
      <c r="Q1270" s="1"/>
      <c r="R1270" s="1"/>
      <c r="S1270" s="1"/>
      <c r="T1270" s="1"/>
      <c r="U1270" s="1"/>
      <c r="V1270" s="1"/>
      <c r="W1270" s="1"/>
      <c r="X1270" s="1"/>
      <c r="Y1270" s="1"/>
      <c r="Z1270" s="1"/>
    </row>
    <row r="1271" ht="15.75" customHeight="1">
      <c r="A1271" s="2">
        <f>IFERROR(__xludf.DUMMYFUNCTION("""COMPUTED_VALUE"""),635000.0)</f>
        <v>635000</v>
      </c>
      <c r="B1271" s="2">
        <f>IFERROR(__xludf.DUMMYFUNCTION("""COMPUTED_VALUE"""),12700.0)</f>
        <v>12700</v>
      </c>
      <c r="C1271" s="66">
        <f>IFERROR(__xludf.DUMMYFUNCTION("""COMPUTED_VALUE"""),8.05815E9)</f>
        <v>8058150000</v>
      </c>
      <c r="D1271" s="1"/>
      <c r="E1271" s="1"/>
      <c r="F1271" s="1"/>
      <c r="G1271" s="1"/>
      <c r="H1271" s="1"/>
      <c r="I1271" s="1"/>
      <c r="J1271" s="1"/>
      <c r="K1271" s="1"/>
      <c r="L1271" s="1"/>
      <c r="M1271" s="1"/>
      <c r="N1271" s="1"/>
      <c r="O1271" s="1"/>
      <c r="P1271" s="1"/>
      <c r="Q1271" s="1"/>
      <c r="R1271" s="1"/>
      <c r="S1271" s="1"/>
      <c r="T1271" s="1"/>
      <c r="U1271" s="1"/>
      <c r="V1271" s="1"/>
      <c r="W1271" s="1"/>
      <c r="X1271" s="1"/>
      <c r="Y1271" s="1"/>
      <c r="Z1271" s="1"/>
    </row>
    <row r="1272" ht="15.75" customHeight="1">
      <c r="A1272" s="2">
        <f>IFERROR(__xludf.DUMMYFUNCTION("""COMPUTED_VALUE"""),635500.0)</f>
        <v>635500</v>
      </c>
      <c r="B1272" s="2">
        <f>IFERROR(__xludf.DUMMYFUNCTION("""COMPUTED_VALUE"""),12710.0)</f>
        <v>12710</v>
      </c>
      <c r="C1272" s="66">
        <f>IFERROR(__xludf.DUMMYFUNCTION("""COMPUTED_VALUE"""),8.07085E9)</f>
        <v>8070850000</v>
      </c>
      <c r="D1272" s="1"/>
      <c r="E1272" s="1"/>
      <c r="F1272" s="1"/>
      <c r="G1272" s="1"/>
      <c r="H1272" s="1"/>
      <c r="I1272" s="1"/>
      <c r="J1272" s="1"/>
      <c r="K1272" s="1"/>
      <c r="L1272" s="1"/>
      <c r="M1272" s="1"/>
      <c r="N1272" s="1"/>
      <c r="O1272" s="1"/>
      <c r="P1272" s="1"/>
      <c r="Q1272" s="1"/>
      <c r="R1272" s="1"/>
      <c r="S1272" s="1"/>
      <c r="T1272" s="1"/>
      <c r="U1272" s="1"/>
      <c r="V1272" s="1"/>
      <c r="W1272" s="1"/>
      <c r="X1272" s="1"/>
      <c r="Y1272" s="1"/>
      <c r="Z1272" s="1"/>
    </row>
    <row r="1273" ht="15.75" customHeight="1">
      <c r="A1273" s="2">
        <f>IFERROR(__xludf.DUMMYFUNCTION("""COMPUTED_VALUE"""),636000.0)</f>
        <v>636000</v>
      </c>
      <c r="B1273" s="2">
        <f>IFERROR(__xludf.DUMMYFUNCTION("""COMPUTED_VALUE"""),12720.0)</f>
        <v>12720</v>
      </c>
      <c r="C1273" s="66">
        <f>IFERROR(__xludf.DUMMYFUNCTION("""COMPUTED_VALUE"""),8.08356E9)</f>
        <v>8083560000</v>
      </c>
      <c r="D1273" s="1"/>
      <c r="E1273" s="1"/>
      <c r="F1273" s="1"/>
      <c r="G1273" s="1"/>
      <c r="H1273" s="1"/>
      <c r="I1273" s="1"/>
      <c r="J1273" s="1"/>
      <c r="K1273" s="1"/>
      <c r="L1273" s="1"/>
      <c r="M1273" s="1"/>
      <c r="N1273" s="1"/>
      <c r="O1273" s="1"/>
      <c r="P1273" s="1"/>
      <c r="Q1273" s="1"/>
      <c r="R1273" s="1"/>
      <c r="S1273" s="1"/>
      <c r="T1273" s="1"/>
      <c r="U1273" s="1"/>
      <c r="V1273" s="1"/>
      <c r="W1273" s="1"/>
      <c r="X1273" s="1"/>
      <c r="Y1273" s="1"/>
      <c r="Z1273" s="1"/>
    </row>
    <row r="1274" ht="15.75" customHeight="1">
      <c r="A1274" s="2">
        <f>IFERROR(__xludf.DUMMYFUNCTION("""COMPUTED_VALUE"""),636500.0)</f>
        <v>636500</v>
      </c>
      <c r="B1274" s="2">
        <f>IFERROR(__xludf.DUMMYFUNCTION("""COMPUTED_VALUE"""),12730.0)</f>
        <v>12730</v>
      </c>
      <c r="C1274" s="66">
        <f>IFERROR(__xludf.DUMMYFUNCTION("""COMPUTED_VALUE"""),8.09628E9)</f>
        <v>8096280000</v>
      </c>
      <c r="D1274" s="1"/>
      <c r="E1274" s="1"/>
      <c r="F1274" s="1"/>
      <c r="G1274" s="1"/>
      <c r="H1274" s="1"/>
      <c r="I1274" s="1"/>
      <c r="J1274" s="1"/>
      <c r="K1274" s="1"/>
      <c r="L1274" s="1"/>
      <c r="M1274" s="1"/>
      <c r="N1274" s="1"/>
      <c r="O1274" s="1"/>
      <c r="P1274" s="1"/>
      <c r="Q1274" s="1"/>
      <c r="R1274" s="1"/>
      <c r="S1274" s="1"/>
      <c r="T1274" s="1"/>
      <c r="U1274" s="1"/>
      <c r="V1274" s="1"/>
      <c r="W1274" s="1"/>
      <c r="X1274" s="1"/>
      <c r="Y1274" s="1"/>
      <c r="Z1274" s="1"/>
    </row>
    <row r="1275" ht="15.75" customHeight="1">
      <c r="A1275" s="2">
        <f>IFERROR(__xludf.DUMMYFUNCTION("""COMPUTED_VALUE"""),637000.0)</f>
        <v>637000</v>
      </c>
      <c r="B1275" s="2">
        <f>IFERROR(__xludf.DUMMYFUNCTION("""COMPUTED_VALUE"""),12740.0)</f>
        <v>12740</v>
      </c>
      <c r="C1275" s="66">
        <f>IFERROR(__xludf.DUMMYFUNCTION("""COMPUTED_VALUE"""),8.10901E9)</f>
        <v>8109010000</v>
      </c>
      <c r="D1275" s="1"/>
      <c r="E1275" s="1"/>
      <c r="F1275" s="1"/>
      <c r="G1275" s="1"/>
      <c r="H1275" s="1"/>
      <c r="I1275" s="1"/>
      <c r="J1275" s="1"/>
      <c r="K1275" s="1"/>
      <c r="L1275" s="1"/>
      <c r="M1275" s="1"/>
      <c r="N1275" s="1"/>
      <c r="O1275" s="1"/>
      <c r="P1275" s="1"/>
      <c r="Q1275" s="1"/>
      <c r="R1275" s="1"/>
      <c r="S1275" s="1"/>
      <c r="T1275" s="1"/>
      <c r="U1275" s="1"/>
      <c r="V1275" s="1"/>
      <c r="W1275" s="1"/>
      <c r="X1275" s="1"/>
      <c r="Y1275" s="1"/>
      <c r="Z1275" s="1"/>
    </row>
    <row r="1276" ht="15.75" customHeight="1">
      <c r="A1276" s="2">
        <f>IFERROR(__xludf.DUMMYFUNCTION("""COMPUTED_VALUE"""),637500.0)</f>
        <v>637500</v>
      </c>
      <c r="B1276" s="2">
        <f>IFERROR(__xludf.DUMMYFUNCTION("""COMPUTED_VALUE"""),12750.0)</f>
        <v>12750</v>
      </c>
      <c r="C1276" s="66">
        <f>IFERROR(__xludf.DUMMYFUNCTION("""COMPUTED_VALUE"""),8.12175E9)</f>
        <v>8121750000</v>
      </c>
      <c r="D1276" s="1"/>
      <c r="E1276" s="1"/>
      <c r="F1276" s="1"/>
      <c r="G1276" s="1"/>
      <c r="H1276" s="1"/>
      <c r="I1276" s="1"/>
      <c r="J1276" s="1"/>
      <c r="K1276" s="1"/>
      <c r="L1276" s="1"/>
      <c r="M1276" s="1"/>
      <c r="N1276" s="1"/>
      <c r="O1276" s="1"/>
      <c r="P1276" s="1"/>
      <c r="Q1276" s="1"/>
      <c r="R1276" s="1"/>
      <c r="S1276" s="1"/>
      <c r="T1276" s="1"/>
      <c r="U1276" s="1"/>
      <c r="V1276" s="1"/>
      <c r="W1276" s="1"/>
      <c r="X1276" s="1"/>
      <c r="Y1276" s="1"/>
      <c r="Z1276" s="1"/>
    </row>
    <row r="1277" ht="15.75" customHeight="1">
      <c r="A1277" s="2">
        <f>IFERROR(__xludf.DUMMYFUNCTION("""COMPUTED_VALUE"""),638000.0)</f>
        <v>638000</v>
      </c>
      <c r="B1277" s="2">
        <f>IFERROR(__xludf.DUMMYFUNCTION("""COMPUTED_VALUE"""),12760.0)</f>
        <v>12760</v>
      </c>
      <c r="C1277" s="66">
        <f>IFERROR(__xludf.DUMMYFUNCTION("""COMPUTED_VALUE"""),8.1345E9)</f>
        <v>8134500000</v>
      </c>
      <c r="D1277" s="1"/>
      <c r="E1277" s="1"/>
      <c r="F1277" s="1"/>
      <c r="G1277" s="1"/>
      <c r="H1277" s="1"/>
      <c r="I1277" s="1"/>
      <c r="J1277" s="1"/>
      <c r="K1277" s="1"/>
      <c r="L1277" s="1"/>
      <c r="M1277" s="1"/>
      <c r="N1277" s="1"/>
      <c r="O1277" s="1"/>
      <c r="P1277" s="1"/>
      <c r="Q1277" s="1"/>
      <c r="R1277" s="1"/>
      <c r="S1277" s="1"/>
      <c r="T1277" s="1"/>
      <c r="U1277" s="1"/>
      <c r="V1277" s="1"/>
      <c r="W1277" s="1"/>
      <c r="X1277" s="1"/>
      <c r="Y1277" s="1"/>
      <c r="Z1277" s="1"/>
    </row>
    <row r="1278" ht="15.75" customHeight="1">
      <c r="A1278" s="2">
        <f>IFERROR(__xludf.DUMMYFUNCTION("""COMPUTED_VALUE"""),638500.0)</f>
        <v>638500</v>
      </c>
      <c r="B1278" s="2">
        <f>IFERROR(__xludf.DUMMYFUNCTION("""COMPUTED_VALUE"""),12770.0)</f>
        <v>12770</v>
      </c>
      <c r="C1278" s="66">
        <f>IFERROR(__xludf.DUMMYFUNCTION("""COMPUTED_VALUE"""),8.14726E9)</f>
        <v>8147260000</v>
      </c>
      <c r="D1278" s="1"/>
      <c r="E1278" s="1"/>
      <c r="F1278" s="1"/>
      <c r="G1278" s="1"/>
      <c r="H1278" s="1"/>
      <c r="I1278" s="1"/>
      <c r="J1278" s="1"/>
      <c r="K1278" s="1"/>
      <c r="L1278" s="1"/>
      <c r="M1278" s="1"/>
      <c r="N1278" s="1"/>
      <c r="O1278" s="1"/>
      <c r="P1278" s="1"/>
      <c r="Q1278" s="1"/>
      <c r="R1278" s="1"/>
      <c r="S1278" s="1"/>
      <c r="T1278" s="1"/>
      <c r="U1278" s="1"/>
      <c r="V1278" s="1"/>
      <c r="W1278" s="1"/>
      <c r="X1278" s="1"/>
      <c r="Y1278" s="1"/>
      <c r="Z1278" s="1"/>
    </row>
    <row r="1279" ht="15.75" customHeight="1">
      <c r="A1279" s="2">
        <f>IFERROR(__xludf.DUMMYFUNCTION("""COMPUTED_VALUE"""),639000.0)</f>
        <v>639000</v>
      </c>
      <c r="B1279" s="2">
        <f>IFERROR(__xludf.DUMMYFUNCTION("""COMPUTED_VALUE"""),12780.0)</f>
        <v>12780</v>
      </c>
      <c r="C1279" s="66">
        <f>IFERROR(__xludf.DUMMYFUNCTION("""COMPUTED_VALUE"""),8.16003E9)</f>
        <v>8160030000</v>
      </c>
      <c r="D1279" s="1"/>
      <c r="E1279" s="1"/>
      <c r="F1279" s="1"/>
      <c r="G1279" s="1"/>
      <c r="H1279" s="1"/>
      <c r="I1279" s="1"/>
      <c r="J1279" s="1"/>
      <c r="K1279" s="1"/>
      <c r="L1279" s="1"/>
      <c r="M1279" s="1"/>
      <c r="N1279" s="1"/>
      <c r="O1279" s="1"/>
      <c r="P1279" s="1"/>
      <c r="Q1279" s="1"/>
      <c r="R1279" s="1"/>
      <c r="S1279" s="1"/>
      <c r="T1279" s="1"/>
      <c r="U1279" s="1"/>
      <c r="V1279" s="1"/>
      <c r="W1279" s="1"/>
      <c r="X1279" s="1"/>
      <c r="Y1279" s="1"/>
      <c r="Z1279" s="1"/>
    </row>
    <row r="1280" ht="15.75" customHeight="1">
      <c r="A1280" s="2">
        <f>IFERROR(__xludf.DUMMYFUNCTION("""COMPUTED_VALUE"""),639500.0)</f>
        <v>639500</v>
      </c>
      <c r="B1280" s="2">
        <f>IFERROR(__xludf.DUMMYFUNCTION("""COMPUTED_VALUE"""),12790.0)</f>
        <v>12790</v>
      </c>
      <c r="C1280" s="66">
        <f>IFERROR(__xludf.DUMMYFUNCTION("""COMPUTED_VALUE"""),8.17281E9)</f>
        <v>8172810000</v>
      </c>
      <c r="D1280" s="1"/>
      <c r="E1280" s="1"/>
      <c r="F1280" s="1"/>
      <c r="G1280" s="1"/>
      <c r="H1280" s="1"/>
      <c r="I1280" s="1"/>
      <c r="J1280" s="1"/>
      <c r="K1280" s="1"/>
      <c r="L1280" s="1"/>
      <c r="M1280" s="1"/>
      <c r="N1280" s="1"/>
      <c r="O1280" s="1"/>
      <c r="P1280" s="1"/>
      <c r="Q1280" s="1"/>
      <c r="R1280" s="1"/>
      <c r="S1280" s="1"/>
      <c r="T1280" s="1"/>
      <c r="U1280" s="1"/>
      <c r="V1280" s="1"/>
      <c r="W1280" s="1"/>
      <c r="X1280" s="1"/>
      <c r="Y1280" s="1"/>
      <c r="Z1280" s="1"/>
    </row>
    <row r="1281" ht="15.75" customHeight="1">
      <c r="A1281" s="2">
        <f>IFERROR(__xludf.DUMMYFUNCTION("""COMPUTED_VALUE"""),640000.0)</f>
        <v>640000</v>
      </c>
      <c r="B1281" s="2">
        <f>IFERROR(__xludf.DUMMYFUNCTION("""COMPUTED_VALUE"""),12800.0)</f>
        <v>12800</v>
      </c>
      <c r="C1281" s="66">
        <f>IFERROR(__xludf.DUMMYFUNCTION("""COMPUTED_VALUE"""),8.1856E9)</f>
        <v>8185600000</v>
      </c>
      <c r="D1281" s="1"/>
      <c r="E1281" s="1"/>
      <c r="F1281" s="1"/>
      <c r="G1281" s="1"/>
      <c r="H1281" s="1"/>
      <c r="I1281" s="1"/>
      <c r="J1281" s="1"/>
      <c r="K1281" s="1"/>
      <c r="L1281" s="1"/>
      <c r="M1281" s="1"/>
      <c r="N1281" s="1"/>
      <c r="O1281" s="1"/>
      <c r="P1281" s="1"/>
      <c r="Q1281" s="1"/>
      <c r="R1281" s="1"/>
      <c r="S1281" s="1"/>
      <c r="T1281" s="1"/>
      <c r="U1281" s="1"/>
      <c r="V1281" s="1"/>
      <c r="W1281" s="1"/>
      <c r="X1281" s="1"/>
      <c r="Y1281" s="1"/>
      <c r="Z1281" s="1"/>
    </row>
    <row r="1282" ht="15.75" customHeight="1">
      <c r="A1282" s="2">
        <f>IFERROR(__xludf.DUMMYFUNCTION("""COMPUTED_VALUE"""),640500.0)</f>
        <v>640500</v>
      </c>
      <c r="B1282" s="2">
        <f>IFERROR(__xludf.DUMMYFUNCTION("""COMPUTED_VALUE"""),12810.0)</f>
        <v>12810</v>
      </c>
      <c r="C1282" s="66">
        <f>IFERROR(__xludf.DUMMYFUNCTION("""COMPUTED_VALUE"""),8.1984E9)</f>
        <v>8198400000</v>
      </c>
      <c r="D1282" s="1"/>
      <c r="E1282" s="1"/>
      <c r="F1282" s="1"/>
      <c r="G1282" s="1"/>
      <c r="H1282" s="1"/>
      <c r="I1282" s="1"/>
      <c r="J1282" s="1"/>
      <c r="K1282" s="1"/>
      <c r="L1282" s="1"/>
      <c r="M1282" s="1"/>
      <c r="N1282" s="1"/>
      <c r="O1282" s="1"/>
      <c r="P1282" s="1"/>
      <c r="Q1282" s="1"/>
      <c r="R1282" s="1"/>
      <c r="S1282" s="1"/>
      <c r="T1282" s="1"/>
      <c r="U1282" s="1"/>
      <c r="V1282" s="1"/>
      <c r="W1282" s="1"/>
      <c r="X1282" s="1"/>
      <c r="Y1282" s="1"/>
      <c r="Z1282" s="1"/>
    </row>
    <row r="1283" ht="15.75" customHeight="1">
      <c r="A1283" s="2">
        <f>IFERROR(__xludf.DUMMYFUNCTION("""COMPUTED_VALUE"""),641000.0)</f>
        <v>641000</v>
      </c>
      <c r="B1283" s="2">
        <f>IFERROR(__xludf.DUMMYFUNCTION("""COMPUTED_VALUE"""),12820.0)</f>
        <v>12820</v>
      </c>
      <c r="C1283" s="66">
        <f>IFERROR(__xludf.DUMMYFUNCTION("""COMPUTED_VALUE"""),8.21121E9)</f>
        <v>8211210000</v>
      </c>
      <c r="D1283" s="1"/>
      <c r="E1283" s="1"/>
      <c r="F1283" s="1"/>
      <c r="G1283" s="1"/>
      <c r="H1283" s="1"/>
      <c r="I1283" s="1"/>
      <c r="J1283" s="1"/>
      <c r="K1283" s="1"/>
      <c r="L1283" s="1"/>
      <c r="M1283" s="1"/>
      <c r="N1283" s="1"/>
      <c r="O1283" s="1"/>
      <c r="P1283" s="1"/>
      <c r="Q1283" s="1"/>
      <c r="R1283" s="1"/>
      <c r="S1283" s="1"/>
      <c r="T1283" s="1"/>
      <c r="U1283" s="1"/>
      <c r="V1283" s="1"/>
      <c r="W1283" s="1"/>
      <c r="X1283" s="1"/>
      <c r="Y1283" s="1"/>
      <c r="Z1283" s="1"/>
    </row>
    <row r="1284" ht="15.75" customHeight="1">
      <c r="A1284" s="2">
        <f>IFERROR(__xludf.DUMMYFUNCTION("""COMPUTED_VALUE"""),641500.0)</f>
        <v>641500</v>
      </c>
      <c r="B1284" s="2">
        <f>IFERROR(__xludf.DUMMYFUNCTION("""COMPUTED_VALUE"""),12830.0)</f>
        <v>12830</v>
      </c>
      <c r="C1284" s="66">
        <f>IFERROR(__xludf.DUMMYFUNCTION("""COMPUTED_VALUE"""),8.22403E9)</f>
        <v>8224030000</v>
      </c>
      <c r="D1284" s="1"/>
      <c r="E1284" s="1"/>
      <c r="F1284" s="1"/>
      <c r="G1284" s="1"/>
      <c r="H1284" s="1"/>
      <c r="I1284" s="1"/>
      <c r="J1284" s="1"/>
      <c r="K1284" s="1"/>
      <c r="L1284" s="1"/>
      <c r="M1284" s="1"/>
      <c r="N1284" s="1"/>
      <c r="O1284" s="1"/>
      <c r="P1284" s="1"/>
      <c r="Q1284" s="1"/>
      <c r="R1284" s="1"/>
      <c r="S1284" s="1"/>
      <c r="T1284" s="1"/>
      <c r="U1284" s="1"/>
      <c r="V1284" s="1"/>
      <c r="W1284" s="1"/>
      <c r="X1284" s="1"/>
      <c r="Y1284" s="1"/>
      <c r="Z1284" s="1"/>
    </row>
    <row r="1285" ht="15.75" customHeight="1">
      <c r="A1285" s="2">
        <f>IFERROR(__xludf.DUMMYFUNCTION("""COMPUTED_VALUE"""),642000.0)</f>
        <v>642000</v>
      </c>
      <c r="B1285" s="2">
        <f>IFERROR(__xludf.DUMMYFUNCTION("""COMPUTED_VALUE"""),12840.0)</f>
        <v>12840</v>
      </c>
      <c r="C1285" s="66">
        <f>IFERROR(__xludf.DUMMYFUNCTION("""COMPUTED_VALUE"""),8.23686E9)</f>
        <v>8236860000</v>
      </c>
      <c r="D1285" s="1"/>
      <c r="E1285" s="1"/>
      <c r="F1285" s="1"/>
      <c r="G1285" s="1"/>
      <c r="H1285" s="1"/>
      <c r="I1285" s="1"/>
      <c r="J1285" s="1"/>
      <c r="K1285" s="1"/>
      <c r="L1285" s="1"/>
      <c r="M1285" s="1"/>
      <c r="N1285" s="1"/>
      <c r="O1285" s="1"/>
      <c r="P1285" s="1"/>
      <c r="Q1285" s="1"/>
      <c r="R1285" s="1"/>
      <c r="S1285" s="1"/>
      <c r="T1285" s="1"/>
      <c r="U1285" s="1"/>
      <c r="V1285" s="1"/>
      <c r="W1285" s="1"/>
      <c r="X1285" s="1"/>
      <c r="Y1285" s="1"/>
      <c r="Z1285" s="1"/>
    </row>
    <row r="1286" ht="15.75" customHeight="1">
      <c r="A1286" s="2">
        <f>IFERROR(__xludf.DUMMYFUNCTION("""COMPUTED_VALUE"""),642500.0)</f>
        <v>642500</v>
      </c>
      <c r="B1286" s="2">
        <f>IFERROR(__xludf.DUMMYFUNCTION("""COMPUTED_VALUE"""),12850.0)</f>
        <v>12850</v>
      </c>
      <c r="C1286" s="66">
        <f>IFERROR(__xludf.DUMMYFUNCTION("""COMPUTED_VALUE"""),8.2497E9)</f>
        <v>8249700000</v>
      </c>
      <c r="D1286" s="1"/>
      <c r="E1286" s="1"/>
      <c r="F1286" s="1"/>
      <c r="G1286" s="1"/>
      <c r="H1286" s="1"/>
      <c r="I1286" s="1"/>
      <c r="J1286" s="1"/>
      <c r="K1286" s="1"/>
      <c r="L1286" s="1"/>
      <c r="M1286" s="1"/>
      <c r="N1286" s="1"/>
      <c r="O1286" s="1"/>
      <c r="P1286" s="1"/>
      <c r="Q1286" s="1"/>
      <c r="R1286" s="1"/>
      <c r="S1286" s="1"/>
      <c r="T1286" s="1"/>
      <c r="U1286" s="1"/>
      <c r="V1286" s="1"/>
      <c r="W1286" s="1"/>
      <c r="X1286" s="1"/>
      <c r="Y1286" s="1"/>
      <c r="Z1286" s="1"/>
    </row>
    <row r="1287" ht="15.75" customHeight="1">
      <c r="A1287" s="2">
        <f>IFERROR(__xludf.DUMMYFUNCTION("""COMPUTED_VALUE"""),643000.0)</f>
        <v>643000</v>
      </c>
      <c r="B1287" s="2">
        <f>IFERROR(__xludf.DUMMYFUNCTION("""COMPUTED_VALUE"""),12860.0)</f>
        <v>12860</v>
      </c>
      <c r="C1287" s="66">
        <f>IFERROR(__xludf.DUMMYFUNCTION("""COMPUTED_VALUE"""),8.26255E9)</f>
        <v>8262550000</v>
      </c>
      <c r="D1287" s="1"/>
      <c r="E1287" s="1"/>
      <c r="F1287" s="1"/>
      <c r="G1287" s="1"/>
      <c r="H1287" s="1"/>
      <c r="I1287" s="1"/>
      <c r="J1287" s="1"/>
      <c r="K1287" s="1"/>
      <c r="L1287" s="1"/>
      <c r="M1287" s="1"/>
      <c r="N1287" s="1"/>
      <c r="O1287" s="1"/>
      <c r="P1287" s="1"/>
      <c r="Q1287" s="1"/>
      <c r="R1287" s="1"/>
      <c r="S1287" s="1"/>
      <c r="T1287" s="1"/>
      <c r="U1287" s="1"/>
      <c r="V1287" s="1"/>
      <c r="W1287" s="1"/>
      <c r="X1287" s="1"/>
      <c r="Y1287" s="1"/>
      <c r="Z1287" s="1"/>
    </row>
    <row r="1288" ht="15.75" customHeight="1">
      <c r="A1288" s="2">
        <f>IFERROR(__xludf.DUMMYFUNCTION("""COMPUTED_VALUE"""),643500.0)</f>
        <v>643500</v>
      </c>
      <c r="B1288" s="2">
        <f>IFERROR(__xludf.DUMMYFUNCTION("""COMPUTED_VALUE"""),12870.0)</f>
        <v>12870</v>
      </c>
      <c r="C1288" s="66">
        <f>IFERROR(__xludf.DUMMYFUNCTION("""COMPUTED_VALUE"""),8.27541E9)</f>
        <v>8275410000</v>
      </c>
      <c r="D1288" s="1"/>
      <c r="E1288" s="1"/>
      <c r="F1288" s="1"/>
      <c r="G1288" s="1"/>
      <c r="H1288" s="1"/>
      <c r="I1288" s="1"/>
      <c r="J1288" s="1"/>
      <c r="K1288" s="1"/>
      <c r="L1288" s="1"/>
      <c r="M1288" s="1"/>
      <c r="N1288" s="1"/>
      <c r="O1288" s="1"/>
      <c r="P1288" s="1"/>
      <c r="Q1288" s="1"/>
      <c r="R1288" s="1"/>
      <c r="S1288" s="1"/>
      <c r="T1288" s="1"/>
      <c r="U1288" s="1"/>
      <c r="V1288" s="1"/>
      <c r="W1288" s="1"/>
      <c r="X1288" s="1"/>
      <c r="Y1288" s="1"/>
      <c r="Z1288" s="1"/>
    </row>
    <row r="1289" ht="15.75" customHeight="1">
      <c r="A1289" s="2">
        <f>IFERROR(__xludf.DUMMYFUNCTION("""COMPUTED_VALUE"""),644000.0)</f>
        <v>644000</v>
      </c>
      <c r="B1289" s="2">
        <f>IFERROR(__xludf.DUMMYFUNCTION("""COMPUTED_VALUE"""),12880.0)</f>
        <v>12880</v>
      </c>
      <c r="C1289" s="66">
        <f>IFERROR(__xludf.DUMMYFUNCTION("""COMPUTED_VALUE"""),8.28828E9)</f>
        <v>8288280000</v>
      </c>
      <c r="D1289" s="1"/>
      <c r="E1289" s="1"/>
      <c r="F1289" s="1"/>
      <c r="G1289" s="1"/>
      <c r="H1289" s="1"/>
      <c r="I1289" s="1"/>
      <c r="J1289" s="1"/>
      <c r="K1289" s="1"/>
      <c r="L1289" s="1"/>
      <c r="M1289" s="1"/>
      <c r="N1289" s="1"/>
      <c r="O1289" s="1"/>
      <c r="P1289" s="1"/>
      <c r="Q1289" s="1"/>
      <c r="R1289" s="1"/>
      <c r="S1289" s="1"/>
      <c r="T1289" s="1"/>
      <c r="U1289" s="1"/>
      <c r="V1289" s="1"/>
      <c r="W1289" s="1"/>
      <c r="X1289" s="1"/>
      <c r="Y1289" s="1"/>
      <c r="Z1289" s="1"/>
    </row>
    <row r="1290" ht="15.75" customHeight="1">
      <c r="A1290" s="2">
        <f>IFERROR(__xludf.DUMMYFUNCTION("""COMPUTED_VALUE"""),644500.0)</f>
        <v>644500</v>
      </c>
      <c r="B1290" s="2">
        <f>IFERROR(__xludf.DUMMYFUNCTION("""COMPUTED_VALUE"""),12890.0)</f>
        <v>12890</v>
      </c>
      <c r="C1290" s="66">
        <f>IFERROR(__xludf.DUMMYFUNCTION("""COMPUTED_VALUE"""),8.30116E9)</f>
        <v>8301160000</v>
      </c>
      <c r="D1290" s="1"/>
      <c r="E1290" s="1"/>
      <c r="F1290" s="1"/>
      <c r="G1290" s="1"/>
      <c r="H1290" s="1"/>
      <c r="I1290" s="1"/>
      <c r="J1290" s="1"/>
      <c r="K1290" s="1"/>
      <c r="L1290" s="1"/>
      <c r="M1290" s="1"/>
      <c r="N1290" s="1"/>
      <c r="O1290" s="1"/>
      <c r="P1290" s="1"/>
      <c r="Q1290" s="1"/>
      <c r="R1290" s="1"/>
      <c r="S1290" s="1"/>
      <c r="T1290" s="1"/>
      <c r="U1290" s="1"/>
      <c r="V1290" s="1"/>
      <c r="W1290" s="1"/>
      <c r="X1290" s="1"/>
      <c r="Y1290" s="1"/>
      <c r="Z1290" s="1"/>
    </row>
    <row r="1291" ht="15.75" customHeight="1">
      <c r="A1291" s="2">
        <f>IFERROR(__xludf.DUMMYFUNCTION("""COMPUTED_VALUE"""),645000.0)</f>
        <v>645000</v>
      </c>
      <c r="B1291" s="2">
        <f>IFERROR(__xludf.DUMMYFUNCTION("""COMPUTED_VALUE"""),12900.0)</f>
        <v>12900</v>
      </c>
      <c r="C1291" s="66">
        <f>IFERROR(__xludf.DUMMYFUNCTION("""COMPUTED_VALUE"""),8.31405E9)</f>
        <v>8314050000</v>
      </c>
      <c r="D1291" s="1"/>
      <c r="E1291" s="1"/>
      <c r="F1291" s="1"/>
      <c r="G1291" s="1"/>
      <c r="H1291" s="1"/>
      <c r="I1291" s="1"/>
      <c r="J1291" s="1"/>
      <c r="K1291" s="1"/>
      <c r="L1291" s="1"/>
      <c r="M1291" s="1"/>
      <c r="N1291" s="1"/>
      <c r="O1291" s="1"/>
      <c r="P1291" s="1"/>
      <c r="Q1291" s="1"/>
      <c r="R1291" s="1"/>
      <c r="S1291" s="1"/>
      <c r="T1291" s="1"/>
      <c r="U1291" s="1"/>
      <c r="V1291" s="1"/>
      <c r="W1291" s="1"/>
      <c r="X1291" s="1"/>
      <c r="Y1291" s="1"/>
      <c r="Z1291" s="1"/>
    </row>
    <row r="1292" ht="15.75" customHeight="1">
      <c r="A1292" s="2">
        <f>IFERROR(__xludf.DUMMYFUNCTION("""COMPUTED_VALUE"""),645500.0)</f>
        <v>645500</v>
      </c>
      <c r="B1292" s="2">
        <f>IFERROR(__xludf.DUMMYFUNCTION("""COMPUTED_VALUE"""),12910.0)</f>
        <v>12910</v>
      </c>
      <c r="C1292" s="66">
        <f>IFERROR(__xludf.DUMMYFUNCTION("""COMPUTED_VALUE"""),8.32695E9)</f>
        <v>8326950000</v>
      </c>
      <c r="D1292" s="1"/>
      <c r="E1292" s="1"/>
      <c r="F1292" s="1"/>
      <c r="G1292" s="1"/>
      <c r="H1292" s="1"/>
      <c r="I1292" s="1"/>
      <c r="J1292" s="1"/>
      <c r="K1292" s="1"/>
      <c r="L1292" s="1"/>
      <c r="M1292" s="1"/>
      <c r="N1292" s="1"/>
      <c r="O1292" s="1"/>
      <c r="P1292" s="1"/>
      <c r="Q1292" s="1"/>
      <c r="R1292" s="1"/>
      <c r="S1292" s="1"/>
      <c r="T1292" s="1"/>
      <c r="U1292" s="1"/>
      <c r="V1292" s="1"/>
      <c r="W1292" s="1"/>
      <c r="X1292" s="1"/>
      <c r="Y1292" s="1"/>
      <c r="Z1292" s="1"/>
    </row>
    <row r="1293" ht="15.75" customHeight="1">
      <c r="A1293" s="2">
        <f>IFERROR(__xludf.DUMMYFUNCTION("""COMPUTED_VALUE"""),646000.0)</f>
        <v>646000</v>
      </c>
      <c r="B1293" s="2">
        <f>IFERROR(__xludf.DUMMYFUNCTION("""COMPUTED_VALUE"""),12920.0)</f>
        <v>12920</v>
      </c>
      <c r="C1293" s="66">
        <f>IFERROR(__xludf.DUMMYFUNCTION("""COMPUTED_VALUE"""),8.33986E9)</f>
        <v>8339860000</v>
      </c>
      <c r="D1293" s="1"/>
      <c r="E1293" s="1"/>
      <c r="F1293" s="1"/>
      <c r="G1293" s="1"/>
      <c r="H1293" s="1"/>
      <c r="I1293" s="1"/>
      <c r="J1293" s="1"/>
      <c r="K1293" s="1"/>
      <c r="L1293" s="1"/>
      <c r="M1293" s="1"/>
      <c r="N1293" s="1"/>
      <c r="O1293" s="1"/>
      <c r="P1293" s="1"/>
      <c r="Q1293" s="1"/>
      <c r="R1293" s="1"/>
      <c r="S1293" s="1"/>
      <c r="T1293" s="1"/>
      <c r="U1293" s="1"/>
      <c r="V1293" s="1"/>
      <c r="W1293" s="1"/>
      <c r="X1293" s="1"/>
      <c r="Y1293" s="1"/>
      <c r="Z1293" s="1"/>
    </row>
    <row r="1294" ht="15.75" customHeight="1">
      <c r="A1294" s="2">
        <f>IFERROR(__xludf.DUMMYFUNCTION("""COMPUTED_VALUE"""),646500.0)</f>
        <v>646500</v>
      </c>
      <c r="B1294" s="2">
        <f>IFERROR(__xludf.DUMMYFUNCTION("""COMPUTED_VALUE"""),12930.0)</f>
        <v>12930</v>
      </c>
      <c r="C1294" s="66">
        <f>IFERROR(__xludf.DUMMYFUNCTION("""COMPUTED_VALUE"""),8.35278E9)</f>
        <v>8352780000</v>
      </c>
      <c r="D1294" s="1"/>
      <c r="E1294" s="1"/>
      <c r="F1294" s="1"/>
      <c r="G1294" s="1"/>
      <c r="H1294" s="1"/>
      <c r="I1294" s="1"/>
      <c r="J1294" s="1"/>
      <c r="K1294" s="1"/>
      <c r="L1294" s="1"/>
      <c r="M1294" s="1"/>
      <c r="N1294" s="1"/>
      <c r="O1294" s="1"/>
      <c r="P1294" s="1"/>
      <c r="Q1294" s="1"/>
      <c r="R1294" s="1"/>
      <c r="S1294" s="1"/>
      <c r="T1294" s="1"/>
      <c r="U1294" s="1"/>
      <c r="V1294" s="1"/>
      <c r="W1294" s="1"/>
      <c r="X1294" s="1"/>
      <c r="Y1294" s="1"/>
      <c r="Z1294" s="1"/>
    </row>
    <row r="1295" ht="15.75" customHeight="1">
      <c r="A1295" s="2">
        <f>IFERROR(__xludf.DUMMYFUNCTION("""COMPUTED_VALUE"""),647000.0)</f>
        <v>647000</v>
      </c>
      <c r="B1295" s="2">
        <f>IFERROR(__xludf.DUMMYFUNCTION("""COMPUTED_VALUE"""),12940.0)</f>
        <v>12940</v>
      </c>
      <c r="C1295" s="66">
        <f>IFERROR(__xludf.DUMMYFUNCTION("""COMPUTED_VALUE"""),8.36571E9)</f>
        <v>8365710000</v>
      </c>
      <c r="D1295" s="1"/>
      <c r="E1295" s="1"/>
      <c r="F1295" s="1"/>
      <c r="G1295" s="1"/>
      <c r="H1295" s="1"/>
      <c r="I1295" s="1"/>
      <c r="J1295" s="1"/>
      <c r="K1295" s="1"/>
      <c r="L1295" s="1"/>
      <c r="M1295" s="1"/>
      <c r="N1295" s="1"/>
      <c r="O1295" s="1"/>
      <c r="P1295" s="1"/>
      <c r="Q1295" s="1"/>
      <c r="R1295" s="1"/>
      <c r="S1295" s="1"/>
      <c r="T1295" s="1"/>
      <c r="U1295" s="1"/>
      <c r="V1295" s="1"/>
      <c r="W1295" s="1"/>
      <c r="X1295" s="1"/>
      <c r="Y1295" s="1"/>
      <c r="Z1295" s="1"/>
    </row>
    <row r="1296" ht="15.75" customHeight="1">
      <c r="A1296" s="2">
        <f>IFERROR(__xludf.DUMMYFUNCTION("""COMPUTED_VALUE"""),647500.0)</f>
        <v>647500</v>
      </c>
      <c r="B1296" s="2">
        <f>IFERROR(__xludf.DUMMYFUNCTION("""COMPUTED_VALUE"""),12950.0)</f>
        <v>12950</v>
      </c>
      <c r="C1296" s="66">
        <f>IFERROR(__xludf.DUMMYFUNCTION("""COMPUTED_VALUE"""),8.37865E9)</f>
        <v>8378650000</v>
      </c>
      <c r="D1296" s="1"/>
      <c r="E1296" s="1"/>
      <c r="F1296" s="1"/>
      <c r="G1296" s="1"/>
      <c r="H1296" s="1"/>
      <c r="I1296" s="1"/>
      <c r="J1296" s="1"/>
      <c r="K1296" s="1"/>
      <c r="L1296" s="1"/>
      <c r="M1296" s="1"/>
      <c r="N1296" s="1"/>
      <c r="O1296" s="1"/>
      <c r="P1296" s="1"/>
      <c r="Q1296" s="1"/>
      <c r="R1296" s="1"/>
      <c r="S1296" s="1"/>
      <c r="T1296" s="1"/>
      <c r="U1296" s="1"/>
      <c r="V1296" s="1"/>
      <c r="W1296" s="1"/>
      <c r="X1296" s="1"/>
      <c r="Y1296" s="1"/>
      <c r="Z1296" s="1"/>
    </row>
    <row r="1297" ht="15.75" customHeight="1">
      <c r="A1297" s="2">
        <f>IFERROR(__xludf.DUMMYFUNCTION("""COMPUTED_VALUE"""),648000.0)</f>
        <v>648000</v>
      </c>
      <c r="B1297" s="2">
        <f>IFERROR(__xludf.DUMMYFUNCTION("""COMPUTED_VALUE"""),12960.0)</f>
        <v>12960</v>
      </c>
      <c r="C1297" s="66">
        <f>IFERROR(__xludf.DUMMYFUNCTION("""COMPUTED_VALUE"""),8.3916E9)</f>
        <v>8391600000</v>
      </c>
      <c r="D1297" s="1"/>
      <c r="E1297" s="1"/>
      <c r="F1297" s="1"/>
      <c r="G1297" s="1"/>
      <c r="H1297" s="1"/>
      <c r="I1297" s="1"/>
      <c r="J1297" s="1"/>
      <c r="K1297" s="1"/>
      <c r="L1297" s="1"/>
      <c r="M1297" s="1"/>
      <c r="N1297" s="1"/>
      <c r="O1297" s="1"/>
      <c r="P1297" s="1"/>
      <c r="Q1297" s="1"/>
      <c r="R1297" s="1"/>
      <c r="S1297" s="1"/>
      <c r="T1297" s="1"/>
      <c r="U1297" s="1"/>
      <c r="V1297" s="1"/>
      <c r="W1297" s="1"/>
      <c r="X1297" s="1"/>
      <c r="Y1297" s="1"/>
      <c r="Z1297" s="1"/>
    </row>
    <row r="1298" ht="15.75" customHeight="1">
      <c r="A1298" s="2">
        <f>IFERROR(__xludf.DUMMYFUNCTION("""COMPUTED_VALUE"""),648500.0)</f>
        <v>648500</v>
      </c>
      <c r="B1298" s="2">
        <f>IFERROR(__xludf.DUMMYFUNCTION("""COMPUTED_VALUE"""),12970.0)</f>
        <v>12970</v>
      </c>
      <c r="C1298" s="66">
        <f>IFERROR(__xludf.DUMMYFUNCTION("""COMPUTED_VALUE"""),8.40456E9)</f>
        <v>8404560000</v>
      </c>
      <c r="D1298" s="1"/>
      <c r="E1298" s="1"/>
      <c r="F1298" s="1"/>
      <c r="G1298" s="1"/>
      <c r="H1298" s="1"/>
      <c r="I1298" s="1"/>
      <c r="J1298" s="1"/>
      <c r="K1298" s="1"/>
      <c r="L1298" s="1"/>
      <c r="M1298" s="1"/>
      <c r="N1298" s="1"/>
      <c r="O1298" s="1"/>
      <c r="P1298" s="1"/>
      <c r="Q1298" s="1"/>
      <c r="R1298" s="1"/>
      <c r="S1298" s="1"/>
      <c r="T1298" s="1"/>
      <c r="U1298" s="1"/>
      <c r="V1298" s="1"/>
      <c r="W1298" s="1"/>
      <c r="X1298" s="1"/>
      <c r="Y1298" s="1"/>
      <c r="Z1298" s="1"/>
    </row>
    <row r="1299" ht="15.75" customHeight="1">
      <c r="A1299" s="2">
        <f>IFERROR(__xludf.DUMMYFUNCTION("""COMPUTED_VALUE"""),649000.0)</f>
        <v>649000</v>
      </c>
      <c r="B1299" s="2">
        <f>IFERROR(__xludf.DUMMYFUNCTION("""COMPUTED_VALUE"""),12980.0)</f>
        <v>12980</v>
      </c>
      <c r="C1299" s="66">
        <f>IFERROR(__xludf.DUMMYFUNCTION("""COMPUTED_VALUE"""),8.41753E9)</f>
        <v>8417530000</v>
      </c>
      <c r="D1299" s="1"/>
      <c r="E1299" s="1"/>
      <c r="F1299" s="1"/>
      <c r="G1299" s="1"/>
      <c r="H1299" s="1"/>
      <c r="I1299" s="1"/>
      <c r="J1299" s="1"/>
      <c r="K1299" s="1"/>
      <c r="L1299" s="1"/>
      <c r="M1299" s="1"/>
      <c r="N1299" s="1"/>
      <c r="O1299" s="1"/>
      <c r="P1299" s="1"/>
      <c r="Q1299" s="1"/>
      <c r="R1299" s="1"/>
      <c r="S1299" s="1"/>
      <c r="T1299" s="1"/>
      <c r="U1299" s="1"/>
      <c r="V1299" s="1"/>
      <c r="W1299" s="1"/>
      <c r="X1299" s="1"/>
      <c r="Y1299" s="1"/>
      <c r="Z1299" s="1"/>
    </row>
    <row r="1300" ht="15.75" customHeight="1">
      <c r="A1300" s="2">
        <f>IFERROR(__xludf.DUMMYFUNCTION("""COMPUTED_VALUE"""),649500.0)</f>
        <v>649500</v>
      </c>
      <c r="B1300" s="2">
        <f>IFERROR(__xludf.DUMMYFUNCTION("""COMPUTED_VALUE"""),12990.0)</f>
        <v>12990</v>
      </c>
      <c r="C1300" s="66">
        <f>IFERROR(__xludf.DUMMYFUNCTION("""COMPUTED_VALUE"""),8.43051E9)</f>
        <v>8430510000</v>
      </c>
      <c r="D1300" s="1"/>
      <c r="E1300" s="1"/>
      <c r="F1300" s="1"/>
      <c r="G1300" s="1"/>
      <c r="H1300" s="1"/>
      <c r="I1300" s="1"/>
      <c r="J1300" s="1"/>
      <c r="K1300" s="1"/>
      <c r="L1300" s="1"/>
      <c r="M1300" s="1"/>
      <c r="N1300" s="1"/>
      <c r="O1300" s="1"/>
      <c r="P1300" s="1"/>
      <c r="Q1300" s="1"/>
      <c r="R1300" s="1"/>
      <c r="S1300" s="1"/>
      <c r="T1300" s="1"/>
      <c r="U1300" s="1"/>
      <c r="V1300" s="1"/>
      <c r="W1300" s="1"/>
      <c r="X1300" s="1"/>
      <c r="Y1300" s="1"/>
      <c r="Z1300" s="1"/>
    </row>
    <row r="1301" ht="15.75" customHeight="1">
      <c r="A1301" s="2">
        <f>IFERROR(__xludf.DUMMYFUNCTION("""COMPUTED_VALUE"""),650000.0)</f>
        <v>650000</v>
      </c>
      <c r="B1301" s="2">
        <f>IFERROR(__xludf.DUMMYFUNCTION("""COMPUTED_VALUE"""),13000.0)</f>
        <v>13000</v>
      </c>
      <c r="C1301" s="66">
        <f>IFERROR(__xludf.DUMMYFUNCTION("""COMPUTED_VALUE"""),8.4435E9)</f>
        <v>8443500000</v>
      </c>
      <c r="D1301" s="1"/>
      <c r="E1301" s="1"/>
      <c r="F1301" s="1"/>
      <c r="G1301" s="1"/>
      <c r="H1301" s="1"/>
      <c r="I1301" s="1"/>
      <c r="J1301" s="1"/>
      <c r="K1301" s="1"/>
      <c r="L1301" s="1"/>
      <c r="M1301" s="1"/>
      <c r="N1301" s="1"/>
      <c r="O1301" s="1"/>
      <c r="P1301" s="1"/>
      <c r="Q1301" s="1"/>
      <c r="R1301" s="1"/>
      <c r="S1301" s="1"/>
      <c r="T1301" s="1"/>
      <c r="U1301" s="1"/>
      <c r="V1301" s="1"/>
      <c r="W1301" s="1"/>
      <c r="X1301" s="1"/>
      <c r="Y1301" s="1"/>
      <c r="Z1301" s="1"/>
    </row>
    <row r="1302" ht="15.75" customHeight="1">
      <c r="A1302" s="2">
        <f>IFERROR(__xludf.DUMMYFUNCTION("""COMPUTED_VALUE"""),650500.0)</f>
        <v>650500</v>
      </c>
      <c r="B1302" s="2">
        <f>IFERROR(__xludf.DUMMYFUNCTION("""COMPUTED_VALUE"""),13010.0)</f>
        <v>13010</v>
      </c>
      <c r="C1302" s="66">
        <f>IFERROR(__xludf.DUMMYFUNCTION("""COMPUTED_VALUE"""),8.4565E9)</f>
        <v>8456500000</v>
      </c>
      <c r="D1302" s="1"/>
      <c r="E1302" s="1"/>
      <c r="F1302" s="1"/>
      <c r="G1302" s="1"/>
      <c r="H1302" s="1"/>
      <c r="I1302" s="1"/>
      <c r="J1302" s="1"/>
      <c r="K1302" s="1"/>
      <c r="L1302" s="1"/>
      <c r="M1302" s="1"/>
      <c r="N1302" s="1"/>
      <c r="O1302" s="1"/>
      <c r="P1302" s="1"/>
      <c r="Q1302" s="1"/>
      <c r="R1302" s="1"/>
      <c r="S1302" s="1"/>
      <c r="T1302" s="1"/>
      <c r="U1302" s="1"/>
      <c r="V1302" s="1"/>
      <c r="W1302" s="1"/>
      <c r="X1302" s="1"/>
      <c r="Y1302" s="1"/>
      <c r="Z1302" s="1"/>
    </row>
    <row r="1303" ht="15.75" customHeight="1">
      <c r="A1303" s="2">
        <f>IFERROR(__xludf.DUMMYFUNCTION("""COMPUTED_VALUE"""),651000.0)</f>
        <v>651000</v>
      </c>
      <c r="B1303" s="2">
        <f>IFERROR(__xludf.DUMMYFUNCTION("""COMPUTED_VALUE"""),13020.0)</f>
        <v>13020</v>
      </c>
      <c r="C1303" s="66">
        <f>IFERROR(__xludf.DUMMYFUNCTION("""COMPUTED_VALUE"""),8.46951E9)</f>
        <v>8469510000</v>
      </c>
      <c r="D1303" s="1"/>
      <c r="E1303" s="1"/>
      <c r="F1303" s="1"/>
      <c r="G1303" s="1"/>
      <c r="H1303" s="1"/>
      <c r="I1303" s="1"/>
      <c r="J1303" s="1"/>
      <c r="K1303" s="1"/>
      <c r="L1303" s="1"/>
      <c r="M1303" s="1"/>
      <c r="N1303" s="1"/>
      <c r="O1303" s="1"/>
      <c r="P1303" s="1"/>
      <c r="Q1303" s="1"/>
      <c r="R1303" s="1"/>
      <c r="S1303" s="1"/>
      <c r="T1303" s="1"/>
      <c r="U1303" s="1"/>
      <c r="V1303" s="1"/>
      <c r="W1303" s="1"/>
      <c r="X1303" s="1"/>
      <c r="Y1303" s="1"/>
      <c r="Z1303" s="1"/>
    </row>
    <row r="1304" ht="15.75" customHeight="1">
      <c r="A1304" s="2">
        <f>IFERROR(__xludf.DUMMYFUNCTION("""COMPUTED_VALUE"""),651500.0)</f>
        <v>651500</v>
      </c>
      <c r="B1304" s="2">
        <f>IFERROR(__xludf.DUMMYFUNCTION("""COMPUTED_VALUE"""),13030.0)</f>
        <v>13030</v>
      </c>
      <c r="C1304" s="66">
        <f>IFERROR(__xludf.DUMMYFUNCTION("""COMPUTED_VALUE"""),8.48253E9)</f>
        <v>8482530000</v>
      </c>
      <c r="D1304" s="1"/>
      <c r="E1304" s="1"/>
      <c r="F1304" s="1"/>
      <c r="G1304" s="1"/>
      <c r="H1304" s="1"/>
      <c r="I1304" s="1"/>
      <c r="J1304" s="1"/>
      <c r="K1304" s="1"/>
      <c r="L1304" s="1"/>
      <c r="M1304" s="1"/>
      <c r="N1304" s="1"/>
      <c r="O1304" s="1"/>
      <c r="P1304" s="1"/>
      <c r="Q1304" s="1"/>
      <c r="R1304" s="1"/>
      <c r="S1304" s="1"/>
      <c r="T1304" s="1"/>
      <c r="U1304" s="1"/>
      <c r="V1304" s="1"/>
      <c r="W1304" s="1"/>
      <c r="X1304" s="1"/>
      <c r="Y1304" s="1"/>
      <c r="Z1304" s="1"/>
    </row>
    <row r="1305" ht="15.75" customHeight="1">
      <c r="A1305" s="2">
        <f>IFERROR(__xludf.DUMMYFUNCTION("""COMPUTED_VALUE"""),652000.0)</f>
        <v>652000</v>
      </c>
      <c r="B1305" s="2">
        <f>IFERROR(__xludf.DUMMYFUNCTION("""COMPUTED_VALUE"""),13040.0)</f>
        <v>13040</v>
      </c>
      <c r="C1305" s="66">
        <f>IFERROR(__xludf.DUMMYFUNCTION("""COMPUTED_VALUE"""),8.49556E9)</f>
        <v>8495560000</v>
      </c>
      <c r="D1305" s="1"/>
      <c r="E1305" s="1"/>
      <c r="F1305" s="1"/>
      <c r="G1305" s="1"/>
      <c r="H1305" s="1"/>
      <c r="I1305" s="1"/>
      <c r="J1305" s="1"/>
      <c r="K1305" s="1"/>
      <c r="L1305" s="1"/>
      <c r="M1305" s="1"/>
      <c r="N1305" s="1"/>
      <c r="O1305" s="1"/>
      <c r="P1305" s="1"/>
      <c r="Q1305" s="1"/>
      <c r="R1305" s="1"/>
      <c r="S1305" s="1"/>
      <c r="T1305" s="1"/>
      <c r="U1305" s="1"/>
      <c r="V1305" s="1"/>
      <c r="W1305" s="1"/>
      <c r="X1305" s="1"/>
      <c r="Y1305" s="1"/>
      <c r="Z1305" s="1"/>
    </row>
    <row r="1306" ht="15.75" customHeight="1">
      <c r="A1306" s="2">
        <f>IFERROR(__xludf.DUMMYFUNCTION("""COMPUTED_VALUE"""),652500.0)</f>
        <v>652500</v>
      </c>
      <c r="B1306" s="2">
        <f>IFERROR(__xludf.DUMMYFUNCTION("""COMPUTED_VALUE"""),13050.0)</f>
        <v>13050</v>
      </c>
      <c r="C1306" s="66">
        <f>IFERROR(__xludf.DUMMYFUNCTION("""COMPUTED_VALUE"""),8.5086E9)</f>
        <v>8508600000</v>
      </c>
      <c r="D1306" s="1"/>
      <c r="E1306" s="1"/>
      <c r="F1306" s="1"/>
      <c r="G1306" s="1"/>
      <c r="H1306" s="1"/>
      <c r="I1306" s="1"/>
      <c r="J1306" s="1"/>
      <c r="K1306" s="1"/>
      <c r="L1306" s="1"/>
      <c r="M1306" s="1"/>
      <c r="N1306" s="1"/>
      <c r="O1306" s="1"/>
      <c r="P1306" s="1"/>
      <c r="Q1306" s="1"/>
      <c r="R1306" s="1"/>
      <c r="S1306" s="1"/>
      <c r="T1306" s="1"/>
      <c r="U1306" s="1"/>
      <c r="V1306" s="1"/>
      <c r="W1306" s="1"/>
      <c r="X1306" s="1"/>
      <c r="Y1306" s="1"/>
      <c r="Z1306" s="1"/>
    </row>
    <row r="1307" ht="15.75" customHeight="1">
      <c r="A1307" s="2">
        <f>IFERROR(__xludf.DUMMYFUNCTION("""COMPUTED_VALUE"""),653000.0)</f>
        <v>653000</v>
      </c>
      <c r="B1307" s="2">
        <f>IFERROR(__xludf.DUMMYFUNCTION("""COMPUTED_VALUE"""),13060.0)</f>
        <v>13060</v>
      </c>
      <c r="C1307" s="66">
        <f>IFERROR(__xludf.DUMMYFUNCTION("""COMPUTED_VALUE"""),8.52165E9)</f>
        <v>8521650000</v>
      </c>
      <c r="D1307" s="1"/>
      <c r="E1307" s="1"/>
      <c r="F1307" s="1"/>
      <c r="G1307" s="1"/>
      <c r="H1307" s="1"/>
      <c r="I1307" s="1"/>
      <c r="J1307" s="1"/>
      <c r="K1307" s="1"/>
      <c r="L1307" s="1"/>
      <c r="M1307" s="1"/>
      <c r="N1307" s="1"/>
      <c r="O1307" s="1"/>
      <c r="P1307" s="1"/>
      <c r="Q1307" s="1"/>
      <c r="R1307" s="1"/>
      <c r="S1307" s="1"/>
      <c r="T1307" s="1"/>
      <c r="U1307" s="1"/>
      <c r="V1307" s="1"/>
      <c r="W1307" s="1"/>
      <c r="X1307" s="1"/>
      <c r="Y1307" s="1"/>
      <c r="Z1307" s="1"/>
    </row>
    <row r="1308" ht="15.75" customHeight="1">
      <c r="A1308" s="2">
        <f>IFERROR(__xludf.DUMMYFUNCTION("""COMPUTED_VALUE"""),653500.0)</f>
        <v>653500</v>
      </c>
      <c r="B1308" s="2">
        <f>IFERROR(__xludf.DUMMYFUNCTION("""COMPUTED_VALUE"""),13070.0)</f>
        <v>13070</v>
      </c>
      <c r="C1308" s="66">
        <f>IFERROR(__xludf.DUMMYFUNCTION("""COMPUTED_VALUE"""),8.53471E9)</f>
        <v>8534710000</v>
      </c>
      <c r="D1308" s="1"/>
      <c r="E1308" s="1"/>
      <c r="F1308" s="1"/>
      <c r="G1308" s="1"/>
      <c r="H1308" s="1"/>
      <c r="I1308" s="1"/>
      <c r="J1308" s="1"/>
      <c r="K1308" s="1"/>
      <c r="L1308" s="1"/>
      <c r="M1308" s="1"/>
      <c r="N1308" s="1"/>
      <c r="O1308" s="1"/>
      <c r="P1308" s="1"/>
      <c r="Q1308" s="1"/>
      <c r="R1308" s="1"/>
      <c r="S1308" s="1"/>
      <c r="T1308" s="1"/>
      <c r="U1308" s="1"/>
      <c r="V1308" s="1"/>
      <c r="W1308" s="1"/>
      <c r="X1308" s="1"/>
      <c r="Y1308" s="1"/>
      <c r="Z1308" s="1"/>
    </row>
    <row r="1309" ht="15.75" customHeight="1">
      <c r="A1309" s="2">
        <f>IFERROR(__xludf.DUMMYFUNCTION("""COMPUTED_VALUE"""),654000.0)</f>
        <v>654000</v>
      </c>
      <c r="B1309" s="2">
        <f>IFERROR(__xludf.DUMMYFUNCTION("""COMPUTED_VALUE"""),13080.0)</f>
        <v>13080</v>
      </c>
      <c r="C1309" s="66">
        <f>IFERROR(__xludf.DUMMYFUNCTION("""COMPUTED_VALUE"""),8.54778E9)</f>
        <v>8547780000</v>
      </c>
      <c r="D1309" s="1"/>
      <c r="E1309" s="1"/>
      <c r="F1309" s="1"/>
      <c r="G1309" s="1"/>
      <c r="H1309" s="1"/>
      <c r="I1309" s="1"/>
      <c r="J1309" s="1"/>
      <c r="K1309" s="1"/>
      <c r="L1309" s="1"/>
      <c r="M1309" s="1"/>
      <c r="N1309" s="1"/>
      <c r="O1309" s="1"/>
      <c r="P1309" s="1"/>
      <c r="Q1309" s="1"/>
      <c r="R1309" s="1"/>
      <c r="S1309" s="1"/>
      <c r="T1309" s="1"/>
      <c r="U1309" s="1"/>
      <c r="V1309" s="1"/>
      <c r="W1309" s="1"/>
      <c r="X1309" s="1"/>
      <c r="Y1309" s="1"/>
      <c r="Z1309" s="1"/>
    </row>
    <row r="1310" ht="15.75" customHeight="1">
      <c r="A1310" s="2">
        <f>IFERROR(__xludf.DUMMYFUNCTION("""COMPUTED_VALUE"""),654500.0)</f>
        <v>654500</v>
      </c>
      <c r="B1310" s="2">
        <f>IFERROR(__xludf.DUMMYFUNCTION("""COMPUTED_VALUE"""),13090.0)</f>
        <v>13090</v>
      </c>
      <c r="C1310" s="66">
        <f>IFERROR(__xludf.DUMMYFUNCTION("""COMPUTED_VALUE"""),8.56086E9)</f>
        <v>8560860000</v>
      </c>
      <c r="D1310" s="1"/>
      <c r="E1310" s="1"/>
      <c r="F1310" s="1"/>
      <c r="G1310" s="1"/>
      <c r="H1310" s="1"/>
      <c r="I1310" s="1"/>
      <c r="J1310" s="1"/>
      <c r="K1310" s="1"/>
      <c r="L1310" s="1"/>
      <c r="M1310" s="1"/>
      <c r="N1310" s="1"/>
      <c r="O1310" s="1"/>
      <c r="P1310" s="1"/>
      <c r="Q1310" s="1"/>
      <c r="R1310" s="1"/>
      <c r="S1310" s="1"/>
      <c r="T1310" s="1"/>
      <c r="U1310" s="1"/>
      <c r="V1310" s="1"/>
      <c r="W1310" s="1"/>
      <c r="X1310" s="1"/>
      <c r="Y1310" s="1"/>
      <c r="Z1310" s="1"/>
    </row>
    <row r="1311" ht="15.75" customHeight="1">
      <c r="A1311" s="2">
        <f>IFERROR(__xludf.DUMMYFUNCTION("""COMPUTED_VALUE"""),655000.0)</f>
        <v>655000</v>
      </c>
      <c r="B1311" s="2">
        <f>IFERROR(__xludf.DUMMYFUNCTION("""COMPUTED_VALUE"""),13100.0)</f>
        <v>13100</v>
      </c>
      <c r="C1311" s="66">
        <f>IFERROR(__xludf.DUMMYFUNCTION("""COMPUTED_VALUE"""),8.57395E9)</f>
        <v>8573950000</v>
      </c>
      <c r="D1311" s="1"/>
      <c r="E1311" s="1"/>
      <c r="F1311" s="1"/>
      <c r="G1311" s="1"/>
      <c r="H1311" s="1"/>
      <c r="I1311" s="1"/>
      <c r="J1311" s="1"/>
      <c r="K1311" s="1"/>
      <c r="L1311" s="1"/>
      <c r="M1311" s="1"/>
      <c r="N1311" s="1"/>
      <c r="O1311" s="1"/>
      <c r="P1311" s="1"/>
      <c r="Q1311" s="1"/>
      <c r="R1311" s="1"/>
      <c r="S1311" s="1"/>
      <c r="T1311" s="1"/>
      <c r="U1311" s="1"/>
      <c r="V1311" s="1"/>
      <c r="W1311" s="1"/>
      <c r="X1311" s="1"/>
      <c r="Y1311" s="1"/>
      <c r="Z1311" s="1"/>
    </row>
    <row r="1312" ht="15.75" customHeight="1">
      <c r="A1312" s="2">
        <f>IFERROR(__xludf.DUMMYFUNCTION("""COMPUTED_VALUE"""),655500.0)</f>
        <v>655500</v>
      </c>
      <c r="B1312" s="2">
        <f>IFERROR(__xludf.DUMMYFUNCTION("""COMPUTED_VALUE"""),13110.0)</f>
        <v>13110</v>
      </c>
      <c r="C1312" s="66">
        <f>IFERROR(__xludf.DUMMYFUNCTION("""COMPUTED_VALUE"""),8.58705E9)</f>
        <v>8587050000</v>
      </c>
      <c r="D1312" s="1"/>
      <c r="E1312" s="1"/>
      <c r="F1312" s="1"/>
      <c r="G1312" s="1"/>
      <c r="H1312" s="1"/>
      <c r="I1312" s="1"/>
      <c r="J1312" s="1"/>
      <c r="K1312" s="1"/>
      <c r="L1312" s="1"/>
      <c r="M1312" s="1"/>
      <c r="N1312" s="1"/>
      <c r="O1312" s="1"/>
      <c r="P1312" s="1"/>
      <c r="Q1312" s="1"/>
      <c r="R1312" s="1"/>
      <c r="S1312" s="1"/>
      <c r="T1312" s="1"/>
      <c r="U1312" s="1"/>
      <c r="V1312" s="1"/>
      <c r="W1312" s="1"/>
      <c r="X1312" s="1"/>
      <c r="Y1312" s="1"/>
      <c r="Z1312" s="1"/>
    </row>
    <row r="1313" ht="15.75" customHeight="1">
      <c r="A1313" s="2">
        <f>IFERROR(__xludf.DUMMYFUNCTION("""COMPUTED_VALUE"""),656000.0)</f>
        <v>656000</v>
      </c>
      <c r="B1313" s="2">
        <f>IFERROR(__xludf.DUMMYFUNCTION("""COMPUTED_VALUE"""),13120.0)</f>
        <v>13120</v>
      </c>
      <c r="C1313" s="66">
        <f>IFERROR(__xludf.DUMMYFUNCTION("""COMPUTED_VALUE"""),8.60016E9)</f>
        <v>8600160000</v>
      </c>
      <c r="D1313" s="1"/>
      <c r="E1313" s="1"/>
      <c r="F1313" s="1"/>
      <c r="G1313" s="1"/>
      <c r="H1313" s="1"/>
      <c r="I1313" s="1"/>
      <c r="J1313" s="1"/>
      <c r="K1313" s="1"/>
      <c r="L1313" s="1"/>
      <c r="M1313" s="1"/>
      <c r="N1313" s="1"/>
      <c r="O1313" s="1"/>
      <c r="P1313" s="1"/>
      <c r="Q1313" s="1"/>
      <c r="R1313" s="1"/>
      <c r="S1313" s="1"/>
      <c r="T1313" s="1"/>
      <c r="U1313" s="1"/>
      <c r="V1313" s="1"/>
      <c r="W1313" s="1"/>
      <c r="X1313" s="1"/>
      <c r="Y1313" s="1"/>
      <c r="Z1313" s="1"/>
    </row>
    <row r="1314" ht="15.75" customHeight="1">
      <c r="A1314" s="2">
        <f>IFERROR(__xludf.DUMMYFUNCTION("""COMPUTED_VALUE"""),656500.0)</f>
        <v>656500</v>
      </c>
      <c r="B1314" s="2">
        <f>IFERROR(__xludf.DUMMYFUNCTION("""COMPUTED_VALUE"""),13130.0)</f>
        <v>13130</v>
      </c>
      <c r="C1314" s="66">
        <f>IFERROR(__xludf.DUMMYFUNCTION("""COMPUTED_VALUE"""),8.61328E9)</f>
        <v>8613280000</v>
      </c>
      <c r="D1314" s="1"/>
      <c r="E1314" s="1"/>
      <c r="F1314" s="1"/>
      <c r="G1314" s="1"/>
      <c r="H1314" s="1"/>
      <c r="I1314" s="1"/>
      <c r="J1314" s="1"/>
      <c r="K1314" s="1"/>
      <c r="L1314" s="1"/>
      <c r="M1314" s="1"/>
      <c r="N1314" s="1"/>
      <c r="O1314" s="1"/>
      <c r="P1314" s="1"/>
      <c r="Q1314" s="1"/>
      <c r="R1314" s="1"/>
      <c r="S1314" s="1"/>
      <c r="T1314" s="1"/>
      <c r="U1314" s="1"/>
      <c r="V1314" s="1"/>
      <c r="W1314" s="1"/>
      <c r="X1314" s="1"/>
      <c r="Y1314" s="1"/>
      <c r="Z1314" s="1"/>
    </row>
    <row r="1315" ht="15.75" customHeight="1">
      <c r="A1315" s="2">
        <f>IFERROR(__xludf.DUMMYFUNCTION("""COMPUTED_VALUE"""),657000.0)</f>
        <v>657000</v>
      </c>
      <c r="B1315" s="2">
        <f>IFERROR(__xludf.DUMMYFUNCTION("""COMPUTED_VALUE"""),13140.0)</f>
        <v>13140</v>
      </c>
      <c r="C1315" s="66">
        <f>IFERROR(__xludf.DUMMYFUNCTION("""COMPUTED_VALUE"""),8.62641E9)</f>
        <v>8626410000</v>
      </c>
      <c r="D1315" s="1"/>
      <c r="E1315" s="1"/>
      <c r="F1315" s="1"/>
      <c r="G1315" s="1"/>
      <c r="H1315" s="1"/>
      <c r="I1315" s="1"/>
      <c r="J1315" s="1"/>
      <c r="K1315" s="1"/>
      <c r="L1315" s="1"/>
      <c r="M1315" s="1"/>
      <c r="N1315" s="1"/>
      <c r="O1315" s="1"/>
      <c r="P1315" s="1"/>
      <c r="Q1315" s="1"/>
      <c r="R1315" s="1"/>
      <c r="S1315" s="1"/>
      <c r="T1315" s="1"/>
      <c r="U1315" s="1"/>
      <c r="V1315" s="1"/>
      <c r="W1315" s="1"/>
      <c r="X1315" s="1"/>
      <c r="Y1315" s="1"/>
      <c r="Z1315" s="1"/>
    </row>
    <row r="1316" ht="15.75" customHeight="1">
      <c r="A1316" s="2">
        <f>IFERROR(__xludf.DUMMYFUNCTION("""COMPUTED_VALUE"""),657500.0)</f>
        <v>657500</v>
      </c>
      <c r="B1316" s="2">
        <f>IFERROR(__xludf.DUMMYFUNCTION("""COMPUTED_VALUE"""),13150.0)</f>
        <v>13150</v>
      </c>
      <c r="C1316" s="66">
        <f>IFERROR(__xludf.DUMMYFUNCTION("""COMPUTED_VALUE"""),8.63955E9)</f>
        <v>8639550000</v>
      </c>
      <c r="D1316" s="1"/>
      <c r="E1316" s="1"/>
      <c r="F1316" s="1"/>
      <c r="G1316" s="1"/>
      <c r="H1316" s="1"/>
      <c r="I1316" s="1"/>
      <c r="J1316" s="1"/>
      <c r="K1316" s="1"/>
      <c r="L1316" s="1"/>
      <c r="M1316" s="1"/>
      <c r="N1316" s="1"/>
      <c r="O1316" s="1"/>
      <c r="P1316" s="1"/>
      <c r="Q1316" s="1"/>
      <c r="R1316" s="1"/>
      <c r="S1316" s="1"/>
      <c r="T1316" s="1"/>
      <c r="U1316" s="1"/>
      <c r="V1316" s="1"/>
      <c r="W1316" s="1"/>
      <c r="X1316" s="1"/>
      <c r="Y1316" s="1"/>
      <c r="Z1316" s="1"/>
    </row>
    <row r="1317" ht="15.75" customHeight="1">
      <c r="A1317" s="2">
        <f>IFERROR(__xludf.DUMMYFUNCTION("""COMPUTED_VALUE"""),658000.0)</f>
        <v>658000</v>
      </c>
      <c r="B1317" s="2">
        <f>IFERROR(__xludf.DUMMYFUNCTION("""COMPUTED_VALUE"""),13160.0)</f>
        <v>13160</v>
      </c>
      <c r="C1317" s="66">
        <f>IFERROR(__xludf.DUMMYFUNCTION("""COMPUTED_VALUE"""),8.6527E9)</f>
        <v>8652700000</v>
      </c>
      <c r="D1317" s="1"/>
      <c r="E1317" s="1"/>
      <c r="F1317" s="1"/>
      <c r="G1317" s="1"/>
      <c r="H1317" s="1"/>
      <c r="I1317" s="1"/>
      <c r="J1317" s="1"/>
      <c r="K1317" s="1"/>
      <c r="L1317" s="1"/>
      <c r="M1317" s="1"/>
      <c r="N1317" s="1"/>
      <c r="O1317" s="1"/>
      <c r="P1317" s="1"/>
      <c r="Q1317" s="1"/>
      <c r="R1317" s="1"/>
      <c r="S1317" s="1"/>
      <c r="T1317" s="1"/>
      <c r="U1317" s="1"/>
      <c r="V1317" s="1"/>
      <c r="W1317" s="1"/>
      <c r="X1317" s="1"/>
      <c r="Y1317" s="1"/>
      <c r="Z1317" s="1"/>
    </row>
    <row r="1318" ht="15.75" customHeight="1">
      <c r="A1318" s="2">
        <f>IFERROR(__xludf.DUMMYFUNCTION("""COMPUTED_VALUE"""),658500.0)</f>
        <v>658500</v>
      </c>
      <c r="B1318" s="2">
        <f>IFERROR(__xludf.DUMMYFUNCTION("""COMPUTED_VALUE"""),13170.0)</f>
        <v>13170</v>
      </c>
      <c r="C1318" s="66">
        <f>IFERROR(__xludf.DUMMYFUNCTION("""COMPUTED_VALUE"""),8.66586E9)</f>
        <v>8665860000</v>
      </c>
      <c r="D1318" s="1"/>
      <c r="E1318" s="1"/>
      <c r="F1318" s="1"/>
      <c r="G1318" s="1"/>
      <c r="H1318" s="1"/>
      <c r="I1318" s="1"/>
      <c r="J1318" s="1"/>
      <c r="K1318" s="1"/>
      <c r="L1318" s="1"/>
      <c r="M1318" s="1"/>
      <c r="N1318" s="1"/>
      <c r="O1318" s="1"/>
      <c r="P1318" s="1"/>
      <c r="Q1318" s="1"/>
      <c r="R1318" s="1"/>
      <c r="S1318" s="1"/>
      <c r="T1318" s="1"/>
      <c r="U1318" s="1"/>
      <c r="V1318" s="1"/>
      <c r="W1318" s="1"/>
      <c r="X1318" s="1"/>
      <c r="Y1318" s="1"/>
      <c r="Z1318" s="1"/>
    </row>
    <row r="1319" ht="15.75" customHeight="1">
      <c r="A1319" s="2">
        <f>IFERROR(__xludf.DUMMYFUNCTION("""COMPUTED_VALUE"""),659000.0)</f>
        <v>659000</v>
      </c>
      <c r="B1319" s="2">
        <f>IFERROR(__xludf.DUMMYFUNCTION("""COMPUTED_VALUE"""),13180.0)</f>
        <v>13180</v>
      </c>
      <c r="C1319" s="66">
        <f>IFERROR(__xludf.DUMMYFUNCTION("""COMPUTED_VALUE"""),8.67903E9)</f>
        <v>8679030000</v>
      </c>
      <c r="D1319" s="1"/>
      <c r="E1319" s="1"/>
      <c r="F1319" s="1"/>
      <c r="G1319" s="1"/>
      <c r="H1319" s="1"/>
      <c r="I1319" s="1"/>
      <c r="J1319" s="1"/>
      <c r="K1319" s="1"/>
      <c r="L1319" s="1"/>
      <c r="M1319" s="1"/>
      <c r="N1319" s="1"/>
      <c r="O1319" s="1"/>
      <c r="P1319" s="1"/>
      <c r="Q1319" s="1"/>
      <c r="R1319" s="1"/>
      <c r="S1319" s="1"/>
      <c r="T1319" s="1"/>
      <c r="U1319" s="1"/>
      <c r="V1319" s="1"/>
      <c r="W1319" s="1"/>
      <c r="X1319" s="1"/>
      <c r="Y1319" s="1"/>
      <c r="Z1319" s="1"/>
    </row>
    <row r="1320" ht="15.75" customHeight="1">
      <c r="A1320" s="2">
        <f>IFERROR(__xludf.DUMMYFUNCTION("""COMPUTED_VALUE"""),659500.0)</f>
        <v>659500</v>
      </c>
      <c r="B1320" s="2">
        <f>IFERROR(__xludf.DUMMYFUNCTION("""COMPUTED_VALUE"""),13190.0)</f>
        <v>13190</v>
      </c>
      <c r="C1320" s="66">
        <f>IFERROR(__xludf.DUMMYFUNCTION("""COMPUTED_VALUE"""),8.69221E9)</f>
        <v>8692210000</v>
      </c>
      <c r="D1320" s="1"/>
      <c r="E1320" s="1"/>
      <c r="F1320" s="1"/>
      <c r="G1320" s="1"/>
      <c r="H1320" s="1"/>
      <c r="I1320" s="1"/>
      <c r="J1320" s="1"/>
      <c r="K1320" s="1"/>
      <c r="L1320" s="1"/>
      <c r="M1320" s="1"/>
      <c r="N1320" s="1"/>
      <c r="O1320" s="1"/>
      <c r="P1320" s="1"/>
      <c r="Q1320" s="1"/>
      <c r="R1320" s="1"/>
      <c r="S1320" s="1"/>
      <c r="T1320" s="1"/>
      <c r="U1320" s="1"/>
      <c r="V1320" s="1"/>
      <c r="W1320" s="1"/>
      <c r="X1320" s="1"/>
      <c r="Y1320" s="1"/>
      <c r="Z1320" s="1"/>
    </row>
    <row r="1321" ht="15.75" customHeight="1">
      <c r="A1321" s="2">
        <f>IFERROR(__xludf.DUMMYFUNCTION("""COMPUTED_VALUE"""),660000.0)</f>
        <v>660000</v>
      </c>
      <c r="B1321" s="2">
        <f>IFERROR(__xludf.DUMMYFUNCTION("""COMPUTED_VALUE"""),13200.0)</f>
        <v>13200</v>
      </c>
      <c r="C1321" s="66">
        <f>IFERROR(__xludf.DUMMYFUNCTION("""COMPUTED_VALUE"""),8.7054E9)</f>
        <v>8705400000</v>
      </c>
      <c r="D1321" s="1"/>
      <c r="E1321" s="1"/>
      <c r="F1321" s="1"/>
      <c r="G1321" s="1"/>
      <c r="H1321" s="1"/>
      <c r="I1321" s="1"/>
      <c r="J1321" s="1"/>
      <c r="K1321" s="1"/>
      <c r="L1321" s="1"/>
      <c r="M1321" s="1"/>
      <c r="N1321" s="1"/>
      <c r="O1321" s="1"/>
      <c r="P1321" s="1"/>
      <c r="Q1321" s="1"/>
      <c r="R1321" s="1"/>
      <c r="S1321" s="1"/>
      <c r="T1321" s="1"/>
      <c r="U1321" s="1"/>
      <c r="V1321" s="1"/>
      <c r="W1321" s="1"/>
      <c r="X1321" s="1"/>
      <c r="Y1321" s="1"/>
      <c r="Z1321" s="1"/>
    </row>
    <row r="1322" ht="15.75" customHeight="1">
      <c r="A1322" s="2">
        <f>IFERROR(__xludf.DUMMYFUNCTION("""COMPUTED_VALUE"""),660500.0)</f>
        <v>660500</v>
      </c>
      <c r="B1322" s="2">
        <f>IFERROR(__xludf.DUMMYFUNCTION("""COMPUTED_VALUE"""),13210.0)</f>
        <v>13210</v>
      </c>
      <c r="C1322" s="66">
        <f>IFERROR(__xludf.DUMMYFUNCTION("""COMPUTED_VALUE"""),8.7186E9)</f>
        <v>8718600000</v>
      </c>
      <c r="D1322" s="1"/>
      <c r="E1322" s="1"/>
      <c r="F1322" s="1"/>
      <c r="G1322" s="1"/>
      <c r="H1322" s="1"/>
      <c r="I1322" s="1"/>
      <c r="J1322" s="1"/>
      <c r="K1322" s="1"/>
      <c r="L1322" s="1"/>
      <c r="M1322" s="1"/>
      <c r="N1322" s="1"/>
      <c r="O1322" s="1"/>
      <c r="P1322" s="1"/>
      <c r="Q1322" s="1"/>
      <c r="R1322" s="1"/>
      <c r="S1322" s="1"/>
      <c r="T1322" s="1"/>
      <c r="U1322" s="1"/>
      <c r="V1322" s="1"/>
      <c r="W1322" s="1"/>
      <c r="X1322" s="1"/>
      <c r="Y1322" s="1"/>
      <c r="Z1322" s="1"/>
    </row>
    <row r="1323" ht="15.75" customHeight="1">
      <c r="A1323" s="2">
        <f>IFERROR(__xludf.DUMMYFUNCTION("""COMPUTED_VALUE"""),661000.0)</f>
        <v>661000</v>
      </c>
      <c r="B1323" s="2">
        <f>IFERROR(__xludf.DUMMYFUNCTION("""COMPUTED_VALUE"""),13220.0)</f>
        <v>13220</v>
      </c>
      <c r="C1323" s="66">
        <f>IFERROR(__xludf.DUMMYFUNCTION("""COMPUTED_VALUE"""),8.73181E9)</f>
        <v>8731810000</v>
      </c>
      <c r="D1323" s="1"/>
      <c r="E1323" s="1"/>
      <c r="F1323" s="1"/>
      <c r="G1323" s="1"/>
      <c r="H1323" s="1"/>
      <c r="I1323" s="1"/>
      <c r="J1323" s="1"/>
      <c r="K1323" s="1"/>
      <c r="L1323" s="1"/>
      <c r="M1323" s="1"/>
      <c r="N1323" s="1"/>
      <c r="O1323" s="1"/>
      <c r="P1323" s="1"/>
      <c r="Q1323" s="1"/>
      <c r="R1323" s="1"/>
      <c r="S1323" s="1"/>
      <c r="T1323" s="1"/>
      <c r="U1323" s="1"/>
      <c r="V1323" s="1"/>
      <c r="W1323" s="1"/>
      <c r="X1323" s="1"/>
      <c r="Y1323" s="1"/>
      <c r="Z1323" s="1"/>
    </row>
    <row r="1324" ht="15.75" customHeight="1">
      <c r="A1324" s="2">
        <f>IFERROR(__xludf.DUMMYFUNCTION("""COMPUTED_VALUE"""),661500.0)</f>
        <v>661500</v>
      </c>
      <c r="B1324" s="2">
        <f>IFERROR(__xludf.DUMMYFUNCTION("""COMPUTED_VALUE"""),13230.0)</f>
        <v>13230</v>
      </c>
      <c r="C1324" s="66">
        <f>IFERROR(__xludf.DUMMYFUNCTION("""COMPUTED_VALUE"""),8.74503E9)</f>
        <v>8745030000</v>
      </c>
      <c r="D1324" s="1"/>
      <c r="E1324" s="1"/>
      <c r="F1324" s="1"/>
      <c r="G1324" s="1"/>
      <c r="H1324" s="1"/>
      <c r="I1324" s="1"/>
      <c r="J1324" s="1"/>
      <c r="K1324" s="1"/>
      <c r="L1324" s="1"/>
      <c r="M1324" s="1"/>
      <c r="N1324" s="1"/>
      <c r="O1324" s="1"/>
      <c r="P1324" s="1"/>
      <c r="Q1324" s="1"/>
      <c r="R1324" s="1"/>
      <c r="S1324" s="1"/>
      <c r="T1324" s="1"/>
      <c r="U1324" s="1"/>
      <c r="V1324" s="1"/>
      <c r="W1324" s="1"/>
      <c r="X1324" s="1"/>
      <c r="Y1324" s="1"/>
      <c r="Z1324" s="1"/>
    </row>
    <row r="1325" ht="15.75" customHeight="1">
      <c r="A1325" s="2">
        <f>IFERROR(__xludf.DUMMYFUNCTION("""COMPUTED_VALUE"""),662000.0)</f>
        <v>662000</v>
      </c>
      <c r="B1325" s="2">
        <f>IFERROR(__xludf.DUMMYFUNCTION("""COMPUTED_VALUE"""),13240.0)</f>
        <v>13240</v>
      </c>
      <c r="C1325" s="66">
        <f>IFERROR(__xludf.DUMMYFUNCTION("""COMPUTED_VALUE"""),8.75826E9)</f>
        <v>8758260000</v>
      </c>
      <c r="D1325" s="1"/>
      <c r="E1325" s="1"/>
      <c r="F1325" s="1"/>
      <c r="G1325" s="1"/>
      <c r="H1325" s="1"/>
      <c r="I1325" s="1"/>
      <c r="J1325" s="1"/>
      <c r="K1325" s="1"/>
      <c r="L1325" s="1"/>
      <c r="M1325" s="1"/>
      <c r="N1325" s="1"/>
      <c r="O1325" s="1"/>
      <c r="P1325" s="1"/>
      <c r="Q1325" s="1"/>
      <c r="R1325" s="1"/>
      <c r="S1325" s="1"/>
      <c r="T1325" s="1"/>
      <c r="U1325" s="1"/>
      <c r="V1325" s="1"/>
      <c r="W1325" s="1"/>
      <c r="X1325" s="1"/>
      <c r="Y1325" s="1"/>
      <c r="Z1325" s="1"/>
    </row>
    <row r="1326" ht="15.75" customHeight="1">
      <c r="A1326" s="2">
        <f>IFERROR(__xludf.DUMMYFUNCTION("""COMPUTED_VALUE"""),662500.0)</f>
        <v>662500</v>
      </c>
      <c r="B1326" s="2">
        <f>IFERROR(__xludf.DUMMYFUNCTION("""COMPUTED_VALUE"""),13250.0)</f>
        <v>13250</v>
      </c>
      <c r="C1326" s="66">
        <f>IFERROR(__xludf.DUMMYFUNCTION("""COMPUTED_VALUE"""),8.7715E9)</f>
        <v>8771500000</v>
      </c>
      <c r="D1326" s="1"/>
      <c r="E1326" s="1"/>
      <c r="F1326" s="1"/>
      <c r="G1326" s="1"/>
      <c r="H1326" s="1"/>
      <c r="I1326" s="1"/>
      <c r="J1326" s="1"/>
      <c r="K1326" s="1"/>
      <c r="L1326" s="1"/>
      <c r="M1326" s="1"/>
      <c r="N1326" s="1"/>
      <c r="O1326" s="1"/>
      <c r="P1326" s="1"/>
      <c r="Q1326" s="1"/>
      <c r="R1326" s="1"/>
      <c r="S1326" s="1"/>
      <c r="T1326" s="1"/>
      <c r="U1326" s="1"/>
      <c r="V1326" s="1"/>
      <c r="W1326" s="1"/>
      <c r="X1326" s="1"/>
      <c r="Y1326" s="1"/>
      <c r="Z1326" s="1"/>
    </row>
    <row r="1327" ht="15.75" customHeight="1">
      <c r="A1327" s="2">
        <f>IFERROR(__xludf.DUMMYFUNCTION("""COMPUTED_VALUE"""),663000.0)</f>
        <v>663000</v>
      </c>
      <c r="B1327" s="2">
        <f>IFERROR(__xludf.DUMMYFUNCTION("""COMPUTED_VALUE"""),13260.0)</f>
        <v>13260</v>
      </c>
      <c r="C1327" s="66">
        <f>IFERROR(__xludf.DUMMYFUNCTION("""COMPUTED_VALUE"""),8.78475E9)</f>
        <v>8784750000</v>
      </c>
      <c r="D1327" s="1"/>
      <c r="E1327" s="1"/>
      <c r="F1327" s="1"/>
      <c r="G1327" s="1"/>
      <c r="H1327" s="1"/>
      <c r="I1327" s="1"/>
      <c r="J1327" s="1"/>
      <c r="K1327" s="1"/>
      <c r="L1327" s="1"/>
      <c r="M1327" s="1"/>
      <c r="N1327" s="1"/>
      <c r="O1327" s="1"/>
      <c r="P1327" s="1"/>
      <c r="Q1327" s="1"/>
      <c r="R1327" s="1"/>
      <c r="S1327" s="1"/>
      <c r="T1327" s="1"/>
      <c r="U1327" s="1"/>
      <c r="V1327" s="1"/>
      <c r="W1327" s="1"/>
      <c r="X1327" s="1"/>
      <c r="Y1327" s="1"/>
      <c r="Z1327" s="1"/>
    </row>
    <row r="1328" ht="15.75" customHeight="1">
      <c r="A1328" s="2">
        <f>IFERROR(__xludf.DUMMYFUNCTION("""COMPUTED_VALUE"""),663500.0)</f>
        <v>663500</v>
      </c>
      <c r="B1328" s="2">
        <f>IFERROR(__xludf.DUMMYFUNCTION("""COMPUTED_VALUE"""),13270.0)</f>
        <v>13270</v>
      </c>
      <c r="C1328" s="66">
        <f>IFERROR(__xludf.DUMMYFUNCTION("""COMPUTED_VALUE"""),8.79801E9)</f>
        <v>8798010000</v>
      </c>
      <c r="D1328" s="1"/>
      <c r="E1328" s="1"/>
      <c r="F1328" s="1"/>
      <c r="G1328" s="1"/>
      <c r="H1328" s="1"/>
      <c r="I1328" s="1"/>
      <c r="J1328" s="1"/>
      <c r="K1328" s="1"/>
      <c r="L1328" s="1"/>
      <c r="M1328" s="1"/>
      <c r="N1328" s="1"/>
      <c r="O1328" s="1"/>
      <c r="P1328" s="1"/>
      <c r="Q1328" s="1"/>
      <c r="R1328" s="1"/>
      <c r="S1328" s="1"/>
      <c r="T1328" s="1"/>
      <c r="U1328" s="1"/>
      <c r="V1328" s="1"/>
      <c r="W1328" s="1"/>
      <c r="X1328" s="1"/>
      <c r="Y1328" s="1"/>
      <c r="Z1328" s="1"/>
    </row>
    <row r="1329" ht="15.75" customHeight="1">
      <c r="A1329" s="2">
        <f>IFERROR(__xludf.DUMMYFUNCTION("""COMPUTED_VALUE"""),664000.0)</f>
        <v>664000</v>
      </c>
      <c r="B1329" s="2">
        <f>IFERROR(__xludf.DUMMYFUNCTION("""COMPUTED_VALUE"""),13280.0)</f>
        <v>13280</v>
      </c>
      <c r="C1329" s="66">
        <f>IFERROR(__xludf.DUMMYFUNCTION("""COMPUTED_VALUE"""),8.81128E9)</f>
        <v>8811280000</v>
      </c>
      <c r="D1329" s="1"/>
      <c r="E1329" s="1"/>
      <c r="F1329" s="1"/>
      <c r="G1329" s="1"/>
      <c r="H1329" s="1"/>
      <c r="I1329" s="1"/>
      <c r="J1329" s="1"/>
      <c r="K1329" s="1"/>
      <c r="L1329" s="1"/>
      <c r="M1329" s="1"/>
      <c r="N1329" s="1"/>
      <c r="O1329" s="1"/>
      <c r="P1329" s="1"/>
      <c r="Q1329" s="1"/>
      <c r="R1329" s="1"/>
      <c r="S1329" s="1"/>
      <c r="T1329" s="1"/>
      <c r="U1329" s="1"/>
      <c r="V1329" s="1"/>
      <c r="W1329" s="1"/>
      <c r="X1329" s="1"/>
      <c r="Y1329" s="1"/>
      <c r="Z1329" s="1"/>
    </row>
    <row r="1330" ht="15.75" customHeight="1">
      <c r="A1330" s="2">
        <f>IFERROR(__xludf.DUMMYFUNCTION("""COMPUTED_VALUE"""),664500.0)</f>
        <v>664500</v>
      </c>
      <c r="B1330" s="2">
        <f>IFERROR(__xludf.DUMMYFUNCTION("""COMPUTED_VALUE"""),13290.0)</f>
        <v>13290</v>
      </c>
      <c r="C1330" s="66">
        <f>IFERROR(__xludf.DUMMYFUNCTION("""COMPUTED_VALUE"""),8.82456E9)</f>
        <v>8824560000</v>
      </c>
      <c r="D1330" s="1"/>
      <c r="E1330" s="1"/>
      <c r="F1330" s="1"/>
      <c r="G1330" s="1"/>
      <c r="H1330" s="1"/>
      <c r="I1330" s="1"/>
      <c r="J1330" s="1"/>
      <c r="K1330" s="1"/>
      <c r="L1330" s="1"/>
      <c r="M1330" s="1"/>
      <c r="N1330" s="1"/>
      <c r="O1330" s="1"/>
      <c r="P1330" s="1"/>
      <c r="Q1330" s="1"/>
      <c r="R1330" s="1"/>
      <c r="S1330" s="1"/>
      <c r="T1330" s="1"/>
      <c r="U1330" s="1"/>
      <c r="V1330" s="1"/>
      <c r="W1330" s="1"/>
      <c r="X1330" s="1"/>
      <c r="Y1330" s="1"/>
      <c r="Z1330" s="1"/>
    </row>
    <row r="1331" ht="15.75" customHeight="1">
      <c r="A1331" s="2">
        <f>IFERROR(__xludf.DUMMYFUNCTION("""COMPUTED_VALUE"""),665000.0)</f>
        <v>665000</v>
      </c>
      <c r="B1331" s="2">
        <f>IFERROR(__xludf.DUMMYFUNCTION("""COMPUTED_VALUE"""),13300.0)</f>
        <v>13300</v>
      </c>
      <c r="C1331" s="66">
        <f>IFERROR(__xludf.DUMMYFUNCTION("""COMPUTED_VALUE"""),8.83785E9)</f>
        <v>8837850000</v>
      </c>
      <c r="D1331" s="1"/>
      <c r="E1331" s="1"/>
      <c r="F1331" s="1"/>
      <c r="G1331" s="1"/>
      <c r="H1331" s="1"/>
      <c r="I1331" s="1"/>
      <c r="J1331" s="1"/>
      <c r="K1331" s="1"/>
      <c r="L1331" s="1"/>
      <c r="M1331" s="1"/>
      <c r="N1331" s="1"/>
      <c r="O1331" s="1"/>
      <c r="P1331" s="1"/>
      <c r="Q1331" s="1"/>
      <c r="R1331" s="1"/>
      <c r="S1331" s="1"/>
      <c r="T1331" s="1"/>
      <c r="U1331" s="1"/>
      <c r="V1331" s="1"/>
      <c r="W1331" s="1"/>
      <c r="X1331" s="1"/>
      <c r="Y1331" s="1"/>
      <c r="Z1331" s="1"/>
    </row>
    <row r="1332" ht="15.75" customHeight="1">
      <c r="A1332" s="2">
        <f>IFERROR(__xludf.DUMMYFUNCTION("""COMPUTED_VALUE"""),665500.0)</f>
        <v>665500</v>
      </c>
      <c r="B1332" s="2">
        <f>IFERROR(__xludf.DUMMYFUNCTION("""COMPUTED_VALUE"""),13310.0)</f>
        <v>13310</v>
      </c>
      <c r="C1332" s="66">
        <f>IFERROR(__xludf.DUMMYFUNCTION("""COMPUTED_VALUE"""),8.85115E9)</f>
        <v>8851150000</v>
      </c>
      <c r="D1332" s="1"/>
      <c r="E1332" s="1"/>
      <c r="F1332" s="1"/>
      <c r="G1332" s="1"/>
      <c r="H1332" s="1"/>
      <c r="I1332" s="1"/>
      <c r="J1332" s="1"/>
      <c r="K1332" s="1"/>
      <c r="L1332" s="1"/>
      <c r="M1332" s="1"/>
      <c r="N1332" s="1"/>
      <c r="O1332" s="1"/>
      <c r="P1332" s="1"/>
      <c r="Q1332" s="1"/>
      <c r="R1332" s="1"/>
      <c r="S1332" s="1"/>
      <c r="T1332" s="1"/>
      <c r="U1332" s="1"/>
      <c r="V1332" s="1"/>
      <c r="W1332" s="1"/>
      <c r="X1332" s="1"/>
      <c r="Y1332" s="1"/>
      <c r="Z1332" s="1"/>
    </row>
    <row r="1333" ht="15.75" customHeight="1">
      <c r="A1333" s="2">
        <f>IFERROR(__xludf.DUMMYFUNCTION("""COMPUTED_VALUE"""),666000.0)</f>
        <v>666000</v>
      </c>
      <c r="B1333" s="2">
        <f>IFERROR(__xludf.DUMMYFUNCTION("""COMPUTED_VALUE"""),13320.0)</f>
        <v>13320</v>
      </c>
      <c r="C1333" s="66">
        <f>IFERROR(__xludf.DUMMYFUNCTION("""COMPUTED_VALUE"""),8.86446E9)</f>
        <v>8864460000</v>
      </c>
      <c r="D1333" s="1"/>
      <c r="E1333" s="1"/>
      <c r="F1333" s="1"/>
      <c r="G1333" s="1"/>
      <c r="H1333" s="1"/>
      <c r="I1333" s="1"/>
      <c r="J1333" s="1"/>
      <c r="K1333" s="1"/>
      <c r="L1333" s="1"/>
      <c r="M1333" s="1"/>
      <c r="N1333" s="1"/>
      <c r="O1333" s="1"/>
      <c r="P1333" s="1"/>
      <c r="Q1333" s="1"/>
      <c r="R1333" s="1"/>
      <c r="S1333" s="1"/>
      <c r="T1333" s="1"/>
      <c r="U1333" s="1"/>
      <c r="V1333" s="1"/>
      <c r="W1333" s="1"/>
      <c r="X1333" s="1"/>
      <c r="Y1333" s="1"/>
      <c r="Z1333" s="1"/>
    </row>
    <row r="1334" ht="15.75" customHeight="1">
      <c r="A1334" s="2">
        <f>IFERROR(__xludf.DUMMYFUNCTION("""COMPUTED_VALUE"""),666500.0)</f>
        <v>666500</v>
      </c>
      <c r="B1334" s="2">
        <f>IFERROR(__xludf.DUMMYFUNCTION("""COMPUTED_VALUE"""),13330.0)</f>
        <v>13330</v>
      </c>
      <c r="C1334" s="66">
        <f>IFERROR(__xludf.DUMMYFUNCTION("""COMPUTED_VALUE"""),8.87778E9)</f>
        <v>8877780000</v>
      </c>
      <c r="D1334" s="1"/>
      <c r="E1334" s="1"/>
      <c r="F1334" s="1"/>
      <c r="G1334" s="1"/>
      <c r="H1334" s="1"/>
      <c r="I1334" s="1"/>
      <c r="J1334" s="1"/>
      <c r="K1334" s="1"/>
      <c r="L1334" s="1"/>
      <c r="M1334" s="1"/>
      <c r="N1334" s="1"/>
      <c r="O1334" s="1"/>
      <c r="P1334" s="1"/>
      <c r="Q1334" s="1"/>
      <c r="R1334" s="1"/>
      <c r="S1334" s="1"/>
      <c r="T1334" s="1"/>
      <c r="U1334" s="1"/>
      <c r="V1334" s="1"/>
      <c r="W1334" s="1"/>
      <c r="X1334" s="1"/>
      <c r="Y1334" s="1"/>
      <c r="Z1334" s="1"/>
    </row>
    <row r="1335" ht="15.75" customHeight="1">
      <c r="A1335" s="2">
        <f>IFERROR(__xludf.DUMMYFUNCTION("""COMPUTED_VALUE"""),667000.0)</f>
        <v>667000</v>
      </c>
      <c r="B1335" s="2">
        <f>IFERROR(__xludf.DUMMYFUNCTION("""COMPUTED_VALUE"""),13340.0)</f>
        <v>13340</v>
      </c>
      <c r="C1335" s="66">
        <f>IFERROR(__xludf.DUMMYFUNCTION("""COMPUTED_VALUE"""),8.89111E9)</f>
        <v>8891110000</v>
      </c>
      <c r="D1335" s="1"/>
      <c r="E1335" s="1"/>
      <c r="F1335" s="1"/>
      <c r="G1335" s="1"/>
      <c r="H1335" s="1"/>
      <c r="I1335" s="1"/>
      <c r="J1335" s="1"/>
      <c r="K1335" s="1"/>
      <c r="L1335" s="1"/>
      <c r="M1335" s="1"/>
      <c r="N1335" s="1"/>
      <c r="O1335" s="1"/>
      <c r="P1335" s="1"/>
      <c r="Q1335" s="1"/>
      <c r="R1335" s="1"/>
      <c r="S1335" s="1"/>
      <c r="T1335" s="1"/>
      <c r="U1335" s="1"/>
      <c r="V1335" s="1"/>
      <c r="W1335" s="1"/>
      <c r="X1335" s="1"/>
      <c r="Y1335" s="1"/>
      <c r="Z1335" s="1"/>
    </row>
    <row r="1336" ht="15.75" customHeight="1">
      <c r="A1336" s="2">
        <f>IFERROR(__xludf.DUMMYFUNCTION("""COMPUTED_VALUE"""),667500.0)</f>
        <v>667500</v>
      </c>
      <c r="B1336" s="2">
        <f>IFERROR(__xludf.DUMMYFUNCTION("""COMPUTED_VALUE"""),13350.0)</f>
        <v>13350</v>
      </c>
      <c r="C1336" s="66">
        <f>IFERROR(__xludf.DUMMYFUNCTION("""COMPUTED_VALUE"""),8.90445E9)</f>
        <v>8904450000</v>
      </c>
      <c r="D1336" s="1"/>
      <c r="E1336" s="1"/>
      <c r="F1336" s="1"/>
      <c r="G1336" s="1"/>
      <c r="H1336" s="1"/>
      <c r="I1336" s="1"/>
      <c r="J1336" s="1"/>
      <c r="K1336" s="1"/>
      <c r="L1336" s="1"/>
      <c r="M1336" s="1"/>
      <c r="N1336" s="1"/>
      <c r="O1336" s="1"/>
      <c r="P1336" s="1"/>
      <c r="Q1336" s="1"/>
      <c r="R1336" s="1"/>
      <c r="S1336" s="1"/>
      <c r="T1336" s="1"/>
      <c r="U1336" s="1"/>
      <c r="V1336" s="1"/>
      <c r="W1336" s="1"/>
      <c r="X1336" s="1"/>
      <c r="Y1336" s="1"/>
      <c r="Z1336" s="1"/>
    </row>
    <row r="1337" ht="15.75" customHeight="1">
      <c r="A1337" s="2">
        <f>IFERROR(__xludf.DUMMYFUNCTION("""COMPUTED_VALUE"""),668000.0)</f>
        <v>668000</v>
      </c>
      <c r="B1337" s="2">
        <f>IFERROR(__xludf.DUMMYFUNCTION("""COMPUTED_VALUE"""),13360.0)</f>
        <v>13360</v>
      </c>
      <c r="C1337" s="66">
        <f>IFERROR(__xludf.DUMMYFUNCTION("""COMPUTED_VALUE"""),8.9178E9)</f>
        <v>8917800000</v>
      </c>
      <c r="D1337" s="1"/>
      <c r="E1337" s="1"/>
      <c r="F1337" s="1"/>
      <c r="G1337" s="1"/>
      <c r="H1337" s="1"/>
      <c r="I1337" s="1"/>
      <c r="J1337" s="1"/>
      <c r="K1337" s="1"/>
      <c r="L1337" s="1"/>
      <c r="M1337" s="1"/>
      <c r="N1337" s="1"/>
      <c r="O1337" s="1"/>
      <c r="P1337" s="1"/>
      <c r="Q1337" s="1"/>
      <c r="R1337" s="1"/>
      <c r="S1337" s="1"/>
      <c r="T1337" s="1"/>
      <c r="U1337" s="1"/>
      <c r="V1337" s="1"/>
      <c r="W1337" s="1"/>
      <c r="X1337" s="1"/>
      <c r="Y1337" s="1"/>
      <c r="Z1337" s="1"/>
    </row>
    <row r="1338" ht="15.75" customHeight="1">
      <c r="A1338" s="2">
        <f>IFERROR(__xludf.DUMMYFUNCTION("""COMPUTED_VALUE"""),668500.0)</f>
        <v>668500</v>
      </c>
      <c r="B1338" s="2">
        <f>IFERROR(__xludf.DUMMYFUNCTION("""COMPUTED_VALUE"""),13370.0)</f>
        <v>13370</v>
      </c>
      <c r="C1338" s="66">
        <f>IFERROR(__xludf.DUMMYFUNCTION("""COMPUTED_VALUE"""),8.93116E9)</f>
        <v>8931160000</v>
      </c>
      <c r="D1338" s="1"/>
      <c r="E1338" s="1"/>
      <c r="F1338" s="1"/>
      <c r="G1338" s="1"/>
      <c r="H1338" s="1"/>
      <c r="I1338" s="1"/>
      <c r="J1338" s="1"/>
      <c r="K1338" s="1"/>
      <c r="L1338" s="1"/>
      <c r="M1338" s="1"/>
      <c r="N1338" s="1"/>
      <c r="O1338" s="1"/>
      <c r="P1338" s="1"/>
      <c r="Q1338" s="1"/>
      <c r="R1338" s="1"/>
      <c r="S1338" s="1"/>
      <c r="T1338" s="1"/>
      <c r="U1338" s="1"/>
      <c r="V1338" s="1"/>
      <c r="W1338" s="1"/>
      <c r="X1338" s="1"/>
      <c r="Y1338" s="1"/>
      <c r="Z1338" s="1"/>
    </row>
    <row r="1339" ht="15.75" customHeight="1">
      <c r="A1339" s="2">
        <f>IFERROR(__xludf.DUMMYFUNCTION("""COMPUTED_VALUE"""),669000.0)</f>
        <v>669000</v>
      </c>
      <c r="B1339" s="2">
        <f>IFERROR(__xludf.DUMMYFUNCTION("""COMPUTED_VALUE"""),13380.0)</f>
        <v>13380</v>
      </c>
      <c r="C1339" s="66">
        <f>IFERROR(__xludf.DUMMYFUNCTION("""COMPUTED_VALUE"""),8.94453E9)</f>
        <v>8944530000</v>
      </c>
      <c r="D1339" s="1"/>
      <c r="E1339" s="1"/>
      <c r="F1339" s="1"/>
      <c r="G1339" s="1"/>
      <c r="H1339" s="1"/>
      <c r="I1339" s="1"/>
      <c r="J1339" s="1"/>
      <c r="K1339" s="1"/>
      <c r="L1339" s="1"/>
      <c r="M1339" s="1"/>
      <c r="N1339" s="1"/>
      <c r="O1339" s="1"/>
      <c r="P1339" s="1"/>
      <c r="Q1339" s="1"/>
      <c r="R1339" s="1"/>
      <c r="S1339" s="1"/>
      <c r="T1339" s="1"/>
      <c r="U1339" s="1"/>
      <c r="V1339" s="1"/>
      <c r="W1339" s="1"/>
      <c r="X1339" s="1"/>
      <c r="Y1339" s="1"/>
      <c r="Z1339" s="1"/>
    </row>
    <row r="1340" ht="15.75" customHeight="1">
      <c r="A1340" s="2">
        <f>IFERROR(__xludf.DUMMYFUNCTION("""COMPUTED_VALUE"""),669500.0)</f>
        <v>669500</v>
      </c>
      <c r="B1340" s="2">
        <f>IFERROR(__xludf.DUMMYFUNCTION("""COMPUTED_VALUE"""),13390.0)</f>
        <v>13390</v>
      </c>
      <c r="C1340" s="66">
        <f>IFERROR(__xludf.DUMMYFUNCTION("""COMPUTED_VALUE"""),8.95791E9)</f>
        <v>8957910000</v>
      </c>
      <c r="D1340" s="1"/>
      <c r="E1340" s="1"/>
      <c r="F1340" s="1"/>
      <c r="G1340" s="1"/>
      <c r="H1340" s="1"/>
      <c r="I1340" s="1"/>
      <c r="J1340" s="1"/>
      <c r="K1340" s="1"/>
      <c r="L1340" s="1"/>
      <c r="M1340" s="1"/>
      <c r="N1340" s="1"/>
      <c r="O1340" s="1"/>
      <c r="P1340" s="1"/>
      <c r="Q1340" s="1"/>
      <c r="R1340" s="1"/>
      <c r="S1340" s="1"/>
      <c r="T1340" s="1"/>
      <c r="U1340" s="1"/>
      <c r="V1340" s="1"/>
      <c r="W1340" s="1"/>
      <c r="X1340" s="1"/>
      <c r="Y1340" s="1"/>
      <c r="Z1340" s="1"/>
    </row>
    <row r="1341" ht="15.75" customHeight="1">
      <c r="A1341" s="2">
        <f>IFERROR(__xludf.DUMMYFUNCTION("""COMPUTED_VALUE"""),670000.0)</f>
        <v>670000</v>
      </c>
      <c r="B1341" s="2">
        <f>IFERROR(__xludf.DUMMYFUNCTION("""COMPUTED_VALUE"""),13400.0)</f>
        <v>13400</v>
      </c>
      <c r="C1341" s="66">
        <f>IFERROR(__xludf.DUMMYFUNCTION("""COMPUTED_VALUE"""),8.9713E9)</f>
        <v>8971300000</v>
      </c>
      <c r="D1341" s="1"/>
      <c r="E1341" s="1"/>
      <c r="F1341" s="1"/>
      <c r="G1341" s="1"/>
      <c r="H1341" s="1"/>
      <c r="I1341" s="1"/>
      <c r="J1341" s="1"/>
      <c r="K1341" s="1"/>
      <c r="L1341" s="1"/>
      <c r="M1341" s="1"/>
      <c r="N1341" s="1"/>
      <c r="O1341" s="1"/>
      <c r="P1341" s="1"/>
      <c r="Q1341" s="1"/>
      <c r="R1341" s="1"/>
      <c r="S1341" s="1"/>
      <c r="T1341" s="1"/>
      <c r="U1341" s="1"/>
      <c r="V1341" s="1"/>
      <c r="W1341" s="1"/>
      <c r="X1341" s="1"/>
      <c r="Y1341" s="1"/>
      <c r="Z1341" s="1"/>
    </row>
    <row r="1342" ht="15.75" customHeight="1">
      <c r="A1342" s="2">
        <f>IFERROR(__xludf.DUMMYFUNCTION("""COMPUTED_VALUE"""),670500.0)</f>
        <v>670500</v>
      </c>
      <c r="B1342" s="2">
        <f>IFERROR(__xludf.DUMMYFUNCTION("""COMPUTED_VALUE"""),13410.0)</f>
        <v>13410</v>
      </c>
      <c r="C1342" s="66">
        <f>IFERROR(__xludf.DUMMYFUNCTION("""COMPUTED_VALUE"""),8.9847E9)</f>
        <v>8984700000</v>
      </c>
      <c r="D1342" s="1"/>
      <c r="E1342" s="1"/>
      <c r="F1342" s="1"/>
      <c r="G1342" s="1"/>
      <c r="H1342" s="1"/>
      <c r="I1342" s="1"/>
      <c r="J1342" s="1"/>
      <c r="K1342" s="1"/>
      <c r="L1342" s="1"/>
      <c r="M1342" s="1"/>
      <c r="N1342" s="1"/>
      <c r="O1342" s="1"/>
      <c r="P1342" s="1"/>
      <c r="Q1342" s="1"/>
      <c r="R1342" s="1"/>
      <c r="S1342" s="1"/>
      <c r="T1342" s="1"/>
      <c r="U1342" s="1"/>
      <c r="V1342" s="1"/>
      <c r="W1342" s="1"/>
      <c r="X1342" s="1"/>
      <c r="Y1342" s="1"/>
      <c r="Z1342" s="1"/>
    </row>
    <row r="1343" ht="15.75" customHeight="1">
      <c r="A1343" s="2">
        <f>IFERROR(__xludf.DUMMYFUNCTION("""COMPUTED_VALUE"""),671000.0)</f>
        <v>671000</v>
      </c>
      <c r="B1343" s="2">
        <f>IFERROR(__xludf.DUMMYFUNCTION("""COMPUTED_VALUE"""),13420.0)</f>
        <v>13420</v>
      </c>
      <c r="C1343" s="66">
        <f>IFERROR(__xludf.DUMMYFUNCTION("""COMPUTED_VALUE"""),8.99811E9)</f>
        <v>8998110000</v>
      </c>
      <c r="D1343" s="1"/>
      <c r="E1343" s="1"/>
      <c r="F1343" s="1"/>
      <c r="G1343" s="1"/>
      <c r="H1343" s="1"/>
      <c r="I1343" s="1"/>
      <c r="J1343" s="1"/>
      <c r="K1343" s="1"/>
      <c r="L1343" s="1"/>
      <c r="M1343" s="1"/>
      <c r="N1343" s="1"/>
      <c r="O1343" s="1"/>
      <c r="P1343" s="1"/>
      <c r="Q1343" s="1"/>
      <c r="R1343" s="1"/>
      <c r="S1343" s="1"/>
      <c r="T1343" s="1"/>
      <c r="U1343" s="1"/>
      <c r="V1343" s="1"/>
      <c r="W1343" s="1"/>
      <c r="X1343" s="1"/>
      <c r="Y1343" s="1"/>
      <c r="Z1343" s="1"/>
    </row>
    <row r="1344" ht="15.75" customHeight="1">
      <c r="A1344" s="2">
        <f>IFERROR(__xludf.DUMMYFUNCTION("""COMPUTED_VALUE"""),671500.0)</f>
        <v>671500</v>
      </c>
      <c r="B1344" s="2">
        <f>IFERROR(__xludf.DUMMYFUNCTION("""COMPUTED_VALUE"""),13430.0)</f>
        <v>13430</v>
      </c>
      <c r="C1344" s="66">
        <f>IFERROR(__xludf.DUMMYFUNCTION("""COMPUTED_VALUE"""),9.01153E9)</f>
        <v>9011530000</v>
      </c>
      <c r="D1344" s="1"/>
      <c r="E1344" s="1"/>
      <c r="F1344" s="1"/>
      <c r="G1344" s="1"/>
      <c r="H1344" s="1"/>
      <c r="I1344" s="1"/>
      <c r="J1344" s="1"/>
      <c r="K1344" s="1"/>
      <c r="L1344" s="1"/>
      <c r="M1344" s="1"/>
      <c r="N1344" s="1"/>
      <c r="O1344" s="1"/>
      <c r="P1344" s="1"/>
      <c r="Q1344" s="1"/>
      <c r="R1344" s="1"/>
      <c r="S1344" s="1"/>
      <c r="T1344" s="1"/>
      <c r="U1344" s="1"/>
      <c r="V1344" s="1"/>
      <c r="W1344" s="1"/>
      <c r="X1344" s="1"/>
      <c r="Y1344" s="1"/>
      <c r="Z1344" s="1"/>
    </row>
    <row r="1345" ht="15.75" customHeight="1">
      <c r="A1345" s="2">
        <f>IFERROR(__xludf.DUMMYFUNCTION("""COMPUTED_VALUE"""),672000.0)</f>
        <v>672000</v>
      </c>
      <c r="B1345" s="2">
        <f>IFERROR(__xludf.DUMMYFUNCTION("""COMPUTED_VALUE"""),13440.0)</f>
        <v>13440</v>
      </c>
      <c r="C1345" s="66">
        <f>IFERROR(__xludf.DUMMYFUNCTION("""COMPUTED_VALUE"""),9.02496E9)</f>
        <v>9024960000</v>
      </c>
      <c r="D1345" s="1"/>
      <c r="E1345" s="1"/>
      <c r="F1345" s="1"/>
      <c r="G1345" s="1"/>
      <c r="H1345" s="1"/>
      <c r="I1345" s="1"/>
      <c r="J1345" s="1"/>
      <c r="K1345" s="1"/>
      <c r="L1345" s="1"/>
      <c r="M1345" s="1"/>
      <c r="N1345" s="1"/>
      <c r="O1345" s="1"/>
      <c r="P1345" s="1"/>
      <c r="Q1345" s="1"/>
      <c r="R1345" s="1"/>
      <c r="S1345" s="1"/>
      <c r="T1345" s="1"/>
      <c r="U1345" s="1"/>
      <c r="V1345" s="1"/>
      <c r="W1345" s="1"/>
      <c r="X1345" s="1"/>
      <c r="Y1345" s="1"/>
      <c r="Z1345" s="1"/>
    </row>
    <row r="1346" ht="15.75" customHeight="1">
      <c r="A1346" s="2">
        <f>IFERROR(__xludf.DUMMYFUNCTION("""COMPUTED_VALUE"""),672500.0)</f>
        <v>672500</v>
      </c>
      <c r="B1346" s="2">
        <f>IFERROR(__xludf.DUMMYFUNCTION("""COMPUTED_VALUE"""),13450.0)</f>
        <v>13450</v>
      </c>
      <c r="C1346" s="66">
        <f>IFERROR(__xludf.DUMMYFUNCTION("""COMPUTED_VALUE"""),9.0384E9)</f>
        <v>9038400000</v>
      </c>
      <c r="D1346" s="1"/>
      <c r="E1346" s="1"/>
      <c r="F1346" s="1"/>
      <c r="G1346" s="1"/>
      <c r="H1346" s="1"/>
      <c r="I1346" s="1"/>
      <c r="J1346" s="1"/>
      <c r="K1346" s="1"/>
      <c r="L1346" s="1"/>
      <c r="M1346" s="1"/>
      <c r="N1346" s="1"/>
      <c r="O1346" s="1"/>
      <c r="P1346" s="1"/>
      <c r="Q1346" s="1"/>
      <c r="R1346" s="1"/>
      <c r="S1346" s="1"/>
      <c r="T1346" s="1"/>
      <c r="U1346" s="1"/>
      <c r="V1346" s="1"/>
      <c r="W1346" s="1"/>
      <c r="X1346" s="1"/>
      <c r="Y1346" s="1"/>
      <c r="Z1346" s="1"/>
    </row>
    <row r="1347" ht="15.75" customHeight="1">
      <c r="A1347" s="2">
        <f>IFERROR(__xludf.DUMMYFUNCTION("""COMPUTED_VALUE"""),673000.0)</f>
        <v>673000</v>
      </c>
      <c r="B1347" s="2">
        <f>IFERROR(__xludf.DUMMYFUNCTION("""COMPUTED_VALUE"""),13460.0)</f>
        <v>13460</v>
      </c>
      <c r="C1347" s="66">
        <f>IFERROR(__xludf.DUMMYFUNCTION("""COMPUTED_VALUE"""),9.05185E9)</f>
        <v>9051850000</v>
      </c>
      <c r="D1347" s="1"/>
      <c r="E1347" s="1"/>
      <c r="F1347" s="1"/>
      <c r="G1347" s="1"/>
      <c r="H1347" s="1"/>
      <c r="I1347" s="1"/>
      <c r="J1347" s="1"/>
      <c r="K1347" s="1"/>
      <c r="L1347" s="1"/>
      <c r="M1347" s="1"/>
      <c r="N1347" s="1"/>
      <c r="O1347" s="1"/>
      <c r="P1347" s="1"/>
      <c r="Q1347" s="1"/>
      <c r="R1347" s="1"/>
      <c r="S1347" s="1"/>
      <c r="T1347" s="1"/>
      <c r="U1347" s="1"/>
      <c r="V1347" s="1"/>
      <c r="W1347" s="1"/>
      <c r="X1347" s="1"/>
      <c r="Y1347" s="1"/>
      <c r="Z1347" s="1"/>
    </row>
    <row r="1348" ht="15.75" customHeight="1">
      <c r="A1348" s="2">
        <f>IFERROR(__xludf.DUMMYFUNCTION("""COMPUTED_VALUE"""),673500.0)</f>
        <v>673500</v>
      </c>
      <c r="B1348" s="2">
        <f>IFERROR(__xludf.DUMMYFUNCTION("""COMPUTED_VALUE"""),13470.0)</f>
        <v>13470</v>
      </c>
      <c r="C1348" s="66">
        <f>IFERROR(__xludf.DUMMYFUNCTION("""COMPUTED_VALUE"""),9.06531E9)</f>
        <v>9065310000</v>
      </c>
      <c r="D1348" s="1"/>
      <c r="E1348" s="1"/>
      <c r="F1348" s="1"/>
      <c r="G1348" s="1"/>
      <c r="H1348" s="1"/>
      <c r="I1348" s="1"/>
      <c r="J1348" s="1"/>
      <c r="K1348" s="1"/>
      <c r="L1348" s="1"/>
      <c r="M1348" s="1"/>
      <c r="N1348" s="1"/>
      <c r="O1348" s="1"/>
      <c r="P1348" s="1"/>
      <c r="Q1348" s="1"/>
      <c r="R1348" s="1"/>
      <c r="S1348" s="1"/>
      <c r="T1348" s="1"/>
      <c r="U1348" s="1"/>
      <c r="V1348" s="1"/>
      <c r="W1348" s="1"/>
      <c r="X1348" s="1"/>
      <c r="Y1348" s="1"/>
      <c r="Z1348" s="1"/>
    </row>
    <row r="1349" ht="15.75" customHeight="1">
      <c r="A1349" s="2">
        <f>IFERROR(__xludf.DUMMYFUNCTION("""COMPUTED_VALUE"""),674000.0)</f>
        <v>674000</v>
      </c>
      <c r="B1349" s="2">
        <f>IFERROR(__xludf.DUMMYFUNCTION("""COMPUTED_VALUE"""),13480.0)</f>
        <v>13480</v>
      </c>
      <c r="C1349" s="66">
        <f>IFERROR(__xludf.DUMMYFUNCTION("""COMPUTED_VALUE"""),9.07878E9)</f>
        <v>9078780000</v>
      </c>
      <c r="D1349" s="1"/>
      <c r="E1349" s="1"/>
      <c r="F1349" s="1"/>
      <c r="G1349" s="1"/>
      <c r="H1349" s="1"/>
      <c r="I1349" s="1"/>
      <c r="J1349" s="1"/>
      <c r="K1349" s="1"/>
      <c r="L1349" s="1"/>
      <c r="M1349" s="1"/>
      <c r="N1349" s="1"/>
      <c r="O1349" s="1"/>
      <c r="P1349" s="1"/>
      <c r="Q1349" s="1"/>
      <c r="R1349" s="1"/>
      <c r="S1349" s="1"/>
      <c r="T1349" s="1"/>
      <c r="U1349" s="1"/>
      <c r="V1349" s="1"/>
      <c r="W1349" s="1"/>
      <c r="X1349" s="1"/>
      <c r="Y1349" s="1"/>
      <c r="Z1349" s="1"/>
    </row>
    <row r="1350" ht="15.75" customHeight="1">
      <c r="A1350" s="2">
        <f>IFERROR(__xludf.DUMMYFUNCTION("""COMPUTED_VALUE"""),674500.0)</f>
        <v>674500</v>
      </c>
      <c r="B1350" s="2">
        <f>IFERROR(__xludf.DUMMYFUNCTION("""COMPUTED_VALUE"""),13490.0)</f>
        <v>13490</v>
      </c>
      <c r="C1350" s="66">
        <f>IFERROR(__xludf.DUMMYFUNCTION("""COMPUTED_VALUE"""),9.09226E9)</f>
        <v>9092260000</v>
      </c>
      <c r="D1350" s="1"/>
      <c r="E1350" s="1"/>
      <c r="F1350" s="1"/>
      <c r="G1350" s="1"/>
      <c r="H1350" s="1"/>
      <c r="I1350" s="1"/>
      <c r="J1350" s="1"/>
      <c r="K1350" s="1"/>
      <c r="L1350" s="1"/>
      <c r="M1350" s="1"/>
      <c r="N1350" s="1"/>
      <c r="O1350" s="1"/>
      <c r="P1350" s="1"/>
      <c r="Q1350" s="1"/>
      <c r="R1350" s="1"/>
      <c r="S1350" s="1"/>
      <c r="T1350" s="1"/>
      <c r="U1350" s="1"/>
      <c r="V1350" s="1"/>
      <c r="W1350" s="1"/>
      <c r="X1350" s="1"/>
      <c r="Y1350" s="1"/>
      <c r="Z1350" s="1"/>
    </row>
    <row r="1351" ht="15.75" customHeight="1">
      <c r="A1351" s="2">
        <f>IFERROR(__xludf.DUMMYFUNCTION("""COMPUTED_VALUE"""),675000.0)</f>
        <v>675000</v>
      </c>
      <c r="B1351" s="2">
        <f>IFERROR(__xludf.DUMMYFUNCTION("""COMPUTED_VALUE"""),13500.0)</f>
        <v>13500</v>
      </c>
      <c r="C1351" s="66">
        <f>IFERROR(__xludf.DUMMYFUNCTION("""COMPUTED_VALUE"""),9.10575E9)</f>
        <v>9105750000</v>
      </c>
      <c r="D1351" s="1"/>
      <c r="E1351" s="1"/>
      <c r="F1351" s="1"/>
      <c r="G1351" s="1"/>
      <c r="H1351" s="1"/>
      <c r="I1351" s="1"/>
      <c r="J1351" s="1"/>
      <c r="K1351" s="1"/>
      <c r="L1351" s="1"/>
      <c r="M1351" s="1"/>
      <c r="N1351" s="1"/>
      <c r="O1351" s="1"/>
      <c r="P1351" s="1"/>
      <c r="Q1351" s="1"/>
      <c r="R1351" s="1"/>
      <c r="S1351" s="1"/>
      <c r="T1351" s="1"/>
      <c r="U1351" s="1"/>
      <c r="V1351" s="1"/>
      <c r="W1351" s="1"/>
      <c r="X1351" s="1"/>
      <c r="Y1351" s="1"/>
      <c r="Z1351" s="1"/>
    </row>
    <row r="1352" ht="15.75" customHeight="1">
      <c r="A1352" s="2">
        <f>IFERROR(__xludf.DUMMYFUNCTION("""COMPUTED_VALUE"""),675500.0)</f>
        <v>675500</v>
      </c>
      <c r="B1352" s="2">
        <f>IFERROR(__xludf.DUMMYFUNCTION("""COMPUTED_VALUE"""),13510.0)</f>
        <v>13510</v>
      </c>
      <c r="C1352" s="66">
        <f>IFERROR(__xludf.DUMMYFUNCTION("""COMPUTED_VALUE"""),9.11925E9)</f>
        <v>9119250000</v>
      </c>
      <c r="D1352" s="1"/>
      <c r="E1352" s="1"/>
      <c r="F1352" s="1"/>
      <c r="G1352" s="1"/>
      <c r="H1352" s="1"/>
      <c r="I1352" s="1"/>
      <c r="J1352" s="1"/>
      <c r="K1352" s="1"/>
      <c r="L1352" s="1"/>
      <c r="M1352" s="1"/>
      <c r="N1352" s="1"/>
      <c r="O1352" s="1"/>
      <c r="P1352" s="1"/>
      <c r="Q1352" s="1"/>
      <c r="R1352" s="1"/>
      <c r="S1352" s="1"/>
      <c r="T1352" s="1"/>
      <c r="U1352" s="1"/>
      <c r="V1352" s="1"/>
      <c r="W1352" s="1"/>
      <c r="X1352" s="1"/>
      <c r="Y1352" s="1"/>
      <c r="Z1352" s="1"/>
    </row>
    <row r="1353" ht="15.75" customHeight="1">
      <c r="A1353" s="2">
        <f>IFERROR(__xludf.DUMMYFUNCTION("""COMPUTED_VALUE"""),676000.0)</f>
        <v>676000</v>
      </c>
      <c r="B1353" s="2">
        <f>IFERROR(__xludf.DUMMYFUNCTION("""COMPUTED_VALUE"""),13520.0)</f>
        <v>13520</v>
      </c>
      <c r="C1353" s="66">
        <f>IFERROR(__xludf.DUMMYFUNCTION("""COMPUTED_VALUE"""),9.13276E9)</f>
        <v>9132760000</v>
      </c>
      <c r="D1353" s="1"/>
      <c r="E1353" s="1"/>
      <c r="F1353" s="1"/>
      <c r="G1353" s="1"/>
      <c r="H1353" s="1"/>
      <c r="I1353" s="1"/>
      <c r="J1353" s="1"/>
      <c r="K1353" s="1"/>
      <c r="L1353" s="1"/>
      <c r="M1353" s="1"/>
      <c r="N1353" s="1"/>
      <c r="O1353" s="1"/>
      <c r="P1353" s="1"/>
      <c r="Q1353" s="1"/>
      <c r="R1353" s="1"/>
      <c r="S1353" s="1"/>
      <c r="T1353" s="1"/>
      <c r="U1353" s="1"/>
      <c r="V1353" s="1"/>
      <c r="W1353" s="1"/>
      <c r="X1353" s="1"/>
      <c r="Y1353" s="1"/>
      <c r="Z1353" s="1"/>
    </row>
    <row r="1354" ht="15.75" customHeight="1">
      <c r="A1354" s="2">
        <f>IFERROR(__xludf.DUMMYFUNCTION("""COMPUTED_VALUE"""),676500.0)</f>
        <v>676500</v>
      </c>
      <c r="B1354" s="2">
        <f>IFERROR(__xludf.DUMMYFUNCTION("""COMPUTED_VALUE"""),13530.0)</f>
        <v>13530</v>
      </c>
      <c r="C1354" s="66">
        <f>IFERROR(__xludf.DUMMYFUNCTION("""COMPUTED_VALUE"""),9.14628E9)</f>
        <v>9146280000</v>
      </c>
      <c r="D1354" s="1"/>
      <c r="E1354" s="1"/>
      <c r="F1354" s="1"/>
      <c r="G1354" s="1"/>
      <c r="H1354" s="1"/>
      <c r="I1354" s="1"/>
      <c r="J1354" s="1"/>
      <c r="K1354" s="1"/>
      <c r="L1354" s="1"/>
      <c r="M1354" s="1"/>
      <c r="N1354" s="1"/>
      <c r="O1354" s="1"/>
      <c r="P1354" s="1"/>
      <c r="Q1354" s="1"/>
      <c r="R1354" s="1"/>
      <c r="S1354" s="1"/>
      <c r="T1354" s="1"/>
      <c r="U1354" s="1"/>
      <c r="V1354" s="1"/>
      <c r="W1354" s="1"/>
      <c r="X1354" s="1"/>
      <c r="Y1354" s="1"/>
      <c r="Z1354" s="1"/>
    </row>
    <row r="1355" ht="15.75" customHeight="1">
      <c r="A1355" s="2">
        <f>IFERROR(__xludf.DUMMYFUNCTION("""COMPUTED_VALUE"""),677000.0)</f>
        <v>677000</v>
      </c>
      <c r="B1355" s="2">
        <f>IFERROR(__xludf.DUMMYFUNCTION("""COMPUTED_VALUE"""),13540.0)</f>
        <v>13540</v>
      </c>
      <c r="C1355" s="66">
        <f>IFERROR(__xludf.DUMMYFUNCTION("""COMPUTED_VALUE"""),9.15981E9)</f>
        <v>9159810000</v>
      </c>
      <c r="D1355" s="1"/>
      <c r="E1355" s="1"/>
      <c r="F1355" s="1"/>
      <c r="G1355" s="1"/>
      <c r="H1355" s="1"/>
      <c r="I1355" s="1"/>
      <c r="J1355" s="1"/>
      <c r="K1355" s="1"/>
      <c r="L1355" s="1"/>
      <c r="M1355" s="1"/>
      <c r="N1355" s="1"/>
      <c r="O1355" s="1"/>
      <c r="P1355" s="1"/>
      <c r="Q1355" s="1"/>
      <c r="R1355" s="1"/>
      <c r="S1355" s="1"/>
      <c r="T1355" s="1"/>
      <c r="U1355" s="1"/>
      <c r="V1355" s="1"/>
      <c r="W1355" s="1"/>
      <c r="X1355" s="1"/>
      <c r="Y1355" s="1"/>
      <c r="Z1355" s="1"/>
    </row>
    <row r="1356" ht="15.75" customHeight="1">
      <c r="A1356" s="2">
        <f>IFERROR(__xludf.DUMMYFUNCTION("""COMPUTED_VALUE"""),677500.0)</f>
        <v>677500</v>
      </c>
      <c r="B1356" s="2">
        <f>IFERROR(__xludf.DUMMYFUNCTION("""COMPUTED_VALUE"""),13550.0)</f>
        <v>13550</v>
      </c>
      <c r="C1356" s="66">
        <f>IFERROR(__xludf.DUMMYFUNCTION("""COMPUTED_VALUE"""),9.17335E9)</f>
        <v>9173350000</v>
      </c>
      <c r="D1356" s="1"/>
      <c r="E1356" s="1"/>
      <c r="F1356" s="1"/>
      <c r="G1356" s="1"/>
      <c r="H1356" s="1"/>
      <c r="I1356" s="1"/>
      <c r="J1356" s="1"/>
      <c r="K1356" s="1"/>
      <c r="L1356" s="1"/>
      <c r="M1356" s="1"/>
      <c r="N1356" s="1"/>
      <c r="O1356" s="1"/>
      <c r="P1356" s="1"/>
      <c r="Q1356" s="1"/>
      <c r="R1356" s="1"/>
      <c r="S1356" s="1"/>
      <c r="T1356" s="1"/>
      <c r="U1356" s="1"/>
      <c r="V1356" s="1"/>
      <c r="W1356" s="1"/>
      <c r="X1356" s="1"/>
      <c r="Y1356" s="1"/>
      <c r="Z1356" s="1"/>
    </row>
    <row r="1357" ht="15.75" customHeight="1">
      <c r="A1357" s="2">
        <f>IFERROR(__xludf.DUMMYFUNCTION("""COMPUTED_VALUE"""),678000.0)</f>
        <v>678000</v>
      </c>
      <c r="B1357" s="2">
        <f>IFERROR(__xludf.DUMMYFUNCTION("""COMPUTED_VALUE"""),13560.0)</f>
        <v>13560</v>
      </c>
      <c r="C1357" s="66">
        <f>IFERROR(__xludf.DUMMYFUNCTION("""COMPUTED_VALUE"""),9.1869E9)</f>
        <v>9186900000</v>
      </c>
      <c r="D1357" s="1"/>
      <c r="E1357" s="1"/>
      <c r="F1357" s="1"/>
      <c r="G1357" s="1"/>
      <c r="H1357" s="1"/>
      <c r="I1357" s="1"/>
      <c r="J1357" s="1"/>
      <c r="K1357" s="1"/>
      <c r="L1357" s="1"/>
      <c r="M1357" s="1"/>
      <c r="N1357" s="1"/>
      <c r="O1357" s="1"/>
      <c r="P1357" s="1"/>
      <c r="Q1357" s="1"/>
      <c r="R1357" s="1"/>
      <c r="S1357" s="1"/>
      <c r="T1357" s="1"/>
      <c r="U1357" s="1"/>
      <c r="V1357" s="1"/>
      <c r="W1357" s="1"/>
      <c r="X1357" s="1"/>
      <c r="Y1357" s="1"/>
      <c r="Z1357" s="1"/>
    </row>
    <row r="1358" ht="15.75" customHeight="1">
      <c r="A1358" s="2">
        <f>IFERROR(__xludf.DUMMYFUNCTION("""COMPUTED_VALUE"""),678500.0)</f>
        <v>678500</v>
      </c>
      <c r="B1358" s="2">
        <f>IFERROR(__xludf.DUMMYFUNCTION("""COMPUTED_VALUE"""),13570.0)</f>
        <v>13570</v>
      </c>
      <c r="C1358" s="66">
        <f>IFERROR(__xludf.DUMMYFUNCTION("""COMPUTED_VALUE"""),9.20046E9)</f>
        <v>9200460000</v>
      </c>
      <c r="D1358" s="1"/>
      <c r="E1358" s="1"/>
      <c r="F1358" s="1"/>
      <c r="G1358" s="1"/>
      <c r="H1358" s="1"/>
      <c r="I1358" s="1"/>
      <c r="J1358" s="1"/>
      <c r="K1358" s="1"/>
      <c r="L1358" s="1"/>
      <c r="M1358" s="1"/>
      <c r="N1358" s="1"/>
      <c r="O1358" s="1"/>
      <c r="P1358" s="1"/>
      <c r="Q1358" s="1"/>
      <c r="R1358" s="1"/>
      <c r="S1358" s="1"/>
      <c r="T1358" s="1"/>
      <c r="U1358" s="1"/>
      <c r="V1358" s="1"/>
      <c r="W1358" s="1"/>
      <c r="X1358" s="1"/>
      <c r="Y1358" s="1"/>
      <c r="Z1358" s="1"/>
    </row>
    <row r="1359" ht="15.75" customHeight="1">
      <c r="A1359" s="2">
        <f>IFERROR(__xludf.DUMMYFUNCTION("""COMPUTED_VALUE"""),679000.0)</f>
        <v>679000</v>
      </c>
      <c r="B1359" s="2">
        <f>IFERROR(__xludf.DUMMYFUNCTION("""COMPUTED_VALUE"""),13580.0)</f>
        <v>13580</v>
      </c>
      <c r="C1359" s="66">
        <f>IFERROR(__xludf.DUMMYFUNCTION("""COMPUTED_VALUE"""),9.21403E9)</f>
        <v>9214030000</v>
      </c>
      <c r="D1359" s="1"/>
      <c r="E1359" s="1"/>
      <c r="F1359" s="1"/>
      <c r="G1359" s="1"/>
      <c r="H1359" s="1"/>
      <c r="I1359" s="1"/>
      <c r="J1359" s="1"/>
      <c r="K1359" s="1"/>
      <c r="L1359" s="1"/>
      <c r="M1359" s="1"/>
      <c r="N1359" s="1"/>
      <c r="O1359" s="1"/>
      <c r="P1359" s="1"/>
      <c r="Q1359" s="1"/>
      <c r="R1359" s="1"/>
      <c r="S1359" s="1"/>
      <c r="T1359" s="1"/>
      <c r="U1359" s="1"/>
      <c r="V1359" s="1"/>
      <c r="W1359" s="1"/>
      <c r="X1359" s="1"/>
      <c r="Y1359" s="1"/>
      <c r="Z1359" s="1"/>
    </row>
    <row r="1360" ht="15.75" customHeight="1">
      <c r="A1360" s="2">
        <f>IFERROR(__xludf.DUMMYFUNCTION("""COMPUTED_VALUE"""),679500.0)</f>
        <v>679500</v>
      </c>
      <c r="B1360" s="2">
        <f>IFERROR(__xludf.DUMMYFUNCTION("""COMPUTED_VALUE"""),13590.0)</f>
        <v>13590</v>
      </c>
      <c r="C1360" s="66">
        <f>IFERROR(__xludf.DUMMYFUNCTION("""COMPUTED_VALUE"""),9.22761E9)</f>
        <v>9227610000</v>
      </c>
      <c r="D1360" s="1"/>
      <c r="E1360" s="1"/>
      <c r="F1360" s="1"/>
      <c r="G1360" s="1"/>
      <c r="H1360" s="1"/>
      <c r="I1360" s="1"/>
      <c r="J1360" s="1"/>
      <c r="K1360" s="1"/>
      <c r="L1360" s="1"/>
      <c r="M1360" s="1"/>
      <c r="N1360" s="1"/>
      <c r="O1360" s="1"/>
      <c r="P1360" s="1"/>
      <c r="Q1360" s="1"/>
      <c r="R1360" s="1"/>
      <c r="S1360" s="1"/>
      <c r="T1360" s="1"/>
      <c r="U1360" s="1"/>
      <c r="V1360" s="1"/>
      <c r="W1360" s="1"/>
      <c r="X1360" s="1"/>
      <c r="Y1360" s="1"/>
      <c r="Z1360" s="1"/>
    </row>
    <row r="1361" ht="15.75" customHeight="1">
      <c r="A1361" s="2">
        <f>IFERROR(__xludf.DUMMYFUNCTION("""COMPUTED_VALUE"""),680000.0)</f>
        <v>680000</v>
      </c>
      <c r="B1361" s="2">
        <f>IFERROR(__xludf.DUMMYFUNCTION("""COMPUTED_VALUE"""),13600.0)</f>
        <v>13600</v>
      </c>
      <c r="C1361" s="66">
        <f>IFERROR(__xludf.DUMMYFUNCTION("""COMPUTED_VALUE"""),9.2412E9)</f>
        <v>9241200000</v>
      </c>
      <c r="D1361" s="1"/>
      <c r="E1361" s="1"/>
      <c r="F1361" s="1"/>
      <c r="G1361" s="1"/>
      <c r="H1361" s="1"/>
      <c r="I1361" s="1"/>
      <c r="J1361" s="1"/>
      <c r="K1361" s="1"/>
      <c r="L1361" s="1"/>
      <c r="M1361" s="1"/>
      <c r="N1361" s="1"/>
      <c r="O1361" s="1"/>
      <c r="P1361" s="1"/>
      <c r="Q1361" s="1"/>
      <c r="R1361" s="1"/>
      <c r="S1361" s="1"/>
      <c r="T1361" s="1"/>
      <c r="U1361" s="1"/>
      <c r="V1361" s="1"/>
      <c r="W1361" s="1"/>
      <c r="X1361" s="1"/>
      <c r="Y1361" s="1"/>
      <c r="Z1361" s="1"/>
    </row>
    <row r="1362" ht="15.75" customHeight="1">
      <c r="A1362" s="2">
        <f>IFERROR(__xludf.DUMMYFUNCTION("""COMPUTED_VALUE"""),680500.0)</f>
        <v>680500</v>
      </c>
      <c r="B1362" s="2">
        <f>IFERROR(__xludf.DUMMYFUNCTION("""COMPUTED_VALUE"""),13610.0)</f>
        <v>13610</v>
      </c>
      <c r="C1362" s="66">
        <f>IFERROR(__xludf.DUMMYFUNCTION("""COMPUTED_VALUE"""),9.2548E9)</f>
        <v>9254800000</v>
      </c>
      <c r="D1362" s="1"/>
      <c r="E1362" s="1"/>
      <c r="F1362" s="1"/>
      <c r="G1362" s="1"/>
      <c r="H1362" s="1"/>
      <c r="I1362" s="1"/>
      <c r="J1362" s="1"/>
      <c r="K1362" s="1"/>
      <c r="L1362" s="1"/>
      <c r="M1362" s="1"/>
      <c r="N1362" s="1"/>
      <c r="O1362" s="1"/>
      <c r="P1362" s="1"/>
      <c r="Q1362" s="1"/>
      <c r="R1362" s="1"/>
      <c r="S1362" s="1"/>
      <c r="T1362" s="1"/>
      <c r="U1362" s="1"/>
      <c r="V1362" s="1"/>
      <c r="W1362" s="1"/>
      <c r="X1362" s="1"/>
      <c r="Y1362" s="1"/>
      <c r="Z1362" s="1"/>
    </row>
    <row r="1363" ht="15.75" customHeight="1">
      <c r="A1363" s="2">
        <f>IFERROR(__xludf.DUMMYFUNCTION("""COMPUTED_VALUE"""),681000.0)</f>
        <v>681000</v>
      </c>
      <c r="B1363" s="2">
        <f>IFERROR(__xludf.DUMMYFUNCTION("""COMPUTED_VALUE"""),13620.0)</f>
        <v>13620</v>
      </c>
      <c r="C1363" s="66">
        <f>IFERROR(__xludf.DUMMYFUNCTION("""COMPUTED_VALUE"""),9.26841E9)</f>
        <v>9268410000</v>
      </c>
      <c r="D1363" s="1"/>
      <c r="E1363" s="1"/>
      <c r="F1363" s="1"/>
      <c r="G1363" s="1"/>
      <c r="H1363" s="1"/>
      <c r="I1363" s="1"/>
      <c r="J1363" s="1"/>
      <c r="K1363" s="1"/>
      <c r="L1363" s="1"/>
      <c r="M1363" s="1"/>
      <c r="N1363" s="1"/>
      <c r="O1363" s="1"/>
      <c r="P1363" s="1"/>
      <c r="Q1363" s="1"/>
      <c r="R1363" s="1"/>
      <c r="S1363" s="1"/>
      <c r="T1363" s="1"/>
      <c r="U1363" s="1"/>
      <c r="V1363" s="1"/>
      <c r="W1363" s="1"/>
      <c r="X1363" s="1"/>
      <c r="Y1363" s="1"/>
      <c r="Z1363" s="1"/>
    </row>
    <row r="1364" ht="15.75" customHeight="1">
      <c r="A1364" s="2">
        <f>IFERROR(__xludf.DUMMYFUNCTION("""COMPUTED_VALUE"""),681500.0)</f>
        <v>681500</v>
      </c>
      <c r="B1364" s="2">
        <f>IFERROR(__xludf.DUMMYFUNCTION("""COMPUTED_VALUE"""),13630.0)</f>
        <v>13630</v>
      </c>
      <c r="C1364" s="66">
        <f>IFERROR(__xludf.DUMMYFUNCTION("""COMPUTED_VALUE"""),9.28203E9)</f>
        <v>9282030000</v>
      </c>
      <c r="D1364" s="1"/>
      <c r="E1364" s="1"/>
      <c r="F1364" s="1"/>
      <c r="G1364" s="1"/>
      <c r="H1364" s="1"/>
      <c r="I1364" s="1"/>
      <c r="J1364" s="1"/>
      <c r="K1364" s="1"/>
      <c r="L1364" s="1"/>
      <c r="M1364" s="1"/>
      <c r="N1364" s="1"/>
      <c r="O1364" s="1"/>
      <c r="P1364" s="1"/>
      <c r="Q1364" s="1"/>
      <c r="R1364" s="1"/>
      <c r="S1364" s="1"/>
      <c r="T1364" s="1"/>
      <c r="U1364" s="1"/>
      <c r="V1364" s="1"/>
      <c r="W1364" s="1"/>
      <c r="X1364" s="1"/>
      <c r="Y1364" s="1"/>
      <c r="Z1364" s="1"/>
    </row>
    <row r="1365" ht="15.75" customHeight="1">
      <c r="A1365" s="2">
        <f>IFERROR(__xludf.DUMMYFUNCTION("""COMPUTED_VALUE"""),682000.0)</f>
        <v>682000</v>
      </c>
      <c r="B1365" s="2">
        <f>IFERROR(__xludf.DUMMYFUNCTION("""COMPUTED_VALUE"""),13640.0)</f>
        <v>13640</v>
      </c>
      <c r="C1365" s="66">
        <f>IFERROR(__xludf.DUMMYFUNCTION("""COMPUTED_VALUE"""),9.29566E9)</f>
        <v>9295660000</v>
      </c>
      <c r="D1365" s="1"/>
      <c r="E1365" s="1"/>
      <c r="F1365" s="1"/>
      <c r="G1365" s="1"/>
      <c r="H1365" s="1"/>
      <c r="I1365" s="1"/>
      <c r="J1365" s="1"/>
      <c r="K1365" s="1"/>
      <c r="L1365" s="1"/>
      <c r="M1365" s="1"/>
      <c r="N1365" s="1"/>
      <c r="O1365" s="1"/>
      <c r="P1365" s="1"/>
      <c r="Q1365" s="1"/>
      <c r="R1365" s="1"/>
      <c r="S1365" s="1"/>
      <c r="T1365" s="1"/>
      <c r="U1365" s="1"/>
      <c r="V1365" s="1"/>
      <c r="W1365" s="1"/>
      <c r="X1365" s="1"/>
      <c r="Y1365" s="1"/>
      <c r="Z1365" s="1"/>
    </row>
    <row r="1366" ht="15.75" customHeight="1">
      <c r="A1366" s="2">
        <f>IFERROR(__xludf.DUMMYFUNCTION("""COMPUTED_VALUE"""),682500.0)</f>
        <v>682500</v>
      </c>
      <c r="B1366" s="2">
        <f>IFERROR(__xludf.DUMMYFUNCTION("""COMPUTED_VALUE"""),13650.0)</f>
        <v>13650</v>
      </c>
      <c r="C1366" s="66">
        <f>IFERROR(__xludf.DUMMYFUNCTION("""COMPUTED_VALUE"""),9.3093E9)</f>
        <v>9309300000</v>
      </c>
      <c r="D1366" s="1"/>
      <c r="E1366" s="1"/>
      <c r="F1366" s="1"/>
      <c r="G1366" s="1"/>
      <c r="H1366" s="1"/>
      <c r="I1366" s="1"/>
      <c r="J1366" s="1"/>
      <c r="K1366" s="1"/>
      <c r="L1366" s="1"/>
      <c r="M1366" s="1"/>
      <c r="N1366" s="1"/>
      <c r="O1366" s="1"/>
      <c r="P1366" s="1"/>
      <c r="Q1366" s="1"/>
      <c r="R1366" s="1"/>
      <c r="S1366" s="1"/>
      <c r="T1366" s="1"/>
      <c r="U1366" s="1"/>
      <c r="V1366" s="1"/>
      <c r="W1366" s="1"/>
      <c r="X1366" s="1"/>
      <c r="Y1366" s="1"/>
      <c r="Z1366" s="1"/>
    </row>
    <row r="1367" ht="15.75" customHeight="1">
      <c r="A1367" s="2">
        <f>IFERROR(__xludf.DUMMYFUNCTION("""COMPUTED_VALUE"""),683000.0)</f>
        <v>683000</v>
      </c>
      <c r="B1367" s="2">
        <f>IFERROR(__xludf.DUMMYFUNCTION("""COMPUTED_VALUE"""),13660.0)</f>
        <v>13660</v>
      </c>
      <c r="C1367" s="66">
        <f>IFERROR(__xludf.DUMMYFUNCTION("""COMPUTED_VALUE"""),9.32295E9)</f>
        <v>9322950000</v>
      </c>
      <c r="D1367" s="1"/>
      <c r="E1367" s="1"/>
      <c r="F1367" s="1"/>
      <c r="G1367" s="1"/>
      <c r="H1367" s="1"/>
      <c r="I1367" s="1"/>
      <c r="J1367" s="1"/>
      <c r="K1367" s="1"/>
      <c r="L1367" s="1"/>
      <c r="M1367" s="1"/>
      <c r="N1367" s="1"/>
      <c r="O1367" s="1"/>
      <c r="P1367" s="1"/>
      <c r="Q1367" s="1"/>
      <c r="R1367" s="1"/>
      <c r="S1367" s="1"/>
      <c r="T1367" s="1"/>
      <c r="U1367" s="1"/>
      <c r="V1367" s="1"/>
      <c r="W1367" s="1"/>
      <c r="X1367" s="1"/>
      <c r="Y1367" s="1"/>
      <c r="Z1367" s="1"/>
    </row>
    <row r="1368" ht="15.75" customHeight="1">
      <c r="A1368" s="2">
        <f>IFERROR(__xludf.DUMMYFUNCTION("""COMPUTED_VALUE"""),683500.0)</f>
        <v>683500</v>
      </c>
      <c r="B1368" s="2">
        <f>IFERROR(__xludf.DUMMYFUNCTION("""COMPUTED_VALUE"""),13670.0)</f>
        <v>13670</v>
      </c>
      <c r="C1368" s="66">
        <f>IFERROR(__xludf.DUMMYFUNCTION("""COMPUTED_VALUE"""),9.33661E9)</f>
        <v>9336610000</v>
      </c>
      <c r="D1368" s="1"/>
      <c r="E1368" s="1"/>
      <c r="F1368" s="1"/>
      <c r="G1368" s="1"/>
      <c r="H1368" s="1"/>
      <c r="I1368" s="1"/>
      <c r="J1368" s="1"/>
      <c r="K1368" s="1"/>
      <c r="L1368" s="1"/>
      <c r="M1368" s="1"/>
      <c r="N1368" s="1"/>
      <c r="O1368" s="1"/>
      <c r="P1368" s="1"/>
      <c r="Q1368" s="1"/>
      <c r="R1368" s="1"/>
      <c r="S1368" s="1"/>
      <c r="T1368" s="1"/>
      <c r="U1368" s="1"/>
      <c r="V1368" s="1"/>
      <c r="W1368" s="1"/>
      <c r="X1368" s="1"/>
      <c r="Y1368" s="1"/>
      <c r="Z1368" s="1"/>
    </row>
    <row r="1369" ht="15.75" customHeight="1">
      <c r="A1369" s="2">
        <f>IFERROR(__xludf.DUMMYFUNCTION("""COMPUTED_VALUE"""),684000.0)</f>
        <v>684000</v>
      </c>
      <c r="B1369" s="2">
        <f>IFERROR(__xludf.DUMMYFUNCTION("""COMPUTED_VALUE"""),13680.0)</f>
        <v>13680</v>
      </c>
      <c r="C1369" s="66">
        <f>IFERROR(__xludf.DUMMYFUNCTION("""COMPUTED_VALUE"""),9.35028E9)</f>
        <v>9350280000</v>
      </c>
      <c r="D1369" s="1"/>
      <c r="E1369" s="1"/>
      <c r="F1369" s="1"/>
      <c r="G1369" s="1"/>
      <c r="H1369" s="1"/>
      <c r="I1369" s="1"/>
      <c r="J1369" s="1"/>
      <c r="K1369" s="1"/>
      <c r="L1369" s="1"/>
      <c r="M1369" s="1"/>
      <c r="N1369" s="1"/>
      <c r="O1369" s="1"/>
      <c r="P1369" s="1"/>
      <c r="Q1369" s="1"/>
      <c r="R1369" s="1"/>
      <c r="S1369" s="1"/>
      <c r="T1369" s="1"/>
      <c r="U1369" s="1"/>
      <c r="V1369" s="1"/>
      <c r="W1369" s="1"/>
      <c r="X1369" s="1"/>
      <c r="Y1369" s="1"/>
      <c r="Z1369" s="1"/>
    </row>
    <row r="1370" ht="15.75" customHeight="1">
      <c r="A1370" s="2">
        <f>IFERROR(__xludf.DUMMYFUNCTION("""COMPUTED_VALUE"""),684500.0)</f>
        <v>684500</v>
      </c>
      <c r="B1370" s="2">
        <f>IFERROR(__xludf.DUMMYFUNCTION("""COMPUTED_VALUE"""),13690.0)</f>
        <v>13690</v>
      </c>
      <c r="C1370" s="66">
        <f>IFERROR(__xludf.DUMMYFUNCTION("""COMPUTED_VALUE"""),9.36396E9)</f>
        <v>9363960000</v>
      </c>
      <c r="D1370" s="1"/>
      <c r="E1370" s="1"/>
      <c r="F1370" s="1"/>
      <c r="G1370" s="1"/>
      <c r="H1370" s="1"/>
      <c r="I1370" s="1"/>
      <c r="J1370" s="1"/>
      <c r="K1370" s="1"/>
      <c r="L1370" s="1"/>
      <c r="M1370" s="1"/>
      <c r="N1370" s="1"/>
      <c r="O1370" s="1"/>
      <c r="P1370" s="1"/>
      <c r="Q1370" s="1"/>
      <c r="R1370" s="1"/>
      <c r="S1370" s="1"/>
      <c r="T1370" s="1"/>
      <c r="U1370" s="1"/>
      <c r="V1370" s="1"/>
      <c r="W1370" s="1"/>
      <c r="X1370" s="1"/>
      <c r="Y1370" s="1"/>
      <c r="Z1370" s="1"/>
    </row>
    <row r="1371" ht="15.75" customHeight="1">
      <c r="A1371" s="2">
        <f>IFERROR(__xludf.DUMMYFUNCTION("""COMPUTED_VALUE"""),685000.0)</f>
        <v>685000</v>
      </c>
      <c r="B1371" s="2">
        <f>IFERROR(__xludf.DUMMYFUNCTION("""COMPUTED_VALUE"""),13700.0)</f>
        <v>13700</v>
      </c>
      <c r="C1371" s="66">
        <f>IFERROR(__xludf.DUMMYFUNCTION("""COMPUTED_VALUE"""),9.37765E9)</f>
        <v>9377650000</v>
      </c>
      <c r="D1371" s="1"/>
      <c r="E1371" s="1"/>
      <c r="F1371" s="1"/>
      <c r="G1371" s="1"/>
      <c r="H1371" s="1"/>
      <c r="I1371" s="1"/>
      <c r="J1371" s="1"/>
      <c r="K1371" s="1"/>
      <c r="L1371" s="1"/>
      <c r="M1371" s="1"/>
      <c r="N1371" s="1"/>
      <c r="O1371" s="1"/>
      <c r="P1371" s="1"/>
      <c r="Q1371" s="1"/>
      <c r="R1371" s="1"/>
      <c r="S1371" s="1"/>
      <c r="T1371" s="1"/>
      <c r="U1371" s="1"/>
      <c r="V1371" s="1"/>
      <c r="W1371" s="1"/>
      <c r="X1371" s="1"/>
      <c r="Y1371" s="1"/>
      <c r="Z1371" s="1"/>
    </row>
    <row r="1372" ht="15.75" customHeight="1">
      <c r="A1372" s="2">
        <f>IFERROR(__xludf.DUMMYFUNCTION("""COMPUTED_VALUE"""),685500.0)</f>
        <v>685500</v>
      </c>
      <c r="B1372" s="2">
        <f>IFERROR(__xludf.DUMMYFUNCTION("""COMPUTED_VALUE"""),13710.0)</f>
        <v>13710</v>
      </c>
      <c r="C1372" s="66">
        <f>IFERROR(__xludf.DUMMYFUNCTION("""COMPUTED_VALUE"""),9.39135E9)</f>
        <v>9391350000</v>
      </c>
      <c r="D1372" s="1"/>
      <c r="E1372" s="1"/>
      <c r="F1372" s="1"/>
      <c r="G1372" s="1"/>
      <c r="H1372" s="1"/>
      <c r="I1372" s="1"/>
      <c r="J1372" s="1"/>
      <c r="K1372" s="1"/>
      <c r="L1372" s="1"/>
      <c r="M1372" s="1"/>
      <c r="N1372" s="1"/>
      <c r="O1372" s="1"/>
      <c r="P1372" s="1"/>
      <c r="Q1372" s="1"/>
      <c r="R1372" s="1"/>
      <c r="S1372" s="1"/>
      <c r="T1372" s="1"/>
      <c r="U1372" s="1"/>
      <c r="V1372" s="1"/>
      <c r="W1372" s="1"/>
      <c r="X1372" s="1"/>
      <c r="Y1372" s="1"/>
      <c r="Z1372" s="1"/>
    </row>
    <row r="1373" ht="15.75" customHeight="1">
      <c r="A1373" s="2">
        <f>IFERROR(__xludf.DUMMYFUNCTION("""COMPUTED_VALUE"""),686000.0)</f>
        <v>686000</v>
      </c>
      <c r="B1373" s="2">
        <f>IFERROR(__xludf.DUMMYFUNCTION("""COMPUTED_VALUE"""),13720.0)</f>
        <v>13720</v>
      </c>
      <c r="C1373" s="66">
        <f>IFERROR(__xludf.DUMMYFUNCTION("""COMPUTED_VALUE"""),9.40506E9)</f>
        <v>9405060000</v>
      </c>
      <c r="D1373" s="1"/>
      <c r="E1373" s="1"/>
      <c r="F1373" s="1"/>
      <c r="G1373" s="1"/>
      <c r="H1373" s="1"/>
      <c r="I1373" s="1"/>
      <c r="J1373" s="1"/>
      <c r="K1373" s="1"/>
      <c r="L1373" s="1"/>
      <c r="M1373" s="1"/>
      <c r="N1373" s="1"/>
      <c r="O1373" s="1"/>
      <c r="P1373" s="1"/>
      <c r="Q1373" s="1"/>
      <c r="R1373" s="1"/>
      <c r="S1373" s="1"/>
      <c r="T1373" s="1"/>
      <c r="U1373" s="1"/>
      <c r="V1373" s="1"/>
      <c r="W1373" s="1"/>
      <c r="X1373" s="1"/>
      <c r="Y1373" s="1"/>
      <c r="Z1373" s="1"/>
    </row>
    <row r="1374" ht="15.75" customHeight="1">
      <c r="A1374" s="2">
        <f>IFERROR(__xludf.DUMMYFUNCTION("""COMPUTED_VALUE"""),686500.0)</f>
        <v>686500</v>
      </c>
      <c r="B1374" s="2">
        <f>IFERROR(__xludf.DUMMYFUNCTION("""COMPUTED_VALUE"""),13730.0)</f>
        <v>13730</v>
      </c>
      <c r="C1374" s="66">
        <f>IFERROR(__xludf.DUMMYFUNCTION("""COMPUTED_VALUE"""),9.41878E9)</f>
        <v>9418780000</v>
      </c>
      <c r="D1374" s="1"/>
      <c r="E1374" s="1"/>
      <c r="F1374" s="1"/>
      <c r="G1374" s="1"/>
      <c r="H1374" s="1"/>
      <c r="I1374" s="1"/>
      <c r="J1374" s="1"/>
      <c r="K1374" s="1"/>
      <c r="L1374" s="1"/>
      <c r="M1374" s="1"/>
      <c r="N1374" s="1"/>
      <c r="O1374" s="1"/>
      <c r="P1374" s="1"/>
      <c r="Q1374" s="1"/>
      <c r="R1374" s="1"/>
      <c r="S1374" s="1"/>
      <c r="T1374" s="1"/>
      <c r="U1374" s="1"/>
      <c r="V1374" s="1"/>
      <c r="W1374" s="1"/>
      <c r="X1374" s="1"/>
      <c r="Y1374" s="1"/>
      <c r="Z1374" s="1"/>
    </row>
    <row r="1375" ht="15.75" customHeight="1">
      <c r="A1375" s="2">
        <f>IFERROR(__xludf.DUMMYFUNCTION("""COMPUTED_VALUE"""),687000.0)</f>
        <v>687000</v>
      </c>
      <c r="B1375" s="2">
        <f>IFERROR(__xludf.DUMMYFUNCTION("""COMPUTED_VALUE"""),13740.0)</f>
        <v>13740</v>
      </c>
      <c r="C1375" s="66">
        <f>IFERROR(__xludf.DUMMYFUNCTION("""COMPUTED_VALUE"""),9.43251E9)</f>
        <v>9432510000</v>
      </c>
      <c r="D1375" s="1"/>
      <c r="E1375" s="1"/>
      <c r="F1375" s="1"/>
      <c r="G1375" s="1"/>
      <c r="H1375" s="1"/>
      <c r="I1375" s="1"/>
      <c r="J1375" s="1"/>
      <c r="K1375" s="1"/>
      <c r="L1375" s="1"/>
      <c r="M1375" s="1"/>
      <c r="N1375" s="1"/>
      <c r="O1375" s="1"/>
      <c r="P1375" s="1"/>
      <c r="Q1375" s="1"/>
      <c r="R1375" s="1"/>
      <c r="S1375" s="1"/>
      <c r="T1375" s="1"/>
      <c r="U1375" s="1"/>
      <c r="V1375" s="1"/>
      <c r="W1375" s="1"/>
      <c r="X1375" s="1"/>
      <c r="Y1375" s="1"/>
      <c r="Z1375" s="1"/>
    </row>
    <row r="1376" ht="15.75" customHeight="1">
      <c r="A1376" s="2">
        <f>IFERROR(__xludf.DUMMYFUNCTION("""COMPUTED_VALUE"""),687500.0)</f>
        <v>687500</v>
      </c>
      <c r="B1376" s="2">
        <f>IFERROR(__xludf.DUMMYFUNCTION("""COMPUTED_VALUE"""),13750.0)</f>
        <v>13750</v>
      </c>
      <c r="C1376" s="66">
        <f>IFERROR(__xludf.DUMMYFUNCTION("""COMPUTED_VALUE"""),9.44625E9)</f>
        <v>9446250000</v>
      </c>
      <c r="D1376" s="1"/>
      <c r="E1376" s="1"/>
      <c r="F1376" s="1"/>
      <c r="G1376" s="1"/>
      <c r="H1376" s="1"/>
      <c r="I1376" s="1"/>
      <c r="J1376" s="1"/>
      <c r="K1376" s="1"/>
      <c r="L1376" s="1"/>
      <c r="M1376" s="1"/>
      <c r="N1376" s="1"/>
      <c r="O1376" s="1"/>
      <c r="P1376" s="1"/>
      <c r="Q1376" s="1"/>
      <c r="R1376" s="1"/>
      <c r="S1376" s="1"/>
      <c r="T1376" s="1"/>
      <c r="U1376" s="1"/>
      <c r="V1376" s="1"/>
      <c r="W1376" s="1"/>
      <c r="X1376" s="1"/>
      <c r="Y1376" s="1"/>
      <c r="Z1376" s="1"/>
    </row>
    <row r="1377" ht="15.75" customHeight="1">
      <c r="A1377" s="2">
        <f>IFERROR(__xludf.DUMMYFUNCTION("""COMPUTED_VALUE"""),688000.0)</f>
        <v>688000</v>
      </c>
      <c r="B1377" s="2">
        <f>IFERROR(__xludf.DUMMYFUNCTION("""COMPUTED_VALUE"""),13760.0)</f>
        <v>13760</v>
      </c>
      <c r="C1377" s="66">
        <f>IFERROR(__xludf.DUMMYFUNCTION("""COMPUTED_VALUE"""),9.46E9)</f>
        <v>9460000000</v>
      </c>
      <c r="D1377" s="1"/>
      <c r="E1377" s="1"/>
      <c r="F1377" s="1"/>
      <c r="G1377" s="1"/>
      <c r="H1377" s="1"/>
      <c r="I1377" s="1"/>
      <c r="J1377" s="1"/>
      <c r="K1377" s="1"/>
      <c r="L1377" s="1"/>
      <c r="M1377" s="1"/>
      <c r="N1377" s="1"/>
      <c r="O1377" s="1"/>
      <c r="P1377" s="1"/>
      <c r="Q1377" s="1"/>
      <c r="R1377" s="1"/>
      <c r="S1377" s="1"/>
      <c r="T1377" s="1"/>
      <c r="U1377" s="1"/>
      <c r="V1377" s="1"/>
      <c r="W1377" s="1"/>
      <c r="X1377" s="1"/>
      <c r="Y1377" s="1"/>
      <c r="Z1377" s="1"/>
    </row>
    <row r="1378" ht="15.75" customHeight="1">
      <c r="A1378" s="2">
        <f>IFERROR(__xludf.DUMMYFUNCTION("""COMPUTED_VALUE"""),688500.0)</f>
        <v>688500</v>
      </c>
      <c r="B1378" s="2">
        <f>IFERROR(__xludf.DUMMYFUNCTION("""COMPUTED_VALUE"""),13770.0)</f>
        <v>13770</v>
      </c>
      <c r="C1378" s="66">
        <f>IFERROR(__xludf.DUMMYFUNCTION("""COMPUTED_VALUE"""),9.47376E9)</f>
        <v>9473760000</v>
      </c>
      <c r="D1378" s="1"/>
      <c r="E1378" s="1"/>
      <c r="F1378" s="1"/>
      <c r="G1378" s="1"/>
      <c r="H1378" s="1"/>
      <c r="I1378" s="1"/>
      <c r="J1378" s="1"/>
      <c r="K1378" s="1"/>
      <c r="L1378" s="1"/>
      <c r="M1378" s="1"/>
      <c r="N1378" s="1"/>
      <c r="O1378" s="1"/>
      <c r="P1378" s="1"/>
      <c r="Q1378" s="1"/>
      <c r="R1378" s="1"/>
      <c r="S1378" s="1"/>
      <c r="T1378" s="1"/>
      <c r="U1378" s="1"/>
      <c r="V1378" s="1"/>
      <c r="W1378" s="1"/>
      <c r="X1378" s="1"/>
      <c r="Y1378" s="1"/>
      <c r="Z1378" s="1"/>
    </row>
    <row r="1379" ht="15.75" customHeight="1">
      <c r="A1379" s="2">
        <f>IFERROR(__xludf.DUMMYFUNCTION("""COMPUTED_VALUE"""),689000.0)</f>
        <v>689000</v>
      </c>
      <c r="B1379" s="2">
        <f>IFERROR(__xludf.DUMMYFUNCTION("""COMPUTED_VALUE"""),13780.0)</f>
        <v>13780</v>
      </c>
      <c r="C1379" s="66">
        <f>IFERROR(__xludf.DUMMYFUNCTION("""COMPUTED_VALUE"""),9.48753E9)</f>
        <v>9487530000</v>
      </c>
      <c r="D1379" s="1"/>
      <c r="E1379" s="1"/>
      <c r="F1379" s="1"/>
      <c r="G1379" s="1"/>
      <c r="H1379" s="1"/>
      <c r="I1379" s="1"/>
      <c r="J1379" s="1"/>
      <c r="K1379" s="1"/>
      <c r="L1379" s="1"/>
      <c r="M1379" s="1"/>
      <c r="N1379" s="1"/>
      <c r="O1379" s="1"/>
      <c r="P1379" s="1"/>
      <c r="Q1379" s="1"/>
      <c r="R1379" s="1"/>
      <c r="S1379" s="1"/>
      <c r="T1379" s="1"/>
      <c r="U1379" s="1"/>
      <c r="V1379" s="1"/>
      <c r="W1379" s="1"/>
      <c r="X1379" s="1"/>
      <c r="Y1379" s="1"/>
      <c r="Z1379" s="1"/>
    </row>
    <row r="1380" ht="15.75" customHeight="1">
      <c r="A1380" s="2">
        <f>IFERROR(__xludf.DUMMYFUNCTION("""COMPUTED_VALUE"""),689500.0)</f>
        <v>689500</v>
      </c>
      <c r="B1380" s="2">
        <f>IFERROR(__xludf.DUMMYFUNCTION("""COMPUTED_VALUE"""),13790.0)</f>
        <v>13790</v>
      </c>
      <c r="C1380" s="66">
        <f>IFERROR(__xludf.DUMMYFUNCTION("""COMPUTED_VALUE"""),9.50131E9)</f>
        <v>9501310000</v>
      </c>
      <c r="D1380" s="1"/>
      <c r="E1380" s="1"/>
      <c r="F1380" s="1"/>
      <c r="G1380" s="1"/>
      <c r="H1380" s="1"/>
      <c r="I1380" s="1"/>
      <c r="J1380" s="1"/>
      <c r="K1380" s="1"/>
      <c r="L1380" s="1"/>
      <c r="M1380" s="1"/>
      <c r="N1380" s="1"/>
      <c r="O1380" s="1"/>
      <c r="P1380" s="1"/>
      <c r="Q1380" s="1"/>
      <c r="R1380" s="1"/>
      <c r="S1380" s="1"/>
      <c r="T1380" s="1"/>
      <c r="U1380" s="1"/>
      <c r="V1380" s="1"/>
      <c r="W1380" s="1"/>
      <c r="X1380" s="1"/>
      <c r="Y1380" s="1"/>
      <c r="Z1380" s="1"/>
    </row>
    <row r="1381" ht="15.75" customHeight="1">
      <c r="A1381" s="2">
        <f>IFERROR(__xludf.DUMMYFUNCTION("""COMPUTED_VALUE"""),690000.0)</f>
        <v>690000</v>
      </c>
      <c r="B1381" s="2">
        <f>IFERROR(__xludf.DUMMYFUNCTION("""COMPUTED_VALUE"""),13800.0)</f>
        <v>13800</v>
      </c>
      <c r="C1381" s="66">
        <f>IFERROR(__xludf.DUMMYFUNCTION("""COMPUTED_VALUE"""),9.5151E9)</f>
        <v>9515100000</v>
      </c>
      <c r="D1381" s="1"/>
      <c r="E1381" s="1"/>
      <c r="F1381" s="1"/>
      <c r="G1381" s="1"/>
      <c r="H1381" s="1"/>
      <c r="I1381" s="1"/>
      <c r="J1381" s="1"/>
      <c r="K1381" s="1"/>
      <c r="L1381" s="1"/>
      <c r="M1381" s="1"/>
      <c r="N1381" s="1"/>
      <c r="O1381" s="1"/>
      <c r="P1381" s="1"/>
      <c r="Q1381" s="1"/>
      <c r="R1381" s="1"/>
      <c r="S1381" s="1"/>
      <c r="T1381" s="1"/>
      <c r="U1381" s="1"/>
      <c r="V1381" s="1"/>
      <c r="W1381" s="1"/>
      <c r="X1381" s="1"/>
      <c r="Y1381" s="1"/>
      <c r="Z1381" s="1"/>
    </row>
    <row r="1382" ht="15.75" customHeight="1">
      <c r="A1382" s="2">
        <f>IFERROR(__xludf.DUMMYFUNCTION("""COMPUTED_VALUE"""),690500.0)</f>
        <v>690500</v>
      </c>
      <c r="B1382" s="2">
        <f>IFERROR(__xludf.DUMMYFUNCTION("""COMPUTED_VALUE"""),13810.0)</f>
        <v>13810</v>
      </c>
      <c r="C1382" s="66">
        <f>IFERROR(__xludf.DUMMYFUNCTION("""COMPUTED_VALUE"""),9.5289E9)</f>
        <v>9528900000</v>
      </c>
      <c r="D1382" s="1"/>
      <c r="E1382" s="1"/>
      <c r="F1382" s="1"/>
      <c r="G1382" s="1"/>
      <c r="H1382" s="1"/>
      <c r="I1382" s="1"/>
      <c r="J1382" s="1"/>
      <c r="K1382" s="1"/>
      <c r="L1382" s="1"/>
      <c r="M1382" s="1"/>
      <c r="N1382" s="1"/>
      <c r="O1382" s="1"/>
      <c r="P1382" s="1"/>
      <c r="Q1382" s="1"/>
      <c r="R1382" s="1"/>
      <c r="S1382" s="1"/>
      <c r="T1382" s="1"/>
      <c r="U1382" s="1"/>
      <c r="V1382" s="1"/>
      <c r="W1382" s="1"/>
      <c r="X1382" s="1"/>
      <c r="Y1382" s="1"/>
      <c r="Z1382" s="1"/>
    </row>
    <row r="1383" ht="15.75" customHeight="1">
      <c r="A1383" s="2">
        <f>IFERROR(__xludf.DUMMYFUNCTION("""COMPUTED_VALUE"""),691000.0)</f>
        <v>691000</v>
      </c>
      <c r="B1383" s="2">
        <f>IFERROR(__xludf.DUMMYFUNCTION("""COMPUTED_VALUE"""),13820.0)</f>
        <v>13820</v>
      </c>
      <c r="C1383" s="66">
        <f>IFERROR(__xludf.DUMMYFUNCTION("""COMPUTED_VALUE"""),9.54271E9)</f>
        <v>9542710000</v>
      </c>
      <c r="D1383" s="1"/>
      <c r="E1383" s="1"/>
      <c r="F1383" s="1"/>
      <c r="G1383" s="1"/>
      <c r="H1383" s="1"/>
      <c r="I1383" s="1"/>
      <c r="J1383" s="1"/>
      <c r="K1383" s="1"/>
      <c r="L1383" s="1"/>
      <c r="M1383" s="1"/>
      <c r="N1383" s="1"/>
      <c r="O1383" s="1"/>
      <c r="P1383" s="1"/>
      <c r="Q1383" s="1"/>
      <c r="R1383" s="1"/>
      <c r="S1383" s="1"/>
      <c r="T1383" s="1"/>
      <c r="U1383" s="1"/>
      <c r="V1383" s="1"/>
      <c r="W1383" s="1"/>
      <c r="X1383" s="1"/>
      <c r="Y1383" s="1"/>
      <c r="Z1383" s="1"/>
    </row>
    <row r="1384" ht="15.75" customHeight="1">
      <c r="A1384" s="2">
        <f>IFERROR(__xludf.DUMMYFUNCTION("""COMPUTED_VALUE"""),691500.0)</f>
        <v>691500</v>
      </c>
      <c r="B1384" s="2">
        <f>IFERROR(__xludf.DUMMYFUNCTION("""COMPUTED_VALUE"""),13830.0)</f>
        <v>13830</v>
      </c>
      <c r="C1384" s="66">
        <f>IFERROR(__xludf.DUMMYFUNCTION("""COMPUTED_VALUE"""),9.55653E9)</f>
        <v>9556530000</v>
      </c>
      <c r="D1384" s="1"/>
      <c r="E1384" s="1"/>
      <c r="F1384" s="1"/>
      <c r="G1384" s="1"/>
      <c r="H1384" s="1"/>
      <c r="I1384" s="1"/>
      <c r="J1384" s="1"/>
      <c r="K1384" s="1"/>
      <c r="L1384" s="1"/>
      <c r="M1384" s="1"/>
      <c r="N1384" s="1"/>
      <c r="O1384" s="1"/>
      <c r="P1384" s="1"/>
      <c r="Q1384" s="1"/>
      <c r="R1384" s="1"/>
      <c r="S1384" s="1"/>
      <c r="T1384" s="1"/>
      <c r="U1384" s="1"/>
      <c r="V1384" s="1"/>
      <c r="W1384" s="1"/>
      <c r="X1384" s="1"/>
      <c r="Y1384" s="1"/>
      <c r="Z1384" s="1"/>
    </row>
    <row r="1385" ht="15.75" customHeight="1">
      <c r="A1385" s="2">
        <f>IFERROR(__xludf.DUMMYFUNCTION("""COMPUTED_VALUE"""),692000.0)</f>
        <v>692000</v>
      </c>
      <c r="B1385" s="2">
        <f>IFERROR(__xludf.DUMMYFUNCTION("""COMPUTED_VALUE"""),13840.0)</f>
        <v>13840</v>
      </c>
      <c r="C1385" s="66">
        <f>IFERROR(__xludf.DUMMYFUNCTION("""COMPUTED_VALUE"""),9.57036E9)</f>
        <v>9570360000</v>
      </c>
      <c r="D1385" s="1"/>
      <c r="E1385" s="1"/>
      <c r="F1385" s="1"/>
      <c r="G1385" s="1"/>
      <c r="H1385" s="1"/>
      <c r="I1385" s="1"/>
      <c r="J1385" s="1"/>
      <c r="K1385" s="1"/>
      <c r="L1385" s="1"/>
      <c r="M1385" s="1"/>
      <c r="N1385" s="1"/>
      <c r="O1385" s="1"/>
      <c r="P1385" s="1"/>
      <c r="Q1385" s="1"/>
      <c r="R1385" s="1"/>
      <c r="S1385" s="1"/>
      <c r="T1385" s="1"/>
      <c r="U1385" s="1"/>
      <c r="V1385" s="1"/>
      <c r="W1385" s="1"/>
      <c r="X1385" s="1"/>
      <c r="Y1385" s="1"/>
      <c r="Z1385" s="1"/>
    </row>
    <row r="1386" ht="15.75" customHeight="1">
      <c r="A1386" s="2">
        <f>IFERROR(__xludf.DUMMYFUNCTION("""COMPUTED_VALUE"""),692500.0)</f>
        <v>692500</v>
      </c>
      <c r="B1386" s="2">
        <f>IFERROR(__xludf.DUMMYFUNCTION("""COMPUTED_VALUE"""),13850.0)</f>
        <v>13850</v>
      </c>
      <c r="C1386" s="66">
        <f>IFERROR(__xludf.DUMMYFUNCTION("""COMPUTED_VALUE"""),9.5842E9)</f>
        <v>9584200000</v>
      </c>
      <c r="D1386" s="1"/>
      <c r="E1386" s="1"/>
      <c r="F1386" s="1"/>
      <c r="G1386" s="1"/>
      <c r="H1386" s="1"/>
      <c r="I1386" s="1"/>
      <c r="J1386" s="1"/>
      <c r="K1386" s="1"/>
      <c r="L1386" s="1"/>
      <c r="M1386" s="1"/>
      <c r="N1386" s="1"/>
      <c r="O1386" s="1"/>
      <c r="P1386" s="1"/>
      <c r="Q1386" s="1"/>
      <c r="R1386" s="1"/>
      <c r="S1386" s="1"/>
      <c r="T1386" s="1"/>
      <c r="U1386" s="1"/>
      <c r="V1386" s="1"/>
      <c r="W1386" s="1"/>
      <c r="X1386" s="1"/>
      <c r="Y1386" s="1"/>
      <c r="Z1386" s="1"/>
    </row>
    <row r="1387" ht="15.75" customHeight="1">
      <c r="A1387" s="2">
        <f>IFERROR(__xludf.DUMMYFUNCTION("""COMPUTED_VALUE"""),693000.0)</f>
        <v>693000</v>
      </c>
      <c r="B1387" s="2">
        <f>IFERROR(__xludf.DUMMYFUNCTION("""COMPUTED_VALUE"""),13860.0)</f>
        <v>13860</v>
      </c>
      <c r="C1387" s="66">
        <f>IFERROR(__xludf.DUMMYFUNCTION("""COMPUTED_VALUE"""),9.59805E9)</f>
        <v>9598050000</v>
      </c>
      <c r="D1387" s="1"/>
      <c r="E1387" s="1"/>
      <c r="F1387" s="1"/>
      <c r="G1387" s="1"/>
      <c r="H1387" s="1"/>
      <c r="I1387" s="1"/>
      <c r="J1387" s="1"/>
      <c r="K1387" s="1"/>
      <c r="L1387" s="1"/>
      <c r="M1387" s="1"/>
      <c r="N1387" s="1"/>
      <c r="O1387" s="1"/>
      <c r="P1387" s="1"/>
      <c r="Q1387" s="1"/>
      <c r="R1387" s="1"/>
      <c r="S1387" s="1"/>
      <c r="T1387" s="1"/>
      <c r="U1387" s="1"/>
      <c r="V1387" s="1"/>
      <c r="W1387" s="1"/>
      <c r="X1387" s="1"/>
      <c r="Y1387" s="1"/>
      <c r="Z1387" s="1"/>
    </row>
    <row r="1388" ht="15.75" customHeight="1">
      <c r="A1388" s="2">
        <f>IFERROR(__xludf.DUMMYFUNCTION("""COMPUTED_VALUE"""),693500.0)</f>
        <v>693500</v>
      </c>
      <c r="B1388" s="2">
        <f>IFERROR(__xludf.DUMMYFUNCTION("""COMPUTED_VALUE"""),13870.0)</f>
        <v>13870</v>
      </c>
      <c r="C1388" s="66">
        <f>IFERROR(__xludf.DUMMYFUNCTION("""COMPUTED_VALUE"""),9.61191E9)</f>
        <v>9611910000</v>
      </c>
      <c r="D1388" s="1"/>
      <c r="E1388" s="1"/>
      <c r="F1388" s="1"/>
      <c r="G1388" s="1"/>
      <c r="H1388" s="1"/>
      <c r="I1388" s="1"/>
      <c r="J1388" s="1"/>
      <c r="K1388" s="1"/>
      <c r="L1388" s="1"/>
      <c r="M1388" s="1"/>
      <c r="N1388" s="1"/>
      <c r="O1388" s="1"/>
      <c r="P1388" s="1"/>
      <c r="Q1388" s="1"/>
      <c r="R1388" s="1"/>
      <c r="S1388" s="1"/>
      <c r="T1388" s="1"/>
      <c r="U1388" s="1"/>
      <c r="V1388" s="1"/>
      <c r="W1388" s="1"/>
      <c r="X1388" s="1"/>
      <c r="Y1388" s="1"/>
      <c r="Z1388" s="1"/>
    </row>
    <row r="1389" ht="15.75" customHeight="1">
      <c r="A1389" s="2">
        <f>IFERROR(__xludf.DUMMYFUNCTION("""COMPUTED_VALUE"""),694000.0)</f>
        <v>694000</v>
      </c>
      <c r="B1389" s="2">
        <f>IFERROR(__xludf.DUMMYFUNCTION("""COMPUTED_VALUE"""),13880.0)</f>
        <v>13880</v>
      </c>
      <c r="C1389" s="66">
        <f>IFERROR(__xludf.DUMMYFUNCTION("""COMPUTED_VALUE"""),9.62578E9)</f>
        <v>9625780000</v>
      </c>
      <c r="D1389" s="1"/>
      <c r="E1389" s="1"/>
      <c r="F1389" s="1"/>
      <c r="G1389" s="1"/>
      <c r="H1389" s="1"/>
      <c r="I1389" s="1"/>
      <c r="J1389" s="1"/>
      <c r="K1389" s="1"/>
      <c r="L1389" s="1"/>
      <c r="M1389" s="1"/>
      <c r="N1389" s="1"/>
      <c r="O1389" s="1"/>
      <c r="P1389" s="1"/>
      <c r="Q1389" s="1"/>
      <c r="R1389" s="1"/>
      <c r="S1389" s="1"/>
      <c r="T1389" s="1"/>
      <c r="U1389" s="1"/>
      <c r="V1389" s="1"/>
      <c r="W1389" s="1"/>
      <c r="X1389" s="1"/>
      <c r="Y1389" s="1"/>
      <c r="Z1389" s="1"/>
    </row>
    <row r="1390" ht="15.75" customHeight="1">
      <c r="A1390" s="2">
        <f>IFERROR(__xludf.DUMMYFUNCTION("""COMPUTED_VALUE"""),694500.0)</f>
        <v>694500</v>
      </c>
      <c r="B1390" s="2">
        <f>IFERROR(__xludf.DUMMYFUNCTION("""COMPUTED_VALUE"""),13890.0)</f>
        <v>13890</v>
      </c>
      <c r="C1390" s="66">
        <f>IFERROR(__xludf.DUMMYFUNCTION("""COMPUTED_VALUE"""),9.63966E9)</f>
        <v>9639660000</v>
      </c>
      <c r="D1390" s="1"/>
      <c r="E1390" s="1"/>
      <c r="F1390" s="1"/>
      <c r="G1390" s="1"/>
      <c r="H1390" s="1"/>
      <c r="I1390" s="1"/>
      <c r="J1390" s="1"/>
      <c r="K1390" s="1"/>
      <c r="L1390" s="1"/>
      <c r="M1390" s="1"/>
      <c r="N1390" s="1"/>
      <c r="O1390" s="1"/>
      <c r="P1390" s="1"/>
      <c r="Q1390" s="1"/>
      <c r="R1390" s="1"/>
      <c r="S1390" s="1"/>
      <c r="T1390" s="1"/>
      <c r="U1390" s="1"/>
      <c r="V1390" s="1"/>
      <c r="W1390" s="1"/>
      <c r="X1390" s="1"/>
      <c r="Y1390" s="1"/>
      <c r="Z1390" s="1"/>
    </row>
    <row r="1391" ht="15.75" customHeight="1">
      <c r="A1391" s="2">
        <f>IFERROR(__xludf.DUMMYFUNCTION("""COMPUTED_VALUE"""),695000.0)</f>
        <v>695000</v>
      </c>
      <c r="B1391" s="2">
        <f>IFERROR(__xludf.DUMMYFUNCTION("""COMPUTED_VALUE"""),13900.0)</f>
        <v>13900</v>
      </c>
      <c r="C1391" s="66">
        <f>IFERROR(__xludf.DUMMYFUNCTION("""COMPUTED_VALUE"""),9.65355E9)</f>
        <v>9653550000</v>
      </c>
      <c r="D1391" s="1"/>
      <c r="E1391" s="1"/>
      <c r="F1391" s="1"/>
      <c r="G1391" s="1"/>
      <c r="H1391" s="1"/>
      <c r="I1391" s="1"/>
      <c r="J1391" s="1"/>
      <c r="K1391" s="1"/>
      <c r="L1391" s="1"/>
      <c r="M1391" s="1"/>
      <c r="N1391" s="1"/>
      <c r="O1391" s="1"/>
      <c r="P1391" s="1"/>
      <c r="Q1391" s="1"/>
      <c r="R1391" s="1"/>
      <c r="S1391" s="1"/>
      <c r="T1391" s="1"/>
      <c r="U1391" s="1"/>
      <c r="V1391" s="1"/>
      <c r="W1391" s="1"/>
      <c r="X1391" s="1"/>
      <c r="Y1391" s="1"/>
      <c r="Z1391" s="1"/>
    </row>
    <row r="1392" ht="15.75" customHeight="1">
      <c r="A1392" s="2">
        <f>IFERROR(__xludf.DUMMYFUNCTION("""COMPUTED_VALUE"""),695500.0)</f>
        <v>695500</v>
      </c>
      <c r="B1392" s="2">
        <f>IFERROR(__xludf.DUMMYFUNCTION("""COMPUTED_VALUE"""),13910.0)</f>
        <v>13910</v>
      </c>
      <c r="C1392" s="66">
        <f>IFERROR(__xludf.DUMMYFUNCTION("""COMPUTED_VALUE"""),9.66745E9)</f>
        <v>9667450000</v>
      </c>
      <c r="D1392" s="1"/>
      <c r="E1392" s="1"/>
      <c r="F1392" s="1"/>
      <c r="G1392" s="1"/>
      <c r="H1392" s="1"/>
      <c r="I1392" s="1"/>
      <c r="J1392" s="1"/>
      <c r="K1392" s="1"/>
      <c r="L1392" s="1"/>
      <c r="M1392" s="1"/>
      <c r="N1392" s="1"/>
      <c r="O1392" s="1"/>
      <c r="P1392" s="1"/>
      <c r="Q1392" s="1"/>
      <c r="R1392" s="1"/>
      <c r="S1392" s="1"/>
      <c r="T1392" s="1"/>
      <c r="U1392" s="1"/>
      <c r="V1392" s="1"/>
      <c r="W1392" s="1"/>
      <c r="X1392" s="1"/>
      <c r="Y1392" s="1"/>
      <c r="Z1392" s="1"/>
    </row>
    <row r="1393" ht="15.75" customHeight="1">
      <c r="A1393" s="2">
        <f>IFERROR(__xludf.DUMMYFUNCTION("""COMPUTED_VALUE"""),696000.0)</f>
        <v>696000</v>
      </c>
      <c r="B1393" s="2">
        <f>IFERROR(__xludf.DUMMYFUNCTION("""COMPUTED_VALUE"""),13920.0)</f>
        <v>13920</v>
      </c>
      <c r="C1393" s="66">
        <f>IFERROR(__xludf.DUMMYFUNCTION("""COMPUTED_VALUE"""),9.68136E9)</f>
        <v>9681360000</v>
      </c>
      <c r="D1393" s="1"/>
      <c r="E1393" s="1"/>
      <c r="F1393" s="1"/>
      <c r="G1393" s="1"/>
      <c r="H1393" s="1"/>
      <c r="I1393" s="1"/>
      <c r="J1393" s="1"/>
      <c r="K1393" s="1"/>
      <c r="L1393" s="1"/>
      <c r="M1393" s="1"/>
      <c r="N1393" s="1"/>
      <c r="O1393" s="1"/>
      <c r="P1393" s="1"/>
      <c r="Q1393" s="1"/>
      <c r="R1393" s="1"/>
      <c r="S1393" s="1"/>
      <c r="T1393" s="1"/>
      <c r="U1393" s="1"/>
      <c r="V1393" s="1"/>
      <c r="W1393" s="1"/>
      <c r="X1393" s="1"/>
      <c r="Y1393" s="1"/>
      <c r="Z1393" s="1"/>
    </row>
    <row r="1394" ht="15.75" customHeight="1">
      <c r="A1394" s="2">
        <f>IFERROR(__xludf.DUMMYFUNCTION("""COMPUTED_VALUE"""),696500.0)</f>
        <v>696500</v>
      </c>
      <c r="B1394" s="2">
        <f>IFERROR(__xludf.DUMMYFUNCTION("""COMPUTED_VALUE"""),13930.0)</f>
        <v>13930</v>
      </c>
      <c r="C1394" s="66">
        <f>IFERROR(__xludf.DUMMYFUNCTION("""COMPUTED_VALUE"""),9.69528E9)</f>
        <v>9695280000</v>
      </c>
      <c r="D1394" s="1"/>
      <c r="E1394" s="1"/>
      <c r="F1394" s="1"/>
      <c r="G1394" s="1"/>
      <c r="H1394" s="1"/>
      <c r="I1394" s="1"/>
      <c r="J1394" s="1"/>
      <c r="K1394" s="1"/>
      <c r="L1394" s="1"/>
      <c r="M1394" s="1"/>
      <c r="N1394" s="1"/>
      <c r="O1394" s="1"/>
      <c r="P1394" s="1"/>
      <c r="Q1394" s="1"/>
      <c r="R1394" s="1"/>
      <c r="S1394" s="1"/>
      <c r="T1394" s="1"/>
      <c r="U1394" s="1"/>
      <c r="V1394" s="1"/>
      <c r="W1394" s="1"/>
      <c r="X1394" s="1"/>
      <c r="Y1394" s="1"/>
      <c r="Z1394" s="1"/>
    </row>
    <row r="1395" ht="15.75" customHeight="1">
      <c r="A1395" s="2">
        <f>IFERROR(__xludf.DUMMYFUNCTION("""COMPUTED_VALUE"""),697000.0)</f>
        <v>697000</v>
      </c>
      <c r="B1395" s="2">
        <f>IFERROR(__xludf.DUMMYFUNCTION("""COMPUTED_VALUE"""),13940.0)</f>
        <v>13940</v>
      </c>
      <c r="C1395" s="66">
        <f>IFERROR(__xludf.DUMMYFUNCTION("""COMPUTED_VALUE"""),9.70921E9)</f>
        <v>9709210000</v>
      </c>
      <c r="D1395" s="1"/>
      <c r="E1395" s="1"/>
      <c r="F1395" s="1"/>
      <c r="G1395" s="1"/>
      <c r="H1395" s="1"/>
      <c r="I1395" s="1"/>
      <c r="J1395" s="1"/>
      <c r="K1395" s="1"/>
      <c r="L1395" s="1"/>
      <c r="M1395" s="1"/>
      <c r="N1395" s="1"/>
      <c r="O1395" s="1"/>
      <c r="P1395" s="1"/>
      <c r="Q1395" s="1"/>
      <c r="R1395" s="1"/>
      <c r="S1395" s="1"/>
      <c r="T1395" s="1"/>
      <c r="U1395" s="1"/>
      <c r="V1395" s="1"/>
      <c r="W1395" s="1"/>
      <c r="X1395" s="1"/>
      <c r="Y1395" s="1"/>
      <c r="Z1395" s="1"/>
    </row>
    <row r="1396" ht="15.75" customHeight="1">
      <c r="A1396" s="2">
        <f>IFERROR(__xludf.DUMMYFUNCTION("""COMPUTED_VALUE"""),697500.0)</f>
        <v>697500</v>
      </c>
      <c r="B1396" s="2">
        <f>IFERROR(__xludf.DUMMYFUNCTION("""COMPUTED_VALUE"""),13950.0)</f>
        <v>13950</v>
      </c>
      <c r="C1396" s="66">
        <f>IFERROR(__xludf.DUMMYFUNCTION("""COMPUTED_VALUE"""),9.72315E9)</f>
        <v>9723150000</v>
      </c>
      <c r="D1396" s="1"/>
      <c r="E1396" s="1"/>
      <c r="F1396" s="1"/>
      <c r="G1396" s="1"/>
      <c r="H1396" s="1"/>
      <c r="I1396" s="1"/>
      <c r="J1396" s="1"/>
      <c r="K1396" s="1"/>
      <c r="L1396" s="1"/>
      <c r="M1396" s="1"/>
      <c r="N1396" s="1"/>
      <c r="O1396" s="1"/>
      <c r="P1396" s="1"/>
      <c r="Q1396" s="1"/>
      <c r="R1396" s="1"/>
      <c r="S1396" s="1"/>
      <c r="T1396" s="1"/>
      <c r="U1396" s="1"/>
      <c r="V1396" s="1"/>
      <c r="W1396" s="1"/>
      <c r="X1396" s="1"/>
      <c r="Y1396" s="1"/>
      <c r="Z1396" s="1"/>
    </row>
    <row r="1397" ht="15.75" customHeight="1">
      <c r="A1397" s="2">
        <f>IFERROR(__xludf.DUMMYFUNCTION("""COMPUTED_VALUE"""),698000.0)</f>
        <v>698000</v>
      </c>
      <c r="B1397" s="2">
        <f>IFERROR(__xludf.DUMMYFUNCTION("""COMPUTED_VALUE"""),13960.0)</f>
        <v>13960</v>
      </c>
      <c r="C1397" s="66">
        <f>IFERROR(__xludf.DUMMYFUNCTION("""COMPUTED_VALUE"""),9.7371E9)</f>
        <v>9737100000</v>
      </c>
      <c r="D1397" s="1"/>
      <c r="E1397" s="1"/>
      <c r="F1397" s="1"/>
      <c r="G1397" s="1"/>
      <c r="H1397" s="1"/>
      <c r="I1397" s="1"/>
      <c r="J1397" s="1"/>
      <c r="K1397" s="1"/>
      <c r="L1397" s="1"/>
      <c r="M1397" s="1"/>
      <c r="N1397" s="1"/>
      <c r="O1397" s="1"/>
      <c r="P1397" s="1"/>
      <c r="Q1397" s="1"/>
      <c r="R1397" s="1"/>
      <c r="S1397" s="1"/>
      <c r="T1397" s="1"/>
      <c r="U1397" s="1"/>
      <c r="V1397" s="1"/>
      <c r="W1397" s="1"/>
      <c r="X1397" s="1"/>
      <c r="Y1397" s="1"/>
      <c r="Z1397" s="1"/>
    </row>
    <row r="1398" ht="15.75" customHeight="1">
      <c r="A1398" s="2">
        <f>IFERROR(__xludf.DUMMYFUNCTION("""COMPUTED_VALUE"""),698500.0)</f>
        <v>698500</v>
      </c>
      <c r="B1398" s="2">
        <f>IFERROR(__xludf.DUMMYFUNCTION("""COMPUTED_VALUE"""),13970.0)</f>
        <v>13970</v>
      </c>
      <c r="C1398" s="66">
        <f>IFERROR(__xludf.DUMMYFUNCTION("""COMPUTED_VALUE"""),9.75106E9)</f>
        <v>9751060000</v>
      </c>
      <c r="D1398" s="1"/>
      <c r="E1398" s="1"/>
      <c r="F1398" s="1"/>
      <c r="G1398" s="1"/>
      <c r="H1398" s="1"/>
      <c r="I1398" s="1"/>
      <c r="J1398" s="1"/>
      <c r="K1398" s="1"/>
      <c r="L1398" s="1"/>
      <c r="M1398" s="1"/>
      <c r="N1398" s="1"/>
      <c r="O1398" s="1"/>
      <c r="P1398" s="1"/>
      <c r="Q1398" s="1"/>
      <c r="R1398" s="1"/>
      <c r="S1398" s="1"/>
      <c r="T1398" s="1"/>
      <c r="U1398" s="1"/>
      <c r="V1398" s="1"/>
      <c r="W1398" s="1"/>
      <c r="X1398" s="1"/>
      <c r="Y1398" s="1"/>
      <c r="Z1398" s="1"/>
    </row>
    <row r="1399" ht="15.75" customHeight="1">
      <c r="A1399" s="2">
        <f>IFERROR(__xludf.DUMMYFUNCTION("""COMPUTED_VALUE"""),699000.0)</f>
        <v>699000</v>
      </c>
      <c r="B1399" s="2">
        <f>IFERROR(__xludf.DUMMYFUNCTION("""COMPUTED_VALUE"""),13980.0)</f>
        <v>13980</v>
      </c>
      <c r="C1399" s="66">
        <f>IFERROR(__xludf.DUMMYFUNCTION("""COMPUTED_VALUE"""),9.76503E9)</f>
        <v>9765030000</v>
      </c>
      <c r="D1399" s="1"/>
      <c r="E1399" s="1"/>
      <c r="F1399" s="1"/>
      <c r="G1399" s="1"/>
      <c r="H1399" s="1"/>
      <c r="I1399" s="1"/>
      <c r="J1399" s="1"/>
      <c r="K1399" s="1"/>
      <c r="L1399" s="1"/>
      <c r="M1399" s="1"/>
      <c r="N1399" s="1"/>
      <c r="O1399" s="1"/>
      <c r="P1399" s="1"/>
      <c r="Q1399" s="1"/>
      <c r="R1399" s="1"/>
      <c r="S1399" s="1"/>
      <c r="T1399" s="1"/>
      <c r="U1399" s="1"/>
      <c r="V1399" s="1"/>
      <c r="W1399" s="1"/>
      <c r="X1399" s="1"/>
      <c r="Y1399" s="1"/>
      <c r="Z1399" s="1"/>
    </row>
    <row r="1400" ht="15.75" customHeight="1">
      <c r="A1400" s="2">
        <f>IFERROR(__xludf.DUMMYFUNCTION("""COMPUTED_VALUE"""),699500.0)</f>
        <v>699500</v>
      </c>
      <c r="B1400" s="2">
        <f>IFERROR(__xludf.DUMMYFUNCTION("""COMPUTED_VALUE"""),13990.0)</f>
        <v>13990</v>
      </c>
      <c r="C1400" s="66">
        <f>IFERROR(__xludf.DUMMYFUNCTION("""COMPUTED_VALUE"""),9.77901E9)</f>
        <v>9779010000</v>
      </c>
      <c r="D1400" s="1"/>
      <c r="E1400" s="1"/>
      <c r="F1400" s="1"/>
      <c r="G1400" s="1"/>
      <c r="H1400" s="1"/>
      <c r="I1400" s="1"/>
      <c r="J1400" s="1"/>
      <c r="K1400" s="1"/>
      <c r="L1400" s="1"/>
      <c r="M1400" s="1"/>
      <c r="N1400" s="1"/>
      <c r="O1400" s="1"/>
      <c r="P1400" s="1"/>
      <c r="Q1400" s="1"/>
      <c r="R1400" s="1"/>
      <c r="S1400" s="1"/>
      <c r="T1400" s="1"/>
      <c r="U1400" s="1"/>
      <c r="V1400" s="1"/>
      <c r="W1400" s="1"/>
      <c r="X1400" s="1"/>
      <c r="Y1400" s="1"/>
      <c r="Z1400" s="1"/>
    </row>
    <row r="1401" ht="15.75" customHeight="1">
      <c r="A1401" s="2">
        <f>IFERROR(__xludf.DUMMYFUNCTION("""COMPUTED_VALUE"""),700000.0)</f>
        <v>700000</v>
      </c>
      <c r="B1401" s="2">
        <f>IFERROR(__xludf.DUMMYFUNCTION("""COMPUTED_VALUE"""),14000.0)</f>
        <v>14000</v>
      </c>
      <c r="C1401" s="66">
        <f>IFERROR(__xludf.DUMMYFUNCTION("""COMPUTED_VALUE"""),9.793E9)</f>
        <v>9793000000</v>
      </c>
      <c r="D1401" s="1"/>
      <c r="E1401" s="1"/>
      <c r="F1401" s="1"/>
      <c r="G1401" s="1"/>
      <c r="H1401" s="1"/>
      <c r="I1401" s="1"/>
      <c r="J1401" s="1"/>
      <c r="K1401" s="1"/>
      <c r="L1401" s="1"/>
      <c r="M1401" s="1"/>
      <c r="N1401" s="1"/>
      <c r="O1401" s="1"/>
      <c r="P1401" s="1"/>
      <c r="Q1401" s="1"/>
      <c r="R1401" s="1"/>
      <c r="S1401" s="1"/>
      <c r="T1401" s="1"/>
      <c r="U1401" s="1"/>
      <c r="V1401" s="1"/>
      <c r="W1401" s="1"/>
      <c r="X1401" s="1"/>
      <c r="Y1401" s="1"/>
      <c r="Z1401" s="1"/>
    </row>
    <row r="1402" ht="15.75" customHeight="1">
      <c r="A1402" s="2">
        <f>IFERROR(__xludf.DUMMYFUNCTION("""COMPUTED_VALUE"""),700500.0)</f>
        <v>700500</v>
      </c>
      <c r="B1402" s="2">
        <f>IFERROR(__xludf.DUMMYFUNCTION("""COMPUTED_VALUE"""),14010.0)</f>
        <v>14010</v>
      </c>
      <c r="C1402" s="66">
        <f>IFERROR(__xludf.DUMMYFUNCTION("""COMPUTED_VALUE"""),9.807E9)</f>
        <v>9807000000</v>
      </c>
      <c r="D1402" s="1"/>
      <c r="E1402" s="1"/>
      <c r="F1402" s="1"/>
      <c r="G1402" s="1"/>
      <c r="H1402" s="1"/>
      <c r="I1402" s="1"/>
      <c r="J1402" s="1"/>
      <c r="K1402" s="1"/>
      <c r="L1402" s="1"/>
      <c r="M1402" s="1"/>
      <c r="N1402" s="1"/>
      <c r="O1402" s="1"/>
      <c r="P1402" s="1"/>
      <c r="Q1402" s="1"/>
      <c r="R1402" s="1"/>
      <c r="S1402" s="1"/>
      <c r="T1402" s="1"/>
      <c r="U1402" s="1"/>
      <c r="V1402" s="1"/>
      <c r="W1402" s="1"/>
      <c r="X1402" s="1"/>
      <c r="Y1402" s="1"/>
      <c r="Z1402" s="1"/>
    </row>
    <row r="1403" ht="15.75" customHeight="1">
      <c r="A1403" s="2">
        <f>IFERROR(__xludf.DUMMYFUNCTION("""COMPUTED_VALUE"""),701000.0)</f>
        <v>701000</v>
      </c>
      <c r="B1403" s="2">
        <f>IFERROR(__xludf.DUMMYFUNCTION("""COMPUTED_VALUE"""),14020.0)</f>
        <v>14020</v>
      </c>
      <c r="C1403" s="66">
        <f>IFERROR(__xludf.DUMMYFUNCTION("""COMPUTED_VALUE"""),9.82101E9)</f>
        <v>9821010000</v>
      </c>
      <c r="D1403" s="1"/>
      <c r="E1403" s="1"/>
      <c r="F1403" s="1"/>
      <c r="G1403" s="1"/>
      <c r="H1403" s="1"/>
      <c r="I1403" s="1"/>
      <c r="J1403" s="1"/>
      <c r="K1403" s="1"/>
      <c r="L1403" s="1"/>
      <c r="M1403" s="1"/>
      <c r="N1403" s="1"/>
      <c r="O1403" s="1"/>
      <c r="P1403" s="1"/>
      <c r="Q1403" s="1"/>
      <c r="R1403" s="1"/>
      <c r="S1403" s="1"/>
      <c r="T1403" s="1"/>
      <c r="U1403" s="1"/>
      <c r="V1403" s="1"/>
      <c r="W1403" s="1"/>
      <c r="X1403" s="1"/>
      <c r="Y1403" s="1"/>
      <c r="Z1403" s="1"/>
    </row>
    <row r="1404" ht="15.75" customHeight="1">
      <c r="A1404" s="2">
        <f>IFERROR(__xludf.DUMMYFUNCTION("""COMPUTED_VALUE"""),701500.0)</f>
        <v>701500</v>
      </c>
      <c r="B1404" s="2">
        <f>IFERROR(__xludf.DUMMYFUNCTION("""COMPUTED_VALUE"""),14030.0)</f>
        <v>14030</v>
      </c>
      <c r="C1404" s="66">
        <f>IFERROR(__xludf.DUMMYFUNCTION("""COMPUTED_VALUE"""),9.83503E9)</f>
        <v>9835030000</v>
      </c>
      <c r="D1404" s="1"/>
      <c r="E1404" s="1"/>
      <c r="F1404" s="1"/>
      <c r="G1404" s="1"/>
      <c r="H1404" s="1"/>
      <c r="I1404" s="1"/>
      <c r="J1404" s="1"/>
      <c r="K1404" s="1"/>
      <c r="L1404" s="1"/>
      <c r="M1404" s="1"/>
      <c r="N1404" s="1"/>
      <c r="O1404" s="1"/>
      <c r="P1404" s="1"/>
      <c r="Q1404" s="1"/>
      <c r="R1404" s="1"/>
      <c r="S1404" s="1"/>
      <c r="T1404" s="1"/>
      <c r="U1404" s="1"/>
      <c r="V1404" s="1"/>
      <c r="W1404" s="1"/>
      <c r="X1404" s="1"/>
      <c r="Y1404" s="1"/>
      <c r="Z1404" s="1"/>
    </row>
    <row r="1405" ht="15.75" customHeight="1">
      <c r="A1405" s="2">
        <f>IFERROR(__xludf.DUMMYFUNCTION("""COMPUTED_VALUE"""),702000.0)</f>
        <v>702000</v>
      </c>
      <c r="B1405" s="2">
        <f>IFERROR(__xludf.DUMMYFUNCTION("""COMPUTED_VALUE"""),14040.0)</f>
        <v>14040</v>
      </c>
      <c r="C1405" s="66">
        <f>IFERROR(__xludf.DUMMYFUNCTION("""COMPUTED_VALUE"""),9.84906E9)</f>
        <v>9849060000</v>
      </c>
      <c r="D1405" s="1"/>
      <c r="E1405" s="1"/>
      <c r="F1405" s="1"/>
      <c r="G1405" s="1"/>
      <c r="H1405" s="1"/>
      <c r="I1405" s="1"/>
      <c r="J1405" s="1"/>
      <c r="K1405" s="1"/>
      <c r="L1405" s="1"/>
      <c r="M1405" s="1"/>
      <c r="N1405" s="1"/>
      <c r="O1405" s="1"/>
      <c r="P1405" s="1"/>
      <c r="Q1405" s="1"/>
      <c r="R1405" s="1"/>
      <c r="S1405" s="1"/>
      <c r="T1405" s="1"/>
      <c r="U1405" s="1"/>
      <c r="V1405" s="1"/>
      <c r="W1405" s="1"/>
      <c r="X1405" s="1"/>
      <c r="Y1405" s="1"/>
      <c r="Z1405" s="1"/>
    </row>
    <row r="1406" ht="15.75" customHeight="1">
      <c r="A1406" s="2">
        <f>IFERROR(__xludf.DUMMYFUNCTION("""COMPUTED_VALUE"""),702500.0)</f>
        <v>702500</v>
      </c>
      <c r="B1406" s="2">
        <f>IFERROR(__xludf.DUMMYFUNCTION("""COMPUTED_VALUE"""),14050.0)</f>
        <v>14050</v>
      </c>
      <c r="C1406" s="66">
        <f>IFERROR(__xludf.DUMMYFUNCTION("""COMPUTED_VALUE"""),9.8631E9)</f>
        <v>9863100000</v>
      </c>
      <c r="D1406" s="1"/>
      <c r="E1406" s="1"/>
      <c r="F1406" s="1"/>
      <c r="G1406" s="1"/>
      <c r="H1406" s="1"/>
      <c r="I1406" s="1"/>
      <c r="J1406" s="1"/>
      <c r="K1406" s="1"/>
      <c r="L1406" s="1"/>
      <c r="M1406" s="1"/>
      <c r="N1406" s="1"/>
      <c r="O1406" s="1"/>
      <c r="P1406" s="1"/>
      <c r="Q1406" s="1"/>
      <c r="R1406" s="1"/>
      <c r="S1406" s="1"/>
      <c r="T1406" s="1"/>
      <c r="U1406" s="1"/>
      <c r="V1406" s="1"/>
      <c r="W1406" s="1"/>
      <c r="X1406" s="1"/>
      <c r="Y1406" s="1"/>
      <c r="Z1406" s="1"/>
    </row>
    <row r="1407" ht="15.75" customHeight="1">
      <c r="A1407" s="2">
        <f>IFERROR(__xludf.DUMMYFUNCTION("""COMPUTED_VALUE"""),703000.0)</f>
        <v>703000</v>
      </c>
      <c r="B1407" s="2">
        <f>IFERROR(__xludf.DUMMYFUNCTION("""COMPUTED_VALUE"""),14060.0)</f>
        <v>14060</v>
      </c>
      <c r="C1407" s="66">
        <f>IFERROR(__xludf.DUMMYFUNCTION("""COMPUTED_VALUE"""),9.87715E9)</f>
        <v>9877150000</v>
      </c>
      <c r="D1407" s="1"/>
      <c r="E1407" s="1"/>
      <c r="F1407" s="1"/>
      <c r="G1407" s="1"/>
      <c r="H1407" s="1"/>
      <c r="I1407" s="1"/>
      <c r="J1407" s="1"/>
      <c r="K1407" s="1"/>
      <c r="L1407" s="1"/>
      <c r="M1407" s="1"/>
      <c r="N1407" s="1"/>
      <c r="O1407" s="1"/>
      <c r="P1407" s="1"/>
      <c r="Q1407" s="1"/>
      <c r="R1407" s="1"/>
      <c r="S1407" s="1"/>
      <c r="T1407" s="1"/>
      <c r="U1407" s="1"/>
      <c r="V1407" s="1"/>
      <c r="W1407" s="1"/>
      <c r="X1407" s="1"/>
      <c r="Y1407" s="1"/>
      <c r="Z1407" s="1"/>
    </row>
    <row r="1408" ht="15.75" customHeight="1">
      <c r="A1408" s="2">
        <f>IFERROR(__xludf.DUMMYFUNCTION("""COMPUTED_VALUE"""),703500.0)</f>
        <v>703500</v>
      </c>
      <c r="B1408" s="2">
        <f>IFERROR(__xludf.DUMMYFUNCTION("""COMPUTED_VALUE"""),14070.0)</f>
        <v>14070</v>
      </c>
      <c r="C1408" s="66">
        <f>IFERROR(__xludf.DUMMYFUNCTION("""COMPUTED_VALUE"""),9.89121E9)</f>
        <v>9891210000</v>
      </c>
      <c r="D1408" s="1"/>
      <c r="E1408" s="1"/>
      <c r="F1408" s="1"/>
      <c r="G1408" s="1"/>
      <c r="H1408" s="1"/>
      <c r="I1408" s="1"/>
      <c r="J1408" s="1"/>
      <c r="K1408" s="1"/>
      <c r="L1408" s="1"/>
      <c r="M1408" s="1"/>
      <c r="N1408" s="1"/>
      <c r="O1408" s="1"/>
      <c r="P1408" s="1"/>
      <c r="Q1408" s="1"/>
      <c r="R1408" s="1"/>
      <c r="S1408" s="1"/>
      <c r="T1408" s="1"/>
      <c r="U1408" s="1"/>
      <c r="V1408" s="1"/>
      <c r="W1408" s="1"/>
      <c r="X1408" s="1"/>
      <c r="Y1408" s="1"/>
      <c r="Z1408" s="1"/>
    </row>
    <row r="1409" ht="15.75" customHeight="1">
      <c r="A1409" s="2">
        <f>IFERROR(__xludf.DUMMYFUNCTION("""COMPUTED_VALUE"""),704000.0)</f>
        <v>704000</v>
      </c>
      <c r="B1409" s="2">
        <f>IFERROR(__xludf.DUMMYFUNCTION("""COMPUTED_VALUE"""),14080.0)</f>
        <v>14080</v>
      </c>
      <c r="C1409" s="66">
        <f>IFERROR(__xludf.DUMMYFUNCTION("""COMPUTED_VALUE"""),9.90528E9)</f>
        <v>9905280000</v>
      </c>
      <c r="D1409" s="1"/>
      <c r="E1409" s="1"/>
      <c r="F1409" s="1"/>
      <c r="G1409" s="1"/>
      <c r="H1409" s="1"/>
      <c r="I1409" s="1"/>
      <c r="J1409" s="1"/>
      <c r="K1409" s="1"/>
      <c r="L1409" s="1"/>
      <c r="M1409" s="1"/>
      <c r="N1409" s="1"/>
      <c r="O1409" s="1"/>
      <c r="P1409" s="1"/>
      <c r="Q1409" s="1"/>
      <c r="R1409" s="1"/>
      <c r="S1409" s="1"/>
      <c r="T1409" s="1"/>
      <c r="U1409" s="1"/>
      <c r="V1409" s="1"/>
      <c r="W1409" s="1"/>
      <c r="X1409" s="1"/>
      <c r="Y1409" s="1"/>
      <c r="Z1409" s="1"/>
    </row>
    <row r="1410" ht="15.75" customHeight="1">
      <c r="A1410" s="2">
        <f>IFERROR(__xludf.DUMMYFUNCTION("""COMPUTED_VALUE"""),704500.0)</f>
        <v>704500</v>
      </c>
      <c r="B1410" s="2">
        <f>IFERROR(__xludf.DUMMYFUNCTION("""COMPUTED_VALUE"""),14090.0)</f>
        <v>14090</v>
      </c>
      <c r="C1410" s="66">
        <f>IFERROR(__xludf.DUMMYFUNCTION("""COMPUTED_VALUE"""),9.91936E9)</f>
        <v>9919360000</v>
      </c>
      <c r="D1410" s="1"/>
      <c r="E1410" s="1"/>
      <c r="F1410" s="1"/>
      <c r="G1410" s="1"/>
      <c r="H1410" s="1"/>
      <c r="I1410" s="1"/>
      <c r="J1410" s="1"/>
      <c r="K1410" s="1"/>
      <c r="L1410" s="1"/>
      <c r="M1410" s="1"/>
      <c r="N1410" s="1"/>
      <c r="O1410" s="1"/>
      <c r="P1410" s="1"/>
      <c r="Q1410" s="1"/>
      <c r="R1410" s="1"/>
      <c r="S1410" s="1"/>
      <c r="T1410" s="1"/>
      <c r="U1410" s="1"/>
      <c r="V1410" s="1"/>
      <c r="W1410" s="1"/>
      <c r="X1410" s="1"/>
      <c r="Y1410" s="1"/>
      <c r="Z1410" s="1"/>
    </row>
    <row r="1411" ht="15.75" customHeight="1">
      <c r="A1411" s="2">
        <f>IFERROR(__xludf.DUMMYFUNCTION("""COMPUTED_VALUE"""),705000.0)</f>
        <v>705000</v>
      </c>
      <c r="B1411" s="2">
        <f>IFERROR(__xludf.DUMMYFUNCTION("""COMPUTED_VALUE"""),14100.0)</f>
        <v>14100</v>
      </c>
      <c r="C1411" s="66">
        <f>IFERROR(__xludf.DUMMYFUNCTION("""COMPUTED_VALUE"""),9.93345E9)</f>
        <v>9933450000</v>
      </c>
      <c r="D1411" s="1"/>
      <c r="E1411" s="1"/>
      <c r="F1411" s="1"/>
      <c r="G1411" s="1"/>
      <c r="H1411" s="1"/>
      <c r="I1411" s="1"/>
      <c r="J1411" s="1"/>
      <c r="K1411" s="1"/>
      <c r="L1411" s="1"/>
      <c r="M1411" s="1"/>
      <c r="N1411" s="1"/>
      <c r="O1411" s="1"/>
      <c r="P1411" s="1"/>
      <c r="Q1411" s="1"/>
      <c r="R1411" s="1"/>
      <c r="S1411" s="1"/>
      <c r="T1411" s="1"/>
      <c r="U1411" s="1"/>
      <c r="V1411" s="1"/>
      <c r="W1411" s="1"/>
      <c r="X1411" s="1"/>
      <c r="Y1411" s="1"/>
      <c r="Z1411" s="1"/>
    </row>
    <row r="1412" ht="15.75" customHeight="1">
      <c r="A1412" s="2">
        <f>IFERROR(__xludf.DUMMYFUNCTION("""COMPUTED_VALUE"""),705500.0)</f>
        <v>705500</v>
      </c>
      <c r="B1412" s="2">
        <f>IFERROR(__xludf.DUMMYFUNCTION("""COMPUTED_VALUE"""),14110.0)</f>
        <v>14110</v>
      </c>
      <c r="C1412" s="66">
        <f>IFERROR(__xludf.DUMMYFUNCTION("""COMPUTED_VALUE"""),9.94755E9)</f>
        <v>9947550000</v>
      </c>
      <c r="D1412" s="1"/>
      <c r="E1412" s="1"/>
      <c r="F1412" s="1"/>
      <c r="G1412" s="1"/>
      <c r="H1412" s="1"/>
      <c r="I1412" s="1"/>
      <c r="J1412" s="1"/>
      <c r="K1412" s="1"/>
      <c r="L1412" s="1"/>
      <c r="M1412" s="1"/>
      <c r="N1412" s="1"/>
      <c r="O1412" s="1"/>
      <c r="P1412" s="1"/>
      <c r="Q1412" s="1"/>
      <c r="R1412" s="1"/>
      <c r="S1412" s="1"/>
      <c r="T1412" s="1"/>
      <c r="U1412" s="1"/>
      <c r="V1412" s="1"/>
      <c r="W1412" s="1"/>
      <c r="X1412" s="1"/>
      <c r="Y1412" s="1"/>
      <c r="Z1412" s="1"/>
    </row>
    <row r="1413" ht="15.75" customHeight="1">
      <c r="A1413" s="2">
        <f>IFERROR(__xludf.DUMMYFUNCTION("""COMPUTED_VALUE"""),706000.0)</f>
        <v>706000</v>
      </c>
      <c r="B1413" s="2">
        <f>IFERROR(__xludf.DUMMYFUNCTION("""COMPUTED_VALUE"""),14120.0)</f>
        <v>14120</v>
      </c>
      <c r="C1413" s="66">
        <f>IFERROR(__xludf.DUMMYFUNCTION("""COMPUTED_VALUE"""),9.96166E9)</f>
        <v>9961660000</v>
      </c>
      <c r="D1413" s="1"/>
      <c r="E1413" s="1"/>
      <c r="F1413" s="1"/>
      <c r="G1413" s="1"/>
      <c r="H1413" s="1"/>
      <c r="I1413" s="1"/>
      <c r="J1413" s="1"/>
      <c r="K1413" s="1"/>
      <c r="L1413" s="1"/>
      <c r="M1413" s="1"/>
      <c r="N1413" s="1"/>
      <c r="O1413" s="1"/>
      <c r="P1413" s="1"/>
      <c r="Q1413" s="1"/>
      <c r="R1413" s="1"/>
      <c r="S1413" s="1"/>
      <c r="T1413" s="1"/>
      <c r="U1413" s="1"/>
      <c r="V1413" s="1"/>
      <c r="W1413" s="1"/>
      <c r="X1413" s="1"/>
      <c r="Y1413" s="1"/>
      <c r="Z1413" s="1"/>
    </row>
    <row r="1414" ht="15.75" customHeight="1">
      <c r="A1414" s="2">
        <f>IFERROR(__xludf.DUMMYFUNCTION("""COMPUTED_VALUE"""),706500.0)</f>
        <v>706500</v>
      </c>
      <c r="B1414" s="2">
        <f>IFERROR(__xludf.DUMMYFUNCTION("""COMPUTED_VALUE"""),14130.0)</f>
        <v>14130</v>
      </c>
      <c r="C1414" s="66">
        <f>IFERROR(__xludf.DUMMYFUNCTION("""COMPUTED_VALUE"""),9.97578E9)</f>
        <v>9975780000</v>
      </c>
      <c r="D1414" s="1"/>
      <c r="E1414" s="1"/>
      <c r="F1414" s="1"/>
      <c r="G1414" s="1"/>
      <c r="H1414" s="1"/>
      <c r="I1414" s="1"/>
      <c r="J1414" s="1"/>
      <c r="K1414" s="1"/>
      <c r="L1414" s="1"/>
      <c r="M1414" s="1"/>
      <c r="N1414" s="1"/>
      <c r="O1414" s="1"/>
      <c r="P1414" s="1"/>
      <c r="Q1414" s="1"/>
      <c r="R1414" s="1"/>
      <c r="S1414" s="1"/>
      <c r="T1414" s="1"/>
      <c r="U1414" s="1"/>
      <c r="V1414" s="1"/>
      <c r="W1414" s="1"/>
      <c r="X1414" s="1"/>
      <c r="Y1414" s="1"/>
      <c r="Z1414" s="1"/>
    </row>
    <row r="1415" ht="15.75" customHeight="1">
      <c r="A1415" s="2">
        <f>IFERROR(__xludf.DUMMYFUNCTION("""COMPUTED_VALUE"""),707000.0)</f>
        <v>707000</v>
      </c>
      <c r="B1415" s="2">
        <f>IFERROR(__xludf.DUMMYFUNCTION("""COMPUTED_VALUE"""),14140.0)</f>
        <v>14140</v>
      </c>
      <c r="C1415" s="66">
        <f>IFERROR(__xludf.DUMMYFUNCTION("""COMPUTED_VALUE"""),9.98991E9)</f>
        <v>9989910000</v>
      </c>
      <c r="D1415" s="1"/>
      <c r="E1415" s="1"/>
      <c r="F1415" s="1"/>
      <c r="G1415" s="1"/>
      <c r="H1415" s="1"/>
      <c r="I1415" s="1"/>
      <c r="J1415" s="1"/>
      <c r="K1415" s="1"/>
      <c r="L1415" s="1"/>
      <c r="M1415" s="1"/>
      <c r="N1415" s="1"/>
      <c r="O1415" s="1"/>
      <c r="P1415" s="1"/>
      <c r="Q1415" s="1"/>
      <c r="R1415" s="1"/>
      <c r="S1415" s="1"/>
      <c r="T1415" s="1"/>
      <c r="U1415" s="1"/>
      <c r="V1415" s="1"/>
      <c r="W1415" s="1"/>
      <c r="X1415" s="1"/>
      <c r="Y1415" s="1"/>
      <c r="Z1415" s="1"/>
    </row>
    <row r="1416" ht="15.75" customHeight="1">
      <c r="A1416" s="2">
        <f>IFERROR(__xludf.DUMMYFUNCTION("""COMPUTED_VALUE"""),707500.0)</f>
        <v>707500</v>
      </c>
      <c r="B1416" s="2">
        <f>IFERROR(__xludf.DUMMYFUNCTION("""COMPUTED_VALUE"""),14150.0)</f>
        <v>14150</v>
      </c>
      <c r="C1416" s="66">
        <f>IFERROR(__xludf.DUMMYFUNCTION("""COMPUTED_VALUE"""),1.000405E10)</f>
        <v>10004050000</v>
      </c>
      <c r="D1416" s="1"/>
      <c r="E1416" s="1"/>
      <c r="F1416" s="1"/>
      <c r="G1416" s="1"/>
      <c r="H1416" s="1"/>
      <c r="I1416" s="1"/>
      <c r="J1416" s="1"/>
      <c r="K1416" s="1"/>
      <c r="L1416" s="1"/>
      <c r="M1416" s="1"/>
      <c r="N1416" s="1"/>
      <c r="O1416" s="1"/>
      <c r="P1416" s="1"/>
      <c r="Q1416" s="1"/>
      <c r="R1416" s="1"/>
      <c r="S1416" s="1"/>
      <c r="T1416" s="1"/>
      <c r="U1416" s="1"/>
      <c r="V1416" s="1"/>
      <c r="W1416" s="1"/>
      <c r="X1416" s="1"/>
      <c r="Y1416" s="1"/>
      <c r="Z1416" s="1"/>
    </row>
    <row r="1417" ht="15.75" customHeight="1">
      <c r="A1417" s="2">
        <f>IFERROR(__xludf.DUMMYFUNCTION("""COMPUTED_VALUE"""),708000.0)</f>
        <v>708000</v>
      </c>
      <c r="B1417" s="2">
        <f>IFERROR(__xludf.DUMMYFUNCTION("""COMPUTED_VALUE"""),14160.0)</f>
        <v>14160</v>
      </c>
      <c r="C1417" s="66">
        <f>IFERROR(__xludf.DUMMYFUNCTION("""COMPUTED_VALUE"""),1.00182E10)</f>
        <v>10018200000</v>
      </c>
      <c r="D1417" s="1"/>
      <c r="E1417" s="1"/>
      <c r="F1417" s="1"/>
      <c r="G1417" s="1"/>
      <c r="H1417" s="1"/>
      <c r="I1417" s="1"/>
      <c r="J1417" s="1"/>
      <c r="K1417" s="1"/>
      <c r="L1417" s="1"/>
      <c r="M1417" s="1"/>
      <c r="N1417" s="1"/>
      <c r="O1417" s="1"/>
      <c r="P1417" s="1"/>
      <c r="Q1417" s="1"/>
      <c r="R1417" s="1"/>
      <c r="S1417" s="1"/>
      <c r="T1417" s="1"/>
      <c r="U1417" s="1"/>
      <c r="V1417" s="1"/>
      <c r="W1417" s="1"/>
      <c r="X1417" s="1"/>
      <c r="Y1417" s="1"/>
      <c r="Z1417" s="1"/>
    </row>
    <row r="1418" ht="15.75" customHeight="1">
      <c r="A1418" s="2">
        <f>IFERROR(__xludf.DUMMYFUNCTION("""COMPUTED_VALUE"""),708500.0)</f>
        <v>708500</v>
      </c>
      <c r="B1418" s="2">
        <f>IFERROR(__xludf.DUMMYFUNCTION("""COMPUTED_VALUE"""),14170.0)</f>
        <v>14170</v>
      </c>
      <c r="C1418" s="66">
        <f>IFERROR(__xludf.DUMMYFUNCTION("""COMPUTED_VALUE"""),1.003236E10)</f>
        <v>10032360000</v>
      </c>
      <c r="D1418" s="1"/>
      <c r="E1418" s="1"/>
      <c r="F1418" s="1"/>
      <c r="G1418" s="1"/>
      <c r="H1418" s="1"/>
      <c r="I1418" s="1"/>
      <c r="J1418" s="1"/>
      <c r="K1418" s="1"/>
      <c r="L1418" s="1"/>
      <c r="M1418" s="1"/>
      <c r="N1418" s="1"/>
      <c r="O1418" s="1"/>
      <c r="P1418" s="1"/>
      <c r="Q1418" s="1"/>
      <c r="R1418" s="1"/>
      <c r="S1418" s="1"/>
      <c r="T1418" s="1"/>
      <c r="U1418" s="1"/>
      <c r="V1418" s="1"/>
      <c r="W1418" s="1"/>
      <c r="X1418" s="1"/>
      <c r="Y1418" s="1"/>
      <c r="Z1418" s="1"/>
    </row>
    <row r="1419" ht="15.75" customHeight="1">
      <c r="A1419" s="2">
        <f>IFERROR(__xludf.DUMMYFUNCTION("""COMPUTED_VALUE"""),709000.0)</f>
        <v>709000</v>
      </c>
      <c r="B1419" s="2">
        <f>IFERROR(__xludf.DUMMYFUNCTION("""COMPUTED_VALUE"""),14180.0)</f>
        <v>14180</v>
      </c>
      <c r="C1419" s="66">
        <f>IFERROR(__xludf.DUMMYFUNCTION("""COMPUTED_VALUE"""),1.004653E10)</f>
        <v>10046530000</v>
      </c>
      <c r="D1419" s="1"/>
      <c r="E1419" s="1"/>
      <c r="F1419" s="1"/>
      <c r="G1419" s="1"/>
      <c r="H1419" s="1"/>
      <c r="I1419" s="1"/>
      <c r="J1419" s="1"/>
      <c r="K1419" s="1"/>
      <c r="L1419" s="1"/>
      <c r="M1419" s="1"/>
      <c r="N1419" s="1"/>
      <c r="O1419" s="1"/>
      <c r="P1419" s="1"/>
      <c r="Q1419" s="1"/>
      <c r="R1419" s="1"/>
      <c r="S1419" s="1"/>
      <c r="T1419" s="1"/>
      <c r="U1419" s="1"/>
      <c r="V1419" s="1"/>
      <c r="W1419" s="1"/>
      <c r="X1419" s="1"/>
      <c r="Y1419" s="1"/>
      <c r="Z1419" s="1"/>
    </row>
    <row r="1420" ht="15.75" customHeight="1">
      <c r="A1420" s="2">
        <f>IFERROR(__xludf.DUMMYFUNCTION("""COMPUTED_VALUE"""),709500.0)</f>
        <v>709500</v>
      </c>
      <c r="B1420" s="2">
        <f>IFERROR(__xludf.DUMMYFUNCTION("""COMPUTED_VALUE"""),14190.0)</f>
        <v>14190</v>
      </c>
      <c r="C1420" s="66">
        <f>IFERROR(__xludf.DUMMYFUNCTION("""COMPUTED_VALUE"""),1.006071E10)</f>
        <v>10060710000</v>
      </c>
      <c r="D1420" s="1"/>
      <c r="E1420" s="1"/>
      <c r="F1420" s="1"/>
      <c r="G1420" s="1"/>
      <c r="H1420" s="1"/>
      <c r="I1420" s="1"/>
      <c r="J1420" s="1"/>
      <c r="K1420" s="1"/>
      <c r="L1420" s="1"/>
      <c r="M1420" s="1"/>
      <c r="N1420" s="1"/>
      <c r="O1420" s="1"/>
      <c r="P1420" s="1"/>
      <c r="Q1420" s="1"/>
      <c r="R1420" s="1"/>
      <c r="S1420" s="1"/>
      <c r="T1420" s="1"/>
      <c r="U1420" s="1"/>
      <c r="V1420" s="1"/>
      <c r="W1420" s="1"/>
      <c r="X1420" s="1"/>
      <c r="Y1420" s="1"/>
      <c r="Z1420" s="1"/>
    </row>
    <row r="1421" ht="15.75" customHeight="1">
      <c r="A1421" s="2">
        <f>IFERROR(__xludf.DUMMYFUNCTION("""COMPUTED_VALUE"""),710000.0)</f>
        <v>710000</v>
      </c>
      <c r="B1421" s="2">
        <f>IFERROR(__xludf.DUMMYFUNCTION("""COMPUTED_VALUE"""),14200.0)</f>
        <v>14200</v>
      </c>
      <c r="C1421" s="66">
        <f>IFERROR(__xludf.DUMMYFUNCTION("""COMPUTED_VALUE"""),1.00749E10)</f>
        <v>10074900000</v>
      </c>
      <c r="D1421" s="1"/>
      <c r="E1421" s="1"/>
      <c r="F1421" s="1"/>
      <c r="G1421" s="1"/>
      <c r="H1421" s="1"/>
      <c r="I1421" s="1"/>
      <c r="J1421" s="1"/>
      <c r="K1421" s="1"/>
      <c r="L1421" s="1"/>
      <c r="M1421" s="1"/>
      <c r="N1421" s="1"/>
      <c r="O1421" s="1"/>
      <c r="P1421" s="1"/>
      <c r="Q1421" s="1"/>
      <c r="R1421" s="1"/>
      <c r="S1421" s="1"/>
      <c r="T1421" s="1"/>
      <c r="U1421" s="1"/>
      <c r="V1421" s="1"/>
      <c r="W1421" s="1"/>
      <c r="X1421" s="1"/>
      <c r="Y1421" s="1"/>
      <c r="Z1421" s="1"/>
    </row>
    <row r="1422" ht="15.75" customHeight="1">
      <c r="A1422" s="2">
        <f>IFERROR(__xludf.DUMMYFUNCTION("""COMPUTED_VALUE"""),710500.0)</f>
        <v>710500</v>
      </c>
      <c r="B1422" s="2">
        <f>IFERROR(__xludf.DUMMYFUNCTION("""COMPUTED_VALUE"""),14210.0)</f>
        <v>14210</v>
      </c>
      <c r="C1422" s="66">
        <f>IFERROR(__xludf.DUMMYFUNCTION("""COMPUTED_VALUE"""),1.00891E10)</f>
        <v>10089100000</v>
      </c>
      <c r="D1422" s="1"/>
      <c r="E1422" s="1"/>
      <c r="F1422" s="1"/>
      <c r="G1422" s="1"/>
      <c r="H1422" s="1"/>
      <c r="I1422" s="1"/>
      <c r="J1422" s="1"/>
      <c r="K1422" s="1"/>
      <c r="L1422" s="1"/>
      <c r="M1422" s="1"/>
      <c r="N1422" s="1"/>
      <c r="O1422" s="1"/>
      <c r="P1422" s="1"/>
      <c r="Q1422" s="1"/>
      <c r="R1422" s="1"/>
      <c r="S1422" s="1"/>
      <c r="T1422" s="1"/>
      <c r="U1422" s="1"/>
      <c r="V1422" s="1"/>
      <c r="W1422" s="1"/>
      <c r="X1422" s="1"/>
      <c r="Y1422" s="1"/>
      <c r="Z1422" s="1"/>
    </row>
    <row r="1423" ht="15.75" customHeight="1">
      <c r="A1423" s="2">
        <f>IFERROR(__xludf.DUMMYFUNCTION("""COMPUTED_VALUE"""),711000.0)</f>
        <v>711000</v>
      </c>
      <c r="B1423" s="2">
        <f>IFERROR(__xludf.DUMMYFUNCTION("""COMPUTED_VALUE"""),14220.0)</f>
        <v>14220</v>
      </c>
      <c r="C1423" s="66">
        <f>IFERROR(__xludf.DUMMYFUNCTION("""COMPUTED_VALUE"""),1.010331E10)</f>
        <v>10103310000</v>
      </c>
      <c r="D1423" s="1"/>
      <c r="E1423" s="1"/>
      <c r="F1423" s="1"/>
      <c r="G1423" s="1"/>
      <c r="H1423" s="1"/>
      <c r="I1423" s="1"/>
      <c r="J1423" s="1"/>
      <c r="K1423" s="1"/>
      <c r="L1423" s="1"/>
      <c r="M1423" s="1"/>
      <c r="N1423" s="1"/>
      <c r="O1423" s="1"/>
      <c r="P1423" s="1"/>
      <c r="Q1423" s="1"/>
      <c r="R1423" s="1"/>
      <c r="S1423" s="1"/>
      <c r="T1423" s="1"/>
      <c r="U1423" s="1"/>
      <c r="V1423" s="1"/>
      <c r="W1423" s="1"/>
      <c r="X1423" s="1"/>
      <c r="Y1423" s="1"/>
      <c r="Z1423" s="1"/>
    </row>
    <row r="1424" ht="15.75" customHeight="1">
      <c r="A1424" s="2">
        <f>IFERROR(__xludf.DUMMYFUNCTION("""COMPUTED_VALUE"""),711500.0)</f>
        <v>711500</v>
      </c>
      <c r="B1424" s="2">
        <f>IFERROR(__xludf.DUMMYFUNCTION("""COMPUTED_VALUE"""),14230.0)</f>
        <v>14230</v>
      </c>
      <c r="C1424" s="66">
        <f>IFERROR(__xludf.DUMMYFUNCTION("""COMPUTED_VALUE"""),1.011753E10)</f>
        <v>10117530000</v>
      </c>
      <c r="D1424" s="1"/>
      <c r="E1424" s="1"/>
      <c r="F1424" s="1"/>
      <c r="G1424" s="1"/>
      <c r="H1424" s="1"/>
      <c r="I1424" s="1"/>
      <c r="J1424" s="1"/>
      <c r="K1424" s="1"/>
      <c r="L1424" s="1"/>
      <c r="M1424" s="1"/>
      <c r="N1424" s="1"/>
      <c r="O1424" s="1"/>
      <c r="P1424" s="1"/>
      <c r="Q1424" s="1"/>
      <c r="R1424" s="1"/>
      <c r="S1424" s="1"/>
      <c r="T1424" s="1"/>
      <c r="U1424" s="1"/>
      <c r="V1424" s="1"/>
      <c r="W1424" s="1"/>
      <c r="X1424" s="1"/>
      <c r="Y1424" s="1"/>
      <c r="Z1424" s="1"/>
    </row>
    <row r="1425" ht="15.75" customHeight="1">
      <c r="A1425" s="2">
        <f>IFERROR(__xludf.DUMMYFUNCTION("""COMPUTED_VALUE"""),712000.0)</f>
        <v>712000</v>
      </c>
      <c r="B1425" s="2">
        <f>IFERROR(__xludf.DUMMYFUNCTION("""COMPUTED_VALUE"""),14240.0)</f>
        <v>14240</v>
      </c>
      <c r="C1425" s="66">
        <f>IFERROR(__xludf.DUMMYFUNCTION("""COMPUTED_VALUE"""),1.013176E10)</f>
        <v>10131760000</v>
      </c>
      <c r="D1425" s="1"/>
      <c r="E1425" s="1"/>
      <c r="F1425" s="1"/>
      <c r="G1425" s="1"/>
      <c r="H1425" s="1"/>
      <c r="I1425" s="1"/>
      <c r="J1425" s="1"/>
      <c r="K1425" s="1"/>
      <c r="L1425" s="1"/>
      <c r="M1425" s="1"/>
      <c r="N1425" s="1"/>
      <c r="O1425" s="1"/>
      <c r="P1425" s="1"/>
      <c r="Q1425" s="1"/>
      <c r="R1425" s="1"/>
      <c r="S1425" s="1"/>
      <c r="T1425" s="1"/>
      <c r="U1425" s="1"/>
      <c r="V1425" s="1"/>
      <c r="W1425" s="1"/>
      <c r="X1425" s="1"/>
      <c r="Y1425" s="1"/>
      <c r="Z1425" s="1"/>
    </row>
    <row r="1426" ht="15.75" customHeight="1">
      <c r="A1426" s="2">
        <f>IFERROR(__xludf.DUMMYFUNCTION("""COMPUTED_VALUE"""),712500.0)</f>
        <v>712500</v>
      </c>
      <c r="B1426" s="2">
        <f>IFERROR(__xludf.DUMMYFUNCTION("""COMPUTED_VALUE"""),14250.0)</f>
        <v>14250</v>
      </c>
      <c r="C1426" s="66">
        <f>IFERROR(__xludf.DUMMYFUNCTION("""COMPUTED_VALUE"""),1.0146E10)</f>
        <v>10146000000</v>
      </c>
      <c r="D1426" s="1"/>
      <c r="E1426" s="1"/>
      <c r="F1426" s="1"/>
      <c r="G1426" s="1"/>
      <c r="H1426" s="1"/>
      <c r="I1426" s="1"/>
      <c r="J1426" s="1"/>
      <c r="K1426" s="1"/>
      <c r="L1426" s="1"/>
      <c r="M1426" s="1"/>
      <c r="N1426" s="1"/>
      <c r="O1426" s="1"/>
      <c r="P1426" s="1"/>
      <c r="Q1426" s="1"/>
      <c r="R1426" s="1"/>
      <c r="S1426" s="1"/>
      <c r="T1426" s="1"/>
      <c r="U1426" s="1"/>
      <c r="V1426" s="1"/>
      <c r="W1426" s="1"/>
      <c r="X1426" s="1"/>
      <c r="Y1426" s="1"/>
      <c r="Z1426" s="1"/>
    </row>
    <row r="1427" ht="15.75" customHeight="1">
      <c r="A1427" s="2">
        <f>IFERROR(__xludf.DUMMYFUNCTION("""COMPUTED_VALUE"""),713000.0)</f>
        <v>713000</v>
      </c>
      <c r="B1427" s="2">
        <f>IFERROR(__xludf.DUMMYFUNCTION("""COMPUTED_VALUE"""),14260.0)</f>
        <v>14260</v>
      </c>
      <c r="C1427" s="66">
        <f>IFERROR(__xludf.DUMMYFUNCTION("""COMPUTED_VALUE"""),1.016025E10)</f>
        <v>10160250000</v>
      </c>
      <c r="D1427" s="1"/>
      <c r="E1427" s="1"/>
      <c r="F1427" s="1"/>
      <c r="G1427" s="1"/>
      <c r="H1427" s="1"/>
      <c r="I1427" s="1"/>
      <c r="J1427" s="1"/>
      <c r="K1427" s="1"/>
      <c r="L1427" s="1"/>
      <c r="M1427" s="1"/>
      <c r="N1427" s="1"/>
      <c r="O1427" s="1"/>
      <c r="P1427" s="1"/>
      <c r="Q1427" s="1"/>
      <c r="R1427" s="1"/>
      <c r="S1427" s="1"/>
      <c r="T1427" s="1"/>
      <c r="U1427" s="1"/>
      <c r="V1427" s="1"/>
      <c r="W1427" s="1"/>
      <c r="X1427" s="1"/>
      <c r="Y1427" s="1"/>
      <c r="Z1427" s="1"/>
    </row>
    <row r="1428" ht="15.75" customHeight="1">
      <c r="A1428" s="2">
        <f>IFERROR(__xludf.DUMMYFUNCTION("""COMPUTED_VALUE"""),713500.0)</f>
        <v>713500</v>
      </c>
      <c r="B1428" s="2">
        <f>IFERROR(__xludf.DUMMYFUNCTION("""COMPUTED_VALUE"""),14270.0)</f>
        <v>14270</v>
      </c>
      <c r="C1428" s="66">
        <f>IFERROR(__xludf.DUMMYFUNCTION("""COMPUTED_VALUE"""),1.017451E10)</f>
        <v>10174510000</v>
      </c>
      <c r="D1428" s="1"/>
      <c r="E1428" s="1"/>
      <c r="F1428" s="1"/>
      <c r="G1428" s="1"/>
      <c r="H1428" s="1"/>
      <c r="I1428" s="1"/>
      <c r="J1428" s="1"/>
      <c r="K1428" s="1"/>
      <c r="L1428" s="1"/>
      <c r="M1428" s="1"/>
      <c r="N1428" s="1"/>
      <c r="O1428" s="1"/>
      <c r="P1428" s="1"/>
      <c r="Q1428" s="1"/>
      <c r="R1428" s="1"/>
      <c r="S1428" s="1"/>
      <c r="T1428" s="1"/>
      <c r="U1428" s="1"/>
      <c r="V1428" s="1"/>
      <c r="W1428" s="1"/>
      <c r="X1428" s="1"/>
      <c r="Y1428" s="1"/>
      <c r="Z1428" s="1"/>
    </row>
    <row r="1429" ht="15.75" customHeight="1">
      <c r="A1429" s="2">
        <f>IFERROR(__xludf.DUMMYFUNCTION("""COMPUTED_VALUE"""),714000.0)</f>
        <v>714000</v>
      </c>
      <c r="B1429" s="2">
        <f>IFERROR(__xludf.DUMMYFUNCTION("""COMPUTED_VALUE"""),14280.0)</f>
        <v>14280</v>
      </c>
      <c r="C1429" s="66">
        <f>IFERROR(__xludf.DUMMYFUNCTION("""COMPUTED_VALUE"""),1.018878E10)</f>
        <v>10188780000</v>
      </c>
      <c r="D1429" s="1"/>
      <c r="E1429" s="1"/>
      <c r="F1429" s="1"/>
      <c r="G1429" s="1"/>
      <c r="H1429" s="1"/>
      <c r="I1429" s="1"/>
      <c r="J1429" s="1"/>
      <c r="K1429" s="1"/>
      <c r="L1429" s="1"/>
      <c r="M1429" s="1"/>
      <c r="N1429" s="1"/>
      <c r="O1429" s="1"/>
      <c r="P1429" s="1"/>
      <c r="Q1429" s="1"/>
      <c r="R1429" s="1"/>
      <c r="S1429" s="1"/>
      <c r="T1429" s="1"/>
      <c r="U1429" s="1"/>
      <c r="V1429" s="1"/>
      <c r="W1429" s="1"/>
      <c r="X1429" s="1"/>
      <c r="Y1429" s="1"/>
      <c r="Z1429" s="1"/>
    </row>
    <row r="1430" ht="15.75" customHeight="1">
      <c r="A1430" s="2">
        <f>IFERROR(__xludf.DUMMYFUNCTION("""COMPUTED_VALUE"""),714500.0)</f>
        <v>714500</v>
      </c>
      <c r="B1430" s="2">
        <f>IFERROR(__xludf.DUMMYFUNCTION("""COMPUTED_VALUE"""),14290.0)</f>
        <v>14290</v>
      </c>
      <c r="C1430" s="66">
        <f>IFERROR(__xludf.DUMMYFUNCTION("""COMPUTED_VALUE"""),1.020306E10)</f>
        <v>10203060000</v>
      </c>
      <c r="D1430" s="1"/>
      <c r="E1430" s="1"/>
      <c r="F1430" s="1"/>
      <c r="G1430" s="1"/>
      <c r="H1430" s="1"/>
      <c r="I1430" s="1"/>
      <c r="J1430" s="1"/>
      <c r="K1430" s="1"/>
      <c r="L1430" s="1"/>
      <c r="M1430" s="1"/>
      <c r="N1430" s="1"/>
      <c r="O1430" s="1"/>
      <c r="P1430" s="1"/>
      <c r="Q1430" s="1"/>
      <c r="R1430" s="1"/>
      <c r="S1430" s="1"/>
      <c r="T1430" s="1"/>
      <c r="U1430" s="1"/>
      <c r="V1430" s="1"/>
      <c r="W1430" s="1"/>
      <c r="X1430" s="1"/>
      <c r="Y1430" s="1"/>
      <c r="Z1430" s="1"/>
    </row>
    <row r="1431" ht="15.75" customHeight="1">
      <c r="A1431" s="2">
        <f>IFERROR(__xludf.DUMMYFUNCTION("""COMPUTED_VALUE"""),715000.0)</f>
        <v>715000</v>
      </c>
      <c r="B1431" s="2">
        <f>IFERROR(__xludf.DUMMYFUNCTION("""COMPUTED_VALUE"""),14300.0)</f>
        <v>14300</v>
      </c>
      <c r="C1431" s="66">
        <f>IFERROR(__xludf.DUMMYFUNCTION("""COMPUTED_VALUE"""),1.021735E10)</f>
        <v>10217350000</v>
      </c>
      <c r="D1431" s="1"/>
      <c r="E1431" s="1"/>
      <c r="F1431" s="1"/>
      <c r="G1431" s="1"/>
      <c r="H1431" s="1"/>
      <c r="I1431" s="1"/>
      <c r="J1431" s="1"/>
      <c r="K1431" s="1"/>
      <c r="L1431" s="1"/>
      <c r="M1431" s="1"/>
      <c r="N1431" s="1"/>
      <c r="O1431" s="1"/>
      <c r="P1431" s="1"/>
      <c r="Q1431" s="1"/>
      <c r="R1431" s="1"/>
      <c r="S1431" s="1"/>
      <c r="T1431" s="1"/>
      <c r="U1431" s="1"/>
      <c r="V1431" s="1"/>
      <c r="W1431" s="1"/>
      <c r="X1431" s="1"/>
      <c r="Y1431" s="1"/>
      <c r="Z1431" s="1"/>
    </row>
    <row r="1432" ht="15.75" customHeight="1">
      <c r="A1432" s="2">
        <f>IFERROR(__xludf.DUMMYFUNCTION("""COMPUTED_VALUE"""),715500.0)</f>
        <v>715500</v>
      </c>
      <c r="B1432" s="2">
        <f>IFERROR(__xludf.DUMMYFUNCTION("""COMPUTED_VALUE"""),14310.0)</f>
        <v>14310</v>
      </c>
      <c r="C1432" s="66">
        <f>IFERROR(__xludf.DUMMYFUNCTION("""COMPUTED_VALUE"""),1.023165E10)</f>
        <v>10231650000</v>
      </c>
      <c r="D1432" s="1"/>
      <c r="E1432" s="1"/>
      <c r="F1432" s="1"/>
      <c r="G1432" s="1"/>
      <c r="H1432" s="1"/>
      <c r="I1432" s="1"/>
      <c r="J1432" s="1"/>
      <c r="K1432" s="1"/>
      <c r="L1432" s="1"/>
      <c r="M1432" s="1"/>
      <c r="N1432" s="1"/>
      <c r="O1432" s="1"/>
      <c r="P1432" s="1"/>
      <c r="Q1432" s="1"/>
      <c r="R1432" s="1"/>
      <c r="S1432" s="1"/>
      <c r="T1432" s="1"/>
      <c r="U1432" s="1"/>
      <c r="V1432" s="1"/>
      <c r="W1432" s="1"/>
      <c r="X1432" s="1"/>
      <c r="Y1432" s="1"/>
      <c r="Z1432" s="1"/>
    </row>
    <row r="1433" ht="15.75" customHeight="1">
      <c r="A1433" s="2">
        <f>IFERROR(__xludf.DUMMYFUNCTION("""COMPUTED_VALUE"""),716000.0)</f>
        <v>716000</v>
      </c>
      <c r="B1433" s="2">
        <f>IFERROR(__xludf.DUMMYFUNCTION("""COMPUTED_VALUE"""),14320.0)</f>
        <v>14320</v>
      </c>
      <c r="C1433" s="66">
        <f>IFERROR(__xludf.DUMMYFUNCTION("""COMPUTED_VALUE"""),1.024596E10)</f>
        <v>10245960000</v>
      </c>
      <c r="D1433" s="1"/>
      <c r="E1433" s="1"/>
      <c r="F1433" s="1"/>
      <c r="G1433" s="1"/>
      <c r="H1433" s="1"/>
      <c r="I1433" s="1"/>
      <c r="J1433" s="1"/>
      <c r="K1433" s="1"/>
      <c r="L1433" s="1"/>
      <c r="M1433" s="1"/>
      <c r="N1433" s="1"/>
      <c r="O1433" s="1"/>
      <c r="P1433" s="1"/>
      <c r="Q1433" s="1"/>
      <c r="R1433" s="1"/>
      <c r="S1433" s="1"/>
      <c r="T1433" s="1"/>
      <c r="U1433" s="1"/>
      <c r="V1433" s="1"/>
      <c r="W1433" s="1"/>
      <c r="X1433" s="1"/>
      <c r="Y1433" s="1"/>
      <c r="Z1433" s="1"/>
    </row>
    <row r="1434" ht="15.75" customHeight="1">
      <c r="A1434" s="2">
        <f>IFERROR(__xludf.DUMMYFUNCTION("""COMPUTED_VALUE"""),716500.0)</f>
        <v>716500</v>
      </c>
      <c r="B1434" s="2">
        <f>IFERROR(__xludf.DUMMYFUNCTION("""COMPUTED_VALUE"""),14330.0)</f>
        <v>14330</v>
      </c>
      <c r="C1434" s="66">
        <f>IFERROR(__xludf.DUMMYFUNCTION("""COMPUTED_VALUE"""),1.026028E10)</f>
        <v>10260280000</v>
      </c>
      <c r="D1434" s="1"/>
      <c r="E1434" s="1"/>
      <c r="F1434" s="1"/>
      <c r="G1434" s="1"/>
      <c r="H1434" s="1"/>
      <c r="I1434" s="1"/>
      <c r="J1434" s="1"/>
      <c r="K1434" s="1"/>
      <c r="L1434" s="1"/>
      <c r="M1434" s="1"/>
      <c r="N1434" s="1"/>
      <c r="O1434" s="1"/>
      <c r="P1434" s="1"/>
      <c r="Q1434" s="1"/>
      <c r="R1434" s="1"/>
      <c r="S1434" s="1"/>
      <c r="T1434" s="1"/>
      <c r="U1434" s="1"/>
      <c r="V1434" s="1"/>
      <c r="W1434" s="1"/>
      <c r="X1434" s="1"/>
      <c r="Y1434" s="1"/>
      <c r="Z1434" s="1"/>
    </row>
    <row r="1435" ht="15.75" customHeight="1">
      <c r="A1435" s="2">
        <f>IFERROR(__xludf.DUMMYFUNCTION("""COMPUTED_VALUE"""),717000.0)</f>
        <v>717000</v>
      </c>
      <c r="B1435" s="2">
        <f>IFERROR(__xludf.DUMMYFUNCTION("""COMPUTED_VALUE"""),14340.0)</f>
        <v>14340</v>
      </c>
      <c r="C1435" s="66">
        <f>IFERROR(__xludf.DUMMYFUNCTION("""COMPUTED_VALUE"""),1.027461E10)</f>
        <v>10274610000</v>
      </c>
      <c r="D1435" s="1"/>
      <c r="E1435" s="1"/>
      <c r="F1435" s="1"/>
      <c r="G1435" s="1"/>
      <c r="H1435" s="1"/>
      <c r="I1435" s="1"/>
      <c r="J1435" s="1"/>
      <c r="K1435" s="1"/>
      <c r="L1435" s="1"/>
      <c r="M1435" s="1"/>
      <c r="N1435" s="1"/>
      <c r="O1435" s="1"/>
      <c r="P1435" s="1"/>
      <c r="Q1435" s="1"/>
      <c r="R1435" s="1"/>
      <c r="S1435" s="1"/>
      <c r="T1435" s="1"/>
      <c r="U1435" s="1"/>
      <c r="V1435" s="1"/>
      <c r="W1435" s="1"/>
      <c r="X1435" s="1"/>
      <c r="Y1435" s="1"/>
      <c r="Z1435" s="1"/>
    </row>
    <row r="1436" ht="15.75" customHeight="1">
      <c r="A1436" s="2">
        <f>IFERROR(__xludf.DUMMYFUNCTION("""COMPUTED_VALUE"""),717500.0)</f>
        <v>717500</v>
      </c>
      <c r="B1436" s="2">
        <f>IFERROR(__xludf.DUMMYFUNCTION("""COMPUTED_VALUE"""),14350.0)</f>
        <v>14350</v>
      </c>
      <c r="C1436" s="66">
        <f>IFERROR(__xludf.DUMMYFUNCTION("""COMPUTED_VALUE"""),1.028895E10)</f>
        <v>10288950000</v>
      </c>
      <c r="D1436" s="1"/>
      <c r="E1436" s="1"/>
      <c r="F1436" s="1"/>
      <c r="G1436" s="1"/>
      <c r="H1436" s="1"/>
      <c r="I1436" s="1"/>
      <c r="J1436" s="1"/>
      <c r="K1436" s="1"/>
      <c r="L1436" s="1"/>
      <c r="M1436" s="1"/>
      <c r="N1436" s="1"/>
      <c r="O1436" s="1"/>
      <c r="P1436" s="1"/>
      <c r="Q1436" s="1"/>
      <c r="R1436" s="1"/>
      <c r="S1436" s="1"/>
      <c r="T1436" s="1"/>
      <c r="U1436" s="1"/>
      <c r="V1436" s="1"/>
      <c r="W1436" s="1"/>
      <c r="X1436" s="1"/>
      <c r="Y1436" s="1"/>
      <c r="Z1436" s="1"/>
    </row>
    <row r="1437" ht="15.75" customHeight="1">
      <c r="A1437" s="2">
        <f>IFERROR(__xludf.DUMMYFUNCTION("""COMPUTED_VALUE"""),718000.0)</f>
        <v>718000</v>
      </c>
      <c r="B1437" s="2">
        <f>IFERROR(__xludf.DUMMYFUNCTION("""COMPUTED_VALUE"""),14360.0)</f>
        <v>14360</v>
      </c>
      <c r="C1437" s="66">
        <f>IFERROR(__xludf.DUMMYFUNCTION("""COMPUTED_VALUE"""),1.03033E10)</f>
        <v>10303300000</v>
      </c>
      <c r="D1437" s="1"/>
      <c r="E1437" s="1"/>
      <c r="F1437" s="1"/>
      <c r="G1437" s="1"/>
      <c r="H1437" s="1"/>
      <c r="I1437" s="1"/>
      <c r="J1437" s="1"/>
      <c r="K1437" s="1"/>
      <c r="L1437" s="1"/>
      <c r="M1437" s="1"/>
      <c r="N1437" s="1"/>
      <c r="O1437" s="1"/>
      <c r="P1437" s="1"/>
      <c r="Q1437" s="1"/>
      <c r="R1437" s="1"/>
      <c r="S1437" s="1"/>
      <c r="T1437" s="1"/>
      <c r="U1437" s="1"/>
      <c r="V1437" s="1"/>
      <c r="W1437" s="1"/>
      <c r="X1437" s="1"/>
      <c r="Y1437" s="1"/>
      <c r="Z1437" s="1"/>
    </row>
    <row r="1438" ht="15.75" customHeight="1">
      <c r="A1438" s="2">
        <f>IFERROR(__xludf.DUMMYFUNCTION("""COMPUTED_VALUE"""),718500.0)</f>
        <v>718500</v>
      </c>
      <c r="B1438" s="2">
        <f>IFERROR(__xludf.DUMMYFUNCTION("""COMPUTED_VALUE"""),14370.0)</f>
        <v>14370</v>
      </c>
      <c r="C1438" s="66">
        <f>IFERROR(__xludf.DUMMYFUNCTION("""COMPUTED_VALUE"""),1.031766E10)</f>
        <v>10317660000</v>
      </c>
      <c r="D1438" s="1"/>
      <c r="E1438" s="1"/>
      <c r="F1438" s="1"/>
      <c r="G1438" s="1"/>
      <c r="H1438" s="1"/>
      <c r="I1438" s="1"/>
      <c r="J1438" s="1"/>
      <c r="K1438" s="1"/>
      <c r="L1438" s="1"/>
      <c r="M1438" s="1"/>
      <c r="N1438" s="1"/>
      <c r="O1438" s="1"/>
      <c r="P1438" s="1"/>
      <c r="Q1438" s="1"/>
      <c r="R1438" s="1"/>
      <c r="S1438" s="1"/>
      <c r="T1438" s="1"/>
      <c r="U1438" s="1"/>
      <c r="V1438" s="1"/>
      <c r="W1438" s="1"/>
      <c r="X1438" s="1"/>
      <c r="Y1438" s="1"/>
      <c r="Z1438" s="1"/>
    </row>
    <row r="1439" ht="15.75" customHeight="1">
      <c r="A1439" s="2">
        <f>IFERROR(__xludf.DUMMYFUNCTION("""COMPUTED_VALUE"""),719000.0)</f>
        <v>719000</v>
      </c>
      <c r="B1439" s="2">
        <f>IFERROR(__xludf.DUMMYFUNCTION("""COMPUTED_VALUE"""),14380.0)</f>
        <v>14380</v>
      </c>
      <c r="C1439" s="66">
        <f>IFERROR(__xludf.DUMMYFUNCTION("""COMPUTED_VALUE"""),1.033203E10)</f>
        <v>10332030000</v>
      </c>
      <c r="D1439" s="1"/>
      <c r="E1439" s="1"/>
      <c r="F1439" s="1"/>
      <c r="G1439" s="1"/>
      <c r="H1439" s="1"/>
      <c r="I1439" s="1"/>
      <c r="J1439" s="1"/>
      <c r="K1439" s="1"/>
      <c r="L1439" s="1"/>
      <c r="M1439" s="1"/>
      <c r="N1439" s="1"/>
      <c r="O1439" s="1"/>
      <c r="P1439" s="1"/>
      <c r="Q1439" s="1"/>
      <c r="R1439" s="1"/>
      <c r="S1439" s="1"/>
      <c r="T1439" s="1"/>
      <c r="U1439" s="1"/>
      <c r="V1439" s="1"/>
      <c r="W1439" s="1"/>
      <c r="X1439" s="1"/>
      <c r="Y1439" s="1"/>
      <c r="Z1439" s="1"/>
    </row>
    <row r="1440" ht="15.75" customHeight="1">
      <c r="A1440" s="2">
        <f>IFERROR(__xludf.DUMMYFUNCTION("""COMPUTED_VALUE"""),719500.0)</f>
        <v>719500</v>
      </c>
      <c r="B1440" s="2">
        <f>IFERROR(__xludf.DUMMYFUNCTION("""COMPUTED_VALUE"""),14390.0)</f>
        <v>14390</v>
      </c>
      <c r="C1440" s="66">
        <f>IFERROR(__xludf.DUMMYFUNCTION("""COMPUTED_VALUE"""),1.034641E10)</f>
        <v>10346410000</v>
      </c>
      <c r="D1440" s="1"/>
      <c r="E1440" s="1"/>
      <c r="F1440" s="1"/>
      <c r="G1440" s="1"/>
      <c r="H1440" s="1"/>
      <c r="I1440" s="1"/>
      <c r="J1440" s="1"/>
      <c r="K1440" s="1"/>
      <c r="L1440" s="1"/>
      <c r="M1440" s="1"/>
      <c r="N1440" s="1"/>
      <c r="O1440" s="1"/>
      <c r="P1440" s="1"/>
      <c r="Q1440" s="1"/>
      <c r="R1440" s="1"/>
      <c r="S1440" s="1"/>
      <c r="T1440" s="1"/>
      <c r="U1440" s="1"/>
      <c r="V1440" s="1"/>
      <c r="W1440" s="1"/>
      <c r="X1440" s="1"/>
      <c r="Y1440" s="1"/>
      <c r="Z1440" s="1"/>
    </row>
    <row r="1441" ht="15.75" customHeight="1">
      <c r="A1441" s="2">
        <f>IFERROR(__xludf.DUMMYFUNCTION("""COMPUTED_VALUE"""),720000.0)</f>
        <v>720000</v>
      </c>
      <c r="B1441" s="2">
        <f>IFERROR(__xludf.DUMMYFUNCTION("""COMPUTED_VALUE"""),14400.0)</f>
        <v>14400</v>
      </c>
      <c r="C1441" s="66">
        <f>IFERROR(__xludf.DUMMYFUNCTION("""COMPUTED_VALUE"""),1.03608E10)</f>
        <v>10360800000</v>
      </c>
      <c r="D1441" s="1"/>
      <c r="E1441" s="1"/>
      <c r="F1441" s="1"/>
      <c r="G1441" s="1"/>
      <c r="H1441" s="1"/>
      <c r="I1441" s="1"/>
      <c r="J1441" s="1"/>
      <c r="K1441" s="1"/>
      <c r="L1441" s="1"/>
      <c r="M1441" s="1"/>
      <c r="N1441" s="1"/>
      <c r="O1441" s="1"/>
      <c r="P1441" s="1"/>
      <c r="Q1441" s="1"/>
      <c r="R1441" s="1"/>
      <c r="S1441" s="1"/>
      <c r="T1441" s="1"/>
      <c r="U1441" s="1"/>
      <c r="V1441" s="1"/>
      <c r="W1441" s="1"/>
      <c r="X1441" s="1"/>
      <c r="Y1441" s="1"/>
      <c r="Z1441" s="1"/>
    </row>
    <row r="1442" ht="15.75" customHeight="1">
      <c r="A1442" s="2">
        <f>IFERROR(__xludf.DUMMYFUNCTION("""COMPUTED_VALUE"""),720500.0)</f>
        <v>720500</v>
      </c>
      <c r="B1442" s="2">
        <f>IFERROR(__xludf.DUMMYFUNCTION("""COMPUTED_VALUE"""),14410.0)</f>
        <v>14410</v>
      </c>
      <c r="C1442" s="66">
        <f>IFERROR(__xludf.DUMMYFUNCTION("""COMPUTED_VALUE"""),1.03752E10)</f>
        <v>10375200000</v>
      </c>
      <c r="D1442" s="1"/>
      <c r="E1442" s="1"/>
      <c r="F1442" s="1"/>
      <c r="G1442" s="1"/>
      <c r="H1442" s="1"/>
      <c r="I1442" s="1"/>
      <c r="J1442" s="1"/>
      <c r="K1442" s="1"/>
      <c r="L1442" s="1"/>
      <c r="M1442" s="1"/>
      <c r="N1442" s="1"/>
      <c r="O1442" s="1"/>
      <c r="P1442" s="1"/>
      <c r="Q1442" s="1"/>
      <c r="R1442" s="1"/>
      <c r="S1442" s="1"/>
      <c r="T1442" s="1"/>
      <c r="U1442" s="1"/>
      <c r="V1442" s="1"/>
      <c r="W1442" s="1"/>
      <c r="X1442" s="1"/>
      <c r="Y1442" s="1"/>
      <c r="Z1442" s="1"/>
    </row>
    <row r="1443" ht="15.75" customHeight="1">
      <c r="A1443" s="2">
        <f>IFERROR(__xludf.DUMMYFUNCTION("""COMPUTED_VALUE"""),721000.0)</f>
        <v>721000</v>
      </c>
      <c r="B1443" s="2">
        <f>IFERROR(__xludf.DUMMYFUNCTION("""COMPUTED_VALUE"""),14420.0)</f>
        <v>14420</v>
      </c>
      <c r="C1443" s="66">
        <f>IFERROR(__xludf.DUMMYFUNCTION("""COMPUTED_VALUE"""),1.038961E10)</f>
        <v>10389610000</v>
      </c>
      <c r="D1443" s="1"/>
      <c r="E1443" s="1"/>
      <c r="F1443" s="1"/>
      <c r="G1443" s="1"/>
      <c r="H1443" s="1"/>
      <c r="I1443" s="1"/>
      <c r="J1443" s="1"/>
      <c r="K1443" s="1"/>
      <c r="L1443" s="1"/>
      <c r="M1443" s="1"/>
      <c r="N1443" s="1"/>
      <c r="O1443" s="1"/>
      <c r="P1443" s="1"/>
      <c r="Q1443" s="1"/>
      <c r="R1443" s="1"/>
      <c r="S1443" s="1"/>
      <c r="T1443" s="1"/>
      <c r="U1443" s="1"/>
      <c r="V1443" s="1"/>
      <c r="W1443" s="1"/>
      <c r="X1443" s="1"/>
      <c r="Y1443" s="1"/>
      <c r="Z1443" s="1"/>
    </row>
    <row r="1444" ht="15.75" customHeight="1">
      <c r="A1444" s="2">
        <f>IFERROR(__xludf.DUMMYFUNCTION("""COMPUTED_VALUE"""),721500.0)</f>
        <v>721500</v>
      </c>
      <c r="B1444" s="2">
        <f>IFERROR(__xludf.DUMMYFUNCTION("""COMPUTED_VALUE"""),14430.0)</f>
        <v>14430</v>
      </c>
      <c r="C1444" s="66">
        <f>IFERROR(__xludf.DUMMYFUNCTION("""COMPUTED_VALUE"""),1.040403E10)</f>
        <v>10404030000</v>
      </c>
      <c r="D1444" s="1"/>
      <c r="E1444" s="1"/>
      <c r="F1444" s="1"/>
      <c r="G1444" s="1"/>
      <c r="H1444" s="1"/>
      <c r="I1444" s="1"/>
      <c r="J1444" s="1"/>
      <c r="K1444" s="1"/>
      <c r="L1444" s="1"/>
      <c r="M1444" s="1"/>
      <c r="N1444" s="1"/>
      <c r="O1444" s="1"/>
      <c r="P1444" s="1"/>
      <c r="Q1444" s="1"/>
      <c r="R1444" s="1"/>
      <c r="S1444" s="1"/>
      <c r="T1444" s="1"/>
      <c r="U1444" s="1"/>
      <c r="V1444" s="1"/>
      <c r="W1444" s="1"/>
      <c r="X1444" s="1"/>
      <c r="Y1444" s="1"/>
      <c r="Z1444" s="1"/>
    </row>
    <row r="1445" ht="15.75" customHeight="1">
      <c r="A1445" s="2">
        <f>IFERROR(__xludf.DUMMYFUNCTION("""COMPUTED_VALUE"""),722000.0)</f>
        <v>722000</v>
      </c>
      <c r="B1445" s="2">
        <f>IFERROR(__xludf.DUMMYFUNCTION("""COMPUTED_VALUE"""),14440.0)</f>
        <v>14440</v>
      </c>
      <c r="C1445" s="66">
        <f>IFERROR(__xludf.DUMMYFUNCTION("""COMPUTED_VALUE"""),1.041846E10)</f>
        <v>10418460000</v>
      </c>
      <c r="D1445" s="1"/>
      <c r="E1445" s="1"/>
      <c r="F1445" s="1"/>
      <c r="G1445" s="1"/>
      <c r="H1445" s="1"/>
      <c r="I1445" s="1"/>
      <c r="J1445" s="1"/>
      <c r="K1445" s="1"/>
      <c r="L1445" s="1"/>
      <c r="M1445" s="1"/>
      <c r="N1445" s="1"/>
      <c r="O1445" s="1"/>
      <c r="P1445" s="1"/>
      <c r="Q1445" s="1"/>
      <c r="R1445" s="1"/>
      <c r="S1445" s="1"/>
      <c r="T1445" s="1"/>
      <c r="U1445" s="1"/>
      <c r="V1445" s="1"/>
      <c r="W1445" s="1"/>
      <c r="X1445" s="1"/>
      <c r="Y1445" s="1"/>
      <c r="Z1445" s="1"/>
    </row>
    <row r="1446" ht="15.75" customHeight="1">
      <c r="A1446" s="2">
        <f>IFERROR(__xludf.DUMMYFUNCTION("""COMPUTED_VALUE"""),722500.0)</f>
        <v>722500</v>
      </c>
      <c r="B1446" s="2">
        <f>IFERROR(__xludf.DUMMYFUNCTION("""COMPUTED_VALUE"""),14450.0)</f>
        <v>14450</v>
      </c>
      <c r="C1446" s="66">
        <f>IFERROR(__xludf.DUMMYFUNCTION("""COMPUTED_VALUE"""),1.04329E10)</f>
        <v>10432900000</v>
      </c>
      <c r="D1446" s="1"/>
      <c r="E1446" s="1"/>
      <c r="F1446" s="1"/>
      <c r="G1446" s="1"/>
      <c r="H1446" s="1"/>
      <c r="I1446" s="1"/>
      <c r="J1446" s="1"/>
      <c r="K1446" s="1"/>
      <c r="L1446" s="1"/>
      <c r="M1446" s="1"/>
      <c r="N1446" s="1"/>
      <c r="O1446" s="1"/>
      <c r="P1446" s="1"/>
      <c r="Q1446" s="1"/>
      <c r="R1446" s="1"/>
      <c r="S1446" s="1"/>
      <c r="T1446" s="1"/>
      <c r="U1446" s="1"/>
      <c r="V1446" s="1"/>
      <c r="W1446" s="1"/>
      <c r="X1446" s="1"/>
      <c r="Y1446" s="1"/>
      <c r="Z1446" s="1"/>
    </row>
    <row r="1447" ht="15.75" customHeight="1">
      <c r="A1447" s="2">
        <f>IFERROR(__xludf.DUMMYFUNCTION("""COMPUTED_VALUE"""),723000.0)</f>
        <v>723000</v>
      </c>
      <c r="B1447" s="2">
        <f>IFERROR(__xludf.DUMMYFUNCTION("""COMPUTED_VALUE"""),14460.0)</f>
        <v>14460</v>
      </c>
      <c r="C1447" s="66">
        <f>IFERROR(__xludf.DUMMYFUNCTION("""COMPUTED_VALUE"""),1.044735E10)</f>
        <v>10447350000</v>
      </c>
      <c r="D1447" s="1"/>
      <c r="E1447" s="1"/>
      <c r="F1447" s="1"/>
      <c r="G1447" s="1"/>
      <c r="H1447" s="1"/>
      <c r="I1447" s="1"/>
      <c r="J1447" s="1"/>
      <c r="K1447" s="1"/>
      <c r="L1447" s="1"/>
      <c r="M1447" s="1"/>
      <c r="N1447" s="1"/>
      <c r="O1447" s="1"/>
      <c r="P1447" s="1"/>
      <c r="Q1447" s="1"/>
      <c r="R1447" s="1"/>
      <c r="S1447" s="1"/>
      <c r="T1447" s="1"/>
      <c r="U1447" s="1"/>
      <c r="V1447" s="1"/>
      <c r="W1447" s="1"/>
      <c r="X1447" s="1"/>
      <c r="Y1447" s="1"/>
      <c r="Z1447" s="1"/>
    </row>
    <row r="1448" ht="15.75" customHeight="1">
      <c r="A1448" s="2">
        <f>IFERROR(__xludf.DUMMYFUNCTION("""COMPUTED_VALUE"""),723500.0)</f>
        <v>723500</v>
      </c>
      <c r="B1448" s="2">
        <f>IFERROR(__xludf.DUMMYFUNCTION("""COMPUTED_VALUE"""),14470.0)</f>
        <v>14470</v>
      </c>
      <c r="C1448" s="66">
        <f>IFERROR(__xludf.DUMMYFUNCTION("""COMPUTED_VALUE"""),1.046181E10)</f>
        <v>10461810000</v>
      </c>
      <c r="D1448" s="1"/>
      <c r="E1448" s="1"/>
      <c r="F1448" s="1"/>
      <c r="G1448" s="1"/>
      <c r="H1448" s="1"/>
      <c r="I1448" s="1"/>
      <c r="J1448" s="1"/>
      <c r="K1448" s="1"/>
      <c r="L1448" s="1"/>
      <c r="M1448" s="1"/>
      <c r="N1448" s="1"/>
      <c r="O1448" s="1"/>
      <c r="P1448" s="1"/>
      <c r="Q1448" s="1"/>
      <c r="R1448" s="1"/>
      <c r="S1448" s="1"/>
      <c r="T1448" s="1"/>
      <c r="U1448" s="1"/>
      <c r="V1448" s="1"/>
      <c r="W1448" s="1"/>
      <c r="X1448" s="1"/>
      <c r="Y1448" s="1"/>
      <c r="Z1448" s="1"/>
    </row>
    <row r="1449" ht="15.75" customHeight="1">
      <c r="A1449" s="2">
        <f>IFERROR(__xludf.DUMMYFUNCTION("""COMPUTED_VALUE"""),724000.0)</f>
        <v>724000</v>
      </c>
      <c r="B1449" s="2">
        <f>IFERROR(__xludf.DUMMYFUNCTION("""COMPUTED_VALUE"""),14480.0)</f>
        <v>14480</v>
      </c>
      <c r="C1449" s="66">
        <f>IFERROR(__xludf.DUMMYFUNCTION("""COMPUTED_VALUE"""),1.047628E10)</f>
        <v>10476280000</v>
      </c>
      <c r="D1449" s="1"/>
      <c r="E1449" s="1"/>
      <c r="F1449" s="1"/>
      <c r="G1449" s="1"/>
      <c r="H1449" s="1"/>
      <c r="I1449" s="1"/>
      <c r="J1449" s="1"/>
      <c r="K1449" s="1"/>
      <c r="L1449" s="1"/>
      <c r="M1449" s="1"/>
      <c r="N1449" s="1"/>
      <c r="O1449" s="1"/>
      <c r="P1449" s="1"/>
      <c r="Q1449" s="1"/>
      <c r="R1449" s="1"/>
      <c r="S1449" s="1"/>
      <c r="T1449" s="1"/>
      <c r="U1449" s="1"/>
      <c r="V1449" s="1"/>
      <c r="W1449" s="1"/>
      <c r="X1449" s="1"/>
      <c r="Y1449" s="1"/>
      <c r="Z1449" s="1"/>
    </row>
    <row r="1450" ht="15.75" customHeight="1">
      <c r="A1450" s="2">
        <f>IFERROR(__xludf.DUMMYFUNCTION("""COMPUTED_VALUE"""),724500.0)</f>
        <v>724500</v>
      </c>
      <c r="B1450" s="2">
        <f>IFERROR(__xludf.DUMMYFUNCTION("""COMPUTED_VALUE"""),14490.0)</f>
        <v>14490</v>
      </c>
      <c r="C1450" s="66">
        <f>IFERROR(__xludf.DUMMYFUNCTION("""COMPUTED_VALUE"""),1.049076E10)</f>
        <v>10490760000</v>
      </c>
      <c r="D1450" s="1"/>
      <c r="E1450" s="1"/>
      <c r="F1450" s="1"/>
      <c r="G1450" s="1"/>
      <c r="H1450" s="1"/>
      <c r="I1450" s="1"/>
      <c r="J1450" s="1"/>
      <c r="K1450" s="1"/>
      <c r="L1450" s="1"/>
      <c r="M1450" s="1"/>
      <c r="N1450" s="1"/>
      <c r="O1450" s="1"/>
      <c r="P1450" s="1"/>
      <c r="Q1450" s="1"/>
      <c r="R1450" s="1"/>
      <c r="S1450" s="1"/>
      <c r="T1450" s="1"/>
      <c r="U1450" s="1"/>
      <c r="V1450" s="1"/>
      <c r="W1450" s="1"/>
      <c r="X1450" s="1"/>
      <c r="Y1450" s="1"/>
      <c r="Z1450" s="1"/>
    </row>
    <row r="1451" ht="15.75" customHeight="1">
      <c r="A1451" s="2">
        <f>IFERROR(__xludf.DUMMYFUNCTION("""COMPUTED_VALUE"""),725000.0)</f>
        <v>725000</v>
      </c>
      <c r="B1451" s="2">
        <f>IFERROR(__xludf.DUMMYFUNCTION("""COMPUTED_VALUE"""),14500.0)</f>
        <v>14500</v>
      </c>
      <c r="C1451" s="66">
        <f>IFERROR(__xludf.DUMMYFUNCTION("""COMPUTED_VALUE"""),1.050525E10)</f>
        <v>10505250000</v>
      </c>
      <c r="D1451" s="1"/>
      <c r="E1451" s="1"/>
      <c r="F1451" s="1"/>
      <c r="G1451" s="1"/>
      <c r="H1451" s="1"/>
      <c r="I1451" s="1"/>
      <c r="J1451" s="1"/>
      <c r="K1451" s="1"/>
      <c r="L1451" s="1"/>
      <c r="M1451" s="1"/>
      <c r="N1451" s="1"/>
      <c r="O1451" s="1"/>
      <c r="P1451" s="1"/>
      <c r="Q1451" s="1"/>
      <c r="R1451" s="1"/>
      <c r="S1451" s="1"/>
      <c r="T1451" s="1"/>
      <c r="U1451" s="1"/>
      <c r="V1451" s="1"/>
      <c r="W1451" s="1"/>
      <c r="X1451" s="1"/>
      <c r="Y1451" s="1"/>
      <c r="Z1451" s="1"/>
    </row>
    <row r="1452" ht="15.75" customHeight="1">
      <c r="A1452" s="2">
        <f>IFERROR(__xludf.DUMMYFUNCTION("""COMPUTED_VALUE"""),725500.0)</f>
        <v>725500</v>
      </c>
      <c r="B1452" s="2">
        <f>IFERROR(__xludf.DUMMYFUNCTION("""COMPUTED_VALUE"""),14510.0)</f>
        <v>14510</v>
      </c>
      <c r="C1452" s="66">
        <f>IFERROR(__xludf.DUMMYFUNCTION("""COMPUTED_VALUE"""),1.051975E10)</f>
        <v>10519750000</v>
      </c>
      <c r="D1452" s="1"/>
      <c r="E1452" s="1"/>
      <c r="F1452" s="1"/>
      <c r="G1452" s="1"/>
      <c r="H1452" s="1"/>
      <c r="I1452" s="1"/>
      <c r="J1452" s="1"/>
      <c r="K1452" s="1"/>
      <c r="L1452" s="1"/>
      <c r="M1452" s="1"/>
      <c r="N1452" s="1"/>
      <c r="O1452" s="1"/>
      <c r="P1452" s="1"/>
      <c r="Q1452" s="1"/>
      <c r="R1452" s="1"/>
      <c r="S1452" s="1"/>
      <c r="T1452" s="1"/>
      <c r="U1452" s="1"/>
      <c r="V1452" s="1"/>
      <c r="W1452" s="1"/>
      <c r="X1452" s="1"/>
      <c r="Y1452" s="1"/>
      <c r="Z1452" s="1"/>
    </row>
    <row r="1453" ht="15.75" customHeight="1">
      <c r="A1453" s="2">
        <f>IFERROR(__xludf.DUMMYFUNCTION("""COMPUTED_VALUE"""),726000.0)</f>
        <v>726000</v>
      </c>
      <c r="B1453" s="2">
        <f>IFERROR(__xludf.DUMMYFUNCTION("""COMPUTED_VALUE"""),14520.0)</f>
        <v>14520</v>
      </c>
      <c r="C1453" s="66">
        <f>IFERROR(__xludf.DUMMYFUNCTION("""COMPUTED_VALUE"""),1.053426E10)</f>
        <v>10534260000</v>
      </c>
      <c r="D1453" s="1"/>
      <c r="E1453" s="1"/>
      <c r="F1453" s="1"/>
      <c r="G1453" s="1"/>
      <c r="H1453" s="1"/>
      <c r="I1453" s="1"/>
      <c r="J1453" s="1"/>
      <c r="K1453" s="1"/>
      <c r="L1453" s="1"/>
      <c r="M1453" s="1"/>
      <c r="N1453" s="1"/>
      <c r="O1453" s="1"/>
      <c r="P1453" s="1"/>
      <c r="Q1453" s="1"/>
      <c r="R1453" s="1"/>
      <c r="S1453" s="1"/>
      <c r="T1453" s="1"/>
      <c r="U1453" s="1"/>
      <c r="V1453" s="1"/>
      <c r="W1453" s="1"/>
      <c r="X1453" s="1"/>
      <c r="Y1453" s="1"/>
      <c r="Z1453" s="1"/>
    </row>
    <row r="1454" ht="15.75" customHeight="1">
      <c r="A1454" s="2">
        <f>IFERROR(__xludf.DUMMYFUNCTION("""COMPUTED_VALUE"""),726500.0)</f>
        <v>726500</v>
      </c>
      <c r="B1454" s="2">
        <f>IFERROR(__xludf.DUMMYFUNCTION("""COMPUTED_VALUE"""),14530.0)</f>
        <v>14530</v>
      </c>
      <c r="C1454" s="66">
        <f>IFERROR(__xludf.DUMMYFUNCTION("""COMPUTED_VALUE"""),1.054878E10)</f>
        <v>10548780000</v>
      </c>
      <c r="D1454" s="1"/>
      <c r="E1454" s="1"/>
      <c r="F1454" s="1"/>
      <c r="G1454" s="1"/>
      <c r="H1454" s="1"/>
      <c r="I1454" s="1"/>
      <c r="J1454" s="1"/>
      <c r="K1454" s="1"/>
      <c r="L1454" s="1"/>
      <c r="M1454" s="1"/>
      <c r="N1454" s="1"/>
      <c r="O1454" s="1"/>
      <c r="P1454" s="1"/>
      <c r="Q1454" s="1"/>
      <c r="R1454" s="1"/>
      <c r="S1454" s="1"/>
      <c r="T1454" s="1"/>
      <c r="U1454" s="1"/>
      <c r="V1454" s="1"/>
      <c r="W1454" s="1"/>
      <c r="X1454" s="1"/>
      <c r="Y1454" s="1"/>
      <c r="Z1454" s="1"/>
    </row>
    <row r="1455" ht="15.75" customHeight="1">
      <c r="A1455" s="2">
        <f>IFERROR(__xludf.DUMMYFUNCTION("""COMPUTED_VALUE"""),727000.0)</f>
        <v>727000</v>
      </c>
      <c r="B1455" s="2">
        <f>IFERROR(__xludf.DUMMYFUNCTION("""COMPUTED_VALUE"""),14540.0)</f>
        <v>14540</v>
      </c>
      <c r="C1455" s="66">
        <f>IFERROR(__xludf.DUMMYFUNCTION("""COMPUTED_VALUE"""),1.056331E10)</f>
        <v>10563310000</v>
      </c>
      <c r="D1455" s="1"/>
      <c r="E1455" s="1"/>
      <c r="F1455" s="1"/>
      <c r="G1455" s="1"/>
      <c r="H1455" s="1"/>
      <c r="I1455" s="1"/>
      <c r="J1455" s="1"/>
      <c r="K1455" s="1"/>
      <c r="L1455" s="1"/>
      <c r="M1455" s="1"/>
      <c r="N1455" s="1"/>
      <c r="O1455" s="1"/>
      <c r="P1455" s="1"/>
      <c r="Q1455" s="1"/>
      <c r="R1455" s="1"/>
      <c r="S1455" s="1"/>
      <c r="T1455" s="1"/>
      <c r="U1455" s="1"/>
      <c r="V1455" s="1"/>
      <c r="W1455" s="1"/>
      <c r="X1455" s="1"/>
      <c r="Y1455" s="1"/>
      <c r="Z1455" s="1"/>
    </row>
    <row r="1456" ht="15.75" customHeight="1">
      <c r="A1456" s="2">
        <f>IFERROR(__xludf.DUMMYFUNCTION("""COMPUTED_VALUE"""),727500.0)</f>
        <v>727500</v>
      </c>
      <c r="B1456" s="2">
        <f>IFERROR(__xludf.DUMMYFUNCTION("""COMPUTED_VALUE"""),14550.0)</f>
        <v>14550</v>
      </c>
      <c r="C1456" s="66">
        <f>IFERROR(__xludf.DUMMYFUNCTION("""COMPUTED_VALUE"""),1.057785E10)</f>
        <v>10577850000</v>
      </c>
      <c r="D1456" s="1"/>
      <c r="E1456" s="1"/>
      <c r="F1456" s="1"/>
      <c r="G1456" s="1"/>
      <c r="H1456" s="1"/>
      <c r="I1456" s="1"/>
      <c r="J1456" s="1"/>
      <c r="K1456" s="1"/>
      <c r="L1456" s="1"/>
      <c r="M1456" s="1"/>
      <c r="N1456" s="1"/>
      <c r="O1456" s="1"/>
      <c r="P1456" s="1"/>
      <c r="Q1456" s="1"/>
      <c r="R1456" s="1"/>
      <c r="S1456" s="1"/>
      <c r="T1456" s="1"/>
      <c r="U1456" s="1"/>
      <c r="V1456" s="1"/>
      <c r="W1456" s="1"/>
      <c r="X1456" s="1"/>
      <c r="Y1456" s="1"/>
      <c r="Z1456" s="1"/>
    </row>
    <row r="1457" ht="15.75" customHeight="1">
      <c r="A1457" s="2">
        <f>IFERROR(__xludf.DUMMYFUNCTION("""COMPUTED_VALUE"""),728000.0)</f>
        <v>728000</v>
      </c>
      <c r="B1457" s="2">
        <f>IFERROR(__xludf.DUMMYFUNCTION("""COMPUTED_VALUE"""),14560.0)</f>
        <v>14560</v>
      </c>
      <c r="C1457" s="66">
        <f>IFERROR(__xludf.DUMMYFUNCTION("""COMPUTED_VALUE"""),1.05924E10)</f>
        <v>10592400000</v>
      </c>
      <c r="D1457" s="1"/>
      <c r="E1457" s="1"/>
      <c r="F1457" s="1"/>
      <c r="G1457" s="1"/>
      <c r="H1457" s="1"/>
      <c r="I1457" s="1"/>
      <c r="J1457" s="1"/>
      <c r="K1457" s="1"/>
      <c r="L1457" s="1"/>
      <c r="M1457" s="1"/>
      <c r="N1457" s="1"/>
      <c r="O1457" s="1"/>
      <c r="P1457" s="1"/>
      <c r="Q1457" s="1"/>
      <c r="R1457" s="1"/>
      <c r="S1457" s="1"/>
      <c r="T1457" s="1"/>
      <c r="U1457" s="1"/>
      <c r="V1457" s="1"/>
      <c r="W1457" s="1"/>
      <c r="X1457" s="1"/>
      <c r="Y1457" s="1"/>
      <c r="Z1457" s="1"/>
    </row>
    <row r="1458" ht="15.75" customHeight="1">
      <c r="A1458" s="2">
        <f>IFERROR(__xludf.DUMMYFUNCTION("""COMPUTED_VALUE"""),728500.0)</f>
        <v>728500</v>
      </c>
      <c r="B1458" s="2">
        <f>IFERROR(__xludf.DUMMYFUNCTION("""COMPUTED_VALUE"""),14570.0)</f>
        <v>14570</v>
      </c>
      <c r="C1458" s="66">
        <f>IFERROR(__xludf.DUMMYFUNCTION("""COMPUTED_VALUE"""),1.060696E10)</f>
        <v>10606960000</v>
      </c>
      <c r="D1458" s="1"/>
      <c r="E1458" s="1"/>
      <c r="F1458" s="1"/>
      <c r="G1458" s="1"/>
      <c r="H1458" s="1"/>
      <c r="I1458" s="1"/>
      <c r="J1458" s="1"/>
      <c r="K1458" s="1"/>
      <c r="L1458" s="1"/>
      <c r="M1458" s="1"/>
      <c r="N1458" s="1"/>
      <c r="O1458" s="1"/>
      <c r="P1458" s="1"/>
      <c r="Q1458" s="1"/>
      <c r="R1458" s="1"/>
      <c r="S1458" s="1"/>
      <c r="T1458" s="1"/>
      <c r="U1458" s="1"/>
      <c r="V1458" s="1"/>
      <c r="W1458" s="1"/>
      <c r="X1458" s="1"/>
      <c r="Y1458" s="1"/>
      <c r="Z1458" s="1"/>
    </row>
    <row r="1459" ht="15.75" customHeight="1">
      <c r="A1459" s="2">
        <f>IFERROR(__xludf.DUMMYFUNCTION("""COMPUTED_VALUE"""),729000.0)</f>
        <v>729000</v>
      </c>
      <c r="B1459" s="2">
        <f>IFERROR(__xludf.DUMMYFUNCTION("""COMPUTED_VALUE"""),14580.0)</f>
        <v>14580</v>
      </c>
      <c r="C1459" s="66">
        <f>IFERROR(__xludf.DUMMYFUNCTION("""COMPUTED_VALUE"""),1.062153E10)</f>
        <v>10621530000</v>
      </c>
      <c r="D1459" s="1"/>
      <c r="E1459" s="1"/>
      <c r="F1459" s="1"/>
      <c r="G1459" s="1"/>
      <c r="H1459" s="1"/>
      <c r="I1459" s="1"/>
      <c r="J1459" s="1"/>
      <c r="K1459" s="1"/>
      <c r="L1459" s="1"/>
      <c r="M1459" s="1"/>
      <c r="N1459" s="1"/>
      <c r="O1459" s="1"/>
      <c r="P1459" s="1"/>
      <c r="Q1459" s="1"/>
      <c r="R1459" s="1"/>
      <c r="S1459" s="1"/>
      <c r="T1459" s="1"/>
      <c r="U1459" s="1"/>
      <c r="V1459" s="1"/>
      <c r="W1459" s="1"/>
      <c r="X1459" s="1"/>
      <c r="Y1459" s="1"/>
      <c r="Z1459" s="1"/>
    </row>
    <row r="1460" ht="15.75" customHeight="1">
      <c r="A1460" s="2">
        <f>IFERROR(__xludf.DUMMYFUNCTION("""COMPUTED_VALUE"""),729500.0)</f>
        <v>729500</v>
      </c>
      <c r="B1460" s="2">
        <f>IFERROR(__xludf.DUMMYFUNCTION("""COMPUTED_VALUE"""),14590.0)</f>
        <v>14590</v>
      </c>
      <c r="C1460" s="66">
        <f>IFERROR(__xludf.DUMMYFUNCTION("""COMPUTED_VALUE"""),1.063611E10)</f>
        <v>10636110000</v>
      </c>
      <c r="D1460" s="1"/>
      <c r="E1460" s="1"/>
      <c r="F1460" s="1"/>
      <c r="G1460" s="1"/>
      <c r="H1460" s="1"/>
      <c r="I1460" s="1"/>
      <c r="J1460" s="1"/>
      <c r="K1460" s="1"/>
      <c r="L1460" s="1"/>
      <c r="M1460" s="1"/>
      <c r="N1460" s="1"/>
      <c r="O1460" s="1"/>
      <c r="P1460" s="1"/>
      <c r="Q1460" s="1"/>
      <c r="R1460" s="1"/>
      <c r="S1460" s="1"/>
      <c r="T1460" s="1"/>
      <c r="U1460" s="1"/>
      <c r="V1460" s="1"/>
      <c r="W1460" s="1"/>
      <c r="X1460" s="1"/>
      <c r="Y1460" s="1"/>
      <c r="Z1460" s="1"/>
    </row>
    <row r="1461" ht="15.75" customHeight="1">
      <c r="A1461" s="2">
        <f>IFERROR(__xludf.DUMMYFUNCTION("""COMPUTED_VALUE"""),730000.0)</f>
        <v>730000</v>
      </c>
      <c r="B1461" s="2">
        <f>IFERROR(__xludf.DUMMYFUNCTION("""COMPUTED_VALUE"""),14600.0)</f>
        <v>14600</v>
      </c>
      <c r="C1461" s="66">
        <f>IFERROR(__xludf.DUMMYFUNCTION("""COMPUTED_VALUE"""),1.06507E10)</f>
        <v>10650700000</v>
      </c>
      <c r="D1461" s="1"/>
      <c r="E1461" s="1"/>
      <c r="F1461" s="1"/>
      <c r="G1461" s="1"/>
      <c r="H1461" s="1"/>
      <c r="I1461" s="1"/>
      <c r="J1461" s="1"/>
      <c r="K1461" s="1"/>
      <c r="L1461" s="1"/>
      <c r="M1461" s="1"/>
      <c r="N1461" s="1"/>
      <c r="O1461" s="1"/>
      <c r="P1461" s="1"/>
      <c r="Q1461" s="1"/>
      <c r="R1461" s="1"/>
      <c r="S1461" s="1"/>
      <c r="T1461" s="1"/>
      <c r="U1461" s="1"/>
      <c r="V1461" s="1"/>
      <c r="W1461" s="1"/>
      <c r="X1461" s="1"/>
      <c r="Y1461" s="1"/>
      <c r="Z1461" s="1"/>
    </row>
    <row r="1462" ht="15.75" customHeight="1">
      <c r="A1462" s="2">
        <f>IFERROR(__xludf.DUMMYFUNCTION("""COMPUTED_VALUE"""),730500.0)</f>
        <v>730500</v>
      </c>
      <c r="B1462" s="2">
        <f>IFERROR(__xludf.DUMMYFUNCTION("""COMPUTED_VALUE"""),14610.0)</f>
        <v>14610</v>
      </c>
      <c r="C1462" s="66">
        <f>IFERROR(__xludf.DUMMYFUNCTION("""COMPUTED_VALUE"""),1.06653E10)</f>
        <v>10665300000</v>
      </c>
      <c r="D1462" s="1"/>
      <c r="E1462" s="1"/>
      <c r="F1462" s="1"/>
      <c r="G1462" s="1"/>
      <c r="H1462" s="1"/>
      <c r="I1462" s="1"/>
      <c r="J1462" s="1"/>
      <c r="K1462" s="1"/>
      <c r="L1462" s="1"/>
      <c r="M1462" s="1"/>
      <c r="N1462" s="1"/>
      <c r="O1462" s="1"/>
      <c r="P1462" s="1"/>
      <c r="Q1462" s="1"/>
      <c r="R1462" s="1"/>
      <c r="S1462" s="1"/>
      <c r="T1462" s="1"/>
      <c r="U1462" s="1"/>
      <c r="V1462" s="1"/>
      <c r="W1462" s="1"/>
      <c r="X1462" s="1"/>
      <c r="Y1462" s="1"/>
      <c r="Z1462" s="1"/>
    </row>
    <row r="1463" ht="15.75" customHeight="1">
      <c r="A1463" s="2">
        <f>IFERROR(__xludf.DUMMYFUNCTION("""COMPUTED_VALUE"""),731000.0)</f>
        <v>731000</v>
      </c>
      <c r="B1463" s="2">
        <f>IFERROR(__xludf.DUMMYFUNCTION("""COMPUTED_VALUE"""),14620.0)</f>
        <v>14620</v>
      </c>
      <c r="C1463" s="66">
        <f>IFERROR(__xludf.DUMMYFUNCTION("""COMPUTED_VALUE"""),1.067991E10)</f>
        <v>10679910000</v>
      </c>
      <c r="D1463" s="1"/>
      <c r="E1463" s="1"/>
      <c r="F1463" s="1"/>
      <c r="G1463" s="1"/>
      <c r="H1463" s="1"/>
      <c r="I1463" s="1"/>
      <c r="J1463" s="1"/>
      <c r="K1463" s="1"/>
      <c r="L1463" s="1"/>
      <c r="M1463" s="1"/>
      <c r="N1463" s="1"/>
      <c r="O1463" s="1"/>
      <c r="P1463" s="1"/>
      <c r="Q1463" s="1"/>
      <c r="R1463" s="1"/>
      <c r="S1463" s="1"/>
      <c r="T1463" s="1"/>
      <c r="U1463" s="1"/>
      <c r="V1463" s="1"/>
      <c r="W1463" s="1"/>
      <c r="X1463" s="1"/>
      <c r="Y1463" s="1"/>
      <c r="Z1463" s="1"/>
    </row>
    <row r="1464" ht="15.75" customHeight="1">
      <c r="A1464" s="2">
        <f>IFERROR(__xludf.DUMMYFUNCTION("""COMPUTED_VALUE"""),731500.0)</f>
        <v>731500</v>
      </c>
      <c r="B1464" s="2">
        <f>IFERROR(__xludf.DUMMYFUNCTION("""COMPUTED_VALUE"""),14630.0)</f>
        <v>14630</v>
      </c>
      <c r="C1464" s="66">
        <f>IFERROR(__xludf.DUMMYFUNCTION("""COMPUTED_VALUE"""),1.069453E10)</f>
        <v>10694530000</v>
      </c>
      <c r="D1464" s="1"/>
      <c r="E1464" s="1"/>
      <c r="F1464" s="1"/>
      <c r="G1464" s="1"/>
      <c r="H1464" s="1"/>
      <c r="I1464" s="1"/>
      <c r="J1464" s="1"/>
      <c r="K1464" s="1"/>
      <c r="L1464" s="1"/>
      <c r="M1464" s="1"/>
      <c r="N1464" s="1"/>
      <c r="O1464" s="1"/>
      <c r="P1464" s="1"/>
      <c r="Q1464" s="1"/>
      <c r="R1464" s="1"/>
      <c r="S1464" s="1"/>
      <c r="T1464" s="1"/>
      <c r="U1464" s="1"/>
      <c r="V1464" s="1"/>
      <c r="W1464" s="1"/>
      <c r="X1464" s="1"/>
      <c r="Y1464" s="1"/>
      <c r="Z1464" s="1"/>
    </row>
    <row r="1465" ht="15.75" customHeight="1">
      <c r="A1465" s="2">
        <f>IFERROR(__xludf.DUMMYFUNCTION("""COMPUTED_VALUE"""),732000.0)</f>
        <v>732000</v>
      </c>
      <c r="B1465" s="2">
        <f>IFERROR(__xludf.DUMMYFUNCTION("""COMPUTED_VALUE"""),14640.0)</f>
        <v>14640</v>
      </c>
      <c r="C1465" s="66">
        <f>IFERROR(__xludf.DUMMYFUNCTION("""COMPUTED_VALUE"""),1.070916E10)</f>
        <v>10709160000</v>
      </c>
      <c r="D1465" s="1"/>
      <c r="E1465" s="1"/>
      <c r="F1465" s="1"/>
      <c r="G1465" s="1"/>
      <c r="H1465" s="1"/>
      <c r="I1465" s="1"/>
      <c r="J1465" s="1"/>
      <c r="K1465" s="1"/>
      <c r="L1465" s="1"/>
      <c r="M1465" s="1"/>
      <c r="N1465" s="1"/>
      <c r="O1465" s="1"/>
      <c r="P1465" s="1"/>
      <c r="Q1465" s="1"/>
      <c r="R1465" s="1"/>
      <c r="S1465" s="1"/>
      <c r="T1465" s="1"/>
      <c r="U1465" s="1"/>
      <c r="V1465" s="1"/>
      <c r="W1465" s="1"/>
      <c r="X1465" s="1"/>
      <c r="Y1465" s="1"/>
      <c r="Z1465" s="1"/>
    </row>
    <row r="1466" ht="15.75" customHeight="1">
      <c r="A1466" s="2">
        <f>IFERROR(__xludf.DUMMYFUNCTION("""COMPUTED_VALUE"""),732500.0)</f>
        <v>732500</v>
      </c>
      <c r="B1466" s="2">
        <f>IFERROR(__xludf.DUMMYFUNCTION("""COMPUTED_VALUE"""),14650.0)</f>
        <v>14650</v>
      </c>
      <c r="C1466" s="66">
        <f>IFERROR(__xludf.DUMMYFUNCTION("""COMPUTED_VALUE"""),1.07238E10)</f>
        <v>10723800000</v>
      </c>
      <c r="D1466" s="1"/>
      <c r="E1466" s="1"/>
      <c r="F1466" s="1"/>
      <c r="G1466" s="1"/>
      <c r="H1466" s="1"/>
      <c r="I1466" s="1"/>
      <c r="J1466" s="1"/>
      <c r="K1466" s="1"/>
      <c r="L1466" s="1"/>
      <c r="M1466" s="1"/>
      <c r="N1466" s="1"/>
      <c r="O1466" s="1"/>
      <c r="P1466" s="1"/>
      <c r="Q1466" s="1"/>
      <c r="R1466" s="1"/>
      <c r="S1466" s="1"/>
      <c r="T1466" s="1"/>
      <c r="U1466" s="1"/>
      <c r="V1466" s="1"/>
      <c r="W1466" s="1"/>
      <c r="X1466" s="1"/>
      <c r="Y1466" s="1"/>
      <c r="Z1466" s="1"/>
    </row>
    <row r="1467" ht="15.75" customHeight="1">
      <c r="A1467" s="2">
        <f>IFERROR(__xludf.DUMMYFUNCTION("""COMPUTED_VALUE"""),733000.0)</f>
        <v>733000</v>
      </c>
      <c r="B1467" s="2">
        <f>IFERROR(__xludf.DUMMYFUNCTION("""COMPUTED_VALUE"""),14660.0)</f>
        <v>14660</v>
      </c>
      <c r="C1467" s="66">
        <f>IFERROR(__xludf.DUMMYFUNCTION("""COMPUTED_VALUE"""),1.073845E10)</f>
        <v>10738450000</v>
      </c>
      <c r="D1467" s="1"/>
      <c r="E1467" s="1"/>
      <c r="F1467" s="1"/>
      <c r="G1467" s="1"/>
      <c r="H1467" s="1"/>
      <c r="I1467" s="1"/>
      <c r="J1467" s="1"/>
      <c r="K1467" s="1"/>
      <c r="L1467" s="1"/>
      <c r="M1467" s="1"/>
      <c r="N1467" s="1"/>
      <c r="O1467" s="1"/>
      <c r="P1467" s="1"/>
      <c r="Q1467" s="1"/>
      <c r="R1467" s="1"/>
      <c r="S1467" s="1"/>
      <c r="T1467" s="1"/>
      <c r="U1467" s="1"/>
      <c r="V1467" s="1"/>
      <c r="W1467" s="1"/>
      <c r="X1467" s="1"/>
      <c r="Y1467" s="1"/>
      <c r="Z1467" s="1"/>
    </row>
    <row r="1468" ht="15.75" customHeight="1">
      <c r="A1468" s="2">
        <f>IFERROR(__xludf.DUMMYFUNCTION("""COMPUTED_VALUE"""),733500.0)</f>
        <v>733500</v>
      </c>
      <c r="B1468" s="2">
        <f>IFERROR(__xludf.DUMMYFUNCTION("""COMPUTED_VALUE"""),14670.0)</f>
        <v>14670</v>
      </c>
      <c r="C1468" s="66">
        <f>IFERROR(__xludf.DUMMYFUNCTION("""COMPUTED_VALUE"""),1.075311E10)</f>
        <v>10753110000</v>
      </c>
      <c r="D1468" s="1"/>
      <c r="E1468" s="1"/>
      <c r="F1468" s="1"/>
      <c r="G1468" s="1"/>
      <c r="H1468" s="1"/>
      <c r="I1468" s="1"/>
      <c r="J1468" s="1"/>
      <c r="K1468" s="1"/>
      <c r="L1468" s="1"/>
      <c r="M1468" s="1"/>
      <c r="N1468" s="1"/>
      <c r="O1468" s="1"/>
      <c r="P1468" s="1"/>
      <c r="Q1468" s="1"/>
      <c r="R1468" s="1"/>
      <c r="S1468" s="1"/>
      <c r="T1468" s="1"/>
      <c r="U1468" s="1"/>
      <c r="V1468" s="1"/>
      <c r="W1468" s="1"/>
      <c r="X1468" s="1"/>
      <c r="Y1468" s="1"/>
      <c r="Z1468" s="1"/>
    </row>
    <row r="1469" ht="15.75" customHeight="1">
      <c r="A1469" s="2">
        <f>IFERROR(__xludf.DUMMYFUNCTION("""COMPUTED_VALUE"""),734000.0)</f>
        <v>734000</v>
      </c>
      <c r="B1469" s="2">
        <f>IFERROR(__xludf.DUMMYFUNCTION("""COMPUTED_VALUE"""),14680.0)</f>
        <v>14680</v>
      </c>
      <c r="C1469" s="66">
        <f>IFERROR(__xludf.DUMMYFUNCTION("""COMPUTED_VALUE"""),1.076778E10)</f>
        <v>10767780000</v>
      </c>
      <c r="D1469" s="1"/>
      <c r="E1469" s="1"/>
      <c r="F1469" s="1"/>
      <c r="G1469" s="1"/>
      <c r="H1469" s="1"/>
      <c r="I1469" s="1"/>
      <c r="J1469" s="1"/>
      <c r="K1469" s="1"/>
      <c r="L1469" s="1"/>
      <c r="M1469" s="1"/>
      <c r="N1469" s="1"/>
      <c r="O1469" s="1"/>
      <c r="P1469" s="1"/>
      <c r="Q1469" s="1"/>
      <c r="R1469" s="1"/>
      <c r="S1469" s="1"/>
      <c r="T1469" s="1"/>
      <c r="U1469" s="1"/>
      <c r="V1469" s="1"/>
      <c r="W1469" s="1"/>
      <c r="X1469" s="1"/>
      <c r="Y1469" s="1"/>
      <c r="Z1469" s="1"/>
    </row>
    <row r="1470" ht="15.75" customHeight="1">
      <c r="A1470" s="2">
        <f>IFERROR(__xludf.DUMMYFUNCTION("""COMPUTED_VALUE"""),734500.0)</f>
        <v>734500</v>
      </c>
      <c r="B1470" s="2">
        <f>IFERROR(__xludf.DUMMYFUNCTION("""COMPUTED_VALUE"""),14690.0)</f>
        <v>14690</v>
      </c>
      <c r="C1470" s="66">
        <f>IFERROR(__xludf.DUMMYFUNCTION("""COMPUTED_VALUE"""),1.078246E10)</f>
        <v>10782460000</v>
      </c>
      <c r="D1470" s="1"/>
      <c r="E1470" s="1"/>
      <c r="F1470" s="1"/>
      <c r="G1470" s="1"/>
      <c r="H1470" s="1"/>
      <c r="I1470" s="1"/>
      <c r="J1470" s="1"/>
      <c r="K1470" s="1"/>
      <c r="L1470" s="1"/>
      <c r="M1470" s="1"/>
      <c r="N1470" s="1"/>
      <c r="O1470" s="1"/>
      <c r="P1470" s="1"/>
      <c r="Q1470" s="1"/>
      <c r="R1470" s="1"/>
      <c r="S1470" s="1"/>
      <c r="T1470" s="1"/>
      <c r="U1470" s="1"/>
      <c r="V1470" s="1"/>
      <c r="W1470" s="1"/>
      <c r="X1470" s="1"/>
      <c r="Y1470" s="1"/>
      <c r="Z1470" s="1"/>
    </row>
    <row r="1471" ht="15.75" customHeight="1">
      <c r="A1471" s="2">
        <f>IFERROR(__xludf.DUMMYFUNCTION("""COMPUTED_VALUE"""),735000.0)</f>
        <v>735000</v>
      </c>
      <c r="B1471" s="2">
        <f>IFERROR(__xludf.DUMMYFUNCTION("""COMPUTED_VALUE"""),14700.0)</f>
        <v>14700</v>
      </c>
      <c r="C1471" s="66">
        <f>IFERROR(__xludf.DUMMYFUNCTION("""COMPUTED_VALUE"""),1.079715E10)</f>
        <v>10797150000</v>
      </c>
      <c r="D1471" s="1"/>
      <c r="E1471" s="1"/>
      <c r="F1471" s="1"/>
      <c r="G1471" s="1"/>
      <c r="H1471" s="1"/>
      <c r="I1471" s="1"/>
      <c r="J1471" s="1"/>
      <c r="K1471" s="1"/>
      <c r="L1471" s="1"/>
      <c r="M1471" s="1"/>
      <c r="N1471" s="1"/>
      <c r="O1471" s="1"/>
      <c r="P1471" s="1"/>
      <c r="Q1471" s="1"/>
      <c r="R1471" s="1"/>
      <c r="S1471" s="1"/>
      <c r="T1471" s="1"/>
      <c r="U1471" s="1"/>
      <c r="V1471" s="1"/>
      <c r="W1471" s="1"/>
      <c r="X1471" s="1"/>
      <c r="Y1471" s="1"/>
      <c r="Z1471" s="1"/>
    </row>
    <row r="1472" ht="15.75" customHeight="1">
      <c r="A1472" s="2">
        <f>IFERROR(__xludf.DUMMYFUNCTION("""COMPUTED_VALUE"""),735500.0)</f>
        <v>735500</v>
      </c>
      <c r="B1472" s="2">
        <f>IFERROR(__xludf.DUMMYFUNCTION("""COMPUTED_VALUE"""),14710.0)</f>
        <v>14710</v>
      </c>
      <c r="C1472" s="66">
        <f>IFERROR(__xludf.DUMMYFUNCTION("""COMPUTED_VALUE"""),1.081185E10)</f>
        <v>10811850000</v>
      </c>
      <c r="D1472" s="1"/>
      <c r="E1472" s="1"/>
      <c r="F1472" s="1"/>
      <c r="G1472" s="1"/>
      <c r="H1472" s="1"/>
      <c r="I1472" s="1"/>
      <c r="J1472" s="1"/>
      <c r="K1472" s="1"/>
      <c r="L1472" s="1"/>
      <c r="M1472" s="1"/>
      <c r="N1472" s="1"/>
      <c r="O1472" s="1"/>
      <c r="P1472" s="1"/>
      <c r="Q1472" s="1"/>
      <c r="R1472" s="1"/>
      <c r="S1472" s="1"/>
      <c r="T1472" s="1"/>
      <c r="U1472" s="1"/>
      <c r="V1472" s="1"/>
      <c r="W1472" s="1"/>
      <c r="X1472" s="1"/>
      <c r="Y1472" s="1"/>
      <c r="Z1472" s="1"/>
    </row>
    <row r="1473" ht="15.75" customHeight="1">
      <c r="A1473" s="2">
        <f>IFERROR(__xludf.DUMMYFUNCTION("""COMPUTED_VALUE"""),736000.0)</f>
        <v>736000</v>
      </c>
      <c r="B1473" s="2">
        <f>IFERROR(__xludf.DUMMYFUNCTION("""COMPUTED_VALUE"""),14720.0)</f>
        <v>14720</v>
      </c>
      <c r="C1473" s="66">
        <f>IFERROR(__xludf.DUMMYFUNCTION("""COMPUTED_VALUE"""),1.082656E10)</f>
        <v>10826560000</v>
      </c>
      <c r="D1473" s="1"/>
      <c r="E1473" s="1"/>
      <c r="F1473" s="1"/>
      <c r="G1473" s="1"/>
      <c r="H1473" s="1"/>
      <c r="I1473" s="1"/>
      <c r="J1473" s="1"/>
      <c r="K1473" s="1"/>
      <c r="L1473" s="1"/>
      <c r="M1473" s="1"/>
      <c r="N1473" s="1"/>
      <c r="O1473" s="1"/>
      <c r="P1473" s="1"/>
      <c r="Q1473" s="1"/>
      <c r="R1473" s="1"/>
      <c r="S1473" s="1"/>
      <c r="T1473" s="1"/>
      <c r="U1473" s="1"/>
      <c r="V1473" s="1"/>
      <c r="W1473" s="1"/>
      <c r="X1473" s="1"/>
      <c r="Y1473" s="1"/>
      <c r="Z1473" s="1"/>
    </row>
    <row r="1474" ht="15.75" customHeight="1">
      <c r="A1474" s="2">
        <f>IFERROR(__xludf.DUMMYFUNCTION("""COMPUTED_VALUE"""),736500.0)</f>
        <v>736500</v>
      </c>
      <c r="B1474" s="2">
        <f>IFERROR(__xludf.DUMMYFUNCTION("""COMPUTED_VALUE"""),14730.0)</f>
        <v>14730</v>
      </c>
      <c r="C1474" s="66">
        <f>IFERROR(__xludf.DUMMYFUNCTION("""COMPUTED_VALUE"""),1.084128E10)</f>
        <v>10841280000</v>
      </c>
      <c r="D1474" s="1"/>
      <c r="E1474" s="1"/>
      <c r="F1474" s="1"/>
      <c r="G1474" s="1"/>
      <c r="H1474" s="1"/>
      <c r="I1474" s="1"/>
      <c r="J1474" s="1"/>
      <c r="K1474" s="1"/>
      <c r="L1474" s="1"/>
      <c r="M1474" s="1"/>
      <c r="N1474" s="1"/>
      <c r="O1474" s="1"/>
      <c r="P1474" s="1"/>
      <c r="Q1474" s="1"/>
      <c r="R1474" s="1"/>
      <c r="S1474" s="1"/>
      <c r="T1474" s="1"/>
      <c r="U1474" s="1"/>
      <c r="V1474" s="1"/>
      <c r="W1474" s="1"/>
      <c r="X1474" s="1"/>
      <c r="Y1474" s="1"/>
      <c r="Z1474" s="1"/>
    </row>
    <row r="1475" ht="15.75" customHeight="1">
      <c r="A1475" s="2">
        <f>IFERROR(__xludf.DUMMYFUNCTION("""COMPUTED_VALUE"""),737000.0)</f>
        <v>737000</v>
      </c>
      <c r="B1475" s="2">
        <f>IFERROR(__xludf.DUMMYFUNCTION("""COMPUTED_VALUE"""),14740.0)</f>
        <v>14740</v>
      </c>
      <c r="C1475" s="66">
        <f>IFERROR(__xludf.DUMMYFUNCTION("""COMPUTED_VALUE"""),1.085601E10)</f>
        <v>10856010000</v>
      </c>
      <c r="D1475" s="1"/>
      <c r="E1475" s="1"/>
      <c r="F1475" s="1"/>
      <c r="G1475" s="1"/>
      <c r="H1475" s="1"/>
      <c r="I1475" s="1"/>
      <c r="J1475" s="1"/>
      <c r="K1475" s="1"/>
      <c r="L1475" s="1"/>
      <c r="M1475" s="1"/>
      <c r="N1475" s="1"/>
      <c r="O1475" s="1"/>
      <c r="P1475" s="1"/>
      <c r="Q1475" s="1"/>
      <c r="R1475" s="1"/>
      <c r="S1475" s="1"/>
      <c r="T1475" s="1"/>
      <c r="U1475" s="1"/>
      <c r="V1475" s="1"/>
      <c r="W1475" s="1"/>
      <c r="X1475" s="1"/>
      <c r="Y1475" s="1"/>
      <c r="Z1475" s="1"/>
    </row>
    <row r="1476" ht="15.75" customHeight="1">
      <c r="A1476" s="2">
        <f>IFERROR(__xludf.DUMMYFUNCTION("""COMPUTED_VALUE"""),737500.0)</f>
        <v>737500</v>
      </c>
      <c r="B1476" s="2">
        <f>IFERROR(__xludf.DUMMYFUNCTION("""COMPUTED_VALUE"""),14750.0)</f>
        <v>14750</v>
      </c>
      <c r="C1476" s="66">
        <f>IFERROR(__xludf.DUMMYFUNCTION("""COMPUTED_VALUE"""),1.087075E10)</f>
        <v>10870750000</v>
      </c>
      <c r="D1476" s="1"/>
      <c r="E1476" s="1"/>
      <c r="F1476" s="1"/>
      <c r="G1476" s="1"/>
      <c r="H1476" s="1"/>
      <c r="I1476" s="1"/>
      <c r="J1476" s="1"/>
      <c r="K1476" s="1"/>
      <c r="L1476" s="1"/>
      <c r="M1476" s="1"/>
      <c r="N1476" s="1"/>
      <c r="O1476" s="1"/>
      <c r="P1476" s="1"/>
      <c r="Q1476" s="1"/>
      <c r="R1476" s="1"/>
      <c r="S1476" s="1"/>
      <c r="T1476" s="1"/>
      <c r="U1476" s="1"/>
      <c r="V1476" s="1"/>
      <c r="W1476" s="1"/>
      <c r="X1476" s="1"/>
      <c r="Y1476" s="1"/>
      <c r="Z1476" s="1"/>
    </row>
    <row r="1477" ht="15.75" customHeight="1">
      <c r="A1477" s="2">
        <f>IFERROR(__xludf.DUMMYFUNCTION("""COMPUTED_VALUE"""),738000.0)</f>
        <v>738000</v>
      </c>
      <c r="B1477" s="2">
        <f>IFERROR(__xludf.DUMMYFUNCTION("""COMPUTED_VALUE"""),14760.0)</f>
        <v>14760</v>
      </c>
      <c r="C1477" s="66">
        <f>IFERROR(__xludf.DUMMYFUNCTION("""COMPUTED_VALUE"""),1.08855E10)</f>
        <v>10885500000</v>
      </c>
      <c r="D1477" s="1"/>
      <c r="E1477" s="1"/>
      <c r="F1477" s="1"/>
      <c r="G1477" s="1"/>
      <c r="H1477" s="1"/>
      <c r="I1477" s="1"/>
      <c r="J1477" s="1"/>
      <c r="K1477" s="1"/>
      <c r="L1477" s="1"/>
      <c r="M1477" s="1"/>
      <c r="N1477" s="1"/>
      <c r="O1477" s="1"/>
      <c r="P1477" s="1"/>
      <c r="Q1477" s="1"/>
      <c r="R1477" s="1"/>
      <c r="S1477" s="1"/>
      <c r="T1477" s="1"/>
      <c r="U1477" s="1"/>
      <c r="V1477" s="1"/>
      <c r="W1477" s="1"/>
      <c r="X1477" s="1"/>
      <c r="Y1477" s="1"/>
      <c r="Z1477" s="1"/>
    </row>
    <row r="1478" ht="15.75" customHeight="1">
      <c r="A1478" s="2">
        <f>IFERROR(__xludf.DUMMYFUNCTION("""COMPUTED_VALUE"""),738500.0)</f>
        <v>738500</v>
      </c>
      <c r="B1478" s="2">
        <f>IFERROR(__xludf.DUMMYFUNCTION("""COMPUTED_VALUE"""),14770.0)</f>
        <v>14770</v>
      </c>
      <c r="C1478" s="66">
        <f>IFERROR(__xludf.DUMMYFUNCTION("""COMPUTED_VALUE"""),1.090026E10)</f>
        <v>10900260000</v>
      </c>
      <c r="D1478" s="1"/>
      <c r="E1478" s="1"/>
      <c r="F1478" s="1"/>
      <c r="G1478" s="1"/>
      <c r="H1478" s="1"/>
      <c r="I1478" s="1"/>
      <c r="J1478" s="1"/>
      <c r="K1478" s="1"/>
      <c r="L1478" s="1"/>
      <c r="M1478" s="1"/>
      <c r="N1478" s="1"/>
      <c r="O1478" s="1"/>
      <c r="P1478" s="1"/>
      <c r="Q1478" s="1"/>
      <c r="R1478" s="1"/>
      <c r="S1478" s="1"/>
      <c r="T1478" s="1"/>
      <c r="U1478" s="1"/>
      <c r="V1478" s="1"/>
      <c r="W1478" s="1"/>
      <c r="X1478" s="1"/>
      <c r="Y1478" s="1"/>
      <c r="Z1478" s="1"/>
    </row>
    <row r="1479" ht="15.75" customHeight="1">
      <c r="A1479" s="2">
        <f>IFERROR(__xludf.DUMMYFUNCTION("""COMPUTED_VALUE"""),739000.0)</f>
        <v>739000</v>
      </c>
      <c r="B1479" s="2">
        <f>IFERROR(__xludf.DUMMYFUNCTION("""COMPUTED_VALUE"""),14780.0)</f>
        <v>14780</v>
      </c>
      <c r="C1479" s="66">
        <f>IFERROR(__xludf.DUMMYFUNCTION("""COMPUTED_VALUE"""),1.091503E10)</f>
        <v>10915030000</v>
      </c>
      <c r="D1479" s="1"/>
      <c r="E1479" s="1"/>
      <c r="F1479" s="1"/>
      <c r="G1479" s="1"/>
      <c r="H1479" s="1"/>
      <c r="I1479" s="1"/>
      <c r="J1479" s="1"/>
      <c r="K1479" s="1"/>
      <c r="L1479" s="1"/>
      <c r="M1479" s="1"/>
      <c r="N1479" s="1"/>
      <c r="O1479" s="1"/>
      <c r="P1479" s="1"/>
      <c r="Q1479" s="1"/>
      <c r="R1479" s="1"/>
      <c r="S1479" s="1"/>
      <c r="T1479" s="1"/>
      <c r="U1479" s="1"/>
      <c r="V1479" s="1"/>
      <c r="W1479" s="1"/>
      <c r="X1479" s="1"/>
      <c r="Y1479" s="1"/>
      <c r="Z1479" s="1"/>
    </row>
    <row r="1480" ht="15.75" customHeight="1">
      <c r="A1480" s="2">
        <f>IFERROR(__xludf.DUMMYFUNCTION("""COMPUTED_VALUE"""),739500.0)</f>
        <v>739500</v>
      </c>
      <c r="B1480" s="2">
        <f>IFERROR(__xludf.DUMMYFUNCTION("""COMPUTED_VALUE"""),14790.0)</f>
        <v>14790</v>
      </c>
      <c r="C1480" s="66">
        <f>IFERROR(__xludf.DUMMYFUNCTION("""COMPUTED_VALUE"""),1.092981E10)</f>
        <v>10929810000</v>
      </c>
      <c r="D1480" s="1"/>
      <c r="E1480" s="1"/>
      <c r="F1480" s="1"/>
      <c r="G1480" s="1"/>
      <c r="H1480" s="1"/>
      <c r="I1480" s="1"/>
      <c r="J1480" s="1"/>
      <c r="K1480" s="1"/>
      <c r="L1480" s="1"/>
      <c r="M1480" s="1"/>
      <c r="N1480" s="1"/>
      <c r="O1480" s="1"/>
      <c r="P1480" s="1"/>
      <c r="Q1480" s="1"/>
      <c r="R1480" s="1"/>
      <c r="S1480" s="1"/>
      <c r="T1480" s="1"/>
      <c r="U1480" s="1"/>
      <c r="V1480" s="1"/>
      <c r="W1480" s="1"/>
      <c r="X1480" s="1"/>
      <c r="Y1480" s="1"/>
      <c r="Z1480" s="1"/>
    </row>
    <row r="1481" ht="15.75" customHeight="1">
      <c r="A1481" s="2">
        <f>IFERROR(__xludf.DUMMYFUNCTION("""COMPUTED_VALUE"""),740000.0)</f>
        <v>740000</v>
      </c>
      <c r="B1481" s="2">
        <f>IFERROR(__xludf.DUMMYFUNCTION("""COMPUTED_VALUE"""),14800.0)</f>
        <v>14800</v>
      </c>
      <c r="C1481" s="66">
        <f>IFERROR(__xludf.DUMMYFUNCTION("""COMPUTED_VALUE"""),1.09446E10)</f>
        <v>10944600000</v>
      </c>
      <c r="D1481" s="1"/>
      <c r="E1481" s="1"/>
      <c r="F1481" s="1"/>
      <c r="G1481" s="1"/>
      <c r="H1481" s="1"/>
      <c r="I1481" s="1"/>
      <c r="J1481" s="1"/>
      <c r="K1481" s="1"/>
      <c r="L1481" s="1"/>
      <c r="M1481" s="1"/>
      <c r="N1481" s="1"/>
      <c r="O1481" s="1"/>
      <c r="P1481" s="1"/>
      <c r="Q1481" s="1"/>
      <c r="R1481" s="1"/>
      <c r="S1481" s="1"/>
      <c r="T1481" s="1"/>
      <c r="U1481" s="1"/>
      <c r="V1481" s="1"/>
      <c r="W1481" s="1"/>
      <c r="X1481" s="1"/>
      <c r="Y1481" s="1"/>
      <c r="Z1481" s="1"/>
    </row>
    <row r="1482" ht="15.75" customHeight="1">
      <c r="A1482" s="2">
        <f>IFERROR(__xludf.DUMMYFUNCTION("""COMPUTED_VALUE"""),740500.0)</f>
        <v>740500</v>
      </c>
      <c r="B1482" s="2">
        <f>IFERROR(__xludf.DUMMYFUNCTION("""COMPUTED_VALUE"""),14810.0)</f>
        <v>14810</v>
      </c>
      <c r="C1482" s="66">
        <f>IFERROR(__xludf.DUMMYFUNCTION("""COMPUTED_VALUE"""),1.09594E10)</f>
        <v>10959400000</v>
      </c>
      <c r="D1482" s="1"/>
      <c r="E1482" s="1"/>
      <c r="F1482" s="1"/>
      <c r="G1482" s="1"/>
      <c r="H1482" s="1"/>
      <c r="I1482" s="1"/>
      <c r="J1482" s="1"/>
      <c r="K1482" s="1"/>
      <c r="L1482" s="1"/>
      <c r="M1482" s="1"/>
      <c r="N1482" s="1"/>
      <c r="O1482" s="1"/>
      <c r="P1482" s="1"/>
      <c r="Q1482" s="1"/>
      <c r="R1482" s="1"/>
      <c r="S1482" s="1"/>
      <c r="T1482" s="1"/>
      <c r="U1482" s="1"/>
      <c r="V1482" s="1"/>
      <c r="W1482" s="1"/>
      <c r="X1482" s="1"/>
      <c r="Y1482" s="1"/>
      <c r="Z1482" s="1"/>
    </row>
    <row r="1483" ht="15.75" customHeight="1">
      <c r="A1483" s="2">
        <f>IFERROR(__xludf.DUMMYFUNCTION("""COMPUTED_VALUE"""),741000.0)</f>
        <v>741000</v>
      </c>
      <c r="B1483" s="2">
        <f>IFERROR(__xludf.DUMMYFUNCTION("""COMPUTED_VALUE"""),14820.0)</f>
        <v>14820</v>
      </c>
      <c r="C1483" s="66">
        <f>IFERROR(__xludf.DUMMYFUNCTION("""COMPUTED_VALUE"""),1.097421E10)</f>
        <v>10974210000</v>
      </c>
      <c r="D1483" s="1"/>
      <c r="E1483" s="1"/>
      <c r="F1483" s="1"/>
      <c r="G1483" s="1"/>
      <c r="H1483" s="1"/>
      <c r="I1483" s="1"/>
      <c r="J1483" s="1"/>
      <c r="K1483" s="1"/>
      <c r="L1483" s="1"/>
      <c r="M1483" s="1"/>
      <c r="N1483" s="1"/>
      <c r="O1483" s="1"/>
      <c r="P1483" s="1"/>
      <c r="Q1483" s="1"/>
      <c r="R1483" s="1"/>
      <c r="S1483" s="1"/>
      <c r="T1483" s="1"/>
      <c r="U1483" s="1"/>
      <c r="V1483" s="1"/>
      <c r="W1483" s="1"/>
      <c r="X1483" s="1"/>
      <c r="Y1483" s="1"/>
      <c r="Z1483" s="1"/>
    </row>
    <row r="1484" ht="15.75" customHeight="1">
      <c r="A1484" s="2">
        <f>IFERROR(__xludf.DUMMYFUNCTION("""COMPUTED_VALUE"""),741500.0)</f>
        <v>741500</v>
      </c>
      <c r="B1484" s="2">
        <f>IFERROR(__xludf.DUMMYFUNCTION("""COMPUTED_VALUE"""),14830.0)</f>
        <v>14830</v>
      </c>
      <c r="C1484" s="66">
        <f>IFERROR(__xludf.DUMMYFUNCTION("""COMPUTED_VALUE"""),1.098903E10)</f>
        <v>10989030000</v>
      </c>
      <c r="D1484" s="1"/>
      <c r="E1484" s="1"/>
      <c r="F1484" s="1"/>
      <c r="G1484" s="1"/>
      <c r="H1484" s="1"/>
      <c r="I1484" s="1"/>
      <c r="J1484" s="1"/>
      <c r="K1484" s="1"/>
      <c r="L1484" s="1"/>
      <c r="M1484" s="1"/>
      <c r="N1484" s="1"/>
      <c r="O1484" s="1"/>
      <c r="P1484" s="1"/>
      <c r="Q1484" s="1"/>
      <c r="R1484" s="1"/>
      <c r="S1484" s="1"/>
      <c r="T1484" s="1"/>
      <c r="U1484" s="1"/>
      <c r="V1484" s="1"/>
      <c r="W1484" s="1"/>
      <c r="X1484" s="1"/>
      <c r="Y1484" s="1"/>
      <c r="Z1484" s="1"/>
    </row>
    <row r="1485" ht="15.75" customHeight="1">
      <c r="A1485" s="2">
        <f>IFERROR(__xludf.DUMMYFUNCTION("""COMPUTED_VALUE"""),742000.0)</f>
        <v>742000</v>
      </c>
      <c r="B1485" s="2">
        <f>IFERROR(__xludf.DUMMYFUNCTION("""COMPUTED_VALUE"""),14840.0)</f>
        <v>14840</v>
      </c>
      <c r="C1485" s="66">
        <f>IFERROR(__xludf.DUMMYFUNCTION("""COMPUTED_VALUE"""),1.100386E10)</f>
        <v>11003860000</v>
      </c>
      <c r="D1485" s="1"/>
      <c r="E1485" s="1"/>
      <c r="F1485" s="1"/>
      <c r="G1485" s="1"/>
      <c r="H1485" s="1"/>
      <c r="I1485" s="1"/>
      <c r="J1485" s="1"/>
      <c r="K1485" s="1"/>
      <c r="L1485" s="1"/>
      <c r="M1485" s="1"/>
      <c r="N1485" s="1"/>
      <c r="O1485" s="1"/>
      <c r="P1485" s="1"/>
      <c r="Q1485" s="1"/>
      <c r="R1485" s="1"/>
      <c r="S1485" s="1"/>
      <c r="T1485" s="1"/>
      <c r="U1485" s="1"/>
      <c r="V1485" s="1"/>
      <c r="W1485" s="1"/>
      <c r="X1485" s="1"/>
      <c r="Y1485" s="1"/>
      <c r="Z1485" s="1"/>
    </row>
    <row r="1486" ht="15.75" customHeight="1">
      <c r="A1486" s="2">
        <f>IFERROR(__xludf.DUMMYFUNCTION("""COMPUTED_VALUE"""),742500.0)</f>
        <v>742500</v>
      </c>
      <c r="B1486" s="2">
        <f>IFERROR(__xludf.DUMMYFUNCTION("""COMPUTED_VALUE"""),14850.0)</f>
        <v>14850</v>
      </c>
      <c r="C1486" s="66">
        <f>IFERROR(__xludf.DUMMYFUNCTION("""COMPUTED_VALUE"""),1.10187E10)</f>
        <v>11018700000</v>
      </c>
      <c r="D1486" s="1"/>
      <c r="E1486" s="1"/>
      <c r="F1486" s="1"/>
      <c r="G1486" s="1"/>
      <c r="H1486" s="1"/>
      <c r="I1486" s="1"/>
      <c r="J1486" s="1"/>
      <c r="K1486" s="1"/>
      <c r="L1486" s="1"/>
      <c r="M1486" s="1"/>
      <c r="N1486" s="1"/>
      <c r="O1486" s="1"/>
      <c r="P1486" s="1"/>
      <c r="Q1486" s="1"/>
      <c r="R1486" s="1"/>
      <c r="S1486" s="1"/>
      <c r="T1486" s="1"/>
      <c r="U1486" s="1"/>
      <c r="V1486" s="1"/>
      <c r="W1486" s="1"/>
      <c r="X1486" s="1"/>
      <c r="Y1486" s="1"/>
      <c r="Z1486" s="1"/>
    </row>
    <row r="1487" ht="15.75" customHeight="1">
      <c r="A1487" s="2">
        <f>IFERROR(__xludf.DUMMYFUNCTION("""COMPUTED_VALUE"""),743000.0)</f>
        <v>743000</v>
      </c>
      <c r="B1487" s="2">
        <f>IFERROR(__xludf.DUMMYFUNCTION("""COMPUTED_VALUE"""),14860.0)</f>
        <v>14860</v>
      </c>
      <c r="C1487" s="66">
        <f>IFERROR(__xludf.DUMMYFUNCTION("""COMPUTED_VALUE"""),1.103355E10)</f>
        <v>11033550000</v>
      </c>
      <c r="D1487" s="1"/>
      <c r="E1487" s="1"/>
      <c r="F1487" s="1"/>
      <c r="G1487" s="1"/>
      <c r="H1487" s="1"/>
      <c r="I1487" s="1"/>
      <c r="J1487" s="1"/>
      <c r="K1487" s="1"/>
      <c r="L1487" s="1"/>
      <c r="M1487" s="1"/>
      <c r="N1487" s="1"/>
      <c r="O1487" s="1"/>
      <c r="P1487" s="1"/>
      <c r="Q1487" s="1"/>
      <c r="R1487" s="1"/>
      <c r="S1487" s="1"/>
      <c r="T1487" s="1"/>
      <c r="U1487" s="1"/>
      <c r="V1487" s="1"/>
      <c r="W1487" s="1"/>
      <c r="X1487" s="1"/>
      <c r="Y1487" s="1"/>
      <c r="Z1487" s="1"/>
    </row>
    <row r="1488" ht="15.75" customHeight="1">
      <c r="A1488" s="2">
        <f>IFERROR(__xludf.DUMMYFUNCTION("""COMPUTED_VALUE"""),743500.0)</f>
        <v>743500</v>
      </c>
      <c r="B1488" s="2">
        <f>IFERROR(__xludf.DUMMYFUNCTION("""COMPUTED_VALUE"""),14870.0)</f>
        <v>14870</v>
      </c>
      <c r="C1488" s="66">
        <f>IFERROR(__xludf.DUMMYFUNCTION("""COMPUTED_VALUE"""),1.104841E10)</f>
        <v>11048410000</v>
      </c>
      <c r="D1488" s="1"/>
      <c r="E1488" s="1"/>
      <c r="F1488" s="1"/>
      <c r="G1488" s="1"/>
      <c r="H1488" s="1"/>
      <c r="I1488" s="1"/>
      <c r="J1488" s="1"/>
      <c r="K1488" s="1"/>
      <c r="L1488" s="1"/>
      <c r="M1488" s="1"/>
      <c r="N1488" s="1"/>
      <c r="O1488" s="1"/>
      <c r="P1488" s="1"/>
      <c r="Q1488" s="1"/>
      <c r="R1488" s="1"/>
      <c r="S1488" s="1"/>
      <c r="T1488" s="1"/>
      <c r="U1488" s="1"/>
      <c r="V1488" s="1"/>
      <c r="W1488" s="1"/>
      <c r="X1488" s="1"/>
      <c r="Y1488" s="1"/>
      <c r="Z1488" s="1"/>
    </row>
    <row r="1489" ht="15.75" customHeight="1">
      <c r="A1489" s="2">
        <f>IFERROR(__xludf.DUMMYFUNCTION("""COMPUTED_VALUE"""),744000.0)</f>
        <v>744000</v>
      </c>
      <c r="B1489" s="2">
        <f>IFERROR(__xludf.DUMMYFUNCTION("""COMPUTED_VALUE"""),14880.0)</f>
        <v>14880</v>
      </c>
      <c r="C1489" s="66">
        <f>IFERROR(__xludf.DUMMYFUNCTION("""COMPUTED_VALUE"""),1.106328E10)</f>
        <v>11063280000</v>
      </c>
      <c r="D1489" s="1"/>
      <c r="E1489" s="1"/>
      <c r="F1489" s="1"/>
      <c r="G1489" s="1"/>
      <c r="H1489" s="1"/>
      <c r="I1489" s="1"/>
      <c r="J1489" s="1"/>
      <c r="K1489" s="1"/>
      <c r="L1489" s="1"/>
      <c r="M1489" s="1"/>
      <c r="N1489" s="1"/>
      <c r="O1489" s="1"/>
      <c r="P1489" s="1"/>
      <c r="Q1489" s="1"/>
      <c r="R1489" s="1"/>
      <c r="S1489" s="1"/>
      <c r="T1489" s="1"/>
      <c r="U1489" s="1"/>
      <c r="V1489" s="1"/>
      <c r="W1489" s="1"/>
      <c r="X1489" s="1"/>
      <c r="Y1489" s="1"/>
      <c r="Z1489" s="1"/>
    </row>
    <row r="1490" ht="15.75" customHeight="1">
      <c r="A1490" s="2">
        <f>IFERROR(__xludf.DUMMYFUNCTION("""COMPUTED_VALUE"""),744500.0)</f>
        <v>744500</v>
      </c>
      <c r="B1490" s="2">
        <f>IFERROR(__xludf.DUMMYFUNCTION("""COMPUTED_VALUE"""),14890.0)</f>
        <v>14890</v>
      </c>
      <c r="C1490" s="66">
        <f>IFERROR(__xludf.DUMMYFUNCTION("""COMPUTED_VALUE"""),1.107816E10)</f>
        <v>11078160000</v>
      </c>
      <c r="D1490" s="1"/>
      <c r="E1490" s="1"/>
      <c r="F1490" s="1"/>
      <c r="G1490" s="1"/>
      <c r="H1490" s="1"/>
      <c r="I1490" s="1"/>
      <c r="J1490" s="1"/>
      <c r="K1490" s="1"/>
      <c r="L1490" s="1"/>
      <c r="M1490" s="1"/>
      <c r="N1490" s="1"/>
      <c r="O1490" s="1"/>
      <c r="P1490" s="1"/>
      <c r="Q1490" s="1"/>
      <c r="R1490" s="1"/>
      <c r="S1490" s="1"/>
      <c r="T1490" s="1"/>
      <c r="U1490" s="1"/>
      <c r="V1490" s="1"/>
      <c r="W1490" s="1"/>
      <c r="X1490" s="1"/>
      <c r="Y1490" s="1"/>
      <c r="Z1490" s="1"/>
    </row>
    <row r="1491" ht="15.75" customHeight="1">
      <c r="A1491" s="2">
        <f>IFERROR(__xludf.DUMMYFUNCTION("""COMPUTED_VALUE"""),745000.0)</f>
        <v>745000</v>
      </c>
      <c r="B1491" s="2">
        <f>IFERROR(__xludf.DUMMYFUNCTION("""COMPUTED_VALUE"""),14900.0)</f>
        <v>14900</v>
      </c>
      <c r="C1491" s="66">
        <f>IFERROR(__xludf.DUMMYFUNCTION("""COMPUTED_VALUE"""),1.109305E10)</f>
        <v>11093050000</v>
      </c>
      <c r="D1491" s="1"/>
      <c r="E1491" s="1"/>
      <c r="F1491" s="1"/>
      <c r="G1491" s="1"/>
      <c r="H1491" s="1"/>
      <c r="I1491" s="1"/>
      <c r="J1491" s="1"/>
      <c r="K1491" s="1"/>
      <c r="L1491" s="1"/>
      <c r="M1491" s="1"/>
      <c r="N1491" s="1"/>
      <c r="O1491" s="1"/>
      <c r="P1491" s="1"/>
      <c r="Q1491" s="1"/>
      <c r="R1491" s="1"/>
      <c r="S1491" s="1"/>
      <c r="T1491" s="1"/>
      <c r="U1491" s="1"/>
      <c r="V1491" s="1"/>
      <c r="W1491" s="1"/>
      <c r="X1491" s="1"/>
      <c r="Y1491" s="1"/>
      <c r="Z1491" s="1"/>
    </row>
    <row r="1492" ht="15.75" customHeight="1">
      <c r="A1492" s="2">
        <f>IFERROR(__xludf.DUMMYFUNCTION("""COMPUTED_VALUE"""),745500.0)</f>
        <v>745500</v>
      </c>
      <c r="B1492" s="2">
        <f>IFERROR(__xludf.DUMMYFUNCTION("""COMPUTED_VALUE"""),14910.0)</f>
        <v>14910</v>
      </c>
      <c r="C1492" s="66">
        <f>IFERROR(__xludf.DUMMYFUNCTION("""COMPUTED_VALUE"""),1.110795E10)</f>
        <v>11107950000</v>
      </c>
      <c r="D1492" s="1"/>
      <c r="E1492" s="1"/>
      <c r="F1492" s="1"/>
      <c r="G1492" s="1"/>
      <c r="H1492" s="1"/>
      <c r="I1492" s="1"/>
      <c r="J1492" s="1"/>
      <c r="K1492" s="1"/>
      <c r="L1492" s="1"/>
      <c r="M1492" s="1"/>
      <c r="N1492" s="1"/>
      <c r="O1492" s="1"/>
      <c r="P1492" s="1"/>
      <c r="Q1492" s="1"/>
      <c r="R1492" s="1"/>
      <c r="S1492" s="1"/>
      <c r="T1492" s="1"/>
      <c r="U1492" s="1"/>
      <c r="V1492" s="1"/>
      <c r="W1492" s="1"/>
      <c r="X1492" s="1"/>
      <c r="Y1492" s="1"/>
      <c r="Z1492" s="1"/>
    </row>
    <row r="1493" ht="15.75" customHeight="1">
      <c r="A1493" s="2">
        <f>IFERROR(__xludf.DUMMYFUNCTION("""COMPUTED_VALUE"""),746000.0)</f>
        <v>746000</v>
      </c>
      <c r="B1493" s="2">
        <f>IFERROR(__xludf.DUMMYFUNCTION("""COMPUTED_VALUE"""),14920.0)</f>
        <v>14920</v>
      </c>
      <c r="C1493" s="66">
        <f>IFERROR(__xludf.DUMMYFUNCTION("""COMPUTED_VALUE"""),1.112286E10)</f>
        <v>11122860000</v>
      </c>
      <c r="D1493" s="1"/>
      <c r="E1493" s="1"/>
      <c r="F1493" s="1"/>
      <c r="G1493" s="1"/>
      <c r="H1493" s="1"/>
      <c r="I1493" s="1"/>
      <c r="J1493" s="1"/>
      <c r="K1493" s="1"/>
      <c r="L1493" s="1"/>
      <c r="M1493" s="1"/>
      <c r="N1493" s="1"/>
      <c r="O1493" s="1"/>
      <c r="P1493" s="1"/>
      <c r="Q1493" s="1"/>
      <c r="R1493" s="1"/>
      <c r="S1493" s="1"/>
      <c r="T1493" s="1"/>
      <c r="U1493" s="1"/>
      <c r="V1493" s="1"/>
      <c r="W1493" s="1"/>
      <c r="X1493" s="1"/>
      <c r="Y1493" s="1"/>
      <c r="Z1493" s="1"/>
    </row>
    <row r="1494" ht="15.75" customHeight="1">
      <c r="A1494" s="2">
        <f>IFERROR(__xludf.DUMMYFUNCTION("""COMPUTED_VALUE"""),746500.0)</f>
        <v>746500</v>
      </c>
      <c r="B1494" s="2">
        <f>IFERROR(__xludf.DUMMYFUNCTION("""COMPUTED_VALUE"""),14930.0)</f>
        <v>14930</v>
      </c>
      <c r="C1494" s="66">
        <f>IFERROR(__xludf.DUMMYFUNCTION("""COMPUTED_VALUE"""),1.113778E10)</f>
        <v>11137780000</v>
      </c>
      <c r="D1494" s="1"/>
      <c r="E1494" s="1"/>
      <c r="F1494" s="1"/>
      <c r="G1494" s="1"/>
      <c r="H1494" s="1"/>
      <c r="I1494" s="1"/>
      <c r="J1494" s="1"/>
      <c r="K1494" s="1"/>
      <c r="L1494" s="1"/>
      <c r="M1494" s="1"/>
      <c r="N1494" s="1"/>
      <c r="O1494" s="1"/>
      <c r="P1494" s="1"/>
      <c r="Q1494" s="1"/>
      <c r="R1494" s="1"/>
      <c r="S1494" s="1"/>
      <c r="T1494" s="1"/>
      <c r="U1494" s="1"/>
      <c r="V1494" s="1"/>
      <c r="W1494" s="1"/>
      <c r="X1494" s="1"/>
      <c r="Y1494" s="1"/>
      <c r="Z1494" s="1"/>
    </row>
    <row r="1495" ht="15.75" customHeight="1">
      <c r="A1495" s="2">
        <f>IFERROR(__xludf.DUMMYFUNCTION("""COMPUTED_VALUE"""),747000.0)</f>
        <v>747000</v>
      </c>
      <c r="B1495" s="2">
        <f>IFERROR(__xludf.DUMMYFUNCTION("""COMPUTED_VALUE"""),14940.0)</f>
        <v>14940</v>
      </c>
      <c r="C1495" s="66">
        <f>IFERROR(__xludf.DUMMYFUNCTION("""COMPUTED_VALUE"""),1.115271E10)</f>
        <v>11152710000</v>
      </c>
      <c r="D1495" s="1"/>
      <c r="E1495" s="1"/>
      <c r="F1495" s="1"/>
      <c r="G1495" s="1"/>
      <c r="H1495" s="1"/>
      <c r="I1495" s="1"/>
      <c r="J1495" s="1"/>
      <c r="K1495" s="1"/>
      <c r="L1495" s="1"/>
      <c r="M1495" s="1"/>
      <c r="N1495" s="1"/>
      <c r="O1495" s="1"/>
      <c r="P1495" s="1"/>
      <c r="Q1495" s="1"/>
      <c r="R1495" s="1"/>
      <c r="S1495" s="1"/>
      <c r="T1495" s="1"/>
      <c r="U1495" s="1"/>
      <c r="V1495" s="1"/>
      <c r="W1495" s="1"/>
      <c r="X1495" s="1"/>
      <c r="Y1495" s="1"/>
      <c r="Z1495" s="1"/>
    </row>
    <row r="1496" ht="15.75" customHeight="1">
      <c r="A1496" s="2">
        <f>IFERROR(__xludf.DUMMYFUNCTION("""COMPUTED_VALUE"""),747500.0)</f>
        <v>747500</v>
      </c>
      <c r="B1496" s="2">
        <f>IFERROR(__xludf.DUMMYFUNCTION("""COMPUTED_VALUE"""),14950.0)</f>
        <v>14950</v>
      </c>
      <c r="C1496" s="66">
        <f>IFERROR(__xludf.DUMMYFUNCTION("""COMPUTED_VALUE"""),1.116765E10)</f>
        <v>11167650000</v>
      </c>
      <c r="D1496" s="1"/>
      <c r="E1496" s="1"/>
      <c r="F1496" s="1"/>
      <c r="G1496" s="1"/>
      <c r="H1496" s="1"/>
      <c r="I1496" s="1"/>
      <c r="J1496" s="1"/>
      <c r="K1496" s="1"/>
      <c r="L1496" s="1"/>
      <c r="M1496" s="1"/>
      <c r="N1496" s="1"/>
      <c r="O1496" s="1"/>
      <c r="P1496" s="1"/>
      <c r="Q1496" s="1"/>
      <c r="R1496" s="1"/>
      <c r="S1496" s="1"/>
      <c r="T1496" s="1"/>
      <c r="U1496" s="1"/>
      <c r="V1496" s="1"/>
      <c r="W1496" s="1"/>
      <c r="X1496" s="1"/>
      <c r="Y1496" s="1"/>
      <c r="Z1496" s="1"/>
    </row>
    <row r="1497" ht="15.75" customHeight="1">
      <c r="A1497" s="2">
        <f>IFERROR(__xludf.DUMMYFUNCTION("""COMPUTED_VALUE"""),748000.0)</f>
        <v>748000</v>
      </c>
      <c r="B1497" s="2">
        <f>IFERROR(__xludf.DUMMYFUNCTION("""COMPUTED_VALUE"""),14960.0)</f>
        <v>14960</v>
      </c>
      <c r="C1497" s="66">
        <f>IFERROR(__xludf.DUMMYFUNCTION("""COMPUTED_VALUE"""),1.11826E10)</f>
        <v>11182600000</v>
      </c>
      <c r="D1497" s="1"/>
      <c r="E1497" s="1"/>
      <c r="F1497" s="1"/>
      <c r="G1497" s="1"/>
      <c r="H1497" s="1"/>
      <c r="I1497" s="1"/>
      <c r="J1497" s="1"/>
      <c r="K1497" s="1"/>
      <c r="L1497" s="1"/>
      <c r="M1497" s="1"/>
      <c r="N1497" s="1"/>
      <c r="O1497" s="1"/>
      <c r="P1497" s="1"/>
      <c r="Q1497" s="1"/>
      <c r="R1497" s="1"/>
      <c r="S1497" s="1"/>
      <c r="T1497" s="1"/>
      <c r="U1497" s="1"/>
      <c r="V1497" s="1"/>
      <c r="W1497" s="1"/>
      <c r="X1497" s="1"/>
      <c r="Y1497" s="1"/>
      <c r="Z1497" s="1"/>
    </row>
    <row r="1498" ht="15.75" customHeight="1">
      <c r="A1498" s="2">
        <f>IFERROR(__xludf.DUMMYFUNCTION("""COMPUTED_VALUE"""),748500.0)</f>
        <v>748500</v>
      </c>
      <c r="B1498" s="2">
        <f>IFERROR(__xludf.DUMMYFUNCTION("""COMPUTED_VALUE"""),14970.0)</f>
        <v>14970</v>
      </c>
      <c r="C1498" s="66">
        <f>IFERROR(__xludf.DUMMYFUNCTION("""COMPUTED_VALUE"""),1.119756E10)</f>
        <v>11197560000</v>
      </c>
      <c r="D1498" s="1"/>
      <c r="E1498" s="1"/>
      <c r="F1498" s="1"/>
      <c r="G1498" s="1"/>
      <c r="H1498" s="1"/>
      <c r="I1498" s="1"/>
      <c r="J1498" s="1"/>
      <c r="K1498" s="1"/>
      <c r="L1498" s="1"/>
      <c r="M1498" s="1"/>
      <c r="N1498" s="1"/>
      <c r="O1498" s="1"/>
      <c r="P1498" s="1"/>
      <c r="Q1498" s="1"/>
      <c r="R1498" s="1"/>
      <c r="S1498" s="1"/>
      <c r="T1498" s="1"/>
      <c r="U1498" s="1"/>
      <c r="V1498" s="1"/>
      <c r="W1498" s="1"/>
      <c r="X1498" s="1"/>
      <c r="Y1498" s="1"/>
      <c r="Z1498" s="1"/>
    </row>
    <row r="1499" ht="15.75" customHeight="1">
      <c r="A1499" s="2">
        <f>IFERROR(__xludf.DUMMYFUNCTION("""COMPUTED_VALUE"""),749000.0)</f>
        <v>749000</v>
      </c>
      <c r="B1499" s="2">
        <f>IFERROR(__xludf.DUMMYFUNCTION("""COMPUTED_VALUE"""),14980.0)</f>
        <v>14980</v>
      </c>
      <c r="C1499" s="66">
        <f>IFERROR(__xludf.DUMMYFUNCTION("""COMPUTED_VALUE"""),1.121253E10)</f>
        <v>11212530000</v>
      </c>
      <c r="D1499" s="1"/>
      <c r="E1499" s="1"/>
      <c r="F1499" s="1"/>
      <c r="G1499" s="1"/>
      <c r="H1499" s="1"/>
      <c r="I1499" s="1"/>
      <c r="J1499" s="1"/>
      <c r="K1499" s="1"/>
      <c r="L1499" s="1"/>
      <c r="M1499" s="1"/>
      <c r="N1499" s="1"/>
      <c r="O1499" s="1"/>
      <c r="P1499" s="1"/>
      <c r="Q1499" s="1"/>
      <c r="R1499" s="1"/>
      <c r="S1499" s="1"/>
      <c r="T1499" s="1"/>
      <c r="U1499" s="1"/>
      <c r="V1499" s="1"/>
      <c r="W1499" s="1"/>
      <c r="X1499" s="1"/>
      <c r="Y1499" s="1"/>
      <c r="Z1499" s="1"/>
    </row>
    <row r="1500" ht="15.75" customHeight="1">
      <c r="A1500" s="2">
        <f>IFERROR(__xludf.DUMMYFUNCTION("""COMPUTED_VALUE"""),749500.0)</f>
        <v>749500</v>
      </c>
      <c r="B1500" s="2">
        <f>IFERROR(__xludf.DUMMYFUNCTION("""COMPUTED_VALUE"""),14990.0)</f>
        <v>14990</v>
      </c>
      <c r="C1500" s="66">
        <f>IFERROR(__xludf.DUMMYFUNCTION("""COMPUTED_VALUE"""),1.122751E10)</f>
        <v>11227510000</v>
      </c>
      <c r="D1500" s="1"/>
      <c r="E1500" s="1"/>
      <c r="F1500" s="1"/>
      <c r="G1500" s="1"/>
      <c r="H1500" s="1"/>
      <c r="I1500" s="1"/>
      <c r="J1500" s="1"/>
      <c r="K1500" s="1"/>
      <c r="L1500" s="1"/>
      <c r="M1500" s="1"/>
      <c r="N1500" s="1"/>
      <c r="O1500" s="1"/>
      <c r="P1500" s="1"/>
      <c r="Q1500" s="1"/>
      <c r="R1500" s="1"/>
      <c r="S1500" s="1"/>
      <c r="T1500" s="1"/>
      <c r="U1500" s="1"/>
      <c r="V1500" s="1"/>
      <c r="W1500" s="1"/>
      <c r="X1500" s="1"/>
      <c r="Y1500" s="1"/>
      <c r="Z1500" s="1"/>
    </row>
    <row r="1501" ht="15.75" customHeight="1">
      <c r="A1501" s="2">
        <f>IFERROR(__xludf.DUMMYFUNCTION("""COMPUTED_VALUE"""),750000.0)</f>
        <v>750000</v>
      </c>
      <c r="B1501" s="2">
        <f>IFERROR(__xludf.DUMMYFUNCTION("""COMPUTED_VALUE"""),15000.0)</f>
        <v>15000</v>
      </c>
      <c r="C1501" s="66">
        <f>IFERROR(__xludf.DUMMYFUNCTION("""COMPUTED_VALUE"""),1.12425E10)</f>
        <v>11242500000</v>
      </c>
      <c r="D1501" s="1"/>
      <c r="E1501" s="1"/>
      <c r="F1501" s="1"/>
      <c r="G1501" s="1"/>
      <c r="H1501" s="1"/>
      <c r="I1501" s="1"/>
      <c r="J1501" s="1"/>
      <c r="K1501" s="1"/>
      <c r="L1501" s="1"/>
      <c r="M1501" s="1"/>
      <c r="N1501" s="1"/>
      <c r="O1501" s="1"/>
      <c r="P1501" s="1"/>
      <c r="Q1501" s="1"/>
      <c r="R1501" s="1"/>
      <c r="S1501" s="1"/>
      <c r="T1501" s="1"/>
      <c r="U1501" s="1"/>
      <c r="V1501" s="1"/>
      <c r="W1501" s="1"/>
      <c r="X1501" s="1"/>
      <c r="Y1501" s="1"/>
      <c r="Z1501" s="1"/>
    </row>
    <row r="1502" ht="15.75" customHeight="1">
      <c r="A1502" s="2">
        <f>IFERROR(__xludf.DUMMYFUNCTION("""COMPUTED_VALUE"""),750500.0)</f>
        <v>750500</v>
      </c>
      <c r="B1502" s="2">
        <f>IFERROR(__xludf.DUMMYFUNCTION("""COMPUTED_VALUE"""),15010.0)</f>
        <v>15010</v>
      </c>
      <c r="C1502" s="66">
        <f>IFERROR(__xludf.DUMMYFUNCTION("""COMPUTED_VALUE"""),1.12575E10)</f>
        <v>11257500000</v>
      </c>
      <c r="D1502" s="1"/>
      <c r="E1502" s="1"/>
      <c r="F1502" s="1"/>
      <c r="G1502" s="1"/>
      <c r="H1502" s="1"/>
      <c r="I1502" s="1"/>
      <c r="J1502" s="1"/>
      <c r="K1502" s="1"/>
      <c r="L1502" s="1"/>
      <c r="M1502" s="1"/>
      <c r="N1502" s="1"/>
      <c r="O1502" s="1"/>
      <c r="P1502" s="1"/>
      <c r="Q1502" s="1"/>
      <c r="R1502" s="1"/>
      <c r="S1502" s="1"/>
      <c r="T1502" s="1"/>
      <c r="U1502" s="1"/>
      <c r="V1502" s="1"/>
      <c r="W1502" s="1"/>
      <c r="X1502" s="1"/>
      <c r="Y1502" s="1"/>
      <c r="Z1502" s="1"/>
    </row>
    <row r="1503" ht="15.75" customHeight="1">
      <c r="A1503" s="2">
        <f>IFERROR(__xludf.DUMMYFUNCTION("""COMPUTED_VALUE"""),751000.0)</f>
        <v>751000</v>
      </c>
      <c r="B1503" s="2">
        <f>IFERROR(__xludf.DUMMYFUNCTION("""COMPUTED_VALUE"""),15020.0)</f>
        <v>15020</v>
      </c>
      <c r="C1503" s="66">
        <f>IFERROR(__xludf.DUMMYFUNCTION("""COMPUTED_VALUE"""),1.127251E10)</f>
        <v>11272510000</v>
      </c>
      <c r="D1503" s="1"/>
      <c r="E1503" s="1"/>
      <c r="F1503" s="1"/>
      <c r="G1503" s="1"/>
      <c r="H1503" s="1"/>
      <c r="I1503" s="1"/>
      <c r="J1503" s="1"/>
      <c r="K1503" s="1"/>
      <c r="L1503" s="1"/>
      <c r="M1503" s="1"/>
      <c r="N1503" s="1"/>
      <c r="O1503" s="1"/>
      <c r="P1503" s="1"/>
      <c r="Q1503" s="1"/>
      <c r="R1503" s="1"/>
      <c r="S1503" s="1"/>
      <c r="T1503" s="1"/>
      <c r="U1503" s="1"/>
      <c r="V1503" s="1"/>
      <c r="W1503" s="1"/>
      <c r="X1503" s="1"/>
      <c r="Y1503" s="1"/>
      <c r="Z1503" s="1"/>
    </row>
    <row r="1504" ht="15.75" customHeight="1">
      <c r="A1504" s="2">
        <f>IFERROR(__xludf.DUMMYFUNCTION("""COMPUTED_VALUE"""),751500.0)</f>
        <v>751500</v>
      </c>
      <c r="B1504" s="2">
        <f>IFERROR(__xludf.DUMMYFUNCTION("""COMPUTED_VALUE"""),15030.0)</f>
        <v>15030</v>
      </c>
      <c r="C1504" s="66">
        <f>IFERROR(__xludf.DUMMYFUNCTION("""COMPUTED_VALUE"""),1.128753E10)</f>
        <v>11287530000</v>
      </c>
      <c r="D1504" s="1"/>
      <c r="E1504" s="1"/>
      <c r="F1504" s="1"/>
      <c r="G1504" s="1"/>
      <c r="H1504" s="1"/>
      <c r="I1504" s="1"/>
      <c r="J1504" s="1"/>
      <c r="K1504" s="1"/>
      <c r="L1504" s="1"/>
      <c r="M1504" s="1"/>
      <c r="N1504" s="1"/>
      <c r="O1504" s="1"/>
      <c r="P1504" s="1"/>
      <c r="Q1504" s="1"/>
      <c r="R1504" s="1"/>
      <c r="S1504" s="1"/>
      <c r="T1504" s="1"/>
      <c r="U1504" s="1"/>
      <c r="V1504" s="1"/>
      <c r="W1504" s="1"/>
      <c r="X1504" s="1"/>
      <c r="Y1504" s="1"/>
      <c r="Z1504" s="1"/>
    </row>
    <row r="1505" ht="15.75" customHeight="1">
      <c r="A1505" s="2">
        <f>IFERROR(__xludf.DUMMYFUNCTION("""COMPUTED_VALUE"""),752000.0)</f>
        <v>752000</v>
      </c>
      <c r="B1505" s="2">
        <f>IFERROR(__xludf.DUMMYFUNCTION("""COMPUTED_VALUE"""),15040.0)</f>
        <v>15040</v>
      </c>
      <c r="C1505" s="66">
        <f>IFERROR(__xludf.DUMMYFUNCTION("""COMPUTED_VALUE"""),1.130256E10)</f>
        <v>11302560000</v>
      </c>
      <c r="D1505" s="1"/>
      <c r="E1505" s="1"/>
      <c r="F1505" s="1"/>
      <c r="G1505" s="1"/>
      <c r="H1505" s="1"/>
      <c r="I1505" s="1"/>
      <c r="J1505" s="1"/>
      <c r="K1505" s="1"/>
      <c r="L1505" s="1"/>
      <c r="M1505" s="1"/>
      <c r="N1505" s="1"/>
      <c r="O1505" s="1"/>
      <c r="P1505" s="1"/>
      <c r="Q1505" s="1"/>
      <c r="R1505" s="1"/>
      <c r="S1505" s="1"/>
      <c r="T1505" s="1"/>
      <c r="U1505" s="1"/>
      <c r="V1505" s="1"/>
      <c r="W1505" s="1"/>
      <c r="X1505" s="1"/>
      <c r="Y1505" s="1"/>
      <c r="Z1505" s="1"/>
    </row>
    <row r="1506" ht="15.75" customHeight="1">
      <c r="A1506" s="2">
        <f>IFERROR(__xludf.DUMMYFUNCTION("""COMPUTED_VALUE"""),752500.0)</f>
        <v>752500</v>
      </c>
      <c r="B1506" s="2">
        <f>IFERROR(__xludf.DUMMYFUNCTION("""COMPUTED_VALUE"""),15050.0)</f>
        <v>15050</v>
      </c>
      <c r="C1506" s="66">
        <f>IFERROR(__xludf.DUMMYFUNCTION("""COMPUTED_VALUE"""),1.13176E10)</f>
        <v>11317600000</v>
      </c>
      <c r="D1506" s="1"/>
      <c r="E1506" s="1"/>
      <c r="F1506" s="1"/>
      <c r="G1506" s="1"/>
      <c r="H1506" s="1"/>
      <c r="I1506" s="1"/>
      <c r="J1506" s="1"/>
      <c r="K1506" s="1"/>
      <c r="L1506" s="1"/>
      <c r="M1506" s="1"/>
      <c r="N1506" s="1"/>
      <c r="O1506" s="1"/>
      <c r="P1506" s="1"/>
      <c r="Q1506" s="1"/>
      <c r="R1506" s="1"/>
      <c r="S1506" s="1"/>
      <c r="T1506" s="1"/>
      <c r="U1506" s="1"/>
      <c r="V1506" s="1"/>
      <c r="W1506" s="1"/>
      <c r="X1506" s="1"/>
      <c r="Y1506" s="1"/>
      <c r="Z1506" s="1"/>
    </row>
    <row r="1507" ht="15.75" customHeight="1">
      <c r="A1507" s="2">
        <f>IFERROR(__xludf.DUMMYFUNCTION("""COMPUTED_VALUE"""),753000.0)</f>
        <v>753000</v>
      </c>
      <c r="B1507" s="2">
        <f>IFERROR(__xludf.DUMMYFUNCTION("""COMPUTED_VALUE"""),15060.0)</f>
        <v>15060</v>
      </c>
      <c r="C1507" s="66">
        <f>IFERROR(__xludf.DUMMYFUNCTION("""COMPUTED_VALUE"""),1.133265E10)</f>
        <v>11332650000</v>
      </c>
      <c r="D1507" s="1"/>
      <c r="E1507" s="1"/>
      <c r="F1507" s="1"/>
      <c r="G1507" s="1"/>
      <c r="H1507" s="1"/>
      <c r="I1507" s="1"/>
      <c r="J1507" s="1"/>
      <c r="K1507" s="1"/>
      <c r="L1507" s="1"/>
      <c r="M1507" s="1"/>
      <c r="N1507" s="1"/>
      <c r="O1507" s="1"/>
      <c r="P1507" s="1"/>
      <c r="Q1507" s="1"/>
      <c r="R1507" s="1"/>
      <c r="S1507" s="1"/>
      <c r="T1507" s="1"/>
      <c r="U1507" s="1"/>
      <c r="V1507" s="1"/>
      <c r="W1507" s="1"/>
      <c r="X1507" s="1"/>
      <c r="Y1507" s="1"/>
      <c r="Z1507" s="1"/>
    </row>
    <row r="1508" ht="15.75" customHeight="1">
      <c r="A1508" s="2">
        <f>IFERROR(__xludf.DUMMYFUNCTION("""COMPUTED_VALUE"""),753500.0)</f>
        <v>753500</v>
      </c>
      <c r="B1508" s="2">
        <f>IFERROR(__xludf.DUMMYFUNCTION("""COMPUTED_VALUE"""),15070.0)</f>
        <v>15070</v>
      </c>
      <c r="C1508" s="66">
        <f>IFERROR(__xludf.DUMMYFUNCTION("""COMPUTED_VALUE"""),1.134771E10)</f>
        <v>11347710000</v>
      </c>
      <c r="D1508" s="1"/>
      <c r="E1508" s="1"/>
      <c r="F1508" s="1"/>
      <c r="G1508" s="1"/>
      <c r="H1508" s="1"/>
      <c r="I1508" s="1"/>
      <c r="J1508" s="1"/>
      <c r="K1508" s="1"/>
      <c r="L1508" s="1"/>
      <c r="M1508" s="1"/>
      <c r="N1508" s="1"/>
      <c r="O1508" s="1"/>
      <c r="P1508" s="1"/>
      <c r="Q1508" s="1"/>
      <c r="R1508" s="1"/>
      <c r="S1508" s="1"/>
      <c r="T1508" s="1"/>
      <c r="U1508" s="1"/>
      <c r="V1508" s="1"/>
      <c r="W1508" s="1"/>
      <c r="X1508" s="1"/>
      <c r="Y1508" s="1"/>
      <c r="Z1508" s="1"/>
    </row>
    <row r="1509" ht="15.75" customHeight="1">
      <c r="A1509" s="2">
        <f>IFERROR(__xludf.DUMMYFUNCTION("""COMPUTED_VALUE"""),754000.0)</f>
        <v>754000</v>
      </c>
      <c r="B1509" s="2">
        <f>IFERROR(__xludf.DUMMYFUNCTION("""COMPUTED_VALUE"""),15080.0)</f>
        <v>15080</v>
      </c>
      <c r="C1509" s="66">
        <f>IFERROR(__xludf.DUMMYFUNCTION("""COMPUTED_VALUE"""),1.136278E10)</f>
        <v>11362780000</v>
      </c>
      <c r="D1509" s="1"/>
      <c r="E1509" s="1"/>
      <c r="F1509" s="1"/>
      <c r="G1509" s="1"/>
      <c r="H1509" s="1"/>
      <c r="I1509" s="1"/>
      <c r="J1509" s="1"/>
      <c r="K1509" s="1"/>
      <c r="L1509" s="1"/>
      <c r="M1509" s="1"/>
      <c r="N1509" s="1"/>
      <c r="O1509" s="1"/>
      <c r="P1509" s="1"/>
      <c r="Q1509" s="1"/>
      <c r="R1509" s="1"/>
      <c r="S1509" s="1"/>
      <c r="T1509" s="1"/>
      <c r="U1509" s="1"/>
      <c r="V1509" s="1"/>
      <c r="W1509" s="1"/>
      <c r="X1509" s="1"/>
      <c r="Y1509" s="1"/>
      <c r="Z1509" s="1"/>
    </row>
    <row r="1510" ht="15.75" customHeight="1">
      <c r="A1510" s="2">
        <f>IFERROR(__xludf.DUMMYFUNCTION("""COMPUTED_VALUE"""),754500.0)</f>
        <v>754500</v>
      </c>
      <c r="B1510" s="2">
        <f>IFERROR(__xludf.DUMMYFUNCTION("""COMPUTED_VALUE"""),15090.0)</f>
        <v>15090</v>
      </c>
      <c r="C1510" s="66">
        <f>IFERROR(__xludf.DUMMYFUNCTION("""COMPUTED_VALUE"""),1.137786E10)</f>
        <v>11377860000</v>
      </c>
      <c r="D1510" s="1"/>
      <c r="E1510" s="1"/>
      <c r="F1510" s="1"/>
      <c r="G1510" s="1"/>
      <c r="H1510" s="1"/>
      <c r="I1510" s="1"/>
      <c r="J1510" s="1"/>
      <c r="K1510" s="1"/>
      <c r="L1510" s="1"/>
      <c r="M1510" s="1"/>
      <c r="N1510" s="1"/>
      <c r="O1510" s="1"/>
      <c r="P1510" s="1"/>
      <c r="Q1510" s="1"/>
      <c r="R1510" s="1"/>
      <c r="S1510" s="1"/>
      <c r="T1510" s="1"/>
      <c r="U1510" s="1"/>
      <c r="V1510" s="1"/>
      <c r="W1510" s="1"/>
      <c r="X1510" s="1"/>
      <c r="Y1510" s="1"/>
      <c r="Z1510" s="1"/>
    </row>
    <row r="1511" ht="15.75" customHeight="1">
      <c r="A1511" s="2">
        <f>IFERROR(__xludf.DUMMYFUNCTION("""COMPUTED_VALUE"""),755000.0)</f>
        <v>755000</v>
      </c>
      <c r="B1511" s="2">
        <f>IFERROR(__xludf.DUMMYFUNCTION("""COMPUTED_VALUE"""),15100.0)</f>
        <v>15100</v>
      </c>
      <c r="C1511" s="66">
        <f>IFERROR(__xludf.DUMMYFUNCTION("""COMPUTED_VALUE"""),1.139295E10)</f>
        <v>11392950000</v>
      </c>
      <c r="D1511" s="1"/>
      <c r="E1511" s="1"/>
      <c r="F1511" s="1"/>
      <c r="G1511" s="1"/>
      <c r="H1511" s="1"/>
      <c r="I1511" s="1"/>
      <c r="J1511" s="1"/>
      <c r="K1511" s="1"/>
      <c r="L1511" s="1"/>
      <c r="M1511" s="1"/>
      <c r="N1511" s="1"/>
      <c r="O1511" s="1"/>
      <c r="P1511" s="1"/>
      <c r="Q1511" s="1"/>
      <c r="R1511" s="1"/>
      <c r="S1511" s="1"/>
      <c r="T1511" s="1"/>
      <c r="U1511" s="1"/>
      <c r="V1511" s="1"/>
      <c r="W1511" s="1"/>
      <c r="X1511" s="1"/>
      <c r="Y1511" s="1"/>
      <c r="Z1511" s="1"/>
    </row>
    <row r="1512" ht="15.75" customHeight="1">
      <c r="A1512" s="2">
        <f>IFERROR(__xludf.DUMMYFUNCTION("""COMPUTED_VALUE"""),755500.0)</f>
        <v>755500</v>
      </c>
      <c r="B1512" s="2">
        <f>IFERROR(__xludf.DUMMYFUNCTION("""COMPUTED_VALUE"""),15110.0)</f>
        <v>15110</v>
      </c>
      <c r="C1512" s="66">
        <f>IFERROR(__xludf.DUMMYFUNCTION("""COMPUTED_VALUE"""),1.140805E10)</f>
        <v>11408050000</v>
      </c>
      <c r="D1512" s="1"/>
      <c r="E1512" s="1"/>
      <c r="F1512" s="1"/>
      <c r="G1512" s="1"/>
      <c r="H1512" s="1"/>
      <c r="I1512" s="1"/>
      <c r="J1512" s="1"/>
      <c r="K1512" s="1"/>
      <c r="L1512" s="1"/>
      <c r="M1512" s="1"/>
      <c r="N1512" s="1"/>
      <c r="O1512" s="1"/>
      <c r="P1512" s="1"/>
      <c r="Q1512" s="1"/>
      <c r="R1512" s="1"/>
      <c r="S1512" s="1"/>
      <c r="T1512" s="1"/>
      <c r="U1512" s="1"/>
      <c r="V1512" s="1"/>
      <c r="W1512" s="1"/>
      <c r="X1512" s="1"/>
      <c r="Y1512" s="1"/>
      <c r="Z1512" s="1"/>
    </row>
    <row r="1513" ht="15.75" customHeight="1">
      <c r="A1513" s="2">
        <f>IFERROR(__xludf.DUMMYFUNCTION("""COMPUTED_VALUE"""),756000.0)</f>
        <v>756000</v>
      </c>
      <c r="B1513" s="2">
        <f>IFERROR(__xludf.DUMMYFUNCTION("""COMPUTED_VALUE"""),15120.0)</f>
        <v>15120</v>
      </c>
      <c r="C1513" s="66">
        <f>IFERROR(__xludf.DUMMYFUNCTION("""COMPUTED_VALUE"""),1.142316E10)</f>
        <v>11423160000</v>
      </c>
      <c r="D1513" s="1"/>
      <c r="E1513" s="1"/>
      <c r="F1513" s="1"/>
      <c r="G1513" s="1"/>
      <c r="H1513" s="1"/>
      <c r="I1513" s="1"/>
      <c r="J1513" s="1"/>
      <c r="K1513" s="1"/>
      <c r="L1513" s="1"/>
      <c r="M1513" s="1"/>
      <c r="N1513" s="1"/>
      <c r="O1513" s="1"/>
      <c r="P1513" s="1"/>
      <c r="Q1513" s="1"/>
      <c r="R1513" s="1"/>
      <c r="S1513" s="1"/>
      <c r="T1513" s="1"/>
      <c r="U1513" s="1"/>
      <c r="V1513" s="1"/>
      <c r="W1513" s="1"/>
      <c r="X1513" s="1"/>
      <c r="Y1513" s="1"/>
      <c r="Z1513" s="1"/>
    </row>
    <row r="1514" ht="15.75" customHeight="1">
      <c r="A1514" s="2">
        <f>IFERROR(__xludf.DUMMYFUNCTION("""COMPUTED_VALUE"""),756500.0)</f>
        <v>756500</v>
      </c>
      <c r="B1514" s="2">
        <f>IFERROR(__xludf.DUMMYFUNCTION("""COMPUTED_VALUE"""),15130.0)</f>
        <v>15130</v>
      </c>
      <c r="C1514" s="66">
        <f>IFERROR(__xludf.DUMMYFUNCTION("""COMPUTED_VALUE"""),1.143828E10)</f>
        <v>11438280000</v>
      </c>
      <c r="D1514" s="1"/>
      <c r="E1514" s="1"/>
      <c r="F1514" s="1"/>
      <c r="G1514" s="1"/>
      <c r="H1514" s="1"/>
      <c r="I1514" s="1"/>
      <c r="J1514" s="1"/>
      <c r="K1514" s="1"/>
      <c r="L1514" s="1"/>
      <c r="M1514" s="1"/>
      <c r="N1514" s="1"/>
      <c r="O1514" s="1"/>
      <c r="P1514" s="1"/>
      <c r="Q1514" s="1"/>
      <c r="R1514" s="1"/>
      <c r="S1514" s="1"/>
      <c r="T1514" s="1"/>
      <c r="U1514" s="1"/>
      <c r="V1514" s="1"/>
      <c r="W1514" s="1"/>
      <c r="X1514" s="1"/>
      <c r="Y1514" s="1"/>
      <c r="Z1514" s="1"/>
    </row>
    <row r="1515" ht="15.75" customHeight="1">
      <c r="A1515" s="2">
        <f>IFERROR(__xludf.DUMMYFUNCTION("""COMPUTED_VALUE"""),757000.0)</f>
        <v>757000</v>
      </c>
      <c r="B1515" s="2">
        <f>IFERROR(__xludf.DUMMYFUNCTION("""COMPUTED_VALUE"""),15140.0)</f>
        <v>15140</v>
      </c>
      <c r="C1515" s="66">
        <f>IFERROR(__xludf.DUMMYFUNCTION("""COMPUTED_VALUE"""),1.145341E10)</f>
        <v>11453410000</v>
      </c>
      <c r="D1515" s="1"/>
      <c r="E1515" s="1"/>
      <c r="F1515" s="1"/>
      <c r="G1515" s="1"/>
      <c r="H1515" s="1"/>
      <c r="I1515" s="1"/>
      <c r="J1515" s="1"/>
      <c r="K1515" s="1"/>
      <c r="L1515" s="1"/>
      <c r="M1515" s="1"/>
      <c r="N1515" s="1"/>
      <c r="O1515" s="1"/>
      <c r="P1515" s="1"/>
      <c r="Q1515" s="1"/>
      <c r="R1515" s="1"/>
      <c r="S1515" s="1"/>
      <c r="T1515" s="1"/>
      <c r="U1515" s="1"/>
      <c r="V1515" s="1"/>
      <c r="W1515" s="1"/>
      <c r="X1515" s="1"/>
      <c r="Y1515" s="1"/>
      <c r="Z1515" s="1"/>
    </row>
    <row r="1516" ht="15.75" customHeight="1">
      <c r="A1516" s="2">
        <f>IFERROR(__xludf.DUMMYFUNCTION("""COMPUTED_VALUE"""),757500.0)</f>
        <v>757500</v>
      </c>
      <c r="B1516" s="2">
        <f>IFERROR(__xludf.DUMMYFUNCTION("""COMPUTED_VALUE"""),15150.0)</f>
        <v>15150</v>
      </c>
      <c r="C1516" s="66">
        <f>IFERROR(__xludf.DUMMYFUNCTION("""COMPUTED_VALUE"""),1.146855E10)</f>
        <v>11468550000</v>
      </c>
      <c r="D1516" s="1"/>
      <c r="E1516" s="1"/>
      <c r="F1516" s="1"/>
      <c r="G1516" s="1"/>
      <c r="H1516" s="1"/>
      <c r="I1516" s="1"/>
      <c r="J1516" s="1"/>
      <c r="K1516" s="1"/>
      <c r="L1516" s="1"/>
      <c r="M1516" s="1"/>
      <c r="N1516" s="1"/>
      <c r="O1516" s="1"/>
      <c r="P1516" s="1"/>
      <c r="Q1516" s="1"/>
      <c r="R1516" s="1"/>
      <c r="S1516" s="1"/>
      <c r="T1516" s="1"/>
      <c r="U1516" s="1"/>
      <c r="V1516" s="1"/>
      <c r="W1516" s="1"/>
      <c r="X1516" s="1"/>
      <c r="Y1516" s="1"/>
      <c r="Z1516" s="1"/>
    </row>
    <row r="1517" ht="15.75" customHeight="1">
      <c r="A1517" s="2">
        <f>IFERROR(__xludf.DUMMYFUNCTION("""COMPUTED_VALUE"""),758000.0)</f>
        <v>758000</v>
      </c>
      <c r="B1517" s="2">
        <f>IFERROR(__xludf.DUMMYFUNCTION("""COMPUTED_VALUE"""),15160.0)</f>
        <v>15160</v>
      </c>
      <c r="C1517" s="66">
        <f>IFERROR(__xludf.DUMMYFUNCTION("""COMPUTED_VALUE"""),1.14837E10)</f>
        <v>11483700000</v>
      </c>
      <c r="D1517" s="1"/>
      <c r="E1517" s="1"/>
      <c r="F1517" s="1"/>
      <c r="G1517" s="1"/>
      <c r="H1517" s="1"/>
      <c r="I1517" s="1"/>
      <c r="J1517" s="1"/>
      <c r="K1517" s="1"/>
      <c r="L1517" s="1"/>
      <c r="M1517" s="1"/>
      <c r="N1517" s="1"/>
      <c r="O1517" s="1"/>
      <c r="P1517" s="1"/>
      <c r="Q1517" s="1"/>
      <c r="R1517" s="1"/>
      <c r="S1517" s="1"/>
      <c r="T1517" s="1"/>
      <c r="U1517" s="1"/>
      <c r="V1517" s="1"/>
      <c r="W1517" s="1"/>
      <c r="X1517" s="1"/>
      <c r="Y1517" s="1"/>
      <c r="Z1517" s="1"/>
    </row>
    <row r="1518" ht="15.75" customHeight="1">
      <c r="A1518" s="2">
        <f>IFERROR(__xludf.DUMMYFUNCTION("""COMPUTED_VALUE"""),758500.0)</f>
        <v>758500</v>
      </c>
      <c r="B1518" s="2">
        <f>IFERROR(__xludf.DUMMYFUNCTION("""COMPUTED_VALUE"""),15170.0)</f>
        <v>15170</v>
      </c>
      <c r="C1518" s="66">
        <f>IFERROR(__xludf.DUMMYFUNCTION("""COMPUTED_VALUE"""),1.149886E10)</f>
        <v>11498860000</v>
      </c>
      <c r="D1518" s="1"/>
      <c r="E1518" s="1"/>
      <c r="F1518" s="1"/>
      <c r="G1518" s="1"/>
      <c r="H1518" s="1"/>
      <c r="I1518" s="1"/>
      <c r="J1518" s="1"/>
      <c r="K1518" s="1"/>
      <c r="L1518" s="1"/>
      <c r="M1518" s="1"/>
      <c r="N1518" s="1"/>
      <c r="O1518" s="1"/>
      <c r="P1518" s="1"/>
      <c r="Q1518" s="1"/>
      <c r="R1518" s="1"/>
      <c r="S1518" s="1"/>
      <c r="T1518" s="1"/>
      <c r="U1518" s="1"/>
      <c r="V1518" s="1"/>
      <c r="W1518" s="1"/>
      <c r="X1518" s="1"/>
      <c r="Y1518" s="1"/>
      <c r="Z1518" s="1"/>
    </row>
    <row r="1519" ht="15.75" customHeight="1">
      <c r="A1519" s="2">
        <f>IFERROR(__xludf.DUMMYFUNCTION("""COMPUTED_VALUE"""),759000.0)</f>
        <v>759000</v>
      </c>
      <c r="B1519" s="2">
        <f>IFERROR(__xludf.DUMMYFUNCTION("""COMPUTED_VALUE"""),15180.0)</f>
        <v>15180</v>
      </c>
      <c r="C1519" s="66">
        <f>IFERROR(__xludf.DUMMYFUNCTION("""COMPUTED_VALUE"""),1.151403E10)</f>
        <v>11514030000</v>
      </c>
      <c r="D1519" s="1"/>
      <c r="E1519" s="1"/>
      <c r="F1519" s="1"/>
      <c r="G1519" s="1"/>
      <c r="H1519" s="1"/>
      <c r="I1519" s="1"/>
      <c r="J1519" s="1"/>
      <c r="K1519" s="1"/>
      <c r="L1519" s="1"/>
      <c r="M1519" s="1"/>
      <c r="N1519" s="1"/>
      <c r="O1519" s="1"/>
      <c r="P1519" s="1"/>
      <c r="Q1519" s="1"/>
      <c r="R1519" s="1"/>
      <c r="S1519" s="1"/>
      <c r="T1519" s="1"/>
      <c r="U1519" s="1"/>
      <c r="V1519" s="1"/>
      <c r="W1519" s="1"/>
      <c r="X1519" s="1"/>
      <c r="Y1519" s="1"/>
      <c r="Z1519" s="1"/>
    </row>
    <row r="1520" ht="15.75" customHeight="1">
      <c r="A1520" s="2">
        <f>IFERROR(__xludf.DUMMYFUNCTION("""COMPUTED_VALUE"""),759500.0)</f>
        <v>759500</v>
      </c>
      <c r="B1520" s="2">
        <f>IFERROR(__xludf.DUMMYFUNCTION("""COMPUTED_VALUE"""),15190.0)</f>
        <v>15190</v>
      </c>
      <c r="C1520" s="66">
        <f>IFERROR(__xludf.DUMMYFUNCTION("""COMPUTED_VALUE"""),1.152921E10)</f>
        <v>11529210000</v>
      </c>
      <c r="D1520" s="1"/>
      <c r="E1520" s="1"/>
      <c r="F1520" s="1"/>
      <c r="G1520" s="1"/>
      <c r="H1520" s="1"/>
      <c r="I1520" s="1"/>
      <c r="J1520" s="1"/>
      <c r="K1520" s="1"/>
      <c r="L1520" s="1"/>
      <c r="M1520" s="1"/>
      <c r="N1520" s="1"/>
      <c r="O1520" s="1"/>
      <c r="P1520" s="1"/>
      <c r="Q1520" s="1"/>
      <c r="R1520" s="1"/>
      <c r="S1520" s="1"/>
      <c r="T1520" s="1"/>
      <c r="U1520" s="1"/>
      <c r="V1520" s="1"/>
      <c r="W1520" s="1"/>
      <c r="X1520" s="1"/>
      <c r="Y1520" s="1"/>
      <c r="Z1520" s="1"/>
    </row>
    <row r="1521" ht="15.75" customHeight="1">
      <c r="A1521" s="2">
        <f>IFERROR(__xludf.DUMMYFUNCTION("""COMPUTED_VALUE"""),760000.0)</f>
        <v>760000</v>
      </c>
      <c r="B1521" s="2">
        <f>IFERROR(__xludf.DUMMYFUNCTION("""COMPUTED_VALUE"""),15200.0)</f>
        <v>15200</v>
      </c>
      <c r="C1521" s="66">
        <f>IFERROR(__xludf.DUMMYFUNCTION("""COMPUTED_VALUE"""),1.15444E10)</f>
        <v>11544400000</v>
      </c>
      <c r="D1521" s="1"/>
      <c r="E1521" s="1"/>
      <c r="F1521" s="1"/>
      <c r="G1521" s="1"/>
      <c r="H1521" s="1"/>
      <c r="I1521" s="1"/>
      <c r="J1521" s="1"/>
      <c r="K1521" s="1"/>
      <c r="L1521" s="1"/>
      <c r="M1521" s="1"/>
      <c r="N1521" s="1"/>
      <c r="O1521" s="1"/>
      <c r="P1521" s="1"/>
      <c r="Q1521" s="1"/>
      <c r="R1521" s="1"/>
      <c r="S1521" s="1"/>
      <c r="T1521" s="1"/>
      <c r="U1521" s="1"/>
      <c r="V1521" s="1"/>
      <c r="W1521" s="1"/>
      <c r="X1521" s="1"/>
      <c r="Y1521" s="1"/>
      <c r="Z1521" s="1"/>
    </row>
    <row r="1522" ht="15.75" customHeight="1">
      <c r="A1522" s="2">
        <f>IFERROR(__xludf.DUMMYFUNCTION("""COMPUTED_VALUE"""),760500.0)</f>
        <v>760500</v>
      </c>
      <c r="B1522" s="2">
        <f>IFERROR(__xludf.DUMMYFUNCTION("""COMPUTED_VALUE"""),15210.0)</f>
        <v>15210</v>
      </c>
      <c r="C1522" s="66">
        <f>IFERROR(__xludf.DUMMYFUNCTION("""COMPUTED_VALUE"""),1.15596E10)</f>
        <v>11559600000</v>
      </c>
      <c r="D1522" s="1"/>
      <c r="E1522" s="1"/>
      <c r="F1522" s="1"/>
      <c r="G1522" s="1"/>
      <c r="H1522" s="1"/>
      <c r="I1522" s="1"/>
      <c r="J1522" s="1"/>
      <c r="K1522" s="1"/>
      <c r="L1522" s="1"/>
      <c r="M1522" s="1"/>
      <c r="N1522" s="1"/>
      <c r="O1522" s="1"/>
      <c r="P1522" s="1"/>
      <c r="Q1522" s="1"/>
      <c r="R1522" s="1"/>
      <c r="S1522" s="1"/>
      <c r="T1522" s="1"/>
      <c r="U1522" s="1"/>
      <c r="V1522" s="1"/>
      <c r="W1522" s="1"/>
      <c r="X1522" s="1"/>
      <c r="Y1522" s="1"/>
      <c r="Z1522" s="1"/>
    </row>
    <row r="1523" ht="15.75" customHeight="1">
      <c r="A1523" s="2">
        <f>IFERROR(__xludf.DUMMYFUNCTION("""COMPUTED_VALUE"""),761000.0)</f>
        <v>761000</v>
      </c>
      <c r="B1523" s="2">
        <f>IFERROR(__xludf.DUMMYFUNCTION("""COMPUTED_VALUE"""),15220.0)</f>
        <v>15220</v>
      </c>
      <c r="C1523" s="66">
        <f>IFERROR(__xludf.DUMMYFUNCTION("""COMPUTED_VALUE"""),1.157481E10)</f>
        <v>11574810000</v>
      </c>
      <c r="D1523" s="1"/>
      <c r="E1523" s="1"/>
      <c r="F1523" s="1"/>
      <c r="G1523" s="1"/>
      <c r="H1523" s="1"/>
      <c r="I1523" s="1"/>
      <c r="J1523" s="1"/>
      <c r="K1523" s="1"/>
      <c r="L1523" s="1"/>
      <c r="M1523" s="1"/>
      <c r="N1523" s="1"/>
      <c r="O1523" s="1"/>
      <c r="P1523" s="1"/>
      <c r="Q1523" s="1"/>
      <c r="R1523" s="1"/>
      <c r="S1523" s="1"/>
      <c r="T1523" s="1"/>
      <c r="U1523" s="1"/>
      <c r="V1523" s="1"/>
      <c r="W1523" s="1"/>
      <c r="X1523" s="1"/>
      <c r="Y1523" s="1"/>
      <c r="Z1523" s="1"/>
    </row>
    <row r="1524" ht="15.75" customHeight="1">
      <c r="A1524" s="2">
        <f>IFERROR(__xludf.DUMMYFUNCTION("""COMPUTED_VALUE"""),761500.0)</f>
        <v>761500</v>
      </c>
      <c r="B1524" s="2">
        <f>IFERROR(__xludf.DUMMYFUNCTION("""COMPUTED_VALUE"""),15230.0)</f>
        <v>15230</v>
      </c>
      <c r="C1524" s="66">
        <f>IFERROR(__xludf.DUMMYFUNCTION("""COMPUTED_VALUE"""),1.159003E10)</f>
        <v>11590030000</v>
      </c>
      <c r="D1524" s="1"/>
      <c r="E1524" s="1"/>
      <c r="F1524" s="1"/>
      <c r="G1524" s="1"/>
      <c r="H1524" s="1"/>
      <c r="I1524" s="1"/>
      <c r="J1524" s="1"/>
      <c r="K1524" s="1"/>
      <c r="L1524" s="1"/>
      <c r="M1524" s="1"/>
      <c r="N1524" s="1"/>
      <c r="O1524" s="1"/>
      <c r="P1524" s="1"/>
      <c r="Q1524" s="1"/>
      <c r="R1524" s="1"/>
      <c r="S1524" s="1"/>
      <c r="T1524" s="1"/>
      <c r="U1524" s="1"/>
      <c r="V1524" s="1"/>
      <c r="W1524" s="1"/>
      <c r="X1524" s="1"/>
      <c r="Y1524" s="1"/>
      <c r="Z1524" s="1"/>
    </row>
    <row r="1525" ht="15.75" customHeight="1">
      <c r="A1525" s="2">
        <f>IFERROR(__xludf.DUMMYFUNCTION("""COMPUTED_VALUE"""),762000.0)</f>
        <v>762000</v>
      </c>
      <c r="B1525" s="2">
        <f>IFERROR(__xludf.DUMMYFUNCTION("""COMPUTED_VALUE"""),15240.0)</f>
        <v>15240</v>
      </c>
      <c r="C1525" s="66">
        <f>IFERROR(__xludf.DUMMYFUNCTION("""COMPUTED_VALUE"""),1.160526E10)</f>
        <v>11605260000</v>
      </c>
      <c r="D1525" s="1"/>
      <c r="E1525" s="1"/>
      <c r="F1525" s="1"/>
      <c r="G1525" s="1"/>
      <c r="H1525" s="1"/>
      <c r="I1525" s="1"/>
      <c r="J1525" s="1"/>
      <c r="K1525" s="1"/>
      <c r="L1525" s="1"/>
      <c r="M1525" s="1"/>
      <c r="N1525" s="1"/>
      <c r="O1525" s="1"/>
      <c r="P1525" s="1"/>
      <c r="Q1525" s="1"/>
      <c r="R1525" s="1"/>
      <c r="S1525" s="1"/>
      <c r="T1525" s="1"/>
      <c r="U1525" s="1"/>
      <c r="V1525" s="1"/>
      <c r="W1525" s="1"/>
      <c r="X1525" s="1"/>
      <c r="Y1525" s="1"/>
      <c r="Z1525" s="1"/>
    </row>
    <row r="1526" ht="15.75" customHeight="1">
      <c r="A1526" s="2">
        <f>IFERROR(__xludf.DUMMYFUNCTION("""COMPUTED_VALUE"""),762500.0)</f>
        <v>762500</v>
      </c>
      <c r="B1526" s="2">
        <f>IFERROR(__xludf.DUMMYFUNCTION("""COMPUTED_VALUE"""),15250.0)</f>
        <v>15250</v>
      </c>
      <c r="C1526" s="66">
        <f>IFERROR(__xludf.DUMMYFUNCTION("""COMPUTED_VALUE"""),1.16205E10)</f>
        <v>11620500000</v>
      </c>
      <c r="D1526" s="1"/>
      <c r="E1526" s="1"/>
      <c r="F1526" s="1"/>
      <c r="G1526" s="1"/>
      <c r="H1526" s="1"/>
      <c r="I1526" s="1"/>
      <c r="J1526" s="1"/>
      <c r="K1526" s="1"/>
      <c r="L1526" s="1"/>
      <c r="M1526" s="1"/>
      <c r="N1526" s="1"/>
      <c r="O1526" s="1"/>
      <c r="P1526" s="1"/>
      <c r="Q1526" s="1"/>
      <c r="R1526" s="1"/>
      <c r="S1526" s="1"/>
      <c r="T1526" s="1"/>
      <c r="U1526" s="1"/>
      <c r="V1526" s="1"/>
      <c r="W1526" s="1"/>
      <c r="X1526" s="1"/>
      <c r="Y1526" s="1"/>
      <c r="Z1526" s="1"/>
    </row>
    <row r="1527" ht="15.75" customHeight="1">
      <c r="A1527" s="2">
        <f>IFERROR(__xludf.DUMMYFUNCTION("""COMPUTED_VALUE"""),763000.0)</f>
        <v>763000</v>
      </c>
      <c r="B1527" s="2">
        <f>IFERROR(__xludf.DUMMYFUNCTION("""COMPUTED_VALUE"""),15260.0)</f>
        <v>15260</v>
      </c>
      <c r="C1527" s="66">
        <f>IFERROR(__xludf.DUMMYFUNCTION("""COMPUTED_VALUE"""),1.163575E10)</f>
        <v>11635750000</v>
      </c>
      <c r="D1527" s="1"/>
      <c r="E1527" s="1"/>
      <c r="F1527" s="1"/>
      <c r="G1527" s="1"/>
      <c r="H1527" s="1"/>
      <c r="I1527" s="1"/>
      <c r="J1527" s="1"/>
      <c r="K1527" s="1"/>
      <c r="L1527" s="1"/>
      <c r="M1527" s="1"/>
      <c r="N1527" s="1"/>
      <c r="O1527" s="1"/>
      <c r="P1527" s="1"/>
      <c r="Q1527" s="1"/>
      <c r="R1527" s="1"/>
      <c r="S1527" s="1"/>
      <c r="T1527" s="1"/>
      <c r="U1527" s="1"/>
      <c r="V1527" s="1"/>
      <c r="W1527" s="1"/>
      <c r="X1527" s="1"/>
      <c r="Y1527" s="1"/>
      <c r="Z1527" s="1"/>
    </row>
    <row r="1528" ht="15.75" customHeight="1">
      <c r="A1528" s="2">
        <f>IFERROR(__xludf.DUMMYFUNCTION("""COMPUTED_VALUE"""),763500.0)</f>
        <v>763500</v>
      </c>
      <c r="B1528" s="2">
        <f>IFERROR(__xludf.DUMMYFUNCTION("""COMPUTED_VALUE"""),15270.0)</f>
        <v>15270</v>
      </c>
      <c r="C1528" s="66">
        <f>IFERROR(__xludf.DUMMYFUNCTION("""COMPUTED_VALUE"""),1.165101E10)</f>
        <v>11651010000</v>
      </c>
      <c r="D1528" s="1"/>
      <c r="E1528" s="1"/>
      <c r="F1528" s="1"/>
      <c r="G1528" s="1"/>
      <c r="H1528" s="1"/>
      <c r="I1528" s="1"/>
      <c r="J1528" s="1"/>
      <c r="K1528" s="1"/>
      <c r="L1528" s="1"/>
      <c r="M1528" s="1"/>
      <c r="N1528" s="1"/>
      <c r="O1528" s="1"/>
      <c r="P1528" s="1"/>
      <c r="Q1528" s="1"/>
      <c r="R1528" s="1"/>
      <c r="S1528" s="1"/>
      <c r="T1528" s="1"/>
      <c r="U1528" s="1"/>
      <c r="V1528" s="1"/>
      <c r="W1528" s="1"/>
      <c r="X1528" s="1"/>
      <c r="Y1528" s="1"/>
      <c r="Z1528" s="1"/>
    </row>
    <row r="1529" ht="15.75" customHeight="1">
      <c r="A1529" s="2">
        <f>IFERROR(__xludf.DUMMYFUNCTION("""COMPUTED_VALUE"""),764000.0)</f>
        <v>764000</v>
      </c>
      <c r="B1529" s="2">
        <f>IFERROR(__xludf.DUMMYFUNCTION("""COMPUTED_VALUE"""),15280.0)</f>
        <v>15280</v>
      </c>
      <c r="C1529" s="66">
        <f>IFERROR(__xludf.DUMMYFUNCTION("""COMPUTED_VALUE"""),1.166628E10)</f>
        <v>11666280000</v>
      </c>
      <c r="D1529" s="1"/>
      <c r="E1529" s="1"/>
      <c r="F1529" s="1"/>
      <c r="G1529" s="1"/>
      <c r="H1529" s="1"/>
      <c r="I1529" s="1"/>
      <c r="J1529" s="1"/>
      <c r="K1529" s="1"/>
      <c r="L1529" s="1"/>
      <c r="M1529" s="1"/>
      <c r="N1529" s="1"/>
      <c r="O1529" s="1"/>
      <c r="P1529" s="1"/>
      <c r="Q1529" s="1"/>
      <c r="R1529" s="1"/>
      <c r="S1529" s="1"/>
      <c r="T1529" s="1"/>
      <c r="U1529" s="1"/>
      <c r="V1529" s="1"/>
      <c r="W1529" s="1"/>
      <c r="X1529" s="1"/>
      <c r="Y1529" s="1"/>
      <c r="Z1529" s="1"/>
    </row>
    <row r="1530" ht="15.75" customHeight="1">
      <c r="A1530" s="2">
        <f>IFERROR(__xludf.DUMMYFUNCTION("""COMPUTED_VALUE"""),764500.0)</f>
        <v>764500</v>
      </c>
      <c r="B1530" s="2">
        <f>IFERROR(__xludf.DUMMYFUNCTION("""COMPUTED_VALUE"""),15290.0)</f>
        <v>15290</v>
      </c>
      <c r="C1530" s="66">
        <f>IFERROR(__xludf.DUMMYFUNCTION("""COMPUTED_VALUE"""),1.168156E10)</f>
        <v>11681560000</v>
      </c>
      <c r="D1530" s="1"/>
      <c r="E1530" s="1"/>
      <c r="F1530" s="1"/>
      <c r="G1530" s="1"/>
      <c r="H1530" s="1"/>
      <c r="I1530" s="1"/>
      <c r="J1530" s="1"/>
      <c r="K1530" s="1"/>
      <c r="L1530" s="1"/>
      <c r="M1530" s="1"/>
      <c r="N1530" s="1"/>
      <c r="O1530" s="1"/>
      <c r="P1530" s="1"/>
      <c r="Q1530" s="1"/>
      <c r="R1530" s="1"/>
      <c r="S1530" s="1"/>
      <c r="T1530" s="1"/>
      <c r="U1530" s="1"/>
      <c r="V1530" s="1"/>
      <c r="W1530" s="1"/>
      <c r="X1530" s="1"/>
      <c r="Y1530" s="1"/>
      <c r="Z1530" s="1"/>
    </row>
    <row r="1531" ht="15.75" customHeight="1">
      <c r="A1531" s="2">
        <f>IFERROR(__xludf.DUMMYFUNCTION("""COMPUTED_VALUE"""),765000.0)</f>
        <v>765000</v>
      </c>
      <c r="B1531" s="2">
        <f>IFERROR(__xludf.DUMMYFUNCTION("""COMPUTED_VALUE"""),15300.0)</f>
        <v>15300</v>
      </c>
      <c r="C1531" s="66">
        <f>IFERROR(__xludf.DUMMYFUNCTION("""COMPUTED_VALUE"""),1.169685E10)</f>
        <v>11696850000</v>
      </c>
      <c r="D1531" s="1"/>
      <c r="E1531" s="1"/>
      <c r="F1531" s="1"/>
      <c r="G1531" s="1"/>
      <c r="H1531" s="1"/>
      <c r="I1531" s="1"/>
      <c r="J1531" s="1"/>
      <c r="K1531" s="1"/>
      <c r="L1531" s="1"/>
      <c r="M1531" s="1"/>
      <c r="N1531" s="1"/>
      <c r="O1531" s="1"/>
      <c r="P1531" s="1"/>
      <c r="Q1531" s="1"/>
      <c r="R1531" s="1"/>
      <c r="S1531" s="1"/>
      <c r="T1531" s="1"/>
      <c r="U1531" s="1"/>
      <c r="V1531" s="1"/>
      <c r="W1531" s="1"/>
      <c r="X1531" s="1"/>
      <c r="Y1531" s="1"/>
      <c r="Z1531" s="1"/>
    </row>
    <row r="1532" ht="15.75" customHeight="1">
      <c r="A1532" s="2">
        <f>IFERROR(__xludf.DUMMYFUNCTION("""COMPUTED_VALUE"""),765500.0)</f>
        <v>765500</v>
      </c>
      <c r="B1532" s="2">
        <f>IFERROR(__xludf.DUMMYFUNCTION("""COMPUTED_VALUE"""),15310.0)</f>
        <v>15310</v>
      </c>
      <c r="C1532" s="66">
        <f>IFERROR(__xludf.DUMMYFUNCTION("""COMPUTED_VALUE"""),1.171215E10)</f>
        <v>11712150000</v>
      </c>
      <c r="D1532" s="1"/>
      <c r="E1532" s="1"/>
      <c r="F1532" s="1"/>
      <c r="G1532" s="1"/>
      <c r="H1532" s="1"/>
      <c r="I1532" s="1"/>
      <c r="J1532" s="1"/>
      <c r="K1532" s="1"/>
      <c r="L1532" s="1"/>
      <c r="M1532" s="1"/>
      <c r="N1532" s="1"/>
      <c r="O1532" s="1"/>
      <c r="P1532" s="1"/>
      <c r="Q1532" s="1"/>
      <c r="R1532" s="1"/>
      <c r="S1532" s="1"/>
      <c r="T1532" s="1"/>
      <c r="U1532" s="1"/>
      <c r="V1532" s="1"/>
      <c r="W1532" s="1"/>
      <c r="X1532" s="1"/>
      <c r="Y1532" s="1"/>
      <c r="Z1532" s="1"/>
    </row>
    <row r="1533" ht="15.75" customHeight="1">
      <c r="A1533" s="2">
        <f>IFERROR(__xludf.DUMMYFUNCTION("""COMPUTED_VALUE"""),766000.0)</f>
        <v>766000</v>
      </c>
      <c r="B1533" s="2">
        <f>IFERROR(__xludf.DUMMYFUNCTION("""COMPUTED_VALUE"""),15320.0)</f>
        <v>15320</v>
      </c>
      <c r="C1533" s="66">
        <f>IFERROR(__xludf.DUMMYFUNCTION("""COMPUTED_VALUE"""),1.172746E10)</f>
        <v>11727460000</v>
      </c>
      <c r="D1533" s="1"/>
      <c r="E1533" s="1"/>
      <c r="F1533" s="1"/>
      <c r="G1533" s="1"/>
      <c r="H1533" s="1"/>
      <c r="I1533" s="1"/>
      <c r="J1533" s="1"/>
      <c r="K1533" s="1"/>
      <c r="L1533" s="1"/>
      <c r="M1533" s="1"/>
      <c r="N1533" s="1"/>
      <c r="O1533" s="1"/>
      <c r="P1533" s="1"/>
      <c r="Q1533" s="1"/>
      <c r="R1533" s="1"/>
      <c r="S1533" s="1"/>
      <c r="T1533" s="1"/>
      <c r="U1533" s="1"/>
      <c r="V1533" s="1"/>
      <c r="W1533" s="1"/>
      <c r="X1533" s="1"/>
      <c r="Y1533" s="1"/>
      <c r="Z1533" s="1"/>
    </row>
    <row r="1534" ht="15.75" customHeight="1">
      <c r="A1534" s="2">
        <f>IFERROR(__xludf.DUMMYFUNCTION("""COMPUTED_VALUE"""),766500.0)</f>
        <v>766500</v>
      </c>
      <c r="B1534" s="2">
        <f>IFERROR(__xludf.DUMMYFUNCTION("""COMPUTED_VALUE"""),15330.0)</f>
        <v>15330</v>
      </c>
      <c r="C1534" s="66">
        <f>IFERROR(__xludf.DUMMYFUNCTION("""COMPUTED_VALUE"""),1.174278E10)</f>
        <v>11742780000</v>
      </c>
      <c r="D1534" s="1"/>
      <c r="E1534" s="1"/>
      <c r="F1534" s="1"/>
      <c r="G1534" s="1"/>
      <c r="H1534" s="1"/>
      <c r="I1534" s="1"/>
      <c r="J1534" s="1"/>
      <c r="K1534" s="1"/>
      <c r="L1534" s="1"/>
      <c r="M1534" s="1"/>
      <c r="N1534" s="1"/>
      <c r="O1534" s="1"/>
      <c r="P1534" s="1"/>
      <c r="Q1534" s="1"/>
      <c r="R1534" s="1"/>
      <c r="S1534" s="1"/>
      <c r="T1534" s="1"/>
      <c r="U1534" s="1"/>
      <c r="V1534" s="1"/>
      <c r="W1534" s="1"/>
      <c r="X1534" s="1"/>
      <c r="Y1534" s="1"/>
      <c r="Z1534" s="1"/>
    </row>
    <row r="1535" ht="15.75" customHeight="1">
      <c r="A1535" s="2">
        <f>IFERROR(__xludf.DUMMYFUNCTION("""COMPUTED_VALUE"""),767000.0)</f>
        <v>767000</v>
      </c>
      <c r="B1535" s="2">
        <f>IFERROR(__xludf.DUMMYFUNCTION("""COMPUTED_VALUE"""),15340.0)</f>
        <v>15340</v>
      </c>
      <c r="C1535" s="66">
        <f>IFERROR(__xludf.DUMMYFUNCTION("""COMPUTED_VALUE"""),1.175811E10)</f>
        <v>11758110000</v>
      </c>
      <c r="D1535" s="1"/>
      <c r="E1535" s="1"/>
      <c r="F1535" s="1"/>
      <c r="G1535" s="1"/>
      <c r="H1535" s="1"/>
      <c r="I1535" s="1"/>
      <c r="J1535" s="1"/>
      <c r="K1535" s="1"/>
      <c r="L1535" s="1"/>
      <c r="M1535" s="1"/>
      <c r="N1535" s="1"/>
      <c r="O1535" s="1"/>
      <c r="P1535" s="1"/>
      <c r="Q1535" s="1"/>
      <c r="R1535" s="1"/>
      <c r="S1535" s="1"/>
      <c r="T1535" s="1"/>
      <c r="U1535" s="1"/>
      <c r="V1535" s="1"/>
      <c r="W1535" s="1"/>
      <c r="X1535" s="1"/>
      <c r="Y1535" s="1"/>
      <c r="Z1535" s="1"/>
    </row>
    <row r="1536" ht="15.75" customHeight="1">
      <c r="A1536" s="2">
        <f>IFERROR(__xludf.DUMMYFUNCTION("""COMPUTED_VALUE"""),767500.0)</f>
        <v>767500</v>
      </c>
      <c r="B1536" s="2">
        <f>IFERROR(__xludf.DUMMYFUNCTION("""COMPUTED_VALUE"""),15350.0)</f>
        <v>15350</v>
      </c>
      <c r="C1536" s="66">
        <f>IFERROR(__xludf.DUMMYFUNCTION("""COMPUTED_VALUE"""),1.177345E10)</f>
        <v>11773450000</v>
      </c>
      <c r="D1536" s="1"/>
      <c r="E1536" s="1"/>
      <c r="F1536" s="1"/>
      <c r="G1536" s="1"/>
      <c r="H1536" s="1"/>
      <c r="I1536" s="1"/>
      <c r="J1536" s="1"/>
      <c r="K1536" s="1"/>
      <c r="L1536" s="1"/>
      <c r="M1536" s="1"/>
      <c r="N1536" s="1"/>
      <c r="O1536" s="1"/>
      <c r="P1536" s="1"/>
      <c r="Q1536" s="1"/>
      <c r="R1536" s="1"/>
      <c r="S1536" s="1"/>
      <c r="T1536" s="1"/>
      <c r="U1536" s="1"/>
      <c r="V1536" s="1"/>
      <c r="W1536" s="1"/>
      <c r="X1536" s="1"/>
      <c r="Y1536" s="1"/>
      <c r="Z1536" s="1"/>
    </row>
    <row r="1537" ht="15.75" customHeight="1">
      <c r="A1537" s="2">
        <f>IFERROR(__xludf.DUMMYFUNCTION("""COMPUTED_VALUE"""),768000.0)</f>
        <v>768000</v>
      </c>
      <c r="B1537" s="2">
        <f>IFERROR(__xludf.DUMMYFUNCTION("""COMPUTED_VALUE"""),15360.0)</f>
        <v>15360</v>
      </c>
      <c r="C1537" s="66">
        <f>IFERROR(__xludf.DUMMYFUNCTION("""COMPUTED_VALUE"""),1.17888E10)</f>
        <v>11788800000</v>
      </c>
      <c r="D1537" s="1"/>
      <c r="E1537" s="1"/>
      <c r="F1537" s="1"/>
      <c r="G1537" s="1"/>
      <c r="H1537" s="1"/>
      <c r="I1537" s="1"/>
      <c r="J1537" s="1"/>
      <c r="K1537" s="1"/>
      <c r="L1537" s="1"/>
      <c r="M1537" s="1"/>
      <c r="N1537" s="1"/>
      <c r="O1537" s="1"/>
      <c r="P1537" s="1"/>
      <c r="Q1537" s="1"/>
      <c r="R1537" s="1"/>
      <c r="S1537" s="1"/>
      <c r="T1537" s="1"/>
      <c r="U1537" s="1"/>
      <c r="V1537" s="1"/>
      <c r="W1537" s="1"/>
      <c r="X1537" s="1"/>
      <c r="Y1537" s="1"/>
      <c r="Z1537" s="1"/>
    </row>
    <row r="1538" ht="15.75" customHeight="1">
      <c r="A1538" s="2">
        <f>IFERROR(__xludf.DUMMYFUNCTION("""COMPUTED_VALUE"""),768500.0)</f>
        <v>768500</v>
      </c>
      <c r="B1538" s="2">
        <f>IFERROR(__xludf.DUMMYFUNCTION("""COMPUTED_VALUE"""),15370.0)</f>
        <v>15370</v>
      </c>
      <c r="C1538" s="66">
        <f>IFERROR(__xludf.DUMMYFUNCTION("""COMPUTED_VALUE"""),1.180416E10)</f>
        <v>11804160000</v>
      </c>
      <c r="D1538" s="1"/>
      <c r="E1538" s="1"/>
      <c r="F1538" s="1"/>
      <c r="G1538" s="1"/>
      <c r="H1538" s="1"/>
      <c r="I1538" s="1"/>
      <c r="J1538" s="1"/>
      <c r="K1538" s="1"/>
      <c r="L1538" s="1"/>
      <c r="M1538" s="1"/>
      <c r="N1538" s="1"/>
      <c r="O1538" s="1"/>
      <c r="P1538" s="1"/>
      <c r="Q1538" s="1"/>
      <c r="R1538" s="1"/>
      <c r="S1538" s="1"/>
      <c r="T1538" s="1"/>
      <c r="U1538" s="1"/>
      <c r="V1538" s="1"/>
      <c r="W1538" s="1"/>
      <c r="X1538" s="1"/>
      <c r="Y1538" s="1"/>
      <c r="Z1538" s="1"/>
    </row>
    <row r="1539" ht="15.75" customHeight="1">
      <c r="A1539" s="2">
        <f>IFERROR(__xludf.DUMMYFUNCTION("""COMPUTED_VALUE"""),769000.0)</f>
        <v>769000</v>
      </c>
      <c r="B1539" s="2">
        <f>IFERROR(__xludf.DUMMYFUNCTION("""COMPUTED_VALUE"""),15380.0)</f>
        <v>15380</v>
      </c>
      <c r="C1539" s="66">
        <f>IFERROR(__xludf.DUMMYFUNCTION("""COMPUTED_VALUE"""),1.181953E10)</f>
        <v>11819530000</v>
      </c>
      <c r="D1539" s="1"/>
      <c r="E1539" s="1"/>
      <c r="F1539" s="1"/>
      <c r="G1539" s="1"/>
      <c r="H1539" s="1"/>
      <c r="I1539" s="1"/>
      <c r="J1539" s="1"/>
      <c r="K1539" s="1"/>
      <c r="L1539" s="1"/>
      <c r="M1539" s="1"/>
      <c r="N1539" s="1"/>
      <c r="O1539" s="1"/>
      <c r="P1539" s="1"/>
      <c r="Q1539" s="1"/>
      <c r="R1539" s="1"/>
      <c r="S1539" s="1"/>
      <c r="T1539" s="1"/>
      <c r="U1539" s="1"/>
      <c r="V1539" s="1"/>
      <c r="W1539" s="1"/>
      <c r="X1539" s="1"/>
      <c r="Y1539" s="1"/>
      <c r="Z1539" s="1"/>
    </row>
    <row r="1540" ht="15.75" customHeight="1">
      <c r="A1540" s="2">
        <f>IFERROR(__xludf.DUMMYFUNCTION("""COMPUTED_VALUE"""),769500.0)</f>
        <v>769500</v>
      </c>
      <c r="B1540" s="2">
        <f>IFERROR(__xludf.DUMMYFUNCTION("""COMPUTED_VALUE"""),15390.0)</f>
        <v>15390</v>
      </c>
      <c r="C1540" s="66">
        <f>IFERROR(__xludf.DUMMYFUNCTION("""COMPUTED_VALUE"""),1.183491E10)</f>
        <v>11834910000</v>
      </c>
      <c r="D1540" s="1"/>
      <c r="E1540" s="1"/>
      <c r="F1540" s="1"/>
      <c r="G1540" s="1"/>
      <c r="H1540" s="1"/>
      <c r="I1540" s="1"/>
      <c r="J1540" s="1"/>
      <c r="K1540" s="1"/>
      <c r="L1540" s="1"/>
      <c r="M1540" s="1"/>
      <c r="N1540" s="1"/>
      <c r="O1540" s="1"/>
      <c r="P1540" s="1"/>
      <c r="Q1540" s="1"/>
      <c r="R1540" s="1"/>
      <c r="S1540" s="1"/>
      <c r="T1540" s="1"/>
      <c r="U1540" s="1"/>
      <c r="V1540" s="1"/>
      <c r="W1540" s="1"/>
      <c r="X1540" s="1"/>
      <c r="Y1540" s="1"/>
      <c r="Z1540" s="1"/>
    </row>
    <row r="1541" ht="15.75" customHeight="1">
      <c r="A1541" s="2">
        <f>IFERROR(__xludf.DUMMYFUNCTION("""COMPUTED_VALUE"""),770000.0)</f>
        <v>770000</v>
      </c>
      <c r="B1541" s="2">
        <f>IFERROR(__xludf.DUMMYFUNCTION("""COMPUTED_VALUE"""),15400.0)</f>
        <v>15400</v>
      </c>
      <c r="C1541" s="66">
        <f>IFERROR(__xludf.DUMMYFUNCTION("""COMPUTED_VALUE"""),1.18503E10)</f>
        <v>11850300000</v>
      </c>
      <c r="D1541" s="1"/>
      <c r="E1541" s="1"/>
      <c r="F1541" s="1"/>
      <c r="G1541" s="1"/>
      <c r="H1541" s="1"/>
      <c r="I1541" s="1"/>
      <c r="J1541" s="1"/>
      <c r="K1541" s="1"/>
      <c r="L1541" s="1"/>
      <c r="M1541" s="1"/>
      <c r="N1541" s="1"/>
      <c r="O1541" s="1"/>
      <c r="P1541" s="1"/>
      <c r="Q1541" s="1"/>
      <c r="R1541" s="1"/>
      <c r="S1541" s="1"/>
      <c r="T1541" s="1"/>
      <c r="U1541" s="1"/>
      <c r="V1541" s="1"/>
      <c r="W1541" s="1"/>
      <c r="X1541" s="1"/>
      <c r="Y1541" s="1"/>
      <c r="Z1541" s="1"/>
    </row>
    <row r="1542" ht="15.75" customHeight="1">
      <c r="A1542" s="2">
        <f>IFERROR(__xludf.DUMMYFUNCTION("""COMPUTED_VALUE"""),770500.0)</f>
        <v>770500</v>
      </c>
      <c r="B1542" s="2">
        <f>IFERROR(__xludf.DUMMYFUNCTION("""COMPUTED_VALUE"""),15410.0)</f>
        <v>15410</v>
      </c>
      <c r="C1542" s="66">
        <f>IFERROR(__xludf.DUMMYFUNCTION("""COMPUTED_VALUE"""),1.18657E10)</f>
        <v>11865700000</v>
      </c>
      <c r="D1542" s="1"/>
      <c r="E1542" s="1"/>
      <c r="F1542" s="1"/>
      <c r="G1542" s="1"/>
      <c r="H1542" s="1"/>
      <c r="I1542" s="1"/>
      <c r="J1542" s="1"/>
      <c r="K1542" s="1"/>
      <c r="L1542" s="1"/>
      <c r="M1542" s="1"/>
      <c r="N1542" s="1"/>
      <c r="O1542" s="1"/>
      <c r="P1542" s="1"/>
      <c r="Q1542" s="1"/>
      <c r="R1542" s="1"/>
      <c r="S1542" s="1"/>
      <c r="T1542" s="1"/>
      <c r="U1542" s="1"/>
      <c r="V1542" s="1"/>
      <c r="W1542" s="1"/>
      <c r="X1542" s="1"/>
      <c r="Y1542" s="1"/>
      <c r="Z1542" s="1"/>
    </row>
    <row r="1543" ht="15.75" customHeight="1">
      <c r="A1543" s="2">
        <f>IFERROR(__xludf.DUMMYFUNCTION("""COMPUTED_VALUE"""),771000.0)</f>
        <v>771000</v>
      </c>
      <c r="B1543" s="2">
        <f>IFERROR(__xludf.DUMMYFUNCTION("""COMPUTED_VALUE"""),15420.0)</f>
        <v>15420</v>
      </c>
      <c r="C1543" s="66">
        <f>IFERROR(__xludf.DUMMYFUNCTION("""COMPUTED_VALUE"""),1.188111E10)</f>
        <v>11881110000</v>
      </c>
      <c r="D1543" s="1"/>
      <c r="E1543" s="1"/>
      <c r="F1543" s="1"/>
      <c r="G1543" s="1"/>
      <c r="H1543" s="1"/>
      <c r="I1543" s="1"/>
      <c r="J1543" s="1"/>
      <c r="K1543" s="1"/>
      <c r="L1543" s="1"/>
      <c r="M1543" s="1"/>
      <c r="N1543" s="1"/>
      <c r="O1543" s="1"/>
      <c r="P1543" s="1"/>
      <c r="Q1543" s="1"/>
      <c r="R1543" s="1"/>
      <c r="S1543" s="1"/>
      <c r="T1543" s="1"/>
      <c r="U1543" s="1"/>
      <c r="V1543" s="1"/>
      <c r="W1543" s="1"/>
      <c r="X1543" s="1"/>
      <c r="Y1543" s="1"/>
      <c r="Z1543" s="1"/>
    </row>
    <row r="1544" ht="15.75" customHeight="1">
      <c r="A1544" s="2">
        <f>IFERROR(__xludf.DUMMYFUNCTION("""COMPUTED_VALUE"""),771500.0)</f>
        <v>771500</v>
      </c>
      <c r="B1544" s="2">
        <f>IFERROR(__xludf.DUMMYFUNCTION("""COMPUTED_VALUE"""),15430.0)</f>
        <v>15430</v>
      </c>
      <c r="C1544" s="66">
        <f>IFERROR(__xludf.DUMMYFUNCTION("""COMPUTED_VALUE"""),1.189653E10)</f>
        <v>11896530000</v>
      </c>
      <c r="D1544" s="1"/>
      <c r="E1544" s="1"/>
      <c r="F1544" s="1"/>
      <c r="G1544" s="1"/>
      <c r="H1544" s="1"/>
      <c r="I1544" s="1"/>
      <c r="J1544" s="1"/>
      <c r="K1544" s="1"/>
      <c r="L1544" s="1"/>
      <c r="M1544" s="1"/>
      <c r="N1544" s="1"/>
      <c r="O1544" s="1"/>
      <c r="P1544" s="1"/>
      <c r="Q1544" s="1"/>
      <c r="R1544" s="1"/>
      <c r="S1544" s="1"/>
      <c r="T1544" s="1"/>
      <c r="U1544" s="1"/>
      <c r="V1544" s="1"/>
      <c r="W1544" s="1"/>
      <c r="X1544" s="1"/>
      <c r="Y1544" s="1"/>
      <c r="Z1544" s="1"/>
    </row>
    <row r="1545" ht="15.75" customHeight="1">
      <c r="A1545" s="2">
        <f>IFERROR(__xludf.DUMMYFUNCTION("""COMPUTED_VALUE"""),772000.0)</f>
        <v>772000</v>
      </c>
      <c r="B1545" s="2">
        <f>IFERROR(__xludf.DUMMYFUNCTION("""COMPUTED_VALUE"""),15440.0)</f>
        <v>15440</v>
      </c>
      <c r="C1545" s="66">
        <f>IFERROR(__xludf.DUMMYFUNCTION("""COMPUTED_VALUE"""),1.191196E10)</f>
        <v>11911960000</v>
      </c>
      <c r="D1545" s="1"/>
      <c r="E1545" s="1"/>
      <c r="F1545" s="1"/>
      <c r="G1545" s="1"/>
      <c r="H1545" s="1"/>
      <c r="I1545" s="1"/>
      <c r="J1545" s="1"/>
      <c r="K1545" s="1"/>
      <c r="L1545" s="1"/>
      <c r="M1545" s="1"/>
      <c r="N1545" s="1"/>
      <c r="O1545" s="1"/>
      <c r="P1545" s="1"/>
      <c r="Q1545" s="1"/>
      <c r="R1545" s="1"/>
      <c r="S1545" s="1"/>
      <c r="T1545" s="1"/>
      <c r="U1545" s="1"/>
      <c r="V1545" s="1"/>
      <c r="W1545" s="1"/>
      <c r="X1545" s="1"/>
      <c r="Y1545" s="1"/>
      <c r="Z1545" s="1"/>
    </row>
    <row r="1546" ht="15.75" customHeight="1">
      <c r="A1546" s="2">
        <f>IFERROR(__xludf.DUMMYFUNCTION("""COMPUTED_VALUE"""),772500.0)</f>
        <v>772500</v>
      </c>
      <c r="B1546" s="2">
        <f>IFERROR(__xludf.DUMMYFUNCTION("""COMPUTED_VALUE"""),15450.0)</f>
        <v>15450</v>
      </c>
      <c r="C1546" s="66">
        <f>IFERROR(__xludf.DUMMYFUNCTION("""COMPUTED_VALUE"""),1.19274E10)</f>
        <v>11927400000</v>
      </c>
      <c r="D1546" s="1"/>
      <c r="E1546" s="1"/>
      <c r="F1546" s="1"/>
      <c r="G1546" s="1"/>
      <c r="H1546" s="1"/>
      <c r="I1546" s="1"/>
      <c r="J1546" s="1"/>
      <c r="K1546" s="1"/>
      <c r="L1546" s="1"/>
      <c r="M1546" s="1"/>
      <c r="N1546" s="1"/>
      <c r="O1546" s="1"/>
      <c r="P1546" s="1"/>
      <c r="Q1546" s="1"/>
      <c r="R1546" s="1"/>
      <c r="S1546" s="1"/>
      <c r="T1546" s="1"/>
      <c r="U1546" s="1"/>
      <c r="V1546" s="1"/>
      <c r="W1546" s="1"/>
      <c r="X1546" s="1"/>
      <c r="Y1546" s="1"/>
      <c r="Z1546" s="1"/>
    </row>
    <row r="1547" ht="15.75" customHeight="1">
      <c r="A1547" s="2">
        <f>IFERROR(__xludf.DUMMYFUNCTION("""COMPUTED_VALUE"""),773000.0)</f>
        <v>773000</v>
      </c>
      <c r="B1547" s="2">
        <f>IFERROR(__xludf.DUMMYFUNCTION("""COMPUTED_VALUE"""),15460.0)</f>
        <v>15460</v>
      </c>
      <c r="C1547" s="66">
        <f>IFERROR(__xludf.DUMMYFUNCTION("""COMPUTED_VALUE"""),1.194285E10)</f>
        <v>11942850000</v>
      </c>
      <c r="D1547" s="1"/>
      <c r="E1547" s="1"/>
      <c r="F1547" s="1"/>
      <c r="G1547" s="1"/>
      <c r="H1547" s="1"/>
      <c r="I1547" s="1"/>
      <c r="J1547" s="1"/>
      <c r="K1547" s="1"/>
      <c r="L1547" s="1"/>
      <c r="M1547" s="1"/>
      <c r="N1547" s="1"/>
      <c r="O1547" s="1"/>
      <c r="P1547" s="1"/>
      <c r="Q1547" s="1"/>
      <c r="R1547" s="1"/>
      <c r="S1547" s="1"/>
      <c r="T1547" s="1"/>
      <c r="U1547" s="1"/>
      <c r="V1547" s="1"/>
      <c r="W1547" s="1"/>
      <c r="X1547" s="1"/>
      <c r="Y1547" s="1"/>
      <c r="Z1547" s="1"/>
    </row>
    <row r="1548" ht="15.75" customHeight="1">
      <c r="A1548" s="2">
        <f>IFERROR(__xludf.DUMMYFUNCTION("""COMPUTED_VALUE"""),773500.0)</f>
        <v>773500</v>
      </c>
      <c r="B1548" s="2">
        <f>IFERROR(__xludf.DUMMYFUNCTION("""COMPUTED_VALUE"""),15470.0)</f>
        <v>15470</v>
      </c>
      <c r="C1548" s="66">
        <f>IFERROR(__xludf.DUMMYFUNCTION("""COMPUTED_VALUE"""),1.195831E10)</f>
        <v>11958310000</v>
      </c>
      <c r="D1548" s="1"/>
      <c r="E1548" s="1"/>
      <c r="F1548" s="1"/>
      <c r="G1548" s="1"/>
      <c r="H1548" s="1"/>
      <c r="I1548" s="1"/>
      <c r="J1548" s="1"/>
      <c r="K1548" s="1"/>
      <c r="L1548" s="1"/>
      <c r="M1548" s="1"/>
      <c r="N1548" s="1"/>
      <c r="O1548" s="1"/>
      <c r="P1548" s="1"/>
      <c r="Q1548" s="1"/>
      <c r="R1548" s="1"/>
      <c r="S1548" s="1"/>
      <c r="T1548" s="1"/>
      <c r="U1548" s="1"/>
      <c r="V1548" s="1"/>
      <c r="W1548" s="1"/>
      <c r="X1548" s="1"/>
      <c r="Y1548" s="1"/>
      <c r="Z1548" s="1"/>
    </row>
    <row r="1549" ht="15.75" customHeight="1">
      <c r="A1549" s="2">
        <f>IFERROR(__xludf.DUMMYFUNCTION("""COMPUTED_VALUE"""),774000.0)</f>
        <v>774000</v>
      </c>
      <c r="B1549" s="2">
        <f>IFERROR(__xludf.DUMMYFUNCTION("""COMPUTED_VALUE"""),15480.0)</f>
        <v>15480</v>
      </c>
      <c r="C1549" s="66">
        <f>IFERROR(__xludf.DUMMYFUNCTION("""COMPUTED_VALUE"""),1.197378E10)</f>
        <v>11973780000</v>
      </c>
      <c r="D1549" s="1"/>
      <c r="E1549" s="1"/>
      <c r="F1549" s="1"/>
      <c r="G1549" s="1"/>
      <c r="H1549" s="1"/>
      <c r="I1549" s="1"/>
      <c r="J1549" s="1"/>
      <c r="K1549" s="1"/>
      <c r="L1549" s="1"/>
      <c r="M1549" s="1"/>
      <c r="N1549" s="1"/>
      <c r="O1549" s="1"/>
      <c r="P1549" s="1"/>
      <c r="Q1549" s="1"/>
      <c r="R1549" s="1"/>
      <c r="S1549" s="1"/>
      <c r="T1549" s="1"/>
      <c r="U1549" s="1"/>
      <c r="V1549" s="1"/>
      <c r="W1549" s="1"/>
      <c r="X1549" s="1"/>
      <c r="Y1549" s="1"/>
      <c r="Z1549" s="1"/>
    </row>
    <row r="1550" ht="15.75" customHeight="1">
      <c r="A1550" s="2">
        <f>IFERROR(__xludf.DUMMYFUNCTION("""COMPUTED_VALUE"""),774500.0)</f>
        <v>774500</v>
      </c>
      <c r="B1550" s="2">
        <f>IFERROR(__xludf.DUMMYFUNCTION("""COMPUTED_VALUE"""),15490.0)</f>
        <v>15490</v>
      </c>
      <c r="C1550" s="66">
        <f>IFERROR(__xludf.DUMMYFUNCTION("""COMPUTED_VALUE"""),1.198926E10)</f>
        <v>11989260000</v>
      </c>
      <c r="D1550" s="1"/>
      <c r="E1550" s="1"/>
      <c r="F1550" s="1"/>
      <c r="G1550" s="1"/>
      <c r="H1550" s="1"/>
      <c r="I1550" s="1"/>
      <c r="J1550" s="1"/>
      <c r="K1550" s="1"/>
      <c r="L1550" s="1"/>
      <c r="M1550" s="1"/>
      <c r="N1550" s="1"/>
      <c r="O1550" s="1"/>
      <c r="P1550" s="1"/>
      <c r="Q1550" s="1"/>
      <c r="R1550" s="1"/>
      <c r="S1550" s="1"/>
      <c r="T1550" s="1"/>
      <c r="U1550" s="1"/>
      <c r="V1550" s="1"/>
      <c r="W1550" s="1"/>
      <c r="X1550" s="1"/>
      <c r="Y1550" s="1"/>
      <c r="Z1550" s="1"/>
    </row>
    <row r="1551" ht="15.75" customHeight="1">
      <c r="A1551" s="2">
        <f>IFERROR(__xludf.DUMMYFUNCTION("""COMPUTED_VALUE"""),775000.0)</f>
        <v>775000</v>
      </c>
      <c r="B1551" s="2">
        <f>IFERROR(__xludf.DUMMYFUNCTION("""COMPUTED_VALUE"""),15500.0)</f>
        <v>15500</v>
      </c>
      <c r="C1551" s="66">
        <f>IFERROR(__xludf.DUMMYFUNCTION("""COMPUTED_VALUE"""),1.200475E10)</f>
        <v>12004750000</v>
      </c>
      <c r="D1551" s="1"/>
      <c r="E1551" s="1"/>
      <c r="F1551" s="1"/>
      <c r="G1551" s="1"/>
      <c r="H1551" s="1"/>
      <c r="I1551" s="1"/>
      <c r="J1551" s="1"/>
      <c r="K1551" s="1"/>
      <c r="L1551" s="1"/>
      <c r="M1551" s="1"/>
      <c r="N1551" s="1"/>
      <c r="O1551" s="1"/>
      <c r="P1551" s="1"/>
      <c r="Q1551" s="1"/>
      <c r="R1551" s="1"/>
      <c r="S1551" s="1"/>
      <c r="T1551" s="1"/>
      <c r="U1551" s="1"/>
      <c r="V1551" s="1"/>
      <c r="W1551" s="1"/>
      <c r="X1551" s="1"/>
      <c r="Y1551" s="1"/>
      <c r="Z1551" s="1"/>
    </row>
    <row r="1552" ht="15.75" customHeight="1">
      <c r="A1552" s="2">
        <f>IFERROR(__xludf.DUMMYFUNCTION("""COMPUTED_VALUE"""),775500.0)</f>
        <v>775500</v>
      </c>
      <c r="B1552" s="2">
        <f>IFERROR(__xludf.DUMMYFUNCTION("""COMPUTED_VALUE"""),15510.0)</f>
        <v>15510</v>
      </c>
      <c r="C1552" s="66">
        <f>IFERROR(__xludf.DUMMYFUNCTION("""COMPUTED_VALUE"""),1.202025E10)</f>
        <v>12020250000</v>
      </c>
      <c r="D1552" s="1"/>
      <c r="E1552" s="1"/>
      <c r="F1552" s="1"/>
      <c r="G1552" s="1"/>
      <c r="H1552" s="1"/>
      <c r="I1552" s="1"/>
      <c r="J1552" s="1"/>
      <c r="K1552" s="1"/>
      <c r="L1552" s="1"/>
      <c r="M1552" s="1"/>
      <c r="N1552" s="1"/>
      <c r="O1552" s="1"/>
      <c r="P1552" s="1"/>
      <c r="Q1552" s="1"/>
      <c r="R1552" s="1"/>
      <c r="S1552" s="1"/>
      <c r="T1552" s="1"/>
      <c r="U1552" s="1"/>
      <c r="V1552" s="1"/>
      <c r="W1552" s="1"/>
      <c r="X1552" s="1"/>
      <c r="Y1552" s="1"/>
      <c r="Z1552" s="1"/>
    </row>
    <row r="1553" ht="15.75" customHeight="1">
      <c r="A1553" s="2">
        <f>IFERROR(__xludf.DUMMYFUNCTION("""COMPUTED_VALUE"""),776000.0)</f>
        <v>776000</v>
      </c>
      <c r="B1553" s="2">
        <f>IFERROR(__xludf.DUMMYFUNCTION("""COMPUTED_VALUE"""),15520.0)</f>
        <v>15520</v>
      </c>
      <c r="C1553" s="66">
        <f>IFERROR(__xludf.DUMMYFUNCTION("""COMPUTED_VALUE"""),1.203576E10)</f>
        <v>12035760000</v>
      </c>
      <c r="D1553" s="1"/>
      <c r="E1553" s="1"/>
      <c r="F1553" s="1"/>
      <c r="G1553" s="1"/>
      <c r="H1553" s="1"/>
      <c r="I1553" s="1"/>
      <c r="J1553" s="1"/>
      <c r="K1553" s="1"/>
      <c r="L1553" s="1"/>
      <c r="M1553" s="1"/>
      <c r="N1553" s="1"/>
      <c r="O1553" s="1"/>
      <c r="P1553" s="1"/>
      <c r="Q1553" s="1"/>
      <c r="R1553" s="1"/>
      <c r="S1553" s="1"/>
      <c r="T1553" s="1"/>
      <c r="U1553" s="1"/>
      <c r="V1553" s="1"/>
      <c r="W1553" s="1"/>
      <c r="X1553" s="1"/>
      <c r="Y1553" s="1"/>
      <c r="Z1553" s="1"/>
    </row>
    <row r="1554" ht="15.75" customHeight="1">
      <c r="A1554" s="2">
        <f>IFERROR(__xludf.DUMMYFUNCTION("""COMPUTED_VALUE"""),776500.0)</f>
        <v>776500</v>
      </c>
      <c r="B1554" s="2">
        <f>IFERROR(__xludf.DUMMYFUNCTION("""COMPUTED_VALUE"""),15530.0)</f>
        <v>15530</v>
      </c>
      <c r="C1554" s="66">
        <f>IFERROR(__xludf.DUMMYFUNCTION("""COMPUTED_VALUE"""),1.205128E10)</f>
        <v>12051280000</v>
      </c>
      <c r="D1554" s="1"/>
      <c r="E1554" s="1"/>
      <c r="F1554" s="1"/>
      <c r="G1554" s="1"/>
      <c r="H1554" s="1"/>
      <c r="I1554" s="1"/>
      <c r="J1554" s="1"/>
      <c r="K1554" s="1"/>
      <c r="L1554" s="1"/>
      <c r="M1554" s="1"/>
      <c r="N1554" s="1"/>
      <c r="O1554" s="1"/>
      <c r="P1554" s="1"/>
      <c r="Q1554" s="1"/>
      <c r="R1554" s="1"/>
      <c r="S1554" s="1"/>
      <c r="T1554" s="1"/>
      <c r="U1554" s="1"/>
      <c r="V1554" s="1"/>
      <c r="W1554" s="1"/>
      <c r="X1554" s="1"/>
      <c r="Y1554" s="1"/>
      <c r="Z1554" s="1"/>
    </row>
    <row r="1555" ht="15.75" customHeight="1">
      <c r="A1555" s="2">
        <f>IFERROR(__xludf.DUMMYFUNCTION("""COMPUTED_VALUE"""),777000.0)</f>
        <v>777000</v>
      </c>
      <c r="B1555" s="2">
        <f>IFERROR(__xludf.DUMMYFUNCTION("""COMPUTED_VALUE"""),15540.0)</f>
        <v>15540</v>
      </c>
      <c r="C1555" s="66">
        <f>IFERROR(__xludf.DUMMYFUNCTION("""COMPUTED_VALUE"""),1.206681E10)</f>
        <v>12066810000</v>
      </c>
      <c r="D1555" s="1"/>
      <c r="E1555" s="1"/>
      <c r="F1555" s="1"/>
      <c r="G1555" s="1"/>
      <c r="H1555" s="1"/>
      <c r="I1555" s="1"/>
      <c r="J1555" s="1"/>
      <c r="K1555" s="1"/>
      <c r="L1555" s="1"/>
      <c r="M1555" s="1"/>
      <c r="N1555" s="1"/>
      <c r="O1555" s="1"/>
      <c r="P1555" s="1"/>
      <c r="Q1555" s="1"/>
      <c r="R1555" s="1"/>
      <c r="S1555" s="1"/>
      <c r="T1555" s="1"/>
      <c r="U1555" s="1"/>
      <c r="V1555" s="1"/>
      <c r="W1555" s="1"/>
      <c r="X1555" s="1"/>
      <c r="Y1555" s="1"/>
      <c r="Z1555" s="1"/>
    </row>
    <row r="1556" ht="15.75" customHeight="1">
      <c r="A1556" s="2">
        <f>IFERROR(__xludf.DUMMYFUNCTION("""COMPUTED_VALUE"""),777500.0)</f>
        <v>777500</v>
      </c>
      <c r="B1556" s="2">
        <f>IFERROR(__xludf.DUMMYFUNCTION("""COMPUTED_VALUE"""),15550.0)</f>
        <v>15550</v>
      </c>
      <c r="C1556" s="66">
        <f>IFERROR(__xludf.DUMMYFUNCTION("""COMPUTED_VALUE"""),1.208235E10)</f>
        <v>12082350000</v>
      </c>
      <c r="D1556" s="1"/>
      <c r="E1556" s="1"/>
      <c r="F1556" s="1"/>
      <c r="G1556" s="1"/>
      <c r="H1556" s="1"/>
      <c r="I1556" s="1"/>
      <c r="J1556" s="1"/>
      <c r="K1556" s="1"/>
      <c r="L1556" s="1"/>
      <c r="M1556" s="1"/>
      <c r="N1556" s="1"/>
      <c r="O1556" s="1"/>
      <c r="P1556" s="1"/>
      <c r="Q1556" s="1"/>
      <c r="R1556" s="1"/>
      <c r="S1556" s="1"/>
      <c r="T1556" s="1"/>
      <c r="U1556" s="1"/>
      <c r="V1556" s="1"/>
      <c r="W1556" s="1"/>
      <c r="X1556" s="1"/>
      <c r="Y1556" s="1"/>
      <c r="Z1556" s="1"/>
    </row>
    <row r="1557" ht="15.75" customHeight="1">
      <c r="A1557" s="2">
        <f>IFERROR(__xludf.DUMMYFUNCTION("""COMPUTED_VALUE"""),778000.0)</f>
        <v>778000</v>
      </c>
      <c r="B1557" s="2">
        <f>IFERROR(__xludf.DUMMYFUNCTION("""COMPUTED_VALUE"""),15560.0)</f>
        <v>15560</v>
      </c>
      <c r="C1557" s="66">
        <f>IFERROR(__xludf.DUMMYFUNCTION("""COMPUTED_VALUE"""),1.20979E10)</f>
        <v>12097900000</v>
      </c>
      <c r="D1557" s="1"/>
      <c r="E1557" s="1"/>
      <c r="F1557" s="1"/>
      <c r="G1557" s="1"/>
      <c r="H1557" s="1"/>
      <c r="I1557" s="1"/>
      <c r="J1557" s="1"/>
      <c r="K1557" s="1"/>
      <c r="L1557" s="1"/>
      <c r="M1557" s="1"/>
      <c r="N1557" s="1"/>
      <c r="O1557" s="1"/>
      <c r="P1557" s="1"/>
      <c r="Q1557" s="1"/>
      <c r="R1557" s="1"/>
      <c r="S1557" s="1"/>
      <c r="T1557" s="1"/>
      <c r="U1557" s="1"/>
      <c r="V1557" s="1"/>
      <c r="W1557" s="1"/>
      <c r="X1557" s="1"/>
      <c r="Y1557" s="1"/>
      <c r="Z1557" s="1"/>
    </row>
    <row r="1558" ht="15.75" customHeight="1">
      <c r="A1558" s="2">
        <f>IFERROR(__xludf.DUMMYFUNCTION("""COMPUTED_VALUE"""),778500.0)</f>
        <v>778500</v>
      </c>
      <c r="B1558" s="2">
        <f>IFERROR(__xludf.DUMMYFUNCTION("""COMPUTED_VALUE"""),15570.0)</f>
        <v>15570</v>
      </c>
      <c r="C1558" s="66">
        <f>IFERROR(__xludf.DUMMYFUNCTION("""COMPUTED_VALUE"""),1.211346E10)</f>
        <v>12113460000</v>
      </c>
      <c r="D1558" s="1"/>
      <c r="E1558" s="1"/>
      <c r="F1558" s="1"/>
      <c r="G1558" s="1"/>
      <c r="H1558" s="1"/>
      <c r="I1558" s="1"/>
      <c r="J1558" s="1"/>
      <c r="K1558" s="1"/>
      <c r="L1558" s="1"/>
      <c r="M1558" s="1"/>
      <c r="N1558" s="1"/>
      <c r="O1558" s="1"/>
      <c r="P1558" s="1"/>
      <c r="Q1558" s="1"/>
      <c r="R1558" s="1"/>
      <c r="S1558" s="1"/>
      <c r="T1558" s="1"/>
      <c r="U1558" s="1"/>
      <c r="V1558" s="1"/>
      <c r="W1558" s="1"/>
      <c r="X1558" s="1"/>
      <c r="Y1558" s="1"/>
      <c r="Z1558" s="1"/>
    </row>
    <row r="1559" ht="15.75" customHeight="1">
      <c r="A1559" s="2">
        <f>IFERROR(__xludf.DUMMYFUNCTION("""COMPUTED_VALUE"""),779000.0)</f>
        <v>779000</v>
      </c>
      <c r="B1559" s="2">
        <f>IFERROR(__xludf.DUMMYFUNCTION("""COMPUTED_VALUE"""),15580.0)</f>
        <v>15580</v>
      </c>
      <c r="C1559" s="66">
        <f>IFERROR(__xludf.DUMMYFUNCTION("""COMPUTED_VALUE"""),1.212903E10)</f>
        <v>12129030000</v>
      </c>
      <c r="D1559" s="1"/>
      <c r="E1559" s="1"/>
      <c r="F1559" s="1"/>
      <c r="G1559" s="1"/>
      <c r="H1559" s="1"/>
      <c r="I1559" s="1"/>
      <c r="J1559" s="1"/>
      <c r="K1559" s="1"/>
      <c r="L1559" s="1"/>
      <c r="M1559" s="1"/>
      <c r="N1559" s="1"/>
      <c r="O1559" s="1"/>
      <c r="P1559" s="1"/>
      <c r="Q1559" s="1"/>
      <c r="R1559" s="1"/>
      <c r="S1559" s="1"/>
      <c r="T1559" s="1"/>
      <c r="U1559" s="1"/>
      <c r="V1559" s="1"/>
      <c r="W1559" s="1"/>
      <c r="X1559" s="1"/>
      <c r="Y1559" s="1"/>
      <c r="Z1559" s="1"/>
    </row>
    <row r="1560" ht="15.75" customHeight="1">
      <c r="A1560" s="2">
        <f>IFERROR(__xludf.DUMMYFUNCTION("""COMPUTED_VALUE"""),779500.0)</f>
        <v>779500</v>
      </c>
      <c r="B1560" s="2">
        <f>IFERROR(__xludf.DUMMYFUNCTION("""COMPUTED_VALUE"""),15590.0)</f>
        <v>15590</v>
      </c>
      <c r="C1560" s="66">
        <f>IFERROR(__xludf.DUMMYFUNCTION("""COMPUTED_VALUE"""),1.214461E10)</f>
        <v>12144610000</v>
      </c>
      <c r="D1560" s="1"/>
      <c r="E1560" s="1"/>
      <c r="F1560" s="1"/>
      <c r="G1560" s="1"/>
      <c r="H1560" s="1"/>
      <c r="I1560" s="1"/>
      <c r="J1560" s="1"/>
      <c r="K1560" s="1"/>
      <c r="L1560" s="1"/>
      <c r="M1560" s="1"/>
      <c r="N1560" s="1"/>
      <c r="O1560" s="1"/>
      <c r="P1560" s="1"/>
      <c r="Q1560" s="1"/>
      <c r="R1560" s="1"/>
      <c r="S1560" s="1"/>
      <c r="T1560" s="1"/>
      <c r="U1560" s="1"/>
      <c r="V1560" s="1"/>
      <c r="W1560" s="1"/>
      <c r="X1560" s="1"/>
      <c r="Y1560" s="1"/>
      <c r="Z1560" s="1"/>
    </row>
    <row r="1561" ht="15.75" customHeight="1">
      <c r="A1561" s="2">
        <f>IFERROR(__xludf.DUMMYFUNCTION("""COMPUTED_VALUE"""),780000.0)</f>
        <v>780000</v>
      </c>
      <c r="B1561" s="2">
        <f>IFERROR(__xludf.DUMMYFUNCTION("""COMPUTED_VALUE"""),15600.0)</f>
        <v>15600</v>
      </c>
      <c r="C1561" s="66">
        <f>IFERROR(__xludf.DUMMYFUNCTION("""COMPUTED_VALUE"""),1.21602E10)</f>
        <v>12160200000</v>
      </c>
      <c r="D1561" s="1"/>
      <c r="E1561" s="1"/>
      <c r="F1561" s="1"/>
      <c r="G1561" s="1"/>
      <c r="H1561" s="1"/>
      <c r="I1561" s="1"/>
      <c r="J1561" s="1"/>
      <c r="K1561" s="1"/>
      <c r="L1561" s="1"/>
      <c r="M1561" s="1"/>
      <c r="N1561" s="1"/>
      <c r="O1561" s="1"/>
      <c r="P1561" s="1"/>
      <c r="Q1561" s="1"/>
      <c r="R1561" s="1"/>
      <c r="S1561" s="1"/>
      <c r="T1561" s="1"/>
      <c r="U1561" s="1"/>
      <c r="V1561" s="1"/>
      <c r="W1561" s="1"/>
      <c r="X1561" s="1"/>
      <c r="Y1561" s="1"/>
      <c r="Z1561" s="1"/>
    </row>
    <row r="1562" ht="15.75" customHeight="1">
      <c r="A1562" s="2">
        <f>IFERROR(__xludf.DUMMYFUNCTION("""COMPUTED_VALUE"""),780500.0)</f>
        <v>780500</v>
      </c>
      <c r="B1562" s="2">
        <f>IFERROR(__xludf.DUMMYFUNCTION("""COMPUTED_VALUE"""),15610.0)</f>
        <v>15610</v>
      </c>
      <c r="C1562" s="66">
        <f>IFERROR(__xludf.DUMMYFUNCTION("""COMPUTED_VALUE"""),1.21758E10)</f>
        <v>12175800000</v>
      </c>
      <c r="D1562" s="1"/>
      <c r="E1562" s="1"/>
      <c r="F1562" s="1"/>
      <c r="G1562" s="1"/>
      <c r="H1562" s="1"/>
      <c r="I1562" s="1"/>
      <c r="J1562" s="1"/>
      <c r="K1562" s="1"/>
      <c r="L1562" s="1"/>
      <c r="M1562" s="1"/>
      <c r="N1562" s="1"/>
      <c r="O1562" s="1"/>
      <c r="P1562" s="1"/>
      <c r="Q1562" s="1"/>
      <c r="R1562" s="1"/>
      <c r="S1562" s="1"/>
      <c r="T1562" s="1"/>
      <c r="U1562" s="1"/>
      <c r="V1562" s="1"/>
      <c r="W1562" s="1"/>
      <c r="X1562" s="1"/>
      <c r="Y1562" s="1"/>
      <c r="Z1562" s="1"/>
    </row>
    <row r="1563" ht="15.75" customHeight="1">
      <c r="A1563" s="2">
        <f>IFERROR(__xludf.DUMMYFUNCTION("""COMPUTED_VALUE"""),781000.0)</f>
        <v>781000</v>
      </c>
      <c r="B1563" s="2">
        <f>IFERROR(__xludf.DUMMYFUNCTION("""COMPUTED_VALUE"""),15620.0)</f>
        <v>15620</v>
      </c>
      <c r="C1563" s="66">
        <f>IFERROR(__xludf.DUMMYFUNCTION("""COMPUTED_VALUE"""),1.219141E10)</f>
        <v>12191410000</v>
      </c>
      <c r="D1563" s="1"/>
      <c r="E1563" s="1"/>
      <c r="F1563" s="1"/>
      <c r="G1563" s="1"/>
      <c r="H1563" s="1"/>
      <c r="I1563" s="1"/>
      <c r="J1563" s="1"/>
      <c r="K1563" s="1"/>
      <c r="L1563" s="1"/>
      <c r="M1563" s="1"/>
      <c r="N1563" s="1"/>
      <c r="O1563" s="1"/>
      <c r="P1563" s="1"/>
      <c r="Q1563" s="1"/>
      <c r="R1563" s="1"/>
      <c r="S1563" s="1"/>
      <c r="T1563" s="1"/>
      <c r="U1563" s="1"/>
      <c r="V1563" s="1"/>
      <c r="W1563" s="1"/>
      <c r="X1563" s="1"/>
      <c r="Y1563" s="1"/>
      <c r="Z1563" s="1"/>
    </row>
    <row r="1564" ht="15.75" customHeight="1">
      <c r="A1564" s="2">
        <f>IFERROR(__xludf.DUMMYFUNCTION("""COMPUTED_VALUE"""),781500.0)</f>
        <v>781500</v>
      </c>
      <c r="B1564" s="2">
        <f>IFERROR(__xludf.DUMMYFUNCTION("""COMPUTED_VALUE"""),15630.0)</f>
        <v>15630</v>
      </c>
      <c r="C1564" s="66">
        <f>IFERROR(__xludf.DUMMYFUNCTION("""COMPUTED_VALUE"""),1.220703E10)</f>
        <v>12207030000</v>
      </c>
      <c r="D1564" s="1"/>
      <c r="E1564" s="1"/>
      <c r="F1564" s="1"/>
      <c r="G1564" s="1"/>
      <c r="H1564" s="1"/>
      <c r="I1564" s="1"/>
      <c r="J1564" s="1"/>
      <c r="K1564" s="1"/>
      <c r="L1564" s="1"/>
      <c r="M1564" s="1"/>
      <c r="N1564" s="1"/>
      <c r="O1564" s="1"/>
      <c r="P1564" s="1"/>
      <c r="Q1564" s="1"/>
      <c r="R1564" s="1"/>
      <c r="S1564" s="1"/>
      <c r="T1564" s="1"/>
      <c r="U1564" s="1"/>
      <c r="V1564" s="1"/>
      <c r="W1564" s="1"/>
      <c r="X1564" s="1"/>
      <c r="Y1564" s="1"/>
      <c r="Z1564" s="1"/>
    </row>
    <row r="1565" ht="15.75" customHeight="1">
      <c r="A1565" s="2">
        <f>IFERROR(__xludf.DUMMYFUNCTION("""COMPUTED_VALUE"""),782000.0)</f>
        <v>782000</v>
      </c>
      <c r="B1565" s="2">
        <f>IFERROR(__xludf.DUMMYFUNCTION("""COMPUTED_VALUE"""),15640.0)</f>
        <v>15640</v>
      </c>
      <c r="C1565" s="66">
        <f>IFERROR(__xludf.DUMMYFUNCTION("""COMPUTED_VALUE"""),1.222266E10)</f>
        <v>12222660000</v>
      </c>
      <c r="D1565" s="1"/>
      <c r="E1565" s="1"/>
      <c r="F1565" s="1"/>
      <c r="G1565" s="1"/>
      <c r="H1565" s="1"/>
      <c r="I1565" s="1"/>
      <c r="J1565" s="1"/>
      <c r="K1565" s="1"/>
      <c r="L1565" s="1"/>
      <c r="M1565" s="1"/>
      <c r="N1565" s="1"/>
      <c r="O1565" s="1"/>
      <c r="P1565" s="1"/>
      <c r="Q1565" s="1"/>
      <c r="R1565" s="1"/>
      <c r="S1565" s="1"/>
      <c r="T1565" s="1"/>
      <c r="U1565" s="1"/>
      <c r="V1565" s="1"/>
      <c r="W1565" s="1"/>
      <c r="X1565" s="1"/>
      <c r="Y1565" s="1"/>
      <c r="Z1565" s="1"/>
    </row>
    <row r="1566" ht="15.75" customHeight="1">
      <c r="A1566" s="2">
        <f>IFERROR(__xludf.DUMMYFUNCTION("""COMPUTED_VALUE"""),782500.0)</f>
        <v>782500</v>
      </c>
      <c r="B1566" s="2">
        <f>IFERROR(__xludf.DUMMYFUNCTION("""COMPUTED_VALUE"""),15650.0)</f>
        <v>15650</v>
      </c>
      <c r="C1566" s="66">
        <f>IFERROR(__xludf.DUMMYFUNCTION("""COMPUTED_VALUE"""),1.22383E10)</f>
        <v>12238300000</v>
      </c>
      <c r="D1566" s="1"/>
      <c r="E1566" s="1"/>
      <c r="F1566" s="1"/>
      <c r="G1566" s="1"/>
      <c r="H1566" s="1"/>
      <c r="I1566" s="1"/>
      <c r="J1566" s="1"/>
      <c r="K1566" s="1"/>
      <c r="L1566" s="1"/>
      <c r="M1566" s="1"/>
      <c r="N1566" s="1"/>
      <c r="O1566" s="1"/>
      <c r="P1566" s="1"/>
      <c r="Q1566" s="1"/>
      <c r="R1566" s="1"/>
      <c r="S1566" s="1"/>
      <c r="T1566" s="1"/>
      <c r="U1566" s="1"/>
      <c r="V1566" s="1"/>
      <c r="W1566" s="1"/>
      <c r="X1566" s="1"/>
      <c r="Y1566" s="1"/>
      <c r="Z1566" s="1"/>
    </row>
    <row r="1567" ht="15.75" customHeight="1">
      <c r="A1567" s="2">
        <f>IFERROR(__xludf.DUMMYFUNCTION("""COMPUTED_VALUE"""),783000.0)</f>
        <v>783000</v>
      </c>
      <c r="B1567" s="2">
        <f>IFERROR(__xludf.DUMMYFUNCTION("""COMPUTED_VALUE"""),15660.0)</f>
        <v>15660</v>
      </c>
      <c r="C1567" s="66">
        <f>IFERROR(__xludf.DUMMYFUNCTION("""COMPUTED_VALUE"""),1.225395E10)</f>
        <v>12253950000</v>
      </c>
      <c r="D1567" s="1"/>
      <c r="E1567" s="1"/>
      <c r="F1567" s="1"/>
      <c r="G1567" s="1"/>
      <c r="H1567" s="1"/>
      <c r="I1567" s="1"/>
      <c r="J1567" s="1"/>
      <c r="K1567" s="1"/>
      <c r="L1567" s="1"/>
      <c r="M1567" s="1"/>
      <c r="N1567" s="1"/>
      <c r="O1567" s="1"/>
      <c r="P1567" s="1"/>
      <c r="Q1567" s="1"/>
      <c r="R1567" s="1"/>
      <c r="S1567" s="1"/>
      <c r="T1567" s="1"/>
      <c r="U1567" s="1"/>
      <c r="V1567" s="1"/>
      <c r="W1567" s="1"/>
      <c r="X1567" s="1"/>
      <c r="Y1567" s="1"/>
      <c r="Z1567" s="1"/>
    </row>
    <row r="1568" ht="15.75" customHeight="1">
      <c r="A1568" s="2">
        <f>IFERROR(__xludf.DUMMYFUNCTION("""COMPUTED_VALUE"""),783500.0)</f>
        <v>783500</v>
      </c>
      <c r="B1568" s="2">
        <f>IFERROR(__xludf.DUMMYFUNCTION("""COMPUTED_VALUE"""),15670.0)</f>
        <v>15670</v>
      </c>
      <c r="C1568" s="66">
        <f>IFERROR(__xludf.DUMMYFUNCTION("""COMPUTED_VALUE"""),1.226961E10)</f>
        <v>12269610000</v>
      </c>
      <c r="D1568" s="1"/>
      <c r="E1568" s="1"/>
      <c r="F1568" s="1"/>
      <c r="G1568" s="1"/>
      <c r="H1568" s="1"/>
      <c r="I1568" s="1"/>
      <c r="J1568" s="1"/>
      <c r="K1568" s="1"/>
      <c r="L1568" s="1"/>
      <c r="M1568" s="1"/>
      <c r="N1568" s="1"/>
      <c r="O1568" s="1"/>
      <c r="P1568" s="1"/>
      <c r="Q1568" s="1"/>
      <c r="R1568" s="1"/>
      <c r="S1568" s="1"/>
      <c r="T1568" s="1"/>
      <c r="U1568" s="1"/>
      <c r="V1568" s="1"/>
      <c r="W1568" s="1"/>
      <c r="X1568" s="1"/>
      <c r="Y1568" s="1"/>
      <c r="Z1568" s="1"/>
    </row>
    <row r="1569" ht="15.75" customHeight="1">
      <c r="A1569" s="2">
        <f>IFERROR(__xludf.DUMMYFUNCTION("""COMPUTED_VALUE"""),784000.0)</f>
        <v>784000</v>
      </c>
      <c r="B1569" s="2">
        <f>IFERROR(__xludf.DUMMYFUNCTION("""COMPUTED_VALUE"""),15680.0)</f>
        <v>15680</v>
      </c>
      <c r="C1569" s="66">
        <f>IFERROR(__xludf.DUMMYFUNCTION("""COMPUTED_VALUE"""),1.228528E10)</f>
        <v>12285280000</v>
      </c>
      <c r="D1569" s="1"/>
      <c r="E1569" s="1"/>
      <c r="F1569" s="1"/>
      <c r="G1569" s="1"/>
      <c r="H1569" s="1"/>
      <c r="I1569" s="1"/>
      <c r="J1569" s="1"/>
      <c r="K1569" s="1"/>
      <c r="L1569" s="1"/>
      <c r="M1569" s="1"/>
      <c r="N1569" s="1"/>
      <c r="O1569" s="1"/>
      <c r="P1569" s="1"/>
      <c r="Q1569" s="1"/>
      <c r="R1569" s="1"/>
      <c r="S1569" s="1"/>
      <c r="T1569" s="1"/>
      <c r="U1569" s="1"/>
      <c r="V1569" s="1"/>
      <c r="W1569" s="1"/>
      <c r="X1569" s="1"/>
      <c r="Y1569" s="1"/>
      <c r="Z1569" s="1"/>
    </row>
    <row r="1570" ht="15.75" customHeight="1">
      <c r="A1570" s="2">
        <f>IFERROR(__xludf.DUMMYFUNCTION("""COMPUTED_VALUE"""),784500.0)</f>
        <v>784500</v>
      </c>
      <c r="B1570" s="2">
        <f>IFERROR(__xludf.DUMMYFUNCTION("""COMPUTED_VALUE"""),15690.0)</f>
        <v>15690</v>
      </c>
      <c r="C1570" s="66">
        <f>IFERROR(__xludf.DUMMYFUNCTION("""COMPUTED_VALUE"""),1.230096E10)</f>
        <v>12300960000</v>
      </c>
      <c r="D1570" s="1"/>
      <c r="E1570" s="1"/>
      <c r="F1570" s="1"/>
      <c r="G1570" s="1"/>
      <c r="H1570" s="1"/>
      <c r="I1570" s="1"/>
      <c r="J1570" s="1"/>
      <c r="K1570" s="1"/>
      <c r="L1570" s="1"/>
      <c r="M1570" s="1"/>
      <c r="N1570" s="1"/>
      <c r="O1570" s="1"/>
      <c r="P1570" s="1"/>
      <c r="Q1570" s="1"/>
      <c r="R1570" s="1"/>
      <c r="S1570" s="1"/>
      <c r="T1570" s="1"/>
      <c r="U1570" s="1"/>
      <c r="V1570" s="1"/>
      <c r="W1570" s="1"/>
      <c r="X1570" s="1"/>
      <c r="Y1570" s="1"/>
      <c r="Z1570" s="1"/>
    </row>
    <row r="1571" ht="15.75" customHeight="1">
      <c r="A1571" s="2">
        <f>IFERROR(__xludf.DUMMYFUNCTION("""COMPUTED_VALUE"""),785000.0)</f>
        <v>785000</v>
      </c>
      <c r="B1571" s="2">
        <f>IFERROR(__xludf.DUMMYFUNCTION("""COMPUTED_VALUE"""),15700.0)</f>
        <v>15700</v>
      </c>
      <c r="C1571" s="66">
        <f>IFERROR(__xludf.DUMMYFUNCTION("""COMPUTED_VALUE"""),1.231665E10)</f>
        <v>12316650000</v>
      </c>
      <c r="D1571" s="1"/>
      <c r="E1571" s="1"/>
      <c r="F1571" s="1"/>
      <c r="G1571" s="1"/>
      <c r="H1571" s="1"/>
      <c r="I1571" s="1"/>
      <c r="J1571" s="1"/>
      <c r="K1571" s="1"/>
      <c r="L1571" s="1"/>
      <c r="M1571" s="1"/>
      <c r="N1571" s="1"/>
      <c r="O1571" s="1"/>
      <c r="P1571" s="1"/>
      <c r="Q1571" s="1"/>
      <c r="R1571" s="1"/>
      <c r="S1571" s="1"/>
      <c r="T1571" s="1"/>
      <c r="U1571" s="1"/>
      <c r="V1571" s="1"/>
      <c r="W1571" s="1"/>
      <c r="X1571" s="1"/>
      <c r="Y1571" s="1"/>
      <c r="Z1571" s="1"/>
    </row>
    <row r="1572" ht="15.75" customHeight="1">
      <c r="A1572" s="2">
        <f>IFERROR(__xludf.DUMMYFUNCTION("""COMPUTED_VALUE"""),785500.0)</f>
        <v>785500</v>
      </c>
      <c r="B1572" s="2">
        <f>IFERROR(__xludf.DUMMYFUNCTION("""COMPUTED_VALUE"""),15710.0)</f>
        <v>15710</v>
      </c>
      <c r="C1572" s="66">
        <f>IFERROR(__xludf.DUMMYFUNCTION("""COMPUTED_VALUE"""),1.233235E10)</f>
        <v>12332350000</v>
      </c>
      <c r="D1572" s="1"/>
      <c r="E1572" s="1"/>
      <c r="F1572" s="1"/>
      <c r="G1572" s="1"/>
      <c r="H1572" s="1"/>
      <c r="I1572" s="1"/>
      <c r="J1572" s="1"/>
      <c r="K1572" s="1"/>
      <c r="L1572" s="1"/>
      <c r="M1572" s="1"/>
      <c r="N1572" s="1"/>
      <c r="O1572" s="1"/>
      <c r="P1572" s="1"/>
      <c r="Q1572" s="1"/>
      <c r="R1572" s="1"/>
      <c r="S1572" s="1"/>
      <c r="T1572" s="1"/>
      <c r="U1572" s="1"/>
      <c r="V1572" s="1"/>
      <c r="W1572" s="1"/>
      <c r="X1572" s="1"/>
      <c r="Y1572" s="1"/>
      <c r="Z1572" s="1"/>
    </row>
    <row r="1573" ht="15.75" customHeight="1">
      <c r="A1573" s="2">
        <f>IFERROR(__xludf.DUMMYFUNCTION("""COMPUTED_VALUE"""),786000.0)</f>
        <v>786000</v>
      </c>
      <c r="B1573" s="2">
        <f>IFERROR(__xludf.DUMMYFUNCTION("""COMPUTED_VALUE"""),15720.0)</f>
        <v>15720</v>
      </c>
      <c r="C1573" s="66">
        <f>IFERROR(__xludf.DUMMYFUNCTION("""COMPUTED_VALUE"""),1.234806E10)</f>
        <v>12348060000</v>
      </c>
      <c r="D1573" s="1"/>
      <c r="E1573" s="1"/>
      <c r="F1573" s="1"/>
      <c r="G1573" s="1"/>
      <c r="H1573" s="1"/>
      <c r="I1573" s="1"/>
      <c r="J1573" s="1"/>
      <c r="K1573" s="1"/>
      <c r="L1573" s="1"/>
      <c r="M1573" s="1"/>
      <c r="N1573" s="1"/>
      <c r="O1573" s="1"/>
      <c r="P1573" s="1"/>
      <c r="Q1573" s="1"/>
      <c r="R1573" s="1"/>
      <c r="S1573" s="1"/>
      <c r="T1573" s="1"/>
      <c r="U1573" s="1"/>
      <c r="V1573" s="1"/>
      <c r="W1573" s="1"/>
      <c r="X1573" s="1"/>
      <c r="Y1573" s="1"/>
      <c r="Z1573" s="1"/>
    </row>
    <row r="1574" ht="15.75" customHeight="1">
      <c r="A1574" s="2">
        <f>IFERROR(__xludf.DUMMYFUNCTION("""COMPUTED_VALUE"""),786500.0)</f>
        <v>786500</v>
      </c>
      <c r="B1574" s="2">
        <f>IFERROR(__xludf.DUMMYFUNCTION("""COMPUTED_VALUE"""),15730.0)</f>
        <v>15730</v>
      </c>
      <c r="C1574" s="66">
        <f>IFERROR(__xludf.DUMMYFUNCTION("""COMPUTED_VALUE"""),1.236378E10)</f>
        <v>12363780000</v>
      </c>
      <c r="D1574" s="1"/>
      <c r="E1574" s="1"/>
      <c r="F1574" s="1"/>
      <c r="G1574" s="1"/>
      <c r="H1574" s="1"/>
      <c r="I1574" s="1"/>
      <c r="J1574" s="1"/>
      <c r="K1574" s="1"/>
      <c r="L1574" s="1"/>
      <c r="M1574" s="1"/>
      <c r="N1574" s="1"/>
      <c r="O1574" s="1"/>
      <c r="P1574" s="1"/>
      <c r="Q1574" s="1"/>
      <c r="R1574" s="1"/>
      <c r="S1574" s="1"/>
      <c r="T1574" s="1"/>
      <c r="U1574" s="1"/>
      <c r="V1574" s="1"/>
      <c r="W1574" s="1"/>
      <c r="X1574" s="1"/>
      <c r="Y1574" s="1"/>
      <c r="Z1574" s="1"/>
    </row>
    <row r="1575" ht="15.75" customHeight="1">
      <c r="A1575" s="2">
        <f>IFERROR(__xludf.DUMMYFUNCTION("""COMPUTED_VALUE"""),787000.0)</f>
        <v>787000</v>
      </c>
      <c r="B1575" s="2">
        <f>IFERROR(__xludf.DUMMYFUNCTION("""COMPUTED_VALUE"""),15740.0)</f>
        <v>15740</v>
      </c>
      <c r="C1575" s="66">
        <f>IFERROR(__xludf.DUMMYFUNCTION("""COMPUTED_VALUE"""),1.237951E10)</f>
        <v>12379510000</v>
      </c>
      <c r="D1575" s="1"/>
      <c r="E1575" s="1"/>
      <c r="F1575" s="1"/>
      <c r="G1575" s="1"/>
      <c r="H1575" s="1"/>
      <c r="I1575" s="1"/>
      <c r="J1575" s="1"/>
      <c r="K1575" s="1"/>
      <c r="L1575" s="1"/>
      <c r="M1575" s="1"/>
      <c r="N1575" s="1"/>
      <c r="O1575" s="1"/>
      <c r="P1575" s="1"/>
      <c r="Q1575" s="1"/>
      <c r="R1575" s="1"/>
      <c r="S1575" s="1"/>
      <c r="T1575" s="1"/>
      <c r="U1575" s="1"/>
      <c r="V1575" s="1"/>
      <c r="W1575" s="1"/>
      <c r="X1575" s="1"/>
      <c r="Y1575" s="1"/>
      <c r="Z1575" s="1"/>
    </row>
    <row r="1576" ht="15.75" customHeight="1">
      <c r="A1576" s="2">
        <f>IFERROR(__xludf.DUMMYFUNCTION("""COMPUTED_VALUE"""),787500.0)</f>
        <v>787500</v>
      </c>
      <c r="B1576" s="2">
        <f>IFERROR(__xludf.DUMMYFUNCTION("""COMPUTED_VALUE"""),15750.0)</f>
        <v>15750</v>
      </c>
      <c r="C1576" s="66">
        <f>IFERROR(__xludf.DUMMYFUNCTION("""COMPUTED_VALUE"""),1.239525E10)</f>
        <v>12395250000</v>
      </c>
      <c r="D1576" s="1"/>
      <c r="E1576" s="1"/>
      <c r="F1576" s="1"/>
      <c r="G1576" s="1"/>
      <c r="H1576" s="1"/>
      <c r="I1576" s="1"/>
      <c r="J1576" s="1"/>
      <c r="K1576" s="1"/>
      <c r="L1576" s="1"/>
      <c r="M1576" s="1"/>
      <c r="N1576" s="1"/>
      <c r="O1576" s="1"/>
      <c r="P1576" s="1"/>
      <c r="Q1576" s="1"/>
      <c r="R1576" s="1"/>
      <c r="S1576" s="1"/>
      <c r="T1576" s="1"/>
      <c r="U1576" s="1"/>
      <c r="V1576" s="1"/>
      <c r="W1576" s="1"/>
      <c r="X1576" s="1"/>
      <c r="Y1576" s="1"/>
      <c r="Z1576" s="1"/>
    </row>
    <row r="1577" ht="15.75" customHeight="1">
      <c r="A1577" s="2">
        <f>IFERROR(__xludf.DUMMYFUNCTION("""COMPUTED_VALUE"""),788000.0)</f>
        <v>788000</v>
      </c>
      <c r="B1577" s="2">
        <f>IFERROR(__xludf.DUMMYFUNCTION("""COMPUTED_VALUE"""),15760.0)</f>
        <v>15760</v>
      </c>
      <c r="C1577" s="66">
        <f>IFERROR(__xludf.DUMMYFUNCTION("""COMPUTED_VALUE"""),1.2411E10)</f>
        <v>12411000000</v>
      </c>
      <c r="D1577" s="1"/>
      <c r="E1577" s="1"/>
      <c r="F1577" s="1"/>
      <c r="G1577" s="1"/>
      <c r="H1577" s="1"/>
      <c r="I1577" s="1"/>
      <c r="J1577" s="1"/>
      <c r="K1577" s="1"/>
      <c r="L1577" s="1"/>
      <c r="M1577" s="1"/>
      <c r="N1577" s="1"/>
      <c r="O1577" s="1"/>
      <c r="P1577" s="1"/>
      <c r="Q1577" s="1"/>
      <c r="R1577" s="1"/>
      <c r="S1577" s="1"/>
      <c r="T1577" s="1"/>
      <c r="U1577" s="1"/>
      <c r="V1577" s="1"/>
      <c r="W1577" s="1"/>
      <c r="X1577" s="1"/>
      <c r="Y1577" s="1"/>
      <c r="Z1577" s="1"/>
    </row>
    <row r="1578" ht="15.75" customHeight="1">
      <c r="A1578" s="2">
        <f>IFERROR(__xludf.DUMMYFUNCTION("""COMPUTED_VALUE"""),788500.0)</f>
        <v>788500</v>
      </c>
      <c r="B1578" s="2">
        <f>IFERROR(__xludf.DUMMYFUNCTION("""COMPUTED_VALUE"""),15770.0)</f>
        <v>15770</v>
      </c>
      <c r="C1578" s="66">
        <f>IFERROR(__xludf.DUMMYFUNCTION("""COMPUTED_VALUE"""),1.242676E10)</f>
        <v>12426760000</v>
      </c>
      <c r="D1578" s="1"/>
      <c r="E1578" s="1"/>
      <c r="F1578" s="1"/>
      <c r="G1578" s="1"/>
      <c r="H1578" s="1"/>
      <c r="I1578" s="1"/>
      <c r="J1578" s="1"/>
      <c r="K1578" s="1"/>
      <c r="L1578" s="1"/>
      <c r="M1578" s="1"/>
      <c r="N1578" s="1"/>
      <c r="O1578" s="1"/>
      <c r="P1578" s="1"/>
      <c r="Q1578" s="1"/>
      <c r="R1578" s="1"/>
      <c r="S1578" s="1"/>
      <c r="T1578" s="1"/>
      <c r="U1578" s="1"/>
      <c r="V1578" s="1"/>
      <c r="W1578" s="1"/>
      <c r="X1578" s="1"/>
      <c r="Y1578" s="1"/>
      <c r="Z1578" s="1"/>
    </row>
    <row r="1579" ht="15.75" customHeight="1">
      <c r="A1579" s="2">
        <f>IFERROR(__xludf.DUMMYFUNCTION("""COMPUTED_VALUE"""),789000.0)</f>
        <v>789000</v>
      </c>
      <c r="B1579" s="2">
        <f>IFERROR(__xludf.DUMMYFUNCTION("""COMPUTED_VALUE"""),15780.0)</f>
        <v>15780</v>
      </c>
      <c r="C1579" s="66">
        <f>IFERROR(__xludf.DUMMYFUNCTION("""COMPUTED_VALUE"""),1.244253E10)</f>
        <v>12442530000</v>
      </c>
      <c r="D1579" s="1"/>
      <c r="E1579" s="1"/>
      <c r="F1579" s="1"/>
      <c r="G1579" s="1"/>
      <c r="H1579" s="1"/>
      <c r="I1579" s="1"/>
      <c r="J1579" s="1"/>
      <c r="K1579" s="1"/>
      <c r="L1579" s="1"/>
      <c r="M1579" s="1"/>
      <c r="N1579" s="1"/>
      <c r="O1579" s="1"/>
      <c r="P1579" s="1"/>
      <c r="Q1579" s="1"/>
      <c r="R1579" s="1"/>
      <c r="S1579" s="1"/>
      <c r="T1579" s="1"/>
      <c r="U1579" s="1"/>
      <c r="V1579" s="1"/>
      <c r="W1579" s="1"/>
      <c r="X1579" s="1"/>
      <c r="Y1579" s="1"/>
      <c r="Z1579" s="1"/>
    </row>
    <row r="1580" ht="15.75" customHeight="1">
      <c r="A1580" s="2">
        <f>IFERROR(__xludf.DUMMYFUNCTION("""COMPUTED_VALUE"""),789500.0)</f>
        <v>789500</v>
      </c>
      <c r="B1580" s="2">
        <f>IFERROR(__xludf.DUMMYFUNCTION("""COMPUTED_VALUE"""),15790.0)</f>
        <v>15790</v>
      </c>
      <c r="C1580" s="66">
        <f>IFERROR(__xludf.DUMMYFUNCTION("""COMPUTED_VALUE"""),1.245831E10)</f>
        <v>12458310000</v>
      </c>
      <c r="D1580" s="1"/>
      <c r="E1580" s="1"/>
      <c r="F1580" s="1"/>
      <c r="G1580" s="1"/>
      <c r="H1580" s="1"/>
      <c r="I1580" s="1"/>
      <c r="J1580" s="1"/>
      <c r="K1580" s="1"/>
      <c r="L1580" s="1"/>
      <c r="M1580" s="1"/>
      <c r="N1580" s="1"/>
      <c r="O1580" s="1"/>
      <c r="P1580" s="1"/>
      <c r="Q1580" s="1"/>
      <c r="R1580" s="1"/>
      <c r="S1580" s="1"/>
      <c r="T1580" s="1"/>
      <c r="U1580" s="1"/>
      <c r="V1580" s="1"/>
      <c r="W1580" s="1"/>
      <c r="X1580" s="1"/>
      <c r="Y1580" s="1"/>
      <c r="Z1580" s="1"/>
    </row>
    <row r="1581" ht="15.75" customHeight="1">
      <c r="A1581" s="2">
        <f>IFERROR(__xludf.DUMMYFUNCTION("""COMPUTED_VALUE"""),790000.0)</f>
        <v>790000</v>
      </c>
      <c r="B1581" s="2">
        <f>IFERROR(__xludf.DUMMYFUNCTION("""COMPUTED_VALUE"""),15800.0)</f>
        <v>15800</v>
      </c>
      <c r="C1581" s="66">
        <f>IFERROR(__xludf.DUMMYFUNCTION("""COMPUTED_VALUE"""),1.24741E10)</f>
        <v>12474100000</v>
      </c>
      <c r="D1581" s="1"/>
      <c r="E1581" s="1"/>
      <c r="F1581" s="1"/>
      <c r="G1581" s="1"/>
      <c r="H1581" s="1"/>
      <c r="I1581" s="1"/>
      <c r="J1581" s="1"/>
      <c r="K1581" s="1"/>
      <c r="L1581" s="1"/>
      <c r="M1581" s="1"/>
      <c r="N1581" s="1"/>
      <c r="O1581" s="1"/>
      <c r="P1581" s="1"/>
      <c r="Q1581" s="1"/>
      <c r="R1581" s="1"/>
      <c r="S1581" s="1"/>
      <c r="T1581" s="1"/>
      <c r="U1581" s="1"/>
      <c r="V1581" s="1"/>
      <c r="W1581" s="1"/>
      <c r="X1581" s="1"/>
      <c r="Y1581" s="1"/>
      <c r="Z1581" s="1"/>
    </row>
    <row r="1582" ht="15.75" customHeight="1">
      <c r="A1582" s="2">
        <f>IFERROR(__xludf.DUMMYFUNCTION("""COMPUTED_VALUE"""),790500.0)</f>
        <v>790500</v>
      </c>
      <c r="B1582" s="2">
        <f>IFERROR(__xludf.DUMMYFUNCTION("""COMPUTED_VALUE"""),15810.0)</f>
        <v>15810</v>
      </c>
      <c r="C1582" s="66">
        <f>IFERROR(__xludf.DUMMYFUNCTION("""COMPUTED_VALUE"""),1.24899E10)</f>
        <v>12489900000</v>
      </c>
      <c r="D1582" s="1"/>
      <c r="E1582" s="1"/>
      <c r="F1582" s="1"/>
      <c r="G1582" s="1"/>
      <c r="H1582" s="1"/>
      <c r="I1582" s="1"/>
      <c r="J1582" s="1"/>
      <c r="K1582" s="1"/>
      <c r="L1582" s="1"/>
      <c r="M1582" s="1"/>
      <c r="N1582" s="1"/>
      <c r="O1582" s="1"/>
      <c r="P1582" s="1"/>
      <c r="Q1582" s="1"/>
      <c r="R1582" s="1"/>
      <c r="S1582" s="1"/>
      <c r="T1582" s="1"/>
      <c r="U1582" s="1"/>
      <c r="V1582" s="1"/>
      <c r="W1582" s="1"/>
      <c r="X1582" s="1"/>
      <c r="Y1582" s="1"/>
      <c r="Z1582" s="1"/>
    </row>
    <row r="1583" ht="15.75" customHeight="1">
      <c r="A1583" s="2">
        <f>IFERROR(__xludf.DUMMYFUNCTION("""COMPUTED_VALUE"""),791000.0)</f>
        <v>791000</v>
      </c>
      <c r="B1583" s="2">
        <f>IFERROR(__xludf.DUMMYFUNCTION("""COMPUTED_VALUE"""),15820.0)</f>
        <v>15820</v>
      </c>
      <c r="C1583" s="66">
        <f>IFERROR(__xludf.DUMMYFUNCTION("""COMPUTED_VALUE"""),1.250571E10)</f>
        <v>12505710000</v>
      </c>
      <c r="D1583" s="1"/>
      <c r="E1583" s="1"/>
      <c r="F1583" s="1"/>
      <c r="G1583" s="1"/>
      <c r="H1583" s="1"/>
      <c r="I1583" s="1"/>
      <c r="J1583" s="1"/>
      <c r="K1583" s="1"/>
      <c r="L1583" s="1"/>
      <c r="M1583" s="1"/>
      <c r="N1583" s="1"/>
      <c r="O1583" s="1"/>
      <c r="P1583" s="1"/>
      <c r="Q1583" s="1"/>
      <c r="R1583" s="1"/>
      <c r="S1583" s="1"/>
      <c r="T1583" s="1"/>
      <c r="U1583" s="1"/>
      <c r="V1583" s="1"/>
      <c r="W1583" s="1"/>
      <c r="X1583" s="1"/>
      <c r="Y1583" s="1"/>
      <c r="Z1583" s="1"/>
    </row>
    <row r="1584" ht="15.75" customHeight="1">
      <c r="A1584" s="2">
        <f>IFERROR(__xludf.DUMMYFUNCTION("""COMPUTED_VALUE"""),791500.0)</f>
        <v>791500</v>
      </c>
      <c r="B1584" s="2">
        <f>IFERROR(__xludf.DUMMYFUNCTION("""COMPUTED_VALUE"""),15830.0)</f>
        <v>15830</v>
      </c>
      <c r="C1584" s="66">
        <f>IFERROR(__xludf.DUMMYFUNCTION("""COMPUTED_VALUE"""),1.252153E10)</f>
        <v>12521530000</v>
      </c>
      <c r="D1584" s="1"/>
      <c r="E1584" s="1"/>
      <c r="F1584" s="1"/>
      <c r="G1584" s="1"/>
      <c r="H1584" s="1"/>
      <c r="I1584" s="1"/>
      <c r="J1584" s="1"/>
      <c r="K1584" s="1"/>
      <c r="L1584" s="1"/>
      <c r="M1584" s="1"/>
      <c r="N1584" s="1"/>
      <c r="O1584" s="1"/>
      <c r="P1584" s="1"/>
      <c r="Q1584" s="1"/>
      <c r="R1584" s="1"/>
      <c r="S1584" s="1"/>
      <c r="T1584" s="1"/>
      <c r="U1584" s="1"/>
      <c r="V1584" s="1"/>
      <c r="W1584" s="1"/>
      <c r="X1584" s="1"/>
      <c r="Y1584" s="1"/>
      <c r="Z1584" s="1"/>
    </row>
    <row r="1585" ht="15.75" customHeight="1">
      <c r="A1585" s="2">
        <f>IFERROR(__xludf.DUMMYFUNCTION("""COMPUTED_VALUE"""),792000.0)</f>
        <v>792000</v>
      </c>
      <c r="B1585" s="2">
        <f>IFERROR(__xludf.DUMMYFUNCTION("""COMPUTED_VALUE"""),15840.0)</f>
        <v>15840</v>
      </c>
      <c r="C1585" s="66">
        <f>IFERROR(__xludf.DUMMYFUNCTION("""COMPUTED_VALUE"""),1.253736E10)</f>
        <v>12537360000</v>
      </c>
      <c r="D1585" s="1"/>
      <c r="E1585" s="1"/>
      <c r="F1585" s="1"/>
      <c r="G1585" s="1"/>
      <c r="H1585" s="1"/>
      <c r="I1585" s="1"/>
      <c r="J1585" s="1"/>
      <c r="K1585" s="1"/>
      <c r="L1585" s="1"/>
      <c r="M1585" s="1"/>
      <c r="N1585" s="1"/>
      <c r="O1585" s="1"/>
      <c r="P1585" s="1"/>
      <c r="Q1585" s="1"/>
      <c r="R1585" s="1"/>
      <c r="S1585" s="1"/>
      <c r="T1585" s="1"/>
      <c r="U1585" s="1"/>
      <c r="V1585" s="1"/>
      <c r="W1585" s="1"/>
      <c r="X1585" s="1"/>
      <c r="Y1585" s="1"/>
      <c r="Z1585" s="1"/>
    </row>
    <row r="1586" ht="15.75" customHeight="1">
      <c r="A1586" s="2">
        <f>IFERROR(__xludf.DUMMYFUNCTION("""COMPUTED_VALUE"""),792500.0)</f>
        <v>792500</v>
      </c>
      <c r="B1586" s="2">
        <f>IFERROR(__xludf.DUMMYFUNCTION("""COMPUTED_VALUE"""),15850.0)</f>
        <v>15850</v>
      </c>
      <c r="C1586" s="66">
        <f>IFERROR(__xludf.DUMMYFUNCTION("""COMPUTED_VALUE"""),1.25532E10)</f>
        <v>12553200000</v>
      </c>
      <c r="D1586" s="1"/>
      <c r="E1586" s="1"/>
      <c r="F1586" s="1"/>
      <c r="G1586" s="1"/>
      <c r="H1586" s="1"/>
      <c r="I1586" s="1"/>
      <c r="J1586" s="1"/>
      <c r="K1586" s="1"/>
      <c r="L1586" s="1"/>
      <c r="M1586" s="1"/>
      <c r="N1586" s="1"/>
      <c r="O1586" s="1"/>
      <c r="P1586" s="1"/>
      <c r="Q1586" s="1"/>
      <c r="R1586" s="1"/>
      <c r="S1586" s="1"/>
      <c r="T1586" s="1"/>
      <c r="U1586" s="1"/>
      <c r="V1586" s="1"/>
      <c r="W1586" s="1"/>
      <c r="X1586" s="1"/>
      <c r="Y1586" s="1"/>
      <c r="Z1586" s="1"/>
    </row>
    <row r="1587" ht="15.75" customHeight="1">
      <c r="A1587" s="2">
        <f>IFERROR(__xludf.DUMMYFUNCTION("""COMPUTED_VALUE"""),793000.0)</f>
        <v>793000</v>
      </c>
      <c r="B1587" s="2">
        <f>IFERROR(__xludf.DUMMYFUNCTION("""COMPUTED_VALUE"""),15860.0)</f>
        <v>15860</v>
      </c>
      <c r="C1587" s="66">
        <f>IFERROR(__xludf.DUMMYFUNCTION("""COMPUTED_VALUE"""),1.256905E10)</f>
        <v>12569050000</v>
      </c>
      <c r="D1587" s="1"/>
      <c r="E1587" s="1"/>
      <c r="F1587" s="1"/>
      <c r="G1587" s="1"/>
      <c r="H1587" s="1"/>
      <c r="I1587" s="1"/>
      <c r="J1587" s="1"/>
      <c r="K1587" s="1"/>
      <c r="L1587" s="1"/>
      <c r="M1587" s="1"/>
      <c r="N1587" s="1"/>
      <c r="O1587" s="1"/>
      <c r="P1587" s="1"/>
      <c r="Q1587" s="1"/>
      <c r="R1587" s="1"/>
      <c r="S1587" s="1"/>
      <c r="T1587" s="1"/>
      <c r="U1587" s="1"/>
      <c r="V1587" s="1"/>
      <c r="W1587" s="1"/>
      <c r="X1587" s="1"/>
      <c r="Y1587" s="1"/>
      <c r="Z1587" s="1"/>
    </row>
    <row r="1588" ht="15.75" customHeight="1">
      <c r="A1588" s="2">
        <f>IFERROR(__xludf.DUMMYFUNCTION("""COMPUTED_VALUE"""),793500.0)</f>
        <v>793500</v>
      </c>
      <c r="B1588" s="2">
        <f>IFERROR(__xludf.DUMMYFUNCTION("""COMPUTED_VALUE"""),15870.0)</f>
        <v>15870</v>
      </c>
      <c r="C1588" s="66">
        <f>IFERROR(__xludf.DUMMYFUNCTION("""COMPUTED_VALUE"""),1.258491E10)</f>
        <v>12584910000</v>
      </c>
      <c r="D1588" s="1"/>
      <c r="E1588" s="1"/>
      <c r="F1588" s="1"/>
      <c r="G1588" s="1"/>
      <c r="H1588" s="1"/>
      <c r="I1588" s="1"/>
      <c r="J1588" s="1"/>
      <c r="K1588" s="1"/>
      <c r="L1588" s="1"/>
      <c r="M1588" s="1"/>
      <c r="N1588" s="1"/>
      <c r="O1588" s="1"/>
      <c r="P1588" s="1"/>
      <c r="Q1588" s="1"/>
      <c r="R1588" s="1"/>
      <c r="S1588" s="1"/>
      <c r="T1588" s="1"/>
      <c r="U1588" s="1"/>
      <c r="V1588" s="1"/>
      <c r="W1588" s="1"/>
      <c r="X1588" s="1"/>
      <c r="Y1588" s="1"/>
      <c r="Z1588" s="1"/>
    </row>
    <row r="1589" ht="15.75" customHeight="1">
      <c r="A1589" s="2">
        <f>IFERROR(__xludf.DUMMYFUNCTION("""COMPUTED_VALUE"""),794000.0)</f>
        <v>794000</v>
      </c>
      <c r="B1589" s="2">
        <f>IFERROR(__xludf.DUMMYFUNCTION("""COMPUTED_VALUE"""),15880.0)</f>
        <v>15880</v>
      </c>
      <c r="C1589" s="66">
        <f>IFERROR(__xludf.DUMMYFUNCTION("""COMPUTED_VALUE"""),1.260078E10)</f>
        <v>12600780000</v>
      </c>
      <c r="D1589" s="1"/>
      <c r="E1589" s="1"/>
      <c r="F1589" s="1"/>
      <c r="G1589" s="1"/>
      <c r="H1589" s="1"/>
      <c r="I1589" s="1"/>
      <c r="J1589" s="1"/>
      <c r="K1589" s="1"/>
      <c r="L1589" s="1"/>
      <c r="M1589" s="1"/>
      <c r="N1589" s="1"/>
      <c r="O1589" s="1"/>
      <c r="P1589" s="1"/>
      <c r="Q1589" s="1"/>
      <c r="R1589" s="1"/>
      <c r="S1589" s="1"/>
      <c r="T1589" s="1"/>
      <c r="U1589" s="1"/>
      <c r="V1589" s="1"/>
      <c r="W1589" s="1"/>
      <c r="X1589" s="1"/>
      <c r="Y1589" s="1"/>
      <c r="Z1589" s="1"/>
    </row>
    <row r="1590" ht="15.75" customHeight="1">
      <c r="A1590" s="2">
        <f>IFERROR(__xludf.DUMMYFUNCTION("""COMPUTED_VALUE"""),794500.0)</f>
        <v>794500</v>
      </c>
      <c r="B1590" s="2">
        <f>IFERROR(__xludf.DUMMYFUNCTION("""COMPUTED_VALUE"""),15890.0)</f>
        <v>15890</v>
      </c>
      <c r="C1590" s="66">
        <f>IFERROR(__xludf.DUMMYFUNCTION("""COMPUTED_VALUE"""),1.261666E10)</f>
        <v>12616660000</v>
      </c>
      <c r="D1590" s="1"/>
      <c r="E1590" s="1"/>
      <c r="F1590" s="1"/>
      <c r="G1590" s="1"/>
      <c r="H1590" s="1"/>
      <c r="I1590" s="1"/>
      <c r="J1590" s="1"/>
      <c r="K1590" s="1"/>
      <c r="L1590" s="1"/>
      <c r="M1590" s="1"/>
      <c r="N1590" s="1"/>
      <c r="O1590" s="1"/>
      <c r="P1590" s="1"/>
      <c r="Q1590" s="1"/>
      <c r="R1590" s="1"/>
      <c r="S1590" s="1"/>
      <c r="T1590" s="1"/>
      <c r="U1590" s="1"/>
      <c r="V1590" s="1"/>
      <c r="W1590" s="1"/>
      <c r="X1590" s="1"/>
      <c r="Y1590" s="1"/>
      <c r="Z1590" s="1"/>
    </row>
    <row r="1591" ht="15.75" customHeight="1">
      <c r="A1591" s="2">
        <f>IFERROR(__xludf.DUMMYFUNCTION("""COMPUTED_VALUE"""),795000.0)</f>
        <v>795000</v>
      </c>
      <c r="B1591" s="2">
        <f>IFERROR(__xludf.DUMMYFUNCTION("""COMPUTED_VALUE"""),15900.0)</f>
        <v>15900</v>
      </c>
      <c r="C1591" s="66">
        <f>IFERROR(__xludf.DUMMYFUNCTION("""COMPUTED_VALUE"""),1.263255E10)</f>
        <v>12632550000</v>
      </c>
      <c r="D1591" s="1"/>
      <c r="E1591" s="1"/>
      <c r="F1591" s="1"/>
      <c r="G1591" s="1"/>
      <c r="H1591" s="1"/>
      <c r="I1591" s="1"/>
      <c r="J1591" s="1"/>
      <c r="K1591" s="1"/>
      <c r="L1591" s="1"/>
      <c r="M1591" s="1"/>
      <c r="N1591" s="1"/>
      <c r="O1591" s="1"/>
      <c r="P1591" s="1"/>
      <c r="Q1591" s="1"/>
      <c r="R1591" s="1"/>
      <c r="S1591" s="1"/>
      <c r="T1591" s="1"/>
      <c r="U1591" s="1"/>
      <c r="V1591" s="1"/>
      <c r="W1591" s="1"/>
      <c r="X1591" s="1"/>
      <c r="Y1591" s="1"/>
      <c r="Z1591" s="1"/>
    </row>
    <row r="1592" ht="15.75" customHeight="1">
      <c r="A1592" s="2">
        <f>IFERROR(__xludf.DUMMYFUNCTION("""COMPUTED_VALUE"""),795500.0)</f>
        <v>795500</v>
      </c>
      <c r="B1592" s="2">
        <f>IFERROR(__xludf.DUMMYFUNCTION("""COMPUTED_VALUE"""),15910.0)</f>
        <v>15910</v>
      </c>
      <c r="C1592" s="66">
        <f>IFERROR(__xludf.DUMMYFUNCTION("""COMPUTED_VALUE"""),1.264845E10)</f>
        <v>12648450000</v>
      </c>
      <c r="D1592" s="1"/>
      <c r="E1592" s="1"/>
      <c r="F1592" s="1"/>
      <c r="G1592" s="1"/>
      <c r="H1592" s="1"/>
      <c r="I1592" s="1"/>
      <c r="J1592" s="1"/>
      <c r="K1592" s="1"/>
      <c r="L1592" s="1"/>
      <c r="M1592" s="1"/>
      <c r="N1592" s="1"/>
      <c r="O1592" s="1"/>
      <c r="P1592" s="1"/>
      <c r="Q1592" s="1"/>
      <c r="R1592" s="1"/>
      <c r="S1592" s="1"/>
      <c r="T1592" s="1"/>
      <c r="U1592" s="1"/>
      <c r="V1592" s="1"/>
      <c r="W1592" s="1"/>
      <c r="X1592" s="1"/>
      <c r="Y1592" s="1"/>
      <c r="Z1592" s="1"/>
    </row>
    <row r="1593" ht="15.75" customHeight="1">
      <c r="A1593" s="2">
        <f>IFERROR(__xludf.DUMMYFUNCTION("""COMPUTED_VALUE"""),796000.0)</f>
        <v>796000</v>
      </c>
      <c r="B1593" s="2">
        <f>IFERROR(__xludf.DUMMYFUNCTION("""COMPUTED_VALUE"""),15920.0)</f>
        <v>15920</v>
      </c>
      <c r="C1593" s="66">
        <f>IFERROR(__xludf.DUMMYFUNCTION("""COMPUTED_VALUE"""),1.266436E10)</f>
        <v>12664360000</v>
      </c>
      <c r="D1593" s="1"/>
      <c r="E1593" s="1"/>
      <c r="F1593" s="1"/>
      <c r="G1593" s="1"/>
      <c r="H1593" s="1"/>
      <c r="I1593" s="1"/>
      <c r="J1593" s="1"/>
      <c r="K1593" s="1"/>
      <c r="L1593" s="1"/>
      <c r="M1593" s="1"/>
      <c r="N1593" s="1"/>
      <c r="O1593" s="1"/>
      <c r="P1593" s="1"/>
      <c r="Q1593" s="1"/>
      <c r="R1593" s="1"/>
      <c r="S1593" s="1"/>
      <c r="T1593" s="1"/>
      <c r="U1593" s="1"/>
      <c r="V1593" s="1"/>
      <c r="W1593" s="1"/>
      <c r="X1593" s="1"/>
      <c r="Y1593" s="1"/>
      <c r="Z1593" s="1"/>
    </row>
    <row r="1594" ht="15.75" customHeight="1">
      <c r="A1594" s="2">
        <f>IFERROR(__xludf.DUMMYFUNCTION("""COMPUTED_VALUE"""),796500.0)</f>
        <v>796500</v>
      </c>
      <c r="B1594" s="2">
        <f>IFERROR(__xludf.DUMMYFUNCTION("""COMPUTED_VALUE"""),15930.0)</f>
        <v>15930</v>
      </c>
      <c r="C1594" s="66">
        <f>IFERROR(__xludf.DUMMYFUNCTION("""COMPUTED_VALUE"""),1.268028E10)</f>
        <v>12680280000</v>
      </c>
      <c r="D1594" s="1"/>
      <c r="E1594" s="1"/>
      <c r="F1594" s="1"/>
      <c r="G1594" s="1"/>
      <c r="H1594" s="1"/>
      <c r="I1594" s="1"/>
      <c r="J1594" s="1"/>
      <c r="K1594" s="1"/>
      <c r="L1594" s="1"/>
      <c r="M1594" s="1"/>
      <c r="N1594" s="1"/>
      <c r="O1594" s="1"/>
      <c r="P1594" s="1"/>
      <c r="Q1594" s="1"/>
      <c r="R1594" s="1"/>
      <c r="S1594" s="1"/>
      <c r="T1594" s="1"/>
      <c r="U1594" s="1"/>
      <c r="V1594" s="1"/>
      <c r="W1594" s="1"/>
      <c r="X1594" s="1"/>
      <c r="Y1594" s="1"/>
      <c r="Z1594" s="1"/>
    </row>
    <row r="1595" ht="15.75" customHeight="1">
      <c r="A1595" s="2">
        <f>IFERROR(__xludf.DUMMYFUNCTION("""COMPUTED_VALUE"""),797000.0)</f>
        <v>797000</v>
      </c>
      <c r="B1595" s="2">
        <f>IFERROR(__xludf.DUMMYFUNCTION("""COMPUTED_VALUE"""),15940.0)</f>
        <v>15940</v>
      </c>
      <c r="C1595" s="66">
        <f>IFERROR(__xludf.DUMMYFUNCTION("""COMPUTED_VALUE"""),1.269621E10)</f>
        <v>12696210000</v>
      </c>
      <c r="D1595" s="1"/>
      <c r="E1595" s="1"/>
      <c r="F1595" s="1"/>
      <c r="G1595" s="1"/>
      <c r="H1595" s="1"/>
      <c r="I1595" s="1"/>
      <c r="J1595" s="1"/>
      <c r="K1595" s="1"/>
      <c r="L1595" s="1"/>
      <c r="M1595" s="1"/>
      <c r="N1595" s="1"/>
      <c r="O1595" s="1"/>
      <c r="P1595" s="1"/>
      <c r="Q1595" s="1"/>
      <c r="R1595" s="1"/>
      <c r="S1595" s="1"/>
      <c r="T1595" s="1"/>
      <c r="U1595" s="1"/>
      <c r="V1595" s="1"/>
      <c r="W1595" s="1"/>
      <c r="X1595" s="1"/>
      <c r="Y1595" s="1"/>
      <c r="Z1595" s="1"/>
    </row>
    <row r="1596" ht="15.75" customHeight="1">
      <c r="A1596" s="2">
        <f>IFERROR(__xludf.DUMMYFUNCTION("""COMPUTED_VALUE"""),797500.0)</f>
        <v>797500</v>
      </c>
      <c r="B1596" s="2">
        <f>IFERROR(__xludf.DUMMYFUNCTION("""COMPUTED_VALUE"""),15950.0)</f>
        <v>15950</v>
      </c>
      <c r="C1596" s="66">
        <f>IFERROR(__xludf.DUMMYFUNCTION("""COMPUTED_VALUE"""),1.271215E10)</f>
        <v>12712150000</v>
      </c>
      <c r="D1596" s="1"/>
      <c r="E1596" s="1"/>
      <c r="F1596" s="1"/>
      <c r="G1596" s="1"/>
      <c r="H1596" s="1"/>
      <c r="I1596" s="1"/>
      <c r="J1596" s="1"/>
      <c r="K1596" s="1"/>
      <c r="L1596" s="1"/>
      <c r="M1596" s="1"/>
      <c r="N1596" s="1"/>
      <c r="O1596" s="1"/>
      <c r="P1596" s="1"/>
      <c r="Q1596" s="1"/>
      <c r="R1596" s="1"/>
      <c r="S1596" s="1"/>
      <c r="T1596" s="1"/>
      <c r="U1596" s="1"/>
      <c r="V1596" s="1"/>
      <c r="W1596" s="1"/>
      <c r="X1596" s="1"/>
      <c r="Y1596" s="1"/>
      <c r="Z1596" s="1"/>
    </row>
    <row r="1597" ht="15.75" customHeight="1">
      <c r="A1597" s="2">
        <f>IFERROR(__xludf.DUMMYFUNCTION("""COMPUTED_VALUE"""),798000.0)</f>
        <v>798000</v>
      </c>
      <c r="B1597" s="2">
        <f>IFERROR(__xludf.DUMMYFUNCTION("""COMPUTED_VALUE"""),15960.0)</f>
        <v>15960</v>
      </c>
      <c r="C1597" s="66">
        <f>IFERROR(__xludf.DUMMYFUNCTION("""COMPUTED_VALUE"""),1.27281E10)</f>
        <v>12728100000</v>
      </c>
      <c r="D1597" s="1"/>
      <c r="E1597" s="1"/>
      <c r="F1597" s="1"/>
      <c r="G1597" s="1"/>
      <c r="H1597" s="1"/>
      <c r="I1597" s="1"/>
      <c r="J1597" s="1"/>
      <c r="K1597" s="1"/>
      <c r="L1597" s="1"/>
      <c r="M1597" s="1"/>
      <c r="N1597" s="1"/>
      <c r="O1597" s="1"/>
      <c r="P1597" s="1"/>
      <c r="Q1597" s="1"/>
      <c r="R1597" s="1"/>
      <c r="S1597" s="1"/>
      <c r="T1597" s="1"/>
      <c r="U1597" s="1"/>
      <c r="V1597" s="1"/>
      <c r="W1597" s="1"/>
      <c r="X1597" s="1"/>
      <c r="Y1597" s="1"/>
      <c r="Z1597" s="1"/>
    </row>
    <row r="1598" ht="15.75" customHeight="1">
      <c r="A1598" s="2">
        <f>IFERROR(__xludf.DUMMYFUNCTION("""COMPUTED_VALUE"""),798500.0)</f>
        <v>798500</v>
      </c>
      <c r="B1598" s="2">
        <f>IFERROR(__xludf.DUMMYFUNCTION("""COMPUTED_VALUE"""),15970.0)</f>
        <v>15970</v>
      </c>
      <c r="C1598" s="66">
        <f>IFERROR(__xludf.DUMMYFUNCTION("""COMPUTED_VALUE"""),1.274406E10)</f>
        <v>12744060000</v>
      </c>
      <c r="D1598" s="1"/>
      <c r="E1598" s="1"/>
      <c r="F1598" s="1"/>
      <c r="G1598" s="1"/>
      <c r="H1598" s="1"/>
      <c r="I1598" s="1"/>
      <c r="J1598" s="1"/>
      <c r="K1598" s="1"/>
      <c r="L1598" s="1"/>
      <c r="M1598" s="1"/>
      <c r="N1598" s="1"/>
      <c r="O1598" s="1"/>
      <c r="P1598" s="1"/>
      <c r="Q1598" s="1"/>
      <c r="R1598" s="1"/>
      <c r="S1598" s="1"/>
      <c r="T1598" s="1"/>
      <c r="U1598" s="1"/>
      <c r="V1598" s="1"/>
      <c r="W1598" s="1"/>
      <c r="X1598" s="1"/>
      <c r="Y1598" s="1"/>
      <c r="Z1598" s="1"/>
    </row>
    <row r="1599" ht="15.75" customHeight="1">
      <c r="A1599" s="2">
        <f>IFERROR(__xludf.DUMMYFUNCTION("""COMPUTED_VALUE"""),799000.0)</f>
        <v>799000</v>
      </c>
      <c r="B1599" s="2">
        <f>IFERROR(__xludf.DUMMYFUNCTION("""COMPUTED_VALUE"""),15980.0)</f>
        <v>15980</v>
      </c>
      <c r="C1599" s="66">
        <f>IFERROR(__xludf.DUMMYFUNCTION("""COMPUTED_VALUE"""),1.276003E10)</f>
        <v>12760030000</v>
      </c>
      <c r="D1599" s="1"/>
      <c r="E1599" s="1"/>
      <c r="F1599" s="1"/>
      <c r="G1599" s="1"/>
      <c r="H1599" s="1"/>
      <c r="I1599" s="1"/>
      <c r="J1599" s="1"/>
      <c r="K1599" s="1"/>
      <c r="L1599" s="1"/>
      <c r="M1599" s="1"/>
      <c r="N1599" s="1"/>
      <c r="O1599" s="1"/>
      <c r="P1599" s="1"/>
      <c r="Q1599" s="1"/>
      <c r="R1599" s="1"/>
      <c r="S1599" s="1"/>
      <c r="T1599" s="1"/>
      <c r="U1599" s="1"/>
      <c r="V1599" s="1"/>
      <c r="W1599" s="1"/>
      <c r="X1599" s="1"/>
      <c r="Y1599" s="1"/>
      <c r="Z1599" s="1"/>
    </row>
    <row r="1600" ht="15.75" customHeight="1">
      <c r="A1600" s="2">
        <f>IFERROR(__xludf.DUMMYFUNCTION("""COMPUTED_VALUE"""),799500.0)</f>
        <v>799500</v>
      </c>
      <c r="B1600" s="2">
        <f>IFERROR(__xludf.DUMMYFUNCTION("""COMPUTED_VALUE"""),15990.0)</f>
        <v>15990</v>
      </c>
      <c r="C1600" s="66">
        <f>IFERROR(__xludf.DUMMYFUNCTION("""COMPUTED_VALUE"""),1.277601E10)</f>
        <v>12776010000</v>
      </c>
      <c r="D1600" s="1"/>
      <c r="E1600" s="1"/>
      <c r="F1600" s="1"/>
      <c r="G1600" s="1"/>
      <c r="H1600" s="1"/>
      <c r="I1600" s="1"/>
      <c r="J1600" s="1"/>
      <c r="K1600" s="1"/>
      <c r="L1600" s="1"/>
      <c r="M1600" s="1"/>
      <c r="N1600" s="1"/>
      <c r="O1600" s="1"/>
      <c r="P1600" s="1"/>
      <c r="Q1600" s="1"/>
      <c r="R1600" s="1"/>
      <c r="S1600" s="1"/>
      <c r="T1600" s="1"/>
      <c r="U1600" s="1"/>
      <c r="V1600" s="1"/>
      <c r="W1600" s="1"/>
      <c r="X1600" s="1"/>
      <c r="Y1600" s="1"/>
      <c r="Z1600" s="1"/>
    </row>
    <row r="1601" ht="15.75" customHeight="1">
      <c r="A1601" s="2">
        <f>IFERROR(__xludf.DUMMYFUNCTION("""COMPUTED_VALUE"""),800000.0)</f>
        <v>800000</v>
      </c>
      <c r="B1601" s="2">
        <f>IFERROR(__xludf.DUMMYFUNCTION("""COMPUTED_VALUE"""),16000.0)</f>
        <v>16000</v>
      </c>
      <c r="C1601" s="66">
        <f>IFERROR(__xludf.DUMMYFUNCTION("""COMPUTED_VALUE"""),1.2792E10)</f>
        <v>12792000000</v>
      </c>
      <c r="D1601" s="1"/>
      <c r="E1601" s="1"/>
      <c r="F1601" s="1"/>
      <c r="G1601" s="1"/>
      <c r="H1601" s="1"/>
      <c r="I1601" s="1"/>
      <c r="J1601" s="1"/>
      <c r="K1601" s="1"/>
      <c r="L1601" s="1"/>
      <c r="M1601" s="1"/>
      <c r="N1601" s="1"/>
      <c r="O1601" s="1"/>
      <c r="P1601" s="1"/>
      <c r="Q1601" s="1"/>
      <c r="R1601" s="1"/>
      <c r="S1601" s="1"/>
      <c r="T1601" s="1"/>
      <c r="U1601" s="1"/>
      <c r="V1601" s="1"/>
      <c r="W1601" s="1"/>
      <c r="X1601" s="1"/>
      <c r="Y1601" s="1"/>
      <c r="Z1601" s="1"/>
    </row>
    <row r="1602" ht="15.75" customHeight="1">
      <c r="A1602" s="2">
        <f>IFERROR(__xludf.DUMMYFUNCTION("""COMPUTED_VALUE"""),800500.0)</f>
        <v>800500</v>
      </c>
      <c r="B1602" s="2">
        <f>IFERROR(__xludf.DUMMYFUNCTION("""COMPUTED_VALUE"""),16010.0)</f>
        <v>16010</v>
      </c>
      <c r="C1602" s="66">
        <f>IFERROR(__xludf.DUMMYFUNCTION("""COMPUTED_VALUE"""),1.2808E10)</f>
        <v>12808000000</v>
      </c>
      <c r="D1602" s="1"/>
      <c r="E1602" s="1"/>
      <c r="F1602" s="1"/>
      <c r="G1602" s="1"/>
      <c r="H1602" s="1"/>
      <c r="I1602" s="1"/>
      <c r="J1602" s="1"/>
      <c r="K1602" s="1"/>
      <c r="L1602" s="1"/>
      <c r="M1602" s="1"/>
      <c r="N1602" s="1"/>
      <c r="O1602" s="1"/>
      <c r="P1602" s="1"/>
      <c r="Q1602" s="1"/>
      <c r="R1602" s="1"/>
      <c r="S1602" s="1"/>
      <c r="T1602" s="1"/>
      <c r="U1602" s="1"/>
      <c r="V1602" s="1"/>
      <c r="W1602" s="1"/>
      <c r="X1602" s="1"/>
      <c r="Y1602" s="1"/>
      <c r="Z1602" s="1"/>
    </row>
    <row r="1603" ht="15.75" customHeight="1">
      <c r="A1603" s="2">
        <f>IFERROR(__xludf.DUMMYFUNCTION("""COMPUTED_VALUE"""),801000.0)</f>
        <v>801000</v>
      </c>
      <c r="B1603" s="2">
        <f>IFERROR(__xludf.DUMMYFUNCTION("""COMPUTED_VALUE"""),16020.0)</f>
        <v>16020</v>
      </c>
      <c r="C1603" s="66">
        <f>IFERROR(__xludf.DUMMYFUNCTION("""COMPUTED_VALUE"""),1.282401E10)</f>
        <v>12824010000</v>
      </c>
      <c r="D1603" s="1"/>
      <c r="E1603" s="1"/>
      <c r="F1603" s="1"/>
      <c r="G1603" s="1"/>
      <c r="H1603" s="1"/>
      <c r="I1603" s="1"/>
      <c r="J1603" s="1"/>
      <c r="K1603" s="1"/>
      <c r="L1603" s="1"/>
      <c r="M1603" s="1"/>
      <c r="N1603" s="1"/>
      <c r="O1603" s="1"/>
      <c r="P1603" s="1"/>
      <c r="Q1603" s="1"/>
      <c r="R1603" s="1"/>
      <c r="S1603" s="1"/>
      <c r="T1603" s="1"/>
      <c r="U1603" s="1"/>
      <c r="V1603" s="1"/>
      <c r="W1603" s="1"/>
      <c r="X1603" s="1"/>
      <c r="Y1603" s="1"/>
      <c r="Z1603" s="1"/>
    </row>
    <row r="1604" ht="15.75" customHeight="1">
      <c r="A1604" s="2">
        <f>IFERROR(__xludf.DUMMYFUNCTION("""COMPUTED_VALUE"""),801500.0)</f>
        <v>801500</v>
      </c>
      <c r="B1604" s="2">
        <f>IFERROR(__xludf.DUMMYFUNCTION("""COMPUTED_VALUE"""),16030.0)</f>
        <v>16030</v>
      </c>
      <c r="C1604" s="66">
        <f>IFERROR(__xludf.DUMMYFUNCTION("""COMPUTED_VALUE"""),1.284003E10)</f>
        <v>12840030000</v>
      </c>
      <c r="D1604" s="1"/>
      <c r="E1604" s="1"/>
      <c r="F1604" s="1"/>
      <c r="G1604" s="1"/>
      <c r="H1604" s="1"/>
      <c r="I1604" s="1"/>
      <c r="J1604" s="1"/>
      <c r="K1604" s="1"/>
      <c r="L1604" s="1"/>
      <c r="M1604" s="1"/>
      <c r="N1604" s="1"/>
      <c r="O1604" s="1"/>
      <c r="P1604" s="1"/>
      <c r="Q1604" s="1"/>
      <c r="R1604" s="1"/>
      <c r="S1604" s="1"/>
      <c r="T1604" s="1"/>
      <c r="U1604" s="1"/>
      <c r="V1604" s="1"/>
      <c r="W1604" s="1"/>
      <c r="X1604" s="1"/>
      <c r="Y1604" s="1"/>
      <c r="Z1604" s="1"/>
    </row>
    <row r="1605" ht="15.75" customHeight="1">
      <c r="A1605" s="2">
        <f>IFERROR(__xludf.DUMMYFUNCTION("""COMPUTED_VALUE"""),802000.0)</f>
        <v>802000</v>
      </c>
      <c r="B1605" s="2">
        <f>IFERROR(__xludf.DUMMYFUNCTION("""COMPUTED_VALUE"""),16040.0)</f>
        <v>16040</v>
      </c>
      <c r="C1605" s="66">
        <f>IFERROR(__xludf.DUMMYFUNCTION("""COMPUTED_VALUE"""),1.285606E10)</f>
        <v>12856060000</v>
      </c>
      <c r="D1605" s="1"/>
      <c r="E1605" s="1"/>
      <c r="F1605" s="1"/>
      <c r="G1605" s="1"/>
      <c r="H1605" s="1"/>
      <c r="I1605" s="1"/>
      <c r="J1605" s="1"/>
      <c r="K1605" s="1"/>
      <c r="L1605" s="1"/>
      <c r="M1605" s="1"/>
      <c r="N1605" s="1"/>
      <c r="O1605" s="1"/>
      <c r="P1605" s="1"/>
      <c r="Q1605" s="1"/>
      <c r="R1605" s="1"/>
      <c r="S1605" s="1"/>
      <c r="T1605" s="1"/>
      <c r="U1605" s="1"/>
      <c r="V1605" s="1"/>
      <c r="W1605" s="1"/>
      <c r="X1605" s="1"/>
      <c r="Y1605" s="1"/>
      <c r="Z1605" s="1"/>
    </row>
    <row r="1606" ht="15.75" customHeight="1">
      <c r="A1606" s="2">
        <f>IFERROR(__xludf.DUMMYFUNCTION("""COMPUTED_VALUE"""),802500.0)</f>
        <v>802500</v>
      </c>
      <c r="B1606" s="2">
        <f>IFERROR(__xludf.DUMMYFUNCTION("""COMPUTED_VALUE"""),16050.0)</f>
        <v>16050</v>
      </c>
      <c r="C1606" s="66">
        <f>IFERROR(__xludf.DUMMYFUNCTION("""COMPUTED_VALUE"""),1.28721E10)</f>
        <v>12872100000</v>
      </c>
      <c r="D1606" s="1"/>
      <c r="E1606" s="1"/>
      <c r="F1606" s="1"/>
      <c r="G1606" s="1"/>
      <c r="H1606" s="1"/>
      <c r="I1606" s="1"/>
      <c r="J1606" s="1"/>
      <c r="K1606" s="1"/>
      <c r="L1606" s="1"/>
      <c r="M1606" s="1"/>
      <c r="N1606" s="1"/>
      <c r="O1606" s="1"/>
      <c r="P1606" s="1"/>
      <c r="Q1606" s="1"/>
      <c r="R1606" s="1"/>
      <c r="S1606" s="1"/>
      <c r="T1606" s="1"/>
      <c r="U1606" s="1"/>
      <c r="V1606" s="1"/>
      <c r="W1606" s="1"/>
      <c r="X1606" s="1"/>
      <c r="Y1606" s="1"/>
      <c r="Z1606" s="1"/>
    </row>
    <row r="1607" ht="15.75" customHeight="1">
      <c r="A1607" s="2">
        <f>IFERROR(__xludf.DUMMYFUNCTION("""COMPUTED_VALUE"""),803000.0)</f>
        <v>803000</v>
      </c>
      <c r="B1607" s="2">
        <f>IFERROR(__xludf.DUMMYFUNCTION("""COMPUTED_VALUE"""),16060.0)</f>
        <v>16060</v>
      </c>
      <c r="C1607" s="66">
        <f>IFERROR(__xludf.DUMMYFUNCTION("""COMPUTED_VALUE"""),1.288815E10)</f>
        <v>12888150000</v>
      </c>
      <c r="D1607" s="1"/>
      <c r="E1607" s="1"/>
      <c r="F1607" s="1"/>
      <c r="G1607" s="1"/>
      <c r="H1607" s="1"/>
      <c r="I1607" s="1"/>
      <c r="J1607" s="1"/>
      <c r="K1607" s="1"/>
      <c r="L1607" s="1"/>
      <c r="M1607" s="1"/>
      <c r="N1607" s="1"/>
      <c r="O1607" s="1"/>
      <c r="P1607" s="1"/>
      <c r="Q1607" s="1"/>
      <c r="R1607" s="1"/>
      <c r="S1607" s="1"/>
      <c r="T1607" s="1"/>
      <c r="U1607" s="1"/>
      <c r="V1607" s="1"/>
      <c r="W1607" s="1"/>
      <c r="X1607" s="1"/>
      <c r="Y1607" s="1"/>
      <c r="Z1607" s="1"/>
    </row>
    <row r="1608" ht="15.75" customHeight="1">
      <c r="A1608" s="2">
        <f>IFERROR(__xludf.DUMMYFUNCTION("""COMPUTED_VALUE"""),803500.0)</f>
        <v>803500</v>
      </c>
      <c r="B1608" s="2">
        <f>IFERROR(__xludf.DUMMYFUNCTION("""COMPUTED_VALUE"""),16070.0)</f>
        <v>16070</v>
      </c>
      <c r="C1608" s="66">
        <f>IFERROR(__xludf.DUMMYFUNCTION("""COMPUTED_VALUE"""),1.290421E10)</f>
        <v>12904210000</v>
      </c>
      <c r="D1608" s="1"/>
      <c r="E1608" s="1"/>
      <c r="F1608" s="1"/>
      <c r="G1608" s="1"/>
      <c r="H1608" s="1"/>
      <c r="I1608" s="1"/>
      <c r="J1608" s="1"/>
      <c r="K1608" s="1"/>
      <c r="L1608" s="1"/>
      <c r="M1608" s="1"/>
      <c r="N1608" s="1"/>
      <c r="O1608" s="1"/>
      <c r="P1608" s="1"/>
      <c r="Q1608" s="1"/>
      <c r="R1608" s="1"/>
      <c r="S1608" s="1"/>
      <c r="T1608" s="1"/>
      <c r="U1608" s="1"/>
      <c r="V1608" s="1"/>
      <c r="W1608" s="1"/>
      <c r="X1608" s="1"/>
      <c r="Y1608" s="1"/>
      <c r="Z1608" s="1"/>
    </row>
    <row r="1609" ht="15.75" customHeight="1">
      <c r="A1609" s="2">
        <f>IFERROR(__xludf.DUMMYFUNCTION("""COMPUTED_VALUE"""),804000.0)</f>
        <v>804000</v>
      </c>
      <c r="B1609" s="2">
        <f>IFERROR(__xludf.DUMMYFUNCTION("""COMPUTED_VALUE"""),16080.0)</f>
        <v>16080</v>
      </c>
      <c r="C1609" s="66">
        <f>IFERROR(__xludf.DUMMYFUNCTION("""COMPUTED_VALUE"""),1.292028E10)</f>
        <v>12920280000</v>
      </c>
      <c r="D1609" s="1"/>
      <c r="E1609" s="1"/>
      <c r="F1609" s="1"/>
      <c r="G1609" s="1"/>
      <c r="H1609" s="1"/>
      <c r="I1609" s="1"/>
      <c r="J1609" s="1"/>
      <c r="K1609" s="1"/>
      <c r="L1609" s="1"/>
      <c r="M1609" s="1"/>
      <c r="N1609" s="1"/>
      <c r="O1609" s="1"/>
      <c r="P1609" s="1"/>
      <c r="Q1609" s="1"/>
      <c r="R1609" s="1"/>
      <c r="S1609" s="1"/>
      <c r="T1609" s="1"/>
      <c r="U1609" s="1"/>
      <c r="V1609" s="1"/>
      <c r="W1609" s="1"/>
      <c r="X1609" s="1"/>
      <c r="Y1609" s="1"/>
      <c r="Z1609" s="1"/>
    </row>
    <row r="1610" ht="15.75" customHeight="1">
      <c r="A1610" s="2">
        <f>IFERROR(__xludf.DUMMYFUNCTION("""COMPUTED_VALUE"""),804500.0)</f>
        <v>804500</v>
      </c>
      <c r="B1610" s="2">
        <f>IFERROR(__xludf.DUMMYFUNCTION("""COMPUTED_VALUE"""),16090.0)</f>
        <v>16090</v>
      </c>
      <c r="C1610" s="66">
        <f>IFERROR(__xludf.DUMMYFUNCTION("""COMPUTED_VALUE"""),1.293636E10)</f>
        <v>12936360000</v>
      </c>
      <c r="D1610" s="1"/>
      <c r="E1610" s="1"/>
      <c r="F1610" s="1"/>
      <c r="G1610" s="1"/>
      <c r="H1610" s="1"/>
      <c r="I1610" s="1"/>
      <c r="J1610" s="1"/>
      <c r="K1610" s="1"/>
      <c r="L1610" s="1"/>
      <c r="M1610" s="1"/>
      <c r="N1610" s="1"/>
      <c r="O1610" s="1"/>
      <c r="P1610" s="1"/>
      <c r="Q1610" s="1"/>
      <c r="R1610" s="1"/>
      <c r="S1610" s="1"/>
      <c r="T1610" s="1"/>
      <c r="U1610" s="1"/>
      <c r="V1610" s="1"/>
      <c r="W1610" s="1"/>
      <c r="X1610" s="1"/>
      <c r="Y1610" s="1"/>
      <c r="Z1610" s="1"/>
    </row>
    <row r="1611" ht="15.75" customHeight="1">
      <c r="A1611" s="2">
        <f>IFERROR(__xludf.DUMMYFUNCTION("""COMPUTED_VALUE"""),805000.0)</f>
        <v>805000</v>
      </c>
      <c r="B1611" s="2">
        <f>IFERROR(__xludf.DUMMYFUNCTION("""COMPUTED_VALUE"""),16100.0)</f>
        <v>16100</v>
      </c>
      <c r="C1611" s="66">
        <f>IFERROR(__xludf.DUMMYFUNCTION("""COMPUTED_VALUE"""),1.295245E10)</f>
        <v>12952450000</v>
      </c>
      <c r="D1611" s="1"/>
      <c r="E1611" s="1"/>
      <c r="F1611" s="1"/>
      <c r="G1611" s="1"/>
      <c r="H1611" s="1"/>
      <c r="I1611" s="1"/>
      <c r="J1611" s="1"/>
      <c r="K1611" s="1"/>
      <c r="L1611" s="1"/>
      <c r="M1611" s="1"/>
      <c r="N1611" s="1"/>
      <c r="O1611" s="1"/>
      <c r="P1611" s="1"/>
      <c r="Q1611" s="1"/>
      <c r="R1611" s="1"/>
      <c r="S1611" s="1"/>
      <c r="T1611" s="1"/>
      <c r="U1611" s="1"/>
      <c r="V1611" s="1"/>
      <c r="W1611" s="1"/>
      <c r="X1611" s="1"/>
      <c r="Y1611" s="1"/>
      <c r="Z1611" s="1"/>
    </row>
    <row r="1612" ht="15.75" customHeight="1">
      <c r="A1612" s="2">
        <f>IFERROR(__xludf.DUMMYFUNCTION("""COMPUTED_VALUE"""),805500.0)</f>
        <v>805500</v>
      </c>
      <c r="B1612" s="2">
        <f>IFERROR(__xludf.DUMMYFUNCTION("""COMPUTED_VALUE"""),16110.0)</f>
        <v>16110</v>
      </c>
      <c r="C1612" s="66">
        <f>IFERROR(__xludf.DUMMYFUNCTION("""COMPUTED_VALUE"""),1.296855E10)</f>
        <v>12968550000</v>
      </c>
      <c r="D1612" s="1"/>
      <c r="E1612" s="1"/>
      <c r="F1612" s="1"/>
      <c r="G1612" s="1"/>
      <c r="H1612" s="1"/>
      <c r="I1612" s="1"/>
      <c r="J1612" s="1"/>
      <c r="K1612" s="1"/>
      <c r="L1612" s="1"/>
      <c r="M1612" s="1"/>
      <c r="N1612" s="1"/>
      <c r="O1612" s="1"/>
      <c r="P1612" s="1"/>
      <c r="Q1612" s="1"/>
      <c r="R1612" s="1"/>
      <c r="S1612" s="1"/>
      <c r="T1612" s="1"/>
      <c r="U1612" s="1"/>
      <c r="V1612" s="1"/>
      <c r="W1612" s="1"/>
      <c r="X1612" s="1"/>
      <c r="Y1612" s="1"/>
      <c r="Z1612" s="1"/>
    </row>
    <row r="1613" ht="15.75" customHeight="1">
      <c r="A1613" s="2">
        <f>IFERROR(__xludf.DUMMYFUNCTION("""COMPUTED_VALUE"""),806000.0)</f>
        <v>806000</v>
      </c>
      <c r="B1613" s="2">
        <f>IFERROR(__xludf.DUMMYFUNCTION("""COMPUTED_VALUE"""),16120.0)</f>
        <v>16120</v>
      </c>
      <c r="C1613" s="66">
        <f>IFERROR(__xludf.DUMMYFUNCTION("""COMPUTED_VALUE"""),1.298466E10)</f>
        <v>12984660000</v>
      </c>
      <c r="D1613" s="1"/>
      <c r="E1613" s="1"/>
      <c r="F1613" s="1"/>
      <c r="G1613" s="1"/>
      <c r="H1613" s="1"/>
      <c r="I1613" s="1"/>
      <c r="J1613" s="1"/>
      <c r="K1613" s="1"/>
      <c r="L1613" s="1"/>
      <c r="M1613" s="1"/>
      <c r="N1613" s="1"/>
      <c r="O1613" s="1"/>
      <c r="P1613" s="1"/>
      <c r="Q1613" s="1"/>
      <c r="R1613" s="1"/>
      <c r="S1613" s="1"/>
      <c r="T1613" s="1"/>
      <c r="U1613" s="1"/>
      <c r="V1613" s="1"/>
      <c r="W1613" s="1"/>
      <c r="X1613" s="1"/>
      <c r="Y1613" s="1"/>
      <c r="Z1613" s="1"/>
    </row>
    <row r="1614" ht="15.75" customHeight="1">
      <c r="A1614" s="2">
        <f>IFERROR(__xludf.DUMMYFUNCTION("""COMPUTED_VALUE"""),806500.0)</f>
        <v>806500</v>
      </c>
      <c r="B1614" s="2">
        <f>IFERROR(__xludf.DUMMYFUNCTION("""COMPUTED_VALUE"""),16130.0)</f>
        <v>16130</v>
      </c>
      <c r="C1614" s="66">
        <f>IFERROR(__xludf.DUMMYFUNCTION("""COMPUTED_VALUE"""),1.300078E10)</f>
        <v>13000780000</v>
      </c>
      <c r="D1614" s="1"/>
      <c r="E1614" s="1"/>
      <c r="F1614" s="1"/>
      <c r="G1614" s="1"/>
      <c r="H1614" s="1"/>
      <c r="I1614" s="1"/>
      <c r="J1614" s="1"/>
      <c r="K1614" s="1"/>
      <c r="L1614" s="1"/>
      <c r="M1614" s="1"/>
      <c r="N1614" s="1"/>
      <c r="O1614" s="1"/>
      <c r="P1614" s="1"/>
      <c r="Q1614" s="1"/>
      <c r="R1614" s="1"/>
      <c r="S1614" s="1"/>
      <c r="T1614" s="1"/>
      <c r="U1614" s="1"/>
      <c r="V1614" s="1"/>
      <c r="W1614" s="1"/>
      <c r="X1614" s="1"/>
      <c r="Y1614" s="1"/>
      <c r="Z1614" s="1"/>
    </row>
    <row r="1615" ht="15.75" customHeight="1">
      <c r="A1615" s="2">
        <f>IFERROR(__xludf.DUMMYFUNCTION("""COMPUTED_VALUE"""),807000.0)</f>
        <v>807000</v>
      </c>
      <c r="B1615" s="2">
        <f>IFERROR(__xludf.DUMMYFUNCTION("""COMPUTED_VALUE"""),16140.0)</f>
        <v>16140</v>
      </c>
      <c r="C1615" s="66">
        <f>IFERROR(__xludf.DUMMYFUNCTION("""COMPUTED_VALUE"""),1.301691E10)</f>
        <v>13016910000</v>
      </c>
      <c r="D1615" s="1"/>
      <c r="E1615" s="1"/>
      <c r="F1615" s="1"/>
      <c r="G1615" s="1"/>
      <c r="H1615" s="1"/>
      <c r="I1615" s="1"/>
      <c r="J1615" s="1"/>
      <c r="K1615" s="1"/>
      <c r="L1615" s="1"/>
      <c r="M1615" s="1"/>
      <c r="N1615" s="1"/>
      <c r="O1615" s="1"/>
      <c r="P1615" s="1"/>
      <c r="Q1615" s="1"/>
      <c r="R1615" s="1"/>
      <c r="S1615" s="1"/>
      <c r="T1615" s="1"/>
      <c r="U1615" s="1"/>
      <c r="V1615" s="1"/>
      <c r="W1615" s="1"/>
      <c r="X1615" s="1"/>
      <c r="Y1615" s="1"/>
      <c r="Z1615" s="1"/>
    </row>
    <row r="1616" ht="15.75" customHeight="1">
      <c r="A1616" s="2">
        <f>IFERROR(__xludf.DUMMYFUNCTION("""COMPUTED_VALUE"""),807500.0)</f>
        <v>807500</v>
      </c>
      <c r="B1616" s="2">
        <f>IFERROR(__xludf.DUMMYFUNCTION("""COMPUTED_VALUE"""),16150.0)</f>
        <v>16150</v>
      </c>
      <c r="C1616" s="66">
        <f>IFERROR(__xludf.DUMMYFUNCTION("""COMPUTED_VALUE"""),1.303305E10)</f>
        <v>13033050000</v>
      </c>
      <c r="D1616" s="1"/>
      <c r="E1616" s="1"/>
      <c r="F1616" s="1"/>
      <c r="G1616" s="1"/>
      <c r="H1616" s="1"/>
      <c r="I1616" s="1"/>
      <c r="J1616" s="1"/>
      <c r="K1616" s="1"/>
      <c r="L1616" s="1"/>
      <c r="M1616" s="1"/>
      <c r="N1616" s="1"/>
      <c r="O1616" s="1"/>
      <c r="P1616" s="1"/>
      <c r="Q1616" s="1"/>
      <c r="R1616" s="1"/>
      <c r="S1616" s="1"/>
      <c r="T1616" s="1"/>
      <c r="U1616" s="1"/>
      <c r="V1616" s="1"/>
      <c r="W1616" s="1"/>
      <c r="X1616" s="1"/>
      <c r="Y1616" s="1"/>
      <c r="Z1616" s="1"/>
    </row>
    <row r="1617" ht="15.75" customHeight="1">
      <c r="A1617" s="2">
        <f>IFERROR(__xludf.DUMMYFUNCTION("""COMPUTED_VALUE"""),808000.0)</f>
        <v>808000</v>
      </c>
      <c r="B1617" s="2">
        <f>IFERROR(__xludf.DUMMYFUNCTION("""COMPUTED_VALUE"""),16160.0)</f>
        <v>16160</v>
      </c>
      <c r="C1617" s="66">
        <f>IFERROR(__xludf.DUMMYFUNCTION("""COMPUTED_VALUE"""),1.30492E10)</f>
        <v>13049200000</v>
      </c>
      <c r="D1617" s="1"/>
      <c r="E1617" s="1"/>
      <c r="F1617" s="1"/>
      <c r="G1617" s="1"/>
      <c r="H1617" s="1"/>
      <c r="I1617" s="1"/>
      <c r="J1617" s="1"/>
      <c r="K1617" s="1"/>
      <c r="L1617" s="1"/>
      <c r="M1617" s="1"/>
      <c r="N1617" s="1"/>
      <c r="O1617" s="1"/>
      <c r="P1617" s="1"/>
      <c r="Q1617" s="1"/>
      <c r="R1617" s="1"/>
      <c r="S1617" s="1"/>
      <c r="T1617" s="1"/>
      <c r="U1617" s="1"/>
      <c r="V1617" s="1"/>
      <c r="W1617" s="1"/>
      <c r="X1617" s="1"/>
      <c r="Y1617" s="1"/>
      <c r="Z1617" s="1"/>
    </row>
    <row r="1618" ht="15.75" customHeight="1">
      <c r="A1618" s="2">
        <f>IFERROR(__xludf.DUMMYFUNCTION("""COMPUTED_VALUE"""),808500.0)</f>
        <v>808500</v>
      </c>
      <c r="B1618" s="2">
        <f>IFERROR(__xludf.DUMMYFUNCTION("""COMPUTED_VALUE"""),16170.0)</f>
        <v>16170</v>
      </c>
      <c r="C1618" s="66">
        <f>IFERROR(__xludf.DUMMYFUNCTION("""COMPUTED_VALUE"""),1.306536E10)</f>
        <v>13065360000</v>
      </c>
      <c r="D1618" s="1"/>
      <c r="E1618" s="1"/>
      <c r="F1618" s="1"/>
      <c r="G1618" s="1"/>
      <c r="H1618" s="1"/>
      <c r="I1618" s="1"/>
      <c r="J1618" s="1"/>
      <c r="K1618" s="1"/>
      <c r="L1618" s="1"/>
      <c r="M1618" s="1"/>
      <c r="N1618" s="1"/>
      <c r="O1618" s="1"/>
      <c r="P1618" s="1"/>
      <c r="Q1618" s="1"/>
      <c r="R1618" s="1"/>
      <c r="S1618" s="1"/>
      <c r="T1618" s="1"/>
      <c r="U1618" s="1"/>
      <c r="V1618" s="1"/>
      <c r="W1618" s="1"/>
      <c r="X1618" s="1"/>
      <c r="Y1618" s="1"/>
      <c r="Z1618" s="1"/>
    </row>
    <row r="1619" ht="15.75" customHeight="1">
      <c r="A1619" s="2">
        <f>IFERROR(__xludf.DUMMYFUNCTION("""COMPUTED_VALUE"""),809000.0)</f>
        <v>809000</v>
      </c>
      <c r="B1619" s="2">
        <f>IFERROR(__xludf.DUMMYFUNCTION("""COMPUTED_VALUE"""),16180.0)</f>
        <v>16180</v>
      </c>
      <c r="C1619" s="66">
        <f>IFERROR(__xludf.DUMMYFUNCTION("""COMPUTED_VALUE"""),1.308153E10)</f>
        <v>13081530000</v>
      </c>
      <c r="D1619" s="1"/>
      <c r="E1619" s="1"/>
      <c r="F1619" s="1"/>
      <c r="G1619" s="1"/>
      <c r="H1619" s="1"/>
      <c r="I1619" s="1"/>
      <c r="J1619" s="1"/>
      <c r="K1619" s="1"/>
      <c r="L1619" s="1"/>
      <c r="M1619" s="1"/>
      <c r="N1619" s="1"/>
      <c r="O1619" s="1"/>
      <c r="P1619" s="1"/>
      <c r="Q1619" s="1"/>
      <c r="R1619" s="1"/>
      <c r="S1619" s="1"/>
      <c r="T1619" s="1"/>
      <c r="U1619" s="1"/>
      <c r="V1619" s="1"/>
      <c r="W1619" s="1"/>
      <c r="X1619" s="1"/>
      <c r="Y1619" s="1"/>
      <c r="Z1619" s="1"/>
    </row>
    <row r="1620" ht="15.75" customHeight="1">
      <c r="A1620" s="2">
        <f>IFERROR(__xludf.DUMMYFUNCTION("""COMPUTED_VALUE"""),809500.0)</f>
        <v>809500</v>
      </c>
      <c r="B1620" s="2">
        <f>IFERROR(__xludf.DUMMYFUNCTION("""COMPUTED_VALUE"""),16190.0)</f>
        <v>16190</v>
      </c>
      <c r="C1620" s="66">
        <f>IFERROR(__xludf.DUMMYFUNCTION("""COMPUTED_VALUE"""),1.309771E10)</f>
        <v>13097710000</v>
      </c>
      <c r="D1620" s="1"/>
      <c r="E1620" s="1"/>
      <c r="F1620" s="1"/>
      <c r="G1620" s="1"/>
      <c r="H1620" s="1"/>
      <c r="I1620" s="1"/>
      <c r="J1620" s="1"/>
      <c r="K1620" s="1"/>
      <c r="L1620" s="1"/>
      <c r="M1620" s="1"/>
      <c r="N1620" s="1"/>
      <c r="O1620" s="1"/>
      <c r="P1620" s="1"/>
      <c r="Q1620" s="1"/>
      <c r="R1620" s="1"/>
      <c r="S1620" s="1"/>
      <c r="T1620" s="1"/>
      <c r="U1620" s="1"/>
      <c r="V1620" s="1"/>
      <c r="W1620" s="1"/>
      <c r="X1620" s="1"/>
      <c r="Y1620" s="1"/>
      <c r="Z1620" s="1"/>
    </row>
    <row r="1621" ht="15.75" customHeight="1">
      <c r="A1621" s="2">
        <f>IFERROR(__xludf.DUMMYFUNCTION("""COMPUTED_VALUE"""),810000.0)</f>
        <v>810000</v>
      </c>
      <c r="B1621" s="2">
        <f>IFERROR(__xludf.DUMMYFUNCTION("""COMPUTED_VALUE"""),16200.0)</f>
        <v>16200</v>
      </c>
      <c r="C1621" s="66">
        <f>IFERROR(__xludf.DUMMYFUNCTION("""COMPUTED_VALUE"""),1.31139E10)</f>
        <v>13113900000</v>
      </c>
      <c r="D1621" s="1"/>
      <c r="E1621" s="1"/>
      <c r="F1621" s="1"/>
      <c r="G1621" s="1"/>
      <c r="H1621" s="1"/>
      <c r="I1621" s="1"/>
      <c r="J1621" s="1"/>
      <c r="K1621" s="1"/>
      <c r="L1621" s="1"/>
      <c r="M1621" s="1"/>
      <c r="N1621" s="1"/>
      <c r="O1621" s="1"/>
      <c r="P1621" s="1"/>
      <c r="Q1621" s="1"/>
      <c r="R1621" s="1"/>
      <c r="S1621" s="1"/>
      <c r="T1621" s="1"/>
      <c r="U1621" s="1"/>
      <c r="V1621" s="1"/>
      <c r="W1621" s="1"/>
      <c r="X1621" s="1"/>
      <c r="Y1621" s="1"/>
      <c r="Z1621" s="1"/>
    </row>
    <row r="1622" ht="15.75" customHeight="1">
      <c r="A1622" s="2">
        <f>IFERROR(__xludf.DUMMYFUNCTION("""COMPUTED_VALUE"""),810500.0)</f>
        <v>810500</v>
      </c>
      <c r="B1622" s="2">
        <f>IFERROR(__xludf.DUMMYFUNCTION("""COMPUTED_VALUE"""),16210.0)</f>
        <v>16210</v>
      </c>
      <c r="C1622" s="66">
        <f>IFERROR(__xludf.DUMMYFUNCTION("""COMPUTED_VALUE"""),1.31301E10)</f>
        <v>13130100000</v>
      </c>
      <c r="D1622" s="1"/>
      <c r="E1622" s="1"/>
      <c r="F1622" s="1"/>
      <c r="G1622" s="1"/>
      <c r="H1622" s="1"/>
      <c r="I1622" s="1"/>
      <c r="J1622" s="1"/>
      <c r="K1622" s="1"/>
      <c r="L1622" s="1"/>
      <c r="M1622" s="1"/>
      <c r="N1622" s="1"/>
      <c r="O1622" s="1"/>
      <c r="P1622" s="1"/>
      <c r="Q1622" s="1"/>
      <c r="R1622" s="1"/>
      <c r="S1622" s="1"/>
      <c r="T1622" s="1"/>
      <c r="U1622" s="1"/>
      <c r="V1622" s="1"/>
      <c r="W1622" s="1"/>
      <c r="X1622" s="1"/>
      <c r="Y1622" s="1"/>
      <c r="Z1622" s="1"/>
    </row>
    <row r="1623" ht="15.75" customHeight="1">
      <c r="A1623" s="2">
        <f>IFERROR(__xludf.DUMMYFUNCTION("""COMPUTED_VALUE"""),811000.0)</f>
        <v>811000</v>
      </c>
      <c r="B1623" s="2">
        <f>IFERROR(__xludf.DUMMYFUNCTION("""COMPUTED_VALUE"""),16220.0)</f>
        <v>16220</v>
      </c>
      <c r="C1623" s="66">
        <f>IFERROR(__xludf.DUMMYFUNCTION("""COMPUTED_VALUE"""),1.314631E10)</f>
        <v>13146310000</v>
      </c>
      <c r="D1623" s="1"/>
      <c r="E1623" s="1"/>
      <c r="F1623" s="1"/>
      <c r="G1623" s="1"/>
      <c r="H1623" s="1"/>
      <c r="I1623" s="1"/>
      <c r="J1623" s="1"/>
      <c r="K1623" s="1"/>
      <c r="L1623" s="1"/>
      <c r="M1623" s="1"/>
      <c r="N1623" s="1"/>
      <c r="O1623" s="1"/>
      <c r="P1623" s="1"/>
      <c r="Q1623" s="1"/>
      <c r="R1623" s="1"/>
      <c r="S1623" s="1"/>
      <c r="T1623" s="1"/>
      <c r="U1623" s="1"/>
      <c r="V1623" s="1"/>
      <c r="W1623" s="1"/>
      <c r="X1623" s="1"/>
      <c r="Y1623" s="1"/>
      <c r="Z1623" s="1"/>
    </row>
    <row r="1624" ht="15.75" customHeight="1">
      <c r="A1624" s="2">
        <f>IFERROR(__xludf.DUMMYFUNCTION("""COMPUTED_VALUE"""),811500.0)</f>
        <v>811500</v>
      </c>
      <c r="B1624" s="2">
        <f>IFERROR(__xludf.DUMMYFUNCTION("""COMPUTED_VALUE"""),16230.0)</f>
        <v>16230</v>
      </c>
      <c r="C1624" s="66">
        <f>IFERROR(__xludf.DUMMYFUNCTION("""COMPUTED_VALUE"""),1.316253E10)</f>
        <v>13162530000</v>
      </c>
      <c r="D1624" s="1"/>
      <c r="E1624" s="1"/>
      <c r="F1624" s="1"/>
      <c r="G1624" s="1"/>
      <c r="H1624" s="1"/>
      <c r="I1624" s="1"/>
      <c r="J1624" s="1"/>
      <c r="K1624" s="1"/>
      <c r="L1624" s="1"/>
      <c r="M1624" s="1"/>
      <c r="N1624" s="1"/>
      <c r="O1624" s="1"/>
      <c r="P1624" s="1"/>
      <c r="Q1624" s="1"/>
      <c r="R1624" s="1"/>
      <c r="S1624" s="1"/>
      <c r="T1624" s="1"/>
      <c r="U1624" s="1"/>
      <c r="V1624" s="1"/>
      <c r="W1624" s="1"/>
      <c r="X1624" s="1"/>
      <c r="Y1624" s="1"/>
      <c r="Z1624" s="1"/>
    </row>
    <row r="1625" ht="15.75" customHeight="1">
      <c r="A1625" s="2">
        <f>IFERROR(__xludf.DUMMYFUNCTION("""COMPUTED_VALUE"""),812000.0)</f>
        <v>812000</v>
      </c>
      <c r="B1625" s="2">
        <f>IFERROR(__xludf.DUMMYFUNCTION("""COMPUTED_VALUE"""),16240.0)</f>
        <v>16240</v>
      </c>
      <c r="C1625" s="66">
        <f>IFERROR(__xludf.DUMMYFUNCTION("""COMPUTED_VALUE"""),1.317876E10)</f>
        <v>13178760000</v>
      </c>
      <c r="D1625" s="1"/>
      <c r="E1625" s="1"/>
      <c r="F1625" s="1"/>
      <c r="G1625" s="1"/>
      <c r="H1625" s="1"/>
      <c r="I1625" s="1"/>
      <c r="J1625" s="1"/>
      <c r="K1625" s="1"/>
      <c r="L1625" s="1"/>
      <c r="M1625" s="1"/>
      <c r="N1625" s="1"/>
      <c r="O1625" s="1"/>
      <c r="P1625" s="1"/>
      <c r="Q1625" s="1"/>
      <c r="R1625" s="1"/>
      <c r="S1625" s="1"/>
      <c r="T1625" s="1"/>
      <c r="U1625" s="1"/>
      <c r="V1625" s="1"/>
      <c r="W1625" s="1"/>
      <c r="X1625" s="1"/>
      <c r="Y1625" s="1"/>
      <c r="Z1625" s="1"/>
    </row>
    <row r="1626" ht="15.75" customHeight="1">
      <c r="A1626" s="2">
        <f>IFERROR(__xludf.DUMMYFUNCTION("""COMPUTED_VALUE"""),812500.0)</f>
        <v>812500</v>
      </c>
      <c r="B1626" s="2">
        <f>IFERROR(__xludf.DUMMYFUNCTION("""COMPUTED_VALUE"""),16250.0)</f>
        <v>16250</v>
      </c>
      <c r="C1626" s="66">
        <f>IFERROR(__xludf.DUMMYFUNCTION("""COMPUTED_VALUE"""),1.3195E10)</f>
        <v>13195000000</v>
      </c>
      <c r="D1626" s="1"/>
      <c r="E1626" s="1"/>
      <c r="F1626" s="1"/>
      <c r="G1626" s="1"/>
      <c r="H1626" s="1"/>
      <c r="I1626" s="1"/>
      <c r="J1626" s="1"/>
      <c r="K1626" s="1"/>
      <c r="L1626" s="1"/>
      <c r="M1626" s="1"/>
      <c r="N1626" s="1"/>
      <c r="O1626" s="1"/>
      <c r="P1626" s="1"/>
      <c r="Q1626" s="1"/>
      <c r="R1626" s="1"/>
      <c r="S1626" s="1"/>
      <c r="T1626" s="1"/>
      <c r="U1626" s="1"/>
      <c r="V1626" s="1"/>
      <c r="W1626" s="1"/>
      <c r="X1626" s="1"/>
      <c r="Y1626" s="1"/>
      <c r="Z1626" s="1"/>
    </row>
    <row r="1627" ht="15.75" customHeight="1">
      <c r="A1627" s="2">
        <f>IFERROR(__xludf.DUMMYFUNCTION("""COMPUTED_VALUE"""),813000.0)</f>
        <v>813000</v>
      </c>
      <c r="B1627" s="2">
        <f>IFERROR(__xludf.DUMMYFUNCTION("""COMPUTED_VALUE"""),16260.0)</f>
        <v>16260</v>
      </c>
      <c r="C1627" s="66">
        <f>IFERROR(__xludf.DUMMYFUNCTION("""COMPUTED_VALUE"""),1.321125E10)</f>
        <v>13211250000</v>
      </c>
      <c r="D1627" s="1"/>
      <c r="E1627" s="1"/>
      <c r="F1627" s="1"/>
      <c r="G1627" s="1"/>
      <c r="H1627" s="1"/>
      <c r="I1627" s="1"/>
      <c r="J1627" s="1"/>
      <c r="K1627" s="1"/>
      <c r="L1627" s="1"/>
      <c r="M1627" s="1"/>
      <c r="N1627" s="1"/>
      <c r="O1627" s="1"/>
      <c r="P1627" s="1"/>
      <c r="Q1627" s="1"/>
      <c r="R1627" s="1"/>
      <c r="S1627" s="1"/>
      <c r="T1627" s="1"/>
      <c r="U1627" s="1"/>
      <c r="V1627" s="1"/>
      <c r="W1627" s="1"/>
      <c r="X1627" s="1"/>
      <c r="Y1627" s="1"/>
      <c r="Z1627" s="1"/>
    </row>
    <row r="1628" ht="15.75" customHeight="1">
      <c r="A1628" s="2">
        <f>IFERROR(__xludf.DUMMYFUNCTION("""COMPUTED_VALUE"""),813500.0)</f>
        <v>813500</v>
      </c>
      <c r="B1628" s="2">
        <f>IFERROR(__xludf.DUMMYFUNCTION("""COMPUTED_VALUE"""),16270.0)</f>
        <v>16270</v>
      </c>
      <c r="C1628" s="66">
        <f>IFERROR(__xludf.DUMMYFUNCTION("""COMPUTED_VALUE"""),1.322751E10)</f>
        <v>13227510000</v>
      </c>
      <c r="D1628" s="1"/>
      <c r="E1628" s="1"/>
      <c r="F1628" s="1"/>
      <c r="G1628" s="1"/>
      <c r="H1628" s="1"/>
      <c r="I1628" s="1"/>
      <c r="J1628" s="1"/>
      <c r="K1628" s="1"/>
      <c r="L1628" s="1"/>
      <c r="M1628" s="1"/>
      <c r="N1628" s="1"/>
      <c r="O1628" s="1"/>
      <c r="P1628" s="1"/>
      <c r="Q1628" s="1"/>
      <c r="R1628" s="1"/>
      <c r="S1628" s="1"/>
      <c r="T1628" s="1"/>
      <c r="U1628" s="1"/>
      <c r="V1628" s="1"/>
      <c r="W1628" s="1"/>
      <c r="X1628" s="1"/>
      <c r="Y1628" s="1"/>
      <c r="Z1628" s="1"/>
    </row>
    <row r="1629" ht="15.75" customHeight="1">
      <c r="A1629" s="2">
        <f>IFERROR(__xludf.DUMMYFUNCTION("""COMPUTED_VALUE"""),814000.0)</f>
        <v>814000</v>
      </c>
      <c r="B1629" s="2">
        <f>IFERROR(__xludf.DUMMYFUNCTION("""COMPUTED_VALUE"""),16280.0)</f>
        <v>16280</v>
      </c>
      <c r="C1629" s="66">
        <f>IFERROR(__xludf.DUMMYFUNCTION("""COMPUTED_VALUE"""),1.324378E10)</f>
        <v>13243780000</v>
      </c>
      <c r="D1629" s="1"/>
      <c r="E1629" s="1"/>
      <c r="F1629" s="1"/>
      <c r="G1629" s="1"/>
      <c r="H1629" s="1"/>
      <c r="I1629" s="1"/>
      <c r="J1629" s="1"/>
      <c r="K1629" s="1"/>
      <c r="L1629" s="1"/>
      <c r="M1629" s="1"/>
      <c r="N1629" s="1"/>
      <c r="O1629" s="1"/>
      <c r="P1629" s="1"/>
      <c r="Q1629" s="1"/>
      <c r="R1629" s="1"/>
      <c r="S1629" s="1"/>
      <c r="T1629" s="1"/>
      <c r="U1629" s="1"/>
      <c r="V1629" s="1"/>
      <c r="W1629" s="1"/>
      <c r="X1629" s="1"/>
      <c r="Y1629" s="1"/>
      <c r="Z1629" s="1"/>
    </row>
    <row r="1630" ht="15.75" customHeight="1">
      <c r="A1630" s="2">
        <f>IFERROR(__xludf.DUMMYFUNCTION("""COMPUTED_VALUE"""),814500.0)</f>
        <v>814500</v>
      </c>
      <c r="B1630" s="2">
        <f>IFERROR(__xludf.DUMMYFUNCTION("""COMPUTED_VALUE"""),16290.0)</f>
        <v>16290</v>
      </c>
      <c r="C1630" s="66">
        <f>IFERROR(__xludf.DUMMYFUNCTION("""COMPUTED_VALUE"""),1.326006E10)</f>
        <v>13260060000</v>
      </c>
      <c r="D1630" s="1"/>
      <c r="E1630" s="1"/>
      <c r="F1630" s="1"/>
      <c r="G1630" s="1"/>
      <c r="H1630" s="1"/>
      <c r="I1630" s="1"/>
      <c r="J1630" s="1"/>
      <c r="K1630" s="1"/>
      <c r="L1630" s="1"/>
      <c r="M1630" s="1"/>
      <c r="N1630" s="1"/>
      <c r="O1630" s="1"/>
      <c r="P1630" s="1"/>
      <c r="Q1630" s="1"/>
      <c r="R1630" s="1"/>
      <c r="S1630" s="1"/>
      <c r="T1630" s="1"/>
      <c r="U1630" s="1"/>
      <c r="V1630" s="1"/>
      <c r="W1630" s="1"/>
      <c r="X1630" s="1"/>
      <c r="Y1630" s="1"/>
      <c r="Z1630" s="1"/>
    </row>
    <row r="1631" ht="15.75" customHeight="1">
      <c r="A1631" s="2">
        <f>IFERROR(__xludf.DUMMYFUNCTION("""COMPUTED_VALUE"""),815000.0)</f>
        <v>815000</v>
      </c>
      <c r="B1631" s="2">
        <f>IFERROR(__xludf.DUMMYFUNCTION("""COMPUTED_VALUE"""),16300.0)</f>
        <v>16300</v>
      </c>
      <c r="C1631" s="66">
        <f>IFERROR(__xludf.DUMMYFUNCTION("""COMPUTED_VALUE"""),1.327635E10)</f>
        <v>13276350000</v>
      </c>
      <c r="D1631" s="1"/>
      <c r="E1631" s="1"/>
      <c r="F1631" s="1"/>
      <c r="G1631" s="1"/>
      <c r="H1631" s="1"/>
      <c r="I1631" s="1"/>
      <c r="J1631" s="1"/>
      <c r="K1631" s="1"/>
      <c r="L1631" s="1"/>
      <c r="M1631" s="1"/>
      <c r="N1631" s="1"/>
      <c r="O1631" s="1"/>
      <c r="P1631" s="1"/>
      <c r="Q1631" s="1"/>
      <c r="R1631" s="1"/>
      <c r="S1631" s="1"/>
      <c r="T1631" s="1"/>
      <c r="U1631" s="1"/>
      <c r="V1631" s="1"/>
      <c r="W1631" s="1"/>
      <c r="X1631" s="1"/>
      <c r="Y1631" s="1"/>
      <c r="Z1631" s="1"/>
    </row>
    <row r="1632" ht="15.75" customHeight="1">
      <c r="A1632" s="2">
        <f>IFERROR(__xludf.DUMMYFUNCTION("""COMPUTED_VALUE"""),815500.0)</f>
        <v>815500</v>
      </c>
      <c r="B1632" s="2">
        <f>IFERROR(__xludf.DUMMYFUNCTION("""COMPUTED_VALUE"""),16310.0)</f>
        <v>16310</v>
      </c>
      <c r="C1632" s="66">
        <f>IFERROR(__xludf.DUMMYFUNCTION("""COMPUTED_VALUE"""),1.329265E10)</f>
        <v>13292650000</v>
      </c>
      <c r="D1632" s="1"/>
      <c r="E1632" s="1"/>
      <c r="F1632" s="1"/>
      <c r="G1632" s="1"/>
      <c r="H1632" s="1"/>
      <c r="I1632" s="1"/>
      <c r="J1632" s="1"/>
      <c r="K1632" s="1"/>
      <c r="L1632" s="1"/>
      <c r="M1632" s="1"/>
      <c r="N1632" s="1"/>
      <c r="O1632" s="1"/>
      <c r="P1632" s="1"/>
      <c r="Q1632" s="1"/>
      <c r="R1632" s="1"/>
      <c r="S1632" s="1"/>
      <c r="T1632" s="1"/>
      <c r="U1632" s="1"/>
      <c r="V1632" s="1"/>
      <c r="W1632" s="1"/>
      <c r="X1632" s="1"/>
      <c r="Y1632" s="1"/>
      <c r="Z1632" s="1"/>
    </row>
    <row r="1633" ht="15.75" customHeight="1">
      <c r="A1633" s="2">
        <f>IFERROR(__xludf.DUMMYFUNCTION("""COMPUTED_VALUE"""),816000.0)</f>
        <v>816000</v>
      </c>
      <c r="B1633" s="2">
        <f>IFERROR(__xludf.DUMMYFUNCTION("""COMPUTED_VALUE"""),16320.0)</f>
        <v>16320</v>
      </c>
      <c r="C1633" s="66">
        <f>IFERROR(__xludf.DUMMYFUNCTION("""COMPUTED_VALUE"""),1.330896E10)</f>
        <v>13308960000</v>
      </c>
      <c r="D1633" s="1"/>
      <c r="E1633" s="1"/>
      <c r="F1633" s="1"/>
      <c r="G1633" s="1"/>
      <c r="H1633" s="1"/>
      <c r="I1633" s="1"/>
      <c r="J1633" s="1"/>
      <c r="K1633" s="1"/>
      <c r="L1633" s="1"/>
      <c r="M1633" s="1"/>
      <c r="N1633" s="1"/>
      <c r="O1633" s="1"/>
      <c r="P1633" s="1"/>
      <c r="Q1633" s="1"/>
      <c r="R1633" s="1"/>
      <c r="S1633" s="1"/>
      <c r="T1633" s="1"/>
      <c r="U1633" s="1"/>
      <c r="V1633" s="1"/>
      <c r="W1633" s="1"/>
      <c r="X1633" s="1"/>
      <c r="Y1633" s="1"/>
      <c r="Z1633" s="1"/>
    </row>
    <row r="1634" ht="15.75" customHeight="1">
      <c r="A1634" s="2">
        <f>IFERROR(__xludf.DUMMYFUNCTION("""COMPUTED_VALUE"""),816500.0)</f>
        <v>816500</v>
      </c>
      <c r="B1634" s="2">
        <f>IFERROR(__xludf.DUMMYFUNCTION("""COMPUTED_VALUE"""),16330.0)</f>
        <v>16330</v>
      </c>
      <c r="C1634" s="66">
        <f>IFERROR(__xludf.DUMMYFUNCTION("""COMPUTED_VALUE"""),1.332528E10)</f>
        <v>13325280000</v>
      </c>
      <c r="D1634" s="1"/>
      <c r="E1634" s="1"/>
      <c r="F1634" s="1"/>
      <c r="G1634" s="1"/>
      <c r="H1634" s="1"/>
      <c r="I1634" s="1"/>
      <c r="J1634" s="1"/>
      <c r="K1634" s="1"/>
      <c r="L1634" s="1"/>
      <c r="M1634" s="1"/>
      <c r="N1634" s="1"/>
      <c r="O1634" s="1"/>
      <c r="P1634" s="1"/>
      <c r="Q1634" s="1"/>
      <c r="R1634" s="1"/>
      <c r="S1634" s="1"/>
      <c r="T1634" s="1"/>
      <c r="U1634" s="1"/>
      <c r="V1634" s="1"/>
      <c r="W1634" s="1"/>
      <c r="X1634" s="1"/>
      <c r="Y1634" s="1"/>
      <c r="Z1634" s="1"/>
    </row>
    <row r="1635" ht="15.75" customHeight="1">
      <c r="A1635" s="2">
        <f>IFERROR(__xludf.DUMMYFUNCTION("""COMPUTED_VALUE"""),817000.0)</f>
        <v>817000</v>
      </c>
      <c r="B1635" s="2">
        <f>IFERROR(__xludf.DUMMYFUNCTION("""COMPUTED_VALUE"""),16340.0)</f>
        <v>16340</v>
      </c>
      <c r="C1635" s="66">
        <f>IFERROR(__xludf.DUMMYFUNCTION("""COMPUTED_VALUE"""),1.334161E10)</f>
        <v>13341610000</v>
      </c>
      <c r="D1635" s="1"/>
      <c r="E1635" s="1"/>
      <c r="F1635" s="1"/>
      <c r="G1635" s="1"/>
      <c r="H1635" s="1"/>
      <c r="I1635" s="1"/>
      <c r="J1635" s="1"/>
      <c r="K1635" s="1"/>
      <c r="L1635" s="1"/>
      <c r="M1635" s="1"/>
      <c r="N1635" s="1"/>
      <c r="O1635" s="1"/>
      <c r="P1635" s="1"/>
      <c r="Q1635" s="1"/>
      <c r="R1635" s="1"/>
      <c r="S1635" s="1"/>
      <c r="T1635" s="1"/>
      <c r="U1635" s="1"/>
      <c r="V1635" s="1"/>
      <c r="W1635" s="1"/>
      <c r="X1635" s="1"/>
      <c r="Y1635" s="1"/>
      <c r="Z1635" s="1"/>
    </row>
    <row r="1636" ht="15.75" customHeight="1">
      <c r="A1636" s="2">
        <f>IFERROR(__xludf.DUMMYFUNCTION("""COMPUTED_VALUE"""),817500.0)</f>
        <v>817500</v>
      </c>
      <c r="B1636" s="2">
        <f>IFERROR(__xludf.DUMMYFUNCTION("""COMPUTED_VALUE"""),16350.0)</f>
        <v>16350</v>
      </c>
      <c r="C1636" s="66">
        <f>IFERROR(__xludf.DUMMYFUNCTION("""COMPUTED_VALUE"""),1.335795E10)</f>
        <v>13357950000</v>
      </c>
      <c r="D1636" s="1"/>
      <c r="E1636" s="1"/>
      <c r="F1636" s="1"/>
      <c r="G1636" s="1"/>
      <c r="H1636" s="1"/>
      <c r="I1636" s="1"/>
      <c r="J1636" s="1"/>
      <c r="K1636" s="1"/>
      <c r="L1636" s="1"/>
      <c r="M1636" s="1"/>
      <c r="N1636" s="1"/>
      <c r="O1636" s="1"/>
      <c r="P1636" s="1"/>
      <c r="Q1636" s="1"/>
      <c r="R1636" s="1"/>
      <c r="S1636" s="1"/>
      <c r="T1636" s="1"/>
      <c r="U1636" s="1"/>
      <c r="V1636" s="1"/>
      <c r="W1636" s="1"/>
      <c r="X1636" s="1"/>
      <c r="Y1636" s="1"/>
      <c r="Z1636" s="1"/>
    </row>
    <row r="1637" ht="15.75" customHeight="1">
      <c r="A1637" s="2">
        <f>IFERROR(__xludf.DUMMYFUNCTION("""COMPUTED_VALUE"""),818000.0)</f>
        <v>818000</v>
      </c>
      <c r="B1637" s="2">
        <f>IFERROR(__xludf.DUMMYFUNCTION("""COMPUTED_VALUE"""),16360.0)</f>
        <v>16360</v>
      </c>
      <c r="C1637" s="66">
        <f>IFERROR(__xludf.DUMMYFUNCTION("""COMPUTED_VALUE"""),1.33743E10)</f>
        <v>13374300000</v>
      </c>
      <c r="D1637" s="1"/>
      <c r="E1637" s="1"/>
      <c r="F1637" s="1"/>
      <c r="G1637" s="1"/>
      <c r="H1637" s="1"/>
      <c r="I1637" s="1"/>
      <c r="J1637" s="1"/>
      <c r="K1637" s="1"/>
      <c r="L1637" s="1"/>
      <c r="M1637" s="1"/>
      <c r="N1637" s="1"/>
      <c r="O1637" s="1"/>
      <c r="P1637" s="1"/>
      <c r="Q1637" s="1"/>
      <c r="R1637" s="1"/>
      <c r="S1637" s="1"/>
      <c r="T1637" s="1"/>
      <c r="U1637" s="1"/>
      <c r="V1637" s="1"/>
      <c r="W1637" s="1"/>
      <c r="X1637" s="1"/>
      <c r="Y1637" s="1"/>
      <c r="Z1637" s="1"/>
    </row>
    <row r="1638" ht="15.75" customHeight="1">
      <c r="A1638" s="2">
        <f>IFERROR(__xludf.DUMMYFUNCTION("""COMPUTED_VALUE"""),818500.0)</f>
        <v>818500</v>
      </c>
      <c r="B1638" s="2">
        <f>IFERROR(__xludf.DUMMYFUNCTION("""COMPUTED_VALUE"""),16370.0)</f>
        <v>16370</v>
      </c>
      <c r="C1638" s="66">
        <f>IFERROR(__xludf.DUMMYFUNCTION("""COMPUTED_VALUE"""),1.339066E10)</f>
        <v>13390660000</v>
      </c>
      <c r="D1638" s="1"/>
      <c r="E1638" s="1"/>
      <c r="F1638" s="1"/>
      <c r="G1638" s="1"/>
      <c r="H1638" s="1"/>
      <c r="I1638" s="1"/>
      <c r="J1638" s="1"/>
      <c r="K1638" s="1"/>
      <c r="L1638" s="1"/>
      <c r="M1638" s="1"/>
      <c r="N1638" s="1"/>
      <c r="O1638" s="1"/>
      <c r="P1638" s="1"/>
      <c r="Q1638" s="1"/>
      <c r="R1638" s="1"/>
      <c r="S1638" s="1"/>
      <c r="T1638" s="1"/>
      <c r="U1638" s="1"/>
      <c r="V1638" s="1"/>
      <c r="W1638" s="1"/>
      <c r="X1638" s="1"/>
      <c r="Y1638" s="1"/>
      <c r="Z1638" s="1"/>
    </row>
    <row r="1639" ht="15.75" customHeight="1">
      <c r="A1639" s="2">
        <f>IFERROR(__xludf.DUMMYFUNCTION("""COMPUTED_VALUE"""),819000.0)</f>
        <v>819000</v>
      </c>
      <c r="B1639" s="2">
        <f>IFERROR(__xludf.DUMMYFUNCTION("""COMPUTED_VALUE"""),16380.0)</f>
        <v>16380</v>
      </c>
      <c r="C1639" s="66">
        <f>IFERROR(__xludf.DUMMYFUNCTION("""COMPUTED_VALUE"""),1.340703E10)</f>
        <v>13407030000</v>
      </c>
      <c r="D1639" s="1"/>
      <c r="E1639" s="1"/>
      <c r="F1639" s="1"/>
      <c r="G1639" s="1"/>
      <c r="H1639" s="1"/>
      <c r="I1639" s="1"/>
      <c r="J1639" s="1"/>
      <c r="K1639" s="1"/>
      <c r="L1639" s="1"/>
      <c r="M1639" s="1"/>
      <c r="N1639" s="1"/>
      <c r="O1639" s="1"/>
      <c r="P1639" s="1"/>
      <c r="Q1639" s="1"/>
      <c r="R1639" s="1"/>
      <c r="S1639" s="1"/>
      <c r="T1639" s="1"/>
      <c r="U1639" s="1"/>
      <c r="V1639" s="1"/>
      <c r="W1639" s="1"/>
      <c r="X1639" s="1"/>
      <c r="Y1639" s="1"/>
      <c r="Z1639" s="1"/>
    </row>
    <row r="1640" ht="15.75" customHeight="1">
      <c r="A1640" s="2">
        <f>IFERROR(__xludf.DUMMYFUNCTION("""COMPUTED_VALUE"""),819500.0)</f>
        <v>819500</v>
      </c>
      <c r="B1640" s="2">
        <f>IFERROR(__xludf.DUMMYFUNCTION("""COMPUTED_VALUE"""),16390.0)</f>
        <v>16390</v>
      </c>
      <c r="C1640" s="66">
        <f>IFERROR(__xludf.DUMMYFUNCTION("""COMPUTED_VALUE"""),1.342341E10)</f>
        <v>13423410000</v>
      </c>
      <c r="D1640" s="1"/>
      <c r="E1640" s="1"/>
      <c r="F1640" s="1"/>
      <c r="G1640" s="1"/>
      <c r="H1640" s="1"/>
      <c r="I1640" s="1"/>
      <c r="J1640" s="1"/>
      <c r="K1640" s="1"/>
      <c r="L1640" s="1"/>
      <c r="M1640" s="1"/>
      <c r="N1640" s="1"/>
      <c r="O1640" s="1"/>
      <c r="P1640" s="1"/>
      <c r="Q1640" s="1"/>
      <c r="R1640" s="1"/>
      <c r="S1640" s="1"/>
      <c r="T1640" s="1"/>
      <c r="U1640" s="1"/>
      <c r="V1640" s="1"/>
      <c r="W1640" s="1"/>
      <c r="X1640" s="1"/>
      <c r="Y1640" s="1"/>
      <c r="Z1640" s="1"/>
    </row>
    <row r="1641" ht="15.75" customHeight="1">
      <c r="A1641" s="2">
        <f>IFERROR(__xludf.DUMMYFUNCTION("""COMPUTED_VALUE"""),820000.0)</f>
        <v>820000</v>
      </c>
      <c r="B1641" s="2">
        <f>IFERROR(__xludf.DUMMYFUNCTION("""COMPUTED_VALUE"""),16400.0)</f>
        <v>16400</v>
      </c>
      <c r="C1641" s="66">
        <f>IFERROR(__xludf.DUMMYFUNCTION("""COMPUTED_VALUE"""),1.34398E10)</f>
        <v>13439800000</v>
      </c>
      <c r="D1641" s="1"/>
      <c r="E1641" s="1"/>
      <c r="F1641" s="1"/>
      <c r="G1641" s="1"/>
      <c r="H1641" s="1"/>
      <c r="I1641" s="1"/>
      <c r="J1641" s="1"/>
      <c r="K1641" s="1"/>
      <c r="L1641" s="1"/>
      <c r="M1641" s="1"/>
      <c r="N1641" s="1"/>
      <c r="O1641" s="1"/>
      <c r="P1641" s="1"/>
      <c r="Q1641" s="1"/>
      <c r="R1641" s="1"/>
      <c r="S1641" s="1"/>
      <c r="T1641" s="1"/>
      <c r="U1641" s="1"/>
      <c r="V1641" s="1"/>
      <c r="W1641" s="1"/>
      <c r="X1641" s="1"/>
      <c r="Y1641" s="1"/>
      <c r="Z1641" s="1"/>
    </row>
    <row r="1642" ht="15.75" customHeight="1">
      <c r="A1642" s="2">
        <f>IFERROR(__xludf.DUMMYFUNCTION("""COMPUTED_VALUE"""),820500.0)</f>
        <v>820500</v>
      </c>
      <c r="B1642" s="2">
        <f>IFERROR(__xludf.DUMMYFUNCTION("""COMPUTED_VALUE"""),16410.0)</f>
        <v>16410</v>
      </c>
      <c r="C1642" s="66">
        <f>IFERROR(__xludf.DUMMYFUNCTION("""COMPUTED_VALUE"""),1.34562E10)</f>
        <v>13456200000</v>
      </c>
      <c r="D1642" s="1"/>
      <c r="E1642" s="1"/>
      <c r="F1642" s="1"/>
      <c r="G1642" s="1"/>
      <c r="H1642" s="1"/>
      <c r="I1642" s="1"/>
      <c r="J1642" s="1"/>
      <c r="K1642" s="1"/>
      <c r="L1642" s="1"/>
      <c r="M1642" s="1"/>
      <c r="N1642" s="1"/>
      <c r="O1642" s="1"/>
      <c r="P1642" s="1"/>
      <c r="Q1642" s="1"/>
      <c r="R1642" s="1"/>
      <c r="S1642" s="1"/>
      <c r="T1642" s="1"/>
      <c r="U1642" s="1"/>
      <c r="V1642" s="1"/>
      <c r="W1642" s="1"/>
      <c r="X1642" s="1"/>
      <c r="Y1642" s="1"/>
      <c r="Z1642" s="1"/>
    </row>
    <row r="1643" ht="15.75" customHeight="1">
      <c r="A1643" s="2">
        <f>IFERROR(__xludf.DUMMYFUNCTION("""COMPUTED_VALUE"""),821000.0)</f>
        <v>821000</v>
      </c>
      <c r="B1643" s="2">
        <f>IFERROR(__xludf.DUMMYFUNCTION("""COMPUTED_VALUE"""),16420.0)</f>
        <v>16420</v>
      </c>
      <c r="C1643" s="66">
        <f>IFERROR(__xludf.DUMMYFUNCTION("""COMPUTED_VALUE"""),1.347261E10)</f>
        <v>13472610000</v>
      </c>
      <c r="D1643" s="1"/>
      <c r="E1643" s="1"/>
      <c r="F1643" s="1"/>
      <c r="G1643" s="1"/>
      <c r="H1643" s="1"/>
      <c r="I1643" s="1"/>
      <c r="J1643" s="1"/>
      <c r="K1643" s="1"/>
      <c r="L1643" s="1"/>
      <c r="M1643" s="1"/>
      <c r="N1643" s="1"/>
      <c r="O1643" s="1"/>
      <c r="P1643" s="1"/>
      <c r="Q1643" s="1"/>
      <c r="R1643" s="1"/>
      <c r="S1643" s="1"/>
      <c r="T1643" s="1"/>
      <c r="U1643" s="1"/>
      <c r="V1643" s="1"/>
      <c r="W1643" s="1"/>
      <c r="X1643" s="1"/>
      <c r="Y1643" s="1"/>
      <c r="Z1643" s="1"/>
    </row>
    <row r="1644" ht="15.75" customHeight="1">
      <c r="A1644" s="2">
        <f>IFERROR(__xludf.DUMMYFUNCTION("""COMPUTED_VALUE"""),821500.0)</f>
        <v>821500</v>
      </c>
      <c r="B1644" s="2">
        <f>IFERROR(__xludf.DUMMYFUNCTION("""COMPUTED_VALUE"""),16430.0)</f>
        <v>16430</v>
      </c>
      <c r="C1644" s="66">
        <f>IFERROR(__xludf.DUMMYFUNCTION("""COMPUTED_VALUE"""),1.348903E10)</f>
        <v>13489030000</v>
      </c>
      <c r="D1644" s="1"/>
      <c r="E1644" s="1"/>
      <c r="F1644" s="1"/>
      <c r="G1644" s="1"/>
      <c r="H1644" s="1"/>
      <c r="I1644" s="1"/>
      <c r="J1644" s="1"/>
      <c r="K1644" s="1"/>
      <c r="L1644" s="1"/>
      <c r="M1644" s="1"/>
      <c r="N1644" s="1"/>
      <c r="O1644" s="1"/>
      <c r="P1644" s="1"/>
      <c r="Q1644" s="1"/>
      <c r="R1644" s="1"/>
      <c r="S1644" s="1"/>
      <c r="T1644" s="1"/>
      <c r="U1644" s="1"/>
      <c r="V1644" s="1"/>
      <c r="W1644" s="1"/>
      <c r="X1644" s="1"/>
      <c r="Y1644" s="1"/>
      <c r="Z1644" s="1"/>
    </row>
    <row r="1645" ht="15.75" customHeight="1">
      <c r="A1645" s="2">
        <f>IFERROR(__xludf.DUMMYFUNCTION("""COMPUTED_VALUE"""),822000.0)</f>
        <v>822000</v>
      </c>
      <c r="B1645" s="2">
        <f>IFERROR(__xludf.DUMMYFUNCTION("""COMPUTED_VALUE"""),16440.0)</f>
        <v>16440</v>
      </c>
      <c r="C1645" s="66">
        <f>IFERROR(__xludf.DUMMYFUNCTION("""COMPUTED_VALUE"""),1.350546E10)</f>
        <v>13505460000</v>
      </c>
      <c r="D1645" s="1"/>
      <c r="E1645" s="1"/>
      <c r="F1645" s="1"/>
      <c r="G1645" s="1"/>
      <c r="H1645" s="1"/>
      <c r="I1645" s="1"/>
      <c r="J1645" s="1"/>
      <c r="K1645" s="1"/>
      <c r="L1645" s="1"/>
      <c r="M1645" s="1"/>
      <c r="N1645" s="1"/>
      <c r="O1645" s="1"/>
      <c r="P1645" s="1"/>
      <c r="Q1645" s="1"/>
      <c r="R1645" s="1"/>
      <c r="S1645" s="1"/>
      <c r="T1645" s="1"/>
      <c r="U1645" s="1"/>
      <c r="V1645" s="1"/>
      <c r="W1645" s="1"/>
      <c r="X1645" s="1"/>
      <c r="Y1645" s="1"/>
      <c r="Z1645" s="1"/>
    </row>
    <row r="1646" ht="15.75" customHeight="1">
      <c r="A1646" s="2">
        <f>IFERROR(__xludf.DUMMYFUNCTION("""COMPUTED_VALUE"""),822500.0)</f>
        <v>822500</v>
      </c>
      <c r="B1646" s="2">
        <f>IFERROR(__xludf.DUMMYFUNCTION("""COMPUTED_VALUE"""),16450.0)</f>
        <v>16450</v>
      </c>
      <c r="C1646" s="66">
        <f>IFERROR(__xludf.DUMMYFUNCTION("""COMPUTED_VALUE"""),1.35219E10)</f>
        <v>13521900000</v>
      </c>
      <c r="D1646" s="1"/>
      <c r="E1646" s="1"/>
      <c r="F1646" s="1"/>
      <c r="G1646" s="1"/>
      <c r="H1646" s="1"/>
      <c r="I1646" s="1"/>
      <c r="J1646" s="1"/>
      <c r="K1646" s="1"/>
      <c r="L1646" s="1"/>
      <c r="M1646" s="1"/>
      <c r="N1646" s="1"/>
      <c r="O1646" s="1"/>
      <c r="P1646" s="1"/>
      <c r="Q1646" s="1"/>
      <c r="R1646" s="1"/>
      <c r="S1646" s="1"/>
      <c r="T1646" s="1"/>
      <c r="U1646" s="1"/>
      <c r="V1646" s="1"/>
      <c r="W1646" s="1"/>
      <c r="X1646" s="1"/>
      <c r="Y1646" s="1"/>
      <c r="Z1646" s="1"/>
    </row>
    <row r="1647" ht="15.75" customHeight="1">
      <c r="A1647" s="2">
        <f>IFERROR(__xludf.DUMMYFUNCTION("""COMPUTED_VALUE"""),823000.0)</f>
        <v>823000</v>
      </c>
      <c r="B1647" s="2">
        <f>IFERROR(__xludf.DUMMYFUNCTION("""COMPUTED_VALUE"""),16460.0)</f>
        <v>16460</v>
      </c>
      <c r="C1647" s="66">
        <f>IFERROR(__xludf.DUMMYFUNCTION("""COMPUTED_VALUE"""),1.353835E10)</f>
        <v>13538350000</v>
      </c>
      <c r="D1647" s="1"/>
      <c r="E1647" s="1"/>
      <c r="F1647" s="1"/>
      <c r="G1647" s="1"/>
      <c r="H1647" s="1"/>
      <c r="I1647" s="1"/>
      <c r="J1647" s="1"/>
      <c r="K1647" s="1"/>
      <c r="L1647" s="1"/>
      <c r="M1647" s="1"/>
      <c r="N1647" s="1"/>
      <c r="O1647" s="1"/>
      <c r="P1647" s="1"/>
      <c r="Q1647" s="1"/>
      <c r="R1647" s="1"/>
      <c r="S1647" s="1"/>
      <c r="T1647" s="1"/>
      <c r="U1647" s="1"/>
      <c r="V1647" s="1"/>
      <c r="W1647" s="1"/>
      <c r="X1647" s="1"/>
      <c r="Y1647" s="1"/>
      <c r="Z1647" s="1"/>
    </row>
    <row r="1648" ht="15.75" customHeight="1">
      <c r="A1648" s="2">
        <f>IFERROR(__xludf.DUMMYFUNCTION("""COMPUTED_VALUE"""),823500.0)</f>
        <v>823500</v>
      </c>
      <c r="B1648" s="2">
        <f>IFERROR(__xludf.DUMMYFUNCTION("""COMPUTED_VALUE"""),16470.0)</f>
        <v>16470</v>
      </c>
      <c r="C1648" s="66">
        <f>IFERROR(__xludf.DUMMYFUNCTION("""COMPUTED_VALUE"""),1.355481E10)</f>
        <v>13554810000</v>
      </c>
      <c r="D1648" s="1"/>
      <c r="E1648" s="1"/>
      <c r="F1648" s="1"/>
      <c r="G1648" s="1"/>
      <c r="H1648" s="1"/>
      <c r="I1648" s="1"/>
      <c r="J1648" s="1"/>
      <c r="K1648" s="1"/>
      <c r="L1648" s="1"/>
      <c r="M1648" s="1"/>
      <c r="N1648" s="1"/>
      <c r="O1648" s="1"/>
      <c r="P1648" s="1"/>
      <c r="Q1648" s="1"/>
      <c r="R1648" s="1"/>
      <c r="S1648" s="1"/>
      <c r="T1648" s="1"/>
      <c r="U1648" s="1"/>
      <c r="V1648" s="1"/>
      <c r="W1648" s="1"/>
      <c r="X1648" s="1"/>
      <c r="Y1648" s="1"/>
      <c r="Z1648" s="1"/>
    </row>
    <row r="1649" ht="15.75" customHeight="1">
      <c r="A1649" s="2">
        <f>IFERROR(__xludf.DUMMYFUNCTION("""COMPUTED_VALUE"""),824000.0)</f>
        <v>824000</v>
      </c>
      <c r="B1649" s="2">
        <f>IFERROR(__xludf.DUMMYFUNCTION("""COMPUTED_VALUE"""),16480.0)</f>
        <v>16480</v>
      </c>
      <c r="C1649" s="66">
        <f>IFERROR(__xludf.DUMMYFUNCTION("""COMPUTED_VALUE"""),1.357128E10)</f>
        <v>13571280000</v>
      </c>
      <c r="D1649" s="1"/>
      <c r="E1649" s="1"/>
      <c r="F1649" s="1"/>
      <c r="G1649" s="1"/>
      <c r="H1649" s="1"/>
      <c r="I1649" s="1"/>
      <c r="J1649" s="1"/>
      <c r="K1649" s="1"/>
      <c r="L1649" s="1"/>
      <c r="M1649" s="1"/>
      <c r="N1649" s="1"/>
      <c r="O1649" s="1"/>
      <c r="P1649" s="1"/>
      <c r="Q1649" s="1"/>
      <c r="R1649" s="1"/>
      <c r="S1649" s="1"/>
      <c r="T1649" s="1"/>
      <c r="U1649" s="1"/>
      <c r="V1649" s="1"/>
      <c r="W1649" s="1"/>
      <c r="X1649" s="1"/>
      <c r="Y1649" s="1"/>
      <c r="Z1649" s="1"/>
    </row>
    <row r="1650" ht="15.75" customHeight="1">
      <c r="A1650" s="2">
        <f>IFERROR(__xludf.DUMMYFUNCTION("""COMPUTED_VALUE"""),824500.0)</f>
        <v>824500</v>
      </c>
      <c r="B1650" s="2">
        <f>IFERROR(__xludf.DUMMYFUNCTION("""COMPUTED_VALUE"""),16490.0)</f>
        <v>16490</v>
      </c>
      <c r="C1650" s="66">
        <f>IFERROR(__xludf.DUMMYFUNCTION("""COMPUTED_VALUE"""),1.358776E10)</f>
        <v>13587760000</v>
      </c>
      <c r="D1650" s="1"/>
      <c r="E1650" s="1"/>
      <c r="F1650" s="1"/>
      <c r="G1650" s="1"/>
      <c r="H1650" s="1"/>
      <c r="I1650" s="1"/>
      <c r="J1650" s="1"/>
      <c r="K1650" s="1"/>
      <c r="L1650" s="1"/>
      <c r="M1650" s="1"/>
      <c r="N1650" s="1"/>
      <c r="O1650" s="1"/>
      <c r="P1650" s="1"/>
      <c r="Q1650" s="1"/>
      <c r="R1650" s="1"/>
      <c r="S1650" s="1"/>
      <c r="T1650" s="1"/>
      <c r="U1650" s="1"/>
      <c r="V1650" s="1"/>
      <c r="W1650" s="1"/>
      <c r="X1650" s="1"/>
      <c r="Y1650" s="1"/>
      <c r="Z1650" s="1"/>
    </row>
    <row r="1651" ht="15.75" customHeight="1">
      <c r="A1651" s="2">
        <f>IFERROR(__xludf.DUMMYFUNCTION("""COMPUTED_VALUE"""),825000.0)</f>
        <v>825000</v>
      </c>
      <c r="B1651" s="2">
        <f>IFERROR(__xludf.DUMMYFUNCTION("""COMPUTED_VALUE"""),16500.0)</f>
        <v>16500</v>
      </c>
      <c r="C1651" s="66">
        <f>IFERROR(__xludf.DUMMYFUNCTION("""COMPUTED_VALUE"""),1.360425E10)</f>
        <v>13604250000</v>
      </c>
      <c r="D1651" s="1"/>
      <c r="E1651" s="1"/>
      <c r="F1651" s="1"/>
      <c r="G1651" s="1"/>
      <c r="H1651" s="1"/>
      <c r="I1651" s="1"/>
      <c r="J1651" s="1"/>
      <c r="K1651" s="1"/>
      <c r="L1651" s="1"/>
      <c r="M1651" s="1"/>
      <c r="N1651" s="1"/>
      <c r="O1651" s="1"/>
      <c r="P1651" s="1"/>
      <c r="Q1651" s="1"/>
      <c r="R1651" s="1"/>
      <c r="S1651" s="1"/>
      <c r="T1651" s="1"/>
      <c r="U1651" s="1"/>
      <c r="V1651" s="1"/>
      <c r="W1651" s="1"/>
      <c r="X1651" s="1"/>
      <c r="Y1651" s="1"/>
      <c r="Z1651" s="1"/>
    </row>
    <row r="1652" ht="15.75" customHeight="1">
      <c r="A1652" s="2">
        <f>IFERROR(__xludf.DUMMYFUNCTION("""COMPUTED_VALUE"""),825500.0)</f>
        <v>825500</v>
      </c>
      <c r="B1652" s="2">
        <f>IFERROR(__xludf.DUMMYFUNCTION("""COMPUTED_VALUE"""),16510.0)</f>
        <v>16510</v>
      </c>
      <c r="C1652" s="66">
        <f>IFERROR(__xludf.DUMMYFUNCTION("""COMPUTED_VALUE"""),1.362075E10)</f>
        <v>13620750000</v>
      </c>
      <c r="D1652" s="1"/>
      <c r="E1652" s="1"/>
      <c r="F1652" s="1"/>
      <c r="G1652" s="1"/>
      <c r="H1652" s="1"/>
      <c r="I1652" s="1"/>
      <c r="J1652" s="1"/>
      <c r="K1652" s="1"/>
      <c r="L1652" s="1"/>
      <c r="M1652" s="1"/>
      <c r="N1652" s="1"/>
      <c r="O1652" s="1"/>
      <c r="P1652" s="1"/>
      <c r="Q1652" s="1"/>
      <c r="R1652" s="1"/>
      <c r="S1652" s="1"/>
      <c r="T1652" s="1"/>
      <c r="U1652" s="1"/>
      <c r="V1652" s="1"/>
      <c r="W1652" s="1"/>
      <c r="X1652" s="1"/>
      <c r="Y1652" s="1"/>
      <c r="Z1652" s="1"/>
    </row>
    <row r="1653" ht="15.75" customHeight="1">
      <c r="A1653" s="2">
        <f>IFERROR(__xludf.DUMMYFUNCTION("""COMPUTED_VALUE"""),826000.0)</f>
        <v>826000</v>
      </c>
      <c r="B1653" s="2">
        <f>IFERROR(__xludf.DUMMYFUNCTION("""COMPUTED_VALUE"""),16520.0)</f>
        <v>16520</v>
      </c>
      <c r="C1653" s="66">
        <f>IFERROR(__xludf.DUMMYFUNCTION("""COMPUTED_VALUE"""),1.363726E10)</f>
        <v>13637260000</v>
      </c>
      <c r="D1653" s="1"/>
      <c r="E1653" s="1"/>
      <c r="F1653" s="1"/>
      <c r="G1653" s="1"/>
      <c r="H1653" s="1"/>
      <c r="I1653" s="1"/>
      <c r="J1653" s="1"/>
      <c r="K1653" s="1"/>
      <c r="L1653" s="1"/>
      <c r="M1653" s="1"/>
      <c r="N1653" s="1"/>
      <c r="O1653" s="1"/>
      <c r="P1653" s="1"/>
      <c r="Q1653" s="1"/>
      <c r="R1653" s="1"/>
      <c r="S1653" s="1"/>
      <c r="T1653" s="1"/>
      <c r="U1653" s="1"/>
      <c r="V1653" s="1"/>
      <c r="W1653" s="1"/>
      <c r="X1653" s="1"/>
      <c r="Y1653" s="1"/>
      <c r="Z1653" s="1"/>
    </row>
    <row r="1654" ht="15.75" customHeight="1">
      <c r="A1654" s="2">
        <f>IFERROR(__xludf.DUMMYFUNCTION("""COMPUTED_VALUE"""),826500.0)</f>
        <v>826500</v>
      </c>
      <c r="B1654" s="2">
        <f>IFERROR(__xludf.DUMMYFUNCTION("""COMPUTED_VALUE"""),16530.0)</f>
        <v>16530</v>
      </c>
      <c r="C1654" s="66">
        <f>IFERROR(__xludf.DUMMYFUNCTION("""COMPUTED_VALUE"""),1.365378E10)</f>
        <v>13653780000</v>
      </c>
      <c r="D1654" s="1"/>
      <c r="E1654" s="1"/>
      <c r="F1654" s="1"/>
      <c r="G1654" s="1"/>
      <c r="H1654" s="1"/>
      <c r="I1654" s="1"/>
      <c r="J1654" s="1"/>
      <c r="K1654" s="1"/>
      <c r="L1654" s="1"/>
      <c r="M1654" s="1"/>
      <c r="N1654" s="1"/>
      <c r="O1654" s="1"/>
      <c r="P1654" s="1"/>
      <c r="Q1654" s="1"/>
      <c r="R1654" s="1"/>
      <c r="S1654" s="1"/>
      <c r="T1654" s="1"/>
      <c r="U1654" s="1"/>
      <c r="V1654" s="1"/>
      <c r="W1654" s="1"/>
      <c r="X1654" s="1"/>
      <c r="Y1654" s="1"/>
      <c r="Z1654" s="1"/>
    </row>
    <row r="1655" ht="15.75" customHeight="1">
      <c r="A1655" s="2">
        <f>IFERROR(__xludf.DUMMYFUNCTION("""COMPUTED_VALUE"""),827000.0)</f>
        <v>827000</v>
      </c>
      <c r="B1655" s="2">
        <f>IFERROR(__xludf.DUMMYFUNCTION("""COMPUTED_VALUE"""),16540.0)</f>
        <v>16540</v>
      </c>
      <c r="C1655" s="66">
        <f>IFERROR(__xludf.DUMMYFUNCTION("""COMPUTED_VALUE"""),1.367031E10)</f>
        <v>13670310000</v>
      </c>
      <c r="D1655" s="1"/>
      <c r="E1655" s="1"/>
      <c r="F1655" s="1"/>
      <c r="G1655" s="1"/>
      <c r="H1655" s="1"/>
      <c r="I1655" s="1"/>
      <c r="J1655" s="1"/>
      <c r="K1655" s="1"/>
      <c r="L1655" s="1"/>
      <c r="M1655" s="1"/>
      <c r="N1655" s="1"/>
      <c r="O1655" s="1"/>
      <c r="P1655" s="1"/>
      <c r="Q1655" s="1"/>
      <c r="R1655" s="1"/>
      <c r="S1655" s="1"/>
      <c r="T1655" s="1"/>
      <c r="U1655" s="1"/>
      <c r="V1655" s="1"/>
      <c r="W1655" s="1"/>
      <c r="X1655" s="1"/>
      <c r="Y1655" s="1"/>
      <c r="Z1655" s="1"/>
    </row>
    <row r="1656" ht="15.75" customHeight="1">
      <c r="A1656" s="2">
        <f>IFERROR(__xludf.DUMMYFUNCTION("""COMPUTED_VALUE"""),827500.0)</f>
        <v>827500</v>
      </c>
      <c r="B1656" s="2">
        <f>IFERROR(__xludf.DUMMYFUNCTION("""COMPUTED_VALUE"""),16550.0)</f>
        <v>16550</v>
      </c>
      <c r="C1656" s="66">
        <f>IFERROR(__xludf.DUMMYFUNCTION("""COMPUTED_VALUE"""),1.368685E10)</f>
        <v>13686850000</v>
      </c>
      <c r="D1656" s="1"/>
      <c r="E1656" s="1"/>
      <c r="F1656" s="1"/>
      <c r="G1656" s="1"/>
      <c r="H1656" s="1"/>
      <c r="I1656" s="1"/>
      <c r="J1656" s="1"/>
      <c r="K1656" s="1"/>
      <c r="L1656" s="1"/>
      <c r="M1656" s="1"/>
      <c r="N1656" s="1"/>
      <c r="O1656" s="1"/>
      <c r="P1656" s="1"/>
      <c r="Q1656" s="1"/>
      <c r="R1656" s="1"/>
      <c r="S1656" s="1"/>
      <c r="T1656" s="1"/>
      <c r="U1656" s="1"/>
      <c r="V1656" s="1"/>
      <c r="W1656" s="1"/>
      <c r="X1656" s="1"/>
      <c r="Y1656" s="1"/>
      <c r="Z1656" s="1"/>
    </row>
    <row r="1657" ht="15.75" customHeight="1">
      <c r="A1657" s="2">
        <f>IFERROR(__xludf.DUMMYFUNCTION("""COMPUTED_VALUE"""),828000.0)</f>
        <v>828000</v>
      </c>
      <c r="B1657" s="2">
        <f>IFERROR(__xludf.DUMMYFUNCTION("""COMPUTED_VALUE"""),16560.0)</f>
        <v>16560</v>
      </c>
      <c r="C1657" s="66">
        <f>IFERROR(__xludf.DUMMYFUNCTION("""COMPUTED_VALUE"""),1.37034E10)</f>
        <v>13703400000</v>
      </c>
      <c r="D1657" s="1"/>
      <c r="E1657" s="1"/>
      <c r="F1657" s="1"/>
      <c r="G1657" s="1"/>
      <c r="H1657" s="1"/>
      <c r="I1657" s="1"/>
      <c r="J1657" s="1"/>
      <c r="K1657" s="1"/>
      <c r="L1657" s="1"/>
      <c r="M1657" s="1"/>
      <c r="N1657" s="1"/>
      <c r="O1657" s="1"/>
      <c r="P1657" s="1"/>
      <c r="Q1657" s="1"/>
      <c r="R1657" s="1"/>
      <c r="S1657" s="1"/>
      <c r="T1657" s="1"/>
      <c r="U1657" s="1"/>
      <c r="V1657" s="1"/>
      <c r="W1657" s="1"/>
      <c r="X1657" s="1"/>
      <c r="Y1657" s="1"/>
      <c r="Z1657" s="1"/>
    </row>
    <row r="1658" ht="15.75" customHeight="1">
      <c r="A1658" s="2">
        <f>IFERROR(__xludf.DUMMYFUNCTION("""COMPUTED_VALUE"""),828500.0)</f>
        <v>828500</v>
      </c>
      <c r="B1658" s="2">
        <f>IFERROR(__xludf.DUMMYFUNCTION("""COMPUTED_VALUE"""),16570.0)</f>
        <v>16570</v>
      </c>
      <c r="C1658" s="66">
        <f>IFERROR(__xludf.DUMMYFUNCTION("""COMPUTED_VALUE"""),1.371996E10)</f>
        <v>13719960000</v>
      </c>
      <c r="D1658" s="1"/>
      <c r="E1658" s="1"/>
      <c r="F1658" s="1"/>
      <c r="G1658" s="1"/>
      <c r="H1658" s="1"/>
      <c r="I1658" s="1"/>
      <c r="J1658" s="1"/>
      <c r="K1658" s="1"/>
      <c r="L1658" s="1"/>
      <c r="M1658" s="1"/>
      <c r="N1658" s="1"/>
      <c r="O1658" s="1"/>
      <c r="P1658" s="1"/>
      <c r="Q1658" s="1"/>
      <c r="R1658" s="1"/>
      <c r="S1658" s="1"/>
      <c r="T1658" s="1"/>
      <c r="U1658" s="1"/>
      <c r="V1658" s="1"/>
      <c r="W1658" s="1"/>
      <c r="X1658" s="1"/>
      <c r="Y1658" s="1"/>
      <c r="Z1658" s="1"/>
    </row>
    <row r="1659" ht="15.75" customHeight="1">
      <c r="A1659" s="2">
        <f>IFERROR(__xludf.DUMMYFUNCTION("""COMPUTED_VALUE"""),829000.0)</f>
        <v>829000</v>
      </c>
      <c r="B1659" s="2">
        <f>IFERROR(__xludf.DUMMYFUNCTION("""COMPUTED_VALUE"""),16580.0)</f>
        <v>16580</v>
      </c>
      <c r="C1659" s="66">
        <f>IFERROR(__xludf.DUMMYFUNCTION("""COMPUTED_VALUE"""),1.373653E10)</f>
        <v>13736530000</v>
      </c>
      <c r="D1659" s="1"/>
      <c r="E1659" s="1"/>
      <c r="F1659" s="1"/>
      <c r="G1659" s="1"/>
      <c r="H1659" s="1"/>
      <c r="I1659" s="1"/>
      <c r="J1659" s="1"/>
      <c r="K1659" s="1"/>
      <c r="L1659" s="1"/>
      <c r="M1659" s="1"/>
      <c r="N1659" s="1"/>
      <c r="O1659" s="1"/>
      <c r="P1659" s="1"/>
      <c r="Q1659" s="1"/>
      <c r="R1659" s="1"/>
      <c r="S1659" s="1"/>
      <c r="T1659" s="1"/>
      <c r="U1659" s="1"/>
      <c r="V1659" s="1"/>
      <c r="W1659" s="1"/>
      <c r="X1659" s="1"/>
      <c r="Y1659" s="1"/>
      <c r="Z1659" s="1"/>
    </row>
    <row r="1660" ht="15.75" customHeight="1">
      <c r="A1660" s="2">
        <f>IFERROR(__xludf.DUMMYFUNCTION("""COMPUTED_VALUE"""),829500.0)</f>
        <v>829500</v>
      </c>
      <c r="B1660" s="2">
        <f>IFERROR(__xludf.DUMMYFUNCTION("""COMPUTED_VALUE"""),16590.0)</f>
        <v>16590</v>
      </c>
      <c r="C1660" s="66">
        <f>IFERROR(__xludf.DUMMYFUNCTION("""COMPUTED_VALUE"""),1.375311E10)</f>
        <v>13753110000</v>
      </c>
      <c r="D1660" s="1"/>
      <c r="E1660" s="1"/>
      <c r="F1660" s="1"/>
      <c r="G1660" s="1"/>
      <c r="H1660" s="1"/>
      <c r="I1660" s="1"/>
      <c r="J1660" s="1"/>
      <c r="K1660" s="1"/>
      <c r="L1660" s="1"/>
      <c r="M1660" s="1"/>
      <c r="N1660" s="1"/>
      <c r="O1660" s="1"/>
      <c r="P1660" s="1"/>
      <c r="Q1660" s="1"/>
      <c r="R1660" s="1"/>
      <c r="S1660" s="1"/>
      <c r="T1660" s="1"/>
      <c r="U1660" s="1"/>
      <c r="V1660" s="1"/>
      <c r="W1660" s="1"/>
      <c r="X1660" s="1"/>
      <c r="Y1660" s="1"/>
      <c r="Z1660" s="1"/>
    </row>
    <row r="1661" ht="15.75" customHeight="1">
      <c r="A1661" s="2">
        <f>IFERROR(__xludf.DUMMYFUNCTION("""COMPUTED_VALUE"""),830000.0)</f>
        <v>830000</v>
      </c>
      <c r="B1661" s="2">
        <f>IFERROR(__xludf.DUMMYFUNCTION("""COMPUTED_VALUE"""),16600.0)</f>
        <v>16600</v>
      </c>
      <c r="C1661" s="66">
        <f>IFERROR(__xludf.DUMMYFUNCTION("""COMPUTED_VALUE"""),1.37697E10)</f>
        <v>13769700000</v>
      </c>
      <c r="D1661" s="1"/>
      <c r="E1661" s="1"/>
      <c r="F1661" s="1"/>
      <c r="G1661" s="1"/>
      <c r="H1661" s="1"/>
      <c r="I1661" s="1"/>
      <c r="J1661" s="1"/>
      <c r="K1661" s="1"/>
      <c r="L1661" s="1"/>
      <c r="M1661" s="1"/>
      <c r="N1661" s="1"/>
      <c r="O1661" s="1"/>
      <c r="P1661" s="1"/>
      <c r="Q1661" s="1"/>
      <c r="R1661" s="1"/>
      <c r="S1661" s="1"/>
      <c r="T1661" s="1"/>
      <c r="U1661" s="1"/>
      <c r="V1661" s="1"/>
      <c r="W1661" s="1"/>
      <c r="X1661" s="1"/>
      <c r="Y1661" s="1"/>
      <c r="Z1661" s="1"/>
    </row>
    <row r="1662" ht="15.75" customHeight="1">
      <c r="A1662" s="2">
        <f>IFERROR(__xludf.DUMMYFUNCTION("""COMPUTED_VALUE"""),830500.0)</f>
        <v>830500</v>
      </c>
      <c r="B1662" s="2">
        <f>IFERROR(__xludf.DUMMYFUNCTION("""COMPUTED_VALUE"""),16610.0)</f>
        <v>16610</v>
      </c>
      <c r="C1662" s="66">
        <f>IFERROR(__xludf.DUMMYFUNCTION("""COMPUTED_VALUE"""),1.37863E10)</f>
        <v>13786300000</v>
      </c>
      <c r="D1662" s="1"/>
      <c r="E1662" s="1"/>
      <c r="F1662" s="1"/>
      <c r="G1662" s="1"/>
      <c r="H1662" s="1"/>
      <c r="I1662" s="1"/>
      <c r="J1662" s="1"/>
      <c r="K1662" s="1"/>
      <c r="L1662" s="1"/>
      <c r="M1662" s="1"/>
      <c r="N1662" s="1"/>
      <c r="O1662" s="1"/>
      <c r="P1662" s="1"/>
      <c r="Q1662" s="1"/>
      <c r="R1662" s="1"/>
      <c r="S1662" s="1"/>
      <c r="T1662" s="1"/>
      <c r="U1662" s="1"/>
      <c r="V1662" s="1"/>
      <c r="W1662" s="1"/>
      <c r="X1662" s="1"/>
      <c r="Y1662" s="1"/>
      <c r="Z1662" s="1"/>
    </row>
    <row r="1663" ht="15.75" customHeight="1">
      <c r="A1663" s="2">
        <f>IFERROR(__xludf.DUMMYFUNCTION("""COMPUTED_VALUE"""),831000.0)</f>
        <v>831000</v>
      </c>
      <c r="B1663" s="2">
        <f>IFERROR(__xludf.DUMMYFUNCTION("""COMPUTED_VALUE"""),16620.0)</f>
        <v>16620</v>
      </c>
      <c r="C1663" s="66">
        <f>IFERROR(__xludf.DUMMYFUNCTION("""COMPUTED_VALUE"""),1.380291E10)</f>
        <v>13802910000</v>
      </c>
      <c r="D1663" s="1"/>
      <c r="E1663" s="1"/>
      <c r="F1663" s="1"/>
      <c r="G1663" s="1"/>
      <c r="H1663" s="1"/>
      <c r="I1663" s="1"/>
      <c r="J1663" s="1"/>
      <c r="K1663" s="1"/>
      <c r="L1663" s="1"/>
      <c r="M1663" s="1"/>
      <c r="N1663" s="1"/>
      <c r="O1663" s="1"/>
      <c r="P1663" s="1"/>
      <c r="Q1663" s="1"/>
      <c r="R1663" s="1"/>
      <c r="S1663" s="1"/>
      <c r="T1663" s="1"/>
      <c r="U1663" s="1"/>
      <c r="V1663" s="1"/>
      <c r="W1663" s="1"/>
      <c r="X1663" s="1"/>
      <c r="Y1663" s="1"/>
      <c r="Z1663" s="1"/>
    </row>
    <row r="1664" ht="15.75" customHeight="1">
      <c r="A1664" s="2">
        <f>IFERROR(__xludf.DUMMYFUNCTION("""COMPUTED_VALUE"""),831500.0)</f>
        <v>831500</v>
      </c>
      <c r="B1664" s="2">
        <f>IFERROR(__xludf.DUMMYFUNCTION("""COMPUTED_VALUE"""),16630.0)</f>
        <v>16630</v>
      </c>
      <c r="C1664" s="66">
        <f>IFERROR(__xludf.DUMMYFUNCTION("""COMPUTED_VALUE"""),1.381953E10)</f>
        <v>13819530000</v>
      </c>
      <c r="D1664" s="1"/>
      <c r="E1664" s="1"/>
      <c r="F1664" s="1"/>
      <c r="G1664" s="1"/>
      <c r="H1664" s="1"/>
      <c r="I1664" s="1"/>
      <c r="J1664" s="1"/>
      <c r="K1664" s="1"/>
      <c r="L1664" s="1"/>
      <c r="M1664" s="1"/>
      <c r="N1664" s="1"/>
      <c r="O1664" s="1"/>
      <c r="P1664" s="1"/>
      <c r="Q1664" s="1"/>
      <c r="R1664" s="1"/>
      <c r="S1664" s="1"/>
      <c r="T1664" s="1"/>
      <c r="U1664" s="1"/>
      <c r="V1664" s="1"/>
      <c r="W1664" s="1"/>
      <c r="X1664" s="1"/>
      <c r="Y1664" s="1"/>
      <c r="Z1664" s="1"/>
    </row>
    <row r="1665" ht="15.75" customHeight="1">
      <c r="A1665" s="2">
        <f>IFERROR(__xludf.DUMMYFUNCTION("""COMPUTED_VALUE"""),832000.0)</f>
        <v>832000</v>
      </c>
      <c r="B1665" s="2">
        <f>IFERROR(__xludf.DUMMYFUNCTION("""COMPUTED_VALUE"""),16640.0)</f>
        <v>16640</v>
      </c>
      <c r="C1665" s="66">
        <f>IFERROR(__xludf.DUMMYFUNCTION("""COMPUTED_VALUE"""),1.383616E10)</f>
        <v>13836160000</v>
      </c>
      <c r="D1665" s="1"/>
      <c r="E1665" s="1"/>
      <c r="F1665" s="1"/>
      <c r="G1665" s="1"/>
      <c r="H1665" s="1"/>
      <c r="I1665" s="1"/>
      <c r="J1665" s="1"/>
      <c r="K1665" s="1"/>
      <c r="L1665" s="1"/>
      <c r="M1665" s="1"/>
      <c r="N1665" s="1"/>
      <c r="O1665" s="1"/>
      <c r="P1665" s="1"/>
      <c r="Q1665" s="1"/>
      <c r="R1665" s="1"/>
      <c r="S1665" s="1"/>
      <c r="T1665" s="1"/>
      <c r="U1665" s="1"/>
      <c r="V1665" s="1"/>
      <c r="W1665" s="1"/>
      <c r="X1665" s="1"/>
      <c r="Y1665" s="1"/>
      <c r="Z1665" s="1"/>
    </row>
    <row r="1666" ht="15.75" customHeight="1">
      <c r="A1666" s="2">
        <f>IFERROR(__xludf.DUMMYFUNCTION("""COMPUTED_VALUE"""),832500.0)</f>
        <v>832500</v>
      </c>
      <c r="B1666" s="2">
        <f>IFERROR(__xludf.DUMMYFUNCTION("""COMPUTED_VALUE"""),16650.0)</f>
        <v>16650</v>
      </c>
      <c r="C1666" s="66">
        <f>IFERROR(__xludf.DUMMYFUNCTION("""COMPUTED_VALUE"""),1.38528E10)</f>
        <v>13852800000</v>
      </c>
      <c r="D1666" s="1"/>
      <c r="E1666" s="1"/>
      <c r="F1666" s="1"/>
      <c r="G1666" s="1"/>
      <c r="H1666" s="1"/>
      <c r="I1666" s="1"/>
      <c r="J1666" s="1"/>
      <c r="K1666" s="1"/>
      <c r="L1666" s="1"/>
      <c r="M1666" s="1"/>
      <c r="N1666" s="1"/>
      <c r="O1666" s="1"/>
      <c r="P1666" s="1"/>
      <c r="Q1666" s="1"/>
      <c r="R1666" s="1"/>
      <c r="S1666" s="1"/>
      <c r="T1666" s="1"/>
      <c r="U1666" s="1"/>
      <c r="V1666" s="1"/>
      <c r="W1666" s="1"/>
      <c r="X1666" s="1"/>
      <c r="Y1666" s="1"/>
      <c r="Z1666" s="1"/>
    </row>
    <row r="1667" ht="15.75" customHeight="1">
      <c r="A1667" s="2">
        <f>IFERROR(__xludf.DUMMYFUNCTION("""COMPUTED_VALUE"""),833000.0)</f>
        <v>833000</v>
      </c>
      <c r="B1667" s="2">
        <f>IFERROR(__xludf.DUMMYFUNCTION("""COMPUTED_VALUE"""),16660.0)</f>
        <v>16660</v>
      </c>
      <c r="C1667" s="66">
        <f>IFERROR(__xludf.DUMMYFUNCTION("""COMPUTED_VALUE"""),1.386945E10)</f>
        <v>13869450000</v>
      </c>
      <c r="D1667" s="1"/>
      <c r="E1667" s="1"/>
      <c r="F1667" s="1"/>
      <c r="G1667" s="1"/>
      <c r="H1667" s="1"/>
      <c r="I1667" s="1"/>
      <c r="J1667" s="1"/>
      <c r="K1667" s="1"/>
      <c r="L1667" s="1"/>
      <c r="M1667" s="1"/>
      <c r="N1667" s="1"/>
      <c r="O1667" s="1"/>
      <c r="P1667" s="1"/>
      <c r="Q1667" s="1"/>
      <c r="R1667" s="1"/>
      <c r="S1667" s="1"/>
      <c r="T1667" s="1"/>
      <c r="U1667" s="1"/>
      <c r="V1667" s="1"/>
      <c r="W1667" s="1"/>
      <c r="X1667" s="1"/>
      <c r="Y1667" s="1"/>
      <c r="Z1667" s="1"/>
    </row>
    <row r="1668" ht="15.75" customHeight="1">
      <c r="A1668" s="2">
        <f>IFERROR(__xludf.DUMMYFUNCTION("""COMPUTED_VALUE"""),833500.0)</f>
        <v>833500</v>
      </c>
      <c r="B1668" s="2">
        <f>IFERROR(__xludf.DUMMYFUNCTION("""COMPUTED_VALUE"""),16670.0)</f>
        <v>16670</v>
      </c>
      <c r="C1668" s="66">
        <f>IFERROR(__xludf.DUMMYFUNCTION("""COMPUTED_VALUE"""),1.388611E10)</f>
        <v>13886110000</v>
      </c>
      <c r="D1668" s="1"/>
      <c r="E1668" s="1"/>
      <c r="F1668" s="1"/>
      <c r="G1668" s="1"/>
      <c r="H1668" s="1"/>
      <c r="I1668" s="1"/>
      <c r="J1668" s="1"/>
      <c r="K1668" s="1"/>
      <c r="L1668" s="1"/>
      <c r="M1668" s="1"/>
      <c r="N1668" s="1"/>
      <c r="O1668" s="1"/>
      <c r="P1668" s="1"/>
      <c r="Q1668" s="1"/>
      <c r="R1668" s="1"/>
      <c r="S1668" s="1"/>
      <c r="T1668" s="1"/>
      <c r="U1668" s="1"/>
      <c r="V1668" s="1"/>
      <c r="W1668" s="1"/>
      <c r="X1668" s="1"/>
      <c r="Y1668" s="1"/>
      <c r="Z1668" s="1"/>
    </row>
    <row r="1669" ht="15.75" customHeight="1">
      <c r="A1669" s="2">
        <f>IFERROR(__xludf.DUMMYFUNCTION("""COMPUTED_VALUE"""),834000.0)</f>
        <v>834000</v>
      </c>
      <c r="B1669" s="2">
        <f>IFERROR(__xludf.DUMMYFUNCTION("""COMPUTED_VALUE"""),16680.0)</f>
        <v>16680</v>
      </c>
      <c r="C1669" s="66">
        <f>IFERROR(__xludf.DUMMYFUNCTION("""COMPUTED_VALUE"""),1.390278E10)</f>
        <v>13902780000</v>
      </c>
      <c r="D1669" s="1"/>
      <c r="E1669" s="1"/>
      <c r="F1669" s="1"/>
      <c r="G1669" s="1"/>
      <c r="H1669" s="1"/>
      <c r="I1669" s="1"/>
      <c r="J1669" s="1"/>
      <c r="K1669" s="1"/>
      <c r="L1669" s="1"/>
      <c r="M1669" s="1"/>
      <c r="N1669" s="1"/>
      <c r="O1669" s="1"/>
      <c r="P1669" s="1"/>
      <c r="Q1669" s="1"/>
      <c r="R1669" s="1"/>
      <c r="S1669" s="1"/>
      <c r="T1669" s="1"/>
      <c r="U1669" s="1"/>
      <c r="V1669" s="1"/>
      <c r="W1669" s="1"/>
      <c r="X1669" s="1"/>
      <c r="Y1669" s="1"/>
      <c r="Z1669" s="1"/>
    </row>
    <row r="1670" ht="15.75" customHeight="1">
      <c r="A1670" s="2">
        <f>IFERROR(__xludf.DUMMYFUNCTION("""COMPUTED_VALUE"""),834500.0)</f>
        <v>834500</v>
      </c>
      <c r="B1670" s="2">
        <f>IFERROR(__xludf.DUMMYFUNCTION("""COMPUTED_VALUE"""),16690.0)</f>
        <v>16690</v>
      </c>
      <c r="C1670" s="66">
        <f>IFERROR(__xludf.DUMMYFUNCTION("""COMPUTED_VALUE"""),1.391946E10)</f>
        <v>13919460000</v>
      </c>
      <c r="D1670" s="1"/>
      <c r="E1670" s="1"/>
      <c r="F1670" s="1"/>
      <c r="G1670" s="1"/>
      <c r="H1670" s="1"/>
      <c r="I1670" s="1"/>
      <c r="J1670" s="1"/>
      <c r="K1670" s="1"/>
      <c r="L1670" s="1"/>
      <c r="M1670" s="1"/>
      <c r="N1670" s="1"/>
      <c r="O1670" s="1"/>
      <c r="P1670" s="1"/>
      <c r="Q1670" s="1"/>
      <c r="R1670" s="1"/>
      <c r="S1670" s="1"/>
      <c r="T1670" s="1"/>
      <c r="U1670" s="1"/>
      <c r="V1670" s="1"/>
      <c r="W1670" s="1"/>
      <c r="X1670" s="1"/>
      <c r="Y1670" s="1"/>
      <c r="Z1670" s="1"/>
    </row>
    <row r="1671" ht="15.75" customHeight="1">
      <c r="A1671" s="2">
        <f>IFERROR(__xludf.DUMMYFUNCTION("""COMPUTED_VALUE"""),835000.0)</f>
        <v>835000</v>
      </c>
      <c r="B1671" s="2">
        <f>IFERROR(__xludf.DUMMYFUNCTION("""COMPUTED_VALUE"""),16700.0)</f>
        <v>16700</v>
      </c>
      <c r="C1671" s="66">
        <f>IFERROR(__xludf.DUMMYFUNCTION("""COMPUTED_VALUE"""),1.393615E10)</f>
        <v>13936150000</v>
      </c>
      <c r="D1671" s="1"/>
      <c r="E1671" s="1"/>
      <c r="F1671" s="1"/>
      <c r="G1671" s="1"/>
      <c r="H1671" s="1"/>
      <c r="I1671" s="1"/>
      <c r="J1671" s="1"/>
      <c r="K1671" s="1"/>
      <c r="L1671" s="1"/>
      <c r="M1671" s="1"/>
      <c r="N1671" s="1"/>
      <c r="O1671" s="1"/>
      <c r="P1671" s="1"/>
      <c r="Q1671" s="1"/>
      <c r="R1671" s="1"/>
      <c r="S1671" s="1"/>
      <c r="T1671" s="1"/>
      <c r="U1671" s="1"/>
      <c r="V1671" s="1"/>
      <c r="W1671" s="1"/>
      <c r="X1671" s="1"/>
      <c r="Y1671" s="1"/>
      <c r="Z1671" s="1"/>
    </row>
    <row r="1672" ht="15.75" customHeight="1">
      <c r="A1672" s="2">
        <f>IFERROR(__xludf.DUMMYFUNCTION("""COMPUTED_VALUE"""),835500.0)</f>
        <v>835500</v>
      </c>
      <c r="B1672" s="2">
        <f>IFERROR(__xludf.DUMMYFUNCTION("""COMPUTED_VALUE"""),16710.0)</f>
        <v>16710</v>
      </c>
      <c r="C1672" s="66">
        <f>IFERROR(__xludf.DUMMYFUNCTION("""COMPUTED_VALUE"""),1.395285E10)</f>
        <v>13952850000</v>
      </c>
      <c r="D1672" s="1"/>
      <c r="E1672" s="1"/>
      <c r="F1672" s="1"/>
      <c r="G1672" s="1"/>
      <c r="H1672" s="1"/>
      <c r="I1672" s="1"/>
      <c r="J1672" s="1"/>
      <c r="K1672" s="1"/>
      <c r="L1672" s="1"/>
      <c r="M1672" s="1"/>
      <c r="N1672" s="1"/>
      <c r="O1672" s="1"/>
      <c r="P1672" s="1"/>
      <c r="Q1672" s="1"/>
      <c r="R1672" s="1"/>
      <c r="S1672" s="1"/>
      <c r="T1672" s="1"/>
      <c r="U1672" s="1"/>
      <c r="V1672" s="1"/>
      <c r="W1672" s="1"/>
      <c r="X1672" s="1"/>
      <c r="Y1672" s="1"/>
      <c r="Z1672" s="1"/>
    </row>
    <row r="1673" ht="15.75" customHeight="1">
      <c r="A1673" s="2">
        <f>IFERROR(__xludf.DUMMYFUNCTION("""COMPUTED_VALUE"""),836000.0)</f>
        <v>836000</v>
      </c>
      <c r="B1673" s="2">
        <f>IFERROR(__xludf.DUMMYFUNCTION("""COMPUTED_VALUE"""),16720.0)</f>
        <v>16720</v>
      </c>
      <c r="C1673" s="66">
        <f>IFERROR(__xludf.DUMMYFUNCTION("""COMPUTED_VALUE"""),1.396956E10)</f>
        <v>13969560000</v>
      </c>
      <c r="D1673" s="1"/>
      <c r="E1673" s="1"/>
      <c r="F1673" s="1"/>
      <c r="G1673" s="1"/>
      <c r="H1673" s="1"/>
      <c r="I1673" s="1"/>
      <c r="J1673" s="1"/>
      <c r="K1673" s="1"/>
      <c r="L1673" s="1"/>
      <c r="M1673" s="1"/>
      <c r="N1673" s="1"/>
      <c r="O1673" s="1"/>
      <c r="P1673" s="1"/>
      <c r="Q1673" s="1"/>
      <c r="R1673" s="1"/>
      <c r="S1673" s="1"/>
      <c r="T1673" s="1"/>
      <c r="U1673" s="1"/>
      <c r="V1673" s="1"/>
      <c r="W1673" s="1"/>
      <c r="X1673" s="1"/>
      <c r="Y1673" s="1"/>
      <c r="Z1673" s="1"/>
    </row>
    <row r="1674" ht="15.75" customHeight="1">
      <c r="A1674" s="2">
        <f>IFERROR(__xludf.DUMMYFUNCTION("""COMPUTED_VALUE"""),836500.0)</f>
        <v>836500</v>
      </c>
      <c r="B1674" s="2">
        <f>IFERROR(__xludf.DUMMYFUNCTION("""COMPUTED_VALUE"""),16730.0)</f>
        <v>16730</v>
      </c>
      <c r="C1674" s="66">
        <f>IFERROR(__xludf.DUMMYFUNCTION("""COMPUTED_VALUE"""),1.398628E10)</f>
        <v>13986280000</v>
      </c>
      <c r="D1674" s="1"/>
      <c r="E1674" s="1"/>
      <c r="F1674" s="1"/>
      <c r="G1674" s="1"/>
      <c r="H1674" s="1"/>
      <c r="I1674" s="1"/>
      <c r="J1674" s="1"/>
      <c r="K1674" s="1"/>
      <c r="L1674" s="1"/>
      <c r="M1674" s="1"/>
      <c r="N1674" s="1"/>
      <c r="O1674" s="1"/>
      <c r="P1674" s="1"/>
      <c r="Q1674" s="1"/>
      <c r="R1674" s="1"/>
      <c r="S1674" s="1"/>
      <c r="T1674" s="1"/>
      <c r="U1674" s="1"/>
      <c r="V1674" s="1"/>
      <c r="W1674" s="1"/>
      <c r="X1674" s="1"/>
      <c r="Y1674" s="1"/>
      <c r="Z1674" s="1"/>
    </row>
    <row r="1675" ht="15.75" customHeight="1">
      <c r="A1675" s="2">
        <f>IFERROR(__xludf.DUMMYFUNCTION("""COMPUTED_VALUE"""),837000.0)</f>
        <v>837000</v>
      </c>
      <c r="B1675" s="2">
        <f>IFERROR(__xludf.DUMMYFUNCTION("""COMPUTED_VALUE"""),16740.0)</f>
        <v>16740</v>
      </c>
      <c r="C1675" s="66">
        <f>IFERROR(__xludf.DUMMYFUNCTION("""COMPUTED_VALUE"""),1.400301E10)</f>
        <v>14003010000</v>
      </c>
      <c r="D1675" s="1"/>
      <c r="E1675" s="1"/>
      <c r="F1675" s="1"/>
      <c r="G1675" s="1"/>
      <c r="H1675" s="1"/>
      <c r="I1675" s="1"/>
      <c r="J1675" s="1"/>
      <c r="K1675" s="1"/>
      <c r="L1675" s="1"/>
      <c r="M1675" s="1"/>
      <c r="N1675" s="1"/>
      <c r="O1675" s="1"/>
      <c r="P1675" s="1"/>
      <c r="Q1675" s="1"/>
      <c r="R1675" s="1"/>
      <c r="S1675" s="1"/>
      <c r="T1675" s="1"/>
      <c r="U1675" s="1"/>
      <c r="V1675" s="1"/>
      <c r="W1675" s="1"/>
      <c r="X1675" s="1"/>
      <c r="Y1675" s="1"/>
      <c r="Z1675" s="1"/>
    </row>
    <row r="1676" ht="15.75" customHeight="1">
      <c r="A1676" s="2">
        <f>IFERROR(__xludf.DUMMYFUNCTION("""COMPUTED_VALUE"""),837500.0)</f>
        <v>837500</v>
      </c>
      <c r="B1676" s="2">
        <f>IFERROR(__xludf.DUMMYFUNCTION("""COMPUTED_VALUE"""),16750.0)</f>
        <v>16750</v>
      </c>
      <c r="C1676" s="66">
        <f>IFERROR(__xludf.DUMMYFUNCTION("""COMPUTED_VALUE"""),1.401975E10)</f>
        <v>14019750000</v>
      </c>
      <c r="D1676" s="1"/>
      <c r="E1676" s="1"/>
      <c r="F1676" s="1"/>
      <c r="G1676" s="1"/>
      <c r="H1676" s="1"/>
      <c r="I1676" s="1"/>
      <c r="J1676" s="1"/>
      <c r="K1676" s="1"/>
      <c r="L1676" s="1"/>
      <c r="M1676" s="1"/>
      <c r="N1676" s="1"/>
      <c r="O1676" s="1"/>
      <c r="P1676" s="1"/>
      <c r="Q1676" s="1"/>
      <c r="R1676" s="1"/>
      <c r="S1676" s="1"/>
      <c r="T1676" s="1"/>
      <c r="U1676" s="1"/>
      <c r="V1676" s="1"/>
      <c r="W1676" s="1"/>
      <c r="X1676" s="1"/>
      <c r="Y1676" s="1"/>
      <c r="Z1676" s="1"/>
    </row>
    <row r="1677" ht="15.75" customHeight="1">
      <c r="A1677" s="2">
        <f>IFERROR(__xludf.DUMMYFUNCTION("""COMPUTED_VALUE"""),838000.0)</f>
        <v>838000</v>
      </c>
      <c r="B1677" s="2">
        <f>IFERROR(__xludf.DUMMYFUNCTION("""COMPUTED_VALUE"""),16760.0)</f>
        <v>16760</v>
      </c>
      <c r="C1677" s="66">
        <f>IFERROR(__xludf.DUMMYFUNCTION("""COMPUTED_VALUE"""),1.40365E10)</f>
        <v>14036500000</v>
      </c>
      <c r="D1677" s="1"/>
      <c r="E1677" s="1"/>
      <c r="F1677" s="1"/>
      <c r="G1677" s="1"/>
      <c r="H1677" s="1"/>
      <c r="I1677" s="1"/>
      <c r="J1677" s="1"/>
      <c r="K1677" s="1"/>
      <c r="L1677" s="1"/>
      <c r="M1677" s="1"/>
      <c r="N1677" s="1"/>
      <c r="O1677" s="1"/>
      <c r="P1677" s="1"/>
      <c r="Q1677" s="1"/>
      <c r="R1677" s="1"/>
      <c r="S1677" s="1"/>
      <c r="T1677" s="1"/>
      <c r="U1677" s="1"/>
      <c r="V1677" s="1"/>
      <c r="W1677" s="1"/>
      <c r="X1677" s="1"/>
      <c r="Y1677" s="1"/>
      <c r="Z1677" s="1"/>
    </row>
    <row r="1678" ht="15.75" customHeight="1">
      <c r="A1678" s="2">
        <f>IFERROR(__xludf.DUMMYFUNCTION("""COMPUTED_VALUE"""),838500.0)</f>
        <v>838500</v>
      </c>
      <c r="B1678" s="2">
        <f>IFERROR(__xludf.DUMMYFUNCTION("""COMPUTED_VALUE"""),16770.0)</f>
        <v>16770</v>
      </c>
      <c r="C1678" s="66">
        <f>IFERROR(__xludf.DUMMYFUNCTION("""COMPUTED_VALUE"""),1.405326E10)</f>
        <v>14053260000</v>
      </c>
      <c r="D1678" s="1"/>
      <c r="E1678" s="1"/>
      <c r="F1678" s="1"/>
      <c r="G1678" s="1"/>
      <c r="H1678" s="1"/>
      <c r="I1678" s="1"/>
      <c r="J1678" s="1"/>
      <c r="K1678" s="1"/>
      <c r="L1678" s="1"/>
      <c r="M1678" s="1"/>
      <c r="N1678" s="1"/>
      <c r="O1678" s="1"/>
      <c r="P1678" s="1"/>
      <c r="Q1678" s="1"/>
      <c r="R1678" s="1"/>
      <c r="S1678" s="1"/>
      <c r="T1678" s="1"/>
      <c r="U1678" s="1"/>
      <c r="V1678" s="1"/>
      <c r="W1678" s="1"/>
      <c r="X1678" s="1"/>
      <c r="Y1678" s="1"/>
      <c r="Z1678" s="1"/>
    </row>
    <row r="1679" ht="15.75" customHeight="1">
      <c r="A1679" s="2">
        <f>IFERROR(__xludf.DUMMYFUNCTION("""COMPUTED_VALUE"""),839000.0)</f>
        <v>839000</v>
      </c>
      <c r="B1679" s="2">
        <f>IFERROR(__xludf.DUMMYFUNCTION("""COMPUTED_VALUE"""),16780.0)</f>
        <v>16780</v>
      </c>
      <c r="C1679" s="66">
        <f>IFERROR(__xludf.DUMMYFUNCTION("""COMPUTED_VALUE"""),1.407003E10)</f>
        <v>14070030000</v>
      </c>
      <c r="D1679" s="1"/>
      <c r="E1679" s="1"/>
      <c r="F1679" s="1"/>
      <c r="G1679" s="1"/>
      <c r="H1679" s="1"/>
      <c r="I1679" s="1"/>
      <c r="J1679" s="1"/>
      <c r="K1679" s="1"/>
      <c r="L1679" s="1"/>
      <c r="M1679" s="1"/>
      <c r="N1679" s="1"/>
      <c r="O1679" s="1"/>
      <c r="P1679" s="1"/>
      <c r="Q1679" s="1"/>
      <c r="R1679" s="1"/>
      <c r="S1679" s="1"/>
      <c r="T1679" s="1"/>
      <c r="U1679" s="1"/>
      <c r="V1679" s="1"/>
      <c r="W1679" s="1"/>
      <c r="X1679" s="1"/>
      <c r="Y1679" s="1"/>
      <c r="Z1679" s="1"/>
    </row>
    <row r="1680" ht="15.75" customHeight="1">
      <c r="A1680" s="2">
        <f>IFERROR(__xludf.DUMMYFUNCTION("""COMPUTED_VALUE"""),839500.0)</f>
        <v>839500</v>
      </c>
      <c r="B1680" s="2">
        <f>IFERROR(__xludf.DUMMYFUNCTION("""COMPUTED_VALUE"""),16790.0)</f>
        <v>16790</v>
      </c>
      <c r="C1680" s="66">
        <f>IFERROR(__xludf.DUMMYFUNCTION("""COMPUTED_VALUE"""),1.408681E10)</f>
        <v>14086810000</v>
      </c>
      <c r="D1680" s="1"/>
      <c r="E1680" s="1"/>
      <c r="F1680" s="1"/>
      <c r="G1680" s="1"/>
      <c r="H1680" s="1"/>
      <c r="I1680" s="1"/>
      <c r="J1680" s="1"/>
      <c r="K1680" s="1"/>
      <c r="L1680" s="1"/>
      <c r="M1680" s="1"/>
      <c r="N1680" s="1"/>
      <c r="O1680" s="1"/>
      <c r="P1680" s="1"/>
      <c r="Q1680" s="1"/>
      <c r="R1680" s="1"/>
      <c r="S1680" s="1"/>
      <c r="T1680" s="1"/>
      <c r="U1680" s="1"/>
      <c r="V1680" s="1"/>
      <c r="W1680" s="1"/>
      <c r="X1680" s="1"/>
      <c r="Y1680" s="1"/>
      <c r="Z1680" s="1"/>
    </row>
    <row r="1681" ht="15.75" customHeight="1">
      <c r="A1681" s="2">
        <f>IFERROR(__xludf.DUMMYFUNCTION("""COMPUTED_VALUE"""),840000.0)</f>
        <v>840000</v>
      </c>
      <c r="B1681" s="2">
        <f>IFERROR(__xludf.DUMMYFUNCTION("""COMPUTED_VALUE"""),16800.0)</f>
        <v>16800</v>
      </c>
      <c r="C1681" s="66">
        <f>IFERROR(__xludf.DUMMYFUNCTION("""COMPUTED_VALUE"""),1.41036E10)</f>
        <v>14103600000</v>
      </c>
      <c r="D1681" s="1"/>
      <c r="E1681" s="1"/>
      <c r="F1681" s="1"/>
      <c r="G1681" s="1"/>
      <c r="H1681" s="1"/>
      <c r="I1681" s="1"/>
      <c r="J1681" s="1"/>
      <c r="K1681" s="1"/>
      <c r="L1681" s="1"/>
      <c r="M1681" s="1"/>
      <c r="N1681" s="1"/>
      <c r="O1681" s="1"/>
      <c r="P1681" s="1"/>
      <c r="Q1681" s="1"/>
      <c r="R1681" s="1"/>
      <c r="S1681" s="1"/>
      <c r="T1681" s="1"/>
      <c r="U1681" s="1"/>
      <c r="V1681" s="1"/>
      <c r="W1681" s="1"/>
      <c r="X1681" s="1"/>
      <c r="Y1681" s="1"/>
      <c r="Z1681" s="1"/>
    </row>
    <row r="1682" ht="15.75" customHeight="1">
      <c r="A1682" s="2">
        <f>IFERROR(__xludf.DUMMYFUNCTION("""COMPUTED_VALUE"""),840500.0)</f>
        <v>840500</v>
      </c>
      <c r="B1682" s="2">
        <f>IFERROR(__xludf.DUMMYFUNCTION("""COMPUTED_VALUE"""),16810.0)</f>
        <v>16810</v>
      </c>
      <c r="C1682" s="66">
        <f>IFERROR(__xludf.DUMMYFUNCTION("""COMPUTED_VALUE"""),1.41204E10)</f>
        <v>14120400000</v>
      </c>
      <c r="D1682" s="1"/>
      <c r="E1682" s="1"/>
      <c r="F1682" s="1"/>
      <c r="G1682" s="1"/>
      <c r="H1682" s="1"/>
      <c r="I1682" s="1"/>
      <c r="J1682" s="1"/>
      <c r="K1682" s="1"/>
      <c r="L1682" s="1"/>
      <c r="M1682" s="1"/>
      <c r="N1682" s="1"/>
      <c r="O1682" s="1"/>
      <c r="P1682" s="1"/>
      <c r="Q1682" s="1"/>
      <c r="R1682" s="1"/>
      <c r="S1682" s="1"/>
      <c r="T1682" s="1"/>
      <c r="U1682" s="1"/>
      <c r="V1682" s="1"/>
      <c r="W1682" s="1"/>
      <c r="X1682" s="1"/>
      <c r="Y1682" s="1"/>
      <c r="Z1682" s="1"/>
    </row>
    <row r="1683" ht="15.75" customHeight="1">
      <c r="A1683" s="2">
        <f>IFERROR(__xludf.DUMMYFUNCTION("""COMPUTED_VALUE"""),841000.0)</f>
        <v>841000</v>
      </c>
      <c r="B1683" s="2">
        <f>IFERROR(__xludf.DUMMYFUNCTION("""COMPUTED_VALUE"""),16820.0)</f>
        <v>16820</v>
      </c>
      <c r="C1683" s="66">
        <f>IFERROR(__xludf.DUMMYFUNCTION("""COMPUTED_VALUE"""),1.413721E10)</f>
        <v>14137210000</v>
      </c>
      <c r="D1683" s="1"/>
      <c r="E1683" s="1"/>
      <c r="F1683" s="1"/>
      <c r="G1683" s="1"/>
      <c r="H1683" s="1"/>
      <c r="I1683" s="1"/>
      <c r="J1683" s="1"/>
      <c r="K1683" s="1"/>
      <c r="L1683" s="1"/>
      <c r="M1683" s="1"/>
      <c r="N1683" s="1"/>
      <c r="O1683" s="1"/>
      <c r="P1683" s="1"/>
      <c r="Q1683" s="1"/>
      <c r="R1683" s="1"/>
      <c r="S1683" s="1"/>
      <c r="T1683" s="1"/>
      <c r="U1683" s="1"/>
      <c r="V1683" s="1"/>
      <c r="W1683" s="1"/>
      <c r="X1683" s="1"/>
      <c r="Y1683" s="1"/>
      <c r="Z1683" s="1"/>
    </row>
    <row r="1684" ht="15.75" customHeight="1">
      <c r="A1684" s="2">
        <f>IFERROR(__xludf.DUMMYFUNCTION("""COMPUTED_VALUE"""),841500.0)</f>
        <v>841500</v>
      </c>
      <c r="B1684" s="2">
        <f>IFERROR(__xludf.DUMMYFUNCTION("""COMPUTED_VALUE"""),16830.0)</f>
        <v>16830</v>
      </c>
      <c r="C1684" s="66">
        <f>IFERROR(__xludf.DUMMYFUNCTION("""COMPUTED_VALUE"""),1.415403E10)</f>
        <v>14154030000</v>
      </c>
      <c r="D1684" s="1"/>
      <c r="E1684" s="1"/>
      <c r="F1684" s="1"/>
      <c r="G1684" s="1"/>
      <c r="H1684" s="1"/>
      <c r="I1684" s="1"/>
      <c r="J1684" s="1"/>
      <c r="K1684" s="1"/>
      <c r="L1684" s="1"/>
      <c r="M1684" s="1"/>
      <c r="N1684" s="1"/>
      <c r="O1684" s="1"/>
      <c r="P1684" s="1"/>
      <c r="Q1684" s="1"/>
      <c r="R1684" s="1"/>
      <c r="S1684" s="1"/>
      <c r="T1684" s="1"/>
      <c r="U1684" s="1"/>
      <c r="V1684" s="1"/>
      <c r="W1684" s="1"/>
      <c r="X1684" s="1"/>
      <c r="Y1684" s="1"/>
      <c r="Z1684" s="1"/>
    </row>
    <row r="1685" ht="15.75" customHeight="1">
      <c r="A1685" s="2">
        <f>IFERROR(__xludf.DUMMYFUNCTION("""COMPUTED_VALUE"""),842000.0)</f>
        <v>842000</v>
      </c>
      <c r="B1685" s="2">
        <f>IFERROR(__xludf.DUMMYFUNCTION("""COMPUTED_VALUE"""),16840.0)</f>
        <v>16840</v>
      </c>
      <c r="C1685" s="66">
        <f>IFERROR(__xludf.DUMMYFUNCTION("""COMPUTED_VALUE"""),1.417086E10)</f>
        <v>14170860000</v>
      </c>
      <c r="D1685" s="1"/>
      <c r="E1685" s="1"/>
      <c r="F1685" s="1"/>
      <c r="G1685" s="1"/>
      <c r="H1685" s="1"/>
      <c r="I1685" s="1"/>
      <c r="J1685" s="1"/>
      <c r="K1685" s="1"/>
      <c r="L1685" s="1"/>
      <c r="M1685" s="1"/>
      <c r="N1685" s="1"/>
      <c r="O1685" s="1"/>
      <c r="P1685" s="1"/>
      <c r="Q1685" s="1"/>
      <c r="R1685" s="1"/>
      <c r="S1685" s="1"/>
      <c r="T1685" s="1"/>
      <c r="U1685" s="1"/>
      <c r="V1685" s="1"/>
      <c r="W1685" s="1"/>
      <c r="X1685" s="1"/>
      <c r="Y1685" s="1"/>
      <c r="Z1685" s="1"/>
    </row>
    <row r="1686" ht="15.75" customHeight="1">
      <c r="A1686" s="2">
        <f>IFERROR(__xludf.DUMMYFUNCTION("""COMPUTED_VALUE"""),842500.0)</f>
        <v>842500</v>
      </c>
      <c r="B1686" s="2">
        <f>IFERROR(__xludf.DUMMYFUNCTION("""COMPUTED_VALUE"""),16850.0)</f>
        <v>16850</v>
      </c>
      <c r="C1686" s="66">
        <f>IFERROR(__xludf.DUMMYFUNCTION("""COMPUTED_VALUE"""),1.41877E10)</f>
        <v>14187700000</v>
      </c>
      <c r="D1686" s="1"/>
      <c r="E1686" s="1"/>
      <c r="F1686" s="1"/>
      <c r="G1686" s="1"/>
      <c r="H1686" s="1"/>
      <c r="I1686" s="1"/>
      <c r="J1686" s="1"/>
      <c r="K1686" s="1"/>
      <c r="L1686" s="1"/>
      <c r="M1686" s="1"/>
      <c r="N1686" s="1"/>
      <c r="O1686" s="1"/>
      <c r="P1686" s="1"/>
      <c r="Q1686" s="1"/>
      <c r="R1686" s="1"/>
      <c r="S1686" s="1"/>
      <c r="T1686" s="1"/>
      <c r="U1686" s="1"/>
      <c r="V1686" s="1"/>
      <c r="W1686" s="1"/>
      <c r="X1686" s="1"/>
      <c r="Y1686" s="1"/>
      <c r="Z1686" s="1"/>
    </row>
    <row r="1687" ht="15.75" customHeight="1">
      <c r="A1687" s="2">
        <f>IFERROR(__xludf.DUMMYFUNCTION("""COMPUTED_VALUE"""),843000.0)</f>
        <v>843000</v>
      </c>
      <c r="B1687" s="2">
        <f>IFERROR(__xludf.DUMMYFUNCTION("""COMPUTED_VALUE"""),16860.0)</f>
        <v>16860</v>
      </c>
      <c r="C1687" s="66">
        <f>IFERROR(__xludf.DUMMYFUNCTION("""COMPUTED_VALUE"""),1.420455E10)</f>
        <v>14204550000</v>
      </c>
      <c r="D1687" s="1"/>
      <c r="E1687" s="1"/>
      <c r="F1687" s="1"/>
      <c r="G1687" s="1"/>
      <c r="H1687" s="1"/>
      <c r="I1687" s="1"/>
      <c r="J1687" s="1"/>
      <c r="K1687" s="1"/>
      <c r="L1687" s="1"/>
      <c r="M1687" s="1"/>
      <c r="N1687" s="1"/>
      <c r="O1687" s="1"/>
      <c r="P1687" s="1"/>
      <c r="Q1687" s="1"/>
      <c r="R1687" s="1"/>
      <c r="S1687" s="1"/>
      <c r="T1687" s="1"/>
      <c r="U1687" s="1"/>
      <c r="V1687" s="1"/>
      <c r="W1687" s="1"/>
      <c r="X1687" s="1"/>
      <c r="Y1687" s="1"/>
      <c r="Z1687" s="1"/>
    </row>
    <row r="1688" ht="15.75" customHeight="1">
      <c r="A1688" s="2">
        <f>IFERROR(__xludf.DUMMYFUNCTION("""COMPUTED_VALUE"""),843500.0)</f>
        <v>843500</v>
      </c>
      <c r="B1688" s="2">
        <f>IFERROR(__xludf.DUMMYFUNCTION("""COMPUTED_VALUE"""),16870.0)</f>
        <v>16870</v>
      </c>
      <c r="C1688" s="66">
        <f>IFERROR(__xludf.DUMMYFUNCTION("""COMPUTED_VALUE"""),1.422141E10)</f>
        <v>14221410000</v>
      </c>
      <c r="D1688" s="1"/>
      <c r="E1688" s="1"/>
      <c r="F1688" s="1"/>
      <c r="G1688" s="1"/>
      <c r="H1688" s="1"/>
      <c r="I1688" s="1"/>
      <c r="J1688" s="1"/>
      <c r="K1688" s="1"/>
      <c r="L1688" s="1"/>
      <c r="M1688" s="1"/>
      <c r="N1688" s="1"/>
      <c r="O1688" s="1"/>
      <c r="P1688" s="1"/>
      <c r="Q1688" s="1"/>
      <c r="R1688" s="1"/>
      <c r="S1688" s="1"/>
      <c r="T1688" s="1"/>
      <c r="U1688" s="1"/>
      <c r="V1688" s="1"/>
      <c r="W1688" s="1"/>
      <c r="X1688" s="1"/>
      <c r="Y1688" s="1"/>
      <c r="Z1688" s="1"/>
    </row>
    <row r="1689" ht="15.75" customHeight="1">
      <c r="A1689" s="2">
        <f>IFERROR(__xludf.DUMMYFUNCTION("""COMPUTED_VALUE"""),844000.0)</f>
        <v>844000</v>
      </c>
      <c r="B1689" s="2">
        <f>IFERROR(__xludf.DUMMYFUNCTION("""COMPUTED_VALUE"""),16880.0)</f>
        <v>16880</v>
      </c>
      <c r="C1689" s="66">
        <f>IFERROR(__xludf.DUMMYFUNCTION("""COMPUTED_VALUE"""),1.423828E10)</f>
        <v>14238280000</v>
      </c>
      <c r="D1689" s="1"/>
      <c r="E1689" s="1"/>
      <c r="F1689" s="1"/>
      <c r="G1689" s="1"/>
      <c r="H1689" s="1"/>
      <c r="I1689" s="1"/>
      <c r="J1689" s="1"/>
      <c r="K1689" s="1"/>
      <c r="L1689" s="1"/>
      <c r="M1689" s="1"/>
      <c r="N1689" s="1"/>
      <c r="O1689" s="1"/>
      <c r="P1689" s="1"/>
      <c r="Q1689" s="1"/>
      <c r="R1689" s="1"/>
      <c r="S1689" s="1"/>
      <c r="T1689" s="1"/>
      <c r="U1689" s="1"/>
      <c r="V1689" s="1"/>
      <c r="W1689" s="1"/>
      <c r="X1689" s="1"/>
      <c r="Y1689" s="1"/>
      <c r="Z1689" s="1"/>
    </row>
    <row r="1690" ht="15.75" customHeight="1">
      <c r="A1690" s="2">
        <f>IFERROR(__xludf.DUMMYFUNCTION("""COMPUTED_VALUE"""),844500.0)</f>
        <v>844500</v>
      </c>
      <c r="B1690" s="2">
        <f>IFERROR(__xludf.DUMMYFUNCTION("""COMPUTED_VALUE"""),16890.0)</f>
        <v>16890</v>
      </c>
      <c r="C1690" s="66">
        <f>IFERROR(__xludf.DUMMYFUNCTION("""COMPUTED_VALUE"""),1.425516E10)</f>
        <v>14255160000</v>
      </c>
      <c r="D1690" s="1"/>
      <c r="E1690" s="1"/>
      <c r="F1690" s="1"/>
      <c r="G1690" s="1"/>
      <c r="H1690" s="1"/>
      <c r="I1690" s="1"/>
      <c r="J1690" s="1"/>
      <c r="K1690" s="1"/>
      <c r="L1690" s="1"/>
      <c r="M1690" s="1"/>
      <c r="N1690" s="1"/>
      <c r="O1690" s="1"/>
      <c r="P1690" s="1"/>
      <c r="Q1690" s="1"/>
      <c r="R1690" s="1"/>
      <c r="S1690" s="1"/>
      <c r="T1690" s="1"/>
      <c r="U1690" s="1"/>
      <c r="V1690" s="1"/>
      <c r="W1690" s="1"/>
      <c r="X1690" s="1"/>
      <c r="Y1690" s="1"/>
      <c r="Z1690" s="1"/>
    </row>
    <row r="1691" ht="15.75" customHeight="1">
      <c r="A1691" s="2">
        <f>IFERROR(__xludf.DUMMYFUNCTION("""COMPUTED_VALUE"""),845000.0)</f>
        <v>845000</v>
      </c>
      <c r="B1691" s="2">
        <f>IFERROR(__xludf.DUMMYFUNCTION("""COMPUTED_VALUE"""),16900.0)</f>
        <v>16900</v>
      </c>
      <c r="C1691" s="66">
        <f>IFERROR(__xludf.DUMMYFUNCTION("""COMPUTED_VALUE"""),1.427205E10)</f>
        <v>14272050000</v>
      </c>
      <c r="D1691" s="1"/>
      <c r="E1691" s="1"/>
      <c r="F1691" s="1"/>
      <c r="G1691" s="1"/>
      <c r="H1691" s="1"/>
      <c r="I1691" s="1"/>
      <c r="J1691" s="1"/>
      <c r="K1691" s="1"/>
      <c r="L1691" s="1"/>
      <c r="M1691" s="1"/>
      <c r="N1691" s="1"/>
      <c r="O1691" s="1"/>
      <c r="P1691" s="1"/>
      <c r="Q1691" s="1"/>
      <c r="R1691" s="1"/>
      <c r="S1691" s="1"/>
      <c r="T1691" s="1"/>
      <c r="U1691" s="1"/>
      <c r="V1691" s="1"/>
      <c r="W1691" s="1"/>
      <c r="X1691" s="1"/>
      <c r="Y1691" s="1"/>
      <c r="Z1691" s="1"/>
    </row>
    <row r="1692" ht="15.75" customHeight="1">
      <c r="A1692" s="2">
        <f>IFERROR(__xludf.DUMMYFUNCTION("""COMPUTED_VALUE"""),845500.0)</f>
        <v>845500</v>
      </c>
      <c r="B1692" s="2">
        <f>IFERROR(__xludf.DUMMYFUNCTION("""COMPUTED_VALUE"""),16910.0)</f>
        <v>16910</v>
      </c>
      <c r="C1692" s="66">
        <f>IFERROR(__xludf.DUMMYFUNCTION("""COMPUTED_VALUE"""),1.428895E10)</f>
        <v>14288950000</v>
      </c>
      <c r="D1692" s="1"/>
      <c r="E1692" s="1"/>
      <c r="F1692" s="1"/>
      <c r="G1692" s="1"/>
      <c r="H1692" s="1"/>
      <c r="I1692" s="1"/>
      <c r="J1692" s="1"/>
      <c r="K1692" s="1"/>
      <c r="L1692" s="1"/>
      <c r="M1692" s="1"/>
      <c r="N1692" s="1"/>
      <c r="O1692" s="1"/>
      <c r="P1692" s="1"/>
      <c r="Q1692" s="1"/>
      <c r="R1692" s="1"/>
      <c r="S1692" s="1"/>
      <c r="T1692" s="1"/>
      <c r="U1692" s="1"/>
      <c r="V1692" s="1"/>
      <c r="W1692" s="1"/>
      <c r="X1692" s="1"/>
      <c r="Y1692" s="1"/>
      <c r="Z1692" s="1"/>
    </row>
    <row r="1693" ht="15.75" customHeight="1">
      <c r="A1693" s="2">
        <f>IFERROR(__xludf.DUMMYFUNCTION("""COMPUTED_VALUE"""),846000.0)</f>
        <v>846000</v>
      </c>
      <c r="B1693" s="2">
        <f>IFERROR(__xludf.DUMMYFUNCTION("""COMPUTED_VALUE"""),16920.0)</f>
        <v>16920</v>
      </c>
      <c r="C1693" s="66">
        <f>IFERROR(__xludf.DUMMYFUNCTION("""COMPUTED_VALUE"""),1.430586E10)</f>
        <v>14305860000</v>
      </c>
      <c r="D1693" s="1"/>
      <c r="E1693" s="1"/>
      <c r="F1693" s="1"/>
      <c r="G1693" s="1"/>
      <c r="H1693" s="1"/>
      <c r="I1693" s="1"/>
      <c r="J1693" s="1"/>
      <c r="K1693" s="1"/>
      <c r="L1693" s="1"/>
      <c r="M1693" s="1"/>
      <c r="N1693" s="1"/>
      <c r="O1693" s="1"/>
      <c r="P1693" s="1"/>
      <c r="Q1693" s="1"/>
      <c r="R1693" s="1"/>
      <c r="S1693" s="1"/>
      <c r="T1693" s="1"/>
      <c r="U1693" s="1"/>
      <c r="V1693" s="1"/>
      <c r="W1693" s="1"/>
      <c r="X1693" s="1"/>
      <c r="Y1693" s="1"/>
      <c r="Z1693" s="1"/>
    </row>
    <row r="1694" ht="15.75" customHeight="1">
      <c r="A1694" s="2">
        <f>IFERROR(__xludf.DUMMYFUNCTION("""COMPUTED_VALUE"""),846500.0)</f>
        <v>846500</v>
      </c>
      <c r="B1694" s="2">
        <f>IFERROR(__xludf.DUMMYFUNCTION("""COMPUTED_VALUE"""),16930.0)</f>
        <v>16930</v>
      </c>
      <c r="C1694" s="66">
        <f>IFERROR(__xludf.DUMMYFUNCTION("""COMPUTED_VALUE"""),1.432278E10)</f>
        <v>14322780000</v>
      </c>
      <c r="D1694" s="1"/>
      <c r="E1694" s="1"/>
      <c r="F1694" s="1"/>
      <c r="G1694" s="1"/>
      <c r="H1694" s="1"/>
      <c r="I1694" s="1"/>
      <c r="J1694" s="1"/>
      <c r="K1694" s="1"/>
      <c r="L1694" s="1"/>
      <c r="M1694" s="1"/>
      <c r="N1694" s="1"/>
      <c r="O1694" s="1"/>
      <c r="P1694" s="1"/>
      <c r="Q1694" s="1"/>
      <c r="R1694" s="1"/>
      <c r="S1694" s="1"/>
      <c r="T1694" s="1"/>
      <c r="U1694" s="1"/>
      <c r="V1694" s="1"/>
      <c r="W1694" s="1"/>
      <c r="X1694" s="1"/>
      <c r="Y1694" s="1"/>
      <c r="Z1694" s="1"/>
    </row>
    <row r="1695" ht="15.75" customHeight="1">
      <c r="A1695" s="2">
        <f>IFERROR(__xludf.DUMMYFUNCTION("""COMPUTED_VALUE"""),847000.0)</f>
        <v>847000</v>
      </c>
      <c r="B1695" s="2">
        <f>IFERROR(__xludf.DUMMYFUNCTION("""COMPUTED_VALUE"""),16940.0)</f>
        <v>16940</v>
      </c>
      <c r="C1695" s="66">
        <f>IFERROR(__xludf.DUMMYFUNCTION("""COMPUTED_VALUE"""),1.433971E10)</f>
        <v>14339710000</v>
      </c>
      <c r="D1695" s="1"/>
      <c r="E1695" s="1"/>
      <c r="F1695" s="1"/>
      <c r="G1695" s="1"/>
      <c r="H1695" s="1"/>
      <c r="I1695" s="1"/>
      <c r="J1695" s="1"/>
      <c r="K1695" s="1"/>
      <c r="L1695" s="1"/>
      <c r="M1695" s="1"/>
      <c r="N1695" s="1"/>
      <c r="O1695" s="1"/>
      <c r="P1695" s="1"/>
      <c r="Q1695" s="1"/>
      <c r="R1695" s="1"/>
      <c r="S1695" s="1"/>
      <c r="T1695" s="1"/>
      <c r="U1695" s="1"/>
      <c r="V1695" s="1"/>
      <c r="W1695" s="1"/>
      <c r="X1695" s="1"/>
      <c r="Y1695" s="1"/>
      <c r="Z1695" s="1"/>
    </row>
    <row r="1696" ht="15.75" customHeight="1">
      <c r="A1696" s="2">
        <f>IFERROR(__xludf.DUMMYFUNCTION("""COMPUTED_VALUE"""),847500.0)</f>
        <v>847500</v>
      </c>
      <c r="B1696" s="2">
        <f>IFERROR(__xludf.DUMMYFUNCTION("""COMPUTED_VALUE"""),16950.0)</f>
        <v>16950</v>
      </c>
      <c r="C1696" s="66">
        <f>IFERROR(__xludf.DUMMYFUNCTION("""COMPUTED_VALUE"""),1.435665E10)</f>
        <v>14356650000</v>
      </c>
      <c r="D1696" s="1"/>
      <c r="E1696" s="1"/>
      <c r="F1696" s="1"/>
      <c r="G1696" s="1"/>
      <c r="H1696" s="1"/>
      <c r="I1696" s="1"/>
      <c r="J1696" s="1"/>
      <c r="K1696" s="1"/>
      <c r="L1696" s="1"/>
      <c r="M1696" s="1"/>
      <c r="N1696" s="1"/>
      <c r="O1696" s="1"/>
      <c r="P1696" s="1"/>
      <c r="Q1696" s="1"/>
      <c r="R1696" s="1"/>
      <c r="S1696" s="1"/>
      <c r="T1696" s="1"/>
      <c r="U1696" s="1"/>
      <c r="V1696" s="1"/>
      <c r="W1696" s="1"/>
      <c r="X1696" s="1"/>
      <c r="Y1696" s="1"/>
      <c r="Z1696" s="1"/>
    </row>
    <row r="1697" ht="15.75" customHeight="1">
      <c r="A1697" s="2">
        <f>IFERROR(__xludf.DUMMYFUNCTION("""COMPUTED_VALUE"""),848000.0)</f>
        <v>848000</v>
      </c>
      <c r="B1697" s="2">
        <f>IFERROR(__xludf.DUMMYFUNCTION("""COMPUTED_VALUE"""),16960.0)</f>
        <v>16960</v>
      </c>
      <c r="C1697" s="66">
        <f>IFERROR(__xludf.DUMMYFUNCTION("""COMPUTED_VALUE"""),1.43736E10)</f>
        <v>14373600000</v>
      </c>
      <c r="D1697" s="1"/>
      <c r="E1697" s="1"/>
      <c r="F1697" s="1"/>
      <c r="G1697" s="1"/>
      <c r="H1697" s="1"/>
      <c r="I1697" s="1"/>
      <c r="J1697" s="1"/>
      <c r="K1697" s="1"/>
      <c r="L1697" s="1"/>
      <c r="M1697" s="1"/>
      <c r="N1697" s="1"/>
      <c r="O1697" s="1"/>
      <c r="P1697" s="1"/>
      <c r="Q1697" s="1"/>
      <c r="R1697" s="1"/>
      <c r="S1697" s="1"/>
      <c r="T1697" s="1"/>
      <c r="U1697" s="1"/>
      <c r="V1697" s="1"/>
      <c r="W1697" s="1"/>
      <c r="X1697" s="1"/>
      <c r="Y1697" s="1"/>
      <c r="Z1697" s="1"/>
    </row>
    <row r="1698" ht="15.75" customHeight="1">
      <c r="A1698" s="2">
        <f>IFERROR(__xludf.DUMMYFUNCTION("""COMPUTED_VALUE"""),848500.0)</f>
        <v>848500</v>
      </c>
      <c r="B1698" s="2">
        <f>IFERROR(__xludf.DUMMYFUNCTION("""COMPUTED_VALUE"""),16970.0)</f>
        <v>16970</v>
      </c>
      <c r="C1698" s="66">
        <f>IFERROR(__xludf.DUMMYFUNCTION("""COMPUTED_VALUE"""),1.439056E10)</f>
        <v>14390560000</v>
      </c>
      <c r="D1698" s="1"/>
      <c r="E1698" s="1"/>
      <c r="F1698" s="1"/>
      <c r="G1698" s="1"/>
      <c r="H1698" s="1"/>
      <c r="I1698" s="1"/>
      <c r="J1698" s="1"/>
      <c r="K1698" s="1"/>
      <c r="L1698" s="1"/>
      <c r="M1698" s="1"/>
      <c r="N1698" s="1"/>
      <c r="O1698" s="1"/>
      <c r="P1698" s="1"/>
      <c r="Q1698" s="1"/>
      <c r="R1698" s="1"/>
      <c r="S1698" s="1"/>
      <c r="T1698" s="1"/>
      <c r="U1698" s="1"/>
      <c r="V1698" s="1"/>
      <c r="W1698" s="1"/>
      <c r="X1698" s="1"/>
      <c r="Y1698" s="1"/>
      <c r="Z1698" s="1"/>
    </row>
    <row r="1699" ht="15.75" customHeight="1">
      <c r="A1699" s="2">
        <f>IFERROR(__xludf.DUMMYFUNCTION("""COMPUTED_VALUE"""),849000.0)</f>
        <v>849000</v>
      </c>
      <c r="B1699" s="2">
        <f>IFERROR(__xludf.DUMMYFUNCTION("""COMPUTED_VALUE"""),16980.0)</f>
        <v>16980</v>
      </c>
      <c r="C1699" s="66">
        <f>IFERROR(__xludf.DUMMYFUNCTION("""COMPUTED_VALUE"""),1.440753E10)</f>
        <v>14407530000</v>
      </c>
      <c r="D1699" s="1"/>
      <c r="E1699" s="1"/>
      <c r="F1699" s="1"/>
      <c r="G1699" s="1"/>
      <c r="H1699" s="1"/>
      <c r="I1699" s="1"/>
      <c r="J1699" s="1"/>
      <c r="K1699" s="1"/>
      <c r="L1699" s="1"/>
      <c r="M1699" s="1"/>
      <c r="N1699" s="1"/>
      <c r="O1699" s="1"/>
      <c r="P1699" s="1"/>
      <c r="Q1699" s="1"/>
      <c r="R1699" s="1"/>
      <c r="S1699" s="1"/>
      <c r="T1699" s="1"/>
      <c r="U1699" s="1"/>
      <c r="V1699" s="1"/>
      <c r="W1699" s="1"/>
      <c r="X1699" s="1"/>
      <c r="Y1699" s="1"/>
      <c r="Z1699" s="1"/>
    </row>
    <row r="1700" ht="15.75" customHeight="1">
      <c r="A1700" s="2">
        <f>IFERROR(__xludf.DUMMYFUNCTION("""COMPUTED_VALUE"""),849500.0)</f>
        <v>849500</v>
      </c>
      <c r="B1700" s="2">
        <f>IFERROR(__xludf.DUMMYFUNCTION("""COMPUTED_VALUE"""),16990.0)</f>
        <v>16990</v>
      </c>
      <c r="C1700" s="66">
        <f>IFERROR(__xludf.DUMMYFUNCTION("""COMPUTED_VALUE"""),1.442451E10)</f>
        <v>14424510000</v>
      </c>
      <c r="D1700" s="1"/>
      <c r="E1700" s="1"/>
      <c r="F1700" s="1"/>
      <c r="G1700" s="1"/>
      <c r="H1700" s="1"/>
      <c r="I1700" s="1"/>
      <c r="J1700" s="1"/>
      <c r="K1700" s="1"/>
      <c r="L1700" s="1"/>
      <c r="M1700" s="1"/>
      <c r="N1700" s="1"/>
      <c r="O1700" s="1"/>
      <c r="P1700" s="1"/>
      <c r="Q1700" s="1"/>
      <c r="R1700" s="1"/>
      <c r="S1700" s="1"/>
      <c r="T1700" s="1"/>
      <c r="U1700" s="1"/>
      <c r="V1700" s="1"/>
      <c r="W1700" s="1"/>
      <c r="X1700" s="1"/>
      <c r="Y1700" s="1"/>
      <c r="Z1700" s="1"/>
    </row>
    <row r="1701" ht="15.75" customHeight="1">
      <c r="A1701" s="2">
        <f>IFERROR(__xludf.DUMMYFUNCTION("""COMPUTED_VALUE"""),850000.0)</f>
        <v>850000</v>
      </c>
      <c r="B1701" s="2">
        <f>IFERROR(__xludf.DUMMYFUNCTION("""COMPUTED_VALUE"""),17000.0)</f>
        <v>17000</v>
      </c>
      <c r="C1701" s="66">
        <f>IFERROR(__xludf.DUMMYFUNCTION("""COMPUTED_VALUE"""),1.44415E10)</f>
        <v>14441500000</v>
      </c>
      <c r="D1701" s="1"/>
      <c r="E1701" s="1"/>
      <c r="F1701" s="1"/>
      <c r="G1701" s="1"/>
      <c r="H1701" s="1"/>
      <c r="I1701" s="1"/>
      <c r="J1701" s="1"/>
      <c r="K1701" s="1"/>
      <c r="L1701" s="1"/>
      <c r="M1701" s="1"/>
      <c r="N1701" s="1"/>
      <c r="O1701" s="1"/>
      <c r="P1701" s="1"/>
      <c r="Q1701" s="1"/>
      <c r="R1701" s="1"/>
      <c r="S1701" s="1"/>
      <c r="T1701" s="1"/>
      <c r="U1701" s="1"/>
      <c r="V1701" s="1"/>
      <c r="W1701" s="1"/>
      <c r="X1701" s="1"/>
      <c r="Y1701" s="1"/>
      <c r="Z1701" s="1"/>
    </row>
    <row r="1702" ht="15.75" customHeight="1">
      <c r="A1702" s="2">
        <f>IFERROR(__xludf.DUMMYFUNCTION("""COMPUTED_VALUE"""),850500.0)</f>
        <v>850500</v>
      </c>
      <c r="B1702" s="2">
        <f>IFERROR(__xludf.DUMMYFUNCTION("""COMPUTED_VALUE"""),17010.0)</f>
        <v>17010</v>
      </c>
      <c r="C1702" s="66">
        <f>IFERROR(__xludf.DUMMYFUNCTION("""COMPUTED_VALUE"""),1.44585E10)</f>
        <v>14458500000</v>
      </c>
      <c r="D1702" s="1"/>
      <c r="E1702" s="1"/>
      <c r="F1702" s="1"/>
      <c r="G1702" s="1"/>
      <c r="H1702" s="1"/>
      <c r="I1702" s="1"/>
      <c r="J1702" s="1"/>
      <c r="K1702" s="1"/>
      <c r="L1702" s="1"/>
      <c r="M1702" s="1"/>
      <c r="N1702" s="1"/>
      <c r="O1702" s="1"/>
      <c r="P1702" s="1"/>
      <c r="Q1702" s="1"/>
      <c r="R1702" s="1"/>
      <c r="S1702" s="1"/>
      <c r="T1702" s="1"/>
      <c r="U1702" s="1"/>
      <c r="V1702" s="1"/>
      <c r="W1702" s="1"/>
      <c r="X1702" s="1"/>
      <c r="Y1702" s="1"/>
      <c r="Z1702" s="1"/>
    </row>
    <row r="1703" ht="15.75" customHeight="1">
      <c r="A1703" s="2">
        <f>IFERROR(__xludf.DUMMYFUNCTION("""COMPUTED_VALUE"""),851000.0)</f>
        <v>851000</v>
      </c>
      <c r="B1703" s="2">
        <f>IFERROR(__xludf.DUMMYFUNCTION("""COMPUTED_VALUE"""),17020.0)</f>
        <v>17020</v>
      </c>
      <c r="C1703" s="66">
        <f>IFERROR(__xludf.DUMMYFUNCTION("""COMPUTED_VALUE"""),1.447551E10)</f>
        <v>14475510000</v>
      </c>
      <c r="D1703" s="1"/>
      <c r="E1703" s="1"/>
      <c r="F1703" s="1"/>
      <c r="G1703" s="1"/>
      <c r="H1703" s="1"/>
      <c r="I1703" s="1"/>
      <c r="J1703" s="1"/>
      <c r="K1703" s="1"/>
      <c r="L1703" s="1"/>
      <c r="M1703" s="1"/>
      <c r="N1703" s="1"/>
      <c r="O1703" s="1"/>
      <c r="P1703" s="1"/>
      <c r="Q1703" s="1"/>
      <c r="R1703" s="1"/>
      <c r="S1703" s="1"/>
      <c r="T1703" s="1"/>
      <c r="U1703" s="1"/>
      <c r="V1703" s="1"/>
      <c r="W1703" s="1"/>
      <c r="X1703" s="1"/>
      <c r="Y1703" s="1"/>
      <c r="Z1703" s="1"/>
    </row>
    <row r="1704" ht="15.75" customHeight="1">
      <c r="A1704" s="2">
        <f>IFERROR(__xludf.DUMMYFUNCTION("""COMPUTED_VALUE"""),851500.0)</f>
        <v>851500</v>
      </c>
      <c r="B1704" s="2">
        <f>IFERROR(__xludf.DUMMYFUNCTION("""COMPUTED_VALUE"""),17030.0)</f>
        <v>17030</v>
      </c>
      <c r="C1704" s="66">
        <f>IFERROR(__xludf.DUMMYFUNCTION("""COMPUTED_VALUE"""),1.449253E10)</f>
        <v>14492530000</v>
      </c>
      <c r="D1704" s="1"/>
      <c r="E1704" s="1"/>
      <c r="F1704" s="1"/>
      <c r="G1704" s="1"/>
      <c r="H1704" s="1"/>
      <c r="I1704" s="1"/>
      <c r="J1704" s="1"/>
      <c r="K1704" s="1"/>
      <c r="L1704" s="1"/>
      <c r="M1704" s="1"/>
      <c r="N1704" s="1"/>
      <c r="O1704" s="1"/>
      <c r="P1704" s="1"/>
      <c r="Q1704" s="1"/>
      <c r="R1704" s="1"/>
      <c r="S1704" s="1"/>
      <c r="T1704" s="1"/>
      <c r="U1704" s="1"/>
      <c r="V1704" s="1"/>
      <c r="W1704" s="1"/>
      <c r="X1704" s="1"/>
      <c r="Y1704" s="1"/>
      <c r="Z1704" s="1"/>
    </row>
    <row r="1705" ht="15.75" customHeight="1">
      <c r="A1705" s="2">
        <f>IFERROR(__xludf.DUMMYFUNCTION("""COMPUTED_VALUE"""),852000.0)</f>
        <v>852000</v>
      </c>
      <c r="B1705" s="2">
        <f>IFERROR(__xludf.DUMMYFUNCTION("""COMPUTED_VALUE"""),17040.0)</f>
        <v>17040</v>
      </c>
      <c r="C1705" s="66">
        <f>IFERROR(__xludf.DUMMYFUNCTION("""COMPUTED_VALUE"""),1.450956E10)</f>
        <v>14509560000</v>
      </c>
      <c r="D1705" s="1"/>
      <c r="E1705" s="1"/>
      <c r="F1705" s="1"/>
      <c r="G1705" s="1"/>
      <c r="H1705" s="1"/>
      <c r="I1705" s="1"/>
      <c r="J1705" s="1"/>
      <c r="K1705" s="1"/>
      <c r="L1705" s="1"/>
      <c r="M1705" s="1"/>
      <c r="N1705" s="1"/>
      <c r="O1705" s="1"/>
      <c r="P1705" s="1"/>
      <c r="Q1705" s="1"/>
      <c r="R1705" s="1"/>
      <c r="S1705" s="1"/>
      <c r="T1705" s="1"/>
      <c r="U1705" s="1"/>
      <c r="V1705" s="1"/>
      <c r="W1705" s="1"/>
      <c r="X1705" s="1"/>
      <c r="Y1705" s="1"/>
      <c r="Z1705" s="1"/>
    </row>
    <row r="1706" ht="15.75" customHeight="1">
      <c r="A1706" s="2">
        <f>IFERROR(__xludf.DUMMYFUNCTION("""COMPUTED_VALUE"""),852500.0)</f>
        <v>852500</v>
      </c>
      <c r="B1706" s="2">
        <f>IFERROR(__xludf.DUMMYFUNCTION("""COMPUTED_VALUE"""),17050.0)</f>
        <v>17050</v>
      </c>
      <c r="C1706" s="66">
        <f>IFERROR(__xludf.DUMMYFUNCTION("""COMPUTED_VALUE"""),1.45266E10)</f>
        <v>14526600000</v>
      </c>
      <c r="D1706" s="1"/>
      <c r="E1706" s="1"/>
      <c r="F1706" s="1"/>
      <c r="G1706" s="1"/>
      <c r="H1706" s="1"/>
      <c r="I1706" s="1"/>
      <c r="J1706" s="1"/>
      <c r="K1706" s="1"/>
      <c r="L1706" s="1"/>
      <c r="M1706" s="1"/>
      <c r="N1706" s="1"/>
      <c r="O1706" s="1"/>
      <c r="P1706" s="1"/>
      <c r="Q1706" s="1"/>
      <c r="R1706" s="1"/>
      <c r="S1706" s="1"/>
      <c r="T1706" s="1"/>
      <c r="U1706" s="1"/>
      <c r="V1706" s="1"/>
      <c r="W1706" s="1"/>
      <c r="X1706" s="1"/>
      <c r="Y1706" s="1"/>
      <c r="Z1706" s="1"/>
    </row>
    <row r="1707" ht="15.75" customHeight="1">
      <c r="A1707" s="2">
        <f>IFERROR(__xludf.DUMMYFUNCTION("""COMPUTED_VALUE"""),853000.0)</f>
        <v>853000</v>
      </c>
      <c r="B1707" s="2">
        <f>IFERROR(__xludf.DUMMYFUNCTION("""COMPUTED_VALUE"""),17060.0)</f>
        <v>17060</v>
      </c>
      <c r="C1707" s="66">
        <f>IFERROR(__xludf.DUMMYFUNCTION("""COMPUTED_VALUE"""),1.454365E10)</f>
        <v>14543650000</v>
      </c>
      <c r="D1707" s="1"/>
      <c r="E1707" s="1"/>
      <c r="F1707" s="1"/>
      <c r="G1707" s="1"/>
      <c r="H1707" s="1"/>
      <c r="I1707" s="1"/>
      <c r="J1707" s="1"/>
      <c r="K1707" s="1"/>
      <c r="L1707" s="1"/>
      <c r="M1707" s="1"/>
      <c r="N1707" s="1"/>
      <c r="O1707" s="1"/>
      <c r="P1707" s="1"/>
      <c r="Q1707" s="1"/>
      <c r="R1707" s="1"/>
      <c r="S1707" s="1"/>
      <c r="T1707" s="1"/>
      <c r="U1707" s="1"/>
      <c r="V1707" s="1"/>
      <c r="W1707" s="1"/>
      <c r="X1707" s="1"/>
      <c r="Y1707" s="1"/>
      <c r="Z1707" s="1"/>
    </row>
    <row r="1708" ht="15.75" customHeight="1">
      <c r="A1708" s="2">
        <f>IFERROR(__xludf.DUMMYFUNCTION("""COMPUTED_VALUE"""),853500.0)</f>
        <v>853500</v>
      </c>
      <c r="B1708" s="2">
        <f>IFERROR(__xludf.DUMMYFUNCTION("""COMPUTED_VALUE"""),17070.0)</f>
        <v>17070</v>
      </c>
      <c r="C1708" s="66">
        <f>IFERROR(__xludf.DUMMYFUNCTION("""COMPUTED_VALUE"""),1.456071E10)</f>
        <v>14560710000</v>
      </c>
      <c r="D1708" s="1"/>
      <c r="E1708" s="1"/>
      <c r="F1708" s="1"/>
      <c r="G1708" s="1"/>
      <c r="H1708" s="1"/>
      <c r="I1708" s="1"/>
      <c r="J1708" s="1"/>
      <c r="K1708" s="1"/>
      <c r="L1708" s="1"/>
      <c r="M1708" s="1"/>
      <c r="N1708" s="1"/>
      <c r="O1708" s="1"/>
      <c r="P1708" s="1"/>
      <c r="Q1708" s="1"/>
      <c r="R1708" s="1"/>
      <c r="S1708" s="1"/>
      <c r="T1708" s="1"/>
      <c r="U1708" s="1"/>
      <c r="V1708" s="1"/>
      <c r="W1708" s="1"/>
      <c r="X1708" s="1"/>
      <c r="Y1708" s="1"/>
      <c r="Z1708" s="1"/>
    </row>
    <row r="1709" ht="15.75" customHeight="1">
      <c r="A1709" s="2">
        <f>IFERROR(__xludf.DUMMYFUNCTION("""COMPUTED_VALUE"""),854000.0)</f>
        <v>854000</v>
      </c>
      <c r="B1709" s="2">
        <f>IFERROR(__xludf.DUMMYFUNCTION("""COMPUTED_VALUE"""),17080.0)</f>
        <v>17080</v>
      </c>
      <c r="C1709" s="66">
        <f>IFERROR(__xludf.DUMMYFUNCTION("""COMPUTED_VALUE"""),1.457778E10)</f>
        <v>14577780000</v>
      </c>
      <c r="D1709" s="1"/>
      <c r="E1709" s="1"/>
      <c r="F1709" s="1"/>
      <c r="G1709" s="1"/>
      <c r="H1709" s="1"/>
      <c r="I1709" s="1"/>
      <c r="J1709" s="1"/>
      <c r="K1709" s="1"/>
      <c r="L1709" s="1"/>
      <c r="M1709" s="1"/>
      <c r="N1709" s="1"/>
      <c r="O1709" s="1"/>
      <c r="P1709" s="1"/>
      <c r="Q1709" s="1"/>
      <c r="R1709" s="1"/>
      <c r="S1709" s="1"/>
      <c r="T1709" s="1"/>
      <c r="U1709" s="1"/>
      <c r="V1709" s="1"/>
      <c r="W1709" s="1"/>
      <c r="X1709" s="1"/>
      <c r="Y1709" s="1"/>
      <c r="Z1709" s="1"/>
    </row>
    <row r="1710" ht="15.75" customHeight="1">
      <c r="A1710" s="2">
        <f>IFERROR(__xludf.DUMMYFUNCTION("""COMPUTED_VALUE"""),854500.0)</f>
        <v>854500</v>
      </c>
      <c r="B1710" s="2">
        <f>IFERROR(__xludf.DUMMYFUNCTION("""COMPUTED_VALUE"""),17090.0)</f>
        <v>17090</v>
      </c>
      <c r="C1710" s="66">
        <f>IFERROR(__xludf.DUMMYFUNCTION("""COMPUTED_VALUE"""),1.459486E10)</f>
        <v>14594860000</v>
      </c>
      <c r="D1710" s="1"/>
      <c r="E1710" s="1"/>
      <c r="F1710" s="1"/>
      <c r="G1710" s="1"/>
      <c r="H1710" s="1"/>
      <c r="I1710" s="1"/>
      <c r="J1710" s="1"/>
      <c r="K1710" s="1"/>
      <c r="L1710" s="1"/>
      <c r="M1710" s="1"/>
      <c r="N1710" s="1"/>
      <c r="O1710" s="1"/>
      <c r="P1710" s="1"/>
      <c r="Q1710" s="1"/>
      <c r="R1710" s="1"/>
      <c r="S1710" s="1"/>
      <c r="T1710" s="1"/>
      <c r="U1710" s="1"/>
      <c r="V1710" s="1"/>
      <c r="W1710" s="1"/>
      <c r="X1710" s="1"/>
      <c r="Y1710" s="1"/>
      <c r="Z1710" s="1"/>
    </row>
    <row r="1711" ht="15.75" customHeight="1">
      <c r="A1711" s="2">
        <f>IFERROR(__xludf.DUMMYFUNCTION("""COMPUTED_VALUE"""),855000.0)</f>
        <v>855000</v>
      </c>
      <c r="B1711" s="2">
        <f>IFERROR(__xludf.DUMMYFUNCTION("""COMPUTED_VALUE"""),17100.0)</f>
        <v>17100</v>
      </c>
      <c r="C1711" s="66">
        <f>IFERROR(__xludf.DUMMYFUNCTION("""COMPUTED_VALUE"""),1.461195E10)</f>
        <v>14611950000</v>
      </c>
      <c r="D1711" s="1"/>
      <c r="E1711" s="1"/>
      <c r="F1711" s="1"/>
      <c r="G1711" s="1"/>
      <c r="H1711" s="1"/>
      <c r="I1711" s="1"/>
      <c r="J1711" s="1"/>
      <c r="K1711" s="1"/>
      <c r="L1711" s="1"/>
      <c r="M1711" s="1"/>
      <c r="N1711" s="1"/>
      <c r="O1711" s="1"/>
      <c r="P1711" s="1"/>
      <c r="Q1711" s="1"/>
      <c r="R1711" s="1"/>
      <c r="S1711" s="1"/>
      <c r="T1711" s="1"/>
      <c r="U1711" s="1"/>
      <c r="V1711" s="1"/>
      <c r="W1711" s="1"/>
      <c r="X1711" s="1"/>
      <c r="Y1711" s="1"/>
      <c r="Z1711" s="1"/>
    </row>
    <row r="1712" ht="15.75" customHeight="1">
      <c r="A1712" s="2">
        <f>IFERROR(__xludf.DUMMYFUNCTION("""COMPUTED_VALUE"""),855500.0)</f>
        <v>855500</v>
      </c>
      <c r="B1712" s="2">
        <f>IFERROR(__xludf.DUMMYFUNCTION("""COMPUTED_VALUE"""),17110.0)</f>
        <v>17110</v>
      </c>
      <c r="C1712" s="66">
        <f>IFERROR(__xludf.DUMMYFUNCTION("""COMPUTED_VALUE"""),1.462905E10)</f>
        <v>14629050000</v>
      </c>
      <c r="D1712" s="1"/>
      <c r="E1712" s="1"/>
      <c r="F1712" s="1"/>
      <c r="G1712" s="1"/>
      <c r="H1712" s="1"/>
      <c r="I1712" s="1"/>
      <c r="J1712" s="1"/>
      <c r="K1712" s="1"/>
      <c r="L1712" s="1"/>
      <c r="M1712" s="1"/>
      <c r="N1712" s="1"/>
      <c r="O1712" s="1"/>
      <c r="P1712" s="1"/>
      <c r="Q1712" s="1"/>
      <c r="R1712" s="1"/>
      <c r="S1712" s="1"/>
      <c r="T1712" s="1"/>
      <c r="U1712" s="1"/>
      <c r="V1712" s="1"/>
      <c r="W1712" s="1"/>
      <c r="X1712" s="1"/>
      <c r="Y1712" s="1"/>
      <c r="Z1712" s="1"/>
    </row>
    <row r="1713" ht="15.75" customHeight="1">
      <c r="A1713" s="2">
        <f>IFERROR(__xludf.DUMMYFUNCTION("""COMPUTED_VALUE"""),856000.0)</f>
        <v>856000</v>
      </c>
      <c r="B1713" s="2">
        <f>IFERROR(__xludf.DUMMYFUNCTION("""COMPUTED_VALUE"""),17120.0)</f>
        <v>17120</v>
      </c>
      <c r="C1713" s="66">
        <f>IFERROR(__xludf.DUMMYFUNCTION("""COMPUTED_VALUE"""),1.464616E10)</f>
        <v>14646160000</v>
      </c>
      <c r="D1713" s="1"/>
      <c r="E1713" s="1"/>
      <c r="F1713" s="1"/>
      <c r="G1713" s="1"/>
      <c r="H1713" s="1"/>
      <c r="I1713" s="1"/>
      <c r="J1713" s="1"/>
      <c r="K1713" s="1"/>
      <c r="L1713" s="1"/>
      <c r="M1713" s="1"/>
      <c r="N1713" s="1"/>
      <c r="O1713" s="1"/>
      <c r="P1713" s="1"/>
      <c r="Q1713" s="1"/>
      <c r="R1713" s="1"/>
      <c r="S1713" s="1"/>
      <c r="T1713" s="1"/>
      <c r="U1713" s="1"/>
      <c r="V1713" s="1"/>
      <c r="W1713" s="1"/>
      <c r="X1713" s="1"/>
      <c r="Y1713" s="1"/>
      <c r="Z1713" s="1"/>
    </row>
    <row r="1714" ht="15.75" customHeight="1">
      <c r="A1714" s="2">
        <f>IFERROR(__xludf.DUMMYFUNCTION("""COMPUTED_VALUE"""),856500.0)</f>
        <v>856500</v>
      </c>
      <c r="B1714" s="2">
        <f>IFERROR(__xludf.DUMMYFUNCTION("""COMPUTED_VALUE"""),17130.0)</f>
        <v>17130</v>
      </c>
      <c r="C1714" s="66">
        <f>IFERROR(__xludf.DUMMYFUNCTION("""COMPUTED_VALUE"""),1.466328E10)</f>
        <v>14663280000</v>
      </c>
      <c r="D1714" s="1"/>
      <c r="E1714" s="1"/>
      <c r="F1714" s="1"/>
      <c r="G1714" s="1"/>
      <c r="H1714" s="1"/>
      <c r="I1714" s="1"/>
      <c r="J1714" s="1"/>
      <c r="K1714" s="1"/>
      <c r="L1714" s="1"/>
      <c r="M1714" s="1"/>
      <c r="N1714" s="1"/>
      <c r="O1714" s="1"/>
      <c r="P1714" s="1"/>
      <c r="Q1714" s="1"/>
      <c r="R1714" s="1"/>
      <c r="S1714" s="1"/>
      <c r="T1714" s="1"/>
      <c r="U1714" s="1"/>
      <c r="V1714" s="1"/>
      <c r="W1714" s="1"/>
      <c r="X1714" s="1"/>
      <c r="Y1714" s="1"/>
      <c r="Z1714" s="1"/>
    </row>
    <row r="1715" ht="15.75" customHeight="1">
      <c r="A1715" s="2">
        <f>IFERROR(__xludf.DUMMYFUNCTION("""COMPUTED_VALUE"""),857000.0)</f>
        <v>857000</v>
      </c>
      <c r="B1715" s="2">
        <f>IFERROR(__xludf.DUMMYFUNCTION("""COMPUTED_VALUE"""),17140.0)</f>
        <v>17140</v>
      </c>
      <c r="C1715" s="66">
        <f>IFERROR(__xludf.DUMMYFUNCTION("""COMPUTED_VALUE"""),1.468041E10)</f>
        <v>14680410000</v>
      </c>
      <c r="D1715" s="1"/>
      <c r="E1715" s="1"/>
      <c r="F1715" s="1"/>
      <c r="G1715" s="1"/>
      <c r="H1715" s="1"/>
      <c r="I1715" s="1"/>
      <c r="J1715" s="1"/>
      <c r="K1715" s="1"/>
      <c r="L1715" s="1"/>
      <c r="M1715" s="1"/>
      <c r="N1715" s="1"/>
      <c r="O1715" s="1"/>
      <c r="P1715" s="1"/>
      <c r="Q1715" s="1"/>
      <c r="R1715" s="1"/>
      <c r="S1715" s="1"/>
      <c r="T1715" s="1"/>
      <c r="U1715" s="1"/>
      <c r="V1715" s="1"/>
      <c r="W1715" s="1"/>
      <c r="X1715" s="1"/>
      <c r="Y1715" s="1"/>
      <c r="Z1715" s="1"/>
    </row>
    <row r="1716" ht="15.75" customHeight="1">
      <c r="A1716" s="2">
        <f>IFERROR(__xludf.DUMMYFUNCTION("""COMPUTED_VALUE"""),857500.0)</f>
        <v>857500</v>
      </c>
      <c r="B1716" s="2">
        <f>IFERROR(__xludf.DUMMYFUNCTION("""COMPUTED_VALUE"""),17150.0)</f>
        <v>17150</v>
      </c>
      <c r="C1716" s="66">
        <f>IFERROR(__xludf.DUMMYFUNCTION("""COMPUTED_VALUE"""),1.469755E10)</f>
        <v>14697550000</v>
      </c>
      <c r="D1716" s="1"/>
      <c r="E1716" s="1"/>
      <c r="F1716" s="1"/>
      <c r="G1716" s="1"/>
      <c r="H1716" s="1"/>
      <c r="I1716" s="1"/>
      <c r="J1716" s="1"/>
      <c r="K1716" s="1"/>
      <c r="L1716" s="1"/>
      <c r="M1716" s="1"/>
      <c r="N1716" s="1"/>
      <c r="O1716" s="1"/>
      <c r="P1716" s="1"/>
      <c r="Q1716" s="1"/>
      <c r="R1716" s="1"/>
      <c r="S1716" s="1"/>
      <c r="T1716" s="1"/>
      <c r="U1716" s="1"/>
      <c r="V1716" s="1"/>
      <c r="W1716" s="1"/>
      <c r="X1716" s="1"/>
      <c r="Y1716" s="1"/>
      <c r="Z1716" s="1"/>
    </row>
    <row r="1717" ht="15.75" customHeight="1">
      <c r="A1717" s="2">
        <f>IFERROR(__xludf.DUMMYFUNCTION("""COMPUTED_VALUE"""),858000.0)</f>
        <v>858000</v>
      </c>
      <c r="B1717" s="2">
        <f>IFERROR(__xludf.DUMMYFUNCTION("""COMPUTED_VALUE"""),17160.0)</f>
        <v>17160</v>
      </c>
      <c r="C1717" s="66">
        <f>IFERROR(__xludf.DUMMYFUNCTION("""COMPUTED_VALUE"""),1.47147E10)</f>
        <v>14714700000</v>
      </c>
      <c r="D1717" s="1"/>
      <c r="E1717" s="1"/>
      <c r="F1717" s="1"/>
      <c r="G1717" s="1"/>
      <c r="H1717" s="1"/>
      <c r="I1717" s="1"/>
      <c r="J1717" s="1"/>
      <c r="K1717" s="1"/>
      <c r="L1717" s="1"/>
      <c r="M1717" s="1"/>
      <c r="N1717" s="1"/>
      <c r="O1717" s="1"/>
      <c r="P1717" s="1"/>
      <c r="Q1717" s="1"/>
      <c r="R1717" s="1"/>
      <c r="S1717" s="1"/>
      <c r="T1717" s="1"/>
      <c r="U1717" s="1"/>
      <c r="V1717" s="1"/>
      <c r="W1717" s="1"/>
      <c r="X1717" s="1"/>
      <c r="Y1717" s="1"/>
      <c r="Z1717" s="1"/>
    </row>
    <row r="1718" ht="15.75" customHeight="1">
      <c r="A1718" s="2">
        <f>IFERROR(__xludf.DUMMYFUNCTION("""COMPUTED_VALUE"""),858500.0)</f>
        <v>858500</v>
      </c>
      <c r="B1718" s="2">
        <f>IFERROR(__xludf.DUMMYFUNCTION("""COMPUTED_VALUE"""),17170.0)</f>
        <v>17170</v>
      </c>
      <c r="C1718" s="66">
        <f>IFERROR(__xludf.DUMMYFUNCTION("""COMPUTED_VALUE"""),1.473186E10)</f>
        <v>14731860000</v>
      </c>
      <c r="D1718" s="1"/>
      <c r="E1718" s="1"/>
      <c r="F1718" s="1"/>
      <c r="G1718" s="1"/>
      <c r="H1718" s="1"/>
      <c r="I1718" s="1"/>
      <c r="J1718" s="1"/>
      <c r="K1718" s="1"/>
      <c r="L1718" s="1"/>
      <c r="M1718" s="1"/>
      <c r="N1718" s="1"/>
      <c r="O1718" s="1"/>
      <c r="P1718" s="1"/>
      <c r="Q1718" s="1"/>
      <c r="R1718" s="1"/>
      <c r="S1718" s="1"/>
      <c r="T1718" s="1"/>
      <c r="U1718" s="1"/>
      <c r="V1718" s="1"/>
      <c r="W1718" s="1"/>
      <c r="X1718" s="1"/>
      <c r="Y1718" s="1"/>
      <c r="Z1718" s="1"/>
    </row>
    <row r="1719" ht="15.75" customHeight="1">
      <c r="A1719" s="2">
        <f>IFERROR(__xludf.DUMMYFUNCTION("""COMPUTED_VALUE"""),859000.0)</f>
        <v>859000</v>
      </c>
      <c r="B1719" s="2">
        <f>IFERROR(__xludf.DUMMYFUNCTION("""COMPUTED_VALUE"""),17180.0)</f>
        <v>17180</v>
      </c>
      <c r="C1719" s="66">
        <f>IFERROR(__xludf.DUMMYFUNCTION("""COMPUTED_VALUE"""),1.474903E10)</f>
        <v>14749030000</v>
      </c>
      <c r="D1719" s="1"/>
      <c r="E1719" s="1"/>
      <c r="F1719" s="1"/>
      <c r="G1719" s="1"/>
      <c r="H1719" s="1"/>
      <c r="I1719" s="1"/>
      <c r="J1719" s="1"/>
      <c r="K1719" s="1"/>
      <c r="L1719" s="1"/>
      <c r="M1719" s="1"/>
      <c r="N1719" s="1"/>
      <c r="O1719" s="1"/>
      <c r="P1719" s="1"/>
      <c r="Q1719" s="1"/>
      <c r="R1719" s="1"/>
      <c r="S1719" s="1"/>
      <c r="T1719" s="1"/>
      <c r="U1719" s="1"/>
      <c r="V1719" s="1"/>
      <c r="W1719" s="1"/>
      <c r="X1719" s="1"/>
      <c r="Y1719" s="1"/>
      <c r="Z1719" s="1"/>
    </row>
    <row r="1720" ht="15.75" customHeight="1">
      <c r="A1720" s="2">
        <f>IFERROR(__xludf.DUMMYFUNCTION("""COMPUTED_VALUE"""),859500.0)</f>
        <v>859500</v>
      </c>
      <c r="B1720" s="2">
        <f>IFERROR(__xludf.DUMMYFUNCTION("""COMPUTED_VALUE"""),17190.0)</f>
        <v>17190</v>
      </c>
      <c r="C1720" s="66">
        <f>IFERROR(__xludf.DUMMYFUNCTION("""COMPUTED_VALUE"""),1.476621E10)</f>
        <v>14766210000</v>
      </c>
      <c r="D1720" s="1"/>
      <c r="E1720" s="1"/>
      <c r="F1720" s="1"/>
      <c r="G1720" s="1"/>
      <c r="H1720" s="1"/>
      <c r="I1720" s="1"/>
      <c r="J1720" s="1"/>
      <c r="K1720" s="1"/>
      <c r="L1720" s="1"/>
      <c r="M1720" s="1"/>
      <c r="N1720" s="1"/>
      <c r="O1720" s="1"/>
      <c r="P1720" s="1"/>
      <c r="Q1720" s="1"/>
      <c r="R1720" s="1"/>
      <c r="S1720" s="1"/>
      <c r="T1720" s="1"/>
      <c r="U1720" s="1"/>
      <c r="V1720" s="1"/>
      <c r="W1720" s="1"/>
      <c r="X1720" s="1"/>
      <c r="Y1720" s="1"/>
      <c r="Z1720" s="1"/>
    </row>
    <row r="1721" ht="15.75" customHeight="1">
      <c r="A1721" s="2">
        <f>IFERROR(__xludf.DUMMYFUNCTION("""COMPUTED_VALUE"""),860000.0)</f>
        <v>860000</v>
      </c>
      <c r="B1721" s="2">
        <f>IFERROR(__xludf.DUMMYFUNCTION("""COMPUTED_VALUE"""),17200.0)</f>
        <v>17200</v>
      </c>
      <c r="C1721" s="66">
        <f>IFERROR(__xludf.DUMMYFUNCTION("""COMPUTED_VALUE"""),1.47834E10)</f>
        <v>14783400000</v>
      </c>
      <c r="D1721" s="1"/>
      <c r="E1721" s="1"/>
      <c r="F1721" s="1"/>
      <c r="G1721" s="1"/>
      <c r="H1721" s="1"/>
      <c r="I1721" s="1"/>
      <c r="J1721" s="1"/>
      <c r="K1721" s="1"/>
      <c r="L1721" s="1"/>
      <c r="M1721" s="1"/>
      <c r="N1721" s="1"/>
      <c r="O1721" s="1"/>
      <c r="P1721" s="1"/>
      <c r="Q1721" s="1"/>
      <c r="R1721" s="1"/>
      <c r="S1721" s="1"/>
      <c r="T1721" s="1"/>
      <c r="U1721" s="1"/>
      <c r="V1721" s="1"/>
      <c r="W1721" s="1"/>
      <c r="X1721" s="1"/>
      <c r="Y1721" s="1"/>
      <c r="Z1721" s="1"/>
    </row>
    <row r="1722" ht="15.75" customHeight="1">
      <c r="A1722" s="2">
        <f>IFERROR(__xludf.DUMMYFUNCTION("""COMPUTED_VALUE"""),860500.0)</f>
        <v>860500</v>
      </c>
      <c r="B1722" s="2">
        <f>IFERROR(__xludf.DUMMYFUNCTION("""COMPUTED_VALUE"""),17210.0)</f>
        <v>17210</v>
      </c>
      <c r="C1722" s="66">
        <f>IFERROR(__xludf.DUMMYFUNCTION("""COMPUTED_VALUE"""),1.48006E10)</f>
        <v>14800600000</v>
      </c>
      <c r="D1722" s="1"/>
      <c r="E1722" s="1"/>
      <c r="F1722" s="1"/>
      <c r="G1722" s="1"/>
      <c r="H1722" s="1"/>
      <c r="I1722" s="1"/>
      <c r="J1722" s="1"/>
      <c r="K1722" s="1"/>
      <c r="L1722" s="1"/>
      <c r="M1722" s="1"/>
      <c r="N1722" s="1"/>
      <c r="O1722" s="1"/>
      <c r="P1722" s="1"/>
      <c r="Q1722" s="1"/>
      <c r="R1722" s="1"/>
      <c r="S1722" s="1"/>
      <c r="T1722" s="1"/>
      <c r="U1722" s="1"/>
      <c r="V1722" s="1"/>
      <c r="W1722" s="1"/>
      <c r="X1722" s="1"/>
      <c r="Y1722" s="1"/>
      <c r="Z1722" s="1"/>
    </row>
    <row r="1723" ht="15.75" customHeight="1">
      <c r="A1723" s="2">
        <f>IFERROR(__xludf.DUMMYFUNCTION("""COMPUTED_VALUE"""),861000.0)</f>
        <v>861000</v>
      </c>
      <c r="B1723" s="2">
        <f>IFERROR(__xludf.DUMMYFUNCTION("""COMPUTED_VALUE"""),17220.0)</f>
        <v>17220</v>
      </c>
      <c r="C1723" s="66">
        <f>IFERROR(__xludf.DUMMYFUNCTION("""COMPUTED_VALUE"""),1.481781E10)</f>
        <v>14817810000</v>
      </c>
      <c r="D1723" s="1"/>
      <c r="E1723" s="1"/>
      <c r="F1723" s="1"/>
      <c r="G1723" s="1"/>
      <c r="H1723" s="1"/>
      <c r="I1723" s="1"/>
      <c r="J1723" s="1"/>
      <c r="K1723" s="1"/>
      <c r="L1723" s="1"/>
      <c r="M1723" s="1"/>
      <c r="N1723" s="1"/>
      <c r="O1723" s="1"/>
      <c r="P1723" s="1"/>
      <c r="Q1723" s="1"/>
      <c r="R1723" s="1"/>
      <c r="S1723" s="1"/>
      <c r="T1723" s="1"/>
      <c r="U1723" s="1"/>
      <c r="V1723" s="1"/>
      <c r="W1723" s="1"/>
      <c r="X1723" s="1"/>
      <c r="Y1723" s="1"/>
      <c r="Z1723" s="1"/>
    </row>
    <row r="1724" ht="15.75" customHeight="1">
      <c r="A1724" s="2">
        <f>IFERROR(__xludf.DUMMYFUNCTION("""COMPUTED_VALUE"""),861500.0)</f>
        <v>861500</v>
      </c>
      <c r="B1724" s="2">
        <f>IFERROR(__xludf.DUMMYFUNCTION("""COMPUTED_VALUE"""),17230.0)</f>
        <v>17230</v>
      </c>
      <c r="C1724" s="66">
        <f>IFERROR(__xludf.DUMMYFUNCTION("""COMPUTED_VALUE"""),1.483503E10)</f>
        <v>14835030000</v>
      </c>
      <c r="D1724" s="1"/>
      <c r="E1724" s="1"/>
      <c r="F1724" s="1"/>
      <c r="G1724" s="1"/>
      <c r="H1724" s="1"/>
      <c r="I1724" s="1"/>
      <c r="J1724" s="1"/>
      <c r="K1724" s="1"/>
      <c r="L1724" s="1"/>
      <c r="M1724" s="1"/>
      <c r="N1724" s="1"/>
      <c r="O1724" s="1"/>
      <c r="P1724" s="1"/>
      <c r="Q1724" s="1"/>
      <c r="R1724" s="1"/>
      <c r="S1724" s="1"/>
      <c r="T1724" s="1"/>
      <c r="U1724" s="1"/>
      <c r="V1724" s="1"/>
      <c r="W1724" s="1"/>
      <c r="X1724" s="1"/>
      <c r="Y1724" s="1"/>
      <c r="Z1724" s="1"/>
    </row>
    <row r="1725" ht="15.75" customHeight="1">
      <c r="A1725" s="2">
        <f>IFERROR(__xludf.DUMMYFUNCTION("""COMPUTED_VALUE"""),862000.0)</f>
        <v>862000</v>
      </c>
      <c r="B1725" s="2">
        <f>IFERROR(__xludf.DUMMYFUNCTION("""COMPUTED_VALUE"""),17240.0)</f>
        <v>17240</v>
      </c>
      <c r="C1725" s="66">
        <f>IFERROR(__xludf.DUMMYFUNCTION("""COMPUTED_VALUE"""),1.485226E10)</f>
        <v>14852260000</v>
      </c>
      <c r="D1725" s="1"/>
      <c r="E1725" s="1"/>
      <c r="F1725" s="1"/>
      <c r="G1725" s="1"/>
      <c r="H1725" s="1"/>
      <c r="I1725" s="1"/>
      <c r="J1725" s="1"/>
      <c r="K1725" s="1"/>
      <c r="L1725" s="1"/>
      <c r="M1725" s="1"/>
      <c r="N1725" s="1"/>
      <c r="O1725" s="1"/>
      <c r="P1725" s="1"/>
      <c r="Q1725" s="1"/>
      <c r="R1725" s="1"/>
      <c r="S1725" s="1"/>
      <c r="T1725" s="1"/>
      <c r="U1725" s="1"/>
      <c r="V1725" s="1"/>
      <c r="W1725" s="1"/>
      <c r="X1725" s="1"/>
      <c r="Y1725" s="1"/>
      <c r="Z1725" s="1"/>
    </row>
    <row r="1726" ht="15.75" customHeight="1">
      <c r="A1726" s="2">
        <f>IFERROR(__xludf.DUMMYFUNCTION("""COMPUTED_VALUE"""),862500.0)</f>
        <v>862500</v>
      </c>
      <c r="B1726" s="2">
        <f>IFERROR(__xludf.DUMMYFUNCTION("""COMPUTED_VALUE"""),17250.0)</f>
        <v>17250</v>
      </c>
      <c r="C1726" s="66">
        <f>IFERROR(__xludf.DUMMYFUNCTION("""COMPUTED_VALUE"""),1.48695E10)</f>
        <v>14869500000</v>
      </c>
      <c r="D1726" s="1"/>
      <c r="E1726" s="1"/>
      <c r="F1726" s="1"/>
      <c r="G1726" s="1"/>
      <c r="H1726" s="1"/>
      <c r="I1726" s="1"/>
      <c r="J1726" s="1"/>
      <c r="K1726" s="1"/>
      <c r="L1726" s="1"/>
      <c r="M1726" s="1"/>
      <c r="N1726" s="1"/>
      <c r="O1726" s="1"/>
      <c r="P1726" s="1"/>
      <c r="Q1726" s="1"/>
      <c r="R1726" s="1"/>
      <c r="S1726" s="1"/>
      <c r="T1726" s="1"/>
      <c r="U1726" s="1"/>
      <c r="V1726" s="1"/>
      <c r="W1726" s="1"/>
      <c r="X1726" s="1"/>
      <c r="Y1726" s="1"/>
      <c r="Z1726" s="1"/>
    </row>
    <row r="1727" ht="15.75" customHeight="1">
      <c r="A1727" s="2">
        <f>IFERROR(__xludf.DUMMYFUNCTION("""COMPUTED_VALUE"""),863000.0)</f>
        <v>863000</v>
      </c>
      <c r="B1727" s="2">
        <f>IFERROR(__xludf.DUMMYFUNCTION("""COMPUTED_VALUE"""),17260.0)</f>
        <v>17260</v>
      </c>
      <c r="C1727" s="66">
        <f>IFERROR(__xludf.DUMMYFUNCTION("""COMPUTED_VALUE"""),1.488675E10)</f>
        <v>14886750000</v>
      </c>
      <c r="D1727" s="1"/>
      <c r="E1727" s="1"/>
      <c r="F1727" s="1"/>
      <c r="G1727" s="1"/>
      <c r="H1727" s="1"/>
      <c r="I1727" s="1"/>
      <c r="J1727" s="1"/>
      <c r="K1727" s="1"/>
      <c r="L1727" s="1"/>
      <c r="M1727" s="1"/>
      <c r="N1727" s="1"/>
      <c r="O1727" s="1"/>
      <c r="P1727" s="1"/>
      <c r="Q1727" s="1"/>
      <c r="R1727" s="1"/>
      <c r="S1727" s="1"/>
      <c r="T1727" s="1"/>
      <c r="U1727" s="1"/>
      <c r="V1727" s="1"/>
      <c r="W1727" s="1"/>
      <c r="X1727" s="1"/>
      <c r="Y1727" s="1"/>
      <c r="Z1727" s="1"/>
    </row>
    <row r="1728" ht="15.75" customHeight="1">
      <c r="A1728" s="2">
        <f>IFERROR(__xludf.DUMMYFUNCTION("""COMPUTED_VALUE"""),863500.0)</f>
        <v>863500</v>
      </c>
      <c r="B1728" s="2">
        <f>IFERROR(__xludf.DUMMYFUNCTION("""COMPUTED_VALUE"""),17270.0)</f>
        <v>17270</v>
      </c>
      <c r="C1728" s="66">
        <f>IFERROR(__xludf.DUMMYFUNCTION("""COMPUTED_VALUE"""),1.490401E10)</f>
        <v>14904010000</v>
      </c>
      <c r="D1728" s="1"/>
      <c r="E1728" s="1"/>
      <c r="F1728" s="1"/>
      <c r="G1728" s="1"/>
      <c r="H1728" s="1"/>
      <c r="I1728" s="1"/>
      <c r="J1728" s="1"/>
      <c r="K1728" s="1"/>
      <c r="L1728" s="1"/>
      <c r="M1728" s="1"/>
      <c r="N1728" s="1"/>
      <c r="O1728" s="1"/>
      <c r="P1728" s="1"/>
      <c r="Q1728" s="1"/>
      <c r="R1728" s="1"/>
      <c r="S1728" s="1"/>
      <c r="T1728" s="1"/>
      <c r="U1728" s="1"/>
      <c r="V1728" s="1"/>
      <c r="W1728" s="1"/>
      <c r="X1728" s="1"/>
      <c r="Y1728" s="1"/>
      <c r="Z1728" s="1"/>
    </row>
    <row r="1729" ht="15.75" customHeight="1">
      <c r="A1729" s="2">
        <f>IFERROR(__xludf.DUMMYFUNCTION("""COMPUTED_VALUE"""),864000.0)</f>
        <v>864000</v>
      </c>
      <c r="B1729" s="2">
        <f>IFERROR(__xludf.DUMMYFUNCTION("""COMPUTED_VALUE"""),17280.0)</f>
        <v>17280</v>
      </c>
      <c r="C1729" s="66">
        <f>IFERROR(__xludf.DUMMYFUNCTION("""COMPUTED_VALUE"""),1.492128E10)</f>
        <v>14921280000</v>
      </c>
      <c r="D1729" s="1"/>
      <c r="E1729" s="1"/>
      <c r="F1729" s="1"/>
      <c r="G1729" s="1"/>
      <c r="H1729" s="1"/>
      <c r="I1729" s="1"/>
      <c r="J1729" s="1"/>
      <c r="K1729" s="1"/>
      <c r="L1729" s="1"/>
      <c r="M1729" s="1"/>
      <c r="N1729" s="1"/>
      <c r="O1729" s="1"/>
      <c r="P1729" s="1"/>
      <c r="Q1729" s="1"/>
      <c r="R1729" s="1"/>
      <c r="S1729" s="1"/>
      <c r="T1729" s="1"/>
      <c r="U1729" s="1"/>
      <c r="V1729" s="1"/>
      <c r="W1729" s="1"/>
      <c r="X1729" s="1"/>
      <c r="Y1729" s="1"/>
      <c r="Z1729" s="1"/>
    </row>
    <row r="1730" ht="15.75" customHeight="1">
      <c r="A1730" s="2">
        <f>IFERROR(__xludf.DUMMYFUNCTION("""COMPUTED_VALUE"""),864500.0)</f>
        <v>864500</v>
      </c>
      <c r="B1730" s="2">
        <f>IFERROR(__xludf.DUMMYFUNCTION("""COMPUTED_VALUE"""),17290.0)</f>
        <v>17290</v>
      </c>
      <c r="C1730" s="66">
        <f>IFERROR(__xludf.DUMMYFUNCTION("""COMPUTED_VALUE"""),1.493856E10)</f>
        <v>14938560000</v>
      </c>
      <c r="D1730" s="1"/>
      <c r="E1730" s="1"/>
      <c r="F1730" s="1"/>
      <c r="G1730" s="1"/>
      <c r="H1730" s="1"/>
      <c r="I1730" s="1"/>
      <c r="J1730" s="1"/>
      <c r="K1730" s="1"/>
      <c r="L1730" s="1"/>
      <c r="M1730" s="1"/>
      <c r="N1730" s="1"/>
      <c r="O1730" s="1"/>
      <c r="P1730" s="1"/>
      <c r="Q1730" s="1"/>
      <c r="R1730" s="1"/>
      <c r="S1730" s="1"/>
      <c r="T1730" s="1"/>
      <c r="U1730" s="1"/>
      <c r="V1730" s="1"/>
      <c r="W1730" s="1"/>
      <c r="X1730" s="1"/>
      <c r="Y1730" s="1"/>
      <c r="Z1730" s="1"/>
    </row>
    <row r="1731" ht="15.75" customHeight="1">
      <c r="A1731" s="2">
        <f>IFERROR(__xludf.DUMMYFUNCTION("""COMPUTED_VALUE"""),865000.0)</f>
        <v>865000</v>
      </c>
      <c r="B1731" s="2">
        <f>IFERROR(__xludf.DUMMYFUNCTION("""COMPUTED_VALUE"""),17300.0)</f>
        <v>17300</v>
      </c>
      <c r="C1731" s="66">
        <f>IFERROR(__xludf.DUMMYFUNCTION("""COMPUTED_VALUE"""),1.495585E10)</f>
        <v>14955850000</v>
      </c>
      <c r="D1731" s="1"/>
      <c r="E1731" s="1"/>
      <c r="F1731" s="1"/>
      <c r="G1731" s="1"/>
      <c r="H1731" s="1"/>
      <c r="I1731" s="1"/>
      <c r="J1731" s="1"/>
      <c r="K1731" s="1"/>
      <c r="L1731" s="1"/>
      <c r="M1731" s="1"/>
      <c r="N1731" s="1"/>
      <c r="O1731" s="1"/>
      <c r="P1731" s="1"/>
      <c r="Q1731" s="1"/>
      <c r="R1731" s="1"/>
      <c r="S1731" s="1"/>
      <c r="T1731" s="1"/>
      <c r="U1731" s="1"/>
      <c r="V1731" s="1"/>
      <c r="W1731" s="1"/>
      <c r="X1731" s="1"/>
      <c r="Y1731" s="1"/>
      <c r="Z1731" s="1"/>
    </row>
    <row r="1732" ht="15.75" customHeight="1">
      <c r="A1732" s="2">
        <f>IFERROR(__xludf.DUMMYFUNCTION("""COMPUTED_VALUE"""),865500.0)</f>
        <v>865500</v>
      </c>
      <c r="B1732" s="2">
        <f>IFERROR(__xludf.DUMMYFUNCTION("""COMPUTED_VALUE"""),17310.0)</f>
        <v>17310</v>
      </c>
      <c r="C1732" s="66">
        <f>IFERROR(__xludf.DUMMYFUNCTION("""COMPUTED_VALUE"""),1.497315E10)</f>
        <v>14973150000</v>
      </c>
      <c r="D1732" s="1"/>
      <c r="E1732" s="1"/>
      <c r="F1732" s="1"/>
      <c r="G1732" s="1"/>
      <c r="H1732" s="1"/>
      <c r="I1732" s="1"/>
      <c r="J1732" s="1"/>
      <c r="K1732" s="1"/>
      <c r="L1732" s="1"/>
      <c r="M1732" s="1"/>
      <c r="N1732" s="1"/>
      <c r="O1732" s="1"/>
      <c r="P1732" s="1"/>
      <c r="Q1732" s="1"/>
      <c r="R1732" s="1"/>
      <c r="S1732" s="1"/>
      <c r="T1732" s="1"/>
      <c r="U1732" s="1"/>
      <c r="V1732" s="1"/>
      <c r="W1732" s="1"/>
      <c r="X1732" s="1"/>
      <c r="Y1732" s="1"/>
      <c r="Z1732" s="1"/>
    </row>
    <row r="1733" ht="15.75" customHeight="1">
      <c r="A1733" s="2">
        <f>IFERROR(__xludf.DUMMYFUNCTION("""COMPUTED_VALUE"""),866000.0)</f>
        <v>866000</v>
      </c>
      <c r="B1733" s="2">
        <f>IFERROR(__xludf.DUMMYFUNCTION("""COMPUTED_VALUE"""),17320.0)</f>
        <v>17320</v>
      </c>
      <c r="C1733" s="66">
        <f>IFERROR(__xludf.DUMMYFUNCTION("""COMPUTED_VALUE"""),1.499046E10)</f>
        <v>14990460000</v>
      </c>
      <c r="D1733" s="1"/>
      <c r="E1733" s="1"/>
      <c r="F1733" s="1"/>
      <c r="G1733" s="1"/>
      <c r="H1733" s="1"/>
      <c r="I1733" s="1"/>
      <c r="J1733" s="1"/>
      <c r="K1733" s="1"/>
      <c r="L1733" s="1"/>
      <c r="M1733" s="1"/>
      <c r="N1733" s="1"/>
      <c r="O1733" s="1"/>
      <c r="P1733" s="1"/>
      <c r="Q1733" s="1"/>
      <c r="R1733" s="1"/>
      <c r="S1733" s="1"/>
      <c r="T1733" s="1"/>
      <c r="U1733" s="1"/>
      <c r="V1733" s="1"/>
      <c r="W1733" s="1"/>
      <c r="X1733" s="1"/>
      <c r="Y1733" s="1"/>
      <c r="Z1733" s="1"/>
    </row>
    <row r="1734" ht="15.75" customHeight="1">
      <c r="A1734" s="2">
        <f>IFERROR(__xludf.DUMMYFUNCTION("""COMPUTED_VALUE"""),866500.0)</f>
        <v>866500</v>
      </c>
      <c r="B1734" s="2">
        <f>IFERROR(__xludf.DUMMYFUNCTION("""COMPUTED_VALUE"""),17330.0)</f>
        <v>17330</v>
      </c>
      <c r="C1734" s="66">
        <f>IFERROR(__xludf.DUMMYFUNCTION("""COMPUTED_VALUE"""),1.500778E10)</f>
        <v>15007780000</v>
      </c>
      <c r="D1734" s="1"/>
      <c r="E1734" s="1"/>
      <c r="F1734" s="1"/>
      <c r="G1734" s="1"/>
      <c r="H1734" s="1"/>
      <c r="I1734" s="1"/>
      <c r="J1734" s="1"/>
      <c r="K1734" s="1"/>
      <c r="L1734" s="1"/>
      <c r="M1734" s="1"/>
      <c r="N1734" s="1"/>
      <c r="O1734" s="1"/>
      <c r="P1734" s="1"/>
      <c r="Q1734" s="1"/>
      <c r="R1734" s="1"/>
      <c r="S1734" s="1"/>
      <c r="T1734" s="1"/>
      <c r="U1734" s="1"/>
      <c r="V1734" s="1"/>
      <c r="W1734" s="1"/>
      <c r="X1734" s="1"/>
      <c r="Y1734" s="1"/>
      <c r="Z1734" s="1"/>
    </row>
    <row r="1735" ht="15.75" customHeight="1">
      <c r="A1735" s="2">
        <f>IFERROR(__xludf.DUMMYFUNCTION("""COMPUTED_VALUE"""),867000.0)</f>
        <v>867000</v>
      </c>
      <c r="B1735" s="2">
        <f>IFERROR(__xludf.DUMMYFUNCTION("""COMPUTED_VALUE"""),17340.0)</f>
        <v>17340</v>
      </c>
      <c r="C1735" s="66">
        <f>IFERROR(__xludf.DUMMYFUNCTION("""COMPUTED_VALUE"""),1.502511E10)</f>
        <v>15025110000</v>
      </c>
      <c r="D1735" s="1"/>
      <c r="E1735" s="1"/>
      <c r="F1735" s="1"/>
      <c r="G1735" s="1"/>
      <c r="H1735" s="1"/>
      <c r="I1735" s="1"/>
      <c r="J1735" s="1"/>
      <c r="K1735" s="1"/>
      <c r="L1735" s="1"/>
      <c r="M1735" s="1"/>
      <c r="N1735" s="1"/>
      <c r="O1735" s="1"/>
      <c r="P1735" s="1"/>
      <c r="Q1735" s="1"/>
      <c r="R1735" s="1"/>
      <c r="S1735" s="1"/>
      <c r="T1735" s="1"/>
      <c r="U1735" s="1"/>
      <c r="V1735" s="1"/>
      <c r="W1735" s="1"/>
      <c r="X1735" s="1"/>
      <c r="Y1735" s="1"/>
      <c r="Z1735" s="1"/>
    </row>
    <row r="1736" ht="15.75" customHeight="1">
      <c r="A1736" s="2">
        <f>IFERROR(__xludf.DUMMYFUNCTION("""COMPUTED_VALUE"""),867500.0)</f>
        <v>867500</v>
      </c>
      <c r="B1736" s="2">
        <f>IFERROR(__xludf.DUMMYFUNCTION("""COMPUTED_VALUE"""),17350.0)</f>
        <v>17350</v>
      </c>
      <c r="C1736" s="66">
        <f>IFERROR(__xludf.DUMMYFUNCTION("""COMPUTED_VALUE"""),1.504245E10)</f>
        <v>15042450000</v>
      </c>
      <c r="D1736" s="1"/>
      <c r="E1736" s="1"/>
      <c r="F1736" s="1"/>
      <c r="G1736" s="1"/>
      <c r="H1736" s="1"/>
      <c r="I1736" s="1"/>
      <c r="J1736" s="1"/>
      <c r="K1736" s="1"/>
      <c r="L1736" s="1"/>
      <c r="M1736" s="1"/>
      <c r="N1736" s="1"/>
      <c r="O1736" s="1"/>
      <c r="P1736" s="1"/>
      <c r="Q1736" s="1"/>
      <c r="R1736" s="1"/>
      <c r="S1736" s="1"/>
      <c r="T1736" s="1"/>
      <c r="U1736" s="1"/>
      <c r="V1736" s="1"/>
      <c r="W1736" s="1"/>
      <c r="X1736" s="1"/>
      <c r="Y1736" s="1"/>
      <c r="Z1736" s="1"/>
    </row>
    <row r="1737" ht="15.75" customHeight="1">
      <c r="A1737" s="2">
        <f>IFERROR(__xludf.DUMMYFUNCTION("""COMPUTED_VALUE"""),868000.0)</f>
        <v>868000</v>
      </c>
      <c r="B1737" s="2">
        <f>IFERROR(__xludf.DUMMYFUNCTION("""COMPUTED_VALUE"""),17360.0)</f>
        <v>17360</v>
      </c>
      <c r="C1737" s="66">
        <f>IFERROR(__xludf.DUMMYFUNCTION("""COMPUTED_VALUE"""),1.50598E10)</f>
        <v>15059800000</v>
      </c>
      <c r="D1737" s="1"/>
      <c r="E1737" s="1"/>
      <c r="F1737" s="1"/>
      <c r="G1737" s="1"/>
      <c r="H1737" s="1"/>
      <c r="I1737" s="1"/>
      <c r="J1737" s="1"/>
      <c r="K1737" s="1"/>
      <c r="L1737" s="1"/>
      <c r="M1737" s="1"/>
      <c r="N1737" s="1"/>
      <c r="O1737" s="1"/>
      <c r="P1737" s="1"/>
      <c r="Q1737" s="1"/>
      <c r="R1737" s="1"/>
      <c r="S1737" s="1"/>
      <c r="T1737" s="1"/>
      <c r="U1737" s="1"/>
      <c r="V1737" s="1"/>
      <c r="W1737" s="1"/>
      <c r="X1737" s="1"/>
      <c r="Y1737" s="1"/>
      <c r="Z1737" s="1"/>
    </row>
    <row r="1738" ht="15.75" customHeight="1">
      <c r="A1738" s="2">
        <f>IFERROR(__xludf.DUMMYFUNCTION("""COMPUTED_VALUE"""),868500.0)</f>
        <v>868500</v>
      </c>
      <c r="B1738" s="2">
        <f>IFERROR(__xludf.DUMMYFUNCTION("""COMPUTED_VALUE"""),17370.0)</f>
        <v>17370</v>
      </c>
      <c r="C1738" s="66">
        <f>IFERROR(__xludf.DUMMYFUNCTION("""COMPUTED_VALUE"""),1.507716E10)</f>
        <v>15077160000</v>
      </c>
      <c r="D1738" s="1"/>
      <c r="E1738" s="1"/>
      <c r="F1738" s="1"/>
      <c r="G1738" s="1"/>
      <c r="H1738" s="1"/>
      <c r="I1738" s="1"/>
      <c r="J1738" s="1"/>
      <c r="K1738" s="1"/>
      <c r="L1738" s="1"/>
      <c r="M1738" s="1"/>
      <c r="N1738" s="1"/>
      <c r="O1738" s="1"/>
      <c r="P1738" s="1"/>
      <c r="Q1738" s="1"/>
      <c r="R1738" s="1"/>
      <c r="S1738" s="1"/>
      <c r="T1738" s="1"/>
      <c r="U1738" s="1"/>
      <c r="V1738" s="1"/>
      <c r="W1738" s="1"/>
      <c r="X1738" s="1"/>
      <c r="Y1738" s="1"/>
      <c r="Z1738" s="1"/>
    </row>
    <row r="1739" ht="15.75" customHeight="1">
      <c r="A1739" s="2">
        <f>IFERROR(__xludf.DUMMYFUNCTION("""COMPUTED_VALUE"""),869000.0)</f>
        <v>869000</v>
      </c>
      <c r="B1739" s="2">
        <f>IFERROR(__xludf.DUMMYFUNCTION("""COMPUTED_VALUE"""),17380.0)</f>
        <v>17380</v>
      </c>
      <c r="C1739" s="66">
        <f>IFERROR(__xludf.DUMMYFUNCTION("""COMPUTED_VALUE"""),1.509453E10)</f>
        <v>15094530000</v>
      </c>
      <c r="D1739" s="1"/>
      <c r="E1739" s="1"/>
      <c r="F1739" s="1"/>
      <c r="G1739" s="1"/>
      <c r="H1739" s="1"/>
      <c r="I1739" s="1"/>
      <c r="J1739" s="1"/>
      <c r="K1739" s="1"/>
      <c r="L1739" s="1"/>
      <c r="M1739" s="1"/>
      <c r="N1739" s="1"/>
      <c r="O1739" s="1"/>
      <c r="P1739" s="1"/>
      <c r="Q1739" s="1"/>
      <c r="R1739" s="1"/>
      <c r="S1739" s="1"/>
      <c r="T1739" s="1"/>
      <c r="U1739" s="1"/>
      <c r="V1739" s="1"/>
      <c r="W1739" s="1"/>
      <c r="X1739" s="1"/>
      <c r="Y1739" s="1"/>
      <c r="Z1739" s="1"/>
    </row>
    <row r="1740" ht="15.75" customHeight="1">
      <c r="A1740" s="2">
        <f>IFERROR(__xludf.DUMMYFUNCTION("""COMPUTED_VALUE"""),869500.0)</f>
        <v>869500</v>
      </c>
      <c r="B1740" s="2">
        <f>IFERROR(__xludf.DUMMYFUNCTION("""COMPUTED_VALUE"""),17390.0)</f>
        <v>17390</v>
      </c>
      <c r="C1740" s="66">
        <f>IFERROR(__xludf.DUMMYFUNCTION("""COMPUTED_VALUE"""),1.511191E10)</f>
        <v>15111910000</v>
      </c>
      <c r="D1740" s="1"/>
      <c r="E1740" s="1"/>
      <c r="F1740" s="1"/>
      <c r="G1740" s="1"/>
      <c r="H1740" s="1"/>
      <c r="I1740" s="1"/>
      <c r="J1740" s="1"/>
      <c r="K1740" s="1"/>
      <c r="L1740" s="1"/>
      <c r="M1740" s="1"/>
      <c r="N1740" s="1"/>
      <c r="O1740" s="1"/>
      <c r="P1740" s="1"/>
      <c r="Q1740" s="1"/>
      <c r="R1740" s="1"/>
      <c r="S1740" s="1"/>
      <c r="T1740" s="1"/>
      <c r="U1740" s="1"/>
      <c r="V1740" s="1"/>
      <c r="W1740" s="1"/>
      <c r="X1740" s="1"/>
      <c r="Y1740" s="1"/>
      <c r="Z1740" s="1"/>
    </row>
    <row r="1741" ht="15.75" customHeight="1">
      <c r="A1741" s="2">
        <f>IFERROR(__xludf.DUMMYFUNCTION("""COMPUTED_VALUE"""),870000.0)</f>
        <v>870000</v>
      </c>
      <c r="B1741" s="2">
        <f>IFERROR(__xludf.DUMMYFUNCTION("""COMPUTED_VALUE"""),17400.0)</f>
        <v>17400</v>
      </c>
      <c r="C1741" s="66">
        <f>IFERROR(__xludf.DUMMYFUNCTION("""COMPUTED_VALUE"""),1.51293E10)</f>
        <v>15129300000</v>
      </c>
      <c r="D1741" s="1"/>
      <c r="E1741" s="1"/>
      <c r="F1741" s="1"/>
      <c r="G1741" s="1"/>
      <c r="H1741" s="1"/>
      <c r="I1741" s="1"/>
      <c r="J1741" s="1"/>
      <c r="K1741" s="1"/>
      <c r="L1741" s="1"/>
      <c r="M1741" s="1"/>
      <c r="N1741" s="1"/>
      <c r="O1741" s="1"/>
      <c r="P1741" s="1"/>
      <c r="Q1741" s="1"/>
      <c r="R1741" s="1"/>
      <c r="S1741" s="1"/>
      <c r="T1741" s="1"/>
      <c r="U1741" s="1"/>
      <c r="V1741" s="1"/>
      <c r="W1741" s="1"/>
      <c r="X1741" s="1"/>
      <c r="Y1741" s="1"/>
      <c r="Z1741" s="1"/>
    </row>
    <row r="1742" ht="15.75" customHeight="1">
      <c r="A1742" s="2">
        <f>IFERROR(__xludf.DUMMYFUNCTION("""COMPUTED_VALUE"""),870500.0)</f>
        <v>870500</v>
      </c>
      <c r="B1742" s="2">
        <f>IFERROR(__xludf.DUMMYFUNCTION("""COMPUTED_VALUE"""),17410.0)</f>
        <v>17410</v>
      </c>
      <c r="C1742" s="66">
        <f>IFERROR(__xludf.DUMMYFUNCTION("""COMPUTED_VALUE"""),1.51467E10)</f>
        <v>15146700000</v>
      </c>
      <c r="D1742" s="1"/>
      <c r="E1742" s="1"/>
      <c r="F1742" s="1"/>
      <c r="G1742" s="1"/>
      <c r="H1742" s="1"/>
      <c r="I1742" s="1"/>
      <c r="J1742" s="1"/>
      <c r="K1742" s="1"/>
      <c r="L1742" s="1"/>
      <c r="M1742" s="1"/>
      <c r="N1742" s="1"/>
      <c r="O1742" s="1"/>
      <c r="P1742" s="1"/>
      <c r="Q1742" s="1"/>
      <c r="R1742" s="1"/>
      <c r="S1742" s="1"/>
      <c r="T1742" s="1"/>
      <c r="U1742" s="1"/>
      <c r="V1742" s="1"/>
      <c r="W1742" s="1"/>
      <c r="X1742" s="1"/>
      <c r="Y1742" s="1"/>
      <c r="Z1742" s="1"/>
    </row>
    <row r="1743" ht="15.75" customHeight="1">
      <c r="A1743" s="2">
        <f>IFERROR(__xludf.DUMMYFUNCTION("""COMPUTED_VALUE"""),871000.0)</f>
        <v>871000</v>
      </c>
      <c r="B1743" s="2">
        <f>IFERROR(__xludf.DUMMYFUNCTION("""COMPUTED_VALUE"""),17420.0)</f>
        <v>17420</v>
      </c>
      <c r="C1743" s="66">
        <f>IFERROR(__xludf.DUMMYFUNCTION("""COMPUTED_VALUE"""),1.516411E10)</f>
        <v>15164110000</v>
      </c>
      <c r="D1743" s="1"/>
      <c r="E1743" s="1"/>
      <c r="F1743" s="1"/>
      <c r="G1743" s="1"/>
      <c r="H1743" s="1"/>
      <c r="I1743" s="1"/>
      <c r="J1743" s="1"/>
      <c r="K1743" s="1"/>
      <c r="L1743" s="1"/>
      <c r="M1743" s="1"/>
      <c r="N1743" s="1"/>
      <c r="O1743" s="1"/>
      <c r="P1743" s="1"/>
      <c r="Q1743" s="1"/>
      <c r="R1743" s="1"/>
      <c r="S1743" s="1"/>
      <c r="T1743" s="1"/>
      <c r="U1743" s="1"/>
      <c r="V1743" s="1"/>
      <c r="W1743" s="1"/>
      <c r="X1743" s="1"/>
      <c r="Y1743" s="1"/>
      <c r="Z1743" s="1"/>
    </row>
    <row r="1744" ht="15.75" customHeight="1">
      <c r="A1744" s="2">
        <f>IFERROR(__xludf.DUMMYFUNCTION("""COMPUTED_VALUE"""),871500.0)</f>
        <v>871500</v>
      </c>
      <c r="B1744" s="2">
        <f>IFERROR(__xludf.DUMMYFUNCTION("""COMPUTED_VALUE"""),17430.0)</f>
        <v>17430</v>
      </c>
      <c r="C1744" s="66">
        <f>IFERROR(__xludf.DUMMYFUNCTION("""COMPUTED_VALUE"""),1.518153E10)</f>
        <v>15181530000</v>
      </c>
      <c r="D1744" s="1"/>
      <c r="E1744" s="1"/>
      <c r="F1744" s="1"/>
      <c r="G1744" s="1"/>
      <c r="H1744" s="1"/>
      <c r="I1744" s="1"/>
      <c r="J1744" s="1"/>
      <c r="K1744" s="1"/>
      <c r="L1744" s="1"/>
      <c r="M1744" s="1"/>
      <c r="N1744" s="1"/>
      <c r="O1744" s="1"/>
      <c r="P1744" s="1"/>
      <c r="Q1744" s="1"/>
      <c r="R1744" s="1"/>
      <c r="S1744" s="1"/>
      <c r="T1744" s="1"/>
      <c r="U1744" s="1"/>
      <c r="V1744" s="1"/>
      <c r="W1744" s="1"/>
      <c r="X1744" s="1"/>
      <c r="Y1744" s="1"/>
      <c r="Z1744" s="1"/>
    </row>
    <row r="1745" ht="15.75" customHeight="1">
      <c r="A1745" s="2">
        <f>IFERROR(__xludf.DUMMYFUNCTION("""COMPUTED_VALUE"""),872000.0)</f>
        <v>872000</v>
      </c>
      <c r="B1745" s="2">
        <f>IFERROR(__xludf.DUMMYFUNCTION("""COMPUTED_VALUE"""),17440.0)</f>
        <v>17440</v>
      </c>
      <c r="C1745" s="66">
        <f>IFERROR(__xludf.DUMMYFUNCTION("""COMPUTED_VALUE"""),1.519896E10)</f>
        <v>15198960000</v>
      </c>
      <c r="D1745" s="1"/>
      <c r="E1745" s="1"/>
      <c r="F1745" s="1"/>
      <c r="G1745" s="1"/>
      <c r="H1745" s="1"/>
      <c r="I1745" s="1"/>
      <c r="J1745" s="1"/>
      <c r="K1745" s="1"/>
      <c r="L1745" s="1"/>
      <c r="M1745" s="1"/>
      <c r="N1745" s="1"/>
      <c r="O1745" s="1"/>
      <c r="P1745" s="1"/>
      <c r="Q1745" s="1"/>
      <c r="R1745" s="1"/>
      <c r="S1745" s="1"/>
      <c r="T1745" s="1"/>
      <c r="U1745" s="1"/>
      <c r="V1745" s="1"/>
      <c r="W1745" s="1"/>
      <c r="X1745" s="1"/>
      <c r="Y1745" s="1"/>
      <c r="Z1745" s="1"/>
    </row>
    <row r="1746" ht="15.75" customHeight="1">
      <c r="A1746" s="2">
        <f>IFERROR(__xludf.DUMMYFUNCTION("""COMPUTED_VALUE"""),872500.0)</f>
        <v>872500</v>
      </c>
      <c r="B1746" s="2">
        <f>IFERROR(__xludf.DUMMYFUNCTION("""COMPUTED_VALUE"""),17450.0)</f>
        <v>17450</v>
      </c>
      <c r="C1746" s="66">
        <f>IFERROR(__xludf.DUMMYFUNCTION("""COMPUTED_VALUE"""),1.52164E10)</f>
        <v>15216400000</v>
      </c>
      <c r="D1746" s="1"/>
      <c r="E1746" s="1"/>
      <c r="F1746" s="1"/>
      <c r="G1746" s="1"/>
      <c r="H1746" s="1"/>
      <c r="I1746" s="1"/>
      <c r="J1746" s="1"/>
      <c r="K1746" s="1"/>
      <c r="L1746" s="1"/>
      <c r="M1746" s="1"/>
      <c r="N1746" s="1"/>
      <c r="O1746" s="1"/>
      <c r="P1746" s="1"/>
      <c r="Q1746" s="1"/>
      <c r="R1746" s="1"/>
      <c r="S1746" s="1"/>
      <c r="T1746" s="1"/>
      <c r="U1746" s="1"/>
      <c r="V1746" s="1"/>
      <c r="W1746" s="1"/>
      <c r="X1746" s="1"/>
      <c r="Y1746" s="1"/>
      <c r="Z1746" s="1"/>
    </row>
    <row r="1747" ht="15.75" customHeight="1">
      <c r="A1747" s="2">
        <f>IFERROR(__xludf.DUMMYFUNCTION("""COMPUTED_VALUE"""),873000.0)</f>
        <v>873000</v>
      </c>
      <c r="B1747" s="2">
        <f>IFERROR(__xludf.DUMMYFUNCTION("""COMPUTED_VALUE"""),17460.0)</f>
        <v>17460</v>
      </c>
      <c r="C1747" s="66">
        <f>IFERROR(__xludf.DUMMYFUNCTION("""COMPUTED_VALUE"""),1.523385E10)</f>
        <v>15233850000</v>
      </c>
      <c r="D1747" s="1"/>
      <c r="E1747" s="1"/>
      <c r="F1747" s="1"/>
      <c r="G1747" s="1"/>
      <c r="H1747" s="1"/>
      <c r="I1747" s="1"/>
      <c r="J1747" s="1"/>
      <c r="K1747" s="1"/>
      <c r="L1747" s="1"/>
      <c r="M1747" s="1"/>
      <c r="N1747" s="1"/>
      <c r="O1747" s="1"/>
      <c r="P1747" s="1"/>
      <c r="Q1747" s="1"/>
      <c r="R1747" s="1"/>
      <c r="S1747" s="1"/>
      <c r="T1747" s="1"/>
      <c r="U1747" s="1"/>
      <c r="V1747" s="1"/>
      <c r="W1747" s="1"/>
      <c r="X1747" s="1"/>
      <c r="Y1747" s="1"/>
      <c r="Z1747" s="1"/>
    </row>
    <row r="1748" ht="15.75" customHeight="1">
      <c r="A1748" s="2">
        <f>IFERROR(__xludf.DUMMYFUNCTION("""COMPUTED_VALUE"""),873500.0)</f>
        <v>873500</v>
      </c>
      <c r="B1748" s="2">
        <f>IFERROR(__xludf.DUMMYFUNCTION("""COMPUTED_VALUE"""),17470.0)</f>
        <v>17470</v>
      </c>
      <c r="C1748" s="66">
        <f>IFERROR(__xludf.DUMMYFUNCTION("""COMPUTED_VALUE"""),1.525131E10)</f>
        <v>15251310000</v>
      </c>
      <c r="D1748" s="1"/>
      <c r="E1748" s="1"/>
      <c r="F1748" s="1"/>
      <c r="G1748" s="1"/>
      <c r="H1748" s="1"/>
      <c r="I1748" s="1"/>
      <c r="J1748" s="1"/>
      <c r="K1748" s="1"/>
      <c r="L1748" s="1"/>
      <c r="M1748" s="1"/>
      <c r="N1748" s="1"/>
      <c r="O1748" s="1"/>
      <c r="P1748" s="1"/>
      <c r="Q1748" s="1"/>
      <c r="R1748" s="1"/>
      <c r="S1748" s="1"/>
      <c r="T1748" s="1"/>
      <c r="U1748" s="1"/>
      <c r="V1748" s="1"/>
      <c r="W1748" s="1"/>
      <c r="X1748" s="1"/>
      <c r="Y1748" s="1"/>
      <c r="Z1748" s="1"/>
    </row>
    <row r="1749" ht="15.75" customHeight="1">
      <c r="A1749" s="2">
        <f>IFERROR(__xludf.DUMMYFUNCTION("""COMPUTED_VALUE"""),874000.0)</f>
        <v>874000</v>
      </c>
      <c r="B1749" s="2">
        <f>IFERROR(__xludf.DUMMYFUNCTION("""COMPUTED_VALUE"""),17480.0)</f>
        <v>17480</v>
      </c>
      <c r="C1749" s="66">
        <f>IFERROR(__xludf.DUMMYFUNCTION("""COMPUTED_VALUE"""),1.526878E10)</f>
        <v>15268780000</v>
      </c>
      <c r="D1749" s="1"/>
      <c r="E1749" s="1"/>
      <c r="F1749" s="1"/>
      <c r="G1749" s="1"/>
      <c r="H1749" s="1"/>
      <c r="I1749" s="1"/>
      <c r="J1749" s="1"/>
      <c r="K1749" s="1"/>
      <c r="L1749" s="1"/>
      <c r="M1749" s="1"/>
      <c r="N1749" s="1"/>
      <c r="O1749" s="1"/>
      <c r="P1749" s="1"/>
      <c r="Q1749" s="1"/>
      <c r="R1749" s="1"/>
      <c r="S1749" s="1"/>
      <c r="T1749" s="1"/>
      <c r="U1749" s="1"/>
      <c r="V1749" s="1"/>
      <c r="W1749" s="1"/>
      <c r="X1749" s="1"/>
      <c r="Y1749" s="1"/>
      <c r="Z1749" s="1"/>
    </row>
    <row r="1750" ht="15.75" customHeight="1">
      <c r="A1750" s="2">
        <f>IFERROR(__xludf.DUMMYFUNCTION("""COMPUTED_VALUE"""),874500.0)</f>
        <v>874500</v>
      </c>
      <c r="B1750" s="2">
        <f>IFERROR(__xludf.DUMMYFUNCTION("""COMPUTED_VALUE"""),17490.0)</f>
        <v>17490</v>
      </c>
      <c r="C1750" s="66">
        <f>IFERROR(__xludf.DUMMYFUNCTION("""COMPUTED_VALUE"""),1.528626E10)</f>
        <v>15286260000</v>
      </c>
      <c r="D1750" s="1"/>
      <c r="E1750" s="1"/>
      <c r="F1750" s="1"/>
      <c r="G1750" s="1"/>
      <c r="H1750" s="1"/>
      <c r="I1750" s="1"/>
      <c r="J1750" s="1"/>
      <c r="K1750" s="1"/>
      <c r="L1750" s="1"/>
      <c r="M1750" s="1"/>
      <c r="N1750" s="1"/>
      <c r="O1750" s="1"/>
      <c r="P1750" s="1"/>
      <c r="Q1750" s="1"/>
      <c r="R1750" s="1"/>
      <c r="S1750" s="1"/>
      <c r="T1750" s="1"/>
      <c r="U1750" s="1"/>
      <c r="V1750" s="1"/>
      <c r="W1750" s="1"/>
      <c r="X1750" s="1"/>
      <c r="Y1750" s="1"/>
      <c r="Z1750" s="1"/>
    </row>
    <row r="1751" ht="15.75" customHeight="1">
      <c r="A1751" s="2">
        <f>IFERROR(__xludf.DUMMYFUNCTION("""COMPUTED_VALUE"""),875000.0)</f>
        <v>875000</v>
      </c>
      <c r="B1751" s="2">
        <f>IFERROR(__xludf.DUMMYFUNCTION("""COMPUTED_VALUE"""),17500.0)</f>
        <v>17500</v>
      </c>
      <c r="C1751" s="66">
        <f>IFERROR(__xludf.DUMMYFUNCTION("""COMPUTED_VALUE"""),1.530375E10)</f>
        <v>15303750000</v>
      </c>
      <c r="D1751" s="1"/>
      <c r="E1751" s="1"/>
      <c r="F1751" s="1"/>
      <c r="G1751" s="1"/>
      <c r="H1751" s="1"/>
      <c r="I1751" s="1"/>
      <c r="J1751" s="1"/>
      <c r="K1751" s="1"/>
      <c r="L1751" s="1"/>
      <c r="M1751" s="1"/>
      <c r="N1751" s="1"/>
      <c r="O1751" s="1"/>
      <c r="P1751" s="1"/>
      <c r="Q1751" s="1"/>
      <c r="R1751" s="1"/>
      <c r="S1751" s="1"/>
      <c r="T1751" s="1"/>
      <c r="U1751" s="1"/>
      <c r="V1751" s="1"/>
      <c r="W1751" s="1"/>
      <c r="X1751" s="1"/>
      <c r="Y1751" s="1"/>
      <c r="Z1751" s="1"/>
    </row>
    <row r="1752" ht="15.75" customHeight="1">
      <c r="A1752" s="2">
        <f>IFERROR(__xludf.DUMMYFUNCTION("""COMPUTED_VALUE"""),875500.0)</f>
        <v>875500</v>
      </c>
      <c r="B1752" s="2">
        <f>IFERROR(__xludf.DUMMYFUNCTION("""COMPUTED_VALUE"""),17510.0)</f>
        <v>17510</v>
      </c>
      <c r="C1752" s="66">
        <f>IFERROR(__xludf.DUMMYFUNCTION("""COMPUTED_VALUE"""),1.532125E10)</f>
        <v>15321250000</v>
      </c>
      <c r="D1752" s="1"/>
      <c r="E1752" s="1"/>
      <c r="F1752" s="1"/>
      <c r="G1752" s="1"/>
      <c r="H1752" s="1"/>
      <c r="I1752" s="1"/>
      <c r="J1752" s="1"/>
      <c r="K1752" s="1"/>
      <c r="L1752" s="1"/>
      <c r="M1752" s="1"/>
      <c r="N1752" s="1"/>
      <c r="O1752" s="1"/>
      <c r="P1752" s="1"/>
      <c r="Q1752" s="1"/>
      <c r="R1752" s="1"/>
      <c r="S1752" s="1"/>
      <c r="T1752" s="1"/>
      <c r="U1752" s="1"/>
      <c r="V1752" s="1"/>
      <c r="W1752" s="1"/>
      <c r="X1752" s="1"/>
      <c r="Y1752" s="1"/>
      <c r="Z1752" s="1"/>
    </row>
    <row r="1753" ht="15.75" customHeight="1">
      <c r="A1753" s="2">
        <f>IFERROR(__xludf.DUMMYFUNCTION("""COMPUTED_VALUE"""),876000.0)</f>
        <v>876000</v>
      </c>
      <c r="B1753" s="2">
        <f>IFERROR(__xludf.DUMMYFUNCTION("""COMPUTED_VALUE"""),17520.0)</f>
        <v>17520</v>
      </c>
      <c r="C1753" s="66">
        <f>IFERROR(__xludf.DUMMYFUNCTION("""COMPUTED_VALUE"""),1.533876E10)</f>
        <v>15338760000</v>
      </c>
      <c r="D1753" s="1"/>
      <c r="E1753" s="1"/>
      <c r="F1753" s="1"/>
      <c r="G1753" s="1"/>
      <c r="H1753" s="1"/>
      <c r="I1753" s="1"/>
      <c r="J1753" s="1"/>
      <c r="K1753" s="1"/>
      <c r="L1753" s="1"/>
      <c r="M1753" s="1"/>
      <c r="N1753" s="1"/>
      <c r="O1753" s="1"/>
      <c r="P1753" s="1"/>
      <c r="Q1753" s="1"/>
      <c r="R1753" s="1"/>
      <c r="S1753" s="1"/>
      <c r="T1753" s="1"/>
      <c r="U1753" s="1"/>
      <c r="V1753" s="1"/>
      <c r="W1753" s="1"/>
      <c r="X1753" s="1"/>
      <c r="Y1753" s="1"/>
      <c r="Z1753" s="1"/>
    </row>
    <row r="1754" ht="15.75" customHeight="1">
      <c r="A1754" s="2">
        <f>IFERROR(__xludf.DUMMYFUNCTION("""COMPUTED_VALUE"""),876500.0)</f>
        <v>876500</v>
      </c>
      <c r="B1754" s="2">
        <f>IFERROR(__xludf.DUMMYFUNCTION("""COMPUTED_VALUE"""),17530.0)</f>
        <v>17530</v>
      </c>
      <c r="C1754" s="66">
        <f>IFERROR(__xludf.DUMMYFUNCTION("""COMPUTED_VALUE"""),1.535628E10)</f>
        <v>15356280000</v>
      </c>
      <c r="D1754" s="1"/>
      <c r="E1754" s="1"/>
      <c r="F1754" s="1"/>
      <c r="G1754" s="1"/>
      <c r="H1754" s="1"/>
      <c r="I1754" s="1"/>
      <c r="J1754" s="1"/>
      <c r="K1754" s="1"/>
      <c r="L1754" s="1"/>
      <c r="M1754" s="1"/>
      <c r="N1754" s="1"/>
      <c r="O1754" s="1"/>
      <c r="P1754" s="1"/>
      <c r="Q1754" s="1"/>
      <c r="R1754" s="1"/>
      <c r="S1754" s="1"/>
      <c r="T1754" s="1"/>
      <c r="U1754" s="1"/>
      <c r="V1754" s="1"/>
      <c r="W1754" s="1"/>
      <c r="X1754" s="1"/>
      <c r="Y1754" s="1"/>
      <c r="Z1754" s="1"/>
    </row>
    <row r="1755" ht="15.75" customHeight="1">
      <c r="A1755" s="2">
        <f>IFERROR(__xludf.DUMMYFUNCTION("""COMPUTED_VALUE"""),877000.0)</f>
        <v>877000</v>
      </c>
      <c r="B1755" s="2">
        <f>IFERROR(__xludf.DUMMYFUNCTION("""COMPUTED_VALUE"""),17540.0)</f>
        <v>17540</v>
      </c>
      <c r="C1755" s="66">
        <f>IFERROR(__xludf.DUMMYFUNCTION("""COMPUTED_VALUE"""),1.537381E10)</f>
        <v>15373810000</v>
      </c>
      <c r="D1755" s="1"/>
      <c r="E1755" s="1"/>
      <c r="F1755" s="1"/>
      <c r="G1755" s="1"/>
      <c r="H1755" s="1"/>
      <c r="I1755" s="1"/>
      <c r="J1755" s="1"/>
      <c r="K1755" s="1"/>
      <c r="L1755" s="1"/>
      <c r="M1755" s="1"/>
      <c r="N1755" s="1"/>
      <c r="O1755" s="1"/>
      <c r="P1755" s="1"/>
      <c r="Q1755" s="1"/>
      <c r="R1755" s="1"/>
      <c r="S1755" s="1"/>
      <c r="T1755" s="1"/>
      <c r="U1755" s="1"/>
      <c r="V1755" s="1"/>
      <c r="W1755" s="1"/>
      <c r="X1755" s="1"/>
      <c r="Y1755" s="1"/>
      <c r="Z1755" s="1"/>
    </row>
    <row r="1756" ht="15.75" customHeight="1">
      <c r="A1756" s="2">
        <f>IFERROR(__xludf.DUMMYFUNCTION("""COMPUTED_VALUE"""),877500.0)</f>
        <v>877500</v>
      </c>
      <c r="B1756" s="2">
        <f>IFERROR(__xludf.DUMMYFUNCTION("""COMPUTED_VALUE"""),17550.0)</f>
        <v>17550</v>
      </c>
      <c r="C1756" s="66">
        <f>IFERROR(__xludf.DUMMYFUNCTION("""COMPUTED_VALUE"""),1.539135E10)</f>
        <v>15391350000</v>
      </c>
      <c r="D1756" s="1"/>
      <c r="E1756" s="1"/>
      <c r="F1756" s="1"/>
      <c r="G1756" s="1"/>
      <c r="H1756" s="1"/>
      <c r="I1756" s="1"/>
      <c r="J1756" s="1"/>
      <c r="K1756" s="1"/>
      <c r="L1756" s="1"/>
      <c r="M1756" s="1"/>
      <c r="N1756" s="1"/>
      <c r="O1756" s="1"/>
      <c r="P1756" s="1"/>
      <c r="Q1756" s="1"/>
      <c r="R1756" s="1"/>
      <c r="S1756" s="1"/>
      <c r="T1756" s="1"/>
      <c r="U1756" s="1"/>
      <c r="V1756" s="1"/>
      <c r="W1756" s="1"/>
      <c r="X1756" s="1"/>
      <c r="Y1756" s="1"/>
      <c r="Z1756" s="1"/>
    </row>
    <row r="1757" ht="15.75" customHeight="1">
      <c r="A1757" s="2">
        <f>IFERROR(__xludf.DUMMYFUNCTION("""COMPUTED_VALUE"""),878000.0)</f>
        <v>878000</v>
      </c>
      <c r="B1757" s="2">
        <f>IFERROR(__xludf.DUMMYFUNCTION("""COMPUTED_VALUE"""),17560.0)</f>
        <v>17560</v>
      </c>
      <c r="C1757" s="66">
        <f>IFERROR(__xludf.DUMMYFUNCTION("""COMPUTED_VALUE"""),1.54089E10)</f>
        <v>15408900000</v>
      </c>
      <c r="D1757" s="1"/>
      <c r="E1757" s="1"/>
      <c r="F1757" s="1"/>
      <c r="G1757" s="1"/>
      <c r="H1757" s="1"/>
      <c r="I1757" s="1"/>
      <c r="J1757" s="1"/>
      <c r="K1757" s="1"/>
      <c r="L1757" s="1"/>
      <c r="M1757" s="1"/>
      <c r="N1757" s="1"/>
      <c r="O1757" s="1"/>
      <c r="P1757" s="1"/>
      <c r="Q1757" s="1"/>
      <c r="R1757" s="1"/>
      <c r="S1757" s="1"/>
      <c r="T1757" s="1"/>
      <c r="U1757" s="1"/>
      <c r="V1757" s="1"/>
      <c r="W1757" s="1"/>
      <c r="X1757" s="1"/>
      <c r="Y1757" s="1"/>
      <c r="Z1757" s="1"/>
    </row>
    <row r="1758" ht="15.75" customHeight="1">
      <c r="A1758" s="2">
        <f>IFERROR(__xludf.DUMMYFUNCTION("""COMPUTED_VALUE"""),878500.0)</f>
        <v>878500</v>
      </c>
      <c r="B1758" s="2">
        <f>IFERROR(__xludf.DUMMYFUNCTION("""COMPUTED_VALUE"""),17570.0)</f>
        <v>17570</v>
      </c>
      <c r="C1758" s="66">
        <f>IFERROR(__xludf.DUMMYFUNCTION("""COMPUTED_VALUE"""),1.542646E10)</f>
        <v>15426460000</v>
      </c>
      <c r="D1758" s="1"/>
      <c r="E1758" s="1"/>
      <c r="F1758" s="1"/>
      <c r="G1758" s="1"/>
      <c r="H1758" s="1"/>
      <c r="I1758" s="1"/>
      <c r="J1758" s="1"/>
      <c r="K1758" s="1"/>
      <c r="L1758" s="1"/>
      <c r="M1758" s="1"/>
      <c r="N1758" s="1"/>
      <c r="O1758" s="1"/>
      <c r="P1758" s="1"/>
      <c r="Q1758" s="1"/>
      <c r="R1758" s="1"/>
      <c r="S1758" s="1"/>
      <c r="T1758" s="1"/>
      <c r="U1758" s="1"/>
      <c r="V1758" s="1"/>
      <c r="W1758" s="1"/>
      <c r="X1758" s="1"/>
      <c r="Y1758" s="1"/>
      <c r="Z1758" s="1"/>
    </row>
    <row r="1759" ht="15.75" customHeight="1">
      <c r="A1759" s="2">
        <f>IFERROR(__xludf.DUMMYFUNCTION("""COMPUTED_VALUE"""),879000.0)</f>
        <v>879000</v>
      </c>
      <c r="B1759" s="2">
        <f>IFERROR(__xludf.DUMMYFUNCTION("""COMPUTED_VALUE"""),17580.0)</f>
        <v>17580</v>
      </c>
      <c r="C1759" s="66">
        <f>IFERROR(__xludf.DUMMYFUNCTION("""COMPUTED_VALUE"""),1.544403E10)</f>
        <v>15444030000</v>
      </c>
      <c r="D1759" s="1"/>
      <c r="E1759" s="1"/>
      <c r="F1759" s="1"/>
      <c r="G1759" s="1"/>
      <c r="H1759" s="1"/>
      <c r="I1759" s="1"/>
      <c r="J1759" s="1"/>
      <c r="K1759" s="1"/>
      <c r="L1759" s="1"/>
      <c r="M1759" s="1"/>
      <c r="N1759" s="1"/>
      <c r="O1759" s="1"/>
      <c r="P1759" s="1"/>
      <c r="Q1759" s="1"/>
      <c r="R1759" s="1"/>
      <c r="S1759" s="1"/>
      <c r="T1759" s="1"/>
      <c r="U1759" s="1"/>
      <c r="V1759" s="1"/>
      <c r="W1759" s="1"/>
      <c r="X1759" s="1"/>
      <c r="Y1759" s="1"/>
      <c r="Z1759" s="1"/>
    </row>
    <row r="1760" ht="15.75" customHeight="1">
      <c r="A1760" s="2">
        <f>IFERROR(__xludf.DUMMYFUNCTION("""COMPUTED_VALUE"""),879500.0)</f>
        <v>879500</v>
      </c>
      <c r="B1760" s="2">
        <f>IFERROR(__xludf.DUMMYFUNCTION("""COMPUTED_VALUE"""),17590.0)</f>
        <v>17590</v>
      </c>
      <c r="C1760" s="66">
        <f>IFERROR(__xludf.DUMMYFUNCTION("""COMPUTED_VALUE"""),1.546161E10)</f>
        <v>15461610000</v>
      </c>
      <c r="D1760" s="1"/>
      <c r="E1760" s="1"/>
      <c r="F1760" s="1"/>
      <c r="G1760" s="1"/>
      <c r="H1760" s="1"/>
      <c r="I1760" s="1"/>
      <c r="J1760" s="1"/>
      <c r="K1760" s="1"/>
      <c r="L1760" s="1"/>
      <c r="M1760" s="1"/>
      <c r="N1760" s="1"/>
      <c r="O1760" s="1"/>
      <c r="P1760" s="1"/>
      <c r="Q1760" s="1"/>
      <c r="R1760" s="1"/>
      <c r="S1760" s="1"/>
      <c r="T1760" s="1"/>
      <c r="U1760" s="1"/>
      <c r="V1760" s="1"/>
      <c r="W1760" s="1"/>
      <c r="X1760" s="1"/>
      <c r="Y1760" s="1"/>
      <c r="Z1760" s="1"/>
    </row>
    <row r="1761" ht="15.75" customHeight="1">
      <c r="A1761" s="2">
        <f>IFERROR(__xludf.DUMMYFUNCTION("""COMPUTED_VALUE"""),880000.0)</f>
        <v>880000</v>
      </c>
      <c r="B1761" s="2">
        <f>IFERROR(__xludf.DUMMYFUNCTION("""COMPUTED_VALUE"""),17600.0)</f>
        <v>17600</v>
      </c>
      <c r="C1761" s="66">
        <f>IFERROR(__xludf.DUMMYFUNCTION("""COMPUTED_VALUE"""),1.54792E10)</f>
        <v>15479200000</v>
      </c>
      <c r="D1761" s="1"/>
      <c r="E1761" s="1"/>
      <c r="F1761" s="1"/>
      <c r="G1761" s="1"/>
      <c r="H1761" s="1"/>
      <c r="I1761" s="1"/>
      <c r="J1761" s="1"/>
      <c r="K1761" s="1"/>
      <c r="L1761" s="1"/>
      <c r="M1761" s="1"/>
      <c r="N1761" s="1"/>
      <c r="O1761" s="1"/>
      <c r="P1761" s="1"/>
      <c r="Q1761" s="1"/>
      <c r="R1761" s="1"/>
      <c r="S1761" s="1"/>
      <c r="T1761" s="1"/>
      <c r="U1761" s="1"/>
      <c r="V1761" s="1"/>
      <c r="W1761" s="1"/>
      <c r="X1761" s="1"/>
      <c r="Y1761" s="1"/>
      <c r="Z1761" s="1"/>
    </row>
    <row r="1762" ht="15.75" customHeight="1">
      <c r="A1762" s="2">
        <f>IFERROR(__xludf.DUMMYFUNCTION("""COMPUTED_VALUE"""),880500.0)</f>
        <v>880500</v>
      </c>
      <c r="B1762" s="2">
        <f>IFERROR(__xludf.DUMMYFUNCTION("""COMPUTED_VALUE"""),17610.0)</f>
        <v>17610</v>
      </c>
      <c r="C1762" s="66">
        <f>IFERROR(__xludf.DUMMYFUNCTION("""COMPUTED_VALUE"""),1.54968E10)</f>
        <v>15496800000</v>
      </c>
      <c r="D1762" s="1"/>
      <c r="E1762" s="1"/>
      <c r="F1762" s="1"/>
      <c r="G1762" s="1"/>
      <c r="H1762" s="1"/>
      <c r="I1762" s="1"/>
      <c r="J1762" s="1"/>
      <c r="K1762" s="1"/>
      <c r="L1762" s="1"/>
      <c r="M1762" s="1"/>
      <c r="N1762" s="1"/>
      <c r="O1762" s="1"/>
      <c r="P1762" s="1"/>
      <c r="Q1762" s="1"/>
      <c r="R1762" s="1"/>
      <c r="S1762" s="1"/>
      <c r="T1762" s="1"/>
      <c r="U1762" s="1"/>
      <c r="V1762" s="1"/>
      <c r="W1762" s="1"/>
      <c r="X1762" s="1"/>
      <c r="Y1762" s="1"/>
      <c r="Z1762" s="1"/>
    </row>
    <row r="1763" ht="15.75" customHeight="1">
      <c r="A1763" s="2">
        <f>IFERROR(__xludf.DUMMYFUNCTION("""COMPUTED_VALUE"""),881000.0)</f>
        <v>881000</v>
      </c>
      <c r="B1763" s="2">
        <f>IFERROR(__xludf.DUMMYFUNCTION("""COMPUTED_VALUE"""),17620.0)</f>
        <v>17620</v>
      </c>
      <c r="C1763" s="66">
        <f>IFERROR(__xludf.DUMMYFUNCTION("""COMPUTED_VALUE"""),1.551441E10)</f>
        <v>15514410000</v>
      </c>
      <c r="D1763" s="1"/>
      <c r="E1763" s="1"/>
      <c r="F1763" s="1"/>
      <c r="G1763" s="1"/>
      <c r="H1763" s="1"/>
      <c r="I1763" s="1"/>
      <c r="J1763" s="1"/>
      <c r="K1763" s="1"/>
      <c r="L1763" s="1"/>
      <c r="M1763" s="1"/>
      <c r="N1763" s="1"/>
      <c r="O1763" s="1"/>
      <c r="P1763" s="1"/>
      <c r="Q1763" s="1"/>
      <c r="R1763" s="1"/>
      <c r="S1763" s="1"/>
      <c r="T1763" s="1"/>
      <c r="U1763" s="1"/>
      <c r="V1763" s="1"/>
      <c r="W1763" s="1"/>
      <c r="X1763" s="1"/>
      <c r="Y1763" s="1"/>
      <c r="Z1763" s="1"/>
    </row>
    <row r="1764" ht="15.75" customHeight="1">
      <c r="A1764" s="2">
        <f>IFERROR(__xludf.DUMMYFUNCTION("""COMPUTED_VALUE"""),881500.0)</f>
        <v>881500</v>
      </c>
      <c r="B1764" s="2">
        <f>IFERROR(__xludf.DUMMYFUNCTION("""COMPUTED_VALUE"""),17630.0)</f>
        <v>17630</v>
      </c>
      <c r="C1764" s="66">
        <f>IFERROR(__xludf.DUMMYFUNCTION("""COMPUTED_VALUE"""),1.553203E10)</f>
        <v>15532030000</v>
      </c>
      <c r="D1764" s="1"/>
      <c r="E1764" s="1"/>
      <c r="F1764" s="1"/>
      <c r="G1764" s="1"/>
      <c r="H1764" s="1"/>
      <c r="I1764" s="1"/>
      <c r="J1764" s="1"/>
      <c r="K1764" s="1"/>
      <c r="L1764" s="1"/>
      <c r="M1764" s="1"/>
      <c r="N1764" s="1"/>
      <c r="O1764" s="1"/>
      <c r="P1764" s="1"/>
      <c r="Q1764" s="1"/>
      <c r="R1764" s="1"/>
      <c r="S1764" s="1"/>
      <c r="T1764" s="1"/>
      <c r="U1764" s="1"/>
      <c r="V1764" s="1"/>
      <c r="W1764" s="1"/>
      <c r="X1764" s="1"/>
      <c r="Y1764" s="1"/>
      <c r="Z1764" s="1"/>
    </row>
    <row r="1765" ht="15.75" customHeight="1">
      <c r="A1765" s="2">
        <f>IFERROR(__xludf.DUMMYFUNCTION("""COMPUTED_VALUE"""),882000.0)</f>
        <v>882000</v>
      </c>
      <c r="B1765" s="2">
        <f>IFERROR(__xludf.DUMMYFUNCTION("""COMPUTED_VALUE"""),17640.0)</f>
        <v>17640</v>
      </c>
      <c r="C1765" s="66">
        <f>IFERROR(__xludf.DUMMYFUNCTION("""COMPUTED_VALUE"""),1.554966E10)</f>
        <v>15549660000</v>
      </c>
      <c r="D1765" s="1"/>
      <c r="E1765" s="1"/>
      <c r="F1765" s="1"/>
      <c r="G1765" s="1"/>
      <c r="H1765" s="1"/>
      <c r="I1765" s="1"/>
      <c r="J1765" s="1"/>
      <c r="K1765" s="1"/>
      <c r="L1765" s="1"/>
      <c r="M1765" s="1"/>
      <c r="N1765" s="1"/>
      <c r="O1765" s="1"/>
      <c r="P1765" s="1"/>
      <c r="Q1765" s="1"/>
      <c r="R1765" s="1"/>
      <c r="S1765" s="1"/>
      <c r="T1765" s="1"/>
      <c r="U1765" s="1"/>
      <c r="V1765" s="1"/>
      <c r="W1765" s="1"/>
      <c r="X1765" s="1"/>
      <c r="Y1765" s="1"/>
      <c r="Z1765" s="1"/>
    </row>
    <row r="1766" ht="15.75" customHeight="1">
      <c r="A1766" s="2">
        <f>IFERROR(__xludf.DUMMYFUNCTION("""COMPUTED_VALUE"""),882500.0)</f>
        <v>882500</v>
      </c>
      <c r="B1766" s="2">
        <f>IFERROR(__xludf.DUMMYFUNCTION("""COMPUTED_VALUE"""),17650.0)</f>
        <v>17650</v>
      </c>
      <c r="C1766" s="66">
        <f>IFERROR(__xludf.DUMMYFUNCTION("""COMPUTED_VALUE"""),1.55673E10)</f>
        <v>15567300000</v>
      </c>
      <c r="D1766" s="1"/>
      <c r="E1766" s="1"/>
      <c r="F1766" s="1"/>
      <c r="G1766" s="1"/>
      <c r="H1766" s="1"/>
      <c r="I1766" s="1"/>
      <c r="J1766" s="1"/>
      <c r="K1766" s="1"/>
      <c r="L1766" s="1"/>
      <c r="M1766" s="1"/>
      <c r="N1766" s="1"/>
      <c r="O1766" s="1"/>
      <c r="P1766" s="1"/>
      <c r="Q1766" s="1"/>
      <c r="R1766" s="1"/>
      <c r="S1766" s="1"/>
      <c r="T1766" s="1"/>
      <c r="U1766" s="1"/>
      <c r="V1766" s="1"/>
      <c r="W1766" s="1"/>
      <c r="X1766" s="1"/>
      <c r="Y1766" s="1"/>
      <c r="Z1766" s="1"/>
    </row>
    <row r="1767" ht="15.75" customHeight="1">
      <c r="A1767" s="2">
        <f>IFERROR(__xludf.DUMMYFUNCTION("""COMPUTED_VALUE"""),883000.0)</f>
        <v>883000</v>
      </c>
      <c r="B1767" s="2">
        <f>IFERROR(__xludf.DUMMYFUNCTION("""COMPUTED_VALUE"""),17660.0)</f>
        <v>17660</v>
      </c>
      <c r="C1767" s="66">
        <f>IFERROR(__xludf.DUMMYFUNCTION("""COMPUTED_VALUE"""),1.558495E10)</f>
        <v>15584950000</v>
      </c>
      <c r="D1767" s="1"/>
      <c r="E1767" s="1"/>
      <c r="F1767" s="1"/>
      <c r="G1767" s="1"/>
      <c r="H1767" s="1"/>
      <c r="I1767" s="1"/>
      <c r="J1767" s="1"/>
      <c r="K1767" s="1"/>
      <c r="L1767" s="1"/>
      <c r="M1767" s="1"/>
      <c r="N1767" s="1"/>
      <c r="O1767" s="1"/>
      <c r="P1767" s="1"/>
      <c r="Q1767" s="1"/>
      <c r="R1767" s="1"/>
      <c r="S1767" s="1"/>
      <c r="T1767" s="1"/>
      <c r="U1767" s="1"/>
      <c r="V1767" s="1"/>
      <c r="W1767" s="1"/>
      <c r="X1767" s="1"/>
      <c r="Y1767" s="1"/>
      <c r="Z1767" s="1"/>
    </row>
    <row r="1768" ht="15.75" customHeight="1">
      <c r="A1768" s="2">
        <f>IFERROR(__xludf.DUMMYFUNCTION("""COMPUTED_VALUE"""),883500.0)</f>
        <v>883500</v>
      </c>
      <c r="B1768" s="2">
        <f>IFERROR(__xludf.DUMMYFUNCTION("""COMPUTED_VALUE"""),17670.0)</f>
        <v>17670</v>
      </c>
      <c r="C1768" s="66">
        <f>IFERROR(__xludf.DUMMYFUNCTION("""COMPUTED_VALUE"""),1.560261E10)</f>
        <v>15602610000</v>
      </c>
      <c r="D1768" s="1"/>
      <c r="E1768" s="1"/>
      <c r="F1768" s="1"/>
      <c r="G1768" s="1"/>
      <c r="H1768" s="1"/>
      <c r="I1768" s="1"/>
      <c r="J1768" s="1"/>
      <c r="K1768" s="1"/>
      <c r="L1768" s="1"/>
      <c r="M1768" s="1"/>
      <c r="N1768" s="1"/>
      <c r="O1768" s="1"/>
      <c r="P1768" s="1"/>
      <c r="Q1768" s="1"/>
      <c r="R1768" s="1"/>
      <c r="S1768" s="1"/>
      <c r="T1768" s="1"/>
      <c r="U1768" s="1"/>
      <c r="V1768" s="1"/>
      <c r="W1768" s="1"/>
      <c r="X1768" s="1"/>
      <c r="Y1768" s="1"/>
      <c r="Z1768" s="1"/>
    </row>
    <row r="1769" ht="15.75" customHeight="1">
      <c r="A1769" s="2">
        <f>IFERROR(__xludf.DUMMYFUNCTION("""COMPUTED_VALUE"""),884000.0)</f>
        <v>884000</v>
      </c>
      <c r="B1769" s="2">
        <f>IFERROR(__xludf.DUMMYFUNCTION("""COMPUTED_VALUE"""),17680.0)</f>
        <v>17680</v>
      </c>
      <c r="C1769" s="66">
        <f>IFERROR(__xludf.DUMMYFUNCTION("""COMPUTED_VALUE"""),1.562028E10)</f>
        <v>15620280000</v>
      </c>
      <c r="D1769" s="1"/>
      <c r="E1769" s="1"/>
      <c r="F1769" s="1"/>
      <c r="G1769" s="1"/>
      <c r="H1769" s="1"/>
      <c r="I1769" s="1"/>
      <c r="J1769" s="1"/>
      <c r="K1769" s="1"/>
      <c r="L1769" s="1"/>
      <c r="M1769" s="1"/>
      <c r="N1769" s="1"/>
      <c r="O1769" s="1"/>
      <c r="P1769" s="1"/>
      <c r="Q1769" s="1"/>
      <c r="R1769" s="1"/>
      <c r="S1769" s="1"/>
      <c r="T1769" s="1"/>
      <c r="U1769" s="1"/>
      <c r="V1769" s="1"/>
      <c r="W1769" s="1"/>
      <c r="X1769" s="1"/>
      <c r="Y1769" s="1"/>
      <c r="Z1769" s="1"/>
    </row>
    <row r="1770" ht="15.75" customHeight="1">
      <c r="A1770" s="2">
        <f>IFERROR(__xludf.DUMMYFUNCTION("""COMPUTED_VALUE"""),884500.0)</f>
        <v>884500</v>
      </c>
      <c r="B1770" s="2">
        <f>IFERROR(__xludf.DUMMYFUNCTION("""COMPUTED_VALUE"""),17690.0)</f>
        <v>17690</v>
      </c>
      <c r="C1770" s="66">
        <f>IFERROR(__xludf.DUMMYFUNCTION("""COMPUTED_VALUE"""),1.563796E10)</f>
        <v>15637960000</v>
      </c>
      <c r="D1770" s="1"/>
      <c r="E1770" s="1"/>
      <c r="F1770" s="1"/>
      <c r="G1770" s="1"/>
      <c r="H1770" s="1"/>
      <c r="I1770" s="1"/>
      <c r="J1770" s="1"/>
      <c r="K1770" s="1"/>
      <c r="L1770" s="1"/>
      <c r="M1770" s="1"/>
      <c r="N1770" s="1"/>
      <c r="O1770" s="1"/>
      <c r="P1770" s="1"/>
      <c r="Q1770" s="1"/>
      <c r="R1770" s="1"/>
      <c r="S1770" s="1"/>
      <c r="T1770" s="1"/>
      <c r="U1770" s="1"/>
      <c r="V1770" s="1"/>
      <c r="W1770" s="1"/>
      <c r="X1770" s="1"/>
      <c r="Y1770" s="1"/>
      <c r="Z1770" s="1"/>
    </row>
    <row r="1771" ht="15.75" customHeight="1">
      <c r="A1771" s="2">
        <f>IFERROR(__xludf.DUMMYFUNCTION("""COMPUTED_VALUE"""),885000.0)</f>
        <v>885000</v>
      </c>
      <c r="B1771" s="2">
        <f>IFERROR(__xludf.DUMMYFUNCTION("""COMPUTED_VALUE"""),17700.0)</f>
        <v>17700</v>
      </c>
      <c r="C1771" s="66">
        <f>IFERROR(__xludf.DUMMYFUNCTION("""COMPUTED_VALUE"""),1.565565E10)</f>
        <v>15655650000</v>
      </c>
      <c r="D1771" s="1"/>
      <c r="E1771" s="1"/>
      <c r="F1771" s="1"/>
      <c r="G1771" s="1"/>
      <c r="H1771" s="1"/>
      <c r="I1771" s="1"/>
      <c r="J1771" s="1"/>
      <c r="K1771" s="1"/>
      <c r="L1771" s="1"/>
      <c r="M1771" s="1"/>
      <c r="N1771" s="1"/>
      <c r="O1771" s="1"/>
      <c r="P1771" s="1"/>
      <c r="Q1771" s="1"/>
      <c r="R1771" s="1"/>
      <c r="S1771" s="1"/>
      <c r="T1771" s="1"/>
      <c r="U1771" s="1"/>
      <c r="V1771" s="1"/>
      <c r="W1771" s="1"/>
      <c r="X1771" s="1"/>
      <c r="Y1771" s="1"/>
      <c r="Z1771" s="1"/>
    </row>
    <row r="1772" ht="15.75" customHeight="1">
      <c r="A1772" s="2">
        <f>IFERROR(__xludf.DUMMYFUNCTION("""COMPUTED_VALUE"""),885500.0)</f>
        <v>885500</v>
      </c>
      <c r="B1772" s="2">
        <f>IFERROR(__xludf.DUMMYFUNCTION("""COMPUTED_VALUE"""),17710.0)</f>
        <v>17710</v>
      </c>
      <c r="C1772" s="66">
        <f>IFERROR(__xludf.DUMMYFUNCTION("""COMPUTED_VALUE"""),1.567335E10)</f>
        <v>15673350000</v>
      </c>
      <c r="D1772" s="1"/>
      <c r="E1772" s="1"/>
      <c r="F1772" s="1"/>
      <c r="G1772" s="1"/>
      <c r="H1772" s="1"/>
      <c r="I1772" s="1"/>
      <c r="J1772" s="1"/>
      <c r="K1772" s="1"/>
      <c r="L1772" s="1"/>
      <c r="M1772" s="1"/>
      <c r="N1772" s="1"/>
      <c r="O1772" s="1"/>
      <c r="P1772" s="1"/>
      <c r="Q1772" s="1"/>
      <c r="R1772" s="1"/>
      <c r="S1772" s="1"/>
      <c r="T1772" s="1"/>
      <c r="U1772" s="1"/>
      <c r="V1772" s="1"/>
      <c r="W1772" s="1"/>
      <c r="X1772" s="1"/>
      <c r="Y1772" s="1"/>
      <c r="Z1772" s="1"/>
    </row>
    <row r="1773" ht="15.75" customHeight="1">
      <c r="A1773" s="2">
        <f>IFERROR(__xludf.DUMMYFUNCTION("""COMPUTED_VALUE"""),886000.0)</f>
        <v>886000</v>
      </c>
      <c r="B1773" s="2">
        <f>IFERROR(__xludf.DUMMYFUNCTION("""COMPUTED_VALUE"""),17720.0)</f>
        <v>17720</v>
      </c>
      <c r="C1773" s="66">
        <f>IFERROR(__xludf.DUMMYFUNCTION("""COMPUTED_VALUE"""),1.569106E10)</f>
        <v>15691060000</v>
      </c>
      <c r="D1773" s="1"/>
      <c r="E1773" s="1"/>
      <c r="F1773" s="1"/>
      <c r="G1773" s="1"/>
      <c r="H1773" s="1"/>
      <c r="I1773" s="1"/>
      <c r="J1773" s="1"/>
      <c r="K1773" s="1"/>
      <c r="L1773" s="1"/>
      <c r="M1773" s="1"/>
      <c r="N1773" s="1"/>
      <c r="O1773" s="1"/>
      <c r="P1773" s="1"/>
      <c r="Q1773" s="1"/>
      <c r="R1773" s="1"/>
      <c r="S1773" s="1"/>
      <c r="T1773" s="1"/>
      <c r="U1773" s="1"/>
      <c r="V1773" s="1"/>
      <c r="W1773" s="1"/>
      <c r="X1773" s="1"/>
      <c r="Y1773" s="1"/>
      <c r="Z1773" s="1"/>
    </row>
    <row r="1774" ht="15.75" customHeight="1">
      <c r="A1774" s="2">
        <f>IFERROR(__xludf.DUMMYFUNCTION("""COMPUTED_VALUE"""),886500.0)</f>
        <v>886500</v>
      </c>
      <c r="B1774" s="2">
        <f>IFERROR(__xludf.DUMMYFUNCTION("""COMPUTED_VALUE"""),17730.0)</f>
        <v>17730</v>
      </c>
      <c r="C1774" s="66">
        <f>IFERROR(__xludf.DUMMYFUNCTION("""COMPUTED_VALUE"""),1.570878E10)</f>
        <v>15708780000</v>
      </c>
      <c r="D1774" s="1"/>
      <c r="E1774" s="1"/>
      <c r="F1774" s="1"/>
      <c r="G1774" s="1"/>
      <c r="H1774" s="1"/>
      <c r="I1774" s="1"/>
      <c r="J1774" s="1"/>
      <c r="K1774" s="1"/>
      <c r="L1774" s="1"/>
      <c r="M1774" s="1"/>
      <c r="N1774" s="1"/>
      <c r="O1774" s="1"/>
      <c r="P1774" s="1"/>
      <c r="Q1774" s="1"/>
      <c r="R1774" s="1"/>
      <c r="S1774" s="1"/>
      <c r="T1774" s="1"/>
      <c r="U1774" s="1"/>
      <c r="V1774" s="1"/>
      <c r="W1774" s="1"/>
      <c r="X1774" s="1"/>
      <c r="Y1774" s="1"/>
      <c r="Z1774" s="1"/>
    </row>
    <row r="1775" ht="15.75" customHeight="1">
      <c r="A1775" s="2">
        <f>IFERROR(__xludf.DUMMYFUNCTION("""COMPUTED_VALUE"""),887000.0)</f>
        <v>887000</v>
      </c>
      <c r="B1775" s="2">
        <f>IFERROR(__xludf.DUMMYFUNCTION("""COMPUTED_VALUE"""),17740.0)</f>
        <v>17740</v>
      </c>
      <c r="C1775" s="66">
        <f>IFERROR(__xludf.DUMMYFUNCTION("""COMPUTED_VALUE"""),1.572651E10)</f>
        <v>15726510000</v>
      </c>
      <c r="D1775" s="1"/>
      <c r="E1775" s="1"/>
      <c r="F1775" s="1"/>
      <c r="G1775" s="1"/>
      <c r="H1775" s="1"/>
      <c r="I1775" s="1"/>
      <c r="J1775" s="1"/>
      <c r="K1775" s="1"/>
      <c r="L1775" s="1"/>
      <c r="M1775" s="1"/>
      <c r="N1775" s="1"/>
      <c r="O1775" s="1"/>
      <c r="P1775" s="1"/>
      <c r="Q1775" s="1"/>
      <c r="R1775" s="1"/>
      <c r="S1775" s="1"/>
      <c r="T1775" s="1"/>
      <c r="U1775" s="1"/>
      <c r="V1775" s="1"/>
      <c r="W1775" s="1"/>
      <c r="X1775" s="1"/>
      <c r="Y1775" s="1"/>
      <c r="Z1775" s="1"/>
    </row>
    <row r="1776" ht="15.75" customHeight="1">
      <c r="A1776" s="2">
        <f>IFERROR(__xludf.DUMMYFUNCTION("""COMPUTED_VALUE"""),887500.0)</f>
        <v>887500</v>
      </c>
      <c r="B1776" s="2">
        <f>IFERROR(__xludf.DUMMYFUNCTION("""COMPUTED_VALUE"""),17750.0)</f>
        <v>17750</v>
      </c>
      <c r="C1776" s="66">
        <f>IFERROR(__xludf.DUMMYFUNCTION("""COMPUTED_VALUE"""),1.574425E10)</f>
        <v>15744250000</v>
      </c>
      <c r="D1776" s="1"/>
      <c r="E1776" s="1"/>
      <c r="F1776" s="1"/>
      <c r="G1776" s="1"/>
      <c r="H1776" s="1"/>
      <c r="I1776" s="1"/>
      <c r="J1776" s="1"/>
      <c r="K1776" s="1"/>
      <c r="L1776" s="1"/>
      <c r="M1776" s="1"/>
      <c r="N1776" s="1"/>
      <c r="O1776" s="1"/>
      <c r="P1776" s="1"/>
      <c r="Q1776" s="1"/>
      <c r="R1776" s="1"/>
      <c r="S1776" s="1"/>
      <c r="T1776" s="1"/>
      <c r="U1776" s="1"/>
      <c r="V1776" s="1"/>
      <c r="W1776" s="1"/>
      <c r="X1776" s="1"/>
      <c r="Y1776" s="1"/>
      <c r="Z1776" s="1"/>
    </row>
    <row r="1777" ht="15.75" customHeight="1">
      <c r="A1777" s="2">
        <f>IFERROR(__xludf.DUMMYFUNCTION("""COMPUTED_VALUE"""),888000.0)</f>
        <v>888000</v>
      </c>
      <c r="B1777" s="2">
        <f>IFERROR(__xludf.DUMMYFUNCTION("""COMPUTED_VALUE"""),17760.0)</f>
        <v>17760</v>
      </c>
      <c r="C1777" s="66">
        <f>IFERROR(__xludf.DUMMYFUNCTION("""COMPUTED_VALUE"""),1.5762E10)</f>
        <v>15762000000</v>
      </c>
      <c r="D1777" s="1"/>
      <c r="E1777" s="1"/>
      <c r="F1777" s="1"/>
      <c r="G1777" s="1"/>
      <c r="H1777" s="1"/>
      <c r="I1777" s="1"/>
      <c r="J1777" s="1"/>
      <c r="K1777" s="1"/>
      <c r="L1777" s="1"/>
      <c r="M1777" s="1"/>
      <c r="N1777" s="1"/>
      <c r="O1777" s="1"/>
      <c r="P1777" s="1"/>
      <c r="Q1777" s="1"/>
      <c r="R1777" s="1"/>
      <c r="S1777" s="1"/>
      <c r="T1777" s="1"/>
      <c r="U1777" s="1"/>
      <c r="V1777" s="1"/>
      <c r="W1777" s="1"/>
      <c r="X1777" s="1"/>
      <c r="Y1777" s="1"/>
      <c r="Z1777" s="1"/>
    </row>
    <row r="1778" ht="15.75" customHeight="1">
      <c r="A1778" s="2">
        <f>IFERROR(__xludf.DUMMYFUNCTION("""COMPUTED_VALUE"""),888500.0)</f>
        <v>888500</v>
      </c>
      <c r="B1778" s="2">
        <f>IFERROR(__xludf.DUMMYFUNCTION("""COMPUTED_VALUE"""),17770.0)</f>
        <v>17770</v>
      </c>
      <c r="C1778" s="66">
        <f>IFERROR(__xludf.DUMMYFUNCTION("""COMPUTED_VALUE"""),1.577976E10)</f>
        <v>15779760000</v>
      </c>
      <c r="D1778" s="1"/>
      <c r="E1778" s="1"/>
      <c r="F1778" s="1"/>
      <c r="G1778" s="1"/>
      <c r="H1778" s="1"/>
      <c r="I1778" s="1"/>
      <c r="J1778" s="1"/>
      <c r="K1778" s="1"/>
      <c r="L1778" s="1"/>
      <c r="M1778" s="1"/>
      <c r="N1778" s="1"/>
      <c r="O1778" s="1"/>
      <c r="P1778" s="1"/>
      <c r="Q1778" s="1"/>
      <c r="R1778" s="1"/>
      <c r="S1778" s="1"/>
      <c r="T1778" s="1"/>
      <c r="U1778" s="1"/>
      <c r="V1778" s="1"/>
      <c r="W1778" s="1"/>
      <c r="X1778" s="1"/>
      <c r="Y1778" s="1"/>
      <c r="Z1778" s="1"/>
    </row>
    <row r="1779" ht="15.75" customHeight="1">
      <c r="A1779" s="2">
        <f>IFERROR(__xludf.DUMMYFUNCTION("""COMPUTED_VALUE"""),889000.0)</f>
        <v>889000</v>
      </c>
      <c r="B1779" s="2">
        <f>IFERROR(__xludf.DUMMYFUNCTION("""COMPUTED_VALUE"""),17780.0)</f>
        <v>17780</v>
      </c>
      <c r="C1779" s="66">
        <f>IFERROR(__xludf.DUMMYFUNCTION("""COMPUTED_VALUE"""),1.579753E10)</f>
        <v>15797530000</v>
      </c>
      <c r="D1779" s="1"/>
      <c r="E1779" s="1"/>
      <c r="F1779" s="1"/>
      <c r="G1779" s="1"/>
      <c r="H1779" s="1"/>
      <c r="I1779" s="1"/>
      <c r="J1779" s="1"/>
      <c r="K1779" s="1"/>
      <c r="L1779" s="1"/>
      <c r="M1779" s="1"/>
      <c r="N1779" s="1"/>
      <c r="O1779" s="1"/>
      <c r="P1779" s="1"/>
      <c r="Q1779" s="1"/>
      <c r="R1779" s="1"/>
      <c r="S1779" s="1"/>
      <c r="T1779" s="1"/>
      <c r="U1779" s="1"/>
      <c r="V1779" s="1"/>
      <c r="W1779" s="1"/>
      <c r="X1779" s="1"/>
      <c r="Y1779" s="1"/>
      <c r="Z1779" s="1"/>
    </row>
    <row r="1780" ht="15.75" customHeight="1">
      <c r="A1780" s="2">
        <f>IFERROR(__xludf.DUMMYFUNCTION("""COMPUTED_VALUE"""),889500.0)</f>
        <v>889500</v>
      </c>
      <c r="B1780" s="2">
        <f>IFERROR(__xludf.DUMMYFUNCTION("""COMPUTED_VALUE"""),17790.0)</f>
        <v>17790</v>
      </c>
      <c r="C1780" s="66">
        <f>IFERROR(__xludf.DUMMYFUNCTION("""COMPUTED_VALUE"""),1.581531E10)</f>
        <v>15815310000</v>
      </c>
      <c r="D1780" s="1"/>
      <c r="E1780" s="1"/>
      <c r="F1780" s="1"/>
      <c r="G1780" s="1"/>
      <c r="H1780" s="1"/>
      <c r="I1780" s="1"/>
      <c r="J1780" s="1"/>
      <c r="K1780" s="1"/>
      <c r="L1780" s="1"/>
      <c r="M1780" s="1"/>
      <c r="N1780" s="1"/>
      <c r="O1780" s="1"/>
      <c r="P1780" s="1"/>
      <c r="Q1780" s="1"/>
      <c r="R1780" s="1"/>
      <c r="S1780" s="1"/>
      <c r="T1780" s="1"/>
      <c r="U1780" s="1"/>
      <c r="V1780" s="1"/>
      <c r="W1780" s="1"/>
      <c r="X1780" s="1"/>
      <c r="Y1780" s="1"/>
      <c r="Z1780" s="1"/>
    </row>
    <row r="1781" ht="15.75" customHeight="1">
      <c r="A1781" s="2">
        <f>IFERROR(__xludf.DUMMYFUNCTION("""COMPUTED_VALUE"""),890000.0)</f>
        <v>890000</v>
      </c>
      <c r="B1781" s="2">
        <f>IFERROR(__xludf.DUMMYFUNCTION("""COMPUTED_VALUE"""),17800.0)</f>
        <v>17800</v>
      </c>
      <c r="C1781" s="66">
        <f>IFERROR(__xludf.DUMMYFUNCTION("""COMPUTED_VALUE"""),1.58331E10)</f>
        <v>15833100000</v>
      </c>
      <c r="D1781" s="1"/>
      <c r="E1781" s="1"/>
      <c r="F1781" s="1"/>
      <c r="G1781" s="1"/>
      <c r="H1781" s="1"/>
      <c r="I1781" s="1"/>
      <c r="J1781" s="1"/>
      <c r="K1781" s="1"/>
      <c r="L1781" s="1"/>
      <c r="M1781" s="1"/>
      <c r="N1781" s="1"/>
      <c r="O1781" s="1"/>
      <c r="P1781" s="1"/>
      <c r="Q1781" s="1"/>
      <c r="R1781" s="1"/>
      <c r="S1781" s="1"/>
      <c r="T1781" s="1"/>
      <c r="U1781" s="1"/>
      <c r="V1781" s="1"/>
      <c r="W1781" s="1"/>
      <c r="X1781" s="1"/>
      <c r="Y1781" s="1"/>
      <c r="Z1781" s="1"/>
    </row>
    <row r="1782" ht="15.75" customHeight="1">
      <c r="A1782" s="2">
        <f>IFERROR(__xludf.DUMMYFUNCTION("""COMPUTED_VALUE"""),890500.0)</f>
        <v>890500</v>
      </c>
      <c r="B1782" s="2">
        <f>IFERROR(__xludf.DUMMYFUNCTION("""COMPUTED_VALUE"""),17810.0)</f>
        <v>17810</v>
      </c>
      <c r="C1782" s="66">
        <f>IFERROR(__xludf.DUMMYFUNCTION("""COMPUTED_VALUE"""),1.58509E10)</f>
        <v>15850900000</v>
      </c>
      <c r="D1782" s="1"/>
      <c r="E1782" s="1"/>
      <c r="F1782" s="1"/>
      <c r="G1782" s="1"/>
      <c r="H1782" s="1"/>
      <c r="I1782" s="1"/>
      <c r="J1782" s="1"/>
      <c r="K1782" s="1"/>
      <c r="L1782" s="1"/>
      <c r="M1782" s="1"/>
      <c r="N1782" s="1"/>
      <c r="O1782" s="1"/>
      <c r="P1782" s="1"/>
      <c r="Q1782" s="1"/>
      <c r="R1782" s="1"/>
      <c r="S1782" s="1"/>
      <c r="T1782" s="1"/>
      <c r="U1782" s="1"/>
      <c r="V1782" s="1"/>
      <c r="W1782" s="1"/>
      <c r="X1782" s="1"/>
      <c r="Y1782" s="1"/>
      <c r="Z1782" s="1"/>
    </row>
    <row r="1783" ht="15.75" customHeight="1">
      <c r="A1783" s="2">
        <f>IFERROR(__xludf.DUMMYFUNCTION("""COMPUTED_VALUE"""),891000.0)</f>
        <v>891000</v>
      </c>
      <c r="B1783" s="2">
        <f>IFERROR(__xludf.DUMMYFUNCTION("""COMPUTED_VALUE"""),17820.0)</f>
        <v>17820</v>
      </c>
      <c r="C1783" s="66">
        <f>IFERROR(__xludf.DUMMYFUNCTION("""COMPUTED_VALUE"""),1.586871E10)</f>
        <v>15868710000</v>
      </c>
      <c r="D1783" s="1"/>
      <c r="E1783" s="1"/>
      <c r="F1783" s="1"/>
      <c r="G1783" s="1"/>
      <c r="H1783" s="1"/>
      <c r="I1783" s="1"/>
      <c r="J1783" s="1"/>
      <c r="K1783" s="1"/>
      <c r="L1783" s="1"/>
      <c r="M1783" s="1"/>
      <c r="N1783" s="1"/>
      <c r="O1783" s="1"/>
      <c r="P1783" s="1"/>
      <c r="Q1783" s="1"/>
      <c r="R1783" s="1"/>
      <c r="S1783" s="1"/>
      <c r="T1783" s="1"/>
      <c r="U1783" s="1"/>
      <c r="V1783" s="1"/>
      <c r="W1783" s="1"/>
      <c r="X1783" s="1"/>
      <c r="Y1783" s="1"/>
      <c r="Z1783" s="1"/>
    </row>
    <row r="1784" ht="15.75" customHeight="1">
      <c r="A1784" s="2">
        <f>IFERROR(__xludf.DUMMYFUNCTION("""COMPUTED_VALUE"""),891500.0)</f>
        <v>891500</v>
      </c>
      <c r="B1784" s="2">
        <f>IFERROR(__xludf.DUMMYFUNCTION("""COMPUTED_VALUE"""),17830.0)</f>
        <v>17830</v>
      </c>
      <c r="C1784" s="66">
        <f>IFERROR(__xludf.DUMMYFUNCTION("""COMPUTED_VALUE"""),1.588653E10)</f>
        <v>15886530000</v>
      </c>
      <c r="D1784" s="1"/>
      <c r="E1784" s="1"/>
      <c r="F1784" s="1"/>
      <c r="G1784" s="1"/>
      <c r="H1784" s="1"/>
      <c r="I1784" s="1"/>
      <c r="J1784" s="1"/>
      <c r="K1784" s="1"/>
      <c r="L1784" s="1"/>
      <c r="M1784" s="1"/>
      <c r="N1784" s="1"/>
      <c r="O1784" s="1"/>
      <c r="P1784" s="1"/>
      <c r="Q1784" s="1"/>
      <c r="R1784" s="1"/>
      <c r="S1784" s="1"/>
      <c r="T1784" s="1"/>
      <c r="U1784" s="1"/>
      <c r="V1784" s="1"/>
      <c r="W1784" s="1"/>
      <c r="X1784" s="1"/>
      <c r="Y1784" s="1"/>
      <c r="Z1784" s="1"/>
    </row>
    <row r="1785" ht="15.75" customHeight="1">
      <c r="A1785" s="2">
        <f>IFERROR(__xludf.DUMMYFUNCTION("""COMPUTED_VALUE"""),892000.0)</f>
        <v>892000</v>
      </c>
      <c r="B1785" s="2">
        <f>IFERROR(__xludf.DUMMYFUNCTION("""COMPUTED_VALUE"""),17840.0)</f>
        <v>17840</v>
      </c>
      <c r="C1785" s="66">
        <f>IFERROR(__xludf.DUMMYFUNCTION("""COMPUTED_VALUE"""),1.590436E10)</f>
        <v>15904360000</v>
      </c>
      <c r="D1785" s="1"/>
      <c r="E1785" s="1"/>
      <c r="F1785" s="1"/>
      <c r="G1785" s="1"/>
      <c r="H1785" s="1"/>
      <c r="I1785" s="1"/>
      <c r="J1785" s="1"/>
      <c r="K1785" s="1"/>
      <c r="L1785" s="1"/>
      <c r="M1785" s="1"/>
      <c r="N1785" s="1"/>
      <c r="O1785" s="1"/>
      <c r="P1785" s="1"/>
      <c r="Q1785" s="1"/>
      <c r="R1785" s="1"/>
      <c r="S1785" s="1"/>
      <c r="T1785" s="1"/>
      <c r="U1785" s="1"/>
      <c r="V1785" s="1"/>
      <c r="W1785" s="1"/>
      <c r="X1785" s="1"/>
      <c r="Y1785" s="1"/>
      <c r="Z1785" s="1"/>
    </row>
    <row r="1786" ht="15.75" customHeight="1">
      <c r="A1786" s="2">
        <f>IFERROR(__xludf.DUMMYFUNCTION("""COMPUTED_VALUE"""),892500.0)</f>
        <v>892500</v>
      </c>
      <c r="B1786" s="2">
        <f>IFERROR(__xludf.DUMMYFUNCTION("""COMPUTED_VALUE"""),17850.0)</f>
        <v>17850</v>
      </c>
      <c r="C1786" s="66">
        <f>IFERROR(__xludf.DUMMYFUNCTION("""COMPUTED_VALUE"""),1.59222E10)</f>
        <v>15922200000</v>
      </c>
      <c r="D1786" s="1"/>
      <c r="E1786" s="1"/>
      <c r="F1786" s="1"/>
      <c r="G1786" s="1"/>
      <c r="H1786" s="1"/>
      <c r="I1786" s="1"/>
      <c r="J1786" s="1"/>
      <c r="K1786" s="1"/>
      <c r="L1786" s="1"/>
      <c r="M1786" s="1"/>
      <c r="N1786" s="1"/>
      <c r="O1786" s="1"/>
      <c r="P1786" s="1"/>
      <c r="Q1786" s="1"/>
      <c r="R1786" s="1"/>
      <c r="S1786" s="1"/>
      <c r="T1786" s="1"/>
      <c r="U1786" s="1"/>
      <c r="V1786" s="1"/>
      <c r="W1786" s="1"/>
      <c r="X1786" s="1"/>
      <c r="Y1786" s="1"/>
      <c r="Z1786" s="1"/>
    </row>
    <row r="1787" ht="15.75" customHeight="1">
      <c r="A1787" s="2">
        <f>IFERROR(__xludf.DUMMYFUNCTION("""COMPUTED_VALUE"""),893000.0)</f>
        <v>893000</v>
      </c>
      <c r="B1787" s="2">
        <f>IFERROR(__xludf.DUMMYFUNCTION("""COMPUTED_VALUE"""),17860.0)</f>
        <v>17860</v>
      </c>
      <c r="C1787" s="66">
        <f>IFERROR(__xludf.DUMMYFUNCTION("""COMPUTED_VALUE"""),1.594005E10)</f>
        <v>15940050000</v>
      </c>
      <c r="D1787" s="1"/>
      <c r="E1787" s="1"/>
      <c r="F1787" s="1"/>
      <c r="G1787" s="1"/>
      <c r="H1787" s="1"/>
      <c r="I1787" s="1"/>
      <c r="J1787" s="1"/>
      <c r="K1787" s="1"/>
      <c r="L1787" s="1"/>
      <c r="M1787" s="1"/>
      <c r="N1787" s="1"/>
      <c r="O1787" s="1"/>
      <c r="P1787" s="1"/>
      <c r="Q1787" s="1"/>
      <c r="R1787" s="1"/>
      <c r="S1787" s="1"/>
      <c r="T1787" s="1"/>
      <c r="U1787" s="1"/>
      <c r="V1787" s="1"/>
      <c r="W1787" s="1"/>
      <c r="X1787" s="1"/>
      <c r="Y1787" s="1"/>
      <c r="Z1787" s="1"/>
    </row>
    <row r="1788" ht="15.75" customHeight="1">
      <c r="A1788" s="2">
        <f>IFERROR(__xludf.DUMMYFUNCTION("""COMPUTED_VALUE"""),893500.0)</f>
        <v>893500</v>
      </c>
      <c r="B1788" s="2">
        <f>IFERROR(__xludf.DUMMYFUNCTION("""COMPUTED_VALUE"""),17870.0)</f>
        <v>17870</v>
      </c>
      <c r="C1788" s="66">
        <f>IFERROR(__xludf.DUMMYFUNCTION("""COMPUTED_VALUE"""),1.595791E10)</f>
        <v>15957910000</v>
      </c>
      <c r="D1788" s="1"/>
      <c r="E1788" s="1"/>
      <c r="F1788" s="1"/>
      <c r="G1788" s="1"/>
      <c r="H1788" s="1"/>
      <c r="I1788" s="1"/>
      <c r="J1788" s="1"/>
      <c r="K1788" s="1"/>
      <c r="L1788" s="1"/>
      <c r="M1788" s="1"/>
      <c r="N1788" s="1"/>
      <c r="O1788" s="1"/>
      <c r="P1788" s="1"/>
      <c r="Q1788" s="1"/>
      <c r="R1788" s="1"/>
      <c r="S1788" s="1"/>
      <c r="T1788" s="1"/>
      <c r="U1788" s="1"/>
      <c r="V1788" s="1"/>
      <c r="W1788" s="1"/>
      <c r="X1788" s="1"/>
      <c r="Y1788" s="1"/>
      <c r="Z1788" s="1"/>
    </row>
    <row r="1789" ht="15.75" customHeight="1">
      <c r="A1789" s="2">
        <f>IFERROR(__xludf.DUMMYFUNCTION("""COMPUTED_VALUE"""),894000.0)</f>
        <v>894000</v>
      </c>
      <c r="B1789" s="2">
        <f>IFERROR(__xludf.DUMMYFUNCTION("""COMPUTED_VALUE"""),17880.0)</f>
        <v>17880</v>
      </c>
      <c r="C1789" s="66">
        <f>IFERROR(__xludf.DUMMYFUNCTION("""COMPUTED_VALUE"""),1.597578E10)</f>
        <v>15975780000</v>
      </c>
      <c r="D1789" s="1"/>
      <c r="E1789" s="1"/>
      <c r="F1789" s="1"/>
      <c r="G1789" s="1"/>
      <c r="H1789" s="1"/>
      <c r="I1789" s="1"/>
      <c r="J1789" s="1"/>
      <c r="K1789" s="1"/>
      <c r="L1789" s="1"/>
      <c r="M1789" s="1"/>
      <c r="N1789" s="1"/>
      <c r="O1789" s="1"/>
      <c r="P1789" s="1"/>
      <c r="Q1789" s="1"/>
      <c r="R1789" s="1"/>
      <c r="S1789" s="1"/>
      <c r="T1789" s="1"/>
      <c r="U1789" s="1"/>
      <c r="V1789" s="1"/>
      <c r="W1789" s="1"/>
      <c r="X1789" s="1"/>
      <c r="Y1789" s="1"/>
      <c r="Z1789" s="1"/>
    </row>
    <row r="1790" ht="15.75" customHeight="1">
      <c r="A1790" s="2">
        <f>IFERROR(__xludf.DUMMYFUNCTION("""COMPUTED_VALUE"""),894500.0)</f>
        <v>894500</v>
      </c>
      <c r="B1790" s="2">
        <f>IFERROR(__xludf.DUMMYFUNCTION("""COMPUTED_VALUE"""),17890.0)</f>
        <v>17890</v>
      </c>
      <c r="C1790" s="66">
        <f>IFERROR(__xludf.DUMMYFUNCTION("""COMPUTED_VALUE"""),1.599366E10)</f>
        <v>15993660000</v>
      </c>
      <c r="D1790" s="1"/>
      <c r="E1790" s="1"/>
      <c r="F1790" s="1"/>
      <c r="G1790" s="1"/>
      <c r="H1790" s="1"/>
      <c r="I1790" s="1"/>
      <c r="J1790" s="1"/>
      <c r="K1790" s="1"/>
      <c r="L1790" s="1"/>
      <c r="M1790" s="1"/>
      <c r="N1790" s="1"/>
      <c r="O1790" s="1"/>
      <c r="P1790" s="1"/>
      <c r="Q1790" s="1"/>
      <c r="R1790" s="1"/>
      <c r="S1790" s="1"/>
      <c r="T1790" s="1"/>
      <c r="U1790" s="1"/>
      <c r="V1790" s="1"/>
      <c r="W1790" s="1"/>
      <c r="X1790" s="1"/>
      <c r="Y1790" s="1"/>
      <c r="Z1790" s="1"/>
    </row>
    <row r="1791" ht="15.75" customHeight="1">
      <c r="A1791" s="2">
        <f>IFERROR(__xludf.DUMMYFUNCTION("""COMPUTED_VALUE"""),895000.0)</f>
        <v>895000</v>
      </c>
      <c r="B1791" s="2">
        <f>IFERROR(__xludf.DUMMYFUNCTION("""COMPUTED_VALUE"""),17900.0)</f>
        <v>17900</v>
      </c>
      <c r="C1791" s="66">
        <f>IFERROR(__xludf.DUMMYFUNCTION("""COMPUTED_VALUE"""),1.601155E10)</f>
        <v>16011550000</v>
      </c>
      <c r="D1791" s="1"/>
      <c r="E1791" s="1"/>
      <c r="F1791" s="1"/>
      <c r="G1791" s="1"/>
      <c r="H1791" s="1"/>
      <c r="I1791" s="1"/>
      <c r="J1791" s="1"/>
      <c r="K1791" s="1"/>
      <c r="L1791" s="1"/>
      <c r="M1791" s="1"/>
      <c r="N1791" s="1"/>
      <c r="O1791" s="1"/>
      <c r="P1791" s="1"/>
      <c r="Q1791" s="1"/>
      <c r="R1791" s="1"/>
      <c r="S1791" s="1"/>
      <c r="T1791" s="1"/>
      <c r="U1791" s="1"/>
      <c r="V1791" s="1"/>
      <c r="W1791" s="1"/>
      <c r="X1791" s="1"/>
      <c r="Y1791" s="1"/>
      <c r="Z1791" s="1"/>
    </row>
    <row r="1792" ht="15.75" customHeight="1">
      <c r="A1792" s="2">
        <f>IFERROR(__xludf.DUMMYFUNCTION("""COMPUTED_VALUE"""),895500.0)</f>
        <v>895500</v>
      </c>
      <c r="B1792" s="2">
        <f>IFERROR(__xludf.DUMMYFUNCTION("""COMPUTED_VALUE"""),17910.0)</f>
        <v>17910</v>
      </c>
      <c r="C1792" s="66">
        <f>IFERROR(__xludf.DUMMYFUNCTION("""COMPUTED_VALUE"""),1.602945E10)</f>
        <v>16029450000</v>
      </c>
      <c r="D1792" s="1"/>
      <c r="E1792" s="1"/>
      <c r="F1792" s="1"/>
      <c r="G1792" s="1"/>
      <c r="H1792" s="1"/>
      <c r="I1792" s="1"/>
      <c r="J1792" s="1"/>
      <c r="K1792" s="1"/>
      <c r="L1792" s="1"/>
      <c r="M1792" s="1"/>
      <c r="N1792" s="1"/>
      <c r="O1792" s="1"/>
      <c r="P1792" s="1"/>
      <c r="Q1792" s="1"/>
      <c r="R1792" s="1"/>
      <c r="S1792" s="1"/>
      <c r="T1792" s="1"/>
      <c r="U1792" s="1"/>
      <c r="V1792" s="1"/>
      <c r="W1792" s="1"/>
      <c r="X1792" s="1"/>
      <c r="Y1792" s="1"/>
      <c r="Z1792" s="1"/>
    </row>
    <row r="1793" ht="15.75" customHeight="1">
      <c r="A1793" s="2">
        <f>IFERROR(__xludf.DUMMYFUNCTION("""COMPUTED_VALUE"""),896000.0)</f>
        <v>896000</v>
      </c>
      <c r="B1793" s="2">
        <f>IFERROR(__xludf.DUMMYFUNCTION("""COMPUTED_VALUE"""),17920.0)</f>
        <v>17920</v>
      </c>
      <c r="C1793" s="66">
        <f>IFERROR(__xludf.DUMMYFUNCTION("""COMPUTED_VALUE"""),1.604736E10)</f>
        <v>16047360000</v>
      </c>
      <c r="D1793" s="1"/>
      <c r="E1793" s="1"/>
      <c r="F1793" s="1"/>
      <c r="G1793" s="1"/>
      <c r="H1793" s="1"/>
      <c r="I1793" s="1"/>
      <c r="J1793" s="1"/>
      <c r="K1793" s="1"/>
      <c r="L1793" s="1"/>
      <c r="M1793" s="1"/>
      <c r="N1793" s="1"/>
      <c r="O1793" s="1"/>
      <c r="P1793" s="1"/>
      <c r="Q1793" s="1"/>
      <c r="R1793" s="1"/>
      <c r="S1793" s="1"/>
      <c r="T1793" s="1"/>
      <c r="U1793" s="1"/>
      <c r="V1793" s="1"/>
      <c r="W1793" s="1"/>
      <c r="X1793" s="1"/>
      <c r="Y1793" s="1"/>
      <c r="Z1793" s="1"/>
    </row>
    <row r="1794" ht="15.75" customHeight="1">
      <c r="A1794" s="2">
        <f>IFERROR(__xludf.DUMMYFUNCTION("""COMPUTED_VALUE"""),896500.0)</f>
        <v>896500</v>
      </c>
      <c r="B1794" s="2">
        <f>IFERROR(__xludf.DUMMYFUNCTION("""COMPUTED_VALUE"""),17930.0)</f>
        <v>17930</v>
      </c>
      <c r="C1794" s="66">
        <f>IFERROR(__xludf.DUMMYFUNCTION("""COMPUTED_VALUE"""),1.606528E10)</f>
        <v>16065280000</v>
      </c>
      <c r="D1794" s="1"/>
      <c r="E1794" s="1"/>
      <c r="F1794" s="1"/>
      <c r="G1794" s="1"/>
      <c r="H1794" s="1"/>
      <c r="I1794" s="1"/>
      <c r="J1794" s="1"/>
      <c r="K1794" s="1"/>
      <c r="L1794" s="1"/>
      <c r="M1794" s="1"/>
      <c r="N1794" s="1"/>
      <c r="O1794" s="1"/>
      <c r="P1794" s="1"/>
      <c r="Q1794" s="1"/>
      <c r="R1794" s="1"/>
      <c r="S1794" s="1"/>
      <c r="T1794" s="1"/>
      <c r="U1794" s="1"/>
      <c r="V1794" s="1"/>
      <c r="W1794" s="1"/>
      <c r="X1794" s="1"/>
      <c r="Y1794" s="1"/>
      <c r="Z1794" s="1"/>
    </row>
    <row r="1795" ht="15.75" customHeight="1">
      <c r="A1795" s="2">
        <f>IFERROR(__xludf.DUMMYFUNCTION("""COMPUTED_VALUE"""),897000.0)</f>
        <v>897000</v>
      </c>
      <c r="B1795" s="2">
        <f>IFERROR(__xludf.DUMMYFUNCTION("""COMPUTED_VALUE"""),17940.0)</f>
        <v>17940</v>
      </c>
      <c r="C1795" s="66">
        <f>IFERROR(__xludf.DUMMYFUNCTION("""COMPUTED_VALUE"""),1.608321E10)</f>
        <v>16083210000</v>
      </c>
      <c r="D1795" s="1"/>
      <c r="E1795" s="1"/>
      <c r="F1795" s="1"/>
      <c r="G1795" s="1"/>
      <c r="H1795" s="1"/>
      <c r="I1795" s="1"/>
      <c r="J1795" s="1"/>
      <c r="K1795" s="1"/>
      <c r="L1795" s="1"/>
      <c r="M1795" s="1"/>
      <c r="N1795" s="1"/>
      <c r="O1795" s="1"/>
      <c r="P1795" s="1"/>
      <c r="Q1795" s="1"/>
      <c r="R1795" s="1"/>
      <c r="S1795" s="1"/>
      <c r="T1795" s="1"/>
      <c r="U1795" s="1"/>
      <c r="V1795" s="1"/>
      <c r="W1795" s="1"/>
      <c r="X1795" s="1"/>
      <c r="Y1795" s="1"/>
      <c r="Z1795" s="1"/>
    </row>
    <row r="1796" ht="15.75" customHeight="1">
      <c r="A1796" s="2">
        <f>IFERROR(__xludf.DUMMYFUNCTION("""COMPUTED_VALUE"""),897500.0)</f>
        <v>897500</v>
      </c>
      <c r="B1796" s="2">
        <f>IFERROR(__xludf.DUMMYFUNCTION("""COMPUTED_VALUE"""),17950.0)</f>
        <v>17950</v>
      </c>
      <c r="C1796" s="66">
        <f>IFERROR(__xludf.DUMMYFUNCTION("""COMPUTED_VALUE"""),1.610115E10)</f>
        <v>16101150000</v>
      </c>
      <c r="D1796" s="1"/>
      <c r="E1796" s="1"/>
      <c r="F1796" s="1"/>
      <c r="G1796" s="1"/>
      <c r="H1796" s="1"/>
      <c r="I1796" s="1"/>
      <c r="J1796" s="1"/>
      <c r="K1796" s="1"/>
      <c r="L1796" s="1"/>
      <c r="M1796" s="1"/>
      <c r="N1796" s="1"/>
      <c r="O1796" s="1"/>
      <c r="P1796" s="1"/>
      <c r="Q1796" s="1"/>
      <c r="R1796" s="1"/>
      <c r="S1796" s="1"/>
      <c r="T1796" s="1"/>
      <c r="U1796" s="1"/>
      <c r="V1796" s="1"/>
      <c r="W1796" s="1"/>
      <c r="X1796" s="1"/>
      <c r="Y1796" s="1"/>
      <c r="Z1796" s="1"/>
    </row>
    <row r="1797" ht="15.75" customHeight="1">
      <c r="A1797" s="2">
        <f>IFERROR(__xludf.DUMMYFUNCTION("""COMPUTED_VALUE"""),898000.0)</f>
        <v>898000</v>
      </c>
      <c r="B1797" s="2">
        <f>IFERROR(__xludf.DUMMYFUNCTION("""COMPUTED_VALUE"""),17960.0)</f>
        <v>17960</v>
      </c>
      <c r="C1797" s="66">
        <f>IFERROR(__xludf.DUMMYFUNCTION("""COMPUTED_VALUE"""),1.61191E10)</f>
        <v>16119100000</v>
      </c>
      <c r="D1797" s="1"/>
      <c r="E1797" s="1"/>
      <c r="F1797" s="1"/>
      <c r="G1797" s="1"/>
      <c r="H1797" s="1"/>
      <c r="I1797" s="1"/>
      <c r="J1797" s="1"/>
      <c r="K1797" s="1"/>
      <c r="L1797" s="1"/>
      <c r="M1797" s="1"/>
      <c r="N1797" s="1"/>
      <c r="O1797" s="1"/>
      <c r="P1797" s="1"/>
      <c r="Q1797" s="1"/>
      <c r="R1797" s="1"/>
      <c r="S1797" s="1"/>
      <c r="T1797" s="1"/>
      <c r="U1797" s="1"/>
      <c r="V1797" s="1"/>
      <c r="W1797" s="1"/>
      <c r="X1797" s="1"/>
      <c r="Y1797" s="1"/>
      <c r="Z1797" s="1"/>
    </row>
    <row r="1798" ht="15.75" customHeight="1">
      <c r="A1798" s="2">
        <f>IFERROR(__xludf.DUMMYFUNCTION("""COMPUTED_VALUE"""),898500.0)</f>
        <v>898500</v>
      </c>
      <c r="B1798" s="2">
        <f>IFERROR(__xludf.DUMMYFUNCTION("""COMPUTED_VALUE"""),17970.0)</f>
        <v>17970</v>
      </c>
      <c r="C1798" s="66">
        <f>IFERROR(__xludf.DUMMYFUNCTION("""COMPUTED_VALUE"""),1.613706E10)</f>
        <v>16137060000</v>
      </c>
      <c r="D1798" s="1"/>
      <c r="E1798" s="1"/>
      <c r="F1798" s="1"/>
      <c r="G1798" s="1"/>
      <c r="H1798" s="1"/>
      <c r="I1798" s="1"/>
      <c r="J1798" s="1"/>
      <c r="K1798" s="1"/>
      <c r="L1798" s="1"/>
      <c r="M1798" s="1"/>
      <c r="N1798" s="1"/>
      <c r="O1798" s="1"/>
      <c r="P1798" s="1"/>
      <c r="Q1798" s="1"/>
      <c r="R1798" s="1"/>
      <c r="S1798" s="1"/>
      <c r="T1798" s="1"/>
      <c r="U1798" s="1"/>
      <c r="V1798" s="1"/>
      <c r="W1798" s="1"/>
      <c r="X1798" s="1"/>
      <c r="Y1798" s="1"/>
      <c r="Z1798" s="1"/>
    </row>
    <row r="1799" ht="15.75" customHeight="1">
      <c r="A1799" s="2">
        <f>IFERROR(__xludf.DUMMYFUNCTION("""COMPUTED_VALUE"""),899000.0)</f>
        <v>899000</v>
      </c>
      <c r="B1799" s="2">
        <f>IFERROR(__xludf.DUMMYFUNCTION("""COMPUTED_VALUE"""),17980.0)</f>
        <v>17980</v>
      </c>
      <c r="C1799" s="66">
        <f>IFERROR(__xludf.DUMMYFUNCTION("""COMPUTED_VALUE"""),1.615503E10)</f>
        <v>16155030000</v>
      </c>
      <c r="D1799" s="1"/>
      <c r="E1799" s="1"/>
      <c r="F1799" s="1"/>
      <c r="G1799" s="1"/>
      <c r="H1799" s="1"/>
      <c r="I1799" s="1"/>
      <c r="J1799" s="1"/>
      <c r="K1799" s="1"/>
      <c r="L1799" s="1"/>
      <c r="M1799" s="1"/>
      <c r="N1799" s="1"/>
      <c r="O1799" s="1"/>
      <c r="P1799" s="1"/>
      <c r="Q1799" s="1"/>
      <c r="R1799" s="1"/>
      <c r="S1799" s="1"/>
      <c r="T1799" s="1"/>
      <c r="U1799" s="1"/>
      <c r="V1799" s="1"/>
      <c r="W1799" s="1"/>
      <c r="X1799" s="1"/>
      <c r="Y1799" s="1"/>
      <c r="Z1799" s="1"/>
    </row>
    <row r="1800" ht="15.75" customHeight="1">
      <c r="A1800" s="2">
        <f>IFERROR(__xludf.DUMMYFUNCTION("""COMPUTED_VALUE"""),899500.0)</f>
        <v>899500</v>
      </c>
      <c r="B1800" s="2">
        <f>IFERROR(__xludf.DUMMYFUNCTION("""COMPUTED_VALUE"""),17990.0)</f>
        <v>17990</v>
      </c>
      <c r="C1800" s="66">
        <f>IFERROR(__xludf.DUMMYFUNCTION("""COMPUTED_VALUE"""),1.617301E10)</f>
        <v>16173010000</v>
      </c>
      <c r="D1800" s="1"/>
      <c r="E1800" s="1"/>
      <c r="F1800" s="1"/>
      <c r="G1800" s="1"/>
      <c r="H1800" s="1"/>
      <c r="I1800" s="1"/>
      <c r="J1800" s="1"/>
      <c r="K1800" s="1"/>
      <c r="L1800" s="1"/>
      <c r="M1800" s="1"/>
      <c r="N1800" s="1"/>
      <c r="O1800" s="1"/>
      <c r="P1800" s="1"/>
      <c r="Q1800" s="1"/>
      <c r="R1800" s="1"/>
      <c r="S1800" s="1"/>
      <c r="T1800" s="1"/>
      <c r="U1800" s="1"/>
      <c r="V1800" s="1"/>
      <c r="W1800" s="1"/>
      <c r="X1800" s="1"/>
      <c r="Y1800" s="1"/>
      <c r="Z1800" s="1"/>
    </row>
    <row r="1801" ht="15.75" customHeight="1">
      <c r="A1801" s="2">
        <f>IFERROR(__xludf.DUMMYFUNCTION("""COMPUTED_VALUE"""),900000.0)</f>
        <v>900000</v>
      </c>
      <c r="B1801" s="2">
        <f>IFERROR(__xludf.DUMMYFUNCTION("""COMPUTED_VALUE"""),18000.0)</f>
        <v>18000</v>
      </c>
      <c r="C1801" s="66">
        <f>IFERROR(__xludf.DUMMYFUNCTION("""COMPUTED_VALUE"""),1.6191E10)</f>
        <v>16191000000</v>
      </c>
      <c r="D1801" s="1"/>
      <c r="E1801" s="1"/>
      <c r="F1801" s="1"/>
      <c r="G1801" s="1"/>
      <c r="H1801" s="1"/>
      <c r="I1801" s="1"/>
      <c r="J1801" s="1"/>
      <c r="K1801" s="1"/>
      <c r="L1801" s="1"/>
      <c r="M1801" s="1"/>
      <c r="N1801" s="1"/>
      <c r="O1801" s="1"/>
      <c r="P1801" s="1"/>
      <c r="Q1801" s="1"/>
      <c r="R1801" s="1"/>
      <c r="S1801" s="1"/>
      <c r="T1801" s="1"/>
      <c r="U1801" s="1"/>
      <c r="V1801" s="1"/>
      <c r="W1801" s="1"/>
      <c r="X1801" s="1"/>
      <c r="Y1801" s="1"/>
      <c r="Z1801" s="1"/>
    </row>
    <row r="1802" ht="15.75" customHeight="1">
      <c r="A1802" s="2">
        <f>IFERROR(__xludf.DUMMYFUNCTION("""COMPUTED_VALUE"""),900500.0)</f>
        <v>900500</v>
      </c>
      <c r="B1802" s="2">
        <f>IFERROR(__xludf.DUMMYFUNCTION("""COMPUTED_VALUE"""),18010.0)</f>
        <v>18010</v>
      </c>
      <c r="C1802" s="66">
        <f>IFERROR(__xludf.DUMMYFUNCTION("""COMPUTED_VALUE"""),1.6209E10)</f>
        <v>16209000000</v>
      </c>
      <c r="D1802" s="1"/>
      <c r="E1802" s="1"/>
      <c r="F1802" s="1"/>
      <c r="G1802" s="1"/>
      <c r="H1802" s="1"/>
      <c r="I1802" s="1"/>
      <c r="J1802" s="1"/>
      <c r="K1802" s="1"/>
      <c r="L1802" s="1"/>
      <c r="M1802" s="1"/>
      <c r="N1802" s="1"/>
      <c r="O1802" s="1"/>
      <c r="P1802" s="1"/>
      <c r="Q1802" s="1"/>
      <c r="R1802" s="1"/>
      <c r="S1802" s="1"/>
      <c r="T1802" s="1"/>
      <c r="U1802" s="1"/>
      <c r="V1802" s="1"/>
      <c r="W1802" s="1"/>
      <c r="X1802" s="1"/>
      <c r="Y1802" s="1"/>
      <c r="Z1802" s="1"/>
    </row>
    <row r="1803" ht="15.75" customHeight="1">
      <c r="A1803" s="2">
        <f>IFERROR(__xludf.DUMMYFUNCTION("""COMPUTED_VALUE"""),901000.0)</f>
        <v>901000</v>
      </c>
      <c r="B1803" s="2">
        <f>IFERROR(__xludf.DUMMYFUNCTION("""COMPUTED_VALUE"""),18020.0)</f>
        <v>18020</v>
      </c>
      <c r="C1803" s="66">
        <f>IFERROR(__xludf.DUMMYFUNCTION("""COMPUTED_VALUE"""),1.622701E10)</f>
        <v>16227010000</v>
      </c>
      <c r="D1803" s="1"/>
      <c r="E1803" s="1"/>
      <c r="F1803" s="1"/>
      <c r="G1803" s="1"/>
      <c r="H1803" s="1"/>
      <c r="I1803" s="1"/>
      <c r="J1803" s="1"/>
      <c r="K1803" s="1"/>
      <c r="L1803" s="1"/>
      <c r="M1803" s="1"/>
      <c r="N1803" s="1"/>
      <c r="O1803" s="1"/>
      <c r="P1803" s="1"/>
      <c r="Q1803" s="1"/>
      <c r="R1803" s="1"/>
      <c r="S1803" s="1"/>
      <c r="T1803" s="1"/>
      <c r="U1803" s="1"/>
      <c r="V1803" s="1"/>
      <c r="W1803" s="1"/>
      <c r="X1803" s="1"/>
      <c r="Y1803" s="1"/>
      <c r="Z1803" s="1"/>
    </row>
    <row r="1804" ht="15.75" customHeight="1">
      <c r="A1804" s="2">
        <f>IFERROR(__xludf.DUMMYFUNCTION("""COMPUTED_VALUE"""),901500.0)</f>
        <v>901500</v>
      </c>
      <c r="B1804" s="2">
        <f>IFERROR(__xludf.DUMMYFUNCTION("""COMPUTED_VALUE"""),18030.0)</f>
        <v>18030</v>
      </c>
      <c r="C1804" s="66">
        <f>IFERROR(__xludf.DUMMYFUNCTION("""COMPUTED_VALUE"""),1.624503E10)</f>
        <v>16245030000</v>
      </c>
      <c r="D1804" s="1"/>
      <c r="E1804" s="1"/>
      <c r="F1804" s="1"/>
      <c r="G1804" s="1"/>
      <c r="H1804" s="1"/>
      <c r="I1804" s="1"/>
      <c r="J1804" s="1"/>
      <c r="K1804" s="1"/>
      <c r="L1804" s="1"/>
      <c r="M1804" s="1"/>
      <c r="N1804" s="1"/>
      <c r="O1804" s="1"/>
      <c r="P1804" s="1"/>
      <c r="Q1804" s="1"/>
      <c r="R1804" s="1"/>
      <c r="S1804" s="1"/>
      <c r="T1804" s="1"/>
      <c r="U1804" s="1"/>
      <c r="V1804" s="1"/>
      <c r="W1804" s="1"/>
      <c r="X1804" s="1"/>
      <c r="Y1804" s="1"/>
      <c r="Z1804" s="1"/>
    </row>
    <row r="1805" ht="15.75" customHeight="1">
      <c r="A1805" s="2">
        <f>IFERROR(__xludf.DUMMYFUNCTION("""COMPUTED_VALUE"""),902000.0)</f>
        <v>902000</v>
      </c>
      <c r="B1805" s="2">
        <f>IFERROR(__xludf.DUMMYFUNCTION("""COMPUTED_VALUE"""),18040.0)</f>
        <v>18040</v>
      </c>
      <c r="C1805" s="66">
        <f>IFERROR(__xludf.DUMMYFUNCTION("""COMPUTED_VALUE"""),1.626306E10)</f>
        <v>16263060000</v>
      </c>
      <c r="D1805" s="1"/>
      <c r="E1805" s="1"/>
      <c r="F1805" s="1"/>
      <c r="G1805" s="1"/>
      <c r="H1805" s="1"/>
      <c r="I1805" s="1"/>
      <c r="J1805" s="1"/>
      <c r="K1805" s="1"/>
      <c r="L1805" s="1"/>
      <c r="M1805" s="1"/>
      <c r="N1805" s="1"/>
      <c r="O1805" s="1"/>
      <c r="P1805" s="1"/>
      <c r="Q1805" s="1"/>
      <c r="R1805" s="1"/>
      <c r="S1805" s="1"/>
      <c r="T1805" s="1"/>
      <c r="U1805" s="1"/>
      <c r="V1805" s="1"/>
      <c r="W1805" s="1"/>
      <c r="X1805" s="1"/>
      <c r="Y1805" s="1"/>
      <c r="Z1805" s="1"/>
    </row>
    <row r="1806" ht="15.75" customHeight="1">
      <c r="A1806" s="2">
        <f>IFERROR(__xludf.DUMMYFUNCTION("""COMPUTED_VALUE"""),902500.0)</f>
        <v>902500</v>
      </c>
      <c r="B1806" s="2">
        <f>IFERROR(__xludf.DUMMYFUNCTION("""COMPUTED_VALUE"""),18050.0)</f>
        <v>18050</v>
      </c>
      <c r="C1806" s="66">
        <f>IFERROR(__xludf.DUMMYFUNCTION("""COMPUTED_VALUE"""),1.62811E10)</f>
        <v>16281100000</v>
      </c>
      <c r="D1806" s="1"/>
      <c r="E1806" s="1"/>
      <c r="F1806" s="1"/>
      <c r="G1806" s="1"/>
      <c r="H1806" s="1"/>
      <c r="I1806" s="1"/>
      <c r="J1806" s="1"/>
      <c r="K1806" s="1"/>
      <c r="L1806" s="1"/>
      <c r="M1806" s="1"/>
      <c r="N1806" s="1"/>
      <c r="O1806" s="1"/>
      <c r="P1806" s="1"/>
      <c r="Q1806" s="1"/>
      <c r="R1806" s="1"/>
      <c r="S1806" s="1"/>
      <c r="T1806" s="1"/>
      <c r="U1806" s="1"/>
      <c r="V1806" s="1"/>
      <c r="W1806" s="1"/>
      <c r="X1806" s="1"/>
      <c r="Y1806" s="1"/>
      <c r="Z1806" s="1"/>
    </row>
    <row r="1807" ht="15.75" customHeight="1">
      <c r="A1807" s="2">
        <f>IFERROR(__xludf.DUMMYFUNCTION("""COMPUTED_VALUE"""),903000.0)</f>
        <v>903000</v>
      </c>
      <c r="B1807" s="2">
        <f>IFERROR(__xludf.DUMMYFUNCTION("""COMPUTED_VALUE"""),18060.0)</f>
        <v>18060</v>
      </c>
      <c r="C1807" s="66">
        <f>IFERROR(__xludf.DUMMYFUNCTION("""COMPUTED_VALUE"""),1.629915E10)</f>
        <v>16299150000</v>
      </c>
      <c r="D1807" s="1"/>
      <c r="E1807" s="1"/>
      <c r="F1807" s="1"/>
      <c r="G1807" s="1"/>
      <c r="H1807" s="1"/>
      <c r="I1807" s="1"/>
      <c r="J1807" s="1"/>
      <c r="K1807" s="1"/>
      <c r="L1807" s="1"/>
      <c r="M1807" s="1"/>
      <c r="N1807" s="1"/>
      <c r="O1807" s="1"/>
      <c r="P1807" s="1"/>
      <c r="Q1807" s="1"/>
      <c r="R1807" s="1"/>
      <c r="S1807" s="1"/>
      <c r="T1807" s="1"/>
      <c r="U1807" s="1"/>
      <c r="V1807" s="1"/>
      <c r="W1807" s="1"/>
      <c r="X1807" s="1"/>
      <c r="Y1807" s="1"/>
      <c r="Z1807" s="1"/>
    </row>
    <row r="1808" ht="15.75" customHeight="1">
      <c r="A1808" s="2">
        <f>IFERROR(__xludf.DUMMYFUNCTION("""COMPUTED_VALUE"""),903500.0)</f>
        <v>903500</v>
      </c>
      <c r="B1808" s="2">
        <f>IFERROR(__xludf.DUMMYFUNCTION("""COMPUTED_VALUE"""),18070.0)</f>
        <v>18070</v>
      </c>
      <c r="C1808" s="66">
        <f>IFERROR(__xludf.DUMMYFUNCTION("""COMPUTED_VALUE"""),1.631721E10)</f>
        <v>16317210000</v>
      </c>
      <c r="D1808" s="1"/>
      <c r="E1808" s="1"/>
      <c r="F1808" s="1"/>
      <c r="G1808" s="1"/>
      <c r="H1808" s="1"/>
      <c r="I1808" s="1"/>
      <c r="J1808" s="1"/>
      <c r="K1808" s="1"/>
      <c r="L1808" s="1"/>
      <c r="M1808" s="1"/>
      <c r="N1808" s="1"/>
      <c r="O1808" s="1"/>
      <c r="P1808" s="1"/>
      <c r="Q1808" s="1"/>
      <c r="R1808" s="1"/>
      <c r="S1808" s="1"/>
      <c r="T1808" s="1"/>
      <c r="U1808" s="1"/>
      <c r="V1808" s="1"/>
      <c r="W1808" s="1"/>
      <c r="X1808" s="1"/>
      <c r="Y1808" s="1"/>
      <c r="Z1808" s="1"/>
    </row>
    <row r="1809" ht="15.75" customHeight="1">
      <c r="A1809" s="2">
        <f>IFERROR(__xludf.DUMMYFUNCTION("""COMPUTED_VALUE"""),904000.0)</f>
        <v>904000</v>
      </c>
      <c r="B1809" s="2">
        <f>IFERROR(__xludf.DUMMYFUNCTION("""COMPUTED_VALUE"""),18080.0)</f>
        <v>18080</v>
      </c>
      <c r="C1809" s="66">
        <f>IFERROR(__xludf.DUMMYFUNCTION("""COMPUTED_VALUE"""),1.633528E10)</f>
        <v>16335280000</v>
      </c>
      <c r="D1809" s="1"/>
      <c r="E1809" s="1"/>
      <c r="F1809" s="1"/>
      <c r="G1809" s="1"/>
      <c r="H1809" s="1"/>
      <c r="I1809" s="1"/>
      <c r="J1809" s="1"/>
      <c r="K1809" s="1"/>
      <c r="L1809" s="1"/>
      <c r="M1809" s="1"/>
      <c r="N1809" s="1"/>
      <c r="O1809" s="1"/>
      <c r="P1809" s="1"/>
      <c r="Q1809" s="1"/>
      <c r="R1809" s="1"/>
      <c r="S1809" s="1"/>
      <c r="T1809" s="1"/>
      <c r="U1809" s="1"/>
      <c r="V1809" s="1"/>
      <c r="W1809" s="1"/>
      <c r="X1809" s="1"/>
      <c r="Y1809" s="1"/>
      <c r="Z1809" s="1"/>
    </row>
    <row r="1810" ht="15.75" customHeight="1">
      <c r="A1810" s="2">
        <f>IFERROR(__xludf.DUMMYFUNCTION("""COMPUTED_VALUE"""),904500.0)</f>
        <v>904500</v>
      </c>
      <c r="B1810" s="2">
        <f>IFERROR(__xludf.DUMMYFUNCTION("""COMPUTED_VALUE"""),18090.0)</f>
        <v>18090</v>
      </c>
      <c r="C1810" s="66">
        <f>IFERROR(__xludf.DUMMYFUNCTION("""COMPUTED_VALUE"""),1.635336E10)</f>
        <v>16353360000</v>
      </c>
      <c r="D1810" s="1"/>
      <c r="E1810" s="1"/>
      <c r="F1810" s="1"/>
      <c r="G1810" s="1"/>
      <c r="H1810" s="1"/>
      <c r="I1810" s="1"/>
      <c r="J1810" s="1"/>
      <c r="K1810" s="1"/>
      <c r="L1810" s="1"/>
      <c r="M1810" s="1"/>
      <c r="N1810" s="1"/>
      <c r="O1810" s="1"/>
      <c r="P1810" s="1"/>
      <c r="Q1810" s="1"/>
      <c r="R1810" s="1"/>
      <c r="S1810" s="1"/>
      <c r="T1810" s="1"/>
      <c r="U1810" s="1"/>
      <c r="V1810" s="1"/>
      <c r="W1810" s="1"/>
      <c r="X1810" s="1"/>
      <c r="Y1810" s="1"/>
      <c r="Z1810" s="1"/>
    </row>
    <row r="1811" ht="15.75" customHeight="1">
      <c r="A1811" s="2">
        <f>IFERROR(__xludf.DUMMYFUNCTION("""COMPUTED_VALUE"""),905000.0)</f>
        <v>905000</v>
      </c>
      <c r="B1811" s="2">
        <f>IFERROR(__xludf.DUMMYFUNCTION("""COMPUTED_VALUE"""),18100.0)</f>
        <v>18100</v>
      </c>
      <c r="C1811" s="66">
        <f>IFERROR(__xludf.DUMMYFUNCTION("""COMPUTED_VALUE"""),1.637145E10)</f>
        <v>16371450000</v>
      </c>
      <c r="D1811" s="1"/>
      <c r="E1811" s="1"/>
      <c r="F1811" s="1"/>
      <c r="G1811" s="1"/>
      <c r="H1811" s="1"/>
      <c r="I1811" s="1"/>
      <c r="J1811" s="1"/>
      <c r="K1811" s="1"/>
      <c r="L1811" s="1"/>
      <c r="M1811" s="1"/>
      <c r="N1811" s="1"/>
      <c r="O1811" s="1"/>
      <c r="P1811" s="1"/>
      <c r="Q1811" s="1"/>
      <c r="R1811" s="1"/>
      <c r="S1811" s="1"/>
      <c r="T1811" s="1"/>
      <c r="U1811" s="1"/>
      <c r="V1811" s="1"/>
      <c r="W1811" s="1"/>
      <c r="X1811" s="1"/>
      <c r="Y1811" s="1"/>
      <c r="Z1811" s="1"/>
    </row>
    <row r="1812" ht="15.75" customHeight="1">
      <c r="A1812" s="2">
        <f>IFERROR(__xludf.DUMMYFUNCTION("""COMPUTED_VALUE"""),905500.0)</f>
        <v>905500</v>
      </c>
      <c r="B1812" s="2">
        <f>IFERROR(__xludf.DUMMYFUNCTION("""COMPUTED_VALUE"""),18110.0)</f>
        <v>18110</v>
      </c>
      <c r="C1812" s="66">
        <f>IFERROR(__xludf.DUMMYFUNCTION("""COMPUTED_VALUE"""),1.638955E10)</f>
        <v>16389550000</v>
      </c>
      <c r="D1812" s="1"/>
      <c r="E1812" s="1"/>
      <c r="F1812" s="1"/>
      <c r="G1812" s="1"/>
      <c r="H1812" s="1"/>
      <c r="I1812" s="1"/>
      <c r="J1812" s="1"/>
      <c r="K1812" s="1"/>
      <c r="L1812" s="1"/>
      <c r="M1812" s="1"/>
      <c r="N1812" s="1"/>
      <c r="O1812" s="1"/>
      <c r="P1812" s="1"/>
      <c r="Q1812" s="1"/>
      <c r="R1812" s="1"/>
      <c r="S1812" s="1"/>
      <c r="T1812" s="1"/>
      <c r="U1812" s="1"/>
      <c r="V1812" s="1"/>
      <c r="W1812" s="1"/>
      <c r="X1812" s="1"/>
      <c r="Y1812" s="1"/>
      <c r="Z1812" s="1"/>
    </row>
    <row r="1813" ht="15.75" customHeight="1">
      <c r="A1813" s="2">
        <f>IFERROR(__xludf.DUMMYFUNCTION("""COMPUTED_VALUE"""),906000.0)</f>
        <v>906000</v>
      </c>
      <c r="B1813" s="2">
        <f>IFERROR(__xludf.DUMMYFUNCTION("""COMPUTED_VALUE"""),18120.0)</f>
        <v>18120</v>
      </c>
      <c r="C1813" s="66">
        <f>IFERROR(__xludf.DUMMYFUNCTION("""COMPUTED_VALUE"""),1.640766E10)</f>
        <v>16407660000</v>
      </c>
      <c r="D1813" s="1"/>
      <c r="E1813" s="1"/>
      <c r="F1813" s="1"/>
      <c r="G1813" s="1"/>
      <c r="H1813" s="1"/>
      <c r="I1813" s="1"/>
      <c r="J1813" s="1"/>
      <c r="K1813" s="1"/>
      <c r="L1813" s="1"/>
      <c r="M1813" s="1"/>
      <c r="N1813" s="1"/>
      <c r="O1813" s="1"/>
      <c r="P1813" s="1"/>
      <c r="Q1813" s="1"/>
      <c r="R1813" s="1"/>
      <c r="S1813" s="1"/>
      <c r="T1813" s="1"/>
      <c r="U1813" s="1"/>
      <c r="V1813" s="1"/>
      <c r="W1813" s="1"/>
      <c r="X1813" s="1"/>
      <c r="Y1813" s="1"/>
      <c r="Z1813" s="1"/>
    </row>
    <row r="1814" ht="15.75" customHeight="1">
      <c r="A1814" s="2">
        <f>IFERROR(__xludf.DUMMYFUNCTION("""COMPUTED_VALUE"""),906500.0)</f>
        <v>906500</v>
      </c>
      <c r="B1814" s="2">
        <f>IFERROR(__xludf.DUMMYFUNCTION("""COMPUTED_VALUE"""),18130.0)</f>
        <v>18130</v>
      </c>
      <c r="C1814" s="66">
        <f>IFERROR(__xludf.DUMMYFUNCTION("""COMPUTED_VALUE"""),1.642578E10)</f>
        <v>16425780000</v>
      </c>
      <c r="D1814" s="1"/>
      <c r="E1814" s="1"/>
      <c r="F1814" s="1"/>
      <c r="G1814" s="1"/>
      <c r="H1814" s="1"/>
      <c r="I1814" s="1"/>
      <c r="J1814" s="1"/>
      <c r="K1814" s="1"/>
      <c r="L1814" s="1"/>
      <c r="M1814" s="1"/>
      <c r="N1814" s="1"/>
      <c r="O1814" s="1"/>
      <c r="P1814" s="1"/>
      <c r="Q1814" s="1"/>
      <c r="R1814" s="1"/>
      <c r="S1814" s="1"/>
      <c r="T1814" s="1"/>
      <c r="U1814" s="1"/>
      <c r="V1814" s="1"/>
      <c r="W1814" s="1"/>
      <c r="X1814" s="1"/>
      <c r="Y1814" s="1"/>
      <c r="Z1814" s="1"/>
    </row>
    <row r="1815" ht="15.75" customHeight="1">
      <c r="A1815" s="2">
        <f>IFERROR(__xludf.DUMMYFUNCTION("""COMPUTED_VALUE"""),907000.0)</f>
        <v>907000</v>
      </c>
      <c r="B1815" s="2">
        <f>IFERROR(__xludf.DUMMYFUNCTION("""COMPUTED_VALUE"""),18140.0)</f>
        <v>18140</v>
      </c>
      <c r="C1815" s="66">
        <f>IFERROR(__xludf.DUMMYFUNCTION("""COMPUTED_VALUE"""),1.644391E10)</f>
        <v>16443910000</v>
      </c>
      <c r="D1815" s="1"/>
      <c r="E1815" s="1"/>
      <c r="F1815" s="1"/>
      <c r="G1815" s="1"/>
      <c r="H1815" s="1"/>
      <c r="I1815" s="1"/>
      <c r="J1815" s="1"/>
      <c r="K1815" s="1"/>
      <c r="L1815" s="1"/>
      <c r="M1815" s="1"/>
      <c r="N1815" s="1"/>
      <c r="O1815" s="1"/>
      <c r="P1815" s="1"/>
      <c r="Q1815" s="1"/>
      <c r="R1815" s="1"/>
      <c r="S1815" s="1"/>
      <c r="T1815" s="1"/>
      <c r="U1815" s="1"/>
      <c r="V1815" s="1"/>
      <c r="W1815" s="1"/>
      <c r="X1815" s="1"/>
      <c r="Y1815" s="1"/>
      <c r="Z1815" s="1"/>
    </row>
    <row r="1816" ht="15.75" customHeight="1">
      <c r="A1816" s="2">
        <f>IFERROR(__xludf.DUMMYFUNCTION("""COMPUTED_VALUE"""),907500.0)</f>
        <v>907500</v>
      </c>
      <c r="B1816" s="2">
        <f>IFERROR(__xludf.DUMMYFUNCTION("""COMPUTED_VALUE"""),18150.0)</f>
        <v>18150</v>
      </c>
      <c r="C1816" s="66">
        <f>IFERROR(__xludf.DUMMYFUNCTION("""COMPUTED_VALUE"""),1.646205E10)</f>
        <v>16462050000</v>
      </c>
      <c r="D1816" s="1"/>
      <c r="E1816" s="1"/>
      <c r="F1816" s="1"/>
      <c r="G1816" s="1"/>
      <c r="H1816" s="1"/>
      <c r="I1816" s="1"/>
      <c r="J1816" s="1"/>
      <c r="K1816" s="1"/>
      <c r="L1816" s="1"/>
      <c r="M1816" s="1"/>
      <c r="N1816" s="1"/>
      <c r="O1816" s="1"/>
      <c r="P1816" s="1"/>
      <c r="Q1816" s="1"/>
      <c r="R1816" s="1"/>
      <c r="S1816" s="1"/>
      <c r="T1816" s="1"/>
      <c r="U1816" s="1"/>
      <c r="V1816" s="1"/>
      <c r="W1816" s="1"/>
      <c r="X1816" s="1"/>
      <c r="Y1816" s="1"/>
      <c r="Z1816" s="1"/>
    </row>
    <row r="1817" ht="15.75" customHeight="1">
      <c r="A1817" s="2">
        <f>IFERROR(__xludf.DUMMYFUNCTION("""COMPUTED_VALUE"""),908000.0)</f>
        <v>908000</v>
      </c>
      <c r="B1817" s="2">
        <f>IFERROR(__xludf.DUMMYFUNCTION("""COMPUTED_VALUE"""),18160.0)</f>
        <v>18160</v>
      </c>
      <c r="C1817" s="66">
        <f>IFERROR(__xludf.DUMMYFUNCTION("""COMPUTED_VALUE"""),1.64802E10)</f>
        <v>16480200000</v>
      </c>
      <c r="D1817" s="1"/>
      <c r="E1817" s="1"/>
      <c r="F1817" s="1"/>
      <c r="G1817" s="1"/>
      <c r="H1817" s="1"/>
      <c r="I1817" s="1"/>
      <c r="J1817" s="1"/>
      <c r="K1817" s="1"/>
      <c r="L1817" s="1"/>
      <c r="M1817" s="1"/>
      <c r="N1817" s="1"/>
      <c r="O1817" s="1"/>
      <c r="P1817" s="1"/>
      <c r="Q1817" s="1"/>
      <c r="R1817" s="1"/>
      <c r="S1817" s="1"/>
      <c r="T1817" s="1"/>
      <c r="U1817" s="1"/>
      <c r="V1817" s="1"/>
      <c r="W1817" s="1"/>
      <c r="X1817" s="1"/>
      <c r="Y1817" s="1"/>
      <c r="Z1817" s="1"/>
    </row>
    <row r="1818" ht="15.75" customHeight="1">
      <c r="A1818" s="2">
        <f>IFERROR(__xludf.DUMMYFUNCTION("""COMPUTED_VALUE"""),908500.0)</f>
        <v>908500</v>
      </c>
      <c r="B1818" s="2">
        <f>IFERROR(__xludf.DUMMYFUNCTION("""COMPUTED_VALUE"""),18170.0)</f>
        <v>18170</v>
      </c>
      <c r="C1818" s="66">
        <f>IFERROR(__xludf.DUMMYFUNCTION("""COMPUTED_VALUE"""),1.649836E10)</f>
        <v>16498360000</v>
      </c>
      <c r="D1818" s="1"/>
      <c r="E1818" s="1"/>
      <c r="F1818" s="1"/>
      <c r="G1818" s="1"/>
      <c r="H1818" s="1"/>
      <c r="I1818" s="1"/>
      <c r="J1818" s="1"/>
      <c r="K1818" s="1"/>
      <c r="L1818" s="1"/>
      <c r="M1818" s="1"/>
      <c r="N1818" s="1"/>
      <c r="O1818" s="1"/>
      <c r="P1818" s="1"/>
      <c r="Q1818" s="1"/>
      <c r="R1818" s="1"/>
      <c r="S1818" s="1"/>
      <c r="T1818" s="1"/>
      <c r="U1818" s="1"/>
      <c r="V1818" s="1"/>
      <c r="W1818" s="1"/>
      <c r="X1818" s="1"/>
      <c r="Y1818" s="1"/>
      <c r="Z1818" s="1"/>
    </row>
    <row r="1819" ht="15.75" customHeight="1">
      <c r="A1819" s="2">
        <f>IFERROR(__xludf.DUMMYFUNCTION("""COMPUTED_VALUE"""),909000.0)</f>
        <v>909000</v>
      </c>
      <c r="B1819" s="2">
        <f>IFERROR(__xludf.DUMMYFUNCTION("""COMPUTED_VALUE"""),18180.0)</f>
        <v>18180</v>
      </c>
      <c r="C1819" s="66">
        <f>IFERROR(__xludf.DUMMYFUNCTION("""COMPUTED_VALUE"""),1.651653E10)</f>
        <v>16516530000</v>
      </c>
      <c r="D1819" s="1"/>
      <c r="E1819" s="1"/>
      <c r="F1819" s="1"/>
      <c r="G1819" s="1"/>
      <c r="H1819" s="1"/>
      <c r="I1819" s="1"/>
      <c r="J1819" s="1"/>
      <c r="K1819" s="1"/>
      <c r="L1819" s="1"/>
      <c r="M1819" s="1"/>
      <c r="N1819" s="1"/>
      <c r="O1819" s="1"/>
      <c r="P1819" s="1"/>
      <c r="Q1819" s="1"/>
      <c r="R1819" s="1"/>
      <c r="S1819" s="1"/>
      <c r="T1819" s="1"/>
      <c r="U1819" s="1"/>
      <c r="V1819" s="1"/>
      <c r="W1819" s="1"/>
      <c r="X1819" s="1"/>
      <c r="Y1819" s="1"/>
      <c r="Z1819" s="1"/>
    </row>
    <row r="1820" ht="15.75" customHeight="1">
      <c r="A1820" s="2">
        <f>IFERROR(__xludf.DUMMYFUNCTION("""COMPUTED_VALUE"""),909500.0)</f>
        <v>909500</v>
      </c>
      <c r="B1820" s="2">
        <f>IFERROR(__xludf.DUMMYFUNCTION("""COMPUTED_VALUE"""),18190.0)</f>
        <v>18190</v>
      </c>
      <c r="C1820" s="66">
        <f>IFERROR(__xludf.DUMMYFUNCTION("""COMPUTED_VALUE"""),1.653471E10)</f>
        <v>16534710000</v>
      </c>
      <c r="D1820" s="1"/>
      <c r="E1820" s="1"/>
      <c r="F1820" s="1"/>
      <c r="G1820" s="1"/>
      <c r="H1820" s="1"/>
      <c r="I1820" s="1"/>
      <c r="J1820" s="1"/>
      <c r="K1820" s="1"/>
      <c r="L1820" s="1"/>
      <c r="M1820" s="1"/>
      <c r="N1820" s="1"/>
      <c r="O1820" s="1"/>
      <c r="P1820" s="1"/>
      <c r="Q1820" s="1"/>
      <c r="R1820" s="1"/>
      <c r="S1820" s="1"/>
      <c r="T1820" s="1"/>
      <c r="U1820" s="1"/>
      <c r="V1820" s="1"/>
      <c r="W1820" s="1"/>
      <c r="X1820" s="1"/>
      <c r="Y1820" s="1"/>
      <c r="Z1820" s="1"/>
    </row>
    <row r="1821" ht="15.75" customHeight="1">
      <c r="A1821" s="2">
        <f>IFERROR(__xludf.DUMMYFUNCTION("""COMPUTED_VALUE"""),910000.0)</f>
        <v>910000</v>
      </c>
      <c r="B1821" s="2">
        <f>IFERROR(__xludf.DUMMYFUNCTION("""COMPUTED_VALUE"""),18200.0)</f>
        <v>18200</v>
      </c>
      <c r="C1821" s="66">
        <f>IFERROR(__xludf.DUMMYFUNCTION("""COMPUTED_VALUE"""),1.65529E10)</f>
        <v>16552900000</v>
      </c>
      <c r="D1821" s="1"/>
      <c r="E1821" s="1"/>
      <c r="F1821" s="1"/>
      <c r="G1821" s="1"/>
      <c r="H1821" s="1"/>
      <c r="I1821" s="1"/>
      <c r="J1821" s="1"/>
      <c r="K1821" s="1"/>
      <c r="L1821" s="1"/>
      <c r="M1821" s="1"/>
      <c r="N1821" s="1"/>
      <c r="O1821" s="1"/>
      <c r="P1821" s="1"/>
      <c r="Q1821" s="1"/>
      <c r="R1821" s="1"/>
      <c r="S1821" s="1"/>
      <c r="T1821" s="1"/>
      <c r="U1821" s="1"/>
      <c r="V1821" s="1"/>
      <c r="W1821" s="1"/>
      <c r="X1821" s="1"/>
      <c r="Y1821" s="1"/>
      <c r="Z1821" s="1"/>
    </row>
    <row r="1822" ht="15.75" customHeight="1">
      <c r="A1822" s="2">
        <f>IFERROR(__xludf.DUMMYFUNCTION("""COMPUTED_VALUE"""),910500.0)</f>
        <v>910500</v>
      </c>
      <c r="B1822" s="2">
        <f>IFERROR(__xludf.DUMMYFUNCTION("""COMPUTED_VALUE"""),18210.0)</f>
        <v>18210</v>
      </c>
      <c r="C1822" s="66">
        <f>IFERROR(__xludf.DUMMYFUNCTION("""COMPUTED_VALUE"""),1.65711E10)</f>
        <v>16571100000</v>
      </c>
      <c r="D1822" s="1"/>
      <c r="E1822" s="1"/>
      <c r="F1822" s="1"/>
      <c r="G1822" s="1"/>
      <c r="H1822" s="1"/>
      <c r="I1822" s="1"/>
      <c r="J1822" s="1"/>
      <c r="K1822" s="1"/>
      <c r="L1822" s="1"/>
      <c r="M1822" s="1"/>
      <c r="N1822" s="1"/>
      <c r="O1822" s="1"/>
      <c r="P1822" s="1"/>
      <c r="Q1822" s="1"/>
      <c r="R1822" s="1"/>
      <c r="S1822" s="1"/>
      <c r="T1822" s="1"/>
      <c r="U1822" s="1"/>
      <c r="V1822" s="1"/>
      <c r="W1822" s="1"/>
      <c r="X1822" s="1"/>
      <c r="Y1822" s="1"/>
      <c r="Z1822" s="1"/>
    </row>
    <row r="1823" ht="15.75" customHeight="1">
      <c r="A1823" s="2">
        <f>IFERROR(__xludf.DUMMYFUNCTION("""COMPUTED_VALUE"""),911000.0)</f>
        <v>911000</v>
      </c>
      <c r="B1823" s="2">
        <f>IFERROR(__xludf.DUMMYFUNCTION("""COMPUTED_VALUE"""),18220.0)</f>
        <v>18220</v>
      </c>
      <c r="C1823" s="66">
        <f>IFERROR(__xludf.DUMMYFUNCTION("""COMPUTED_VALUE"""),1.658931E10)</f>
        <v>16589310000</v>
      </c>
      <c r="D1823" s="1"/>
      <c r="E1823" s="1"/>
      <c r="F1823" s="1"/>
      <c r="G1823" s="1"/>
      <c r="H1823" s="1"/>
      <c r="I1823" s="1"/>
      <c r="J1823" s="1"/>
      <c r="K1823" s="1"/>
      <c r="L1823" s="1"/>
      <c r="M1823" s="1"/>
      <c r="N1823" s="1"/>
      <c r="O1823" s="1"/>
      <c r="P1823" s="1"/>
      <c r="Q1823" s="1"/>
      <c r="R1823" s="1"/>
      <c r="S1823" s="1"/>
      <c r="T1823" s="1"/>
      <c r="U1823" s="1"/>
      <c r="V1823" s="1"/>
      <c r="W1823" s="1"/>
      <c r="X1823" s="1"/>
      <c r="Y1823" s="1"/>
      <c r="Z1823" s="1"/>
    </row>
    <row r="1824" ht="15.75" customHeight="1">
      <c r="A1824" s="2">
        <f>IFERROR(__xludf.DUMMYFUNCTION("""COMPUTED_VALUE"""),911500.0)</f>
        <v>911500</v>
      </c>
      <c r="B1824" s="2">
        <f>IFERROR(__xludf.DUMMYFUNCTION("""COMPUTED_VALUE"""),18230.0)</f>
        <v>18230</v>
      </c>
      <c r="C1824" s="66">
        <f>IFERROR(__xludf.DUMMYFUNCTION("""COMPUTED_VALUE"""),1.660753E10)</f>
        <v>16607530000</v>
      </c>
      <c r="D1824" s="1"/>
      <c r="E1824" s="1"/>
      <c r="F1824" s="1"/>
      <c r="G1824" s="1"/>
      <c r="H1824" s="1"/>
      <c r="I1824" s="1"/>
      <c r="J1824" s="1"/>
      <c r="K1824" s="1"/>
      <c r="L1824" s="1"/>
      <c r="M1824" s="1"/>
      <c r="N1824" s="1"/>
      <c r="O1824" s="1"/>
      <c r="P1824" s="1"/>
      <c r="Q1824" s="1"/>
      <c r="R1824" s="1"/>
      <c r="S1824" s="1"/>
      <c r="T1824" s="1"/>
      <c r="U1824" s="1"/>
      <c r="V1824" s="1"/>
      <c r="W1824" s="1"/>
      <c r="X1824" s="1"/>
      <c r="Y1824" s="1"/>
      <c r="Z1824" s="1"/>
    </row>
    <row r="1825" ht="15.75" customHeight="1">
      <c r="A1825" s="2">
        <f>IFERROR(__xludf.DUMMYFUNCTION("""COMPUTED_VALUE"""),912000.0)</f>
        <v>912000</v>
      </c>
      <c r="B1825" s="2">
        <f>IFERROR(__xludf.DUMMYFUNCTION("""COMPUTED_VALUE"""),18240.0)</f>
        <v>18240</v>
      </c>
      <c r="C1825" s="66">
        <f>IFERROR(__xludf.DUMMYFUNCTION("""COMPUTED_VALUE"""),1.662576E10)</f>
        <v>16625760000</v>
      </c>
      <c r="D1825" s="1"/>
      <c r="E1825" s="1"/>
      <c r="F1825" s="1"/>
      <c r="G1825" s="1"/>
      <c r="H1825" s="1"/>
      <c r="I1825" s="1"/>
      <c r="J1825" s="1"/>
      <c r="K1825" s="1"/>
      <c r="L1825" s="1"/>
      <c r="M1825" s="1"/>
      <c r="N1825" s="1"/>
      <c r="O1825" s="1"/>
      <c r="P1825" s="1"/>
      <c r="Q1825" s="1"/>
      <c r="R1825" s="1"/>
      <c r="S1825" s="1"/>
      <c r="T1825" s="1"/>
      <c r="U1825" s="1"/>
      <c r="V1825" s="1"/>
      <c r="W1825" s="1"/>
      <c r="X1825" s="1"/>
      <c r="Y1825" s="1"/>
      <c r="Z1825" s="1"/>
    </row>
    <row r="1826" ht="15.75" customHeight="1">
      <c r="A1826" s="2">
        <f>IFERROR(__xludf.DUMMYFUNCTION("""COMPUTED_VALUE"""),912500.0)</f>
        <v>912500</v>
      </c>
      <c r="B1826" s="2">
        <f>IFERROR(__xludf.DUMMYFUNCTION("""COMPUTED_VALUE"""),18250.0)</f>
        <v>18250</v>
      </c>
      <c r="C1826" s="66">
        <f>IFERROR(__xludf.DUMMYFUNCTION("""COMPUTED_VALUE"""),1.6644E10)</f>
        <v>16644000000</v>
      </c>
      <c r="D1826" s="1"/>
      <c r="E1826" s="1"/>
      <c r="F1826" s="1"/>
      <c r="G1826" s="1"/>
      <c r="H1826" s="1"/>
      <c r="I1826" s="1"/>
      <c r="J1826" s="1"/>
      <c r="K1826" s="1"/>
      <c r="L1826" s="1"/>
      <c r="M1826" s="1"/>
      <c r="N1826" s="1"/>
      <c r="O1826" s="1"/>
      <c r="P1826" s="1"/>
      <c r="Q1826" s="1"/>
      <c r="R1826" s="1"/>
      <c r="S1826" s="1"/>
      <c r="T1826" s="1"/>
      <c r="U1826" s="1"/>
      <c r="V1826" s="1"/>
      <c r="W1826" s="1"/>
      <c r="X1826" s="1"/>
      <c r="Y1826" s="1"/>
      <c r="Z1826" s="1"/>
    </row>
    <row r="1827" ht="15.75" customHeight="1">
      <c r="A1827" s="2">
        <f>IFERROR(__xludf.DUMMYFUNCTION("""COMPUTED_VALUE"""),913000.0)</f>
        <v>913000</v>
      </c>
      <c r="B1827" s="2">
        <f>IFERROR(__xludf.DUMMYFUNCTION("""COMPUTED_VALUE"""),18260.0)</f>
        <v>18260</v>
      </c>
      <c r="C1827" s="66">
        <f>IFERROR(__xludf.DUMMYFUNCTION("""COMPUTED_VALUE"""),1.666225E10)</f>
        <v>16662250000</v>
      </c>
      <c r="D1827" s="1"/>
      <c r="E1827" s="1"/>
      <c r="F1827" s="1"/>
      <c r="G1827" s="1"/>
      <c r="H1827" s="1"/>
      <c r="I1827" s="1"/>
      <c r="J1827" s="1"/>
      <c r="K1827" s="1"/>
      <c r="L1827" s="1"/>
      <c r="M1827" s="1"/>
      <c r="N1827" s="1"/>
      <c r="O1827" s="1"/>
      <c r="P1827" s="1"/>
      <c r="Q1827" s="1"/>
      <c r="R1827" s="1"/>
      <c r="S1827" s="1"/>
      <c r="T1827" s="1"/>
      <c r="U1827" s="1"/>
      <c r="V1827" s="1"/>
      <c r="W1827" s="1"/>
      <c r="X1827" s="1"/>
      <c r="Y1827" s="1"/>
      <c r="Z1827" s="1"/>
    </row>
    <row r="1828" ht="15.75" customHeight="1">
      <c r="A1828" s="2">
        <f>IFERROR(__xludf.DUMMYFUNCTION("""COMPUTED_VALUE"""),913500.0)</f>
        <v>913500</v>
      </c>
      <c r="B1828" s="2">
        <f>IFERROR(__xludf.DUMMYFUNCTION("""COMPUTED_VALUE"""),18270.0)</f>
        <v>18270</v>
      </c>
      <c r="C1828" s="66">
        <f>IFERROR(__xludf.DUMMYFUNCTION("""COMPUTED_VALUE"""),1.668051E10)</f>
        <v>16680510000</v>
      </c>
      <c r="D1828" s="1"/>
      <c r="E1828" s="1"/>
      <c r="F1828" s="1"/>
      <c r="G1828" s="1"/>
      <c r="H1828" s="1"/>
      <c r="I1828" s="1"/>
      <c r="J1828" s="1"/>
      <c r="K1828" s="1"/>
      <c r="L1828" s="1"/>
      <c r="M1828" s="1"/>
      <c r="N1828" s="1"/>
      <c r="O1828" s="1"/>
      <c r="P1828" s="1"/>
      <c r="Q1828" s="1"/>
      <c r="R1828" s="1"/>
      <c r="S1828" s="1"/>
      <c r="T1828" s="1"/>
      <c r="U1828" s="1"/>
      <c r="V1828" s="1"/>
      <c r="W1828" s="1"/>
      <c r="X1828" s="1"/>
      <c r="Y1828" s="1"/>
      <c r="Z1828" s="1"/>
    </row>
    <row r="1829" ht="15.75" customHeight="1">
      <c r="A1829" s="2">
        <f>IFERROR(__xludf.DUMMYFUNCTION("""COMPUTED_VALUE"""),914000.0)</f>
        <v>914000</v>
      </c>
      <c r="B1829" s="2">
        <f>IFERROR(__xludf.DUMMYFUNCTION("""COMPUTED_VALUE"""),18280.0)</f>
        <v>18280</v>
      </c>
      <c r="C1829" s="66">
        <f>IFERROR(__xludf.DUMMYFUNCTION("""COMPUTED_VALUE"""),1.669878E10)</f>
        <v>16698780000</v>
      </c>
      <c r="D1829" s="1"/>
      <c r="E1829" s="1"/>
      <c r="F1829" s="1"/>
      <c r="G1829" s="1"/>
      <c r="H1829" s="1"/>
      <c r="I1829" s="1"/>
      <c r="J1829" s="1"/>
      <c r="K1829" s="1"/>
      <c r="L1829" s="1"/>
      <c r="M1829" s="1"/>
      <c r="N1829" s="1"/>
      <c r="O1829" s="1"/>
      <c r="P1829" s="1"/>
      <c r="Q1829" s="1"/>
      <c r="R1829" s="1"/>
      <c r="S1829" s="1"/>
      <c r="T1829" s="1"/>
      <c r="U1829" s="1"/>
      <c r="V1829" s="1"/>
      <c r="W1829" s="1"/>
      <c r="X1829" s="1"/>
      <c r="Y1829" s="1"/>
      <c r="Z1829" s="1"/>
    </row>
    <row r="1830" ht="15.75" customHeight="1">
      <c r="A1830" s="2">
        <f>IFERROR(__xludf.DUMMYFUNCTION("""COMPUTED_VALUE"""),914500.0)</f>
        <v>914500</v>
      </c>
      <c r="B1830" s="2">
        <f>IFERROR(__xludf.DUMMYFUNCTION("""COMPUTED_VALUE"""),18290.0)</f>
        <v>18290</v>
      </c>
      <c r="C1830" s="66">
        <f>IFERROR(__xludf.DUMMYFUNCTION("""COMPUTED_VALUE"""),1.671706E10)</f>
        <v>16717060000</v>
      </c>
      <c r="D1830" s="1"/>
      <c r="E1830" s="1"/>
      <c r="F1830" s="1"/>
      <c r="G1830" s="1"/>
      <c r="H1830" s="1"/>
      <c r="I1830" s="1"/>
      <c r="J1830" s="1"/>
      <c r="K1830" s="1"/>
      <c r="L1830" s="1"/>
      <c r="M1830" s="1"/>
      <c r="N1830" s="1"/>
      <c r="O1830" s="1"/>
      <c r="P1830" s="1"/>
      <c r="Q1830" s="1"/>
      <c r="R1830" s="1"/>
      <c r="S1830" s="1"/>
      <c r="T1830" s="1"/>
      <c r="U1830" s="1"/>
      <c r="V1830" s="1"/>
      <c r="W1830" s="1"/>
      <c r="X1830" s="1"/>
      <c r="Y1830" s="1"/>
      <c r="Z1830" s="1"/>
    </row>
    <row r="1831" ht="15.75" customHeight="1">
      <c r="A1831" s="2">
        <f>IFERROR(__xludf.DUMMYFUNCTION("""COMPUTED_VALUE"""),915000.0)</f>
        <v>915000</v>
      </c>
      <c r="B1831" s="2">
        <f>IFERROR(__xludf.DUMMYFUNCTION("""COMPUTED_VALUE"""),18300.0)</f>
        <v>18300</v>
      </c>
      <c r="C1831" s="66">
        <f>IFERROR(__xludf.DUMMYFUNCTION("""COMPUTED_VALUE"""),1.673535E10)</f>
        <v>16735350000</v>
      </c>
      <c r="D1831" s="1"/>
      <c r="E1831" s="1"/>
      <c r="F1831" s="1"/>
      <c r="G1831" s="1"/>
      <c r="H1831" s="1"/>
      <c r="I1831" s="1"/>
      <c r="J1831" s="1"/>
      <c r="K1831" s="1"/>
      <c r="L1831" s="1"/>
      <c r="M1831" s="1"/>
      <c r="N1831" s="1"/>
      <c r="O1831" s="1"/>
      <c r="P1831" s="1"/>
      <c r="Q1831" s="1"/>
      <c r="R1831" s="1"/>
      <c r="S1831" s="1"/>
      <c r="T1831" s="1"/>
      <c r="U1831" s="1"/>
      <c r="V1831" s="1"/>
      <c r="W1831" s="1"/>
      <c r="X1831" s="1"/>
      <c r="Y1831" s="1"/>
      <c r="Z1831" s="1"/>
    </row>
    <row r="1832" ht="15.75" customHeight="1">
      <c r="A1832" s="2">
        <f>IFERROR(__xludf.DUMMYFUNCTION("""COMPUTED_VALUE"""),915500.0)</f>
        <v>915500</v>
      </c>
      <c r="B1832" s="2">
        <f>IFERROR(__xludf.DUMMYFUNCTION("""COMPUTED_VALUE"""),18310.0)</f>
        <v>18310</v>
      </c>
      <c r="C1832" s="66">
        <f>IFERROR(__xludf.DUMMYFUNCTION("""COMPUTED_VALUE"""),1.675365E10)</f>
        <v>16753650000</v>
      </c>
      <c r="D1832" s="1"/>
      <c r="E1832" s="1"/>
      <c r="F1832" s="1"/>
      <c r="G1832" s="1"/>
      <c r="H1832" s="1"/>
      <c r="I1832" s="1"/>
      <c r="J1832" s="1"/>
      <c r="K1832" s="1"/>
      <c r="L1832" s="1"/>
      <c r="M1832" s="1"/>
      <c r="N1832" s="1"/>
      <c r="O1832" s="1"/>
      <c r="P1832" s="1"/>
      <c r="Q1832" s="1"/>
      <c r="R1832" s="1"/>
      <c r="S1832" s="1"/>
      <c r="T1832" s="1"/>
      <c r="U1832" s="1"/>
      <c r="V1832" s="1"/>
      <c r="W1832" s="1"/>
      <c r="X1832" s="1"/>
      <c r="Y1832" s="1"/>
      <c r="Z1832" s="1"/>
    </row>
    <row r="1833" ht="15.75" customHeight="1">
      <c r="A1833" s="2">
        <f>IFERROR(__xludf.DUMMYFUNCTION("""COMPUTED_VALUE"""),916000.0)</f>
        <v>916000</v>
      </c>
      <c r="B1833" s="2">
        <f>IFERROR(__xludf.DUMMYFUNCTION("""COMPUTED_VALUE"""),18320.0)</f>
        <v>18320</v>
      </c>
      <c r="C1833" s="66">
        <f>IFERROR(__xludf.DUMMYFUNCTION("""COMPUTED_VALUE"""),1.677196E10)</f>
        <v>16771960000</v>
      </c>
      <c r="D1833" s="1"/>
      <c r="E1833" s="1"/>
      <c r="F1833" s="1"/>
      <c r="G1833" s="1"/>
      <c r="H1833" s="1"/>
      <c r="I1833" s="1"/>
      <c r="J1833" s="1"/>
      <c r="K1833" s="1"/>
      <c r="L1833" s="1"/>
      <c r="M1833" s="1"/>
      <c r="N1833" s="1"/>
      <c r="O1833" s="1"/>
      <c r="P1833" s="1"/>
      <c r="Q1833" s="1"/>
      <c r="R1833" s="1"/>
      <c r="S1833" s="1"/>
      <c r="T1833" s="1"/>
      <c r="U1833" s="1"/>
      <c r="V1833" s="1"/>
      <c r="W1833" s="1"/>
      <c r="X1833" s="1"/>
      <c r="Y1833" s="1"/>
      <c r="Z1833" s="1"/>
    </row>
    <row r="1834" ht="15.75" customHeight="1">
      <c r="A1834" s="2">
        <f>IFERROR(__xludf.DUMMYFUNCTION("""COMPUTED_VALUE"""),916500.0)</f>
        <v>916500</v>
      </c>
      <c r="B1834" s="2">
        <f>IFERROR(__xludf.DUMMYFUNCTION("""COMPUTED_VALUE"""),18330.0)</f>
        <v>18330</v>
      </c>
      <c r="C1834" s="66">
        <f>IFERROR(__xludf.DUMMYFUNCTION("""COMPUTED_VALUE"""),1.679028E10)</f>
        <v>16790280000</v>
      </c>
      <c r="D1834" s="1"/>
      <c r="E1834" s="1"/>
      <c r="F1834" s="1"/>
      <c r="G1834" s="1"/>
      <c r="H1834" s="1"/>
      <c r="I1834" s="1"/>
      <c r="J1834" s="1"/>
      <c r="K1834" s="1"/>
      <c r="L1834" s="1"/>
      <c r="M1834" s="1"/>
      <c r="N1834" s="1"/>
      <c r="O1834" s="1"/>
      <c r="P1834" s="1"/>
      <c r="Q1834" s="1"/>
      <c r="R1834" s="1"/>
      <c r="S1834" s="1"/>
      <c r="T1834" s="1"/>
      <c r="U1834" s="1"/>
      <c r="V1834" s="1"/>
      <c r="W1834" s="1"/>
      <c r="X1834" s="1"/>
      <c r="Y1834" s="1"/>
      <c r="Z1834" s="1"/>
    </row>
    <row r="1835" ht="15.75" customHeight="1">
      <c r="A1835" s="2">
        <f>IFERROR(__xludf.DUMMYFUNCTION("""COMPUTED_VALUE"""),917000.0)</f>
        <v>917000</v>
      </c>
      <c r="B1835" s="2">
        <f>IFERROR(__xludf.DUMMYFUNCTION("""COMPUTED_VALUE"""),18340.0)</f>
        <v>18340</v>
      </c>
      <c r="C1835" s="66">
        <f>IFERROR(__xludf.DUMMYFUNCTION("""COMPUTED_VALUE"""),1.680861E10)</f>
        <v>16808610000</v>
      </c>
      <c r="D1835" s="1"/>
      <c r="E1835" s="1"/>
      <c r="F1835" s="1"/>
      <c r="G1835" s="1"/>
      <c r="H1835" s="1"/>
      <c r="I1835" s="1"/>
      <c r="J1835" s="1"/>
      <c r="K1835" s="1"/>
      <c r="L1835" s="1"/>
      <c r="M1835" s="1"/>
      <c r="N1835" s="1"/>
      <c r="O1835" s="1"/>
      <c r="P1835" s="1"/>
      <c r="Q1835" s="1"/>
      <c r="R1835" s="1"/>
      <c r="S1835" s="1"/>
      <c r="T1835" s="1"/>
      <c r="U1835" s="1"/>
      <c r="V1835" s="1"/>
      <c r="W1835" s="1"/>
      <c r="X1835" s="1"/>
      <c r="Y1835" s="1"/>
      <c r="Z1835" s="1"/>
    </row>
    <row r="1836" ht="15.75" customHeight="1">
      <c r="A1836" s="2">
        <f>IFERROR(__xludf.DUMMYFUNCTION("""COMPUTED_VALUE"""),917500.0)</f>
        <v>917500</v>
      </c>
      <c r="B1836" s="2">
        <f>IFERROR(__xludf.DUMMYFUNCTION("""COMPUTED_VALUE"""),18350.0)</f>
        <v>18350</v>
      </c>
      <c r="C1836" s="66">
        <f>IFERROR(__xludf.DUMMYFUNCTION("""COMPUTED_VALUE"""),1.682695E10)</f>
        <v>16826950000</v>
      </c>
      <c r="D1836" s="1"/>
      <c r="E1836" s="1"/>
      <c r="F1836" s="1"/>
      <c r="G1836" s="1"/>
      <c r="H1836" s="1"/>
      <c r="I1836" s="1"/>
      <c r="J1836" s="1"/>
      <c r="K1836" s="1"/>
      <c r="L1836" s="1"/>
      <c r="M1836" s="1"/>
      <c r="N1836" s="1"/>
      <c r="O1836" s="1"/>
      <c r="P1836" s="1"/>
      <c r="Q1836" s="1"/>
      <c r="R1836" s="1"/>
      <c r="S1836" s="1"/>
      <c r="T1836" s="1"/>
      <c r="U1836" s="1"/>
      <c r="V1836" s="1"/>
      <c r="W1836" s="1"/>
      <c r="X1836" s="1"/>
      <c r="Y1836" s="1"/>
      <c r="Z1836" s="1"/>
    </row>
    <row r="1837" ht="15.75" customHeight="1">
      <c r="A1837" s="2">
        <f>IFERROR(__xludf.DUMMYFUNCTION("""COMPUTED_VALUE"""),918000.0)</f>
        <v>918000</v>
      </c>
      <c r="B1837" s="2">
        <f>IFERROR(__xludf.DUMMYFUNCTION("""COMPUTED_VALUE"""),18360.0)</f>
        <v>18360</v>
      </c>
      <c r="C1837" s="66">
        <f>IFERROR(__xludf.DUMMYFUNCTION("""COMPUTED_VALUE"""),1.68453E10)</f>
        <v>16845300000</v>
      </c>
      <c r="D1837" s="1"/>
      <c r="E1837" s="1"/>
      <c r="F1837" s="1"/>
      <c r="G1837" s="1"/>
      <c r="H1837" s="1"/>
      <c r="I1837" s="1"/>
      <c r="J1837" s="1"/>
      <c r="K1837" s="1"/>
      <c r="L1837" s="1"/>
      <c r="M1837" s="1"/>
      <c r="N1837" s="1"/>
      <c r="O1837" s="1"/>
      <c r="P1837" s="1"/>
      <c r="Q1837" s="1"/>
      <c r="R1837" s="1"/>
      <c r="S1837" s="1"/>
      <c r="T1837" s="1"/>
      <c r="U1837" s="1"/>
      <c r="V1837" s="1"/>
      <c r="W1837" s="1"/>
      <c r="X1837" s="1"/>
      <c r="Y1837" s="1"/>
      <c r="Z1837" s="1"/>
    </row>
    <row r="1838" ht="15.75" customHeight="1">
      <c r="A1838" s="2">
        <f>IFERROR(__xludf.DUMMYFUNCTION("""COMPUTED_VALUE"""),918500.0)</f>
        <v>918500</v>
      </c>
      <c r="B1838" s="2">
        <f>IFERROR(__xludf.DUMMYFUNCTION("""COMPUTED_VALUE"""),18370.0)</f>
        <v>18370</v>
      </c>
      <c r="C1838" s="66">
        <f>IFERROR(__xludf.DUMMYFUNCTION("""COMPUTED_VALUE"""),1.686366E10)</f>
        <v>16863660000</v>
      </c>
      <c r="D1838" s="1"/>
      <c r="E1838" s="1"/>
      <c r="F1838" s="1"/>
      <c r="G1838" s="1"/>
      <c r="H1838" s="1"/>
      <c r="I1838" s="1"/>
      <c r="J1838" s="1"/>
      <c r="K1838" s="1"/>
      <c r="L1838" s="1"/>
      <c r="M1838" s="1"/>
      <c r="N1838" s="1"/>
      <c r="O1838" s="1"/>
      <c r="P1838" s="1"/>
      <c r="Q1838" s="1"/>
      <c r="R1838" s="1"/>
      <c r="S1838" s="1"/>
      <c r="T1838" s="1"/>
      <c r="U1838" s="1"/>
      <c r="V1838" s="1"/>
      <c r="W1838" s="1"/>
      <c r="X1838" s="1"/>
      <c r="Y1838" s="1"/>
      <c r="Z1838" s="1"/>
    </row>
    <row r="1839" ht="15.75" customHeight="1">
      <c r="A1839" s="2">
        <f>IFERROR(__xludf.DUMMYFUNCTION("""COMPUTED_VALUE"""),919000.0)</f>
        <v>919000</v>
      </c>
      <c r="B1839" s="2">
        <f>IFERROR(__xludf.DUMMYFUNCTION("""COMPUTED_VALUE"""),18380.0)</f>
        <v>18380</v>
      </c>
      <c r="C1839" s="66">
        <f>IFERROR(__xludf.DUMMYFUNCTION("""COMPUTED_VALUE"""),1.688203E10)</f>
        <v>16882030000</v>
      </c>
      <c r="D1839" s="1"/>
      <c r="E1839" s="1"/>
      <c r="F1839" s="1"/>
      <c r="G1839" s="1"/>
      <c r="H1839" s="1"/>
      <c r="I1839" s="1"/>
      <c r="J1839" s="1"/>
      <c r="K1839" s="1"/>
      <c r="L1839" s="1"/>
      <c r="M1839" s="1"/>
      <c r="N1839" s="1"/>
      <c r="O1839" s="1"/>
      <c r="P1839" s="1"/>
      <c r="Q1839" s="1"/>
      <c r="R1839" s="1"/>
      <c r="S1839" s="1"/>
      <c r="T1839" s="1"/>
      <c r="U1839" s="1"/>
      <c r="V1839" s="1"/>
      <c r="W1839" s="1"/>
      <c r="X1839" s="1"/>
      <c r="Y1839" s="1"/>
      <c r="Z1839" s="1"/>
    </row>
    <row r="1840" ht="15.75" customHeight="1">
      <c r="A1840" s="2">
        <f>IFERROR(__xludf.DUMMYFUNCTION("""COMPUTED_VALUE"""),919500.0)</f>
        <v>919500</v>
      </c>
      <c r="B1840" s="2">
        <f>IFERROR(__xludf.DUMMYFUNCTION("""COMPUTED_VALUE"""),18390.0)</f>
        <v>18390</v>
      </c>
      <c r="C1840" s="66">
        <f>IFERROR(__xludf.DUMMYFUNCTION("""COMPUTED_VALUE"""),1.690041E10)</f>
        <v>16900410000</v>
      </c>
      <c r="D1840" s="1"/>
      <c r="E1840" s="1"/>
      <c r="F1840" s="1"/>
      <c r="G1840" s="1"/>
      <c r="H1840" s="1"/>
      <c r="I1840" s="1"/>
      <c r="J1840" s="1"/>
      <c r="K1840" s="1"/>
      <c r="L1840" s="1"/>
      <c r="M1840" s="1"/>
      <c r="N1840" s="1"/>
      <c r="O1840" s="1"/>
      <c r="P1840" s="1"/>
      <c r="Q1840" s="1"/>
      <c r="R1840" s="1"/>
      <c r="S1840" s="1"/>
      <c r="T1840" s="1"/>
      <c r="U1840" s="1"/>
      <c r="V1840" s="1"/>
      <c r="W1840" s="1"/>
      <c r="X1840" s="1"/>
      <c r="Y1840" s="1"/>
      <c r="Z1840" s="1"/>
    </row>
    <row r="1841" ht="15.75" customHeight="1">
      <c r="A1841" s="2">
        <f>IFERROR(__xludf.DUMMYFUNCTION("""COMPUTED_VALUE"""),920000.0)</f>
        <v>920000</v>
      </c>
      <c r="B1841" s="2">
        <f>IFERROR(__xludf.DUMMYFUNCTION("""COMPUTED_VALUE"""),18400.0)</f>
        <v>18400</v>
      </c>
      <c r="C1841" s="66">
        <f>IFERROR(__xludf.DUMMYFUNCTION("""COMPUTED_VALUE"""),1.69188E10)</f>
        <v>16918800000</v>
      </c>
      <c r="D1841" s="1"/>
      <c r="E1841" s="1"/>
      <c r="F1841" s="1"/>
      <c r="G1841" s="1"/>
      <c r="H1841" s="1"/>
      <c r="I1841" s="1"/>
      <c r="J1841" s="1"/>
      <c r="K1841" s="1"/>
      <c r="L1841" s="1"/>
      <c r="M1841" s="1"/>
      <c r="N1841" s="1"/>
      <c r="O1841" s="1"/>
      <c r="P1841" s="1"/>
      <c r="Q1841" s="1"/>
      <c r="R1841" s="1"/>
      <c r="S1841" s="1"/>
      <c r="T1841" s="1"/>
      <c r="U1841" s="1"/>
      <c r="V1841" s="1"/>
      <c r="W1841" s="1"/>
      <c r="X1841" s="1"/>
      <c r="Y1841" s="1"/>
      <c r="Z1841" s="1"/>
    </row>
    <row r="1842" ht="15.75" customHeight="1">
      <c r="A1842" s="2">
        <f>IFERROR(__xludf.DUMMYFUNCTION("""COMPUTED_VALUE"""),920500.0)</f>
        <v>920500</v>
      </c>
      <c r="B1842" s="2">
        <f>IFERROR(__xludf.DUMMYFUNCTION("""COMPUTED_VALUE"""),18410.0)</f>
        <v>18410</v>
      </c>
      <c r="C1842" s="66">
        <f>IFERROR(__xludf.DUMMYFUNCTION("""COMPUTED_VALUE"""),1.69372E10)</f>
        <v>16937200000</v>
      </c>
      <c r="D1842" s="1"/>
      <c r="E1842" s="1"/>
      <c r="F1842" s="1"/>
      <c r="G1842" s="1"/>
      <c r="H1842" s="1"/>
      <c r="I1842" s="1"/>
      <c r="J1842" s="1"/>
      <c r="K1842" s="1"/>
      <c r="L1842" s="1"/>
      <c r="M1842" s="1"/>
      <c r="N1842" s="1"/>
      <c r="O1842" s="1"/>
      <c r="P1842" s="1"/>
      <c r="Q1842" s="1"/>
      <c r="R1842" s="1"/>
      <c r="S1842" s="1"/>
      <c r="T1842" s="1"/>
      <c r="U1842" s="1"/>
      <c r="V1842" s="1"/>
      <c r="W1842" s="1"/>
      <c r="X1842" s="1"/>
      <c r="Y1842" s="1"/>
      <c r="Z1842" s="1"/>
    </row>
    <row r="1843" ht="15.75" customHeight="1">
      <c r="A1843" s="2">
        <f>IFERROR(__xludf.DUMMYFUNCTION("""COMPUTED_VALUE"""),921000.0)</f>
        <v>921000</v>
      </c>
      <c r="B1843" s="2">
        <f>IFERROR(__xludf.DUMMYFUNCTION("""COMPUTED_VALUE"""),18420.0)</f>
        <v>18420</v>
      </c>
      <c r="C1843" s="66">
        <f>IFERROR(__xludf.DUMMYFUNCTION("""COMPUTED_VALUE"""),1.695561E10)</f>
        <v>16955610000</v>
      </c>
      <c r="D1843" s="1"/>
      <c r="E1843" s="1"/>
      <c r="F1843" s="1"/>
      <c r="G1843" s="1"/>
      <c r="H1843" s="1"/>
      <c r="I1843" s="1"/>
      <c r="J1843" s="1"/>
      <c r="K1843" s="1"/>
      <c r="L1843" s="1"/>
      <c r="M1843" s="1"/>
      <c r="N1843" s="1"/>
      <c r="O1843" s="1"/>
      <c r="P1843" s="1"/>
      <c r="Q1843" s="1"/>
      <c r="R1843" s="1"/>
      <c r="S1843" s="1"/>
      <c r="T1843" s="1"/>
      <c r="U1843" s="1"/>
      <c r="V1843" s="1"/>
      <c r="W1843" s="1"/>
      <c r="X1843" s="1"/>
      <c r="Y1843" s="1"/>
      <c r="Z1843" s="1"/>
    </row>
    <row r="1844" ht="15.75" customHeight="1">
      <c r="A1844" s="2">
        <f>IFERROR(__xludf.DUMMYFUNCTION("""COMPUTED_VALUE"""),921500.0)</f>
        <v>921500</v>
      </c>
      <c r="B1844" s="2">
        <f>IFERROR(__xludf.DUMMYFUNCTION("""COMPUTED_VALUE"""),18430.0)</f>
        <v>18430</v>
      </c>
      <c r="C1844" s="66">
        <f>IFERROR(__xludf.DUMMYFUNCTION("""COMPUTED_VALUE"""),1.697403E10)</f>
        <v>16974030000</v>
      </c>
      <c r="D1844" s="1"/>
      <c r="E1844" s="1"/>
      <c r="F1844" s="1"/>
      <c r="G1844" s="1"/>
      <c r="H1844" s="1"/>
      <c r="I1844" s="1"/>
      <c r="J1844" s="1"/>
      <c r="K1844" s="1"/>
      <c r="L1844" s="1"/>
      <c r="M1844" s="1"/>
      <c r="N1844" s="1"/>
      <c r="O1844" s="1"/>
      <c r="P1844" s="1"/>
      <c r="Q1844" s="1"/>
      <c r="R1844" s="1"/>
      <c r="S1844" s="1"/>
      <c r="T1844" s="1"/>
      <c r="U1844" s="1"/>
      <c r="V1844" s="1"/>
      <c r="W1844" s="1"/>
      <c r="X1844" s="1"/>
      <c r="Y1844" s="1"/>
      <c r="Z1844" s="1"/>
    </row>
    <row r="1845" ht="15.75" customHeight="1">
      <c r="A1845" s="2">
        <f>IFERROR(__xludf.DUMMYFUNCTION("""COMPUTED_VALUE"""),922000.0)</f>
        <v>922000</v>
      </c>
      <c r="B1845" s="2">
        <f>IFERROR(__xludf.DUMMYFUNCTION("""COMPUTED_VALUE"""),18440.0)</f>
        <v>18440</v>
      </c>
      <c r="C1845" s="66">
        <f>IFERROR(__xludf.DUMMYFUNCTION("""COMPUTED_VALUE"""),1.699246E10)</f>
        <v>16992460000</v>
      </c>
      <c r="D1845" s="1"/>
      <c r="E1845" s="1"/>
      <c r="F1845" s="1"/>
      <c r="G1845" s="1"/>
      <c r="H1845" s="1"/>
      <c r="I1845" s="1"/>
      <c r="J1845" s="1"/>
      <c r="K1845" s="1"/>
      <c r="L1845" s="1"/>
      <c r="M1845" s="1"/>
      <c r="N1845" s="1"/>
      <c r="O1845" s="1"/>
      <c r="P1845" s="1"/>
      <c r="Q1845" s="1"/>
      <c r="R1845" s="1"/>
      <c r="S1845" s="1"/>
      <c r="T1845" s="1"/>
      <c r="U1845" s="1"/>
      <c r="V1845" s="1"/>
      <c r="W1845" s="1"/>
      <c r="X1845" s="1"/>
      <c r="Y1845" s="1"/>
      <c r="Z1845" s="1"/>
    </row>
    <row r="1846" ht="15.75" customHeight="1">
      <c r="A1846" s="2">
        <f>IFERROR(__xludf.DUMMYFUNCTION("""COMPUTED_VALUE"""),922500.0)</f>
        <v>922500</v>
      </c>
      <c r="B1846" s="2">
        <f>IFERROR(__xludf.DUMMYFUNCTION("""COMPUTED_VALUE"""),18450.0)</f>
        <v>18450</v>
      </c>
      <c r="C1846" s="66">
        <f>IFERROR(__xludf.DUMMYFUNCTION("""COMPUTED_VALUE"""),1.70109E10)</f>
        <v>17010900000</v>
      </c>
      <c r="D1846" s="1"/>
      <c r="E1846" s="1"/>
      <c r="F1846" s="1"/>
      <c r="G1846" s="1"/>
      <c r="H1846" s="1"/>
      <c r="I1846" s="1"/>
      <c r="J1846" s="1"/>
      <c r="K1846" s="1"/>
      <c r="L1846" s="1"/>
      <c r="M1846" s="1"/>
      <c r="N1846" s="1"/>
      <c r="O1846" s="1"/>
      <c r="P1846" s="1"/>
      <c r="Q1846" s="1"/>
      <c r="R1846" s="1"/>
      <c r="S1846" s="1"/>
      <c r="T1846" s="1"/>
      <c r="U1846" s="1"/>
      <c r="V1846" s="1"/>
      <c r="W1846" s="1"/>
      <c r="X1846" s="1"/>
      <c r="Y1846" s="1"/>
      <c r="Z1846" s="1"/>
    </row>
    <row r="1847" ht="15.75" customHeight="1">
      <c r="A1847" s="2">
        <f>IFERROR(__xludf.DUMMYFUNCTION("""COMPUTED_VALUE"""),923000.0)</f>
        <v>923000</v>
      </c>
      <c r="B1847" s="2">
        <f>IFERROR(__xludf.DUMMYFUNCTION("""COMPUTED_VALUE"""),18460.0)</f>
        <v>18460</v>
      </c>
      <c r="C1847" s="66">
        <f>IFERROR(__xludf.DUMMYFUNCTION("""COMPUTED_VALUE"""),1.702935E10)</f>
        <v>17029350000</v>
      </c>
      <c r="D1847" s="1"/>
      <c r="E1847" s="1"/>
      <c r="F1847" s="1"/>
      <c r="G1847" s="1"/>
      <c r="H1847" s="1"/>
      <c r="I1847" s="1"/>
      <c r="J1847" s="1"/>
      <c r="K1847" s="1"/>
      <c r="L1847" s="1"/>
      <c r="M1847" s="1"/>
      <c r="N1847" s="1"/>
      <c r="O1847" s="1"/>
      <c r="P1847" s="1"/>
      <c r="Q1847" s="1"/>
      <c r="R1847" s="1"/>
      <c r="S1847" s="1"/>
      <c r="T1847" s="1"/>
      <c r="U1847" s="1"/>
      <c r="V1847" s="1"/>
      <c r="W1847" s="1"/>
      <c r="X1847" s="1"/>
      <c r="Y1847" s="1"/>
      <c r="Z1847" s="1"/>
    </row>
    <row r="1848" ht="15.75" customHeight="1">
      <c r="A1848" s="2">
        <f>IFERROR(__xludf.DUMMYFUNCTION("""COMPUTED_VALUE"""),923500.0)</f>
        <v>923500</v>
      </c>
      <c r="B1848" s="2">
        <f>IFERROR(__xludf.DUMMYFUNCTION("""COMPUTED_VALUE"""),18470.0)</f>
        <v>18470</v>
      </c>
      <c r="C1848" s="66">
        <f>IFERROR(__xludf.DUMMYFUNCTION("""COMPUTED_VALUE"""),1.704781E10)</f>
        <v>17047810000</v>
      </c>
      <c r="D1848" s="1"/>
      <c r="E1848" s="1"/>
      <c r="F1848" s="1"/>
      <c r="G1848" s="1"/>
      <c r="H1848" s="1"/>
      <c r="I1848" s="1"/>
      <c r="J1848" s="1"/>
      <c r="K1848" s="1"/>
      <c r="L1848" s="1"/>
      <c r="M1848" s="1"/>
      <c r="N1848" s="1"/>
      <c r="O1848" s="1"/>
      <c r="P1848" s="1"/>
      <c r="Q1848" s="1"/>
      <c r="R1848" s="1"/>
      <c r="S1848" s="1"/>
      <c r="T1848" s="1"/>
      <c r="U1848" s="1"/>
      <c r="V1848" s="1"/>
      <c r="W1848" s="1"/>
      <c r="X1848" s="1"/>
      <c r="Y1848" s="1"/>
      <c r="Z1848" s="1"/>
    </row>
    <row r="1849" ht="15.75" customHeight="1">
      <c r="A1849" s="2">
        <f>IFERROR(__xludf.DUMMYFUNCTION("""COMPUTED_VALUE"""),924000.0)</f>
        <v>924000</v>
      </c>
      <c r="B1849" s="2">
        <f>IFERROR(__xludf.DUMMYFUNCTION("""COMPUTED_VALUE"""),18480.0)</f>
        <v>18480</v>
      </c>
      <c r="C1849" s="66">
        <f>IFERROR(__xludf.DUMMYFUNCTION("""COMPUTED_VALUE"""),1.706628E10)</f>
        <v>17066280000</v>
      </c>
      <c r="D1849" s="1"/>
      <c r="E1849" s="1"/>
      <c r="F1849" s="1"/>
      <c r="G1849" s="1"/>
      <c r="H1849" s="1"/>
      <c r="I1849" s="1"/>
      <c r="J1849" s="1"/>
      <c r="K1849" s="1"/>
      <c r="L1849" s="1"/>
      <c r="M1849" s="1"/>
      <c r="N1849" s="1"/>
      <c r="O1849" s="1"/>
      <c r="P1849" s="1"/>
      <c r="Q1849" s="1"/>
      <c r="R1849" s="1"/>
      <c r="S1849" s="1"/>
      <c r="T1849" s="1"/>
      <c r="U1849" s="1"/>
      <c r="V1849" s="1"/>
      <c r="W1849" s="1"/>
      <c r="X1849" s="1"/>
      <c r="Y1849" s="1"/>
      <c r="Z1849" s="1"/>
    </row>
    <row r="1850" ht="15.75" customHeight="1">
      <c r="A1850" s="2">
        <f>IFERROR(__xludf.DUMMYFUNCTION("""COMPUTED_VALUE"""),924500.0)</f>
        <v>924500</v>
      </c>
      <c r="B1850" s="2">
        <f>IFERROR(__xludf.DUMMYFUNCTION("""COMPUTED_VALUE"""),18490.0)</f>
        <v>18490</v>
      </c>
      <c r="C1850" s="66">
        <f>IFERROR(__xludf.DUMMYFUNCTION("""COMPUTED_VALUE"""),1.708476E10)</f>
        <v>17084760000</v>
      </c>
      <c r="D1850" s="1"/>
      <c r="E1850" s="1"/>
      <c r="F1850" s="1"/>
      <c r="G1850" s="1"/>
      <c r="H1850" s="1"/>
      <c r="I1850" s="1"/>
      <c r="J1850" s="1"/>
      <c r="K1850" s="1"/>
      <c r="L1850" s="1"/>
      <c r="M1850" s="1"/>
      <c r="N1850" s="1"/>
      <c r="O1850" s="1"/>
      <c r="P1850" s="1"/>
      <c r="Q1850" s="1"/>
      <c r="R1850" s="1"/>
      <c r="S1850" s="1"/>
      <c r="T1850" s="1"/>
      <c r="U1850" s="1"/>
      <c r="V1850" s="1"/>
      <c r="W1850" s="1"/>
      <c r="X1850" s="1"/>
      <c r="Y1850" s="1"/>
      <c r="Z1850" s="1"/>
    </row>
    <row r="1851" ht="15.75" customHeight="1">
      <c r="A1851" s="2">
        <f>IFERROR(__xludf.DUMMYFUNCTION("""COMPUTED_VALUE"""),925000.0)</f>
        <v>925000</v>
      </c>
      <c r="B1851" s="2">
        <f>IFERROR(__xludf.DUMMYFUNCTION("""COMPUTED_VALUE"""),18500.0)</f>
        <v>18500</v>
      </c>
      <c r="C1851" s="66">
        <f>IFERROR(__xludf.DUMMYFUNCTION("""COMPUTED_VALUE"""),1.710325E10)</f>
        <v>17103250000</v>
      </c>
      <c r="D1851" s="1"/>
      <c r="E1851" s="1"/>
      <c r="F1851" s="1"/>
      <c r="G1851" s="1"/>
      <c r="H1851" s="1"/>
      <c r="I1851" s="1"/>
      <c r="J1851" s="1"/>
      <c r="K1851" s="1"/>
      <c r="L1851" s="1"/>
      <c r="M1851" s="1"/>
      <c r="N1851" s="1"/>
      <c r="O1851" s="1"/>
      <c r="P1851" s="1"/>
      <c r="Q1851" s="1"/>
      <c r="R1851" s="1"/>
      <c r="S1851" s="1"/>
      <c r="T1851" s="1"/>
      <c r="U1851" s="1"/>
      <c r="V1851" s="1"/>
      <c r="W1851" s="1"/>
      <c r="X1851" s="1"/>
      <c r="Y1851" s="1"/>
      <c r="Z1851" s="1"/>
    </row>
    <row r="1852" ht="15.75" customHeight="1">
      <c r="A1852" s="2">
        <f>IFERROR(__xludf.DUMMYFUNCTION("""COMPUTED_VALUE"""),925500.0)</f>
        <v>925500</v>
      </c>
      <c r="B1852" s="2">
        <f>IFERROR(__xludf.DUMMYFUNCTION("""COMPUTED_VALUE"""),18510.0)</f>
        <v>18510</v>
      </c>
      <c r="C1852" s="66">
        <f>IFERROR(__xludf.DUMMYFUNCTION("""COMPUTED_VALUE"""),1.712175E10)</f>
        <v>17121750000</v>
      </c>
      <c r="D1852" s="1"/>
      <c r="E1852" s="1"/>
      <c r="F1852" s="1"/>
      <c r="G1852" s="1"/>
      <c r="H1852" s="1"/>
      <c r="I1852" s="1"/>
      <c r="J1852" s="1"/>
      <c r="K1852" s="1"/>
      <c r="L1852" s="1"/>
      <c r="M1852" s="1"/>
      <c r="N1852" s="1"/>
      <c r="O1852" s="1"/>
      <c r="P1852" s="1"/>
      <c r="Q1852" s="1"/>
      <c r="R1852" s="1"/>
      <c r="S1852" s="1"/>
      <c r="T1852" s="1"/>
      <c r="U1852" s="1"/>
      <c r="V1852" s="1"/>
      <c r="W1852" s="1"/>
      <c r="X1852" s="1"/>
      <c r="Y1852" s="1"/>
      <c r="Z1852" s="1"/>
    </row>
    <row r="1853" ht="15.75" customHeight="1">
      <c r="A1853" s="2">
        <f>IFERROR(__xludf.DUMMYFUNCTION("""COMPUTED_VALUE"""),926000.0)</f>
        <v>926000</v>
      </c>
      <c r="B1853" s="2">
        <f>IFERROR(__xludf.DUMMYFUNCTION("""COMPUTED_VALUE"""),18520.0)</f>
        <v>18520</v>
      </c>
      <c r="C1853" s="66">
        <f>IFERROR(__xludf.DUMMYFUNCTION("""COMPUTED_VALUE"""),1.714026E10)</f>
        <v>17140260000</v>
      </c>
      <c r="D1853" s="1"/>
      <c r="E1853" s="1"/>
      <c r="F1853" s="1"/>
      <c r="G1853" s="1"/>
      <c r="H1853" s="1"/>
      <c r="I1853" s="1"/>
      <c r="J1853" s="1"/>
      <c r="K1853" s="1"/>
      <c r="L1853" s="1"/>
      <c r="M1853" s="1"/>
      <c r="N1853" s="1"/>
      <c r="O1853" s="1"/>
      <c r="P1853" s="1"/>
      <c r="Q1853" s="1"/>
      <c r="R1853" s="1"/>
      <c r="S1853" s="1"/>
      <c r="T1853" s="1"/>
      <c r="U1853" s="1"/>
      <c r="V1853" s="1"/>
      <c r="W1853" s="1"/>
      <c r="X1853" s="1"/>
      <c r="Y1853" s="1"/>
      <c r="Z1853" s="1"/>
    </row>
    <row r="1854" ht="15.75" customHeight="1">
      <c r="A1854" s="2">
        <f>IFERROR(__xludf.DUMMYFUNCTION("""COMPUTED_VALUE"""),926500.0)</f>
        <v>926500</v>
      </c>
      <c r="B1854" s="2">
        <f>IFERROR(__xludf.DUMMYFUNCTION("""COMPUTED_VALUE"""),18530.0)</f>
        <v>18530</v>
      </c>
      <c r="C1854" s="66">
        <f>IFERROR(__xludf.DUMMYFUNCTION("""COMPUTED_VALUE"""),1.715878E10)</f>
        <v>17158780000</v>
      </c>
      <c r="D1854" s="1"/>
      <c r="E1854" s="1"/>
      <c r="F1854" s="1"/>
      <c r="G1854" s="1"/>
      <c r="H1854" s="1"/>
      <c r="I1854" s="1"/>
      <c r="J1854" s="1"/>
      <c r="K1854" s="1"/>
      <c r="L1854" s="1"/>
      <c r="M1854" s="1"/>
      <c r="N1854" s="1"/>
      <c r="O1854" s="1"/>
      <c r="P1854" s="1"/>
      <c r="Q1854" s="1"/>
      <c r="R1854" s="1"/>
      <c r="S1854" s="1"/>
      <c r="T1854" s="1"/>
      <c r="U1854" s="1"/>
      <c r="V1854" s="1"/>
      <c r="W1854" s="1"/>
      <c r="X1854" s="1"/>
      <c r="Y1854" s="1"/>
      <c r="Z1854" s="1"/>
    </row>
    <row r="1855" ht="15.75" customHeight="1">
      <c r="A1855" s="2">
        <f>IFERROR(__xludf.DUMMYFUNCTION("""COMPUTED_VALUE"""),927000.0)</f>
        <v>927000</v>
      </c>
      <c r="B1855" s="2">
        <f>IFERROR(__xludf.DUMMYFUNCTION("""COMPUTED_VALUE"""),18540.0)</f>
        <v>18540</v>
      </c>
      <c r="C1855" s="66">
        <f>IFERROR(__xludf.DUMMYFUNCTION("""COMPUTED_VALUE"""),1.717731E10)</f>
        <v>17177310000</v>
      </c>
      <c r="D1855" s="1"/>
      <c r="E1855" s="1"/>
      <c r="F1855" s="1"/>
      <c r="G1855" s="1"/>
      <c r="H1855" s="1"/>
      <c r="I1855" s="1"/>
      <c r="J1855" s="1"/>
      <c r="K1855" s="1"/>
      <c r="L1855" s="1"/>
      <c r="M1855" s="1"/>
      <c r="N1855" s="1"/>
      <c r="O1855" s="1"/>
      <c r="P1855" s="1"/>
      <c r="Q1855" s="1"/>
      <c r="R1855" s="1"/>
      <c r="S1855" s="1"/>
      <c r="T1855" s="1"/>
      <c r="U1855" s="1"/>
      <c r="V1855" s="1"/>
      <c r="W1855" s="1"/>
      <c r="X1855" s="1"/>
      <c r="Y1855" s="1"/>
      <c r="Z1855" s="1"/>
    </row>
    <row r="1856" ht="15.75" customHeight="1">
      <c r="A1856" s="2">
        <f>IFERROR(__xludf.DUMMYFUNCTION("""COMPUTED_VALUE"""),927500.0)</f>
        <v>927500</v>
      </c>
      <c r="B1856" s="2">
        <f>IFERROR(__xludf.DUMMYFUNCTION("""COMPUTED_VALUE"""),18550.0)</f>
        <v>18550</v>
      </c>
      <c r="C1856" s="66">
        <f>IFERROR(__xludf.DUMMYFUNCTION("""COMPUTED_VALUE"""),1.719585E10)</f>
        <v>17195850000</v>
      </c>
      <c r="D1856" s="1"/>
      <c r="E1856" s="1"/>
      <c r="F1856" s="1"/>
      <c r="G1856" s="1"/>
      <c r="H1856" s="1"/>
      <c r="I1856" s="1"/>
      <c r="J1856" s="1"/>
      <c r="K1856" s="1"/>
      <c r="L1856" s="1"/>
      <c r="M1856" s="1"/>
      <c r="N1856" s="1"/>
      <c r="O1856" s="1"/>
      <c r="P1856" s="1"/>
      <c r="Q1856" s="1"/>
      <c r="R1856" s="1"/>
      <c r="S1856" s="1"/>
      <c r="T1856" s="1"/>
      <c r="U1856" s="1"/>
      <c r="V1856" s="1"/>
      <c r="W1856" s="1"/>
      <c r="X1856" s="1"/>
      <c r="Y1856" s="1"/>
      <c r="Z1856" s="1"/>
    </row>
    <row r="1857" ht="15.75" customHeight="1">
      <c r="A1857" s="2">
        <f>IFERROR(__xludf.DUMMYFUNCTION("""COMPUTED_VALUE"""),928000.0)</f>
        <v>928000</v>
      </c>
      <c r="B1857" s="2">
        <f>IFERROR(__xludf.DUMMYFUNCTION("""COMPUTED_VALUE"""),18560.0)</f>
        <v>18560</v>
      </c>
      <c r="C1857" s="66">
        <f>IFERROR(__xludf.DUMMYFUNCTION("""COMPUTED_VALUE"""),1.72144E10)</f>
        <v>17214400000</v>
      </c>
      <c r="D1857" s="1"/>
      <c r="E1857" s="1"/>
      <c r="F1857" s="1"/>
      <c r="G1857" s="1"/>
      <c r="H1857" s="1"/>
      <c r="I1857" s="1"/>
      <c r="J1857" s="1"/>
      <c r="K1857" s="1"/>
      <c r="L1857" s="1"/>
      <c r="M1857" s="1"/>
      <c r="N1857" s="1"/>
      <c r="O1857" s="1"/>
      <c r="P1857" s="1"/>
      <c r="Q1857" s="1"/>
      <c r="R1857" s="1"/>
      <c r="S1857" s="1"/>
      <c r="T1857" s="1"/>
      <c r="U1857" s="1"/>
      <c r="V1857" s="1"/>
      <c r="W1857" s="1"/>
      <c r="X1857" s="1"/>
      <c r="Y1857" s="1"/>
      <c r="Z1857" s="1"/>
    </row>
    <row r="1858" ht="15.75" customHeight="1">
      <c r="A1858" s="2">
        <f>IFERROR(__xludf.DUMMYFUNCTION("""COMPUTED_VALUE"""),928500.0)</f>
        <v>928500</v>
      </c>
      <c r="B1858" s="2">
        <f>IFERROR(__xludf.DUMMYFUNCTION("""COMPUTED_VALUE"""),18570.0)</f>
        <v>18570</v>
      </c>
      <c r="C1858" s="66">
        <f>IFERROR(__xludf.DUMMYFUNCTION("""COMPUTED_VALUE"""),1.723296E10)</f>
        <v>17232960000</v>
      </c>
      <c r="D1858" s="1"/>
      <c r="E1858" s="1"/>
      <c r="F1858" s="1"/>
      <c r="G1858" s="1"/>
      <c r="H1858" s="1"/>
      <c r="I1858" s="1"/>
      <c r="J1858" s="1"/>
      <c r="K1858" s="1"/>
      <c r="L1858" s="1"/>
      <c r="M1858" s="1"/>
      <c r="N1858" s="1"/>
      <c r="O1858" s="1"/>
      <c r="P1858" s="1"/>
      <c r="Q1858" s="1"/>
      <c r="R1858" s="1"/>
      <c r="S1858" s="1"/>
      <c r="T1858" s="1"/>
      <c r="U1858" s="1"/>
      <c r="V1858" s="1"/>
      <c r="W1858" s="1"/>
      <c r="X1858" s="1"/>
      <c r="Y1858" s="1"/>
      <c r="Z1858" s="1"/>
    </row>
    <row r="1859" ht="15.75" customHeight="1">
      <c r="A1859" s="2">
        <f>IFERROR(__xludf.DUMMYFUNCTION("""COMPUTED_VALUE"""),929000.0)</f>
        <v>929000</v>
      </c>
      <c r="B1859" s="2">
        <f>IFERROR(__xludf.DUMMYFUNCTION("""COMPUTED_VALUE"""),18580.0)</f>
        <v>18580</v>
      </c>
      <c r="C1859" s="66">
        <f>IFERROR(__xludf.DUMMYFUNCTION("""COMPUTED_VALUE"""),1.725153E10)</f>
        <v>17251530000</v>
      </c>
      <c r="D1859" s="1"/>
      <c r="E1859" s="1"/>
      <c r="F1859" s="1"/>
      <c r="G1859" s="1"/>
      <c r="H1859" s="1"/>
      <c r="I1859" s="1"/>
      <c r="J1859" s="1"/>
      <c r="K1859" s="1"/>
      <c r="L1859" s="1"/>
      <c r="M1859" s="1"/>
      <c r="N1859" s="1"/>
      <c r="O1859" s="1"/>
      <c r="P1859" s="1"/>
      <c r="Q1859" s="1"/>
      <c r="R1859" s="1"/>
      <c r="S1859" s="1"/>
      <c r="T1859" s="1"/>
      <c r="U1859" s="1"/>
      <c r="V1859" s="1"/>
      <c r="W1859" s="1"/>
      <c r="X1859" s="1"/>
      <c r="Y1859" s="1"/>
      <c r="Z1859" s="1"/>
    </row>
    <row r="1860" ht="15.75" customHeight="1">
      <c r="A1860" s="2">
        <f>IFERROR(__xludf.DUMMYFUNCTION("""COMPUTED_VALUE"""),929500.0)</f>
        <v>929500</v>
      </c>
      <c r="B1860" s="2">
        <f>IFERROR(__xludf.DUMMYFUNCTION("""COMPUTED_VALUE"""),18590.0)</f>
        <v>18590</v>
      </c>
      <c r="C1860" s="66">
        <f>IFERROR(__xludf.DUMMYFUNCTION("""COMPUTED_VALUE"""),1.727011E10)</f>
        <v>17270110000</v>
      </c>
      <c r="D1860" s="1"/>
      <c r="E1860" s="1"/>
      <c r="F1860" s="1"/>
      <c r="G1860" s="1"/>
      <c r="H1860" s="1"/>
      <c r="I1860" s="1"/>
      <c r="J1860" s="1"/>
      <c r="K1860" s="1"/>
      <c r="L1860" s="1"/>
      <c r="M1860" s="1"/>
      <c r="N1860" s="1"/>
      <c r="O1860" s="1"/>
      <c r="P1860" s="1"/>
      <c r="Q1860" s="1"/>
      <c r="R1860" s="1"/>
      <c r="S1860" s="1"/>
      <c r="T1860" s="1"/>
      <c r="U1860" s="1"/>
      <c r="V1860" s="1"/>
      <c r="W1860" s="1"/>
      <c r="X1860" s="1"/>
      <c r="Y1860" s="1"/>
      <c r="Z1860" s="1"/>
    </row>
    <row r="1861" ht="15.75" customHeight="1">
      <c r="A1861" s="2">
        <f>IFERROR(__xludf.DUMMYFUNCTION("""COMPUTED_VALUE"""),930000.0)</f>
        <v>930000</v>
      </c>
      <c r="B1861" s="2">
        <f>IFERROR(__xludf.DUMMYFUNCTION("""COMPUTED_VALUE"""),18600.0)</f>
        <v>18600</v>
      </c>
      <c r="C1861" s="66">
        <f>IFERROR(__xludf.DUMMYFUNCTION("""COMPUTED_VALUE"""),1.72887E10)</f>
        <v>17288700000</v>
      </c>
      <c r="D1861" s="1"/>
      <c r="E1861" s="1"/>
      <c r="F1861" s="1"/>
      <c r="G1861" s="1"/>
      <c r="H1861" s="1"/>
      <c r="I1861" s="1"/>
      <c r="J1861" s="1"/>
      <c r="K1861" s="1"/>
      <c r="L1861" s="1"/>
      <c r="M1861" s="1"/>
      <c r="N1861" s="1"/>
      <c r="O1861" s="1"/>
      <c r="P1861" s="1"/>
      <c r="Q1861" s="1"/>
      <c r="R1861" s="1"/>
      <c r="S1861" s="1"/>
      <c r="T1861" s="1"/>
      <c r="U1861" s="1"/>
      <c r="V1861" s="1"/>
      <c r="W1861" s="1"/>
      <c r="X1861" s="1"/>
      <c r="Y1861" s="1"/>
      <c r="Z1861" s="1"/>
    </row>
    <row r="1862" ht="15.75" customHeight="1">
      <c r="A1862" s="2">
        <f>IFERROR(__xludf.DUMMYFUNCTION("""COMPUTED_VALUE"""),930500.0)</f>
        <v>930500</v>
      </c>
      <c r="B1862" s="2">
        <f>IFERROR(__xludf.DUMMYFUNCTION("""COMPUTED_VALUE"""),18610.0)</f>
        <v>18610</v>
      </c>
      <c r="C1862" s="66">
        <f>IFERROR(__xludf.DUMMYFUNCTION("""COMPUTED_VALUE"""),1.73073E10)</f>
        <v>17307300000</v>
      </c>
      <c r="D1862" s="1"/>
      <c r="E1862" s="1"/>
      <c r="F1862" s="1"/>
      <c r="G1862" s="1"/>
      <c r="H1862" s="1"/>
      <c r="I1862" s="1"/>
      <c r="J1862" s="1"/>
      <c r="K1862" s="1"/>
      <c r="L1862" s="1"/>
      <c r="M1862" s="1"/>
      <c r="N1862" s="1"/>
      <c r="O1862" s="1"/>
      <c r="P1862" s="1"/>
      <c r="Q1862" s="1"/>
      <c r="R1862" s="1"/>
      <c r="S1862" s="1"/>
      <c r="T1862" s="1"/>
      <c r="U1862" s="1"/>
      <c r="V1862" s="1"/>
      <c r="W1862" s="1"/>
      <c r="X1862" s="1"/>
      <c r="Y1862" s="1"/>
      <c r="Z1862" s="1"/>
    </row>
    <row r="1863" ht="15.75" customHeight="1">
      <c r="A1863" s="2">
        <f>IFERROR(__xludf.DUMMYFUNCTION("""COMPUTED_VALUE"""),931000.0)</f>
        <v>931000</v>
      </c>
      <c r="B1863" s="2">
        <f>IFERROR(__xludf.DUMMYFUNCTION("""COMPUTED_VALUE"""),18620.0)</f>
        <v>18620</v>
      </c>
      <c r="C1863" s="66">
        <f>IFERROR(__xludf.DUMMYFUNCTION("""COMPUTED_VALUE"""),1.732591E10)</f>
        <v>17325910000</v>
      </c>
      <c r="D1863" s="1"/>
      <c r="E1863" s="1"/>
      <c r="F1863" s="1"/>
      <c r="G1863" s="1"/>
      <c r="H1863" s="1"/>
      <c r="I1863" s="1"/>
      <c r="J1863" s="1"/>
      <c r="K1863" s="1"/>
      <c r="L1863" s="1"/>
      <c r="M1863" s="1"/>
      <c r="N1863" s="1"/>
      <c r="O1863" s="1"/>
      <c r="P1863" s="1"/>
      <c r="Q1863" s="1"/>
      <c r="R1863" s="1"/>
      <c r="S1863" s="1"/>
      <c r="T1863" s="1"/>
      <c r="U1863" s="1"/>
      <c r="V1863" s="1"/>
      <c r="W1863" s="1"/>
      <c r="X1863" s="1"/>
      <c r="Y1863" s="1"/>
      <c r="Z1863" s="1"/>
    </row>
    <row r="1864" ht="15.75" customHeight="1">
      <c r="A1864" s="2">
        <f>IFERROR(__xludf.DUMMYFUNCTION("""COMPUTED_VALUE"""),931500.0)</f>
        <v>931500</v>
      </c>
      <c r="B1864" s="2">
        <f>IFERROR(__xludf.DUMMYFUNCTION("""COMPUTED_VALUE"""),18630.0)</f>
        <v>18630</v>
      </c>
      <c r="C1864" s="66">
        <f>IFERROR(__xludf.DUMMYFUNCTION("""COMPUTED_VALUE"""),1.734453E10)</f>
        <v>17344530000</v>
      </c>
      <c r="D1864" s="1"/>
      <c r="E1864" s="1"/>
      <c r="F1864" s="1"/>
      <c r="G1864" s="1"/>
      <c r="H1864" s="1"/>
      <c r="I1864" s="1"/>
      <c r="J1864" s="1"/>
      <c r="K1864" s="1"/>
      <c r="L1864" s="1"/>
      <c r="M1864" s="1"/>
      <c r="N1864" s="1"/>
      <c r="O1864" s="1"/>
      <c r="P1864" s="1"/>
      <c r="Q1864" s="1"/>
      <c r="R1864" s="1"/>
      <c r="S1864" s="1"/>
      <c r="T1864" s="1"/>
      <c r="U1864" s="1"/>
      <c r="V1864" s="1"/>
      <c r="W1864" s="1"/>
      <c r="X1864" s="1"/>
      <c r="Y1864" s="1"/>
      <c r="Z1864" s="1"/>
    </row>
    <row r="1865" ht="15.75" customHeight="1">
      <c r="A1865" s="2">
        <f>IFERROR(__xludf.DUMMYFUNCTION("""COMPUTED_VALUE"""),932000.0)</f>
        <v>932000</v>
      </c>
      <c r="B1865" s="2">
        <f>IFERROR(__xludf.DUMMYFUNCTION("""COMPUTED_VALUE"""),18640.0)</f>
        <v>18640</v>
      </c>
      <c r="C1865" s="66">
        <f>IFERROR(__xludf.DUMMYFUNCTION("""COMPUTED_VALUE"""),1.736316E10)</f>
        <v>17363160000</v>
      </c>
      <c r="D1865" s="1"/>
      <c r="E1865" s="1"/>
      <c r="F1865" s="1"/>
      <c r="G1865" s="1"/>
      <c r="H1865" s="1"/>
      <c r="I1865" s="1"/>
      <c r="J1865" s="1"/>
      <c r="K1865" s="1"/>
      <c r="L1865" s="1"/>
      <c r="M1865" s="1"/>
      <c r="N1865" s="1"/>
      <c r="O1865" s="1"/>
      <c r="P1865" s="1"/>
      <c r="Q1865" s="1"/>
      <c r="R1865" s="1"/>
      <c r="S1865" s="1"/>
      <c r="T1865" s="1"/>
      <c r="U1865" s="1"/>
      <c r="V1865" s="1"/>
      <c r="W1865" s="1"/>
      <c r="X1865" s="1"/>
      <c r="Y1865" s="1"/>
      <c r="Z1865" s="1"/>
    </row>
    <row r="1866" ht="15.75" customHeight="1">
      <c r="A1866" s="2">
        <f>IFERROR(__xludf.DUMMYFUNCTION("""COMPUTED_VALUE"""),932500.0)</f>
        <v>932500</v>
      </c>
      <c r="B1866" s="2">
        <f>IFERROR(__xludf.DUMMYFUNCTION("""COMPUTED_VALUE"""),18650.0)</f>
        <v>18650</v>
      </c>
      <c r="C1866" s="66">
        <f>IFERROR(__xludf.DUMMYFUNCTION("""COMPUTED_VALUE"""),1.73818E10)</f>
        <v>17381800000</v>
      </c>
      <c r="D1866" s="1"/>
      <c r="E1866" s="1"/>
      <c r="F1866" s="1"/>
      <c r="G1866" s="1"/>
      <c r="H1866" s="1"/>
      <c r="I1866" s="1"/>
      <c r="J1866" s="1"/>
      <c r="K1866" s="1"/>
      <c r="L1866" s="1"/>
      <c r="M1866" s="1"/>
      <c r="N1866" s="1"/>
      <c r="O1866" s="1"/>
      <c r="P1866" s="1"/>
      <c r="Q1866" s="1"/>
      <c r="R1866" s="1"/>
      <c r="S1866" s="1"/>
      <c r="T1866" s="1"/>
      <c r="U1866" s="1"/>
      <c r="V1866" s="1"/>
      <c r="W1866" s="1"/>
      <c r="X1866" s="1"/>
      <c r="Y1866" s="1"/>
      <c r="Z1866" s="1"/>
    </row>
    <row r="1867" ht="15.75" customHeight="1">
      <c r="A1867" s="2">
        <f>IFERROR(__xludf.DUMMYFUNCTION("""COMPUTED_VALUE"""),933000.0)</f>
        <v>933000</v>
      </c>
      <c r="B1867" s="2">
        <f>IFERROR(__xludf.DUMMYFUNCTION("""COMPUTED_VALUE"""),18660.0)</f>
        <v>18660</v>
      </c>
      <c r="C1867" s="66">
        <f>IFERROR(__xludf.DUMMYFUNCTION("""COMPUTED_VALUE"""),1.740045E10)</f>
        <v>17400450000</v>
      </c>
      <c r="D1867" s="1"/>
      <c r="E1867" s="1"/>
      <c r="F1867" s="1"/>
      <c r="G1867" s="1"/>
      <c r="H1867" s="1"/>
      <c r="I1867" s="1"/>
      <c r="J1867" s="1"/>
      <c r="K1867" s="1"/>
      <c r="L1867" s="1"/>
      <c r="M1867" s="1"/>
      <c r="N1867" s="1"/>
      <c r="O1867" s="1"/>
      <c r="P1867" s="1"/>
      <c r="Q1867" s="1"/>
      <c r="R1867" s="1"/>
      <c r="S1867" s="1"/>
      <c r="T1867" s="1"/>
      <c r="U1867" s="1"/>
      <c r="V1867" s="1"/>
      <c r="W1867" s="1"/>
      <c r="X1867" s="1"/>
      <c r="Y1867" s="1"/>
      <c r="Z1867" s="1"/>
    </row>
    <row r="1868" ht="15.75" customHeight="1">
      <c r="A1868" s="2">
        <f>IFERROR(__xludf.DUMMYFUNCTION("""COMPUTED_VALUE"""),933500.0)</f>
        <v>933500</v>
      </c>
      <c r="B1868" s="2">
        <f>IFERROR(__xludf.DUMMYFUNCTION("""COMPUTED_VALUE"""),18670.0)</f>
        <v>18670</v>
      </c>
      <c r="C1868" s="66">
        <f>IFERROR(__xludf.DUMMYFUNCTION("""COMPUTED_VALUE"""),1.741911E10)</f>
        <v>17419110000</v>
      </c>
      <c r="D1868" s="1"/>
      <c r="E1868" s="1"/>
      <c r="F1868" s="1"/>
      <c r="G1868" s="1"/>
      <c r="H1868" s="1"/>
      <c r="I1868" s="1"/>
      <c r="J1868" s="1"/>
      <c r="K1868" s="1"/>
      <c r="L1868" s="1"/>
      <c r="M1868" s="1"/>
      <c r="N1868" s="1"/>
      <c r="O1868" s="1"/>
      <c r="P1868" s="1"/>
      <c r="Q1868" s="1"/>
      <c r="R1868" s="1"/>
      <c r="S1868" s="1"/>
      <c r="T1868" s="1"/>
      <c r="U1868" s="1"/>
      <c r="V1868" s="1"/>
      <c r="W1868" s="1"/>
      <c r="X1868" s="1"/>
      <c r="Y1868" s="1"/>
      <c r="Z1868" s="1"/>
    </row>
    <row r="1869" ht="15.75" customHeight="1">
      <c r="A1869" s="2">
        <f>IFERROR(__xludf.DUMMYFUNCTION("""COMPUTED_VALUE"""),934000.0)</f>
        <v>934000</v>
      </c>
      <c r="B1869" s="2">
        <f>IFERROR(__xludf.DUMMYFUNCTION("""COMPUTED_VALUE"""),18680.0)</f>
        <v>18680</v>
      </c>
      <c r="C1869" s="66">
        <f>IFERROR(__xludf.DUMMYFUNCTION("""COMPUTED_VALUE"""),1.743778E10)</f>
        <v>17437780000</v>
      </c>
      <c r="D1869" s="1"/>
      <c r="E1869" s="1"/>
      <c r="F1869" s="1"/>
      <c r="G1869" s="1"/>
      <c r="H1869" s="1"/>
      <c r="I1869" s="1"/>
      <c r="J1869" s="1"/>
      <c r="K1869" s="1"/>
      <c r="L1869" s="1"/>
      <c r="M1869" s="1"/>
      <c r="N1869" s="1"/>
      <c r="O1869" s="1"/>
      <c r="P1869" s="1"/>
      <c r="Q1869" s="1"/>
      <c r="R1869" s="1"/>
      <c r="S1869" s="1"/>
      <c r="T1869" s="1"/>
      <c r="U1869" s="1"/>
      <c r="V1869" s="1"/>
      <c r="W1869" s="1"/>
      <c r="X1869" s="1"/>
      <c r="Y1869" s="1"/>
      <c r="Z1869" s="1"/>
    </row>
    <row r="1870" ht="15.75" customHeight="1">
      <c r="A1870" s="2">
        <f>IFERROR(__xludf.DUMMYFUNCTION("""COMPUTED_VALUE"""),934500.0)</f>
        <v>934500</v>
      </c>
      <c r="B1870" s="2">
        <f>IFERROR(__xludf.DUMMYFUNCTION("""COMPUTED_VALUE"""),18690.0)</f>
        <v>18690</v>
      </c>
      <c r="C1870" s="66">
        <f>IFERROR(__xludf.DUMMYFUNCTION("""COMPUTED_VALUE"""),1.745646E10)</f>
        <v>17456460000</v>
      </c>
      <c r="D1870" s="1"/>
      <c r="E1870" s="1"/>
      <c r="F1870" s="1"/>
      <c r="G1870" s="1"/>
      <c r="H1870" s="1"/>
      <c r="I1870" s="1"/>
      <c r="J1870" s="1"/>
      <c r="K1870" s="1"/>
      <c r="L1870" s="1"/>
      <c r="M1870" s="1"/>
      <c r="N1870" s="1"/>
      <c r="O1870" s="1"/>
      <c r="P1870" s="1"/>
      <c r="Q1870" s="1"/>
      <c r="R1870" s="1"/>
      <c r="S1870" s="1"/>
      <c r="T1870" s="1"/>
      <c r="U1870" s="1"/>
      <c r="V1870" s="1"/>
      <c r="W1870" s="1"/>
      <c r="X1870" s="1"/>
      <c r="Y1870" s="1"/>
      <c r="Z1870" s="1"/>
    </row>
    <row r="1871" ht="15.75" customHeight="1">
      <c r="A1871" s="2">
        <f>IFERROR(__xludf.DUMMYFUNCTION("""COMPUTED_VALUE"""),935000.0)</f>
        <v>935000</v>
      </c>
      <c r="B1871" s="2">
        <f>IFERROR(__xludf.DUMMYFUNCTION("""COMPUTED_VALUE"""),18700.0)</f>
        <v>18700</v>
      </c>
      <c r="C1871" s="66">
        <f>IFERROR(__xludf.DUMMYFUNCTION("""COMPUTED_VALUE"""),1.747515E10)</f>
        <v>17475150000</v>
      </c>
      <c r="D1871" s="1"/>
      <c r="E1871" s="1"/>
      <c r="F1871" s="1"/>
      <c r="G1871" s="1"/>
      <c r="H1871" s="1"/>
      <c r="I1871" s="1"/>
      <c r="J1871" s="1"/>
      <c r="K1871" s="1"/>
      <c r="L1871" s="1"/>
      <c r="M1871" s="1"/>
      <c r="N1871" s="1"/>
      <c r="O1871" s="1"/>
      <c r="P1871" s="1"/>
      <c r="Q1871" s="1"/>
      <c r="R1871" s="1"/>
      <c r="S1871" s="1"/>
      <c r="T1871" s="1"/>
      <c r="U1871" s="1"/>
      <c r="V1871" s="1"/>
      <c r="W1871" s="1"/>
      <c r="X1871" s="1"/>
      <c r="Y1871" s="1"/>
      <c r="Z1871" s="1"/>
    </row>
    <row r="1872" ht="15.75" customHeight="1">
      <c r="A1872" s="2">
        <f>IFERROR(__xludf.DUMMYFUNCTION("""COMPUTED_VALUE"""),935500.0)</f>
        <v>935500</v>
      </c>
      <c r="B1872" s="2">
        <f>IFERROR(__xludf.DUMMYFUNCTION("""COMPUTED_VALUE"""),18710.0)</f>
        <v>18710</v>
      </c>
      <c r="C1872" s="66">
        <f>IFERROR(__xludf.DUMMYFUNCTION("""COMPUTED_VALUE"""),1.749385E10)</f>
        <v>17493850000</v>
      </c>
      <c r="D1872" s="1"/>
      <c r="E1872" s="1"/>
      <c r="F1872" s="1"/>
      <c r="G1872" s="1"/>
      <c r="H1872" s="1"/>
      <c r="I1872" s="1"/>
      <c r="J1872" s="1"/>
      <c r="K1872" s="1"/>
      <c r="L1872" s="1"/>
      <c r="M1872" s="1"/>
      <c r="N1872" s="1"/>
      <c r="O1872" s="1"/>
      <c r="P1872" s="1"/>
      <c r="Q1872" s="1"/>
      <c r="R1872" s="1"/>
      <c r="S1872" s="1"/>
      <c r="T1872" s="1"/>
      <c r="U1872" s="1"/>
      <c r="V1872" s="1"/>
      <c r="W1872" s="1"/>
      <c r="X1872" s="1"/>
      <c r="Y1872" s="1"/>
      <c r="Z1872" s="1"/>
    </row>
    <row r="1873" ht="15.75" customHeight="1">
      <c r="A1873" s="2">
        <f>IFERROR(__xludf.DUMMYFUNCTION("""COMPUTED_VALUE"""),936000.0)</f>
        <v>936000</v>
      </c>
      <c r="B1873" s="2">
        <f>IFERROR(__xludf.DUMMYFUNCTION("""COMPUTED_VALUE"""),18720.0)</f>
        <v>18720</v>
      </c>
      <c r="C1873" s="66">
        <f>IFERROR(__xludf.DUMMYFUNCTION("""COMPUTED_VALUE"""),1.751256E10)</f>
        <v>17512560000</v>
      </c>
      <c r="D1873" s="1"/>
      <c r="E1873" s="1"/>
      <c r="F1873" s="1"/>
      <c r="G1873" s="1"/>
      <c r="H1873" s="1"/>
      <c r="I1873" s="1"/>
      <c r="J1873" s="1"/>
      <c r="K1873" s="1"/>
      <c r="L1873" s="1"/>
      <c r="M1873" s="1"/>
      <c r="N1873" s="1"/>
      <c r="O1873" s="1"/>
      <c r="P1873" s="1"/>
      <c r="Q1873" s="1"/>
      <c r="R1873" s="1"/>
      <c r="S1873" s="1"/>
      <c r="T1873" s="1"/>
      <c r="U1873" s="1"/>
      <c r="V1873" s="1"/>
      <c r="W1873" s="1"/>
      <c r="X1873" s="1"/>
      <c r="Y1873" s="1"/>
      <c r="Z1873" s="1"/>
    </row>
    <row r="1874" ht="15.75" customHeight="1">
      <c r="A1874" s="2">
        <f>IFERROR(__xludf.DUMMYFUNCTION("""COMPUTED_VALUE"""),936500.0)</f>
        <v>936500</v>
      </c>
      <c r="B1874" s="2">
        <f>IFERROR(__xludf.DUMMYFUNCTION("""COMPUTED_VALUE"""),18730.0)</f>
        <v>18730</v>
      </c>
      <c r="C1874" s="66">
        <f>IFERROR(__xludf.DUMMYFUNCTION("""COMPUTED_VALUE"""),1.753128E10)</f>
        <v>17531280000</v>
      </c>
      <c r="D1874" s="1"/>
      <c r="E1874" s="1"/>
      <c r="F1874" s="1"/>
      <c r="G1874" s="1"/>
      <c r="H1874" s="1"/>
      <c r="I1874" s="1"/>
      <c r="J1874" s="1"/>
      <c r="K1874" s="1"/>
      <c r="L1874" s="1"/>
      <c r="M1874" s="1"/>
      <c r="N1874" s="1"/>
      <c r="O1874" s="1"/>
      <c r="P1874" s="1"/>
      <c r="Q1874" s="1"/>
      <c r="R1874" s="1"/>
      <c r="S1874" s="1"/>
      <c r="T1874" s="1"/>
      <c r="U1874" s="1"/>
      <c r="V1874" s="1"/>
      <c r="W1874" s="1"/>
      <c r="X1874" s="1"/>
      <c r="Y1874" s="1"/>
      <c r="Z1874" s="1"/>
    </row>
    <row r="1875" ht="15.75" customHeight="1">
      <c r="A1875" s="2">
        <f>IFERROR(__xludf.DUMMYFUNCTION("""COMPUTED_VALUE"""),937000.0)</f>
        <v>937000</v>
      </c>
      <c r="B1875" s="2">
        <f>IFERROR(__xludf.DUMMYFUNCTION("""COMPUTED_VALUE"""),18740.0)</f>
        <v>18740</v>
      </c>
      <c r="C1875" s="66">
        <f>IFERROR(__xludf.DUMMYFUNCTION("""COMPUTED_VALUE"""),1.755001E10)</f>
        <v>17550010000</v>
      </c>
      <c r="D1875" s="1"/>
      <c r="E1875" s="1"/>
      <c r="F1875" s="1"/>
      <c r="G1875" s="1"/>
      <c r="H1875" s="1"/>
      <c r="I1875" s="1"/>
      <c r="J1875" s="1"/>
      <c r="K1875" s="1"/>
      <c r="L1875" s="1"/>
      <c r="M1875" s="1"/>
      <c r="N1875" s="1"/>
      <c r="O1875" s="1"/>
      <c r="P1875" s="1"/>
      <c r="Q1875" s="1"/>
      <c r="R1875" s="1"/>
      <c r="S1875" s="1"/>
      <c r="T1875" s="1"/>
      <c r="U1875" s="1"/>
      <c r="V1875" s="1"/>
      <c r="W1875" s="1"/>
      <c r="X1875" s="1"/>
      <c r="Y1875" s="1"/>
      <c r="Z1875" s="1"/>
    </row>
    <row r="1876" ht="15.75" customHeight="1">
      <c r="A1876" s="2">
        <f>IFERROR(__xludf.DUMMYFUNCTION("""COMPUTED_VALUE"""),937500.0)</f>
        <v>937500</v>
      </c>
      <c r="B1876" s="2">
        <f>IFERROR(__xludf.DUMMYFUNCTION("""COMPUTED_VALUE"""),18750.0)</f>
        <v>18750</v>
      </c>
      <c r="C1876" s="66">
        <f>IFERROR(__xludf.DUMMYFUNCTION("""COMPUTED_VALUE"""),1.756875E10)</f>
        <v>17568750000</v>
      </c>
      <c r="D1876" s="1"/>
      <c r="E1876" s="1"/>
      <c r="F1876" s="1"/>
      <c r="G1876" s="1"/>
      <c r="H1876" s="1"/>
      <c r="I1876" s="1"/>
      <c r="J1876" s="1"/>
      <c r="K1876" s="1"/>
      <c r="L1876" s="1"/>
      <c r="M1876" s="1"/>
      <c r="N1876" s="1"/>
      <c r="O1876" s="1"/>
      <c r="P1876" s="1"/>
      <c r="Q1876" s="1"/>
      <c r="R1876" s="1"/>
      <c r="S1876" s="1"/>
      <c r="T1876" s="1"/>
      <c r="U1876" s="1"/>
      <c r="V1876" s="1"/>
      <c r="W1876" s="1"/>
      <c r="X1876" s="1"/>
      <c r="Y1876" s="1"/>
      <c r="Z1876" s="1"/>
    </row>
    <row r="1877" ht="15.75" customHeight="1">
      <c r="A1877" s="2">
        <f>IFERROR(__xludf.DUMMYFUNCTION("""COMPUTED_VALUE"""),938000.0)</f>
        <v>938000</v>
      </c>
      <c r="B1877" s="2">
        <f>IFERROR(__xludf.DUMMYFUNCTION("""COMPUTED_VALUE"""),18760.0)</f>
        <v>18760</v>
      </c>
      <c r="C1877" s="66">
        <f>IFERROR(__xludf.DUMMYFUNCTION("""COMPUTED_VALUE"""),1.75875E10)</f>
        <v>17587500000</v>
      </c>
      <c r="D1877" s="1"/>
      <c r="E1877" s="1"/>
      <c r="F1877" s="1"/>
      <c r="G1877" s="1"/>
      <c r="H1877" s="1"/>
      <c r="I1877" s="1"/>
      <c r="J1877" s="1"/>
      <c r="K1877" s="1"/>
      <c r="L1877" s="1"/>
      <c r="M1877" s="1"/>
      <c r="N1877" s="1"/>
      <c r="O1877" s="1"/>
      <c r="P1877" s="1"/>
      <c r="Q1877" s="1"/>
      <c r="R1877" s="1"/>
      <c r="S1877" s="1"/>
      <c r="T1877" s="1"/>
      <c r="U1877" s="1"/>
      <c r="V1877" s="1"/>
      <c r="W1877" s="1"/>
      <c r="X1877" s="1"/>
      <c r="Y1877" s="1"/>
      <c r="Z1877" s="1"/>
    </row>
    <row r="1878" ht="15.75" customHeight="1">
      <c r="A1878" s="2">
        <f>IFERROR(__xludf.DUMMYFUNCTION("""COMPUTED_VALUE"""),938500.0)</f>
        <v>938500</v>
      </c>
      <c r="B1878" s="2">
        <f>IFERROR(__xludf.DUMMYFUNCTION("""COMPUTED_VALUE"""),18770.0)</f>
        <v>18770</v>
      </c>
      <c r="C1878" s="66">
        <f>IFERROR(__xludf.DUMMYFUNCTION("""COMPUTED_VALUE"""),1.760626E10)</f>
        <v>17606260000</v>
      </c>
      <c r="D1878" s="1"/>
      <c r="E1878" s="1"/>
      <c r="F1878" s="1"/>
      <c r="G1878" s="1"/>
      <c r="H1878" s="1"/>
      <c r="I1878" s="1"/>
      <c r="J1878" s="1"/>
      <c r="K1878" s="1"/>
      <c r="L1878" s="1"/>
      <c r="M1878" s="1"/>
      <c r="N1878" s="1"/>
      <c r="O1878" s="1"/>
      <c r="P1878" s="1"/>
      <c r="Q1878" s="1"/>
      <c r="R1878" s="1"/>
      <c r="S1878" s="1"/>
      <c r="T1878" s="1"/>
      <c r="U1878" s="1"/>
      <c r="V1878" s="1"/>
      <c r="W1878" s="1"/>
      <c r="X1878" s="1"/>
      <c r="Y1878" s="1"/>
      <c r="Z1878" s="1"/>
    </row>
    <row r="1879" ht="15.75" customHeight="1">
      <c r="A1879" s="2">
        <f>IFERROR(__xludf.DUMMYFUNCTION("""COMPUTED_VALUE"""),939000.0)</f>
        <v>939000</v>
      </c>
      <c r="B1879" s="2">
        <f>IFERROR(__xludf.DUMMYFUNCTION("""COMPUTED_VALUE"""),18780.0)</f>
        <v>18780</v>
      </c>
      <c r="C1879" s="66">
        <f>IFERROR(__xludf.DUMMYFUNCTION("""COMPUTED_VALUE"""),1.762503E10)</f>
        <v>17625030000</v>
      </c>
      <c r="D1879" s="1"/>
      <c r="E1879" s="1"/>
      <c r="F1879" s="1"/>
      <c r="G1879" s="1"/>
      <c r="H1879" s="1"/>
      <c r="I1879" s="1"/>
      <c r="J1879" s="1"/>
      <c r="K1879" s="1"/>
      <c r="L1879" s="1"/>
      <c r="M1879" s="1"/>
      <c r="N1879" s="1"/>
      <c r="O1879" s="1"/>
      <c r="P1879" s="1"/>
      <c r="Q1879" s="1"/>
      <c r="R1879" s="1"/>
      <c r="S1879" s="1"/>
      <c r="T1879" s="1"/>
      <c r="U1879" s="1"/>
      <c r="V1879" s="1"/>
      <c r="W1879" s="1"/>
      <c r="X1879" s="1"/>
      <c r="Y1879" s="1"/>
      <c r="Z1879" s="1"/>
    </row>
    <row r="1880" ht="15.75" customHeight="1">
      <c r="A1880" s="2">
        <f>IFERROR(__xludf.DUMMYFUNCTION("""COMPUTED_VALUE"""),939500.0)</f>
        <v>939500</v>
      </c>
      <c r="B1880" s="2">
        <f>IFERROR(__xludf.DUMMYFUNCTION("""COMPUTED_VALUE"""),18790.0)</f>
        <v>18790</v>
      </c>
      <c r="C1880" s="66">
        <f>IFERROR(__xludf.DUMMYFUNCTION("""COMPUTED_VALUE"""),1.764381E10)</f>
        <v>17643810000</v>
      </c>
      <c r="D1880" s="1"/>
      <c r="E1880" s="1"/>
      <c r="F1880" s="1"/>
      <c r="G1880" s="1"/>
      <c r="H1880" s="1"/>
      <c r="I1880" s="1"/>
      <c r="J1880" s="1"/>
      <c r="K1880" s="1"/>
      <c r="L1880" s="1"/>
      <c r="M1880" s="1"/>
      <c r="N1880" s="1"/>
      <c r="O1880" s="1"/>
      <c r="P1880" s="1"/>
      <c r="Q1880" s="1"/>
      <c r="R1880" s="1"/>
      <c r="S1880" s="1"/>
      <c r="T1880" s="1"/>
      <c r="U1880" s="1"/>
      <c r="V1880" s="1"/>
      <c r="W1880" s="1"/>
      <c r="X1880" s="1"/>
      <c r="Y1880" s="1"/>
      <c r="Z1880" s="1"/>
    </row>
    <row r="1881" ht="15.75" customHeight="1">
      <c r="A1881" s="2">
        <f>IFERROR(__xludf.DUMMYFUNCTION("""COMPUTED_VALUE"""),940000.0)</f>
        <v>940000</v>
      </c>
      <c r="B1881" s="2">
        <f>IFERROR(__xludf.DUMMYFUNCTION("""COMPUTED_VALUE"""),18800.0)</f>
        <v>18800</v>
      </c>
      <c r="C1881" s="66">
        <f>IFERROR(__xludf.DUMMYFUNCTION("""COMPUTED_VALUE"""),1.76626E10)</f>
        <v>17662600000</v>
      </c>
      <c r="D1881" s="1"/>
      <c r="E1881" s="1"/>
      <c r="F1881" s="1"/>
      <c r="G1881" s="1"/>
      <c r="H1881" s="1"/>
      <c r="I1881" s="1"/>
      <c r="J1881" s="1"/>
      <c r="K1881" s="1"/>
      <c r="L1881" s="1"/>
      <c r="M1881" s="1"/>
      <c r="N1881" s="1"/>
      <c r="O1881" s="1"/>
      <c r="P1881" s="1"/>
      <c r="Q1881" s="1"/>
      <c r="R1881" s="1"/>
      <c r="S1881" s="1"/>
      <c r="T1881" s="1"/>
      <c r="U1881" s="1"/>
      <c r="V1881" s="1"/>
      <c r="W1881" s="1"/>
      <c r="X1881" s="1"/>
      <c r="Y1881" s="1"/>
      <c r="Z1881" s="1"/>
    </row>
    <row r="1882" ht="15.75" customHeight="1">
      <c r="A1882" s="2">
        <f>IFERROR(__xludf.DUMMYFUNCTION("""COMPUTED_VALUE"""),940500.0)</f>
        <v>940500</v>
      </c>
      <c r="B1882" s="2">
        <f>IFERROR(__xludf.DUMMYFUNCTION("""COMPUTED_VALUE"""),18810.0)</f>
        <v>18810</v>
      </c>
      <c r="C1882" s="66">
        <f>IFERROR(__xludf.DUMMYFUNCTION("""COMPUTED_VALUE"""),1.76814E10)</f>
        <v>17681400000</v>
      </c>
      <c r="D1882" s="1"/>
      <c r="E1882" s="1"/>
      <c r="F1882" s="1"/>
      <c r="G1882" s="1"/>
      <c r="H1882" s="1"/>
      <c r="I1882" s="1"/>
      <c r="J1882" s="1"/>
      <c r="K1882" s="1"/>
      <c r="L1882" s="1"/>
      <c r="M1882" s="1"/>
      <c r="N1882" s="1"/>
      <c r="O1882" s="1"/>
      <c r="P1882" s="1"/>
      <c r="Q1882" s="1"/>
      <c r="R1882" s="1"/>
      <c r="S1882" s="1"/>
      <c r="T1882" s="1"/>
      <c r="U1882" s="1"/>
      <c r="V1882" s="1"/>
      <c r="W1882" s="1"/>
      <c r="X1882" s="1"/>
      <c r="Y1882" s="1"/>
      <c r="Z1882" s="1"/>
    </row>
    <row r="1883" ht="15.75" customHeight="1">
      <c r="A1883" s="2">
        <f>IFERROR(__xludf.DUMMYFUNCTION("""COMPUTED_VALUE"""),941000.0)</f>
        <v>941000</v>
      </c>
      <c r="B1883" s="2">
        <f>IFERROR(__xludf.DUMMYFUNCTION("""COMPUTED_VALUE"""),18820.0)</f>
        <v>18820</v>
      </c>
      <c r="C1883" s="66">
        <f>IFERROR(__xludf.DUMMYFUNCTION("""COMPUTED_VALUE"""),1.770021E10)</f>
        <v>17700210000</v>
      </c>
      <c r="D1883" s="1"/>
      <c r="E1883" s="1"/>
      <c r="F1883" s="1"/>
      <c r="G1883" s="1"/>
      <c r="H1883" s="1"/>
      <c r="I1883" s="1"/>
      <c r="J1883" s="1"/>
      <c r="K1883" s="1"/>
      <c r="L1883" s="1"/>
      <c r="M1883" s="1"/>
      <c r="N1883" s="1"/>
      <c r="O1883" s="1"/>
      <c r="P1883" s="1"/>
      <c r="Q1883" s="1"/>
      <c r="R1883" s="1"/>
      <c r="S1883" s="1"/>
      <c r="T1883" s="1"/>
      <c r="U1883" s="1"/>
      <c r="V1883" s="1"/>
      <c r="W1883" s="1"/>
      <c r="X1883" s="1"/>
      <c r="Y1883" s="1"/>
      <c r="Z1883" s="1"/>
    </row>
    <row r="1884" ht="15.75" customHeight="1">
      <c r="A1884" s="2">
        <f>IFERROR(__xludf.DUMMYFUNCTION("""COMPUTED_VALUE"""),941500.0)</f>
        <v>941500</v>
      </c>
      <c r="B1884" s="2">
        <f>IFERROR(__xludf.DUMMYFUNCTION("""COMPUTED_VALUE"""),18830.0)</f>
        <v>18830</v>
      </c>
      <c r="C1884" s="66">
        <f>IFERROR(__xludf.DUMMYFUNCTION("""COMPUTED_VALUE"""),1.771903E10)</f>
        <v>17719030000</v>
      </c>
      <c r="D1884" s="1"/>
      <c r="E1884" s="1"/>
      <c r="F1884" s="1"/>
      <c r="G1884" s="1"/>
      <c r="H1884" s="1"/>
      <c r="I1884" s="1"/>
      <c r="J1884" s="1"/>
      <c r="K1884" s="1"/>
      <c r="L1884" s="1"/>
      <c r="M1884" s="1"/>
      <c r="N1884" s="1"/>
      <c r="O1884" s="1"/>
      <c r="P1884" s="1"/>
      <c r="Q1884" s="1"/>
      <c r="R1884" s="1"/>
      <c r="S1884" s="1"/>
      <c r="T1884" s="1"/>
      <c r="U1884" s="1"/>
      <c r="V1884" s="1"/>
      <c r="W1884" s="1"/>
      <c r="X1884" s="1"/>
      <c r="Y1884" s="1"/>
      <c r="Z1884" s="1"/>
    </row>
    <row r="1885" ht="15.75" customHeight="1">
      <c r="A1885" s="2">
        <f>IFERROR(__xludf.DUMMYFUNCTION("""COMPUTED_VALUE"""),942000.0)</f>
        <v>942000</v>
      </c>
      <c r="B1885" s="2">
        <f>IFERROR(__xludf.DUMMYFUNCTION("""COMPUTED_VALUE"""),18840.0)</f>
        <v>18840</v>
      </c>
      <c r="C1885" s="66">
        <f>IFERROR(__xludf.DUMMYFUNCTION("""COMPUTED_VALUE"""),1.773786E10)</f>
        <v>17737860000</v>
      </c>
      <c r="D1885" s="1"/>
      <c r="E1885" s="1"/>
      <c r="F1885" s="1"/>
      <c r="G1885" s="1"/>
      <c r="H1885" s="1"/>
      <c r="I1885" s="1"/>
      <c r="J1885" s="1"/>
      <c r="K1885" s="1"/>
      <c r="L1885" s="1"/>
      <c r="M1885" s="1"/>
      <c r="N1885" s="1"/>
      <c r="O1885" s="1"/>
      <c r="P1885" s="1"/>
      <c r="Q1885" s="1"/>
      <c r="R1885" s="1"/>
      <c r="S1885" s="1"/>
      <c r="T1885" s="1"/>
      <c r="U1885" s="1"/>
      <c r="V1885" s="1"/>
      <c r="W1885" s="1"/>
      <c r="X1885" s="1"/>
      <c r="Y1885" s="1"/>
      <c r="Z1885" s="1"/>
    </row>
    <row r="1886" ht="15.75" customHeight="1">
      <c r="A1886" s="2">
        <f>IFERROR(__xludf.DUMMYFUNCTION("""COMPUTED_VALUE"""),942500.0)</f>
        <v>942500</v>
      </c>
      <c r="B1886" s="2">
        <f>IFERROR(__xludf.DUMMYFUNCTION("""COMPUTED_VALUE"""),18850.0)</f>
        <v>18850</v>
      </c>
      <c r="C1886" s="66">
        <f>IFERROR(__xludf.DUMMYFUNCTION("""COMPUTED_VALUE"""),1.77567E10)</f>
        <v>17756700000</v>
      </c>
      <c r="D1886" s="1"/>
      <c r="E1886" s="1"/>
      <c r="F1886" s="1"/>
      <c r="G1886" s="1"/>
      <c r="H1886" s="1"/>
      <c r="I1886" s="1"/>
      <c r="J1886" s="1"/>
      <c r="K1886" s="1"/>
      <c r="L1886" s="1"/>
      <c r="M1886" s="1"/>
      <c r="N1886" s="1"/>
      <c r="O1886" s="1"/>
      <c r="P1886" s="1"/>
      <c r="Q1886" s="1"/>
      <c r="R1886" s="1"/>
      <c r="S1886" s="1"/>
      <c r="T1886" s="1"/>
      <c r="U1886" s="1"/>
      <c r="V1886" s="1"/>
      <c r="W1886" s="1"/>
      <c r="X1886" s="1"/>
      <c r="Y1886" s="1"/>
      <c r="Z1886" s="1"/>
    </row>
    <row r="1887" ht="15.75" customHeight="1">
      <c r="A1887" s="2">
        <f>IFERROR(__xludf.DUMMYFUNCTION("""COMPUTED_VALUE"""),943000.0)</f>
        <v>943000</v>
      </c>
      <c r="B1887" s="2">
        <f>IFERROR(__xludf.DUMMYFUNCTION("""COMPUTED_VALUE"""),18860.0)</f>
        <v>18860</v>
      </c>
      <c r="C1887" s="66">
        <f>IFERROR(__xludf.DUMMYFUNCTION("""COMPUTED_VALUE"""),1.777555E10)</f>
        <v>17775550000</v>
      </c>
      <c r="D1887" s="1"/>
      <c r="E1887" s="1"/>
      <c r="F1887" s="1"/>
      <c r="G1887" s="1"/>
      <c r="H1887" s="1"/>
      <c r="I1887" s="1"/>
      <c r="J1887" s="1"/>
      <c r="K1887" s="1"/>
      <c r="L1887" s="1"/>
      <c r="M1887" s="1"/>
      <c r="N1887" s="1"/>
      <c r="O1887" s="1"/>
      <c r="P1887" s="1"/>
      <c r="Q1887" s="1"/>
      <c r="R1887" s="1"/>
      <c r="S1887" s="1"/>
      <c r="T1887" s="1"/>
      <c r="U1887" s="1"/>
      <c r="V1887" s="1"/>
      <c r="W1887" s="1"/>
      <c r="X1887" s="1"/>
      <c r="Y1887" s="1"/>
      <c r="Z1887" s="1"/>
    </row>
    <row r="1888" ht="15.75" customHeight="1">
      <c r="A1888" s="2">
        <f>IFERROR(__xludf.DUMMYFUNCTION("""COMPUTED_VALUE"""),943500.0)</f>
        <v>943500</v>
      </c>
      <c r="B1888" s="2">
        <f>IFERROR(__xludf.DUMMYFUNCTION("""COMPUTED_VALUE"""),18870.0)</f>
        <v>18870</v>
      </c>
      <c r="C1888" s="66">
        <f>IFERROR(__xludf.DUMMYFUNCTION("""COMPUTED_VALUE"""),1.779441E10)</f>
        <v>17794410000</v>
      </c>
      <c r="D1888" s="1"/>
      <c r="E1888" s="1"/>
      <c r="F1888" s="1"/>
      <c r="G1888" s="1"/>
      <c r="H1888" s="1"/>
      <c r="I1888" s="1"/>
      <c r="J1888" s="1"/>
      <c r="K1888" s="1"/>
      <c r="L1888" s="1"/>
      <c r="M1888" s="1"/>
      <c r="N1888" s="1"/>
      <c r="O1888" s="1"/>
      <c r="P1888" s="1"/>
      <c r="Q1888" s="1"/>
      <c r="R1888" s="1"/>
      <c r="S1888" s="1"/>
      <c r="T1888" s="1"/>
      <c r="U1888" s="1"/>
      <c r="V1888" s="1"/>
      <c r="W1888" s="1"/>
      <c r="X1888" s="1"/>
      <c r="Y1888" s="1"/>
      <c r="Z1888" s="1"/>
    </row>
    <row r="1889" ht="15.75" customHeight="1">
      <c r="A1889" s="2">
        <f>IFERROR(__xludf.DUMMYFUNCTION("""COMPUTED_VALUE"""),944000.0)</f>
        <v>944000</v>
      </c>
      <c r="B1889" s="2">
        <f>IFERROR(__xludf.DUMMYFUNCTION("""COMPUTED_VALUE"""),18880.0)</f>
        <v>18880</v>
      </c>
      <c r="C1889" s="66">
        <f>IFERROR(__xludf.DUMMYFUNCTION("""COMPUTED_VALUE"""),1.781328E10)</f>
        <v>17813280000</v>
      </c>
      <c r="D1889" s="1"/>
      <c r="E1889" s="1"/>
      <c r="F1889" s="1"/>
      <c r="G1889" s="1"/>
      <c r="H1889" s="1"/>
      <c r="I1889" s="1"/>
      <c r="J1889" s="1"/>
      <c r="K1889" s="1"/>
      <c r="L1889" s="1"/>
      <c r="M1889" s="1"/>
      <c r="N1889" s="1"/>
      <c r="O1889" s="1"/>
      <c r="P1889" s="1"/>
      <c r="Q1889" s="1"/>
      <c r="R1889" s="1"/>
      <c r="S1889" s="1"/>
      <c r="T1889" s="1"/>
      <c r="U1889" s="1"/>
      <c r="V1889" s="1"/>
      <c r="W1889" s="1"/>
      <c r="X1889" s="1"/>
      <c r="Y1889" s="1"/>
      <c r="Z1889" s="1"/>
    </row>
    <row r="1890" ht="15.75" customHeight="1">
      <c r="A1890" s="2">
        <f>IFERROR(__xludf.DUMMYFUNCTION("""COMPUTED_VALUE"""),944500.0)</f>
        <v>944500</v>
      </c>
      <c r="B1890" s="2">
        <f>IFERROR(__xludf.DUMMYFUNCTION("""COMPUTED_VALUE"""),18890.0)</f>
        <v>18890</v>
      </c>
      <c r="C1890" s="66">
        <f>IFERROR(__xludf.DUMMYFUNCTION("""COMPUTED_VALUE"""),1.783216E10)</f>
        <v>17832160000</v>
      </c>
      <c r="D1890" s="1"/>
      <c r="E1890" s="1"/>
      <c r="F1890" s="1"/>
      <c r="G1890" s="1"/>
      <c r="H1890" s="1"/>
      <c r="I1890" s="1"/>
      <c r="J1890" s="1"/>
      <c r="K1890" s="1"/>
      <c r="L1890" s="1"/>
      <c r="M1890" s="1"/>
      <c r="N1890" s="1"/>
      <c r="O1890" s="1"/>
      <c r="P1890" s="1"/>
      <c r="Q1890" s="1"/>
      <c r="R1890" s="1"/>
      <c r="S1890" s="1"/>
      <c r="T1890" s="1"/>
      <c r="U1890" s="1"/>
      <c r="V1890" s="1"/>
      <c r="W1890" s="1"/>
      <c r="X1890" s="1"/>
      <c r="Y1890" s="1"/>
      <c r="Z1890" s="1"/>
    </row>
    <row r="1891" ht="15.75" customHeight="1">
      <c r="A1891" s="2">
        <f>IFERROR(__xludf.DUMMYFUNCTION("""COMPUTED_VALUE"""),945000.0)</f>
        <v>945000</v>
      </c>
      <c r="B1891" s="2">
        <f>IFERROR(__xludf.DUMMYFUNCTION("""COMPUTED_VALUE"""),18900.0)</f>
        <v>18900</v>
      </c>
      <c r="C1891" s="66">
        <f>IFERROR(__xludf.DUMMYFUNCTION("""COMPUTED_VALUE"""),1.785105E10)</f>
        <v>17851050000</v>
      </c>
      <c r="D1891" s="1"/>
      <c r="E1891" s="1"/>
      <c r="F1891" s="1"/>
      <c r="G1891" s="1"/>
      <c r="H1891" s="1"/>
      <c r="I1891" s="1"/>
      <c r="J1891" s="1"/>
      <c r="K1891" s="1"/>
      <c r="L1891" s="1"/>
      <c r="M1891" s="1"/>
      <c r="N1891" s="1"/>
      <c r="O1891" s="1"/>
      <c r="P1891" s="1"/>
      <c r="Q1891" s="1"/>
      <c r="R1891" s="1"/>
      <c r="S1891" s="1"/>
      <c r="T1891" s="1"/>
      <c r="U1891" s="1"/>
      <c r="V1891" s="1"/>
      <c r="W1891" s="1"/>
      <c r="X1891" s="1"/>
      <c r="Y1891" s="1"/>
      <c r="Z1891" s="1"/>
    </row>
    <row r="1892" ht="15.75" customHeight="1">
      <c r="A1892" s="2">
        <f>IFERROR(__xludf.DUMMYFUNCTION("""COMPUTED_VALUE"""),945500.0)</f>
        <v>945500</v>
      </c>
      <c r="B1892" s="2">
        <f>IFERROR(__xludf.DUMMYFUNCTION("""COMPUTED_VALUE"""),18910.0)</f>
        <v>18910</v>
      </c>
      <c r="C1892" s="66">
        <f>IFERROR(__xludf.DUMMYFUNCTION("""COMPUTED_VALUE"""),1.786995E10)</f>
        <v>17869950000</v>
      </c>
      <c r="D1892" s="1"/>
      <c r="E1892" s="1"/>
      <c r="F1892" s="1"/>
      <c r="G1892" s="1"/>
      <c r="H1892" s="1"/>
      <c r="I1892" s="1"/>
      <c r="J1892" s="1"/>
      <c r="K1892" s="1"/>
      <c r="L1892" s="1"/>
      <c r="M1892" s="1"/>
      <c r="N1892" s="1"/>
      <c r="O1892" s="1"/>
      <c r="P1892" s="1"/>
      <c r="Q1892" s="1"/>
      <c r="R1892" s="1"/>
      <c r="S1892" s="1"/>
      <c r="T1892" s="1"/>
      <c r="U1892" s="1"/>
      <c r="V1892" s="1"/>
      <c r="W1892" s="1"/>
      <c r="X1892" s="1"/>
      <c r="Y1892" s="1"/>
      <c r="Z1892" s="1"/>
    </row>
    <row r="1893" ht="15.75" customHeight="1">
      <c r="A1893" s="2">
        <f>IFERROR(__xludf.DUMMYFUNCTION("""COMPUTED_VALUE"""),946000.0)</f>
        <v>946000</v>
      </c>
      <c r="B1893" s="2">
        <f>IFERROR(__xludf.DUMMYFUNCTION("""COMPUTED_VALUE"""),18920.0)</f>
        <v>18920</v>
      </c>
      <c r="C1893" s="66">
        <f>IFERROR(__xludf.DUMMYFUNCTION("""COMPUTED_VALUE"""),1.788886E10)</f>
        <v>17888860000</v>
      </c>
      <c r="D1893" s="1"/>
      <c r="E1893" s="1"/>
      <c r="F1893" s="1"/>
      <c r="G1893" s="1"/>
      <c r="H1893" s="1"/>
      <c r="I1893" s="1"/>
      <c r="J1893" s="1"/>
      <c r="K1893" s="1"/>
      <c r="L1893" s="1"/>
      <c r="M1893" s="1"/>
      <c r="N1893" s="1"/>
      <c r="O1893" s="1"/>
      <c r="P1893" s="1"/>
      <c r="Q1893" s="1"/>
      <c r="R1893" s="1"/>
      <c r="S1893" s="1"/>
      <c r="T1893" s="1"/>
      <c r="U1893" s="1"/>
      <c r="V1893" s="1"/>
      <c r="W1893" s="1"/>
      <c r="X1893" s="1"/>
      <c r="Y1893" s="1"/>
      <c r="Z1893" s="1"/>
    </row>
    <row r="1894" ht="15.75" customHeight="1">
      <c r="A1894" s="2">
        <f>IFERROR(__xludf.DUMMYFUNCTION("""COMPUTED_VALUE"""),946500.0)</f>
        <v>946500</v>
      </c>
      <c r="B1894" s="2">
        <f>IFERROR(__xludf.DUMMYFUNCTION("""COMPUTED_VALUE"""),18930.0)</f>
        <v>18930</v>
      </c>
      <c r="C1894" s="66">
        <f>IFERROR(__xludf.DUMMYFUNCTION("""COMPUTED_VALUE"""),1.790778E10)</f>
        <v>17907780000</v>
      </c>
      <c r="D1894" s="1"/>
      <c r="E1894" s="1"/>
      <c r="F1894" s="1"/>
      <c r="G1894" s="1"/>
      <c r="H1894" s="1"/>
      <c r="I1894" s="1"/>
      <c r="J1894" s="1"/>
      <c r="K1894" s="1"/>
      <c r="L1894" s="1"/>
      <c r="M1894" s="1"/>
      <c r="N1894" s="1"/>
      <c r="O1894" s="1"/>
      <c r="P1894" s="1"/>
      <c r="Q1894" s="1"/>
      <c r="R1894" s="1"/>
      <c r="S1894" s="1"/>
      <c r="T1894" s="1"/>
      <c r="U1894" s="1"/>
      <c r="V1894" s="1"/>
      <c r="W1894" s="1"/>
      <c r="X1894" s="1"/>
      <c r="Y1894" s="1"/>
      <c r="Z1894" s="1"/>
    </row>
    <row r="1895" ht="15.75" customHeight="1">
      <c r="A1895" s="2">
        <f>IFERROR(__xludf.DUMMYFUNCTION("""COMPUTED_VALUE"""),947000.0)</f>
        <v>947000</v>
      </c>
      <c r="B1895" s="2">
        <f>IFERROR(__xludf.DUMMYFUNCTION("""COMPUTED_VALUE"""),18940.0)</f>
        <v>18940</v>
      </c>
      <c r="C1895" s="66">
        <f>IFERROR(__xludf.DUMMYFUNCTION("""COMPUTED_VALUE"""),1.792671E10)</f>
        <v>17926710000</v>
      </c>
      <c r="D1895" s="1"/>
      <c r="E1895" s="1"/>
      <c r="F1895" s="1"/>
      <c r="G1895" s="1"/>
      <c r="H1895" s="1"/>
      <c r="I1895" s="1"/>
      <c r="J1895" s="1"/>
      <c r="K1895" s="1"/>
      <c r="L1895" s="1"/>
      <c r="M1895" s="1"/>
      <c r="N1895" s="1"/>
      <c r="O1895" s="1"/>
      <c r="P1895" s="1"/>
      <c r="Q1895" s="1"/>
      <c r="R1895" s="1"/>
      <c r="S1895" s="1"/>
      <c r="T1895" s="1"/>
      <c r="U1895" s="1"/>
      <c r="V1895" s="1"/>
      <c r="W1895" s="1"/>
      <c r="X1895" s="1"/>
      <c r="Y1895" s="1"/>
      <c r="Z1895" s="1"/>
    </row>
    <row r="1896" ht="15.75" customHeight="1">
      <c r="A1896" s="2">
        <f>IFERROR(__xludf.DUMMYFUNCTION("""COMPUTED_VALUE"""),947500.0)</f>
        <v>947500</v>
      </c>
      <c r="B1896" s="2">
        <f>IFERROR(__xludf.DUMMYFUNCTION("""COMPUTED_VALUE"""),18950.0)</f>
        <v>18950</v>
      </c>
      <c r="C1896" s="66">
        <f>IFERROR(__xludf.DUMMYFUNCTION("""COMPUTED_VALUE"""),1.794565E10)</f>
        <v>17945650000</v>
      </c>
      <c r="D1896" s="1"/>
      <c r="E1896" s="1"/>
      <c r="F1896" s="1"/>
      <c r="G1896" s="1"/>
      <c r="H1896" s="1"/>
      <c r="I1896" s="1"/>
      <c r="J1896" s="1"/>
      <c r="K1896" s="1"/>
      <c r="L1896" s="1"/>
      <c r="M1896" s="1"/>
      <c r="N1896" s="1"/>
      <c r="O1896" s="1"/>
      <c r="P1896" s="1"/>
      <c r="Q1896" s="1"/>
      <c r="R1896" s="1"/>
      <c r="S1896" s="1"/>
      <c r="T1896" s="1"/>
      <c r="U1896" s="1"/>
      <c r="V1896" s="1"/>
      <c r="W1896" s="1"/>
      <c r="X1896" s="1"/>
      <c r="Y1896" s="1"/>
      <c r="Z1896" s="1"/>
    </row>
    <row r="1897" ht="15.75" customHeight="1">
      <c r="A1897" s="2">
        <f>IFERROR(__xludf.DUMMYFUNCTION("""COMPUTED_VALUE"""),948000.0)</f>
        <v>948000</v>
      </c>
      <c r="B1897" s="2">
        <f>IFERROR(__xludf.DUMMYFUNCTION("""COMPUTED_VALUE"""),18960.0)</f>
        <v>18960</v>
      </c>
      <c r="C1897" s="66">
        <f>IFERROR(__xludf.DUMMYFUNCTION("""COMPUTED_VALUE"""),1.79646E10)</f>
        <v>17964600000</v>
      </c>
      <c r="D1897" s="1"/>
      <c r="E1897" s="1"/>
      <c r="F1897" s="1"/>
      <c r="G1897" s="1"/>
      <c r="H1897" s="1"/>
      <c r="I1897" s="1"/>
      <c r="J1897" s="1"/>
      <c r="K1897" s="1"/>
      <c r="L1897" s="1"/>
      <c r="M1897" s="1"/>
      <c r="N1897" s="1"/>
      <c r="O1897" s="1"/>
      <c r="P1897" s="1"/>
      <c r="Q1897" s="1"/>
      <c r="R1897" s="1"/>
      <c r="S1897" s="1"/>
      <c r="T1897" s="1"/>
      <c r="U1897" s="1"/>
      <c r="V1897" s="1"/>
      <c r="W1897" s="1"/>
      <c r="X1897" s="1"/>
      <c r="Y1897" s="1"/>
      <c r="Z1897" s="1"/>
    </row>
    <row r="1898" ht="15.75" customHeight="1">
      <c r="A1898" s="2">
        <f>IFERROR(__xludf.DUMMYFUNCTION("""COMPUTED_VALUE"""),948500.0)</f>
        <v>948500</v>
      </c>
      <c r="B1898" s="2">
        <f>IFERROR(__xludf.DUMMYFUNCTION("""COMPUTED_VALUE"""),18970.0)</f>
        <v>18970</v>
      </c>
      <c r="C1898" s="66">
        <f>IFERROR(__xludf.DUMMYFUNCTION("""COMPUTED_VALUE"""),1.798356E10)</f>
        <v>17983560000</v>
      </c>
      <c r="D1898" s="1"/>
      <c r="E1898" s="1"/>
      <c r="F1898" s="1"/>
      <c r="G1898" s="1"/>
      <c r="H1898" s="1"/>
      <c r="I1898" s="1"/>
      <c r="J1898" s="1"/>
      <c r="K1898" s="1"/>
      <c r="L1898" s="1"/>
      <c r="M1898" s="1"/>
      <c r="N1898" s="1"/>
      <c r="O1898" s="1"/>
      <c r="P1898" s="1"/>
      <c r="Q1898" s="1"/>
      <c r="R1898" s="1"/>
      <c r="S1898" s="1"/>
      <c r="T1898" s="1"/>
      <c r="U1898" s="1"/>
      <c r="V1898" s="1"/>
      <c r="W1898" s="1"/>
      <c r="X1898" s="1"/>
      <c r="Y1898" s="1"/>
      <c r="Z1898" s="1"/>
    </row>
    <row r="1899" ht="15.75" customHeight="1">
      <c r="A1899" s="2">
        <f>IFERROR(__xludf.DUMMYFUNCTION("""COMPUTED_VALUE"""),949000.0)</f>
        <v>949000</v>
      </c>
      <c r="B1899" s="2">
        <f>IFERROR(__xludf.DUMMYFUNCTION("""COMPUTED_VALUE"""),18980.0)</f>
        <v>18980</v>
      </c>
      <c r="C1899" s="66">
        <f>IFERROR(__xludf.DUMMYFUNCTION("""COMPUTED_VALUE"""),1.800253E10)</f>
        <v>18002530000</v>
      </c>
      <c r="D1899" s="1"/>
      <c r="E1899" s="1"/>
      <c r="F1899" s="1"/>
      <c r="G1899" s="1"/>
      <c r="H1899" s="1"/>
      <c r="I1899" s="1"/>
      <c r="J1899" s="1"/>
      <c r="K1899" s="1"/>
      <c r="L1899" s="1"/>
      <c r="M1899" s="1"/>
      <c r="N1899" s="1"/>
      <c r="O1899" s="1"/>
      <c r="P1899" s="1"/>
      <c r="Q1899" s="1"/>
      <c r="R1899" s="1"/>
      <c r="S1899" s="1"/>
      <c r="T1899" s="1"/>
      <c r="U1899" s="1"/>
      <c r="V1899" s="1"/>
      <c r="W1899" s="1"/>
      <c r="X1899" s="1"/>
      <c r="Y1899" s="1"/>
      <c r="Z1899" s="1"/>
    </row>
    <row r="1900" ht="15.75" customHeight="1">
      <c r="A1900" s="2">
        <f>IFERROR(__xludf.DUMMYFUNCTION("""COMPUTED_VALUE"""),949500.0)</f>
        <v>949500</v>
      </c>
      <c r="B1900" s="2">
        <f>IFERROR(__xludf.DUMMYFUNCTION("""COMPUTED_VALUE"""),18990.0)</f>
        <v>18990</v>
      </c>
      <c r="C1900" s="66">
        <f>IFERROR(__xludf.DUMMYFUNCTION("""COMPUTED_VALUE"""),1.802151E10)</f>
        <v>18021510000</v>
      </c>
      <c r="D1900" s="1"/>
      <c r="E1900" s="1"/>
      <c r="F1900" s="1"/>
      <c r="G1900" s="1"/>
      <c r="H1900" s="1"/>
      <c r="I1900" s="1"/>
      <c r="J1900" s="1"/>
      <c r="K1900" s="1"/>
      <c r="L1900" s="1"/>
      <c r="M1900" s="1"/>
      <c r="N1900" s="1"/>
      <c r="O1900" s="1"/>
      <c r="P1900" s="1"/>
      <c r="Q1900" s="1"/>
      <c r="R1900" s="1"/>
      <c r="S1900" s="1"/>
      <c r="T1900" s="1"/>
      <c r="U1900" s="1"/>
      <c r="V1900" s="1"/>
      <c r="W1900" s="1"/>
      <c r="X1900" s="1"/>
      <c r="Y1900" s="1"/>
      <c r="Z1900" s="1"/>
    </row>
    <row r="1901" ht="15.75" customHeight="1">
      <c r="A1901" s="2">
        <f>IFERROR(__xludf.DUMMYFUNCTION("""COMPUTED_VALUE"""),950000.0)</f>
        <v>950000</v>
      </c>
      <c r="B1901" s="2">
        <f>IFERROR(__xludf.DUMMYFUNCTION("""COMPUTED_VALUE"""),19000.0)</f>
        <v>19000</v>
      </c>
      <c r="C1901" s="66">
        <f>IFERROR(__xludf.DUMMYFUNCTION("""COMPUTED_VALUE"""),1.80405E10)</f>
        <v>18040500000</v>
      </c>
      <c r="D1901" s="1"/>
      <c r="E1901" s="1"/>
      <c r="F1901" s="1"/>
      <c r="G1901" s="1"/>
      <c r="H1901" s="1"/>
      <c r="I1901" s="1"/>
      <c r="J1901" s="1"/>
      <c r="K1901" s="1"/>
      <c r="L1901" s="1"/>
      <c r="M1901" s="1"/>
      <c r="N1901" s="1"/>
      <c r="O1901" s="1"/>
      <c r="P1901" s="1"/>
      <c r="Q1901" s="1"/>
      <c r="R1901" s="1"/>
      <c r="S1901" s="1"/>
      <c r="T1901" s="1"/>
      <c r="U1901" s="1"/>
      <c r="V1901" s="1"/>
      <c r="W1901" s="1"/>
      <c r="X1901" s="1"/>
      <c r="Y1901" s="1"/>
      <c r="Z1901" s="1"/>
    </row>
    <row r="1902" ht="15.75" customHeight="1">
      <c r="A1902" s="2">
        <f>IFERROR(__xludf.DUMMYFUNCTION("""COMPUTED_VALUE"""),950500.0)</f>
        <v>950500</v>
      </c>
      <c r="B1902" s="2">
        <f>IFERROR(__xludf.DUMMYFUNCTION("""COMPUTED_VALUE"""),19010.0)</f>
        <v>19010</v>
      </c>
      <c r="C1902" s="66">
        <f>IFERROR(__xludf.DUMMYFUNCTION("""COMPUTED_VALUE"""),1.80595E10)</f>
        <v>18059500000</v>
      </c>
      <c r="D1902" s="1"/>
      <c r="E1902" s="1"/>
      <c r="F1902" s="1"/>
      <c r="G1902" s="1"/>
      <c r="H1902" s="1"/>
      <c r="I1902" s="1"/>
      <c r="J1902" s="1"/>
      <c r="K1902" s="1"/>
      <c r="L1902" s="1"/>
      <c r="M1902" s="1"/>
      <c r="N1902" s="1"/>
      <c r="O1902" s="1"/>
      <c r="P1902" s="1"/>
      <c r="Q1902" s="1"/>
      <c r="R1902" s="1"/>
      <c r="S1902" s="1"/>
      <c r="T1902" s="1"/>
      <c r="U1902" s="1"/>
      <c r="V1902" s="1"/>
      <c r="W1902" s="1"/>
      <c r="X1902" s="1"/>
      <c r="Y1902" s="1"/>
      <c r="Z1902" s="1"/>
    </row>
    <row r="1903" ht="15.75" customHeight="1">
      <c r="A1903" s="2">
        <f>IFERROR(__xludf.DUMMYFUNCTION("""COMPUTED_VALUE"""),951000.0)</f>
        <v>951000</v>
      </c>
      <c r="B1903" s="2">
        <f>IFERROR(__xludf.DUMMYFUNCTION("""COMPUTED_VALUE"""),19020.0)</f>
        <v>19020</v>
      </c>
      <c r="C1903" s="66">
        <f>IFERROR(__xludf.DUMMYFUNCTION("""COMPUTED_VALUE"""),1.807851E10)</f>
        <v>18078510000</v>
      </c>
      <c r="D1903" s="1"/>
      <c r="E1903" s="1"/>
      <c r="F1903" s="1"/>
      <c r="G1903" s="1"/>
      <c r="H1903" s="1"/>
      <c r="I1903" s="1"/>
      <c r="J1903" s="1"/>
      <c r="K1903" s="1"/>
      <c r="L1903" s="1"/>
      <c r="M1903" s="1"/>
      <c r="N1903" s="1"/>
      <c r="O1903" s="1"/>
      <c r="P1903" s="1"/>
      <c r="Q1903" s="1"/>
      <c r="R1903" s="1"/>
      <c r="S1903" s="1"/>
      <c r="T1903" s="1"/>
      <c r="U1903" s="1"/>
      <c r="V1903" s="1"/>
      <c r="W1903" s="1"/>
      <c r="X1903" s="1"/>
      <c r="Y1903" s="1"/>
      <c r="Z1903" s="1"/>
    </row>
    <row r="1904" ht="15.75" customHeight="1">
      <c r="A1904" s="2">
        <f>IFERROR(__xludf.DUMMYFUNCTION("""COMPUTED_VALUE"""),951500.0)</f>
        <v>951500</v>
      </c>
      <c r="B1904" s="2">
        <f>IFERROR(__xludf.DUMMYFUNCTION("""COMPUTED_VALUE"""),19030.0)</f>
        <v>19030</v>
      </c>
      <c r="C1904" s="66">
        <f>IFERROR(__xludf.DUMMYFUNCTION("""COMPUTED_VALUE"""),1.809753E10)</f>
        <v>18097530000</v>
      </c>
      <c r="D1904" s="1"/>
      <c r="E1904" s="1"/>
      <c r="F1904" s="1"/>
      <c r="G1904" s="1"/>
      <c r="H1904" s="1"/>
      <c r="I1904" s="1"/>
      <c r="J1904" s="1"/>
      <c r="K1904" s="1"/>
      <c r="L1904" s="1"/>
      <c r="M1904" s="1"/>
      <c r="N1904" s="1"/>
      <c r="O1904" s="1"/>
      <c r="P1904" s="1"/>
      <c r="Q1904" s="1"/>
      <c r="R1904" s="1"/>
      <c r="S1904" s="1"/>
      <c r="T1904" s="1"/>
      <c r="U1904" s="1"/>
      <c r="V1904" s="1"/>
      <c r="W1904" s="1"/>
      <c r="X1904" s="1"/>
      <c r="Y1904" s="1"/>
      <c r="Z1904" s="1"/>
    </row>
    <row r="1905" ht="15.75" customHeight="1">
      <c r="A1905" s="2">
        <f>IFERROR(__xludf.DUMMYFUNCTION("""COMPUTED_VALUE"""),952000.0)</f>
        <v>952000</v>
      </c>
      <c r="B1905" s="2">
        <f>IFERROR(__xludf.DUMMYFUNCTION("""COMPUTED_VALUE"""),19040.0)</f>
        <v>19040</v>
      </c>
      <c r="C1905" s="66">
        <f>IFERROR(__xludf.DUMMYFUNCTION("""COMPUTED_VALUE"""),1.811656E10)</f>
        <v>18116560000</v>
      </c>
      <c r="D1905" s="1"/>
      <c r="E1905" s="1"/>
      <c r="F1905" s="1"/>
      <c r="G1905" s="1"/>
      <c r="H1905" s="1"/>
      <c r="I1905" s="1"/>
      <c r="J1905" s="1"/>
      <c r="K1905" s="1"/>
      <c r="L1905" s="1"/>
      <c r="M1905" s="1"/>
      <c r="N1905" s="1"/>
      <c r="O1905" s="1"/>
      <c r="P1905" s="1"/>
      <c r="Q1905" s="1"/>
      <c r="R1905" s="1"/>
      <c r="S1905" s="1"/>
      <c r="T1905" s="1"/>
      <c r="U1905" s="1"/>
      <c r="V1905" s="1"/>
      <c r="W1905" s="1"/>
      <c r="X1905" s="1"/>
      <c r="Y1905" s="1"/>
      <c r="Z1905" s="1"/>
    </row>
    <row r="1906" ht="15.75" customHeight="1">
      <c r="A1906" s="2">
        <f>IFERROR(__xludf.DUMMYFUNCTION("""COMPUTED_VALUE"""),952500.0)</f>
        <v>952500</v>
      </c>
      <c r="B1906" s="2">
        <f>IFERROR(__xludf.DUMMYFUNCTION("""COMPUTED_VALUE"""),19050.0)</f>
        <v>19050</v>
      </c>
      <c r="C1906" s="66">
        <f>IFERROR(__xludf.DUMMYFUNCTION("""COMPUTED_VALUE"""),1.81356E10)</f>
        <v>18135600000</v>
      </c>
      <c r="D1906" s="1"/>
      <c r="E1906" s="1"/>
      <c r="F1906" s="1"/>
      <c r="G1906" s="1"/>
      <c r="H1906" s="1"/>
      <c r="I1906" s="1"/>
      <c r="J1906" s="1"/>
      <c r="K1906" s="1"/>
      <c r="L1906" s="1"/>
      <c r="M1906" s="1"/>
      <c r="N1906" s="1"/>
      <c r="O1906" s="1"/>
      <c r="P1906" s="1"/>
      <c r="Q1906" s="1"/>
      <c r="R1906" s="1"/>
      <c r="S1906" s="1"/>
      <c r="T1906" s="1"/>
      <c r="U1906" s="1"/>
      <c r="V1906" s="1"/>
      <c r="W1906" s="1"/>
      <c r="X1906" s="1"/>
      <c r="Y1906" s="1"/>
      <c r="Z1906" s="1"/>
    </row>
    <row r="1907" ht="15.75" customHeight="1">
      <c r="A1907" s="2">
        <f>IFERROR(__xludf.DUMMYFUNCTION("""COMPUTED_VALUE"""),953000.0)</f>
        <v>953000</v>
      </c>
      <c r="B1907" s="2">
        <f>IFERROR(__xludf.DUMMYFUNCTION("""COMPUTED_VALUE"""),19060.0)</f>
        <v>19060</v>
      </c>
      <c r="C1907" s="66">
        <f>IFERROR(__xludf.DUMMYFUNCTION("""COMPUTED_VALUE"""),1.815465E10)</f>
        <v>18154650000</v>
      </c>
      <c r="D1907" s="1"/>
      <c r="E1907" s="1"/>
      <c r="F1907" s="1"/>
      <c r="G1907" s="1"/>
      <c r="H1907" s="1"/>
      <c r="I1907" s="1"/>
      <c r="J1907" s="1"/>
      <c r="K1907" s="1"/>
      <c r="L1907" s="1"/>
      <c r="M1907" s="1"/>
      <c r="N1907" s="1"/>
      <c r="O1907" s="1"/>
      <c r="P1907" s="1"/>
      <c r="Q1907" s="1"/>
      <c r="R1907" s="1"/>
      <c r="S1907" s="1"/>
      <c r="T1907" s="1"/>
      <c r="U1907" s="1"/>
      <c r="V1907" s="1"/>
      <c r="W1907" s="1"/>
      <c r="X1907" s="1"/>
      <c r="Y1907" s="1"/>
      <c r="Z1907" s="1"/>
    </row>
    <row r="1908" ht="15.75" customHeight="1">
      <c r="A1908" s="2">
        <f>IFERROR(__xludf.DUMMYFUNCTION("""COMPUTED_VALUE"""),953500.0)</f>
        <v>953500</v>
      </c>
      <c r="B1908" s="2">
        <f>IFERROR(__xludf.DUMMYFUNCTION("""COMPUTED_VALUE"""),19070.0)</f>
        <v>19070</v>
      </c>
      <c r="C1908" s="66">
        <f>IFERROR(__xludf.DUMMYFUNCTION("""COMPUTED_VALUE"""),1.817371E10)</f>
        <v>18173710000</v>
      </c>
      <c r="D1908" s="1"/>
      <c r="E1908" s="1"/>
      <c r="F1908" s="1"/>
      <c r="G1908" s="1"/>
      <c r="H1908" s="1"/>
      <c r="I1908" s="1"/>
      <c r="J1908" s="1"/>
      <c r="K1908" s="1"/>
      <c r="L1908" s="1"/>
      <c r="M1908" s="1"/>
      <c r="N1908" s="1"/>
      <c r="O1908" s="1"/>
      <c r="P1908" s="1"/>
      <c r="Q1908" s="1"/>
      <c r="R1908" s="1"/>
      <c r="S1908" s="1"/>
      <c r="T1908" s="1"/>
      <c r="U1908" s="1"/>
      <c r="V1908" s="1"/>
      <c r="W1908" s="1"/>
      <c r="X1908" s="1"/>
      <c r="Y1908" s="1"/>
      <c r="Z1908" s="1"/>
    </row>
    <row r="1909" ht="15.75" customHeight="1">
      <c r="A1909" s="2">
        <f>IFERROR(__xludf.DUMMYFUNCTION("""COMPUTED_VALUE"""),954000.0)</f>
        <v>954000</v>
      </c>
      <c r="B1909" s="2">
        <f>IFERROR(__xludf.DUMMYFUNCTION("""COMPUTED_VALUE"""),19080.0)</f>
        <v>19080</v>
      </c>
      <c r="C1909" s="66">
        <f>IFERROR(__xludf.DUMMYFUNCTION("""COMPUTED_VALUE"""),1.819278E10)</f>
        <v>18192780000</v>
      </c>
      <c r="D1909" s="1"/>
      <c r="E1909" s="1"/>
      <c r="F1909" s="1"/>
      <c r="G1909" s="1"/>
      <c r="H1909" s="1"/>
      <c r="I1909" s="1"/>
      <c r="J1909" s="1"/>
      <c r="K1909" s="1"/>
      <c r="L1909" s="1"/>
      <c r="M1909" s="1"/>
      <c r="N1909" s="1"/>
      <c r="O1909" s="1"/>
      <c r="P1909" s="1"/>
      <c r="Q1909" s="1"/>
      <c r="R1909" s="1"/>
      <c r="S1909" s="1"/>
      <c r="T1909" s="1"/>
      <c r="U1909" s="1"/>
      <c r="V1909" s="1"/>
      <c r="W1909" s="1"/>
      <c r="X1909" s="1"/>
      <c r="Y1909" s="1"/>
      <c r="Z1909" s="1"/>
    </row>
    <row r="1910" ht="15.75" customHeight="1">
      <c r="A1910" s="2">
        <f>IFERROR(__xludf.DUMMYFUNCTION("""COMPUTED_VALUE"""),954500.0)</f>
        <v>954500</v>
      </c>
      <c r="B1910" s="2">
        <f>IFERROR(__xludf.DUMMYFUNCTION("""COMPUTED_VALUE"""),19090.0)</f>
        <v>19090</v>
      </c>
      <c r="C1910" s="66">
        <f>IFERROR(__xludf.DUMMYFUNCTION("""COMPUTED_VALUE"""),1.821186E10)</f>
        <v>18211860000</v>
      </c>
      <c r="D1910" s="1"/>
      <c r="E1910" s="1"/>
      <c r="F1910" s="1"/>
      <c r="G1910" s="1"/>
      <c r="H1910" s="1"/>
      <c r="I1910" s="1"/>
      <c r="J1910" s="1"/>
      <c r="K1910" s="1"/>
      <c r="L1910" s="1"/>
      <c r="M1910" s="1"/>
      <c r="N1910" s="1"/>
      <c r="O1910" s="1"/>
      <c r="P1910" s="1"/>
      <c r="Q1910" s="1"/>
      <c r="R1910" s="1"/>
      <c r="S1910" s="1"/>
      <c r="T1910" s="1"/>
      <c r="U1910" s="1"/>
      <c r="V1910" s="1"/>
      <c r="W1910" s="1"/>
      <c r="X1910" s="1"/>
      <c r="Y1910" s="1"/>
      <c r="Z1910" s="1"/>
    </row>
    <row r="1911" ht="15.75" customHeight="1">
      <c r="A1911" s="2">
        <f>IFERROR(__xludf.DUMMYFUNCTION("""COMPUTED_VALUE"""),955000.0)</f>
        <v>955000</v>
      </c>
      <c r="B1911" s="2">
        <f>IFERROR(__xludf.DUMMYFUNCTION("""COMPUTED_VALUE"""),19100.0)</f>
        <v>19100</v>
      </c>
      <c r="C1911" s="66">
        <f>IFERROR(__xludf.DUMMYFUNCTION("""COMPUTED_VALUE"""),1.823095E10)</f>
        <v>18230950000</v>
      </c>
      <c r="D1911" s="1"/>
      <c r="E1911" s="1"/>
      <c r="F1911" s="1"/>
      <c r="G1911" s="1"/>
      <c r="H1911" s="1"/>
      <c r="I1911" s="1"/>
      <c r="J1911" s="1"/>
      <c r="K1911" s="1"/>
      <c r="L1911" s="1"/>
      <c r="M1911" s="1"/>
      <c r="N1911" s="1"/>
      <c r="O1911" s="1"/>
      <c r="P1911" s="1"/>
      <c r="Q1911" s="1"/>
      <c r="R1911" s="1"/>
      <c r="S1911" s="1"/>
      <c r="T1911" s="1"/>
      <c r="U1911" s="1"/>
      <c r="V1911" s="1"/>
      <c r="W1911" s="1"/>
      <c r="X1911" s="1"/>
      <c r="Y1911" s="1"/>
      <c r="Z1911" s="1"/>
    </row>
    <row r="1912" ht="15.75" customHeight="1">
      <c r="A1912" s="2">
        <f>IFERROR(__xludf.DUMMYFUNCTION("""COMPUTED_VALUE"""),955500.0)</f>
        <v>955500</v>
      </c>
      <c r="B1912" s="2">
        <f>IFERROR(__xludf.DUMMYFUNCTION("""COMPUTED_VALUE"""),19110.0)</f>
        <v>19110</v>
      </c>
      <c r="C1912" s="66">
        <f>IFERROR(__xludf.DUMMYFUNCTION("""COMPUTED_VALUE"""),1.825005E10)</f>
        <v>18250050000</v>
      </c>
      <c r="D1912" s="1"/>
      <c r="E1912" s="1"/>
      <c r="F1912" s="1"/>
      <c r="G1912" s="1"/>
      <c r="H1912" s="1"/>
      <c r="I1912" s="1"/>
      <c r="J1912" s="1"/>
      <c r="K1912" s="1"/>
      <c r="L1912" s="1"/>
      <c r="M1912" s="1"/>
      <c r="N1912" s="1"/>
      <c r="O1912" s="1"/>
      <c r="P1912" s="1"/>
      <c r="Q1912" s="1"/>
      <c r="R1912" s="1"/>
      <c r="S1912" s="1"/>
      <c r="T1912" s="1"/>
      <c r="U1912" s="1"/>
      <c r="V1912" s="1"/>
      <c r="W1912" s="1"/>
      <c r="X1912" s="1"/>
      <c r="Y1912" s="1"/>
      <c r="Z1912" s="1"/>
    </row>
    <row r="1913" ht="15.75" customHeight="1">
      <c r="A1913" s="2">
        <f>IFERROR(__xludf.DUMMYFUNCTION("""COMPUTED_VALUE"""),956000.0)</f>
        <v>956000</v>
      </c>
      <c r="B1913" s="2">
        <f>IFERROR(__xludf.DUMMYFUNCTION("""COMPUTED_VALUE"""),19120.0)</f>
        <v>19120</v>
      </c>
      <c r="C1913" s="66">
        <f>IFERROR(__xludf.DUMMYFUNCTION("""COMPUTED_VALUE"""),1.826916E10)</f>
        <v>18269160000</v>
      </c>
      <c r="D1913" s="1"/>
      <c r="E1913" s="1"/>
      <c r="F1913" s="1"/>
      <c r="G1913" s="1"/>
      <c r="H1913" s="1"/>
      <c r="I1913" s="1"/>
      <c r="J1913" s="1"/>
      <c r="K1913" s="1"/>
      <c r="L1913" s="1"/>
      <c r="M1913" s="1"/>
      <c r="N1913" s="1"/>
      <c r="O1913" s="1"/>
      <c r="P1913" s="1"/>
      <c r="Q1913" s="1"/>
      <c r="R1913" s="1"/>
      <c r="S1913" s="1"/>
      <c r="T1913" s="1"/>
      <c r="U1913" s="1"/>
      <c r="V1913" s="1"/>
      <c r="W1913" s="1"/>
      <c r="X1913" s="1"/>
      <c r="Y1913" s="1"/>
      <c r="Z1913" s="1"/>
    </row>
    <row r="1914" ht="15.75" customHeight="1">
      <c r="A1914" s="2">
        <f>IFERROR(__xludf.DUMMYFUNCTION("""COMPUTED_VALUE"""),956500.0)</f>
        <v>956500</v>
      </c>
      <c r="B1914" s="2">
        <f>IFERROR(__xludf.DUMMYFUNCTION("""COMPUTED_VALUE"""),19130.0)</f>
        <v>19130</v>
      </c>
      <c r="C1914" s="66">
        <f>IFERROR(__xludf.DUMMYFUNCTION("""COMPUTED_VALUE"""),1.828828E10)</f>
        <v>18288280000</v>
      </c>
      <c r="D1914" s="1"/>
      <c r="E1914" s="1"/>
      <c r="F1914" s="1"/>
      <c r="G1914" s="1"/>
      <c r="H1914" s="1"/>
      <c r="I1914" s="1"/>
      <c r="J1914" s="1"/>
      <c r="K1914" s="1"/>
      <c r="L1914" s="1"/>
      <c r="M1914" s="1"/>
      <c r="N1914" s="1"/>
      <c r="O1914" s="1"/>
      <c r="P1914" s="1"/>
      <c r="Q1914" s="1"/>
      <c r="R1914" s="1"/>
      <c r="S1914" s="1"/>
      <c r="T1914" s="1"/>
      <c r="U1914" s="1"/>
      <c r="V1914" s="1"/>
      <c r="W1914" s="1"/>
      <c r="X1914" s="1"/>
      <c r="Y1914" s="1"/>
      <c r="Z1914" s="1"/>
    </row>
    <row r="1915" ht="15.75" customHeight="1">
      <c r="A1915" s="2">
        <f>IFERROR(__xludf.DUMMYFUNCTION("""COMPUTED_VALUE"""),957000.0)</f>
        <v>957000</v>
      </c>
      <c r="B1915" s="2">
        <f>IFERROR(__xludf.DUMMYFUNCTION("""COMPUTED_VALUE"""),19140.0)</f>
        <v>19140</v>
      </c>
      <c r="C1915" s="66">
        <f>IFERROR(__xludf.DUMMYFUNCTION("""COMPUTED_VALUE"""),1.830741E10)</f>
        <v>18307410000</v>
      </c>
      <c r="D1915" s="1"/>
      <c r="E1915" s="1"/>
      <c r="F1915" s="1"/>
      <c r="G1915" s="1"/>
      <c r="H1915" s="1"/>
      <c r="I1915" s="1"/>
      <c r="J1915" s="1"/>
      <c r="K1915" s="1"/>
      <c r="L1915" s="1"/>
      <c r="M1915" s="1"/>
      <c r="N1915" s="1"/>
      <c r="O1915" s="1"/>
      <c r="P1915" s="1"/>
      <c r="Q1915" s="1"/>
      <c r="R1915" s="1"/>
      <c r="S1915" s="1"/>
      <c r="T1915" s="1"/>
      <c r="U1915" s="1"/>
      <c r="V1915" s="1"/>
      <c r="W1915" s="1"/>
      <c r="X1915" s="1"/>
      <c r="Y1915" s="1"/>
      <c r="Z1915" s="1"/>
    </row>
    <row r="1916" ht="15.75" customHeight="1">
      <c r="A1916" s="2">
        <f>IFERROR(__xludf.DUMMYFUNCTION("""COMPUTED_VALUE"""),957500.0)</f>
        <v>957500</v>
      </c>
      <c r="B1916" s="2">
        <f>IFERROR(__xludf.DUMMYFUNCTION("""COMPUTED_VALUE"""),19150.0)</f>
        <v>19150</v>
      </c>
      <c r="C1916" s="66">
        <f>IFERROR(__xludf.DUMMYFUNCTION("""COMPUTED_VALUE"""),1.832655E10)</f>
        <v>18326550000</v>
      </c>
      <c r="D1916" s="1"/>
      <c r="E1916" s="1"/>
      <c r="F1916" s="1"/>
      <c r="G1916" s="1"/>
      <c r="H1916" s="1"/>
      <c r="I1916" s="1"/>
      <c r="J1916" s="1"/>
      <c r="K1916" s="1"/>
      <c r="L1916" s="1"/>
      <c r="M1916" s="1"/>
      <c r="N1916" s="1"/>
      <c r="O1916" s="1"/>
      <c r="P1916" s="1"/>
      <c r="Q1916" s="1"/>
      <c r="R1916" s="1"/>
      <c r="S1916" s="1"/>
      <c r="T1916" s="1"/>
      <c r="U1916" s="1"/>
      <c r="V1916" s="1"/>
      <c r="W1916" s="1"/>
      <c r="X1916" s="1"/>
      <c r="Y1916" s="1"/>
      <c r="Z1916" s="1"/>
    </row>
    <row r="1917" ht="15.75" customHeight="1">
      <c r="A1917" s="2">
        <f>IFERROR(__xludf.DUMMYFUNCTION("""COMPUTED_VALUE"""),958000.0)</f>
        <v>958000</v>
      </c>
      <c r="B1917" s="2">
        <f>IFERROR(__xludf.DUMMYFUNCTION("""COMPUTED_VALUE"""),19160.0)</f>
        <v>19160</v>
      </c>
      <c r="C1917" s="66">
        <f>IFERROR(__xludf.DUMMYFUNCTION("""COMPUTED_VALUE"""),1.83457E10)</f>
        <v>18345700000</v>
      </c>
      <c r="D1917" s="1"/>
      <c r="E1917" s="1"/>
      <c r="F1917" s="1"/>
      <c r="G1917" s="1"/>
      <c r="H1917" s="1"/>
      <c r="I1917" s="1"/>
      <c r="J1917" s="1"/>
      <c r="K1917" s="1"/>
      <c r="L1917" s="1"/>
      <c r="M1917" s="1"/>
      <c r="N1917" s="1"/>
      <c r="O1917" s="1"/>
      <c r="P1917" s="1"/>
      <c r="Q1917" s="1"/>
      <c r="R1917" s="1"/>
      <c r="S1917" s="1"/>
      <c r="T1917" s="1"/>
      <c r="U1917" s="1"/>
      <c r="V1917" s="1"/>
      <c r="W1917" s="1"/>
      <c r="X1917" s="1"/>
      <c r="Y1917" s="1"/>
      <c r="Z1917" s="1"/>
    </row>
    <row r="1918" ht="15.75" customHeight="1">
      <c r="A1918" s="2">
        <f>IFERROR(__xludf.DUMMYFUNCTION("""COMPUTED_VALUE"""),958500.0)</f>
        <v>958500</v>
      </c>
      <c r="B1918" s="2">
        <f>IFERROR(__xludf.DUMMYFUNCTION("""COMPUTED_VALUE"""),19170.0)</f>
        <v>19170</v>
      </c>
      <c r="C1918" s="66">
        <f>IFERROR(__xludf.DUMMYFUNCTION("""COMPUTED_VALUE"""),1.836486E10)</f>
        <v>18364860000</v>
      </c>
      <c r="D1918" s="1"/>
      <c r="E1918" s="1"/>
      <c r="F1918" s="1"/>
      <c r="G1918" s="1"/>
      <c r="H1918" s="1"/>
      <c r="I1918" s="1"/>
      <c r="J1918" s="1"/>
      <c r="K1918" s="1"/>
      <c r="L1918" s="1"/>
      <c r="M1918" s="1"/>
      <c r="N1918" s="1"/>
      <c r="O1918" s="1"/>
      <c r="P1918" s="1"/>
      <c r="Q1918" s="1"/>
      <c r="R1918" s="1"/>
      <c r="S1918" s="1"/>
      <c r="T1918" s="1"/>
      <c r="U1918" s="1"/>
      <c r="V1918" s="1"/>
      <c r="W1918" s="1"/>
      <c r="X1918" s="1"/>
      <c r="Y1918" s="1"/>
      <c r="Z1918" s="1"/>
    </row>
    <row r="1919" ht="15.75" customHeight="1">
      <c r="A1919" s="2">
        <f>IFERROR(__xludf.DUMMYFUNCTION("""COMPUTED_VALUE"""),959000.0)</f>
        <v>959000</v>
      </c>
      <c r="B1919" s="2">
        <f>IFERROR(__xludf.DUMMYFUNCTION("""COMPUTED_VALUE"""),19180.0)</f>
        <v>19180</v>
      </c>
      <c r="C1919" s="66">
        <f>IFERROR(__xludf.DUMMYFUNCTION("""COMPUTED_VALUE"""),1.838403E10)</f>
        <v>18384030000</v>
      </c>
      <c r="D1919" s="1"/>
      <c r="E1919" s="1"/>
      <c r="F1919" s="1"/>
      <c r="G1919" s="1"/>
      <c r="H1919" s="1"/>
      <c r="I1919" s="1"/>
      <c r="J1919" s="1"/>
      <c r="K1919" s="1"/>
      <c r="L1919" s="1"/>
      <c r="M1919" s="1"/>
      <c r="N1919" s="1"/>
      <c r="O1919" s="1"/>
      <c r="P1919" s="1"/>
      <c r="Q1919" s="1"/>
      <c r="R1919" s="1"/>
      <c r="S1919" s="1"/>
      <c r="T1919" s="1"/>
      <c r="U1919" s="1"/>
      <c r="V1919" s="1"/>
      <c r="W1919" s="1"/>
      <c r="X1919" s="1"/>
      <c r="Y1919" s="1"/>
      <c r="Z1919" s="1"/>
    </row>
    <row r="1920" ht="15.75" customHeight="1">
      <c r="A1920" s="2">
        <f>IFERROR(__xludf.DUMMYFUNCTION("""COMPUTED_VALUE"""),959500.0)</f>
        <v>959500</v>
      </c>
      <c r="B1920" s="2">
        <f>IFERROR(__xludf.DUMMYFUNCTION("""COMPUTED_VALUE"""),19190.0)</f>
        <v>19190</v>
      </c>
      <c r="C1920" s="66">
        <f>IFERROR(__xludf.DUMMYFUNCTION("""COMPUTED_VALUE"""),1.840321E10)</f>
        <v>18403210000</v>
      </c>
      <c r="D1920" s="1"/>
      <c r="E1920" s="1"/>
      <c r="F1920" s="1"/>
      <c r="G1920" s="1"/>
      <c r="H1920" s="1"/>
      <c r="I1920" s="1"/>
      <c r="J1920" s="1"/>
      <c r="K1920" s="1"/>
      <c r="L1920" s="1"/>
      <c r="M1920" s="1"/>
      <c r="N1920" s="1"/>
      <c r="O1920" s="1"/>
      <c r="P1920" s="1"/>
      <c r="Q1920" s="1"/>
      <c r="R1920" s="1"/>
      <c r="S1920" s="1"/>
      <c r="T1920" s="1"/>
      <c r="U1920" s="1"/>
      <c r="V1920" s="1"/>
      <c r="W1920" s="1"/>
      <c r="X1920" s="1"/>
      <c r="Y1920" s="1"/>
      <c r="Z1920" s="1"/>
    </row>
    <row r="1921" ht="15.75" customHeight="1">
      <c r="A1921" s="2">
        <f>IFERROR(__xludf.DUMMYFUNCTION("""COMPUTED_VALUE"""),960000.0)</f>
        <v>960000</v>
      </c>
      <c r="B1921" s="2">
        <f>IFERROR(__xludf.DUMMYFUNCTION("""COMPUTED_VALUE"""),19200.0)</f>
        <v>19200</v>
      </c>
      <c r="C1921" s="66">
        <f>IFERROR(__xludf.DUMMYFUNCTION("""COMPUTED_VALUE"""),1.84224E10)</f>
        <v>18422400000</v>
      </c>
      <c r="D1921" s="1"/>
      <c r="E1921" s="1"/>
      <c r="F1921" s="1"/>
      <c r="G1921" s="1"/>
      <c r="H1921" s="1"/>
      <c r="I1921" s="1"/>
      <c r="J1921" s="1"/>
      <c r="K1921" s="1"/>
      <c r="L1921" s="1"/>
      <c r="M1921" s="1"/>
      <c r="N1921" s="1"/>
      <c r="O1921" s="1"/>
      <c r="P1921" s="1"/>
      <c r="Q1921" s="1"/>
      <c r="R1921" s="1"/>
      <c r="S1921" s="1"/>
      <c r="T1921" s="1"/>
      <c r="U1921" s="1"/>
      <c r="V1921" s="1"/>
      <c r="W1921" s="1"/>
      <c r="X1921" s="1"/>
      <c r="Y1921" s="1"/>
      <c r="Z1921" s="1"/>
    </row>
    <row r="1922" ht="15.75" customHeight="1">
      <c r="A1922" s="2">
        <f>IFERROR(__xludf.DUMMYFUNCTION("""COMPUTED_VALUE"""),960500.0)</f>
        <v>960500</v>
      </c>
      <c r="B1922" s="2">
        <f>IFERROR(__xludf.DUMMYFUNCTION("""COMPUTED_VALUE"""),19210.0)</f>
        <v>19210</v>
      </c>
      <c r="C1922" s="66">
        <f>IFERROR(__xludf.DUMMYFUNCTION("""COMPUTED_VALUE"""),1.84416E10)</f>
        <v>18441600000</v>
      </c>
      <c r="D1922" s="1"/>
      <c r="E1922" s="1"/>
      <c r="F1922" s="1"/>
      <c r="G1922" s="1"/>
      <c r="H1922" s="1"/>
      <c r="I1922" s="1"/>
      <c r="J1922" s="1"/>
      <c r="K1922" s="1"/>
      <c r="L1922" s="1"/>
      <c r="M1922" s="1"/>
      <c r="N1922" s="1"/>
      <c r="O1922" s="1"/>
      <c r="P1922" s="1"/>
      <c r="Q1922" s="1"/>
      <c r="R1922" s="1"/>
      <c r="S1922" s="1"/>
      <c r="T1922" s="1"/>
      <c r="U1922" s="1"/>
      <c r="V1922" s="1"/>
      <c r="W1922" s="1"/>
      <c r="X1922" s="1"/>
      <c r="Y1922" s="1"/>
      <c r="Z1922" s="1"/>
    </row>
    <row r="1923" ht="15.75" customHeight="1">
      <c r="A1923" s="2">
        <f>IFERROR(__xludf.DUMMYFUNCTION("""COMPUTED_VALUE"""),961000.0)</f>
        <v>961000</v>
      </c>
      <c r="B1923" s="2">
        <f>IFERROR(__xludf.DUMMYFUNCTION("""COMPUTED_VALUE"""),19220.0)</f>
        <v>19220</v>
      </c>
      <c r="C1923" s="66">
        <f>IFERROR(__xludf.DUMMYFUNCTION("""COMPUTED_VALUE"""),1.846081E10)</f>
        <v>18460810000</v>
      </c>
      <c r="D1923" s="1"/>
      <c r="E1923" s="1"/>
      <c r="F1923" s="1"/>
      <c r="G1923" s="1"/>
      <c r="H1923" s="1"/>
      <c r="I1923" s="1"/>
      <c r="J1923" s="1"/>
      <c r="K1923" s="1"/>
      <c r="L1923" s="1"/>
      <c r="M1923" s="1"/>
      <c r="N1923" s="1"/>
      <c r="O1923" s="1"/>
      <c r="P1923" s="1"/>
      <c r="Q1923" s="1"/>
      <c r="R1923" s="1"/>
      <c r="S1923" s="1"/>
      <c r="T1923" s="1"/>
      <c r="U1923" s="1"/>
      <c r="V1923" s="1"/>
      <c r="W1923" s="1"/>
      <c r="X1923" s="1"/>
      <c r="Y1923" s="1"/>
      <c r="Z1923" s="1"/>
    </row>
    <row r="1924" ht="15.75" customHeight="1">
      <c r="A1924" s="2">
        <f>IFERROR(__xludf.DUMMYFUNCTION("""COMPUTED_VALUE"""),961500.0)</f>
        <v>961500</v>
      </c>
      <c r="B1924" s="2">
        <f>IFERROR(__xludf.DUMMYFUNCTION("""COMPUTED_VALUE"""),19230.0)</f>
        <v>19230</v>
      </c>
      <c r="C1924" s="66">
        <f>IFERROR(__xludf.DUMMYFUNCTION("""COMPUTED_VALUE"""),1.848003E10)</f>
        <v>18480030000</v>
      </c>
      <c r="D1924" s="1"/>
      <c r="E1924" s="1"/>
      <c r="F1924" s="1"/>
      <c r="G1924" s="1"/>
      <c r="H1924" s="1"/>
      <c r="I1924" s="1"/>
      <c r="J1924" s="1"/>
      <c r="K1924" s="1"/>
      <c r="L1924" s="1"/>
      <c r="M1924" s="1"/>
      <c r="N1924" s="1"/>
      <c r="O1924" s="1"/>
      <c r="P1924" s="1"/>
      <c r="Q1924" s="1"/>
      <c r="R1924" s="1"/>
      <c r="S1924" s="1"/>
      <c r="T1924" s="1"/>
      <c r="U1924" s="1"/>
      <c r="V1924" s="1"/>
      <c r="W1924" s="1"/>
      <c r="X1924" s="1"/>
      <c r="Y1924" s="1"/>
      <c r="Z1924" s="1"/>
    </row>
    <row r="1925" ht="15.75" customHeight="1">
      <c r="A1925" s="2">
        <f>IFERROR(__xludf.DUMMYFUNCTION("""COMPUTED_VALUE"""),962000.0)</f>
        <v>962000</v>
      </c>
      <c r="B1925" s="2">
        <f>IFERROR(__xludf.DUMMYFUNCTION("""COMPUTED_VALUE"""),19240.0)</f>
        <v>19240</v>
      </c>
      <c r="C1925" s="66">
        <f>IFERROR(__xludf.DUMMYFUNCTION("""COMPUTED_VALUE"""),1.849926E10)</f>
        <v>18499260000</v>
      </c>
      <c r="D1925" s="1"/>
      <c r="E1925" s="1"/>
      <c r="F1925" s="1"/>
      <c r="G1925" s="1"/>
      <c r="H1925" s="1"/>
      <c r="I1925" s="1"/>
      <c r="J1925" s="1"/>
      <c r="K1925" s="1"/>
      <c r="L1925" s="1"/>
      <c r="M1925" s="1"/>
      <c r="N1925" s="1"/>
      <c r="O1925" s="1"/>
      <c r="P1925" s="1"/>
      <c r="Q1925" s="1"/>
      <c r="R1925" s="1"/>
      <c r="S1925" s="1"/>
      <c r="T1925" s="1"/>
      <c r="U1925" s="1"/>
      <c r="V1925" s="1"/>
      <c r="W1925" s="1"/>
      <c r="X1925" s="1"/>
      <c r="Y1925" s="1"/>
      <c r="Z1925" s="1"/>
    </row>
    <row r="1926" ht="15.75" customHeight="1">
      <c r="A1926" s="2">
        <f>IFERROR(__xludf.DUMMYFUNCTION("""COMPUTED_VALUE"""),962500.0)</f>
        <v>962500</v>
      </c>
      <c r="B1926" s="2">
        <f>IFERROR(__xludf.DUMMYFUNCTION("""COMPUTED_VALUE"""),19250.0)</f>
        <v>19250</v>
      </c>
      <c r="C1926" s="66">
        <f>IFERROR(__xludf.DUMMYFUNCTION("""COMPUTED_VALUE"""),1.85185E10)</f>
        <v>18518500000</v>
      </c>
      <c r="D1926" s="1"/>
      <c r="E1926" s="1"/>
      <c r="F1926" s="1"/>
      <c r="G1926" s="1"/>
      <c r="H1926" s="1"/>
      <c r="I1926" s="1"/>
      <c r="J1926" s="1"/>
      <c r="K1926" s="1"/>
      <c r="L1926" s="1"/>
      <c r="M1926" s="1"/>
      <c r="N1926" s="1"/>
      <c r="O1926" s="1"/>
      <c r="P1926" s="1"/>
      <c r="Q1926" s="1"/>
      <c r="R1926" s="1"/>
      <c r="S1926" s="1"/>
      <c r="T1926" s="1"/>
      <c r="U1926" s="1"/>
      <c r="V1926" s="1"/>
      <c r="W1926" s="1"/>
      <c r="X1926" s="1"/>
      <c r="Y1926" s="1"/>
      <c r="Z1926" s="1"/>
    </row>
    <row r="1927" ht="15.75" customHeight="1">
      <c r="A1927" s="2">
        <f>IFERROR(__xludf.DUMMYFUNCTION("""COMPUTED_VALUE"""),963000.0)</f>
        <v>963000</v>
      </c>
      <c r="B1927" s="2">
        <f>IFERROR(__xludf.DUMMYFUNCTION("""COMPUTED_VALUE"""),19260.0)</f>
        <v>19260</v>
      </c>
      <c r="C1927" s="66">
        <f>IFERROR(__xludf.DUMMYFUNCTION("""COMPUTED_VALUE"""),1.853775E10)</f>
        <v>18537750000</v>
      </c>
      <c r="D1927" s="1"/>
      <c r="E1927" s="1"/>
      <c r="F1927" s="1"/>
      <c r="G1927" s="1"/>
      <c r="H1927" s="1"/>
      <c r="I1927" s="1"/>
      <c r="J1927" s="1"/>
      <c r="K1927" s="1"/>
      <c r="L1927" s="1"/>
      <c r="M1927" s="1"/>
      <c r="N1927" s="1"/>
      <c r="O1927" s="1"/>
      <c r="P1927" s="1"/>
      <c r="Q1927" s="1"/>
      <c r="R1927" s="1"/>
      <c r="S1927" s="1"/>
      <c r="T1927" s="1"/>
      <c r="U1927" s="1"/>
      <c r="V1927" s="1"/>
      <c r="W1927" s="1"/>
      <c r="X1927" s="1"/>
      <c r="Y1927" s="1"/>
      <c r="Z1927" s="1"/>
    </row>
    <row r="1928" ht="15.75" customHeight="1">
      <c r="A1928" s="2">
        <f>IFERROR(__xludf.DUMMYFUNCTION("""COMPUTED_VALUE"""),963500.0)</f>
        <v>963500</v>
      </c>
      <c r="B1928" s="2">
        <f>IFERROR(__xludf.DUMMYFUNCTION("""COMPUTED_VALUE"""),19270.0)</f>
        <v>19270</v>
      </c>
      <c r="C1928" s="66">
        <f>IFERROR(__xludf.DUMMYFUNCTION("""COMPUTED_VALUE"""),1.855701E10)</f>
        <v>18557010000</v>
      </c>
      <c r="D1928" s="1"/>
      <c r="E1928" s="1"/>
      <c r="F1928" s="1"/>
      <c r="G1928" s="1"/>
      <c r="H1928" s="1"/>
      <c r="I1928" s="1"/>
      <c r="J1928" s="1"/>
      <c r="K1928" s="1"/>
      <c r="L1928" s="1"/>
      <c r="M1928" s="1"/>
      <c r="N1928" s="1"/>
      <c r="O1928" s="1"/>
      <c r="P1928" s="1"/>
      <c r="Q1928" s="1"/>
      <c r="R1928" s="1"/>
      <c r="S1928" s="1"/>
      <c r="T1928" s="1"/>
      <c r="U1928" s="1"/>
      <c r="V1928" s="1"/>
      <c r="W1928" s="1"/>
      <c r="X1928" s="1"/>
      <c r="Y1928" s="1"/>
      <c r="Z1928" s="1"/>
    </row>
    <row r="1929" ht="15.75" customHeight="1">
      <c r="A1929" s="2">
        <f>IFERROR(__xludf.DUMMYFUNCTION("""COMPUTED_VALUE"""),964000.0)</f>
        <v>964000</v>
      </c>
      <c r="B1929" s="2">
        <f>IFERROR(__xludf.DUMMYFUNCTION("""COMPUTED_VALUE"""),19280.0)</f>
        <v>19280</v>
      </c>
      <c r="C1929" s="66">
        <f>IFERROR(__xludf.DUMMYFUNCTION("""COMPUTED_VALUE"""),1.857628E10)</f>
        <v>18576280000</v>
      </c>
      <c r="D1929" s="1"/>
      <c r="E1929" s="1"/>
      <c r="F1929" s="1"/>
      <c r="G1929" s="1"/>
      <c r="H1929" s="1"/>
      <c r="I1929" s="1"/>
      <c r="J1929" s="1"/>
      <c r="K1929" s="1"/>
      <c r="L1929" s="1"/>
      <c r="M1929" s="1"/>
      <c r="N1929" s="1"/>
      <c r="O1929" s="1"/>
      <c r="P1929" s="1"/>
      <c r="Q1929" s="1"/>
      <c r="R1929" s="1"/>
      <c r="S1929" s="1"/>
      <c r="T1929" s="1"/>
      <c r="U1929" s="1"/>
      <c r="V1929" s="1"/>
      <c r="W1929" s="1"/>
      <c r="X1929" s="1"/>
      <c r="Y1929" s="1"/>
      <c r="Z1929" s="1"/>
    </row>
    <row r="1930" ht="15.75" customHeight="1">
      <c r="A1930" s="2">
        <f>IFERROR(__xludf.DUMMYFUNCTION("""COMPUTED_VALUE"""),964500.0)</f>
        <v>964500</v>
      </c>
      <c r="B1930" s="2">
        <f>IFERROR(__xludf.DUMMYFUNCTION("""COMPUTED_VALUE"""),19290.0)</f>
        <v>19290</v>
      </c>
      <c r="C1930" s="66">
        <f>IFERROR(__xludf.DUMMYFUNCTION("""COMPUTED_VALUE"""),1.859556E10)</f>
        <v>18595560000</v>
      </c>
      <c r="D1930" s="1"/>
      <c r="E1930" s="1"/>
      <c r="F1930" s="1"/>
      <c r="G1930" s="1"/>
      <c r="H1930" s="1"/>
      <c r="I1930" s="1"/>
      <c r="J1930" s="1"/>
      <c r="K1930" s="1"/>
      <c r="L1930" s="1"/>
      <c r="M1930" s="1"/>
      <c r="N1930" s="1"/>
      <c r="O1930" s="1"/>
      <c r="P1930" s="1"/>
      <c r="Q1930" s="1"/>
      <c r="R1930" s="1"/>
      <c r="S1930" s="1"/>
      <c r="T1930" s="1"/>
      <c r="U1930" s="1"/>
      <c r="V1930" s="1"/>
      <c r="W1930" s="1"/>
      <c r="X1930" s="1"/>
      <c r="Y1930" s="1"/>
      <c r="Z1930" s="1"/>
    </row>
    <row r="1931" ht="15.75" customHeight="1">
      <c r="A1931" s="2">
        <f>IFERROR(__xludf.DUMMYFUNCTION("""COMPUTED_VALUE"""),965000.0)</f>
        <v>965000</v>
      </c>
      <c r="B1931" s="2">
        <f>IFERROR(__xludf.DUMMYFUNCTION("""COMPUTED_VALUE"""),19300.0)</f>
        <v>19300</v>
      </c>
      <c r="C1931" s="66">
        <f>IFERROR(__xludf.DUMMYFUNCTION("""COMPUTED_VALUE"""),1.861485E10)</f>
        <v>18614850000</v>
      </c>
      <c r="D1931" s="1"/>
      <c r="E1931" s="1"/>
      <c r="F1931" s="1"/>
      <c r="G1931" s="1"/>
      <c r="H1931" s="1"/>
      <c r="I1931" s="1"/>
      <c r="J1931" s="1"/>
      <c r="K1931" s="1"/>
      <c r="L1931" s="1"/>
      <c r="M1931" s="1"/>
      <c r="N1931" s="1"/>
      <c r="O1931" s="1"/>
      <c r="P1931" s="1"/>
      <c r="Q1931" s="1"/>
      <c r="R1931" s="1"/>
      <c r="S1931" s="1"/>
      <c r="T1931" s="1"/>
      <c r="U1931" s="1"/>
      <c r="V1931" s="1"/>
      <c r="W1931" s="1"/>
      <c r="X1931" s="1"/>
      <c r="Y1931" s="1"/>
      <c r="Z1931" s="1"/>
    </row>
    <row r="1932" ht="15.75" customHeight="1">
      <c r="A1932" s="2">
        <f>IFERROR(__xludf.DUMMYFUNCTION("""COMPUTED_VALUE"""),965500.0)</f>
        <v>965500</v>
      </c>
      <c r="B1932" s="2">
        <f>IFERROR(__xludf.DUMMYFUNCTION("""COMPUTED_VALUE"""),19310.0)</f>
        <v>19310</v>
      </c>
      <c r="C1932" s="66">
        <f>IFERROR(__xludf.DUMMYFUNCTION("""COMPUTED_VALUE"""),1.863415E10)</f>
        <v>18634150000</v>
      </c>
      <c r="D1932" s="1"/>
      <c r="E1932" s="1"/>
      <c r="F1932" s="1"/>
      <c r="G1932" s="1"/>
      <c r="H1932" s="1"/>
      <c r="I1932" s="1"/>
      <c r="J1932" s="1"/>
      <c r="K1932" s="1"/>
      <c r="L1932" s="1"/>
      <c r="M1932" s="1"/>
      <c r="N1932" s="1"/>
      <c r="O1932" s="1"/>
      <c r="P1932" s="1"/>
      <c r="Q1932" s="1"/>
      <c r="R1932" s="1"/>
      <c r="S1932" s="1"/>
      <c r="T1932" s="1"/>
      <c r="U1932" s="1"/>
      <c r="V1932" s="1"/>
      <c r="W1932" s="1"/>
      <c r="X1932" s="1"/>
      <c r="Y1932" s="1"/>
      <c r="Z1932" s="1"/>
    </row>
    <row r="1933" ht="15.75" customHeight="1">
      <c r="A1933" s="2">
        <f>IFERROR(__xludf.DUMMYFUNCTION("""COMPUTED_VALUE"""),966000.0)</f>
        <v>966000</v>
      </c>
      <c r="B1933" s="2">
        <f>IFERROR(__xludf.DUMMYFUNCTION("""COMPUTED_VALUE"""),19320.0)</f>
        <v>19320</v>
      </c>
      <c r="C1933" s="66">
        <f>IFERROR(__xludf.DUMMYFUNCTION("""COMPUTED_VALUE"""),1.865346E10)</f>
        <v>18653460000</v>
      </c>
      <c r="D1933" s="1"/>
      <c r="E1933" s="1"/>
      <c r="F1933" s="1"/>
      <c r="G1933" s="1"/>
      <c r="H1933" s="1"/>
      <c r="I1933" s="1"/>
      <c r="J1933" s="1"/>
      <c r="K1933" s="1"/>
      <c r="L1933" s="1"/>
      <c r="M1933" s="1"/>
      <c r="N1933" s="1"/>
      <c r="O1933" s="1"/>
      <c r="P1933" s="1"/>
      <c r="Q1933" s="1"/>
      <c r="R1933" s="1"/>
      <c r="S1933" s="1"/>
      <c r="T1933" s="1"/>
      <c r="U1933" s="1"/>
      <c r="V1933" s="1"/>
      <c r="W1933" s="1"/>
      <c r="X1933" s="1"/>
      <c r="Y1933" s="1"/>
      <c r="Z1933" s="1"/>
    </row>
    <row r="1934" ht="15.75" customHeight="1">
      <c r="A1934" s="2">
        <f>IFERROR(__xludf.DUMMYFUNCTION("""COMPUTED_VALUE"""),966500.0)</f>
        <v>966500</v>
      </c>
      <c r="B1934" s="2">
        <f>IFERROR(__xludf.DUMMYFUNCTION("""COMPUTED_VALUE"""),19330.0)</f>
        <v>19330</v>
      </c>
      <c r="C1934" s="66">
        <f>IFERROR(__xludf.DUMMYFUNCTION("""COMPUTED_VALUE"""),1.867278E10)</f>
        <v>18672780000</v>
      </c>
      <c r="D1934" s="1"/>
      <c r="E1934" s="1"/>
      <c r="F1934" s="1"/>
      <c r="G1934" s="1"/>
      <c r="H1934" s="1"/>
      <c r="I1934" s="1"/>
      <c r="J1934" s="1"/>
      <c r="K1934" s="1"/>
      <c r="L1934" s="1"/>
      <c r="M1934" s="1"/>
      <c r="N1934" s="1"/>
      <c r="O1934" s="1"/>
      <c r="P1934" s="1"/>
      <c r="Q1934" s="1"/>
      <c r="R1934" s="1"/>
      <c r="S1934" s="1"/>
      <c r="T1934" s="1"/>
      <c r="U1934" s="1"/>
      <c r="V1934" s="1"/>
      <c r="W1934" s="1"/>
      <c r="X1934" s="1"/>
      <c r="Y1934" s="1"/>
      <c r="Z1934" s="1"/>
    </row>
    <row r="1935" ht="15.75" customHeight="1">
      <c r="A1935" s="2">
        <f>IFERROR(__xludf.DUMMYFUNCTION("""COMPUTED_VALUE"""),967000.0)</f>
        <v>967000</v>
      </c>
      <c r="B1935" s="2">
        <f>IFERROR(__xludf.DUMMYFUNCTION("""COMPUTED_VALUE"""),19340.0)</f>
        <v>19340</v>
      </c>
      <c r="C1935" s="66">
        <f>IFERROR(__xludf.DUMMYFUNCTION("""COMPUTED_VALUE"""),1.869211E10)</f>
        <v>18692110000</v>
      </c>
      <c r="D1935" s="1"/>
      <c r="E1935" s="1"/>
      <c r="F1935" s="1"/>
      <c r="G1935" s="1"/>
      <c r="H1935" s="1"/>
      <c r="I1935" s="1"/>
      <c r="J1935" s="1"/>
      <c r="K1935" s="1"/>
      <c r="L1935" s="1"/>
      <c r="M1935" s="1"/>
      <c r="N1935" s="1"/>
      <c r="O1935" s="1"/>
      <c r="P1935" s="1"/>
      <c r="Q1935" s="1"/>
      <c r="R1935" s="1"/>
      <c r="S1935" s="1"/>
      <c r="T1935" s="1"/>
      <c r="U1935" s="1"/>
      <c r="V1935" s="1"/>
      <c r="W1935" s="1"/>
      <c r="X1935" s="1"/>
      <c r="Y1935" s="1"/>
      <c r="Z1935" s="1"/>
    </row>
    <row r="1936" ht="15.75" customHeight="1">
      <c r="A1936" s="2">
        <f>IFERROR(__xludf.DUMMYFUNCTION("""COMPUTED_VALUE"""),967500.0)</f>
        <v>967500</v>
      </c>
      <c r="B1936" s="2">
        <f>IFERROR(__xludf.DUMMYFUNCTION("""COMPUTED_VALUE"""),19350.0)</f>
        <v>19350</v>
      </c>
      <c r="C1936" s="66">
        <f>IFERROR(__xludf.DUMMYFUNCTION("""COMPUTED_VALUE"""),1.871145E10)</f>
        <v>18711450000</v>
      </c>
      <c r="D1936" s="1"/>
      <c r="E1936" s="1"/>
      <c r="F1936" s="1"/>
      <c r="G1936" s="1"/>
      <c r="H1936" s="1"/>
      <c r="I1936" s="1"/>
      <c r="J1936" s="1"/>
      <c r="K1936" s="1"/>
      <c r="L1936" s="1"/>
      <c r="M1936" s="1"/>
      <c r="N1936" s="1"/>
      <c r="O1936" s="1"/>
      <c r="P1936" s="1"/>
      <c r="Q1936" s="1"/>
      <c r="R1936" s="1"/>
      <c r="S1936" s="1"/>
      <c r="T1936" s="1"/>
      <c r="U1936" s="1"/>
      <c r="V1936" s="1"/>
      <c r="W1936" s="1"/>
      <c r="X1936" s="1"/>
      <c r="Y1936" s="1"/>
      <c r="Z1936" s="1"/>
    </row>
    <row r="1937" ht="15.75" customHeight="1">
      <c r="A1937" s="2">
        <f>IFERROR(__xludf.DUMMYFUNCTION("""COMPUTED_VALUE"""),968000.0)</f>
        <v>968000</v>
      </c>
      <c r="B1937" s="2">
        <f>IFERROR(__xludf.DUMMYFUNCTION("""COMPUTED_VALUE"""),19360.0)</f>
        <v>19360</v>
      </c>
      <c r="C1937" s="66">
        <f>IFERROR(__xludf.DUMMYFUNCTION("""COMPUTED_VALUE"""),1.87308E10)</f>
        <v>18730800000</v>
      </c>
      <c r="D1937" s="1"/>
      <c r="E1937" s="1"/>
      <c r="F1937" s="1"/>
      <c r="G1937" s="1"/>
      <c r="H1937" s="1"/>
      <c r="I1937" s="1"/>
      <c r="J1937" s="1"/>
      <c r="K1937" s="1"/>
      <c r="L1937" s="1"/>
      <c r="M1937" s="1"/>
      <c r="N1937" s="1"/>
      <c r="O1937" s="1"/>
      <c r="P1937" s="1"/>
      <c r="Q1937" s="1"/>
      <c r="R1937" s="1"/>
      <c r="S1937" s="1"/>
      <c r="T1937" s="1"/>
      <c r="U1937" s="1"/>
      <c r="V1937" s="1"/>
      <c r="W1937" s="1"/>
      <c r="X1937" s="1"/>
      <c r="Y1937" s="1"/>
      <c r="Z1937" s="1"/>
    </row>
    <row r="1938" ht="15.75" customHeight="1">
      <c r="A1938" s="2">
        <f>IFERROR(__xludf.DUMMYFUNCTION("""COMPUTED_VALUE"""),968500.0)</f>
        <v>968500</v>
      </c>
      <c r="B1938" s="2">
        <f>IFERROR(__xludf.DUMMYFUNCTION("""COMPUTED_VALUE"""),19370.0)</f>
        <v>19370</v>
      </c>
      <c r="C1938" s="66">
        <f>IFERROR(__xludf.DUMMYFUNCTION("""COMPUTED_VALUE"""),1.875016E10)</f>
        <v>18750160000</v>
      </c>
      <c r="D1938" s="1"/>
      <c r="E1938" s="1"/>
      <c r="F1938" s="1"/>
      <c r="G1938" s="1"/>
      <c r="H1938" s="1"/>
      <c r="I1938" s="1"/>
      <c r="J1938" s="1"/>
      <c r="K1938" s="1"/>
      <c r="L1938" s="1"/>
      <c r="M1938" s="1"/>
      <c r="N1938" s="1"/>
      <c r="O1938" s="1"/>
      <c r="P1938" s="1"/>
      <c r="Q1938" s="1"/>
      <c r="R1938" s="1"/>
      <c r="S1938" s="1"/>
      <c r="T1938" s="1"/>
      <c r="U1938" s="1"/>
      <c r="V1938" s="1"/>
      <c r="W1938" s="1"/>
      <c r="X1938" s="1"/>
      <c r="Y1938" s="1"/>
      <c r="Z1938" s="1"/>
    </row>
    <row r="1939" ht="15.75" customHeight="1">
      <c r="A1939" s="2">
        <f>IFERROR(__xludf.DUMMYFUNCTION("""COMPUTED_VALUE"""),969000.0)</f>
        <v>969000</v>
      </c>
      <c r="B1939" s="2">
        <f>IFERROR(__xludf.DUMMYFUNCTION("""COMPUTED_VALUE"""),19380.0)</f>
        <v>19380</v>
      </c>
      <c r="C1939" s="66">
        <f>IFERROR(__xludf.DUMMYFUNCTION("""COMPUTED_VALUE"""),1.876953E10)</f>
        <v>18769530000</v>
      </c>
      <c r="D1939" s="1"/>
      <c r="E1939" s="1"/>
      <c r="F1939" s="1"/>
      <c r="G1939" s="1"/>
      <c r="H1939" s="1"/>
      <c r="I1939" s="1"/>
      <c r="J1939" s="1"/>
      <c r="K1939" s="1"/>
      <c r="L1939" s="1"/>
      <c r="M1939" s="1"/>
      <c r="N1939" s="1"/>
      <c r="O1939" s="1"/>
      <c r="P1939" s="1"/>
      <c r="Q1939" s="1"/>
      <c r="R1939" s="1"/>
      <c r="S1939" s="1"/>
      <c r="T1939" s="1"/>
      <c r="U1939" s="1"/>
      <c r="V1939" s="1"/>
      <c r="W1939" s="1"/>
      <c r="X1939" s="1"/>
      <c r="Y1939" s="1"/>
      <c r="Z1939" s="1"/>
    </row>
    <row r="1940" ht="15.75" customHeight="1">
      <c r="A1940" s="2">
        <f>IFERROR(__xludf.DUMMYFUNCTION("""COMPUTED_VALUE"""),969500.0)</f>
        <v>969500</v>
      </c>
      <c r="B1940" s="2">
        <f>IFERROR(__xludf.DUMMYFUNCTION("""COMPUTED_VALUE"""),19390.0)</f>
        <v>19390</v>
      </c>
      <c r="C1940" s="66">
        <f>IFERROR(__xludf.DUMMYFUNCTION("""COMPUTED_VALUE"""),1.878891E10)</f>
        <v>18788910000</v>
      </c>
      <c r="D1940" s="1"/>
      <c r="E1940" s="1"/>
      <c r="F1940" s="1"/>
      <c r="G1940" s="1"/>
      <c r="H1940" s="1"/>
      <c r="I1940" s="1"/>
      <c r="J1940" s="1"/>
      <c r="K1940" s="1"/>
      <c r="L1940" s="1"/>
      <c r="M1940" s="1"/>
      <c r="N1940" s="1"/>
      <c r="O1940" s="1"/>
      <c r="P1940" s="1"/>
      <c r="Q1940" s="1"/>
      <c r="R1940" s="1"/>
      <c r="S1940" s="1"/>
      <c r="T1940" s="1"/>
      <c r="U1940" s="1"/>
      <c r="V1940" s="1"/>
      <c r="W1940" s="1"/>
      <c r="X1940" s="1"/>
      <c r="Y1940" s="1"/>
      <c r="Z1940" s="1"/>
    </row>
    <row r="1941" ht="15.75" customHeight="1">
      <c r="A1941" s="2">
        <f>IFERROR(__xludf.DUMMYFUNCTION("""COMPUTED_VALUE"""),970000.0)</f>
        <v>970000</v>
      </c>
      <c r="B1941" s="2">
        <f>IFERROR(__xludf.DUMMYFUNCTION("""COMPUTED_VALUE"""),19400.0)</f>
        <v>19400</v>
      </c>
      <c r="C1941" s="66">
        <f>IFERROR(__xludf.DUMMYFUNCTION("""COMPUTED_VALUE"""),1.88083E10)</f>
        <v>18808300000</v>
      </c>
      <c r="D1941" s="1"/>
      <c r="E1941" s="1"/>
      <c r="F1941" s="1"/>
      <c r="G1941" s="1"/>
      <c r="H1941" s="1"/>
      <c r="I1941" s="1"/>
      <c r="J1941" s="1"/>
      <c r="K1941" s="1"/>
      <c r="L1941" s="1"/>
      <c r="M1941" s="1"/>
      <c r="N1941" s="1"/>
      <c r="O1941" s="1"/>
      <c r="P1941" s="1"/>
      <c r="Q1941" s="1"/>
      <c r="R1941" s="1"/>
      <c r="S1941" s="1"/>
      <c r="T1941" s="1"/>
      <c r="U1941" s="1"/>
      <c r="V1941" s="1"/>
      <c r="W1941" s="1"/>
      <c r="X1941" s="1"/>
      <c r="Y1941" s="1"/>
      <c r="Z1941" s="1"/>
    </row>
    <row r="1942" ht="15.75" customHeight="1">
      <c r="A1942" s="2">
        <f>IFERROR(__xludf.DUMMYFUNCTION("""COMPUTED_VALUE"""),970500.0)</f>
        <v>970500</v>
      </c>
      <c r="B1942" s="2">
        <f>IFERROR(__xludf.DUMMYFUNCTION("""COMPUTED_VALUE"""),19410.0)</f>
        <v>19410</v>
      </c>
      <c r="C1942" s="66">
        <f>IFERROR(__xludf.DUMMYFUNCTION("""COMPUTED_VALUE"""),1.88277E10)</f>
        <v>18827700000</v>
      </c>
      <c r="D1942" s="1"/>
      <c r="E1942" s="1"/>
      <c r="F1942" s="1"/>
      <c r="G1942" s="1"/>
      <c r="H1942" s="1"/>
      <c r="I1942" s="1"/>
      <c r="J1942" s="1"/>
      <c r="K1942" s="1"/>
      <c r="L1942" s="1"/>
      <c r="M1942" s="1"/>
      <c r="N1942" s="1"/>
      <c r="O1942" s="1"/>
      <c r="P1942" s="1"/>
      <c r="Q1942" s="1"/>
      <c r="R1942" s="1"/>
      <c r="S1942" s="1"/>
      <c r="T1942" s="1"/>
      <c r="U1942" s="1"/>
      <c r="V1942" s="1"/>
      <c r="W1942" s="1"/>
      <c r="X1942" s="1"/>
      <c r="Y1942" s="1"/>
      <c r="Z1942" s="1"/>
    </row>
    <row r="1943" ht="15.75" customHeight="1">
      <c r="A1943" s="2">
        <f>IFERROR(__xludf.DUMMYFUNCTION("""COMPUTED_VALUE"""),971000.0)</f>
        <v>971000</v>
      </c>
      <c r="B1943" s="2">
        <f>IFERROR(__xludf.DUMMYFUNCTION("""COMPUTED_VALUE"""),19420.0)</f>
        <v>19420</v>
      </c>
      <c r="C1943" s="66">
        <f>IFERROR(__xludf.DUMMYFUNCTION("""COMPUTED_VALUE"""),1.884711E10)</f>
        <v>18847110000</v>
      </c>
      <c r="D1943" s="1"/>
      <c r="E1943" s="1"/>
      <c r="F1943" s="1"/>
      <c r="G1943" s="1"/>
      <c r="H1943" s="1"/>
      <c r="I1943" s="1"/>
      <c r="J1943" s="1"/>
      <c r="K1943" s="1"/>
      <c r="L1943" s="1"/>
      <c r="M1943" s="1"/>
      <c r="N1943" s="1"/>
      <c r="O1943" s="1"/>
      <c r="P1943" s="1"/>
      <c r="Q1943" s="1"/>
      <c r="R1943" s="1"/>
      <c r="S1943" s="1"/>
      <c r="T1943" s="1"/>
      <c r="U1943" s="1"/>
      <c r="V1943" s="1"/>
      <c r="W1943" s="1"/>
      <c r="X1943" s="1"/>
      <c r="Y1943" s="1"/>
      <c r="Z1943" s="1"/>
    </row>
    <row r="1944" ht="15.75" customHeight="1">
      <c r="A1944" s="2">
        <f>IFERROR(__xludf.DUMMYFUNCTION("""COMPUTED_VALUE"""),971500.0)</f>
        <v>971500</v>
      </c>
      <c r="B1944" s="2">
        <f>IFERROR(__xludf.DUMMYFUNCTION("""COMPUTED_VALUE"""),19430.0)</f>
        <v>19430</v>
      </c>
      <c r="C1944" s="66">
        <f>IFERROR(__xludf.DUMMYFUNCTION("""COMPUTED_VALUE"""),1.886653E10)</f>
        <v>18866530000</v>
      </c>
      <c r="D1944" s="1"/>
      <c r="E1944" s="1"/>
      <c r="F1944" s="1"/>
      <c r="G1944" s="1"/>
      <c r="H1944" s="1"/>
      <c r="I1944" s="1"/>
      <c r="J1944" s="1"/>
      <c r="K1944" s="1"/>
      <c r="L1944" s="1"/>
      <c r="M1944" s="1"/>
      <c r="N1944" s="1"/>
      <c r="O1944" s="1"/>
      <c r="P1944" s="1"/>
      <c r="Q1944" s="1"/>
      <c r="R1944" s="1"/>
      <c r="S1944" s="1"/>
      <c r="T1944" s="1"/>
      <c r="U1944" s="1"/>
      <c r="V1944" s="1"/>
      <c r="W1944" s="1"/>
      <c r="X1944" s="1"/>
      <c r="Y1944" s="1"/>
      <c r="Z1944" s="1"/>
    </row>
    <row r="1945" ht="15.75" customHeight="1">
      <c r="A1945" s="2">
        <f>IFERROR(__xludf.DUMMYFUNCTION("""COMPUTED_VALUE"""),972000.0)</f>
        <v>972000</v>
      </c>
      <c r="B1945" s="2">
        <f>IFERROR(__xludf.DUMMYFUNCTION("""COMPUTED_VALUE"""),19440.0)</f>
        <v>19440</v>
      </c>
      <c r="C1945" s="66">
        <f>IFERROR(__xludf.DUMMYFUNCTION("""COMPUTED_VALUE"""),1.888596E10)</f>
        <v>18885960000</v>
      </c>
      <c r="D1945" s="1"/>
      <c r="E1945" s="1"/>
      <c r="F1945" s="1"/>
      <c r="G1945" s="1"/>
      <c r="H1945" s="1"/>
      <c r="I1945" s="1"/>
      <c r="J1945" s="1"/>
      <c r="K1945" s="1"/>
      <c r="L1945" s="1"/>
      <c r="M1945" s="1"/>
      <c r="N1945" s="1"/>
      <c r="O1945" s="1"/>
      <c r="P1945" s="1"/>
      <c r="Q1945" s="1"/>
      <c r="R1945" s="1"/>
      <c r="S1945" s="1"/>
      <c r="T1945" s="1"/>
      <c r="U1945" s="1"/>
      <c r="V1945" s="1"/>
      <c r="W1945" s="1"/>
      <c r="X1945" s="1"/>
      <c r="Y1945" s="1"/>
      <c r="Z1945" s="1"/>
    </row>
    <row r="1946" ht="15.75" customHeight="1">
      <c r="A1946" s="2">
        <f>IFERROR(__xludf.DUMMYFUNCTION("""COMPUTED_VALUE"""),972500.0)</f>
        <v>972500</v>
      </c>
      <c r="B1946" s="2">
        <f>IFERROR(__xludf.DUMMYFUNCTION("""COMPUTED_VALUE"""),19450.0)</f>
        <v>19450</v>
      </c>
      <c r="C1946" s="66">
        <f>IFERROR(__xludf.DUMMYFUNCTION("""COMPUTED_VALUE"""),1.89054E10)</f>
        <v>18905400000</v>
      </c>
      <c r="D1946" s="1"/>
      <c r="E1946" s="1"/>
      <c r="F1946" s="1"/>
      <c r="G1946" s="1"/>
      <c r="H1946" s="1"/>
      <c r="I1946" s="1"/>
      <c r="J1946" s="1"/>
      <c r="K1946" s="1"/>
      <c r="L1946" s="1"/>
      <c r="M1946" s="1"/>
      <c r="N1946" s="1"/>
      <c r="O1946" s="1"/>
      <c r="P1946" s="1"/>
      <c r="Q1946" s="1"/>
      <c r="R1946" s="1"/>
      <c r="S1946" s="1"/>
      <c r="T1946" s="1"/>
      <c r="U1946" s="1"/>
      <c r="V1946" s="1"/>
      <c r="W1946" s="1"/>
      <c r="X1946" s="1"/>
      <c r="Y1946" s="1"/>
      <c r="Z1946" s="1"/>
    </row>
    <row r="1947" ht="15.75" customHeight="1">
      <c r="A1947" s="2">
        <f>IFERROR(__xludf.DUMMYFUNCTION("""COMPUTED_VALUE"""),973000.0)</f>
        <v>973000</v>
      </c>
      <c r="B1947" s="2">
        <f>IFERROR(__xludf.DUMMYFUNCTION("""COMPUTED_VALUE"""),19460.0)</f>
        <v>19460</v>
      </c>
      <c r="C1947" s="66">
        <f>IFERROR(__xludf.DUMMYFUNCTION("""COMPUTED_VALUE"""),1.892485E10)</f>
        <v>18924850000</v>
      </c>
      <c r="D1947" s="1"/>
      <c r="E1947" s="1"/>
      <c r="F1947" s="1"/>
      <c r="G1947" s="1"/>
      <c r="H1947" s="1"/>
      <c r="I1947" s="1"/>
      <c r="J1947" s="1"/>
      <c r="K1947" s="1"/>
      <c r="L1947" s="1"/>
      <c r="M1947" s="1"/>
      <c r="N1947" s="1"/>
      <c r="O1947" s="1"/>
      <c r="P1947" s="1"/>
      <c r="Q1947" s="1"/>
      <c r="R1947" s="1"/>
      <c r="S1947" s="1"/>
      <c r="T1947" s="1"/>
      <c r="U1947" s="1"/>
      <c r="V1947" s="1"/>
      <c r="W1947" s="1"/>
      <c r="X1947" s="1"/>
      <c r="Y1947" s="1"/>
      <c r="Z1947" s="1"/>
    </row>
    <row r="1948" ht="15.75" customHeight="1">
      <c r="A1948" s="2">
        <f>IFERROR(__xludf.DUMMYFUNCTION("""COMPUTED_VALUE"""),973500.0)</f>
        <v>973500</v>
      </c>
      <c r="B1948" s="2">
        <f>IFERROR(__xludf.DUMMYFUNCTION("""COMPUTED_VALUE"""),19470.0)</f>
        <v>19470</v>
      </c>
      <c r="C1948" s="66">
        <f>IFERROR(__xludf.DUMMYFUNCTION("""COMPUTED_VALUE"""),1.894431E10)</f>
        <v>18944310000</v>
      </c>
      <c r="D1948" s="1"/>
      <c r="E1948" s="1"/>
      <c r="F1948" s="1"/>
      <c r="G1948" s="1"/>
      <c r="H1948" s="1"/>
      <c r="I1948" s="1"/>
      <c r="J1948" s="1"/>
      <c r="K1948" s="1"/>
      <c r="L1948" s="1"/>
      <c r="M1948" s="1"/>
      <c r="N1948" s="1"/>
      <c r="O1948" s="1"/>
      <c r="P1948" s="1"/>
      <c r="Q1948" s="1"/>
      <c r="R1948" s="1"/>
      <c r="S1948" s="1"/>
      <c r="T1948" s="1"/>
      <c r="U1948" s="1"/>
      <c r="V1948" s="1"/>
      <c r="W1948" s="1"/>
      <c r="X1948" s="1"/>
      <c r="Y1948" s="1"/>
      <c r="Z1948" s="1"/>
    </row>
    <row r="1949" ht="15.75" customHeight="1">
      <c r="A1949" s="2">
        <f>IFERROR(__xludf.DUMMYFUNCTION("""COMPUTED_VALUE"""),974000.0)</f>
        <v>974000</v>
      </c>
      <c r="B1949" s="2">
        <f>IFERROR(__xludf.DUMMYFUNCTION("""COMPUTED_VALUE"""),19480.0)</f>
        <v>19480</v>
      </c>
      <c r="C1949" s="66">
        <f>IFERROR(__xludf.DUMMYFUNCTION("""COMPUTED_VALUE"""),1.896378E10)</f>
        <v>18963780000</v>
      </c>
      <c r="D1949" s="1"/>
      <c r="E1949" s="1"/>
      <c r="F1949" s="1"/>
      <c r="G1949" s="1"/>
      <c r="H1949" s="1"/>
      <c r="I1949" s="1"/>
      <c r="J1949" s="1"/>
      <c r="K1949" s="1"/>
      <c r="L1949" s="1"/>
      <c r="M1949" s="1"/>
      <c r="N1949" s="1"/>
      <c r="O1949" s="1"/>
      <c r="P1949" s="1"/>
      <c r="Q1949" s="1"/>
      <c r="R1949" s="1"/>
      <c r="S1949" s="1"/>
      <c r="T1949" s="1"/>
      <c r="U1949" s="1"/>
      <c r="V1949" s="1"/>
      <c r="W1949" s="1"/>
      <c r="X1949" s="1"/>
      <c r="Y1949" s="1"/>
      <c r="Z1949" s="1"/>
    </row>
    <row r="1950" ht="15.75" customHeight="1">
      <c r="A1950" s="2">
        <f>IFERROR(__xludf.DUMMYFUNCTION("""COMPUTED_VALUE"""),974500.0)</f>
        <v>974500</v>
      </c>
      <c r="B1950" s="2">
        <f>IFERROR(__xludf.DUMMYFUNCTION("""COMPUTED_VALUE"""),19490.0)</f>
        <v>19490</v>
      </c>
      <c r="C1950" s="66">
        <f>IFERROR(__xludf.DUMMYFUNCTION("""COMPUTED_VALUE"""),1.898326E10)</f>
        <v>18983260000</v>
      </c>
      <c r="D1950" s="1"/>
      <c r="E1950" s="1"/>
      <c r="F1950" s="1"/>
      <c r="G1950" s="1"/>
      <c r="H1950" s="1"/>
      <c r="I1950" s="1"/>
      <c r="J1950" s="1"/>
      <c r="K1950" s="1"/>
      <c r="L1950" s="1"/>
      <c r="M1950" s="1"/>
      <c r="N1950" s="1"/>
      <c r="O1950" s="1"/>
      <c r="P1950" s="1"/>
      <c r="Q1950" s="1"/>
      <c r="R1950" s="1"/>
      <c r="S1950" s="1"/>
      <c r="T1950" s="1"/>
      <c r="U1950" s="1"/>
      <c r="V1950" s="1"/>
      <c r="W1950" s="1"/>
      <c r="X1950" s="1"/>
      <c r="Y1950" s="1"/>
      <c r="Z1950" s="1"/>
    </row>
    <row r="1951" ht="15.75" customHeight="1">
      <c r="A1951" s="2">
        <f>IFERROR(__xludf.DUMMYFUNCTION("""COMPUTED_VALUE"""),975000.0)</f>
        <v>975000</v>
      </c>
      <c r="B1951" s="2">
        <f>IFERROR(__xludf.DUMMYFUNCTION("""COMPUTED_VALUE"""),19500.0)</f>
        <v>19500</v>
      </c>
      <c r="C1951" s="66">
        <f>IFERROR(__xludf.DUMMYFUNCTION("""COMPUTED_VALUE"""),1.900275E10)</f>
        <v>19002750000</v>
      </c>
      <c r="D1951" s="1"/>
      <c r="E1951" s="1"/>
      <c r="F1951" s="1"/>
      <c r="G1951" s="1"/>
      <c r="H1951" s="1"/>
      <c r="I1951" s="1"/>
      <c r="J1951" s="1"/>
      <c r="K1951" s="1"/>
      <c r="L1951" s="1"/>
      <c r="M1951" s="1"/>
      <c r="N1951" s="1"/>
      <c r="O1951" s="1"/>
      <c r="P1951" s="1"/>
      <c r="Q1951" s="1"/>
      <c r="R1951" s="1"/>
      <c r="S1951" s="1"/>
      <c r="T1951" s="1"/>
      <c r="U1951" s="1"/>
      <c r="V1951" s="1"/>
      <c r="W1951" s="1"/>
      <c r="X1951" s="1"/>
      <c r="Y1951" s="1"/>
      <c r="Z1951" s="1"/>
    </row>
    <row r="1952" ht="15.75" customHeight="1">
      <c r="A1952" s="2">
        <f>IFERROR(__xludf.DUMMYFUNCTION("""COMPUTED_VALUE"""),975500.0)</f>
        <v>975500</v>
      </c>
      <c r="B1952" s="2">
        <f>IFERROR(__xludf.DUMMYFUNCTION("""COMPUTED_VALUE"""),19510.0)</f>
        <v>19510</v>
      </c>
      <c r="C1952" s="66">
        <f>IFERROR(__xludf.DUMMYFUNCTION("""COMPUTED_VALUE"""),1.902225E10)</f>
        <v>19022250000</v>
      </c>
      <c r="D1952" s="1"/>
      <c r="E1952" s="1"/>
      <c r="F1952" s="1"/>
      <c r="G1952" s="1"/>
      <c r="H1952" s="1"/>
      <c r="I1952" s="1"/>
      <c r="J1952" s="1"/>
      <c r="K1952" s="1"/>
      <c r="L1952" s="1"/>
      <c r="M1952" s="1"/>
      <c r="N1952" s="1"/>
      <c r="O1952" s="1"/>
      <c r="P1952" s="1"/>
      <c r="Q1952" s="1"/>
      <c r="R1952" s="1"/>
      <c r="S1952" s="1"/>
      <c r="T1952" s="1"/>
      <c r="U1952" s="1"/>
      <c r="V1952" s="1"/>
      <c r="W1952" s="1"/>
      <c r="X1952" s="1"/>
      <c r="Y1952" s="1"/>
      <c r="Z1952" s="1"/>
    </row>
    <row r="1953" ht="15.75" customHeight="1">
      <c r="A1953" s="2">
        <f>IFERROR(__xludf.DUMMYFUNCTION("""COMPUTED_VALUE"""),976000.0)</f>
        <v>976000</v>
      </c>
      <c r="B1953" s="2">
        <f>IFERROR(__xludf.DUMMYFUNCTION("""COMPUTED_VALUE"""),19520.0)</f>
        <v>19520</v>
      </c>
      <c r="C1953" s="66">
        <f>IFERROR(__xludf.DUMMYFUNCTION("""COMPUTED_VALUE"""),1.904176E10)</f>
        <v>19041760000</v>
      </c>
      <c r="D1953" s="1"/>
      <c r="E1953" s="1"/>
      <c r="F1953" s="1"/>
      <c r="G1953" s="1"/>
      <c r="H1953" s="1"/>
      <c r="I1953" s="1"/>
      <c r="J1953" s="1"/>
      <c r="K1953" s="1"/>
      <c r="L1953" s="1"/>
      <c r="M1953" s="1"/>
      <c r="N1953" s="1"/>
      <c r="O1953" s="1"/>
      <c r="P1953" s="1"/>
      <c r="Q1953" s="1"/>
      <c r="R1953" s="1"/>
      <c r="S1953" s="1"/>
      <c r="T1953" s="1"/>
      <c r="U1953" s="1"/>
      <c r="V1953" s="1"/>
      <c r="W1953" s="1"/>
      <c r="X1953" s="1"/>
      <c r="Y1953" s="1"/>
      <c r="Z1953" s="1"/>
    </row>
    <row r="1954" ht="15.75" customHeight="1">
      <c r="A1954" s="2">
        <f>IFERROR(__xludf.DUMMYFUNCTION("""COMPUTED_VALUE"""),976500.0)</f>
        <v>976500</v>
      </c>
      <c r="B1954" s="2">
        <f>IFERROR(__xludf.DUMMYFUNCTION("""COMPUTED_VALUE"""),19530.0)</f>
        <v>19530</v>
      </c>
      <c r="C1954" s="66">
        <f>IFERROR(__xludf.DUMMYFUNCTION("""COMPUTED_VALUE"""),1.906128E10)</f>
        <v>19061280000</v>
      </c>
      <c r="D1954" s="1"/>
      <c r="E1954" s="1"/>
      <c r="F1954" s="1"/>
      <c r="G1954" s="1"/>
      <c r="H1954" s="1"/>
      <c r="I1954" s="1"/>
      <c r="J1954" s="1"/>
      <c r="K1954" s="1"/>
      <c r="L1954" s="1"/>
      <c r="M1954" s="1"/>
      <c r="N1954" s="1"/>
      <c r="O1954" s="1"/>
      <c r="P1954" s="1"/>
      <c r="Q1954" s="1"/>
      <c r="R1954" s="1"/>
      <c r="S1954" s="1"/>
      <c r="T1954" s="1"/>
      <c r="U1954" s="1"/>
      <c r="V1954" s="1"/>
      <c r="W1954" s="1"/>
      <c r="X1954" s="1"/>
      <c r="Y1954" s="1"/>
      <c r="Z1954" s="1"/>
    </row>
    <row r="1955" ht="15.75" customHeight="1">
      <c r="A1955" s="2">
        <f>IFERROR(__xludf.DUMMYFUNCTION("""COMPUTED_VALUE"""),977000.0)</f>
        <v>977000</v>
      </c>
      <c r="B1955" s="2">
        <f>IFERROR(__xludf.DUMMYFUNCTION("""COMPUTED_VALUE"""),19540.0)</f>
        <v>19540</v>
      </c>
      <c r="C1955" s="66">
        <f>IFERROR(__xludf.DUMMYFUNCTION("""COMPUTED_VALUE"""),1.908081E10)</f>
        <v>19080810000</v>
      </c>
      <c r="D1955" s="1"/>
      <c r="E1955" s="1"/>
      <c r="F1955" s="1"/>
      <c r="G1955" s="1"/>
      <c r="H1955" s="1"/>
      <c r="I1955" s="1"/>
      <c r="J1955" s="1"/>
      <c r="K1955" s="1"/>
      <c r="L1955" s="1"/>
      <c r="M1955" s="1"/>
      <c r="N1955" s="1"/>
      <c r="O1955" s="1"/>
      <c r="P1955" s="1"/>
      <c r="Q1955" s="1"/>
      <c r="R1955" s="1"/>
      <c r="S1955" s="1"/>
      <c r="T1955" s="1"/>
      <c r="U1955" s="1"/>
      <c r="V1955" s="1"/>
      <c r="W1955" s="1"/>
      <c r="X1955" s="1"/>
      <c r="Y1955" s="1"/>
      <c r="Z1955" s="1"/>
    </row>
    <row r="1956" ht="15.75" customHeight="1">
      <c r="A1956" s="2">
        <f>IFERROR(__xludf.DUMMYFUNCTION("""COMPUTED_VALUE"""),977500.0)</f>
        <v>977500</v>
      </c>
      <c r="B1956" s="2">
        <f>IFERROR(__xludf.DUMMYFUNCTION("""COMPUTED_VALUE"""),19550.0)</f>
        <v>19550</v>
      </c>
      <c r="C1956" s="66">
        <f>IFERROR(__xludf.DUMMYFUNCTION("""COMPUTED_VALUE"""),1.910035E10)</f>
        <v>19100350000</v>
      </c>
      <c r="D1956" s="1"/>
      <c r="E1956" s="1"/>
      <c r="F1956" s="1"/>
      <c r="G1956" s="1"/>
      <c r="H1956" s="1"/>
      <c r="I1956" s="1"/>
      <c r="J1956" s="1"/>
      <c r="K1956" s="1"/>
      <c r="L1956" s="1"/>
      <c r="M1956" s="1"/>
      <c r="N1956" s="1"/>
      <c r="O1956" s="1"/>
      <c r="P1956" s="1"/>
      <c r="Q1956" s="1"/>
      <c r="R1956" s="1"/>
      <c r="S1956" s="1"/>
      <c r="T1956" s="1"/>
      <c r="U1956" s="1"/>
      <c r="V1956" s="1"/>
      <c r="W1956" s="1"/>
      <c r="X1956" s="1"/>
      <c r="Y1956" s="1"/>
      <c r="Z1956" s="1"/>
    </row>
    <row r="1957" ht="15.75" customHeight="1">
      <c r="A1957" s="2">
        <f>IFERROR(__xludf.DUMMYFUNCTION("""COMPUTED_VALUE"""),978000.0)</f>
        <v>978000</v>
      </c>
      <c r="B1957" s="2">
        <f>IFERROR(__xludf.DUMMYFUNCTION("""COMPUTED_VALUE"""),19560.0)</f>
        <v>19560</v>
      </c>
      <c r="C1957" s="66">
        <f>IFERROR(__xludf.DUMMYFUNCTION("""COMPUTED_VALUE"""),1.91199E10)</f>
        <v>19119900000</v>
      </c>
      <c r="D1957" s="1"/>
      <c r="E1957" s="1"/>
      <c r="F1957" s="1"/>
      <c r="G1957" s="1"/>
      <c r="H1957" s="1"/>
      <c r="I1957" s="1"/>
      <c r="J1957" s="1"/>
      <c r="K1957" s="1"/>
      <c r="L1957" s="1"/>
      <c r="M1957" s="1"/>
      <c r="N1957" s="1"/>
      <c r="O1957" s="1"/>
      <c r="P1957" s="1"/>
      <c r="Q1957" s="1"/>
      <c r="R1957" s="1"/>
      <c r="S1957" s="1"/>
      <c r="T1957" s="1"/>
      <c r="U1957" s="1"/>
      <c r="V1957" s="1"/>
      <c r="W1957" s="1"/>
      <c r="X1957" s="1"/>
      <c r="Y1957" s="1"/>
      <c r="Z1957" s="1"/>
    </row>
    <row r="1958" ht="15.75" customHeight="1">
      <c r="A1958" s="2">
        <f>IFERROR(__xludf.DUMMYFUNCTION("""COMPUTED_VALUE"""),978500.0)</f>
        <v>978500</v>
      </c>
      <c r="B1958" s="2">
        <f>IFERROR(__xludf.DUMMYFUNCTION("""COMPUTED_VALUE"""),19570.0)</f>
        <v>19570</v>
      </c>
      <c r="C1958" s="66">
        <f>IFERROR(__xludf.DUMMYFUNCTION("""COMPUTED_VALUE"""),1.913946E10)</f>
        <v>19139460000</v>
      </c>
      <c r="D1958" s="1"/>
      <c r="E1958" s="1"/>
      <c r="F1958" s="1"/>
      <c r="G1958" s="1"/>
      <c r="H1958" s="1"/>
      <c r="I1958" s="1"/>
      <c r="J1958" s="1"/>
      <c r="K1958" s="1"/>
      <c r="L1958" s="1"/>
      <c r="M1958" s="1"/>
      <c r="N1958" s="1"/>
      <c r="O1958" s="1"/>
      <c r="P1958" s="1"/>
      <c r="Q1958" s="1"/>
      <c r="R1958" s="1"/>
      <c r="S1958" s="1"/>
      <c r="T1958" s="1"/>
      <c r="U1958" s="1"/>
      <c r="V1958" s="1"/>
      <c r="W1958" s="1"/>
      <c r="X1958" s="1"/>
      <c r="Y1958" s="1"/>
      <c r="Z1958" s="1"/>
    </row>
    <row r="1959" ht="15.75" customHeight="1">
      <c r="A1959" s="2">
        <f>IFERROR(__xludf.DUMMYFUNCTION("""COMPUTED_VALUE"""),979000.0)</f>
        <v>979000</v>
      </c>
      <c r="B1959" s="2">
        <f>IFERROR(__xludf.DUMMYFUNCTION("""COMPUTED_VALUE"""),19580.0)</f>
        <v>19580</v>
      </c>
      <c r="C1959" s="66">
        <f>IFERROR(__xludf.DUMMYFUNCTION("""COMPUTED_VALUE"""),1.915903E10)</f>
        <v>19159030000</v>
      </c>
      <c r="D1959" s="1"/>
      <c r="E1959" s="1"/>
      <c r="F1959" s="1"/>
      <c r="G1959" s="1"/>
      <c r="H1959" s="1"/>
      <c r="I1959" s="1"/>
      <c r="J1959" s="1"/>
      <c r="K1959" s="1"/>
      <c r="L1959" s="1"/>
      <c r="M1959" s="1"/>
      <c r="N1959" s="1"/>
      <c r="O1959" s="1"/>
      <c r="P1959" s="1"/>
      <c r="Q1959" s="1"/>
      <c r="R1959" s="1"/>
      <c r="S1959" s="1"/>
      <c r="T1959" s="1"/>
      <c r="U1959" s="1"/>
      <c r="V1959" s="1"/>
      <c r="W1959" s="1"/>
      <c r="X1959" s="1"/>
      <c r="Y1959" s="1"/>
      <c r="Z1959" s="1"/>
    </row>
    <row r="1960" ht="15.75" customHeight="1">
      <c r="A1960" s="2">
        <f>IFERROR(__xludf.DUMMYFUNCTION("""COMPUTED_VALUE"""),979500.0)</f>
        <v>979500</v>
      </c>
      <c r="B1960" s="2">
        <f>IFERROR(__xludf.DUMMYFUNCTION("""COMPUTED_VALUE"""),19590.0)</f>
        <v>19590</v>
      </c>
      <c r="C1960" s="66">
        <f>IFERROR(__xludf.DUMMYFUNCTION("""COMPUTED_VALUE"""),1.917861E10)</f>
        <v>19178610000</v>
      </c>
      <c r="D1960" s="1"/>
      <c r="E1960" s="1"/>
      <c r="F1960" s="1"/>
      <c r="G1960" s="1"/>
      <c r="H1960" s="1"/>
      <c r="I1960" s="1"/>
      <c r="J1960" s="1"/>
      <c r="K1960" s="1"/>
      <c r="L1960" s="1"/>
      <c r="M1960" s="1"/>
      <c r="N1960" s="1"/>
      <c r="O1960" s="1"/>
      <c r="P1960" s="1"/>
      <c r="Q1960" s="1"/>
      <c r="R1960" s="1"/>
      <c r="S1960" s="1"/>
      <c r="T1960" s="1"/>
      <c r="U1960" s="1"/>
      <c r="V1960" s="1"/>
      <c r="W1960" s="1"/>
      <c r="X1960" s="1"/>
      <c r="Y1960" s="1"/>
      <c r="Z1960" s="1"/>
    </row>
    <row r="1961" ht="15.75" customHeight="1">
      <c r="A1961" s="2">
        <f>IFERROR(__xludf.DUMMYFUNCTION("""COMPUTED_VALUE"""),980000.0)</f>
        <v>980000</v>
      </c>
      <c r="B1961" s="2">
        <f>IFERROR(__xludf.DUMMYFUNCTION("""COMPUTED_VALUE"""),19600.0)</f>
        <v>19600</v>
      </c>
      <c r="C1961" s="66">
        <f>IFERROR(__xludf.DUMMYFUNCTION("""COMPUTED_VALUE"""),1.91982E10)</f>
        <v>19198200000</v>
      </c>
      <c r="D1961" s="1"/>
      <c r="E1961" s="1"/>
      <c r="F1961" s="1"/>
      <c r="G1961" s="1"/>
      <c r="H1961" s="1"/>
      <c r="I1961" s="1"/>
      <c r="J1961" s="1"/>
      <c r="K1961" s="1"/>
      <c r="L1961" s="1"/>
      <c r="M1961" s="1"/>
      <c r="N1961" s="1"/>
      <c r="O1961" s="1"/>
      <c r="P1961" s="1"/>
      <c r="Q1961" s="1"/>
      <c r="R1961" s="1"/>
      <c r="S1961" s="1"/>
      <c r="T1961" s="1"/>
      <c r="U1961" s="1"/>
      <c r="V1961" s="1"/>
      <c r="W1961" s="1"/>
      <c r="X1961" s="1"/>
      <c r="Y1961" s="1"/>
      <c r="Z1961" s="1"/>
    </row>
    <row r="1962" ht="15.75" customHeight="1">
      <c r="A1962" s="2">
        <f>IFERROR(__xludf.DUMMYFUNCTION("""COMPUTED_VALUE"""),980500.0)</f>
        <v>980500</v>
      </c>
      <c r="B1962" s="2">
        <f>IFERROR(__xludf.DUMMYFUNCTION("""COMPUTED_VALUE"""),19610.0)</f>
        <v>19610</v>
      </c>
      <c r="C1962" s="66">
        <f>IFERROR(__xludf.DUMMYFUNCTION("""COMPUTED_VALUE"""),1.92178E10)</f>
        <v>19217800000</v>
      </c>
      <c r="D1962" s="1"/>
      <c r="E1962" s="1"/>
      <c r="F1962" s="1"/>
      <c r="G1962" s="1"/>
      <c r="H1962" s="1"/>
      <c r="I1962" s="1"/>
      <c r="J1962" s="1"/>
      <c r="K1962" s="1"/>
      <c r="L1962" s="1"/>
      <c r="M1962" s="1"/>
      <c r="N1962" s="1"/>
      <c r="O1962" s="1"/>
      <c r="P1962" s="1"/>
      <c r="Q1962" s="1"/>
      <c r="R1962" s="1"/>
      <c r="S1962" s="1"/>
      <c r="T1962" s="1"/>
      <c r="U1962" s="1"/>
      <c r="V1962" s="1"/>
      <c r="W1962" s="1"/>
      <c r="X1962" s="1"/>
      <c r="Y1962" s="1"/>
      <c r="Z1962" s="1"/>
    </row>
    <row r="1963" ht="15.75" customHeight="1">
      <c r="A1963" s="2">
        <f>IFERROR(__xludf.DUMMYFUNCTION("""COMPUTED_VALUE"""),981000.0)</f>
        <v>981000</v>
      </c>
      <c r="B1963" s="2">
        <f>IFERROR(__xludf.DUMMYFUNCTION("""COMPUTED_VALUE"""),19620.0)</f>
        <v>19620</v>
      </c>
      <c r="C1963" s="66">
        <f>IFERROR(__xludf.DUMMYFUNCTION("""COMPUTED_VALUE"""),1.923741E10)</f>
        <v>19237410000</v>
      </c>
      <c r="D1963" s="1"/>
      <c r="E1963" s="1"/>
      <c r="F1963" s="1"/>
      <c r="G1963" s="1"/>
      <c r="H1963" s="1"/>
      <c r="I1963" s="1"/>
      <c r="J1963" s="1"/>
      <c r="K1963" s="1"/>
      <c r="L1963" s="1"/>
      <c r="M1963" s="1"/>
      <c r="N1963" s="1"/>
      <c r="O1963" s="1"/>
      <c r="P1963" s="1"/>
      <c r="Q1963" s="1"/>
      <c r="R1963" s="1"/>
      <c r="S1963" s="1"/>
      <c r="T1963" s="1"/>
      <c r="U1963" s="1"/>
      <c r="V1963" s="1"/>
      <c r="W1963" s="1"/>
      <c r="X1963" s="1"/>
      <c r="Y1963" s="1"/>
      <c r="Z1963" s="1"/>
    </row>
    <row r="1964" ht="15.75" customHeight="1">
      <c r="A1964" s="2">
        <f>IFERROR(__xludf.DUMMYFUNCTION("""COMPUTED_VALUE"""),981500.0)</f>
        <v>981500</v>
      </c>
      <c r="B1964" s="2">
        <f>IFERROR(__xludf.DUMMYFUNCTION("""COMPUTED_VALUE"""),19630.0)</f>
        <v>19630</v>
      </c>
      <c r="C1964" s="66">
        <f>IFERROR(__xludf.DUMMYFUNCTION("""COMPUTED_VALUE"""),1.925703E10)</f>
        <v>19257030000</v>
      </c>
      <c r="D1964" s="1"/>
      <c r="E1964" s="1"/>
      <c r="F1964" s="1"/>
      <c r="G1964" s="1"/>
      <c r="H1964" s="1"/>
      <c r="I1964" s="1"/>
      <c r="J1964" s="1"/>
      <c r="K1964" s="1"/>
      <c r="L1964" s="1"/>
      <c r="M1964" s="1"/>
      <c r="N1964" s="1"/>
      <c r="O1964" s="1"/>
      <c r="P1964" s="1"/>
      <c r="Q1964" s="1"/>
      <c r="R1964" s="1"/>
      <c r="S1964" s="1"/>
      <c r="T1964" s="1"/>
      <c r="U1964" s="1"/>
      <c r="V1964" s="1"/>
      <c r="W1964" s="1"/>
      <c r="X1964" s="1"/>
      <c r="Y1964" s="1"/>
      <c r="Z1964" s="1"/>
    </row>
    <row r="1965" ht="15.75" customHeight="1">
      <c r="A1965" s="2">
        <f>IFERROR(__xludf.DUMMYFUNCTION("""COMPUTED_VALUE"""),982000.0)</f>
        <v>982000</v>
      </c>
      <c r="B1965" s="2">
        <f>IFERROR(__xludf.DUMMYFUNCTION("""COMPUTED_VALUE"""),19640.0)</f>
        <v>19640</v>
      </c>
      <c r="C1965" s="66">
        <f>IFERROR(__xludf.DUMMYFUNCTION("""COMPUTED_VALUE"""),1.927666E10)</f>
        <v>19276660000</v>
      </c>
      <c r="D1965" s="1"/>
      <c r="E1965" s="1"/>
      <c r="F1965" s="1"/>
      <c r="G1965" s="1"/>
      <c r="H1965" s="1"/>
      <c r="I1965" s="1"/>
      <c r="J1965" s="1"/>
      <c r="K1965" s="1"/>
      <c r="L1965" s="1"/>
      <c r="M1965" s="1"/>
      <c r="N1965" s="1"/>
      <c r="O1965" s="1"/>
      <c r="P1965" s="1"/>
      <c r="Q1965" s="1"/>
      <c r="R1965" s="1"/>
      <c r="S1965" s="1"/>
      <c r="T1965" s="1"/>
      <c r="U1965" s="1"/>
      <c r="V1965" s="1"/>
      <c r="W1965" s="1"/>
      <c r="X1965" s="1"/>
      <c r="Y1965" s="1"/>
      <c r="Z1965" s="1"/>
    </row>
    <row r="1966" ht="15.75" customHeight="1">
      <c r="A1966" s="2">
        <f>IFERROR(__xludf.DUMMYFUNCTION("""COMPUTED_VALUE"""),982500.0)</f>
        <v>982500</v>
      </c>
      <c r="B1966" s="2">
        <f>IFERROR(__xludf.DUMMYFUNCTION("""COMPUTED_VALUE"""),19650.0)</f>
        <v>19650</v>
      </c>
      <c r="C1966" s="66">
        <f>IFERROR(__xludf.DUMMYFUNCTION("""COMPUTED_VALUE"""),1.92963E10)</f>
        <v>19296300000</v>
      </c>
      <c r="D1966" s="1"/>
      <c r="E1966" s="1"/>
      <c r="F1966" s="1"/>
      <c r="G1966" s="1"/>
      <c r="H1966" s="1"/>
      <c r="I1966" s="1"/>
      <c r="J1966" s="1"/>
      <c r="K1966" s="1"/>
      <c r="L1966" s="1"/>
      <c r="M1966" s="1"/>
      <c r="N1966" s="1"/>
      <c r="O1966" s="1"/>
      <c r="P1966" s="1"/>
      <c r="Q1966" s="1"/>
      <c r="R1966" s="1"/>
      <c r="S1966" s="1"/>
      <c r="T1966" s="1"/>
      <c r="U1966" s="1"/>
      <c r="V1966" s="1"/>
      <c r="W1966" s="1"/>
      <c r="X1966" s="1"/>
      <c r="Y1966" s="1"/>
      <c r="Z1966" s="1"/>
    </row>
    <row r="1967" ht="15.75" customHeight="1">
      <c r="A1967" s="2">
        <f>IFERROR(__xludf.DUMMYFUNCTION("""COMPUTED_VALUE"""),983000.0)</f>
        <v>983000</v>
      </c>
      <c r="B1967" s="2">
        <f>IFERROR(__xludf.DUMMYFUNCTION("""COMPUTED_VALUE"""),19660.0)</f>
        <v>19660</v>
      </c>
      <c r="C1967" s="66">
        <f>IFERROR(__xludf.DUMMYFUNCTION("""COMPUTED_VALUE"""),1.931595E10)</f>
        <v>19315950000</v>
      </c>
      <c r="D1967" s="1"/>
      <c r="E1967" s="1"/>
      <c r="F1967" s="1"/>
      <c r="G1967" s="1"/>
      <c r="H1967" s="1"/>
      <c r="I1967" s="1"/>
      <c r="J1967" s="1"/>
      <c r="K1967" s="1"/>
      <c r="L1967" s="1"/>
      <c r="M1967" s="1"/>
      <c r="N1967" s="1"/>
      <c r="O1967" s="1"/>
      <c r="P1967" s="1"/>
      <c r="Q1967" s="1"/>
      <c r="R1967" s="1"/>
      <c r="S1967" s="1"/>
      <c r="T1967" s="1"/>
      <c r="U1967" s="1"/>
      <c r="V1967" s="1"/>
      <c r="W1967" s="1"/>
      <c r="X1967" s="1"/>
      <c r="Y1967" s="1"/>
      <c r="Z1967" s="1"/>
    </row>
    <row r="1968" ht="15.75" customHeight="1">
      <c r="A1968" s="2">
        <f>IFERROR(__xludf.DUMMYFUNCTION("""COMPUTED_VALUE"""),983500.0)</f>
        <v>983500</v>
      </c>
      <c r="B1968" s="2">
        <f>IFERROR(__xludf.DUMMYFUNCTION("""COMPUTED_VALUE"""),19670.0)</f>
        <v>19670</v>
      </c>
      <c r="C1968" s="66">
        <f>IFERROR(__xludf.DUMMYFUNCTION("""COMPUTED_VALUE"""),1.933561E10)</f>
        <v>19335610000</v>
      </c>
      <c r="D1968" s="1"/>
      <c r="E1968" s="1"/>
      <c r="F1968" s="1"/>
      <c r="G1968" s="1"/>
      <c r="H1968" s="1"/>
      <c r="I1968" s="1"/>
      <c r="J1968" s="1"/>
      <c r="K1968" s="1"/>
      <c r="L1968" s="1"/>
      <c r="M1968" s="1"/>
      <c r="N1968" s="1"/>
      <c r="O1968" s="1"/>
      <c r="P1968" s="1"/>
      <c r="Q1968" s="1"/>
      <c r="R1968" s="1"/>
      <c r="S1968" s="1"/>
      <c r="T1968" s="1"/>
      <c r="U1968" s="1"/>
      <c r="V1968" s="1"/>
      <c r="W1968" s="1"/>
      <c r="X1968" s="1"/>
      <c r="Y1968" s="1"/>
      <c r="Z1968" s="1"/>
    </row>
    <row r="1969" ht="15.75" customHeight="1">
      <c r="A1969" s="2">
        <f>IFERROR(__xludf.DUMMYFUNCTION("""COMPUTED_VALUE"""),984000.0)</f>
        <v>984000</v>
      </c>
      <c r="B1969" s="2">
        <f>IFERROR(__xludf.DUMMYFUNCTION("""COMPUTED_VALUE"""),19680.0)</f>
        <v>19680</v>
      </c>
      <c r="C1969" s="66">
        <f>IFERROR(__xludf.DUMMYFUNCTION("""COMPUTED_VALUE"""),1.935528E10)</f>
        <v>19355280000</v>
      </c>
      <c r="D1969" s="1"/>
      <c r="E1969" s="1"/>
      <c r="F1969" s="1"/>
      <c r="G1969" s="1"/>
      <c r="H1969" s="1"/>
      <c r="I1969" s="1"/>
      <c r="J1969" s="1"/>
      <c r="K1969" s="1"/>
      <c r="L1969" s="1"/>
      <c r="M1969" s="1"/>
      <c r="N1969" s="1"/>
      <c r="O1969" s="1"/>
      <c r="P1969" s="1"/>
      <c r="Q1969" s="1"/>
      <c r="R1969" s="1"/>
      <c r="S1969" s="1"/>
      <c r="T1969" s="1"/>
      <c r="U1969" s="1"/>
      <c r="V1969" s="1"/>
      <c r="W1969" s="1"/>
      <c r="X1969" s="1"/>
      <c r="Y1969" s="1"/>
      <c r="Z1969" s="1"/>
    </row>
    <row r="1970" ht="15.75" customHeight="1">
      <c r="A1970" s="2">
        <f>IFERROR(__xludf.DUMMYFUNCTION("""COMPUTED_VALUE"""),984500.0)</f>
        <v>984500</v>
      </c>
      <c r="B1970" s="2">
        <f>IFERROR(__xludf.DUMMYFUNCTION("""COMPUTED_VALUE"""),19690.0)</f>
        <v>19690</v>
      </c>
      <c r="C1970" s="66">
        <f>IFERROR(__xludf.DUMMYFUNCTION("""COMPUTED_VALUE"""),1.937496E10)</f>
        <v>19374960000</v>
      </c>
      <c r="D1970" s="1"/>
      <c r="E1970" s="1"/>
      <c r="F1970" s="1"/>
      <c r="G1970" s="1"/>
      <c r="H1970" s="1"/>
      <c r="I1970" s="1"/>
      <c r="J1970" s="1"/>
      <c r="K1970" s="1"/>
      <c r="L1970" s="1"/>
      <c r="M1970" s="1"/>
      <c r="N1970" s="1"/>
      <c r="O1970" s="1"/>
      <c r="P1970" s="1"/>
      <c r="Q1970" s="1"/>
      <c r="R1970" s="1"/>
      <c r="S1970" s="1"/>
      <c r="T1970" s="1"/>
      <c r="U1970" s="1"/>
      <c r="V1970" s="1"/>
      <c r="W1970" s="1"/>
      <c r="X1970" s="1"/>
      <c r="Y1970" s="1"/>
      <c r="Z1970" s="1"/>
    </row>
    <row r="1971" ht="15.75" customHeight="1">
      <c r="A1971" s="2">
        <f>IFERROR(__xludf.DUMMYFUNCTION("""COMPUTED_VALUE"""),985000.0)</f>
        <v>985000</v>
      </c>
      <c r="B1971" s="2">
        <f>IFERROR(__xludf.DUMMYFUNCTION("""COMPUTED_VALUE"""),19700.0)</f>
        <v>19700</v>
      </c>
      <c r="C1971" s="66">
        <f>IFERROR(__xludf.DUMMYFUNCTION("""COMPUTED_VALUE"""),1.939465E10)</f>
        <v>19394650000</v>
      </c>
      <c r="D1971" s="1"/>
      <c r="E1971" s="1"/>
      <c r="F1971" s="1"/>
      <c r="G1971" s="1"/>
      <c r="H1971" s="1"/>
      <c r="I1971" s="1"/>
      <c r="J1971" s="1"/>
      <c r="K1971" s="1"/>
      <c r="L1971" s="1"/>
      <c r="M1971" s="1"/>
      <c r="N1971" s="1"/>
      <c r="O1971" s="1"/>
      <c r="P1971" s="1"/>
      <c r="Q1971" s="1"/>
      <c r="R1971" s="1"/>
      <c r="S1971" s="1"/>
      <c r="T1971" s="1"/>
      <c r="U1971" s="1"/>
      <c r="V1971" s="1"/>
      <c r="W1971" s="1"/>
      <c r="X1971" s="1"/>
      <c r="Y1971" s="1"/>
      <c r="Z1971" s="1"/>
    </row>
    <row r="1972" ht="15.75" customHeight="1">
      <c r="A1972" s="2">
        <f>IFERROR(__xludf.DUMMYFUNCTION("""COMPUTED_VALUE"""),985500.0)</f>
        <v>985500</v>
      </c>
      <c r="B1972" s="2">
        <f>IFERROR(__xludf.DUMMYFUNCTION("""COMPUTED_VALUE"""),19710.0)</f>
        <v>19710</v>
      </c>
      <c r="C1972" s="66">
        <f>IFERROR(__xludf.DUMMYFUNCTION("""COMPUTED_VALUE"""),1.941435E10)</f>
        <v>19414350000</v>
      </c>
      <c r="D1972" s="1"/>
      <c r="E1972" s="1"/>
      <c r="F1972" s="1"/>
      <c r="G1972" s="1"/>
      <c r="H1972" s="1"/>
      <c r="I1972" s="1"/>
      <c r="J1972" s="1"/>
      <c r="K1972" s="1"/>
      <c r="L1972" s="1"/>
      <c r="M1972" s="1"/>
      <c r="N1972" s="1"/>
      <c r="O1972" s="1"/>
      <c r="P1972" s="1"/>
      <c r="Q1972" s="1"/>
      <c r="R1972" s="1"/>
      <c r="S1972" s="1"/>
      <c r="T1972" s="1"/>
      <c r="U1972" s="1"/>
      <c r="V1972" s="1"/>
      <c r="W1972" s="1"/>
      <c r="X1972" s="1"/>
      <c r="Y1972" s="1"/>
      <c r="Z1972" s="1"/>
    </row>
    <row r="1973" ht="15.75" customHeight="1">
      <c r="A1973" s="2">
        <f>IFERROR(__xludf.DUMMYFUNCTION("""COMPUTED_VALUE"""),986000.0)</f>
        <v>986000</v>
      </c>
      <c r="B1973" s="2">
        <f>IFERROR(__xludf.DUMMYFUNCTION("""COMPUTED_VALUE"""),19720.0)</f>
        <v>19720</v>
      </c>
      <c r="C1973" s="66">
        <f>IFERROR(__xludf.DUMMYFUNCTION("""COMPUTED_VALUE"""),1.943406E10)</f>
        <v>19434060000</v>
      </c>
      <c r="D1973" s="1"/>
      <c r="E1973" s="1"/>
      <c r="F1973" s="1"/>
      <c r="G1973" s="1"/>
      <c r="H1973" s="1"/>
      <c r="I1973" s="1"/>
      <c r="J1973" s="1"/>
      <c r="K1973" s="1"/>
      <c r="L1973" s="1"/>
      <c r="M1973" s="1"/>
      <c r="N1973" s="1"/>
      <c r="O1973" s="1"/>
      <c r="P1973" s="1"/>
      <c r="Q1973" s="1"/>
      <c r="R1973" s="1"/>
      <c r="S1973" s="1"/>
      <c r="T1973" s="1"/>
      <c r="U1973" s="1"/>
      <c r="V1973" s="1"/>
      <c r="W1973" s="1"/>
      <c r="X1973" s="1"/>
      <c r="Y1973" s="1"/>
      <c r="Z1973" s="1"/>
    </row>
    <row r="1974" ht="15.75" customHeight="1">
      <c r="A1974" s="2">
        <f>IFERROR(__xludf.DUMMYFUNCTION("""COMPUTED_VALUE"""),986500.0)</f>
        <v>986500</v>
      </c>
      <c r="B1974" s="2">
        <f>IFERROR(__xludf.DUMMYFUNCTION("""COMPUTED_VALUE"""),19730.0)</f>
        <v>19730</v>
      </c>
      <c r="C1974" s="66">
        <f>IFERROR(__xludf.DUMMYFUNCTION("""COMPUTED_VALUE"""),1.945378E10)</f>
        <v>19453780000</v>
      </c>
      <c r="D1974" s="1"/>
      <c r="E1974" s="1"/>
      <c r="F1974" s="1"/>
      <c r="G1974" s="1"/>
      <c r="H1974" s="1"/>
      <c r="I1974" s="1"/>
      <c r="J1974" s="1"/>
      <c r="K1974" s="1"/>
      <c r="L1974" s="1"/>
      <c r="M1974" s="1"/>
      <c r="N1974" s="1"/>
      <c r="O1974" s="1"/>
      <c r="P1974" s="1"/>
      <c r="Q1974" s="1"/>
      <c r="R1974" s="1"/>
      <c r="S1974" s="1"/>
      <c r="T1974" s="1"/>
      <c r="U1974" s="1"/>
      <c r="V1974" s="1"/>
      <c r="W1974" s="1"/>
      <c r="X1974" s="1"/>
      <c r="Y1974" s="1"/>
      <c r="Z1974" s="1"/>
    </row>
    <row r="1975" ht="15.75" customHeight="1">
      <c r="A1975" s="2">
        <f>IFERROR(__xludf.DUMMYFUNCTION("""COMPUTED_VALUE"""),987000.0)</f>
        <v>987000</v>
      </c>
      <c r="B1975" s="2">
        <f>IFERROR(__xludf.DUMMYFUNCTION("""COMPUTED_VALUE"""),19740.0)</f>
        <v>19740</v>
      </c>
      <c r="C1975" s="66">
        <f>IFERROR(__xludf.DUMMYFUNCTION("""COMPUTED_VALUE"""),1.947351E10)</f>
        <v>19473510000</v>
      </c>
      <c r="D1975" s="1"/>
      <c r="E1975" s="1"/>
      <c r="F1975" s="1"/>
      <c r="G1975" s="1"/>
      <c r="H1975" s="1"/>
      <c r="I1975" s="1"/>
      <c r="J1975" s="1"/>
      <c r="K1975" s="1"/>
      <c r="L1975" s="1"/>
      <c r="M1975" s="1"/>
      <c r="N1975" s="1"/>
      <c r="O1975" s="1"/>
      <c r="P1975" s="1"/>
      <c r="Q1975" s="1"/>
      <c r="R1975" s="1"/>
      <c r="S1975" s="1"/>
      <c r="T1975" s="1"/>
      <c r="U1975" s="1"/>
      <c r="V1975" s="1"/>
      <c r="W1975" s="1"/>
      <c r="X1975" s="1"/>
      <c r="Y1975" s="1"/>
      <c r="Z1975" s="1"/>
    </row>
    <row r="1976" ht="15.75" customHeight="1">
      <c r="A1976" s="2">
        <f>IFERROR(__xludf.DUMMYFUNCTION("""COMPUTED_VALUE"""),987500.0)</f>
        <v>987500</v>
      </c>
      <c r="B1976" s="2">
        <f>IFERROR(__xludf.DUMMYFUNCTION("""COMPUTED_VALUE"""),19750.0)</f>
        <v>19750</v>
      </c>
      <c r="C1976" s="66">
        <f>IFERROR(__xludf.DUMMYFUNCTION("""COMPUTED_VALUE"""),1.949325E10)</f>
        <v>19493250000</v>
      </c>
      <c r="D1976" s="1"/>
      <c r="E1976" s="1"/>
      <c r="F1976" s="1"/>
      <c r="G1976" s="1"/>
      <c r="H1976" s="1"/>
      <c r="I1976" s="1"/>
      <c r="J1976" s="1"/>
      <c r="K1976" s="1"/>
      <c r="L1976" s="1"/>
      <c r="M1976" s="1"/>
      <c r="N1976" s="1"/>
      <c r="O1976" s="1"/>
      <c r="P1976" s="1"/>
      <c r="Q1976" s="1"/>
      <c r="R1976" s="1"/>
      <c r="S1976" s="1"/>
      <c r="T1976" s="1"/>
      <c r="U1976" s="1"/>
      <c r="V1976" s="1"/>
      <c r="W1976" s="1"/>
      <c r="X1976" s="1"/>
      <c r="Y1976" s="1"/>
      <c r="Z1976" s="1"/>
    </row>
    <row r="1977" ht="15.75" customHeight="1">
      <c r="A1977" s="2">
        <f>IFERROR(__xludf.DUMMYFUNCTION("""COMPUTED_VALUE"""),988000.0)</f>
        <v>988000</v>
      </c>
      <c r="B1977" s="2">
        <f>IFERROR(__xludf.DUMMYFUNCTION("""COMPUTED_VALUE"""),19760.0)</f>
        <v>19760</v>
      </c>
      <c r="C1977" s="66">
        <f>IFERROR(__xludf.DUMMYFUNCTION("""COMPUTED_VALUE"""),1.9513E10)</f>
        <v>19513000000</v>
      </c>
      <c r="D1977" s="1"/>
      <c r="E1977" s="1"/>
      <c r="F1977" s="1"/>
      <c r="G1977" s="1"/>
      <c r="H1977" s="1"/>
      <c r="I1977" s="1"/>
      <c r="J1977" s="1"/>
      <c r="K1977" s="1"/>
      <c r="L1977" s="1"/>
      <c r="M1977" s="1"/>
      <c r="N1977" s="1"/>
      <c r="O1977" s="1"/>
      <c r="P1977" s="1"/>
      <c r="Q1977" s="1"/>
      <c r="R1977" s="1"/>
      <c r="S1977" s="1"/>
      <c r="T1977" s="1"/>
      <c r="U1977" s="1"/>
      <c r="V1977" s="1"/>
      <c r="W1977" s="1"/>
      <c r="X1977" s="1"/>
      <c r="Y1977" s="1"/>
      <c r="Z1977" s="1"/>
    </row>
    <row r="1978" ht="15.75" customHeight="1">
      <c r="A1978" s="2">
        <f>IFERROR(__xludf.DUMMYFUNCTION("""COMPUTED_VALUE"""),988500.0)</f>
        <v>988500</v>
      </c>
      <c r="B1978" s="2">
        <f>IFERROR(__xludf.DUMMYFUNCTION("""COMPUTED_VALUE"""),19770.0)</f>
        <v>19770</v>
      </c>
      <c r="C1978" s="66">
        <f>IFERROR(__xludf.DUMMYFUNCTION("""COMPUTED_VALUE"""),1.953276E10)</f>
        <v>19532760000</v>
      </c>
      <c r="D1978" s="1"/>
      <c r="E1978" s="1"/>
      <c r="F1978" s="1"/>
      <c r="G1978" s="1"/>
      <c r="H1978" s="1"/>
      <c r="I1978" s="1"/>
      <c r="J1978" s="1"/>
      <c r="K1978" s="1"/>
      <c r="L1978" s="1"/>
      <c r="M1978" s="1"/>
      <c r="N1978" s="1"/>
      <c r="O1978" s="1"/>
      <c r="P1978" s="1"/>
      <c r="Q1978" s="1"/>
      <c r="R1978" s="1"/>
      <c r="S1978" s="1"/>
      <c r="T1978" s="1"/>
      <c r="U1978" s="1"/>
      <c r="V1978" s="1"/>
      <c r="W1978" s="1"/>
      <c r="X1978" s="1"/>
      <c r="Y1978" s="1"/>
      <c r="Z1978" s="1"/>
    </row>
    <row r="1979" ht="15.75" customHeight="1">
      <c r="A1979" s="2">
        <f>IFERROR(__xludf.DUMMYFUNCTION("""COMPUTED_VALUE"""),989000.0)</f>
        <v>989000</v>
      </c>
      <c r="B1979" s="2">
        <f>IFERROR(__xludf.DUMMYFUNCTION("""COMPUTED_VALUE"""),19780.0)</f>
        <v>19780</v>
      </c>
      <c r="C1979" s="66">
        <f>IFERROR(__xludf.DUMMYFUNCTION("""COMPUTED_VALUE"""),1.955253E10)</f>
        <v>19552530000</v>
      </c>
      <c r="D1979" s="1"/>
      <c r="E1979" s="1"/>
      <c r="F1979" s="1"/>
      <c r="G1979" s="1"/>
      <c r="H1979" s="1"/>
      <c r="I1979" s="1"/>
      <c r="J1979" s="1"/>
      <c r="K1979" s="1"/>
      <c r="L1979" s="1"/>
      <c r="M1979" s="1"/>
      <c r="N1979" s="1"/>
      <c r="O1979" s="1"/>
      <c r="P1979" s="1"/>
      <c r="Q1979" s="1"/>
      <c r="R1979" s="1"/>
      <c r="S1979" s="1"/>
      <c r="T1979" s="1"/>
      <c r="U1979" s="1"/>
      <c r="V1979" s="1"/>
      <c r="W1979" s="1"/>
      <c r="X1979" s="1"/>
      <c r="Y1979" s="1"/>
      <c r="Z1979" s="1"/>
    </row>
    <row r="1980" ht="15.75" customHeight="1">
      <c r="A1980" s="2">
        <f>IFERROR(__xludf.DUMMYFUNCTION("""COMPUTED_VALUE"""),989500.0)</f>
        <v>989500</v>
      </c>
      <c r="B1980" s="2">
        <f>IFERROR(__xludf.DUMMYFUNCTION("""COMPUTED_VALUE"""),19790.0)</f>
        <v>19790</v>
      </c>
      <c r="C1980" s="66">
        <f>IFERROR(__xludf.DUMMYFUNCTION("""COMPUTED_VALUE"""),1.957231E10)</f>
        <v>19572310000</v>
      </c>
      <c r="D1980" s="1"/>
      <c r="E1980" s="1"/>
      <c r="F1980" s="1"/>
      <c r="G1980" s="1"/>
      <c r="H1980" s="1"/>
      <c r="I1980" s="1"/>
      <c r="J1980" s="1"/>
      <c r="K1980" s="1"/>
      <c r="L1980" s="1"/>
      <c r="M1980" s="1"/>
      <c r="N1980" s="1"/>
      <c r="O1980" s="1"/>
      <c r="P1980" s="1"/>
      <c r="Q1980" s="1"/>
      <c r="R1980" s="1"/>
      <c r="S1980" s="1"/>
      <c r="T1980" s="1"/>
      <c r="U1980" s="1"/>
      <c r="V1980" s="1"/>
      <c r="W1980" s="1"/>
      <c r="X1980" s="1"/>
      <c r="Y1980" s="1"/>
      <c r="Z1980" s="1"/>
    </row>
    <row r="1981" ht="15.75" customHeight="1">
      <c r="A1981" s="2">
        <f>IFERROR(__xludf.DUMMYFUNCTION("""COMPUTED_VALUE"""),990000.0)</f>
        <v>990000</v>
      </c>
      <c r="B1981" s="2">
        <f>IFERROR(__xludf.DUMMYFUNCTION("""COMPUTED_VALUE"""),19800.0)</f>
        <v>19800</v>
      </c>
      <c r="C1981" s="66">
        <f>IFERROR(__xludf.DUMMYFUNCTION("""COMPUTED_VALUE"""),1.95921E10)</f>
        <v>19592100000</v>
      </c>
      <c r="D1981" s="1"/>
      <c r="E1981" s="1"/>
      <c r="F1981" s="1"/>
      <c r="G1981" s="1"/>
      <c r="H1981" s="1"/>
      <c r="I1981" s="1"/>
      <c r="J1981" s="1"/>
      <c r="K1981" s="1"/>
      <c r="L1981" s="1"/>
      <c r="M1981" s="1"/>
      <c r="N1981" s="1"/>
      <c r="O1981" s="1"/>
      <c r="P1981" s="1"/>
      <c r="Q1981" s="1"/>
      <c r="R1981" s="1"/>
      <c r="S1981" s="1"/>
      <c r="T1981" s="1"/>
      <c r="U1981" s="1"/>
      <c r="V1981" s="1"/>
      <c r="W1981" s="1"/>
      <c r="X1981" s="1"/>
      <c r="Y1981" s="1"/>
      <c r="Z1981" s="1"/>
    </row>
    <row r="1982" ht="15.75" customHeight="1">
      <c r="A1982" s="2">
        <f>IFERROR(__xludf.DUMMYFUNCTION("""COMPUTED_VALUE"""),990500.0)</f>
        <v>990500</v>
      </c>
      <c r="B1982" s="2">
        <f>IFERROR(__xludf.DUMMYFUNCTION("""COMPUTED_VALUE"""),19810.0)</f>
        <v>19810</v>
      </c>
      <c r="C1982" s="66">
        <f>IFERROR(__xludf.DUMMYFUNCTION("""COMPUTED_VALUE"""),1.96119E10)</f>
        <v>19611900000</v>
      </c>
      <c r="D1982" s="1"/>
      <c r="E1982" s="1"/>
      <c r="F1982" s="1"/>
      <c r="G1982" s="1"/>
      <c r="H1982" s="1"/>
      <c r="I1982" s="1"/>
      <c r="J1982" s="1"/>
      <c r="K1982" s="1"/>
      <c r="L1982" s="1"/>
      <c r="M1982" s="1"/>
      <c r="N1982" s="1"/>
      <c r="O1982" s="1"/>
      <c r="P1982" s="1"/>
      <c r="Q1982" s="1"/>
      <c r="R1982" s="1"/>
      <c r="S1982" s="1"/>
      <c r="T1982" s="1"/>
      <c r="U1982" s="1"/>
      <c r="V1982" s="1"/>
      <c r="W1982" s="1"/>
      <c r="X1982" s="1"/>
      <c r="Y1982" s="1"/>
      <c r="Z1982" s="1"/>
    </row>
    <row r="1983" ht="15.75" customHeight="1">
      <c r="A1983" s="2">
        <f>IFERROR(__xludf.DUMMYFUNCTION("""COMPUTED_VALUE"""),991000.0)</f>
        <v>991000</v>
      </c>
      <c r="B1983" s="2">
        <f>IFERROR(__xludf.DUMMYFUNCTION("""COMPUTED_VALUE"""),19820.0)</f>
        <v>19820</v>
      </c>
      <c r="C1983" s="66">
        <f>IFERROR(__xludf.DUMMYFUNCTION("""COMPUTED_VALUE"""),1.963171E10)</f>
        <v>19631710000</v>
      </c>
      <c r="D1983" s="1"/>
      <c r="E1983" s="1"/>
      <c r="F1983" s="1"/>
      <c r="G1983" s="1"/>
      <c r="H1983" s="1"/>
      <c r="I1983" s="1"/>
      <c r="J1983" s="1"/>
      <c r="K1983" s="1"/>
      <c r="L1983" s="1"/>
      <c r="M1983" s="1"/>
      <c r="N1983" s="1"/>
      <c r="O1983" s="1"/>
      <c r="P1983" s="1"/>
      <c r="Q1983" s="1"/>
      <c r="R1983" s="1"/>
      <c r="S1983" s="1"/>
      <c r="T1983" s="1"/>
      <c r="U1983" s="1"/>
      <c r="V1983" s="1"/>
      <c r="W1983" s="1"/>
      <c r="X1983" s="1"/>
      <c r="Y1983" s="1"/>
      <c r="Z1983" s="1"/>
    </row>
    <row r="1984" ht="15.75" customHeight="1">
      <c r="A1984" s="2">
        <f>IFERROR(__xludf.DUMMYFUNCTION("""COMPUTED_VALUE"""),991500.0)</f>
        <v>991500</v>
      </c>
      <c r="B1984" s="2">
        <f>IFERROR(__xludf.DUMMYFUNCTION("""COMPUTED_VALUE"""),19830.0)</f>
        <v>19830</v>
      </c>
      <c r="C1984" s="66">
        <f>IFERROR(__xludf.DUMMYFUNCTION("""COMPUTED_VALUE"""),1.965153E10)</f>
        <v>19651530000</v>
      </c>
      <c r="D1984" s="1"/>
      <c r="E1984" s="1"/>
      <c r="F1984" s="1"/>
      <c r="G1984" s="1"/>
      <c r="H1984" s="1"/>
      <c r="I1984" s="1"/>
      <c r="J1984" s="1"/>
      <c r="K1984" s="1"/>
      <c r="L1984" s="1"/>
      <c r="M1984" s="1"/>
      <c r="N1984" s="1"/>
      <c r="O1984" s="1"/>
      <c r="P1984" s="1"/>
      <c r="Q1984" s="1"/>
      <c r="R1984" s="1"/>
      <c r="S1984" s="1"/>
      <c r="T1984" s="1"/>
      <c r="U1984" s="1"/>
      <c r="V1984" s="1"/>
      <c r="W1984" s="1"/>
      <c r="X1984" s="1"/>
      <c r="Y1984" s="1"/>
      <c r="Z1984" s="1"/>
    </row>
    <row r="1985" ht="15.75" customHeight="1">
      <c r="A1985" s="2">
        <f>IFERROR(__xludf.DUMMYFUNCTION("""COMPUTED_VALUE"""),992000.0)</f>
        <v>992000</v>
      </c>
      <c r="B1985" s="2">
        <f>IFERROR(__xludf.DUMMYFUNCTION("""COMPUTED_VALUE"""),19840.0)</f>
        <v>19840</v>
      </c>
      <c r="C1985" s="66">
        <f>IFERROR(__xludf.DUMMYFUNCTION("""COMPUTED_VALUE"""),1.967136E10)</f>
        <v>19671360000</v>
      </c>
      <c r="D1985" s="1"/>
      <c r="E1985" s="1"/>
      <c r="F1985" s="1"/>
      <c r="G1985" s="1"/>
      <c r="H1985" s="1"/>
      <c r="I1985" s="1"/>
      <c r="J1985" s="1"/>
      <c r="K1985" s="1"/>
      <c r="L1985" s="1"/>
      <c r="M1985" s="1"/>
      <c r="N1985" s="1"/>
      <c r="O1985" s="1"/>
      <c r="P1985" s="1"/>
      <c r="Q1985" s="1"/>
      <c r="R1985" s="1"/>
      <c r="S1985" s="1"/>
      <c r="T1985" s="1"/>
      <c r="U1985" s="1"/>
      <c r="V1985" s="1"/>
      <c r="W1985" s="1"/>
      <c r="X1985" s="1"/>
      <c r="Y1985" s="1"/>
      <c r="Z1985" s="1"/>
    </row>
    <row r="1986" ht="15.75" customHeight="1">
      <c r="A1986" s="2">
        <f>IFERROR(__xludf.DUMMYFUNCTION("""COMPUTED_VALUE"""),992500.0)</f>
        <v>992500</v>
      </c>
      <c r="B1986" s="2">
        <f>IFERROR(__xludf.DUMMYFUNCTION("""COMPUTED_VALUE"""),19850.0)</f>
        <v>19850</v>
      </c>
      <c r="C1986" s="66">
        <f>IFERROR(__xludf.DUMMYFUNCTION("""COMPUTED_VALUE"""),1.96912E10)</f>
        <v>19691200000</v>
      </c>
      <c r="D1986" s="1"/>
      <c r="E1986" s="1"/>
      <c r="F1986" s="1"/>
      <c r="G1986" s="1"/>
      <c r="H1986" s="1"/>
      <c r="I1986" s="1"/>
      <c r="J1986" s="1"/>
      <c r="K1986" s="1"/>
      <c r="L1986" s="1"/>
      <c r="M1986" s="1"/>
      <c r="N1986" s="1"/>
      <c r="O1986" s="1"/>
      <c r="P1986" s="1"/>
      <c r="Q1986" s="1"/>
      <c r="R1986" s="1"/>
      <c r="S1986" s="1"/>
      <c r="T1986" s="1"/>
      <c r="U1986" s="1"/>
      <c r="V1986" s="1"/>
      <c r="W1986" s="1"/>
      <c r="X1986" s="1"/>
      <c r="Y1986" s="1"/>
      <c r="Z1986" s="1"/>
    </row>
    <row r="1987" ht="15.75" customHeight="1">
      <c r="A1987" s="2">
        <f>IFERROR(__xludf.DUMMYFUNCTION("""COMPUTED_VALUE"""),993000.0)</f>
        <v>993000</v>
      </c>
      <c r="B1987" s="2">
        <f>IFERROR(__xludf.DUMMYFUNCTION("""COMPUTED_VALUE"""),19860.0)</f>
        <v>19860</v>
      </c>
      <c r="C1987" s="66">
        <f>IFERROR(__xludf.DUMMYFUNCTION("""COMPUTED_VALUE"""),1.971105E10)</f>
        <v>19711050000</v>
      </c>
      <c r="D1987" s="1"/>
      <c r="E1987" s="1"/>
      <c r="F1987" s="1"/>
      <c r="G1987" s="1"/>
      <c r="H1987" s="1"/>
      <c r="I1987" s="1"/>
      <c r="J1987" s="1"/>
      <c r="K1987" s="1"/>
      <c r="L1987" s="1"/>
      <c r="M1987" s="1"/>
      <c r="N1987" s="1"/>
      <c r="O1987" s="1"/>
      <c r="P1987" s="1"/>
      <c r="Q1987" s="1"/>
      <c r="R1987" s="1"/>
      <c r="S1987" s="1"/>
      <c r="T1987" s="1"/>
      <c r="U1987" s="1"/>
      <c r="V1987" s="1"/>
      <c r="W1987" s="1"/>
      <c r="X1987" s="1"/>
      <c r="Y1987" s="1"/>
      <c r="Z1987" s="1"/>
    </row>
    <row r="1988" ht="15.75" customHeight="1">
      <c r="A1988" s="2">
        <f>IFERROR(__xludf.DUMMYFUNCTION("""COMPUTED_VALUE"""),993500.0)</f>
        <v>993500</v>
      </c>
      <c r="B1988" s="2">
        <f>IFERROR(__xludf.DUMMYFUNCTION("""COMPUTED_VALUE"""),19870.0)</f>
        <v>19870</v>
      </c>
      <c r="C1988" s="66">
        <f>IFERROR(__xludf.DUMMYFUNCTION("""COMPUTED_VALUE"""),1.973091E10)</f>
        <v>19730910000</v>
      </c>
      <c r="D1988" s="1"/>
      <c r="E1988" s="1"/>
      <c r="F1988" s="1"/>
      <c r="G1988" s="1"/>
      <c r="H1988" s="1"/>
      <c r="I1988" s="1"/>
      <c r="J1988" s="1"/>
      <c r="K1988" s="1"/>
      <c r="L1988" s="1"/>
      <c r="M1988" s="1"/>
      <c r="N1988" s="1"/>
      <c r="O1988" s="1"/>
      <c r="P1988" s="1"/>
      <c r="Q1988" s="1"/>
      <c r="R1988" s="1"/>
      <c r="S1988" s="1"/>
      <c r="T1988" s="1"/>
      <c r="U1988" s="1"/>
      <c r="V1988" s="1"/>
      <c r="W1988" s="1"/>
      <c r="X1988" s="1"/>
      <c r="Y1988" s="1"/>
      <c r="Z1988" s="1"/>
    </row>
    <row r="1989" ht="15.75" customHeight="1">
      <c r="A1989" s="2">
        <f>IFERROR(__xludf.DUMMYFUNCTION("""COMPUTED_VALUE"""),994000.0)</f>
        <v>994000</v>
      </c>
      <c r="B1989" s="2">
        <f>IFERROR(__xludf.DUMMYFUNCTION("""COMPUTED_VALUE"""),19880.0)</f>
        <v>19880</v>
      </c>
      <c r="C1989" s="66">
        <f>IFERROR(__xludf.DUMMYFUNCTION("""COMPUTED_VALUE"""),1.975078E10)</f>
        <v>19750780000</v>
      </c>
      <c r="D1989" s="1"/>
      <c r="E1989" s="1"/>
      <c r="F1989" s="1"/>
      <c r="G1989" s="1"/>
      <c r="H1989" s="1"/>
      <c r="I1989" s="1"/>
      <c r="J1989" s="1"/>
      <c r="K1989" s="1"/>
      <c r="L1989" s="1"/>
      <c r="M1989" s="1"/>
      <c r="N1989" s="1"/>
      <c r="O1989" s="1"/>
      <c r="P1989" s="1"/>
      <c r="Q1989" s="1"/>
      <c r="R1989" s="1"/>
      <c r="S1989" s="1"/>
      <c r="T1989" s="1"/>
      <c r="U1989" s="1"/>
      <c r="V1989" s="1"/>
      <c r="W1989" s="1"/>
      <c r="X1989" s="1"/>
      <c r="Y1989" s="1"/>
      <c r="Z1989" s="1"/>
    </row>
    <row r="1990" ht="15.75" customHeight="1">
      <c r="A1990" s="2">
        <f>IFERROR(__xludf.DUMMYFUNCTION("""COMPUTED_VALUE"""),994500.0)</f>
        <v>994500</v>
      </c>
      <c r="B1990" s="2">
        <f>IFERROR(__xludf.DUMMYFUNCTION("""COMPUTED_VALUE"""),19890.0)</f>
        <v>19890</v>
      </c>
      <c r="C1990" s="66">
        <f>IFERROR(__xludf.DUMMYFUNCTION("""COMPUTED_VALUE"""),1.977066E10)</f>
        <v>19770660000</v>
      </c>
      <c r="D1990" s="1"/>
      <c r="E1990" s="1"/>
      <c r="F1990" s="1"/>
      <c r="G1990" s="1"/>
      <c r="H1990" s="1"/>
      <c r="I1990" s="1"/>
      <c r="J1990" s="1"/>
      <c r="K1990" s="1"/>
      <c r="L1990" s="1"/>
      <c r="M1990" s="1"/>
      <c r="N1990" s="1"/>
      <c r="O1990" s="1"/>
      <c r="P1990" s="1"/>
      <c r="Q1990" s="1"/>
      <c r="R1990" s="1"/>
      <c r="S1990" s="1"/>
      <c r="T1990" s="1"/>
      <c r="U1990" s="1"/>
      <c r="V1990" s="1"/>
      <c r="W1990" s="1"/>
      <c r="X1990" s="1"/>
      <c r="Y1990" s="1"/>
      <c r="Z1990" s="1"/>
    </row>
    <row r="1991" ht="15.75" customHeight="1">
      <c r="A1991" s="2">
        <f>IFERROR(__xludf.DUMMYFUNCTION("""COMPUTED_VALUE"""),995000.0)</f>
        <v>995000</v>
      </c>
      <c r="B1991" s="2">
        <f>IFERROR(__xludf.DUMMYFUNCTION("""COMPUTED_VALUE"""),19900.0)</f>
        <v>19900</v>
      </c>
      <c r="C1991" s="66">
        <f>IFERROR(__xludf.DUMMYFUNCTION("""COMPUTED_VALUE"""),1.979055E10)</f>
        <v>19790550000</v>
      </c>
      <c r="D1991" s="1"/>
      <c r="E1991" s="1"/>
      <c r="F1991" s="1"/>
      <c r="G1991" s="1"/>
      <c r="H1991" s="1"/>
      <c r="I1991" s="1"/>
      <c r="J1991" s="1"/>
      <c r="K1991" s="1"/>
      <c r="L1991" s="1"/>
      <c r="M1991" s="1"/>
      <c r="N1991" s="1"/>
      <c r="O1991" s="1"/>
      <c r="P1991" s="1"/>
      <c r="Q1991" s="1"/>
      <c r="R1991" s="1"/>
      <c r="S1991" s="1"/>
      <c r="T1991" s="1"/>
      <c r="U1991" s="1"/>
      <c r="V1991" s="1"/>
      <c r="W1991" s="1"/>
      <c r="X1991" s="1"/>
      <c r="Y1991" s="1"/>
      <c r="Z1991" s="1"/>
    </row>
    <row r="1992" ht="15.75" customHeight="1">
      <c r="A1992" s="2">
        <f>IFERROR(__xludf.DUMMYFUNCTION("""COMPUTED_VALUE"""),995500.0)</f>
        <v>995500</v>
      </c>
      <c r="B1992" s="2">
        <f>IFERROR(__xludf.DUMMYFUNCTION("""COMPUTED_VALUE"""),19910.0)</f>
        <v>19910</v>
      </c>
      <c r="C1992" s="66">
        <f>IFERROR(__xludf.DUMMYFUNCTION("""COMPUTED_VALUE"""),1.981045E10)</f>
        <v>19810450000</v>
      </c>
      <c r="D1992" s="1"/>
      <c r="E1992" s="1"/>
      <c r="F1992" s="1"/>
      <c r="G1992" s="1"/>
      <c r="H1992" s="1"/>
      <c r="I1992" s="1"/>
      <c r="J1992" s="1"/>
      <c r="K1992" s="1"/>
      <c r="L1992" s="1"/>
      <c r="M1992" s="1"/>
      <c r="N1992" s="1"/>
      <c r="O1992" s="1"/>
      <c r="P1992" s="1"/>
      <c r="Q1992" s="1"/>
      <c r="R1992" s="1"/>
      <c r="S1992" s="1"/>
      <c r="T1992" s="1"/>
      <c r="U1992" s="1"/>
      <c r="V1992" s="1"/>
      <c r="W1992" s="1"/>
      <c r="X1992" s="1"/>
      <c r="Y1992" s="1"/>
      <c r="Z1992" s="1"/>
    </row>
    <row r="1993" ht="15.75" customHeight="1">
      <c r="A1993" s="2">
        <f>IFERROR(__xludf.DUMMYFUNCTION("""COMPUTED_VALUE"""),996000.0)</f>
        <v>996000</v>
      </c>
      <c r="B1993" s="2">
        <f>IFERROR(__xludf.DUMMYFUNCTION("""COMPUTED_VALUE"""),19920.0)</f>
        <v>19920</v>
      </c>
      <c r="C1993" s="66">
        <f>IFERROR(__xludf.DUMMYFUNCTION("""COMPUTED_VALUE"""),1.983036E10)</f>
        <v>19830360000</v>
      </c>
      <c r="D1993" s="1"/>
      <c r="E1993" s="1"/>
      <c r="F1993" s="1"/>
      <c r="G1993" s="1"/>
      <c r="H1993" s="1"/>
      <c r="I1993" s="1"/>
      <c r="J1993" s="1"/>
      <c r="K1993" s="1"/>
      <c r="L1993" s="1"/>
      <c r="M1993" s="1"/>
      <c r="N1993" s="1"/>
      <c r="O1993" s="1"/>
      <c r="P1993" s="1"/>
      <c r="Q1993" s="1"/>
      <c r="R1993" s="1"/>
      <c r="S1993" s="1"/>
      <c r="T1993" s="1"/>
      <c r="U1993" s="1"/>
      <c r="V1993" s="1"/>
      <c r="W1993" s="1"/>
      <c r="X1993" s="1"/>
      <c r="Y1993" s="1"/>
      <c r="Z1993" s="1"/>
    </row>
    <row r="1994" ht="15.75" customHeight="1">
      <c r="A1994" s="2">
        <f>IFERROR(__xludf.DUMMYFUNCTION("""COMPUTED_VALUE"""),996500.0)</f>
        <v>996500</v>
      </c>
      <c r="B1994" s="2">
        <f>IFERROR(__xludf.DUMMYFUNCTION("""COMPUTED_VALUE"""),19930.0)</f>
        <v>19930</v>
      </c>
      <c r="C1994" s="66">
        <f>IFERROR(__xludf.DUMMYFUNCTION("""COMPUTED_VALUE"""),1.985028E10)</f>
        <v>19850280000</v>
      </c>
      <c r="D1994" s="1"/>
      <c r="E1994" s="1"/>
      <c r="F1994" s="1"/>
      <c r="G1994" s="1"/>
      <c r="H1994" s="1"/>
      <c r="I1994" s="1"/>
      <c r="J1994" s="1"/>
      <c r="K1994" s="1"/>
      <c r="L1994" s="1"/>
      <c r="M1994" s="1"/>
      <c r="N1994" s="1"/>
      <c r="O1994" s="1"/>
      <c r="P1994" s="1"/>
      <c r="Q1994" s="1"/>
      <c r="R1994" s="1"/>
      <c r="S1994" s="1"/>
      <c r="T1994" s="1"/>
      <c r="U1994" s="1"/>
      <c r="V1994" s="1"/>
      <c r="W1994" s="1"/>
      <c r="X1994" s="1"/>
      <c r="Y1994" s="1"/>
      <c r="Z1994" s="1"/>
    </row>
    <row r="1995" ht="15.75" customHeight="1">
      <c r="A1995" s="2">
        <f>IFERROR(__xludf.DUMMYFUNCTION("""COMPUTED_VALUE"""),997000.0)</f>
        <v>997000</v>
      </c>
      <c r="B1995" s="2">
        <f>IFERROR(__xludf.DUMMYFUNCTION("""COMPUTED_VALUE"""),19940.0)</f>
        <v>19940</v>
      </c>
      <c r="C1995" s="66">
        <f>IFERROR(__xludf.DUMMYFUNCTION("""COMPUTED_VALUE"""),1.987021E10)</f>
        <v>19870210000</v>
      </c>
      <c r="D1995" s="1"/>
      <c r="E1995" s="1"/>
      <c r="F1995" s="1"/>
      <c r="G1995" s="1"/>
      <c r="H1995" s="1"/>
      <c r="I1995" s="1"/>
      <c r="J1995" s="1"/>
      <c r="K1995" s="1"/>
      <c r="L1995" s="1"/>
      <c r="M1995" s="1"/>
      <c r="N1995" s="1"/>
      <c r="O1995" s="1"/>
      <c r="P1995" s="1"/>
      <c r="Q1995" s="1"/>
      <c r="R1995" s="1"/>
      <c r="S1995" s="1"/>
      <c r="T1995" s="1"/>
      <c r="U1995" s="1"/>
      <c r="V1995" s="1"/>
      <c r="W1995" s="1"/>
      <c r="X1995" s="1"/>
      <c r="Y1995" s="1"/>
      <c r="Z1995" s="1"/>
    </row>
    <row r="1996" ht="15.75" customHeight="1">
      <c r="A1996" s="2">
        <f>IFERROR(__xludf.DUMMYFUNCTION("""COMPUTED_VALUE"""),997500.0)</f>
        <v>997500</v>
      </c>
      <c r="B1996" s="2">
        <f>IFERROR(__xludf.DUMMYFUNCTION("""COMPUTED_VALUE"""),19950.0)</f>
        <v>19950</v>
      </c>
      <c r="C1996" s="66">
        <f>IFERROR(__xludf.DUMMYFUNCTION("""COMPUTED_VALUE"""),1.989015E10)</f>
        <v>19890150000</v>
      </c>
      <c r="D1996" s="1"/>
      <c r="E1996" s="1"/>
      <c r="F1996" s="1"/>
      <c r="G1996" s="1"/>
      <c r="H1996" s="1"/>
      <c r="I1996" s="1"/>
      <c r="J1996" s="1"/>
      <c r="K1996" s="1"/>
      <c r="L1996" s="1"/>
      <c r="M1996" s="1"/>
      <c r="N1996" s="1"/>
      <c r="O1996" s="1"/>
      <c r="P1996" s="1"/>
      <c r="Q1996" s="1"/>
      <c r="R1996" s="1"/>
      <c r="S1996" s="1"/>
      <c r="T1996" s="1"/>
      <c r="U1996" s="1"/>
      <c r="V1996" s="1"/>
      <c r="W1996" s="1"/>
      <c r="X1996" s="1"/>
      <c r="Y1996" s="1"/>
      <c r="Z1996" s="1"/>
    </row>
    <row r="1997" ht="15.75" customHeight="1">
      <c r="A1997" s="2">
        <f>IFERROR(__xludf.DUMMYFUNCTION("""COMPUTED_VALUE"""),998000.0)</f>
        <v>998000</v>
      </c>
      <c r="B1997" s="2">
        <f>IFERROR(__xludf.DUMMYFUNCTION("""COMPUTED_VALUE"""),19960.0)</f>
        <v>19960</v>
      </c>
      <c r="C1997" s="66">
        <f>IFERROR(__xludf.DUMMYFUNCTION("""COMPUTED_VALUE"""),1.99101E10)</f>
        <v>19910100000</v>
      </c>
      <c r="D1997" s="1"/>
      <c r="E1997" s="1"/>
      <c r="F1997" s="1"/>
      <c r="G1997" s="1"/>
      <c r="H1997" s="1"/>
      <c r="I1997" s="1"/>
      <c r="J1997" s="1"/>
      <c r="K1997" s="1"/>
      <c r="L1997" s="1"/>
      <c r="M1997" s="1"/>
      <c r="N1997" s="1"/>
      <c r="O1997" s="1"/>
      <c r="P1997" s="1"/>
      <c r="Q1997" s="1"/>
      <c r="R1997" s="1"/>
      <c r="S1997" s="1"/>
      <c r="T1997" s="1"/>
      <c r="U1997" s="1"/>
      <c r="V1997" s="1"/>
      <c r="W1997" s="1"/>
      <c r="X1997" s="1"/>
      <c r="Y1997" s="1"/>
      <c r="Z1997" s="1"/>
    </row>
    <row r="1998" ht="15.75" customHeight="1">
      <c r="A1998" s="2">
        <f>IFERROR(__xludf.DUMMYFUNCTION("""COMPUTED_VALUE"""),998500.0)</f>
        <v>998500</v>
      </c>
      <c r="B1998" s="2">
        <f>IFERROR(__xludf.DUMMYFUNCTION("""COMPUTED_VALUE"""),19970.0)</f>
        <v>19970</v>
      </c>
      <c r="C1998" s="66">
        <f>IFERROR(__xludf.DUMMYFUNCTION("""COMPUTED_VALUE"""),1.993006E10)</f>
        <v>19930060000</v>
      </c>
      <c r="D1998" s="1"/>
      <c r="E1998" s="1"/>
      <c r="F1998" s="1"/>
      <c r="G1998" s="1"/>
      <c r="H1998" s="1"/>
      <c r="I1998" s="1"/>
      <c r="J1998" s="1"/>
      <c r="K1998" s="1"/>
      <c r="L1998" s="1"/>
      <c r="M1998" s="1"/>
      <c r="N1998" s="1"/>
      <c r="O1998" s="1"/>
      <c r="P1998" s="1"/>
      <c r="Q1998" s="1"/>
      <c r="R1998" s="1"/>
      <c r="S1998" s="1"/>
      <c r="T1998" s="1"/>
      <c r="U1998" s="1"/>
      <c r="V1998" s="1"/>
      <c r="W1998" s="1"/>
      <c r="X1998" s="1"/>
      <c r="Y1998" s="1"/>
      <c r="Z1998" s="1"/>
    </row>
    <row r="1999" ht="15.75" customHeight="1">
      <c r="A1999" s="2">
        <f>IFERROR(__xludf.DUMMYFUNCTION("""COMPUTED_VALUE"""),999000.0)</f>
        <v>999000</v>
      </c>
      <c r="B1999" s="2">
        <f>IFERROR(__xludf.DUMMYFUNCTION("""COMPUTED_VALUE"""),19980.0)</f>
        <v>19980</v>
      </c>
      <c r="C1999" s="66">
        <f>IFERROR(__xludf.DUMMYFUNCTION("""COMPUTED_VALUE"""),1.995003E10)</f>
        <v>19950030000</v>
      </c>
      <c r="D1999" s="1"/>
      <c r="E1999" s="1"/>
      <c r="F1999" s="1"/>
      <c r="G1999" s="1"/>
      <c r="H1999" s="1"/>
      <c r="I1999" s="1"/>
      <c r="J1999" s="1"/>
      <c r="K1999" s="1"/>
      <c r="L1999" s="1"/>
      <c r="M1999" s="1"/>
      <c r="N1999" s="1"/>
      <c r="O1999" s="1"/>
      <c r="P1999" s="1"/>
      <c r="Q1999" s="1"/>
      <c r="R1999" s="1"/>
      <c r="S1999" s="1"/>
      <c r="T1999" s="1"/>
      <c r="U1999" s="1"/>
      <c r="V1999" s="1"/>
      <c r="W1999" s="1"/>
      <c r="X1999" s="1"/>
      <c r="Y1999" s="1"/>
      <c r="Z1999" s="1"/>
    </row>
    <row r="2000" ht="15.75" customHeight="1">
      <c r="A2000" s="2">
        <f>IFERROR(__xludf.DUMMYFUNCTION("""COMPUTED_VALUE"""),999500.0)</f>
        <v>999500</v>
      </c>
      <c r="B2000" s="2">
        <f>IFERROR(__xludf.DUMMYFUNCTION("""COMPUTED_VALUE"""),19990.0)</f>
        <v>19990</v>
      </c>
      <c r="C2000" s="66">
        <f>IFERROR(__xludf.DUMMYFUNCTION("""COMPUTED_VALUE"""),1.997001E10)</f>
        <v>19970010000</v>
      </c>
      <c r="D2000" s="1"/>
      <c r="E2000" s="1"/>
      <c r="F2000" s="1"/>
      <c r="G2000" s="1"/>
      <c r="H2000" s="1"/>
      <c r="I2000" s="1"/>
      <c r="J2000" s="1"/>
      <c r="K2000" s="1"/>
      <c r="L2000" s="1"/>
      <c r="M2000" s="1"/>
      <c r="N2000" s="1"/>
      <c r="O2000" s="1"/>
      <c r="P2000" s="1"/>
      <c r="Q2000" s="1"/>
      <c r="R2000" s="1"/>
      <c r="S2000" s="1"/>
      <c r="T2000" s="1"/>
      <c r="U2000" s="1"/>
      <c r="V2000" s="1"/>
      <c r="W2000" s="1"/>
      <c r="X2000" s="1"/>
      <c r="Y2000" s="1"/>
      <c r="Z2000" s="1"/>
    </row>
    <row r="2001" ht="15.75" customHeight="1">
      <c r="A2001" s="2">
        <f>IFERROR(__xludf.DUMMYFUNCTION("""COMPUTED_VALUE"""),1000000.0)</f>
        <v>1000000</v>
      </c>
      <c r="B2001" s="2">
        <f>IFERROR(__xludf.DUMMYFUNCTION("""COMPUTED_VALUE"""),20000.0)</f>
        <v>20000</v>
      </c>
      <c r="C2001" s="66">
        <f>IFERROR(__xludf.DUMMYFUNCTION("""COMPUTED_VALUE"""),1.999E10)</f>
        <v>19990000000</v>
      </c>
      <c r="D2001" s="1"/>
      <c r="E2001" s="1"/>
      <c r="F2001" s="1"/>
      <c r="G2001" s="1"/>
      <c r="H2001" s="1"/>
      <c r="I2001" s="1"/>
      <c r="J2001" s="1"/>
      <c r="K2001" s="1"/>
      <c r="L2001" s="1"/>
      <c r="M2001" s="1"/>
      <c r="N2001" s="1"/>
      <c r="O2001" s="1"/>
      <c r="P2001" s="1"/>
      <c r="Q2001" s="1"/>
      <c r="R2001" s="1"/>
      <c r="S2001" s="1"/>
      <c r="T2001" s="1"/>
      <c r="U2001" s="1"/>
      <c r="V2001" s="1"/>
      <c r="W2001" s="1"/>
      <c r="X2001" s="1"/>
      <c r="Y2001" s="1"/>
      <c r="Z2001" s="1"/>
    </row>
    <row r="2002" ht="15.75" customHeight="1">
      <c r="A2002" s="2">
        <f>IFERROR(__xludf.DUMMYFUNCTION("""COMPUTED_VALUE"""),1000500.0)</f>
        <v>1000500</v>
      </c>
      <c r="B2002" s="2">
        <f>IFERROR(__xludf.DUMMYFUNCTION("""COMPUTED_VALUE"""),20010.0)</f>
        <v>20010</v>
      </c>
      <c r="C2002" s="66">
        <f>IFERROR(__xludf.DUMMYFUNCTION("""COMPUTED_VALUE"""),2.001E10)</f>
        <v>20010000000</v>
      </c>
      <c r="D2002" s="1"/>
      <c r="E2002" s="1"/>
      <c r="F2002" s="1"/>
      <c r="G2002" s="1"/>
      <c r="H2002" s="1"/>
      <c r="I2002" s="1"/>
      <c r="J2002" s="1"/>
      <c r="K2002" s="1"/>
      <c r="L2002" s="1"/>
      <c r="M2002" s="1"/>
      <c r="N2002" s="1"/>
      <c r="O2002" s="1"/>
      <c r="P2002" s="1"/>
      <c r="Q2002" s="1"/>
      <c r="R2002" s="1"/>
      <c r="S2002" s="1"/>
      <c r="T2002" s="1"/>
      <c r="U2002" s="1"/>
      <c r="V2002" s="1"/>
      <c r="W2002" s="1"/>
      <c r="X2002" s="1"/>
      <c r="Y2002" s="1"/>
      <c r="Z2002" s="1"/>
    </row>
    <row r="2003" ht="15.75" customHeight="1">
      <c r="A2003" s="2">
        <f>IFERROR(__xludf.DUMMYFUNCTION("""COMPUTED_VALUE"""),1001000.0)</f>
        <v>1001000</v>
      </c>
      <c r="B2003" s="2">
        <f>IFERROR(__xludf.DUMMYFUNCTION("""COMPUTED_VALUE"""),20020.0)</f>
        <v>20020</v>
      </c>
      <c r="C2003" s="66">
        <f>IFERROR(__xludf.DUMMYFUNCTION("""COMPUTED_VALUE"""),2.003001E10)</f>
        <v>20030010000</v>
      </c>
      <c r="D2003" s="1"/>
      <c r="E2003" s="1"/>
      <c r="F2003" s="1"/>
      <c r="G2003" s="1"/>
      <c r="H2003" s="1"/>
      <c r="I2003" s="1"/>
      <c r="J2003" s="1"/>
      <c r="K2003" s="1"/>
      <c r="L2003" s="1"/>
      <c r="M2003" s="1"/>
      <c r="N2003" s="1"/>
      <c r="O2003" s="1"/>
      <c r="P2003" s="1"/>
      <c r="Q2003" s="1"/>
      <c r="R2003" s="1"/>
      <c r="S2003" s="1"/>
      <c r="T2003" s="1"/>
      <c r="U2003" s="1"/>
      <c r="V2003" s="1"/>
      <c r="W2003" s="1"/>
      <c r="X2003" s="1"/>
      <c r="Y2003" s="1"/>
      <c r="Z2003" s="1"/>
    </row>
    <row r="2004" ht="15.75" customHeight="1">
      <c r="A2004" s="2">
        <f>IFERROR(__xludf.DUMMYFUNCTION("""COMPUTED_VALUE"""),1001500.0)</f>
        <v>1001500</v>
      </c>
      <c r="B2004" s="2">
        <f>IFERROR(__xludf.DUMMYFUNCTION("""COMPUTED_VALUE"""),20030.0)</f>
        <v>20030</v>
      </c>
      <c r="C2004" s="66">
        <f>IFERROR(__xludf.DUMMYFUNCTION("""COMPUTED_VALUE"""),2.005003E10)</f>
        <v>20050030000</v>
      </c>
      <c r="D2004" s="1"/>
      <c r="E2004" s="1"/>
      <c r="F2004" s="1"/>
      <c r="G2004" s="1"/>
      <c r="H2004" s="1"/>
      <c r="I2004" s="1"/>
      <c r="J2004" s="1"/>
      <c r="K2004" s="1"/>
      <c r="L2004" s="1"/>
      <c r="M2004" s="1"/>
      <c r="N2004" s="1"/>
      <c r="O2004" s="1"/>
      <c r="P2004" s="1"/>
      <c r="Q2004" s="1"/>
      <c r="R2004" s="1"/>
      <c r="S2004" s="1"/>
      <c r="T2004" s="1"/>
      <c r="U2004" s="1"/>
      <c r="V2004" s="1"/>
      <c r="W2004" s="1"/>
      <c r="X2004" s="1"/>
      <c r="Y2004" s="1"/>
      <c r="Z2004" s="1"/>
    </row>
    <row r="2005" ht="15.75" customHeight="1">
      <c r="A2005" s="2">
        <f>IFERROR(__xludf.DUMMYFUNCTION("""COMPUTED_VALUE"""),1002000.0)</f>
        <v>1002000</v>
      </c>
      <c r="B2005" s="2">
        <f>IFERROR(__xludf.DUMMYFUNCTION("""COMPUTED_VALUE"""),20040.0)</f>
        <v>20040</v>
      </c>
      <c r="C2005" s="66">
        <f>IFERROR(__xludf.DUMMYFUNCTION("""COMPUTED_VALUE"""),2.007006E10)</f>
        <v>20070060000</v>
      </c>
      <c r="D2005" s="1"/>
      <c r="E2005" s="1"/>
      <c r="F2005" s="1"/>
      <c r="G2005" s="1"/>
      <c r="H2005" s="1"/>
      <c r="I2005" s="1"/>
      <c r="J2005" s="1"/>
      <c r="K2005" s="1"/>
      <c r="L2005" s="1"/>
      <c r="M2005" s="1"/>
      <c r="N2005" s="1"/>
      <c r="O2005" s="1"/>
      <c r="P2005" s="1"/>
      <c r="Q2005" s="1"/>
      <c r="R2005" s="1"/>
      <c r="S2005" s="1"/>
      <c r="T2005" s="1"/>
      <c r="U2005" s="1"/>
      <c r="V2005" s="1"/>
      <c r="W2005" s="1"/>
      <c r="X2005" s="1"/>
      <c r="Y2005" s="1"/>
      <c r="Z2005" s="1"/>
    </row>
    <row r="2006" ht="15.75" customHeight="1">
      <c r="A2006" s="2">
        <f>IFERROR(__xludf.DUMMYFUNCTION("""COMPUTED_VALUE"""),1002500.0)</f>
        <v>1002500</v>
      </c>
      <c r="B2006" s="2">
        <f>IFERROR(__xludf.DUMMYFUNCTION("""COMPUTED_VALUE"""),20050.0)</f>
        <v>20050</v>
      </c>
      <c r="C2006" s="66">
        <f>IFERROR(__xludf.DUMMYFUNCTION("""COMPUTED_VALUE"""),2.00901E10)</f>
        <v>20090100000</v>
      </c>
      <c r="D2006" s="1"/>
      <c r="E2006" s="1"/>
      <c r="F2006" s="1"/>
      <c r="G2006" s="1"/>
      <c r="H2006" s="1"/>
      <c r="I2006" s="1"/>
      <c r="J2006" s="1"/>
      <c r="K2006" s="1"/>
      <c r="L2006" s="1"/>
      <c r="M2006" s="1"/>
      <c r="N2006" s="1"/>
      <c r="O2006" s="1"/>
      <c r="P2006" s="1"/>
      <c r="Q2006" s="1"/>
      <c r="R2006" s="1"/>
      <c r="S2006" s="1"/>
      <c r="T2006" s="1"/>
      <c r="U2006" s="1"/>
      <c r="V2006" s="1"/>
      <c r="W2006" s="1"/>
      <c r="X2006" s="1"/>
      <c r="Y2006" s="1"/>
      <c r="Z2006" s="1"/>
    </row>
    <row r="2007" ht="15.75" customHeight="1">
      <c r="A2007" s="2">
        <f>IFERROR(__xludf.DUMMYFUNCTION("""COMPUTED_VALUE"""),1003000.0)</f>
        <v>1003000</v>
      </c>
      <c r="B2007" s="2">
        <f>IFERROR(__xludf.DUMMYFUNCTION("""COMPUTED_VALUE"""),20060.0)</f>
        <v>20060</v>
      </c>
      <c r="C2007" s="66">
        <f>IFERROR(__xludf.DUMMYFUNCTION("""COMPUTED_VALUE"""),2.011015E10)</f>
        <v>20110150000</v>
      </c>
      <c r="D2007" s="1"/>
      <c r="E2007" s="1"/>
      <c r="F2007" s="1"/>
      <c r="G2007" s="1"/>
      <c r="H2007" s="1"/>
      <c r="I2007" s="1"/>
      <c r="J2007" s="1"/>
      <c r="K2007" s="1"/>
      <c r="L2007" s="1"/>
      <c r="M2007" s="1"/>
      <c r="N2007" s="1"/>
      <c r="O2007" s="1"/>
      <c r="P2007" s="1"/>
      <c r="Q2007" s="1"/>
      <c r="R2007" s="1"/>
      <c r="S2007" s="1"/>
      <c r="T2007" s="1"/>
      <c r="U2007" s="1"/>
      <c r="V2007" s="1"/>
      <c r="W2007" s="1"/>
      <c r="X2007" s="1"/>
      <c r="Y2007" s="1"/>
      <c r="Z2007" s="1"/>
    </row>
    <row r="2008" ht="15.75" customHeight="1">
      <c r="A2008" s="2">
        <f>IFERROR(__xludf.DUMMYFUNCTION("""COMPUTED_VALUE"""),1003500.0)</f>
        <v>1003500</v>
      </c>
      <c r="B2008" s="2">
        <f>IFERROR(__xludf.DUMMYFUNCTION("""COMPUTED_VALUE"""),20070.0)</f>
        <v>20070</v>
      </c>
      <c r="C2008" s="66">
        <f>IFERROR(__xludf.DUMMYFUNCTION("""COMPUTED_VALUE"""),2.013021E10)</f>
        <v>20130210000</v>
      </c>
      <c r="D2008" s="1"/>
      <c r="E2008" s="1"/>
      <c r="F2008" s="1"/>
      <c r="G2008" s="1"/>
      <c r="H2008" s="1"/>
      <c r="I2008" s="1"/>
      <c r="J2008" s="1"/>
      <c r="K2008" s="1"/>
      <c r="L2008" s="1"/>
      <c r="M2008" s="1"/>
      <c r="N2008" s="1"/>
      <c r="O2008" s="1"/>
      <c r="P2008" s="1"/>
      <c r="Q2008" s="1"/>
      <c r="R2008" s="1"/>
      <c r="S2008" s="1"/>
      <c r="T2008" s="1"/>
      <c r="U2008" s="1"/>
      <c r="V2008" s="1"/>
      <c r="W2008" s="1"/>
      <c r="X2008" s="1"/>
      <c r="Y2008" s="1"/>
      <c r="Z2008" s="1"/>
    </row>
    <row r="2009" ht="15.75" customHeight="1">
      <c r="A2009" s="2">
        <f>IFERROR(__xludf.DUMMYFUNCTION("""COMPUTED_VALUE"""),1004000.0)</f>
        <v>1004000</v>
      </c>
      <c r="B2009" s="2">
        <f>IFERROR(__xludf.DUMMYFUNCTION("""COMPUTED_VALUE"""),20080.0)</f>
        <v>20080</v>
      </c>
      <c r="C2009" s="66">
        <f>IFERROR(__xludf.DUMMYFUNCTION("""COMPUTED_VALUE"""),2.015028E10)</f>
        <v>20150280000</v>
      </c>
      <c r="D2009" s="1"/>
      <c r="E2009" s="1"/>
      <c r="F2009" s="1"/>
      <c r="G2009" s="1"/>
      <c r="H2009" s="1"/>
      <c r="I2009" s="1"/>
      <c r="J2009" s="1"/>
      <c r="K2009" s="1"/>
      <c r="L2009" s="1"/>
      <c r="M2009" s="1"/>
      <c r="N2009" s="1"/>
      <c r="O2009" s="1"/>
      <c r="P2009" s="1"/>
      <c r="Q2009" s="1"/>
      <c r="R2009" s="1"/>
      <c r="S2009" s="1"/>
      <c r="T2009" s="1"/>
      <c r="U2009" s="1"/>
      <c r="V2009" s="1"/>
      <c r="W2009" s="1"/>
      <c r="X2009" s="1"/>
      <c r="Y2009" s="1"/>
      <c r="Z2009" s="1"/>
    </row>
    <row r="2010" ht="15.75" customHeight="1">
      <c r="A2010" s="2">
        <f>IFERROR(__xludf.DUMMYFUNCTION("""COMPUTED_VALUE"""),1004500.0)</f>
        <v>1004500</v>
      </c>
      <c r="B2010" s="2">
        <f>IFERROR(__xludf.DUMMYFUNCTION("""COMPUTED_VALUE"""),20090.0)</f>
        <v>20090</v>
      </c>
      <c r="C2010" s="66">
        <f>IFERROR(__xludf.DUMMYFUNCTION("""COMPUTED_VALUE"""),2.017036E10)</f>
        <v>20170360000</v>
      </c>
      <c r="D2010" s="1"/>
      <c r="E2010" s="1"/>
      <c r="F2010" s="1"/>
      <c r="G2010" s="1"/>
      <c r="H2010" s="1"/>
      <c r="I2010" s="1"/>
      <c r="J2010" s="1"/>
      <c r="K2010" s="1"/>
      <c r="L2010" s="1"/>
      <c r="M2010" s="1"/>
      <c r="N2010" s="1"/>
      <c r="O2010" s="1"/>
      <c r="P2010" s="1"/>
      <c r="Q2010" s="1"/>
      <c r="R2010" s="1"/>
      <c r="S2010" s="1"/>
      <c r="T2010" s="1"/>
      <c r="U2010" s="1"/>
      <c r="V2010" s="1"/>
      <c r="W2010" s="1"/>
      <c r="X2010" s="1"/>
      <c r="Y2010" s="1"/>
      <c r="Z2010" s="1"/>
    </row>
    <row r="2011" ht="15.75" customHeight="1">
      <c r="A2011" s="2">
        <f>IFERROR(__xludf.DUMMYFUNCTION("""COMPUTED_VALUE"""),1005000.0)</f>
        <v>1005000</v>
      </c>
      <c r="B2011" s="2">
        <f>IFERROR(__xludf.DUMMYFUNCTION("""COMPUTED_VALUE"""),20100.0)</f>
        <v>20100</v>
      </c>
      <c r="C2011" s="66">
        <f>IFERROR(__xludf.DUMMYFUNCTION("""COMPUTED_VALUE"""),2.019045E10)</f>
        <v>20190450000</v>
      </c>
      <c r="D2011" s="1"/>
      <c r="E2011" s="1"/>
      <c r="F2011" s="1"/>
      <c r="G2011" s="1"/>
      <c r="H2011" s="1"/>
      <c r="I2011" s="1"/>
      <c r="J2011" s="1"/>
      <c r="K2011" s="1"/>
      <c r="L2011" s="1"/>
      <c r="M2011" s="1"/>
      <c r="N2011" s="1"/>
      <c r="O2011" s="1"/>
      <c r="P2011" s="1"/>
      <c r="Q2011" s="1"/>
      <c r="R2011" s="1"/>
      <c r="S2011" s="1"/>
      <c r="T2011" s="1"/>
      <c r="U2011" s="1"/>
      <c r="V2011" s="1"/>
      <c r="W2011" s="1"/>
      <c r="X2011" s="1"/>
      <c r="Y2011" s="1"/>
      <c r="Z2011" s="1"/>
    </row>
    <row r="2012" ht="15.75" customHeight="1">
      <c r="A2012" s="2">
        <f>IFERROR(__xludf.DUMMYFUNCTION("""COMPUTED_VALUE"""),1005500.0)</f>
        <v>1005500</v>
      </c>
      <c r="B2012" s="2">
        <f>IFERROR(__xludf.DUMMYFUNCTION("""COMPUTED_VALUE"""),20110.0)</f>
        <v>20110</v>
      </c>
      <c r="C2012" s="66">
        <f>IFERROR(__xludf.DUMMYFUNCTION("""COMPUTED_VALUE"""),2.021055E10)</f>
        <v>20210550000</v>
      </c>
      <c r="D2012" s="1"/>
      <c r="E2012" s="1"/>
      <c r="F2012" s="1"/>
      <c r="G2012" s="1"/>
      <c r="H2012" s="1"/>
      <c r="I2012" s="1"/>
      <c r="J2012" s="1"/>
      <c r="K2012" s="1"/>
      <c r="L2012" s="1"/>
      <c r="M2012" s="1"/>
      <c r="N2012" s="1"/>
      <c r="O2012" s="1"/>
      <c r="P2012" s="1"/>
      <c r="Q2012" s="1"/>
      <c r="R2012" s="1"/>
      <c r="S2012" s="1"/>
      <c r="T2012" s="1"/>
      <c r="U2012" s="1"/>
      <c r="V2012" s="1"/>
      <c r="W2012" s="1"/>
      <c r="X2012" s="1"/>
      <c r="Y2012" s="1"/>
      <c r="Z2012" s="1"/>
    </row>
    <row r="2013" ht="15.75" customHeight="1">
      <c r="A2013" s="2">
        <f>IFERROR(__xludf.DUMMYFUNCTION("""COMPUTED_VALUE"""),1006000.0)</f>
        <v>1006000</v>
      </c>
      <c r="B2013" s="2">
        <f>IFERROR(__xludf.DUMMYFUNCTION("""COMPUTED_VALUE"""),20120.0)</f>
        <v>20120</v>
      </c>
      <c r="C2013" s="66">
        <f>IFERROR(__xludf.DUMMYFUNCTION("""COMPUTED_VALUE"""),2.023066E10)</f>
        <v>20230660000</v>
      </c>
      <c r="D2013" s="1"/>
      <c r="E2013" s="1"/>
      <c r="F2013" s="1"/>
      <c r="G2013" s="1"/>
      <c r="H2013" s="1"/>
      <c r="I2013" s="1"/>
      <c r="J2013" s="1"/>
      <c r="K2013" s="1"/>
      <c r="L2013" s="1"/>
      <c r="M2013" s="1"/>
      <c r="N2013" s="1"/>
      <c r="O2013" s="1"/>
      <c r="P2013" s="1"/>
      <c r="Q2013" s="1"/>
      <c r="R2013" s="1"/>
      <c r="S2013" s="1"/>
      <c r="T2013" s="1"/>
      <c r="U2013" s="1"/>
      <c r="V2013" s="1"/>
      <c r="W2013" s="1"/>
      <c r="X2013" s="1"/>
      <c r="Y2013" s="1"/>
      <c r="Z2013" s="1"/>
    </row>
    <row r="2014" ht="15.75" customHeight="1">
      <c r="A2014" s="2">
        <f>IFERROR(__xludf.DUMMYFUNCTION("""COMPUTED_VALUE"""),1006500.0)</f>
        <v>1006500</v>
      </c>
      <c r="B2014" s="2">
        <f>IFERROR(__xludf.DUMMYFUNCTION("""COMPUTED_VALUE"""),20130.0)</f>
        <v>20130</v>
      </c>
      <c r="C2014" s="66">
        <f>IFERROR(__xludf.DUMMYFUNCTION("""COMPUTED_VALUE"""),2.025078E10)</f>
        <v>20250780000</v>
      </c>
      <c r="D2014" s="1"/>
      <c r="E2014" s="1"/>
      <c r="F2014" s="1"/>
      <c r="G2014" s="1"/>
      <c r="H2014" s="1"/>
      <c r="I2014" s="1"/>
      <c r="J2014" s="1"/>
      <c r="K2014" s="1"/>
      <c r="L2014" s="1"/>
      <c r="M2014" s="1"/>
      <c r="N2014" s="1"/>
      <c r="O2014" s="1"/>
      <c r="P2014" s="1"/>
      <c r="Q2014" s="1"/>
      <c r="R2014" s="1"/>
      <c r="S2014" s="1"/>
      <c r="T2014" s="1"/>
      <c r="U2014" s="1"/>
      <c r="V2014" s="1"/>
      <c r="W2014" s="1"/>
      <c r="X2014" s="1"/>
      <c r="Y2014" s="1"/>
      <c r="Z2014" s="1"/>
    </row>
    <row r="2015" ht="15.75" customHeight="1">
      <c r="A2015" s="2">
        <f>IFERROR(__xludf.DUMMYFUNCTION("""COMPUTED_VALUE"""),1007000.0)</f>
        <v>1007000</v>
      </c>
      <c r="B2015" s="2">
        <f>IFERROR(__xludf.DUMMYFUNCTION("""COMPUTED_VALUE"""),20140.0)</f>
        <v>20140</v>
      </c>
      <c r="C2015" s="66">
        <f>IFERROR(__xludf.DUMMYFUNCTION("""COMPUTED_VALUE"""),2.027091E10)</f>
        <v>20270910000</v>
      </c>
      <c r="D2015" s="1"/>
      <c r="E2015" s="1"/>
      <c r="F2015" s="1"/>
      <c r="G2015" s="1"/>
      <c r="H2015" s="1"/>
      <c r="I2015" s="1"/>
      <c r="J2015" s="1"/>
      <c r="K2015" s="1"/>
      <c r="L2015" s="1"/>
      <c r="M2015" s="1"/>
      <c r="N2015" s="1"/>
      <c r="O2015" s="1"/>
      <c r="P2015" s="1"/>
      <c r="Q2015" s="1"/>
      <c r="R2015" s="1"/>
      <c r="S2015" s="1"/>
      <c r="T2015" s="1"/>
      <c r="U2015" s="1"/>
      <c r="V2015" s="1"/>
      <c r="W2015" s="1"/>
      <c r="X2015" s="1"/>
      <c r="Y2015" s="1"/>
      <c r="Z2015" s="1"/>
    </row>
    <row r="2016" ht="15.75" customHeight="1">
      <c r="A2016" s="2">
        <f>IFERROR(__xludf.DUMMYFUNCTION("""COMPUTED_VALUE"""),1007500.0)</f>
        <v>1007500</v>
      </c>
      <c r="B2016" s="2">
        <f>IFERROR(__xludf.DUMMYFUNCTION("""COMPUTED_VALUE"""),20150.0)</f>
        <v>20150</v>
      </c>
      <c r="C2016" s="66">
        <f>IFERROR(__xludf.DUMMYFUNCTION("""COMPUTED_VALUE"""),2.029105E10)</f>
        <v>20291050000</v>
      </c>
      <c r="D2016" s="1"/>
      <c r="E2016" s="1"/>
      <c r="F2016" s="1"/>
      <c r="G2016" s="1"/>
      <c r="H2016" s="1"/>
      <c r="I2016" s="1"/>
      <c r="J2016" s="1"/>
      <c r="K2016" s="1"/>
      <c r="L2016" s="1"/>
      <c r="M2016" s="1"/>
      <c r="N2016" s="1"/>
      <c r="O2016" s="1"/>
      <c r="P2016" s="1"/>
      <c r="Q2016" s="1"/>
      <c r="R2016" s="1"/>
      <c r="S2016" s="1"/>
      <c r="T2016" s="1"/>
      <c r="U2016" s="1"/>
      <c r="V2016" s="1"/>
      <c r="W2016" s="1"/>
      <c r="X2016" s="1"/>
      <c r="Y2016" s="1"/>
      <c r="Z2016" s="1"/>
    </row>
    <row r="2017" ht="15.75" customHeight="1">
      <c r="A2017" s="2">
        <f>IFERROR(__xludf.DUMMYFUNCTION("""COMPUTED_VALUE"""),1008000.0)</f>
        <v>1008000</v>
      </c>
      <c r="B2017" s="2">
        <f>IFERROR(__xludf.DUMMYFUNCTION("""COMPUTED_VALUE"""),20160.0)</f>
        <v>20160</v>
      </c>
      <c r="C2017" s="66">
        <f>IFERROR(__xludf.DUMMYFUNCTION("""COMPUTED_VALUE"""),2.03112E10)</f>
        <v>20311200000</v>
      </c>
      <c r="D2017" s="1"/>
      <c r="E2017" s="1"/>
      <c r="F2017" s="1"/>
      <c r="G2017" s="1"/>
      <c r="H2017" s="1"/>
      <c r="I2017" s="1"/>
      <c r="J2017" s="1"/>
      <c r="K2017" s="1"/>
      <c r="L2017" s="1"/>
      <c r="M2017" s="1"/>
      <c r="N2017" s="1"/>
      <c r="O2017" s="1"/>
      <c r="P2017" s="1"/>
      <c r="Q2017" s="1"/>
      <c r="R2017" s="1"/>
      <c r="S2017" s="1"/>
      <c r="T2017" s="1"/>
      <c r="U2017" s="1"/>
      <c r="V2017" s="1"/>
      <c r="W2017" s="1"/>
      <c r="X2017" s="1"/>
      <c r="Y2017" s="1"/>
      <c r="Z2017" s="1"/>
    </row>
    <row r="2018" ht="15.75" customHeight="1">
      <c r="A2018" s="2">
        <f>IFERROR(__xludf.DUMMYFUNCTION("""COMPUTED_VALUE"""),1008500.0)</f>
        <v>1008500</v>
      </c>
      <c r="B2018" s="2">
        <f>IFERROR(__xludf.DUMMYFUNCTION("""COMPUTED_VALUE"""),20170.0)</f>
        <v>20170</v>
      </c>
      <c r="C2018" s="66">
        <f>IFERROR(__xludf.DUMMYFUNCTION("""COMPUTED_VALUE"""),2.033136E10)</f>
        <v>20331360000</v>
      </c>
      <c r="D2018" s="1"/>
      <c r="E2018" s="1"/>
      <c r="F2018" s="1"/>
      <c r="G2018" s="1"/>
      <c r="H2018" s="1"/>
      <c r="I2018" s="1"/>
      <c r="J2018" s="1"/>
      <c r="K2018" s="1"/>
      <c r="L2018" s="1"/>
      <c r="M2018" s="1"/>
      <c r="N2018" s="1"/>
      <c r="O2018" s="1"/>
      <c r="P2018" s="1"/>
      <c r="Q2018" s="1"/>
      <c r="R2018" s="1"/>
      <c r="S2018" s="1"/>
      <c r="T2018" s="1"/>
      <c r="U2018" s="1"/>
      <c r="V2018" s="1"/>
      <c r="W2018" s="1"/>
      <c r="X2018" s="1"/>
      <c r="Y2018" s="1"/>
      <c r="Z2018" s="1"/>
    </row>
    <row r="2019" ht="15.75" customHeight="1">
      <c r="A2019" s="2">
        <f>IFERROR(__xludf.DUMMYFUNCTION("""COMPUTED_VALUE"""),1009000.0)</f>
        <v>1009000</v>
      </c>
      <c r="B2019" s="2">
        <f>IFERROR(__xludf.DUMMYFUNCTION("""COMPUTED_VALUE"""),20180.0)</f>
        <v>20180</v>
      </c>
      <c r="C2019" s="66">
        <f>IFERROR(__xludf.DUMMYFUNCTION("""COMPUTED_VALUE"""),2.035153E10)</f>
        <v>20351530000</v>
      </c>
      <c r="D2019" s="1"/>
      <c r="E2019" s="1"/>
      <c r="F2019" s="1"/>
      <c r="G2019" s="1"/>
      <c r="H2019" s="1"/>
      <c r="I2019" s="1"/>
      <c r="J2019" s="1"/>
      <c r="K2019" s="1"/>
      <c r="L2019" s="1"/>
      <c r="M2019" s="1"/>
      <c r="N2019" s="1"/>
      <c r="O2019" s="1"/>
      <c r="P2019" s="1"/>
      <c r="Q2019" s="1"/>
      <c r="R2019" s="1"/>
      <c r="S2019" s="1"/>
      <c r="T2019" s="1"/>
      <c r="U2019" s="1"/>
      <c r="V2019" s="1"/>
      <c r="W2019" s="1"/>
      <c r="X2019" s="1"/>
      <c r="Y2019" s="1"/>
      <c r="Z2019" s="1"/>
    </row>
    <row r="2020" ht="15.75" customHeight="1">
      <c r="A2020" s="2">
        <f>IFERROR(__xludf.DUMMYFUNCTION("""COMPUTED_VALUE"""),1009500.0)</f>
        <v>1009500</v>
      </c>
      <c r="B2020" s="2">
        <f>IFERROR(__xludf.DUMMYFUNCTION("""COMPUTED_VALUE"""),20190.0)</f>
        <v>20190</v>
      </c>
      <c r="C2020" s="66">
        <f>IFERROR(__xludf.DUMMYFUNCTION("""COMPUTED_VALUE"""),2.037171E10)</f>
        <v>20371710000</v>
      </c>
      <c r="D2020" s="1"/>
      <c r="E2020" s="1"/>
      <c r="F2020" s="1"/>
      <c r="G2020" s="1"/>
      <c r="H2020" s="1"/>
      <c r="I2020" s="1"/>
      <c r="J2020" s="1"/>
      <c r="K2020" s="1"/>
      <c r="L2020" s="1"/>
      <c r="M2020" s="1"/>
      <c r="N2020" s="1"/>
      <c r="O2020" s="1"/>
      <c r="P2020" s="1"/>
      <c r="Q2020" s="1"/>
      <c r="R2020" s="1"/>
      <c r="S2020" s="1"/>
      <c r="T2020" s="1"/>
      <c r="U2020" s="1"/>
      <c r="V2020" s="1"/>
      <c r="W2020" s="1"/>
      <c r="X2020" s="1"/>
      <c r="Y2020" s="1"/>
      <c r="Z2020" s="1"/>
    </row>
    <row r="2021" ht="15.75" customHeight="1">
      <c r="A2021" s="2">
        <f>IFERROR(__xludf.DUMMYFUNCTION("""COMPUTED_VALUE"""),1010000.0)</f>
        <v>1010000</v>
      </c>
      <c r="B2021" s="2">
        <f>IFERROR(__xludf.DUMMYFUNCTION("""COMPUTED_VALUE"""),20200.0)</f>
        <v>20200</v>
      </c>
      <c r="C2021" s="66">
        <f>IFERROR(__xludf.DUMMYFUNCTION("""COMPUTED_VALUE"""),2.03919E10)</f>
        <v>20391900000</v>
      </c>
      <c r="D2021" s="1"/>
      <c r="E2021" s="1"/>
      <c r="F2021" s="1"/>
      <c r="G2021" s="1"/>
      <c r="H2021" s="1"/>
      <c r="I2021" s="1"/>
      <c r="J2021" s="1"/>
      <c r="K2021" s="1"/>
      <c r="L2021" s="1"/>
      <c r="M2021" s="1"/>
      <c r="N2021" s="1"/>
      <c r="O2021" s="1"/>
      <c r="P2021" s="1"/>
      <c r="Q2021" s="1"/>
      <c r="R2021" s="1"/>
      <c r="S2021" s="1"/>
      <c r="T2021" s="1"/>
      <c r="U2021" s="1"/>
      <c r="V2021" s="1"/>
      <c r="W2021" s="1"/>
      <c r="X2021" s="1"/>
      <c r="Y2021" s="1"/>
      <c r="Z2021" s="1"/>
    </row>
    <row r="2022" ht="15.75" customHeight="1">
      <c r="A2022" s="2">
        <f>IFERROR(__xludf.DUMMYFUNCTION("""COMPUTED_VALUE"""),1010500.0)</f>
        <v>1010500</v>
      </c>
      <c r="B2022" s="2">
        <f>IFERROR(__xludf.DUMMYFUNCTION("""COMPUTED_VALUE"""),20210.0)</f>
        <v>20210</v>
      </c>
      <c r="C2022" s="66">
        <f>IFERROR(__xludf.DUMMYFUNCTION("""COMPUTED_VALUE"""),2.04121E10)</f>
        <v>20412100000</v>
      </c>
      <c r="D2022" s="1"/>
      <c r="E2022" s="1"/>
      <c r="F2022" s="1"/>
      <c r="G2022" s="1"/>
      <c r="H2022" s="1"/>
      <c r="I2022" s="1"/>
      <c r="J2022" s="1"/>
      <c r="K2022" s="1"/>
      <c r="L2022" s="1"/>
      <c r="M2022" s="1"/>
      <c r="N2022" s="1"/>
      <c r="O2022" s="1"/>
      <c r="P2022" s="1"/>
      <c r="Q2022" s="1"/>
      <c r="R2022" s="1"/>
      <c r="S2022" s="1"/>
      <c r="T2022" s="1"/>
      <c r="U2022" s="1"/>
      <c r="V2022" s="1"/>
      <c r="W2022" s="1"/>
      <c r="X2022" s="1"/>
      <c r="Y2022" s="1"/>
      <c r="Z2022" s="1"/>
    </row>
    <row r="2023" ht="15.75" customHeight="1">
      <c r="A2023" s="2">
        <f>IFERROR(__xludf.DUMMYFUNCTION("""COMPUTED_VALUE"""),1011000.0)</f>
        <v>1011000</v>
      </c>
      <c r="B2023" s="2">
        <f>IFERROR(__xludf.DUMMYFUNCTION("""COMPUTED_VALUE"""),20220.0)</f>
        <v>20220</v>
      </c>
      <c r="C2023" s="66">
        <f>IFERROR(__xludf.DUMMYFUNCTION("""COMPUTED_VALUE"""),2.043231E10)</f>
        <v>20432310000</v>
      </c>
      <c r="D2023" s="1"/>
      <c r="E2023" s="1"/>
      <c r="F2023" s="1"/>
      <c r="G2023" s="1"/>
      <c r="H2023" s="1"/>
      <c r="I2023" s="1"/>
      <c r="J2023" s="1"/>
      <c r="K2023" s="1"/>
      <c r="L2023" s="1"/>
      <c r="M2023" s="1"/>
      <c r="N2023" s="1"/>
      <c r="O2023" s="1"/>
      <c r="P2023" s="1"/>
      <c r="Q2023" s="1"/>
      <c r="R2023" s="1"/>
      <c r="S2023" s="1"/>
      <c r="T2023" s="1"/>
      <c r="U2023" s="1"/>
      <c r="V2023" s="1"/>
      <c r="W2023" s="1"/>
      <c r="X2023" s="1"/>
      <c r="Y2023" s="1"/>
      <c r="Z2023" s="1"/>
    </row>
    <row r="2024" ht="15.75" customHeight="1">
      <c r="A2024" s="2">
        <f>IFERROR(__xludf.DUMMYFUNCTION("""COMPUTED_VALUE"""),1011500.0)</f>
        <v>1011500</v>
      </c>
      <c r="B2024" s="2">
        <f>IFERROR(__xludf.DUMMYFUNCTION("""COMPUTED_VALUE"""),20230.0)</f>
        <v>20230</v>
      </c>
      <c r="C2024" s="66">
        <f>IFERROR(__xludf.DUMMYFUNCTION("""COMPUTED_VALUE"""),2.045253E10)</f>
        <v>20452530000</v>
      </c>
      <c r="D2024" s="1"/>
      <c r="E2024" s="1"/>
      <c r="F2024" s="1"/>
      <c r="G2024" s="1"/>
      <c r="H2024" s="1"/>
      <c r="I2024" s="1"/>
      <c r="J2024" s="1"/>
      <c r="K2024" s="1"/>
      <c r="L2024" s="1"/>
      <c r="M2024" s="1"/>
      <c r="N2024" s="1"/>
      <c r="O2024" s="1"/>
      <c r="P2024" s="1"/>
      <c r="Q2024" s="1"/>
      <c r="R2024" s="1"/>
      <c r="S2024" s="1"/>
      <c r="T2024" s="1"/>
      <c r="U2024" s="1"/>
      <c r="V2024" s="1"/>
      <c r="W2024" s="1"/>
      <c r="X2024" s="1"/>
      <c r="Y2024" s="1"/>
      <c r="Z2024" s="1"/>
    </row>
    <row r="2025" ht="15.75" customHeight="1">
      <c r="A2025" s="2">
        <f>IFERROR(__xludf.DUMMYFUNCTION("""COMPUTED_VALUE"""),1012000.0)</f>
        <v>1012000</v>
      </c>
      <c r="B2025" s="2">
        <f>IFERROR(__xludf.DUMMYFUNCTION("""COMPUTED_VALUE"""),20240.0)</f>
        <v>20240</v>
      </c>
      <c r="C2025" s="66">
        <f>IFERROR(__xludf.DUMMYFUNCTION("""COMPUTED_VALUE"""),2.047276E10)</f>
        <v>20472760000</v>
      </c>
      <c r="D2025" s="1"/>
      <c r="E2025" s="1"/>
      <c r="F2025" s="1"/>
      <c r="G2025" s="1"/>
      <c r="H2025" s="1"/>
      <c r="I2025" s="1"/>
      <c r="J2025" s="1"/>
      <c r="K2025" s="1"/>
      <c r="L2025" s="1"/>
      <c r="M2025" s="1"/>
      <c r="N2025" s="1"/>
      <c r="O2025" s="1"/>
      <c r="P2025" s="1"/>
      <c r="Q2025" s="1"/>
      <c r="R2025" s="1"/>
      <c r="S2025" s="1"/>
      <c r="T2025" s="1"/>
      <c r="U2025" s="1"/>
      <c r="V2025" s="1"/>
      <c r="W2025" s="1"/>
      <c r="X2025" s="1"/>
      <c r="Y2025" s="1"/>
      <c r="Z2025" s="1"/>
    </row>
    <row r="2026" ht="15.75" customHeight="1">
      <c r="A2026" s="2">
        <f>IFERROR(__xludf.DUMMYFUNCTION("""COMPUTED_VALUE"""),1012500.0)</f>
        <v>1012500</v>
      </c>
      <c r="B2026" s="2">
        <f>IFERROR(__xludf.DUMMYFUNCTION("""COMPUTED_VALUE"""),20250.0)</f>
        <v>20250</v>
      </c>
      <c r="C2026" s="66">
        <f>IFERROR(__xludf.DUMMYFUNCTION("""COMPUTED_VALUE"""),2.0493E10)</f>
        <v>20493000000</v>
      </c>
      <c r="D2026" s="1"/>
      <c r="E2026" s="1"/>
      <c r="F2026" s="1"/>
      <c r="G2026" s="1"/>
      <c r="H2026" s="1"/>
      <c r="I2026" s="1"/>
      <c r="J2026" s="1"/>
      <c r="K2026" s="1"/>
      <c r="L2026" s="1"/>
      <c r="M2026" s="1"/>
      <c r="N2026" s="1"/>
      <c r="O2026" s="1"/>
      <c r="P2026" s="1"/>
      <c r="Q2026" s="1"/>
      <c r="R2026" s="1"/>
      <c r="S2026" s="1"/>
      <c r="T2026" s="1"/>
      <c r="U2026" s="1"/>
      <c r="V2026" s="1"/>
      <c r="W2026" s="1"/>
      <c r="X2026" s="1"/>
      <c r="Y2026" s="1"/>
      <c r="Z2026" s="1"/>
    </row>
    <row r="2027" ht="15.75" customHeight="1">
      <c r="A2027" s="2">
        <f>IFERROR(__xludf.DUMMYFUNCTION("""COMPUTED_VALUE"""),1013000.0)</f>
        <v>1013000</v>
      </c>
      <c r="B2027" s="2">
        <f>IFERROR(__xludf.DUMMYFUNCTION("""COMPUTED_VALUE"""),20260.0)</f>
        <v>20260</v>
      </c>
      <c r="C2027" s="66">
        <f>IFERROR(__xludf.DUMMYFUNCTION("""COMPUTED_VALUE"""),2.051325E10)</f>
        <v>20513250000</v>
      </c>
      <c r="D2027" s="1"/>
      <c r="E2027" s="1"/>
      <c r="F2027" s="1"/>
      <c r="G2027" s="1"/>
      <c r="H2027" s="1"/>
      <c r="I2027" s="1"/>
      <c r="J2027" s="1"/>
      <c r="K2027" s="1"/>
      <c r="L2027" s="1"/>
      <c r="M2027" s="1"/>
      <c r="N2027" s="1"/>
      <c r="O2027" s="1"/>
      <c r="P2027" s="1"/>
      <c r="Q2027" s="1"/>
      <c r="R2027" s="1"/>
      <c r="S2027" s="1"/>
      <c r="T2027" s="1"/>
      <c r="U2027" s="1"/>
      <c r="V2027" s="1"/>
      <c r="W2027" s="1"/>
      <c r="X2027" s="1"/>
      <c r="Y2027" s="1"/>
      <c r="Z2027" s="1"/>
    </row>
    <row r="2028" ht="15.75" customHeight="1">
      <c r="A2028" s="2">
        <f>IFERROR(__xludf.DUMMYFUNCTION("""COMPUTED_VALUE"""),1013500.0)</f>
        <v>1013500</v>
      </c>
      <c r="B2028" s="2">
        <f>IFERROR(__xludf.DUMMYFUNCTION("""COMPUTED_VALUE"""),20270.0)</f>
        <v>20270</v>
      </c>
      <c r="C2028" s="66">
        <f>IFERROR(__xludf.DUMMYFUNCTION("""COMPUTED_VALUE"""),2.053351E10)</f>
        <v>20533510000</v>
      </c>
      <c r="D2028" s="1"/>
      <c r="E2028" s="1"/>
      <c r="F2028" s="1"/>
      <c r="G2028" s="1"/>
      <c r="H2028" s="1"/>
      <c r="I2028" s="1"/>
      <c r="J2028" s="1"/>
      <c r="K2028" s="1"/>
      <c r="L2028" s="1"/>
      <c r="M2028" s="1"/>
      <c r="N2028" s="1"/>
      <c r="O2028" s="1"/>
      <c r="P2028" s="1"/>
      <c r="Q2028" s="1"/>
      <c r="R2028" s="1"/>
      <c r="S2028" s="1"/>
      <c r="T2028" s="1"/>
      <c r="U2028" s="1"/>
      <c r="V2028" s="1"/>
      <c r="W2028" s="1"/>
      <c r="X2028" s="1"/>
      <c r="Y2028" s="1"/>
      <c r="Z2028" s="1"/>
    </row>
    <row r="2029" ht="15.75" customHeight="1">
      <c r="A2029" s="2">
        <f>IFERROR(__xludf.DUMMYFUNCTION("""COMPUTED_VALUE"""),1014000.0)</f>
        <v>1014000</v>
      </c>
      <c r="B2029" s="2">
        <f>IFERROR(__xludf.DUMMYFUNCTION("""COMPUTED_VALUE"""),20280.0)</f>
        <v>20280</v>
      </c>
      <c r="C2029" s="66">
        <f>IFERROR(__xludf.DUMMYFUNCTION("""COMPUTED_VALUE"""),2.055378E10)</f>
        <v>20553780000</v>
      </c>
      <c r="D2029" s="1"/>
      <c r="E2029" s="1"/>
      <c r="F2029" s="1"/>
      <c r="G2029" s="1"/>
      <c r="H2029" s="1"/>
      <c r="I2029" s="1"/>
      <c r="J2029" s="1"/>
      <c r="K2029" s="1"/>
      <c r="L2029" s="1"/>
      <c r="M2029" s="1"/>
      <c r="N2029" s="1"/>
      <c r="O2029" s="1"/>
      <c r="P2029" s="1"/>
      <c r="Q2029" s="1"/>
      <c r="R2029" s="1"/>
      <c r="S2029" s="1"/>
      <c r="T2029" s="1"/>
      <c r="U2029" s="1"/>
      <c r="V2029" s="1"/>
      <c r="W2029" s="1"/>
      <c r="X2029" s="1"/>
      <c r="Y2029" s="1"/>
      <c r="Z2029" s="1"/>
    </row>
    <row r="2030" ht="15.75" customHeight="1">
      <c r="A2030" s="2">
        <f>IFERROR(__xludf.DUMMYFUNCTION("""COMPUTED_VALUE"""),1014500.0)</f>
        <v>1014500</v>
      </c>
      <c r="B2030" s="2">
        <f>IFERROR(__xludf.DUMMYFUNCTION("""COMPUTED_VALUE"""),20290.0)</f>
        <v>20290</v>
      </c>
      <c r="C2030" s="66">
        <f>IFERROR(__xludf.DUMMYFUNCTION("""COMPUTED_VALUE"""),2.057406E10)</f>
        <v>20574060000</v>
      </c>
      <c r="D2030" s="1"/>
      <c r="E2030" s="1"/>
      <c r="F2030" s="1"/>
      <c r="G2030" s="1"/>
      <c r="H2030" s="1"/>
      <c r="I2030" s="1"/>
      <c r="J2030" s="1"/>
      <c r="K2030" s="1"/>
      <c r="L2030" s="1"/>
      <c r="M2030" s="1"/>
      <c r="N2030" s="1"/>
      <c r="O2030" s="1"/>
      <c r="P2030" s="1"/>
      <c r="Q2030" s="1"/>
      <c r="R2030" s="1"/>
      <c r="S2030" s="1"/>
      <c r="T2030" s="1"/>
      <c r="U2030" s="1"/>
      <c r="V2030" s="1"/>
      <c r="W2030" s="1"/>
      <c r="X2030" s="1"/>
      <c r="Y2030" s="1"/>
      <c r="Z2030" s="1"/>
    </row>
    <row r="2031" ht="15.75" customHeight="1">
      <c r="A2031" s="2">
        <f>IFERROR(__xludf.DUMMYFUNCTION("""COMPUTED_VALUE"""),1015000.0)</f>
        <v>1015000</v>
      </c>
      <c r="B2031" s="2">
        <f>IFERROR(__xludf.DUMMYFUNCTION("""COMPUTED_VALUE"""),20300.0)</f>
        <v>20300</v>
      </c>
      <c r="C2031" s="66">
        <f>IFERROR(__xludf.DUMMYFUNCTION("""COMPUTED_VALUE"""),2.059435E10)</f>
        <v>20594350000</v>
      </c>
      <c r="D2031" s="1"/>
      <c r="E2031" s="1"/>
      <c r="F2031" s="1"/>
      <c r="G2031" s="1"/>
      <c r="H2031" s="1"/>
      <c r="I2031" s="1"/>
      <c r="J2031" s="1"/>
      <c r="K2031" s="1"/>
      <c r="L2031" s="1"/>
      <c r="M2031" s="1"/>
      <c r="N2031" s="1"/>
      <c r="O2031" s="1"/>
      <c r="P2031" s="1"/>
      <c r="Q2031" s="1"/>
      <c r="R2031" s="1"/>
      <c r="S2031" s="1"/>
      <c r="T2031" s="1"/>
      <c r="U2031" s="1"/>
      <c r="V2031" s="1"/>
      <c r="W2031" s="1"/>
      <c r="X2031" s="1"/>
      <c r="Y2031" s="1"/>
      <c r="Z2031" s="1"/>
    </row>
    <row r="2032" ht="15.75" customHeight="1">
      <c r="A2032" s="2">
        <f>IFERROR(__xludf.DUMMYFUNCTION("""COMPUTED_VALUE"""),1015500.0)</f>
        <v>1015500</v>
      </c>
      <c r="B2032" s="2">
        <f>IFERROR(__xludf.DUMMYFUNCTION("""COMPUTED_VALUE"""),20310.0)</f>
        <v>20310</v>
      </c>
      <c r="C2032" s="66">
        <f>IFERROR(__xludf.DUMMYFUNCTION("""COMPUTED_VALUE"""),2.061465E10)</f>
        <v>20614650000</v>
      </c>
      <c r="D2032" s="1"/>
      <c r="E2032" s="1"/>
      <c r="F2032" s="1"/>
      <c r="G2032" s="1"/>
      <c r="H2032" s="1"/>
      <c r="I2032" s="1"/>
      <c r="J2032" s="1"/>
      <c r="K2032" s="1"/>
      <c r="L2032" s="1"/>
      <c r="M2032" s="1"/>
      <c r="N2032" s="1"/>
      <c r="O2032" s="1"/>
      <c r="P2032" s="1"/>
      <c r="Q2032" s="1"/>
      <c r="R2032" s="1"/>
      <c r="S2032" s="1"/>
      <c r="T2032" s="1"/>
      <c r="U2032" s="1"/>
      <c r="V2032" s="1"/>
      <c r="W2032" s="1"/>
      <c r="X2032" s="1"/>
      <c r="Y2032" s="1"/>
      <c r="Z2032" s="1"/>
    </row>
    <row r="2033" ht="15.75" customHeight="1">
      <c r="A2033" s="2">
        <f>IFERROR(__xludf.DUMMYFUNCTION("""COMPUTED_VALUE"""),1016000.0)</f>
        <v>1016000</v>
      </c>
      <c r="B2033" s="2">
        <f>IFERROR(__xludf.DUMMYFUNCTION("""COMPUTED_VALUE"""),20320.0)</f>
        <v>20320</v>
      </c>
      <c r="C2033" s="66">
        <f>IFERROR(__xludf.DUMMYFUNCTION("""COMPUTED_VALUE"""),2.063496E10)</f>
        <v>20634960000</v>
      </c>
      <c r="D2033" s="1"/>
      <c r="E2033" s="1"/>
      <c r="F2033" s="1"/>
      <c r="G2033" s="1"/>
      <c r="H2033" s="1"/>
      <c r="I2033" s="1"/>
      <c r="J2033" s="1"/>
      <c r="K2033" s="1"/>
      <c r="L2033" s="1"/>
      <c r="M2033" s="1"/>
      <c r="N2033" s="1"/>
      <c r="O2033" s="1"/>
      <c r="P2033" s="1"/>
      <c r="Q2033" s="1"/>
      <c r="R2033" s="1"/>
      <c r="S2033" s="1"/>
      <c r="T2033" s="1"/>
      <c r="U2033" s="1"/>
      <c r="V2033" s="1"/>
      <c r="W2033" s="1"/>
      <c r="X2033" s="1"/>
      <c r="Y2033" s="1"/>
      <c r="Z2033" s="1"/>
    </row>
    <row r="2034" ht="15.75" customHeight="1">
      <c r="A2034" s="2">
        <f>IFERROR(__xludf.DUMMYFUNCTION("""COMPUTED_VALUE"""),1016500.0)</f>
        <v>1016500</v>
      </c>
      <c r="B2034" s="2">
        <f>IFERROR(__xludf.DUMMYFUNCTION("""COMPUTED_VALUE"""),20330.0)</f>
        <v>20330</v>
      </c>
      <c r="C2034" s="66">
        <f>IFERROR(__xludf.DUMMYFUNCTION("""COMPUTED_VALUE"""),2.065528E10)</f>
        <v>20655280000</v>
      </c>
      <c r="D2034" s="1"/>
      <c r="E2034" s="1"/>
      <c r="F2034" s="1"/>
      <c r="G2034" s="1"/>
      <c r="H2034" s="1"/>
      <c r="I2034" s="1"/>
      <c r="J2034" s="1"/>
      <c r="K2034" s="1"/>
      <c r="L2034" s="1"/>
      <c r="M2034" s="1"/>
      <c r="N2034" s="1"/>
      <c r="O2034" s="1"/>
      <c r="P2034" s="1"/>
      <c r="Q2034" s="1"/>
      <c r="R2034" s="1"/>
      <c r="S2034" s="1"/>
      <c r="T2034" s="1"/>
      <c r="U2034" s="1"/>
      <c r="V2034" s="1"/>
      <c r="W2034" s="1"/>
      <c r="X2034" s="1"/>
      <c r="Y2034" s="1"/>
      <c r="Z2034" s="1"/>
    </row>
    <row r="2035" ht="15.75" customHeight="1">
      <c r="A2035" s="2">
        <f>IFERROR(__xludf.DUMMYFUNCTION("""COMPUTED_VALUE"""),1017000.0)</f>
        <v>1017000</v>
      </c>
      <c r="B2035" s="2">
        <f>IFERROR(__xludf.DUMMYFUNCTION("""COMPUTED_VALUE"""),20340.0)</f>
        <v>20340</v>
      </c>
      <c r="C2035" s="66">
        <f>IFERROR(__xludf.DUMMYFUNCTION("""COMPUTED_VALUE"""),2.067561E10)</f>
        <v>20675610000</v>
      </c>
      <c r="D2035" s="1"/>
      <c r="E2035" s="1"/>
      <c r="F2035" s="1"/>
      <c r="G2035" s="1"/>
      <c r="H2035" s="1"/>
      <c r="I2035" s="1"/>
      <c r="J2035" s="1"/>
      <c r="K2035" s="1"/>
      <c r="L2035" s="1"/>
      <c r="M2035" s="1"/>
      <c r="N2035" s="1"/>
      <c r="O2035" s="1"/>
      <c r="P2035" s="1"/>
      <c r="Q2035" s="1"/>
      <c r="R2035" s="1"/>
      <c r="S2035" s="1"/>
      <c r="T2035" s="1"/>
      <c r="U2035" s="1"/>
      <c r="V2035" s="1"/>
      <c r="W2035" s="1"/>
      <c r="X2035" s="1"/>
      <c r="Y2035" s="1"/>
      <c r="Z2035" s="1"/>
    </row>
    <row r="2036" ht="15.75" customHeight="1">
      <c r="A2036" s="2">
        <f>IFERROR(__xludf.DUMMYFUNCTION("""COMPUTED_VALUE"""),1017500.0)</f>
        <v>1017500</v>
      </c>
      <c r="B2036" s="2">
        <f>IFERROR(__xludf.DUMMYFUNCTION("""COMPUTED_VALUE"""),20350.0)</f>
        <v>20350</v>
      </c>
      <c r="C2036" s="66">
        <f>IFERROR(__xludf.DUMMYFUNCTION("""COMPUTED_VALUE"""),2.069595E10)</f>
        <v>20695950000</v>
      </c>
      <c r="D2036" s="1"/>
      <c r="E2036" s="1"/>
      <c r="F2036" s="1"/>
      <c r="G2036" s="1"/>
      <c r="H2036" s="1"/>
      <c r="I2036" s="1"/>
      <c r="J2036" s="1"/>
      <c r="K2036" s="1"/>
      <c r="L2036" s="1"/>
      <c r="M2036" s="1"/>
      <c r="N2036" s="1"/>
      <c r="O2036" s="1"/>
      <c r="P2036" s="1"/>
      <c r="Q2036" s="1"/>
      <c r="R2036" s="1"/>
      <c r="S2036" s="1"/>
      <c r="T2036" s="1"/>
      <c r="U2036" s="1"/>
      <c r="V2036" s="1"/>
      <c r="W2036" s="1"/>
      <c r="X2036" s="1"/>
      <c r="Y2036" s="1"/>
      <c r="Z2036" s="1"/>
    </row>
    <row r="2037" ht="15.75" customHeight="1">
      <c r="A2037" s="2">
        <f>IFERROR(__xludf.DUMMYFUNCTION("""COMPUTED_VALUE"""),1018000.0)</f>
        <v>1018000</v>
      </c>
      <c r="B2037" s="2">
        <f>IFERROR(__xludf.DUMMYFUNCTION("""COMPUTED_VALUE"""),20360.0)</f>
        <v>20360</v>
      </c>
      <c r="C2037" s="66">
        <f>IFERROR(__xludf.DUMMYFUNCTION("""COMPUTED_VALUE"""),2.07163E10)</f>
        <v>20716300000</v>
      </c>
      <c r="D2037" s="1"/>
      <c r="E2037" s="1"/>
      <c r="F2037" s="1"/>
      <c r="G2037" s="1"/>
      <c r="H2037" s="1"/>
      <c r="I2037" s="1"/>
      <c r="J2037" s="1"/>
      <c r="K2037" s="1"/>
      <c r="L2037" s="1"/>
      <c r="M2037" s="1"/>
      <c r="N2037" s="1"/>
      <c r="O2037" s="1"/>
      <c r="P2037" s="1"/>
      <c r="Q2037" s="1"/>
      <c r="R2037" s="1"/>
      <c r="S2037" s="1"/>
      <c r="T2037" s="1"/>
      <c r="U2037" s="1"/>
      <c r="V2037" s="1"/>
      <c r="W2037" s="1"/>
      <c r="X2037" s="1"/>
      <c r="Y2037" s="1"/>
      <c r="Z2037" s="1"/>
    </row>
    <row r="2038" ht="15.75" customHeight="1">
      <c r="A2038" s="2">
        <f>IFERROR(__xludf.DUMMYFUNCTION("""COMPUTED_VALUE"""),1018500.0)</f>
        <v>1018500</v>
      </c>
      <c r="B2038" s="2">
        <f>IFERROR(__xludf.DUMMYFUNCTION("""COMPUTED_VALUE"""),20370.0)</f>
        <v>20370</v>
      </c>
      <c r="C2038" s="66">
        <f>IFERROR(__xludf.DUMMYFUNCTION("""COMPUTED_VALUE"""),2.073666E10)</f>
        <v>20736660000</v>
      </c>
      <c r="D2038" s="1"/>
      <c r="E2038" s="1"/>
      <c r="F2038" s="1"/>
      <c r="G2038" s="1"/>
      <c r="H2038" s="1"/>
      <c r="I2038" s="1"/>
      <c r="J2038" s="1"/>
      <c r="K2038" s="1"/>
      <c r="L2038" s="1"/>
      <c r="M2038" s="1"/>
      <c r="N2038" s="1"/>
      <c r="O2038" s="1"/>
      <c r="P2038" s="1"/>
      <c r="Q2038" s="1"/>
      <c r="R2038" s="1"/>
      <c r="S2038" s="1"/>
      <c r="T2038" s="1"/>
      <c r="U2038" s="1"/>
      <c r="V2038" s="1"/>
      <c r="W2038" s="1"/>
      <c r="X2038" s="1"/>
      <c r="Y2038" s="1"/>
      <c r="Z2038" s="1"/>
    </row>
    <row r="2039" ht="15.75" customHeight="1">
      <c r="A2039" s="2">
        <f>IFERROR(__xludf.DUMMYFUNCTION("""COMPUTED_VALUE"""),1019000.0)</f>
        <v>1019000</v>
      </c>
      <c r="B2039" s="2">
        <f>IFERROR(__xludf.DUMMYFUNCTION("""COMPUTED_VALUE"""),20380.0)</f>
        <v>20380</v>
      </c>
      <c r="C2039" s="66">
        <f>IFERROR(__xludf.DUMMYFUNCTION("""COMPUTED_VALUE"""),2.075703E10)</f>
        <v>20757030000</v>
      </c>
      <c r="D2039" s="1"/>
      <c r="E2039" s="1"/>
      <c r="F2039" s="1"/>
      <c r="G2039" s="1"/>
      <c r="H2039" s="1"/>
      <c r="I2039" s="1"/>
      <c r="J2039" s="1"/>
      <c r="K2039" s="1"/>
      <c r="L2039" s="1"/>
      <c r="M2039" s="1"/>
      <c r="N2039" s="1"/>
      <c r="O2039" s="1"/>
      <c r="P2039" s="1"/>
      <c r="Q2039" s="1"/>
      <c r="R2039" s="1"/>
      <c r="S2039" s="1"/>
      <c r="T2039" s="1"/>
      <c r="U2039" s="1"/>
      <c r="V2039" s="1"/>
      <c r="W2039" s="1"/>
      <c r="X2039" s="1"/>
      <c r="Y2039" s="1"/>
      <c r="Z2039" s="1"/>
    </row>
    <row r="2040" ht="15.75" customHeight="1">
      <c r="A2040" s="2">
        <f>IFERROR(__xludf.DUMMYFUNCTION("""COMPUTED_VALUE"""),1019500.0)</f>
        <v>1019500</v>
      </c>
      <c r="B2040" s="2">
        <f>IFERROR(__xludf.DUMMYFUNCTION("""COMPUTED_VALUE"""),20390.0)</f>
        <v>20390</v>
      </c>
      <c r="C2040" s="66">
        <f>IFERROR(__xludf.DUMMYFUNCTION("""COMPUTED_VALUE"""),2.077741E10)</f>
        <v>20777410000</v>
      </c>
      <c r="D2040" s="1"/>
      <c r="E2040" s="1"/>
      <c r="F2040" s="1"/>
      <c r="G2040" s="1"/>
      <c r="H2040" s="1"/>
      <c r="I2040" s="1"/>
      <c r="J2040" s="1"/>
      <c r="K2040" s="1"/>
      <c r="L2040" s="1"/>
      <c r="M2040" s="1"/>
      <c r="N2040" s="1"/>
      <c r="O2040" s="1"/>
      <c r="P2040" s="1"/>
      <c r="Q2040" s="1"/>
      <c r="R2040" s="1"/>
      <c r="S2040" s="1"/>
      <c r="T2040" s="1"/>
      <c r="U2040" s="1"/>
      <c r="V2040" s="1"/>
      <c r="W2040" s="1"/>
      <c r="X2040" s="1"/>
      <c r="Y2040" s="1"/>
      <c r="Z2040" s="1"/>
    </row>
    <row r="2041" ht="15.75" customHeight="1">
      <c r="A2041" s="2">
        <f>IFERROR(__xludf.DUMMYFUNCTION("""COMPUTED_VALUE"""),1020000.0)</f>
        <v>1020000</v>
      </c>
      <c r="B2041" s="2">
        <f>IFERROR(__xludf.DUMMYFUNCTION("""COMPUTED_VALUE"""),20400.0)</f>
        <v>20400</v>
      </c>
      <c r="C2041" s="66">
        <f>IFERROR(__xludf.DUMMYFUNCTION("""COMPUTED_VALUE"""),2.07978E10)</f>
        <v>20797800000</v>
      </c>
      <c r="D2041" s="1"/>
      <c r="E2041" s="1"/>
      <c r="F2041" s="1"/>
      <c r="G2041" s="1"/>
      <c r="H2041" s="1"/>
      <c r="I2041" s="1"/>
      <c r="J2041" s="1"/>
      <c r="K2041" s="1"/>
      <c r="L2041" s="1"/>
      <c r="M2041" s="1"/>
      <c r="N2041" s="1"/>
      <c r="O2041" s="1"/>
      <c r="P2041" s="1"/>
      <c r="Q2041" s="1"/>
      <c r="R2041" s="1"/>
      <c r="S2041" s="1"/>
      <c r="T2041" s="1"/>
      <c r="U2041" s="1"/>
      <c r="V2041" s="1"/>
      <c r="W2041" s="1"/>
      <c r="X2041" s="1"/>
      <c r="Y2041" s="1"/>
      <c r="Z2041" s="1"/>
    </row>
    <row r="2042" ht="15.75" customHeight="1">
      <c r="A2042" s="2">
        <f>IFERROR(__xludf.DUMMYFUNCTION("""COMPUTED_VALUE"""),1020500.0)</f>
        <v>1020500</v>
      </c>
      <c r="B2042" s="2">
        <f>IFERROR(__xludf.DUMMYFUNCTION("""COMPUTED_VALUE"""),20410.0)</f>
        <v>20410</v>
      </c>
      <c r="C2042" s="66">
        <f>IFERROR(__xludf.DUMMYFUNCTION("""COMPUTED_VALUE"""),2.08182E10)</f>
        <v>20818200000</v>
      </c>
      <c r="D2042" s="1"/>
      <c r="E2042" s="1"/>
      <c r="F2042" s="1"/>
      <c r="G2042" s="1"/>
      <c r="H2042" s="1"/>
      <c r="I2042" s="1"/>
      <c r="J2042" s="1"/>
      <c r="K2042" s="1"/>
      <c r="L2042" s="1"/>
      <c r="M2042" s="1"/>
      <c r="N2042" s="1"/>
      <c r="O2042" s="1"/>
      <c r="P2042" s="1"/>
      <c r="Q2042" s="1"/>
      <c r="R2042" s="1"/>
      <c r="S2042" s="1"/>
      <c r="T2042" s="1"/>
      <c r="U2042" s="1"/>
      <c r="V2042" s="1"/>
      <c r="W2042" s="1"/>
      <c r="X2042" s="1"/>
      <c r="Y2042" s="1"/>
      <c r="Z2042" s="1"/>
    </row>
    <row r="2043" ht="15.75" customHeight="1">
      <c r="A2043" s="2">
        <f>IFERROR(__xludf.DUMMYFUNCTION("""COMPUTED_VALUE"""),1021000.0)</f>
        <v>1021000</v>
      </c>
      <c r="B2043" s="2">
        <f>IFERROR(__xludf.DUMMYFUNCTION("""COMPUTED_VALUE"""),20420.0)</f>
        <v>20420</v>
      </c>
      <c r="C2043" s="66">
        <f>IFERROR(__xludf.DUMMYFUNCTION("""COMPUTED_VALUE"""),2.083861E10)</f>
        <v>20838610000</v>
      </c>
      <c r="D2043" s="1"/>
      <c r="E2043" s="1"/>
      <c r="F2043" s="1"/>
      <c r="G2043" s="1"/>
      <c r="H2043" s="1"/>
      <c r="I2043" s="1"/>
      <c r="J2043" s="1"/>
      <c r="K2043" s="1"/>
      <c r="L2043" s="1"/>
      <c r="M2043" s="1"/>
      <c r="N2043" s="1"/>
      <c r="O2043" s="1"/>
      <c r="P2043" s="1"/>
      <c r="Q2043" s="1"/>
      <c r="R2043" s="1"/>
      <c r="S2043" s="1"/>
      <c r="T2043" s="1"/>
      <c r="U2043" s="1"/>
      <c r="V2043" s="1"/>
      <c r="W2043" s="1"/>
      <c r="X2043" s="1"/>
      <c r="Y2043" s="1"/>
      <c r="Z2043" s="1"/>
    </row>
    <row r="2044" ht="15.75" customHeight="1">
      <c r="A2044" s="2">
        <f>IFERROR(__xludf.DUMMYFUNCTION("""COMPUTED_VALUE"""),1021500.0)</f>
        <v>1021500</v>
      </c>
      <c r="B2044" s="2">
        <f>IFERROR(__xludf.DUMMYFUNCTION("""COMPUTED_VALUE"""),20430.0)</f>
        <v>20430</v>
      </c>
      <c r="C2044" s="66">
        <f>IFERROR(__xludf.DUMMYFUNCTION("""COMPUTED_VALUE"""),2.085903E10)</f>
        <v>20859030000</v>
      </c>
      <c r="D2044" s="1"/>
      <c r="E2044" s="1"/>
      <c r="F2044" s="1"/>
      <c r="G2044" s="1"/>
      <c r="H2044" s="1"/>
      <c r="I2044" s="1"/>
      <c r="J2044" s="1"/>
      <c r="K2044" s="1"/>
      <c r="L2044" s="1"/>
      <c r="M2044" s="1"/>
      <c r="N2044" s="1"/>
      <c r="O2044" s="1"/>
      <c r="P2044" s="1"/>
      <c r="Q2044" s="1"/>
      <c r="R2044" s="1"/>
      <c r="S2044" s="1"/>
      <c r="T2044" s="1"/>
      <c r="U2044" s="1"/>
      <c r="V2044" s="1"/>
      <c r="W2044" s="1"/>
      <c r="X2044" s="1"/>
      <c r="Y2044" s="1"/>
      <c r="Z2044" s="1"/>
    </row>
    <row r="2045" ht="15.75" customHeight="1">
      <c r="A2045" s="2">
        <f>IFERROR(__xludf.DUMMYFUNCTION("""COMPUTED_VALUE"""),1022000.0)</f>
        <v>1022000</v>
      </c>
      <c r="B2045" s="2">
        <f>IFERROR(__xludf.DUMMYFUNCTION("""COMPUTED_VALUE"""),20440.0)</f>
        <v>20440</v>
      </c>
      <c r="C2045" s="66">
        <f>IFERROR(__xludf.DUMMYFUNCTION("""COMPUTED_VALUE"""),2.087946E10)</f>
        <v>20879460000</v>
      </c>
      <c r="D2045" s="1"/>
      <c r="E2045" s="1"/>
      <c r="F2045" s="1"/>
      <c r="G2045" s="1"/>
      <c r="H2045" s="1"/>
      <c r="I2045" s="1"/>
      <c r="J2045" s="1"/>
      <c r="K2045" s="1"/>
      <c r="L2045" s="1"/>
      <c r="M2045" s="1"/>
      <c r="N2045" s="1"/>
      <c r="O2045" s="1"/>
      <c r="P2045" s="1"/>
      <c r="Q2045" s="1"/>
      <c r="R2045" s="1"/>
      <c r="S2045" s="1"/>
      <c r="T2045" s="1"/>
      <c r="U2045" s="1"/>
      <c r="V2045" s="1"/>
      <c r="W2045" s="1"/>
      <c r="X2045" s="1"/>
      <c r="Y2045" s="1"/>
      <c r="Z2045" s="1"/>
    </row>
    <row r="2046" ht="15.75" customHeight="1">
      <c r="A2046" s="2">
        <f>IFERROR(__xludf.DUMMYFUNCTION("""COMPUTED_VALUE"""),1022500.0)</f>
        <v>1022500</v>
      </c>
      <c r="B2046" s="2">
        <f>IFERROR(__xludf.DUMMYFUNCTION("""COMPUTED_VALUE"""),20450.0)</f>
        <v>20450</v>
      </c>
      <c r="C2046" s="66">
        <f>IFERROR(__xludf.DUMMYFUNCTION("""COMPUTED_VALUE"""),2.08999E10)</f>
        <v>20899900000</v>
      </c>
      <c r="D2046" s="1"/>
      <c r="E2046" s="1"/>
      <c r="F2046" s="1"/>
      <c r="G2046" s="1"/>
      <c r="H2046" s="1"/>
      <c r="I2046" s="1"/>
      <c r="J2046" s="1"/>
      <c r="K2046" s="1"/>
      <c r="L2046" s="1"/>
      <c r="M2046" s="1"/>
      <c r="N2046" s="1"/>
      <c r="O2046" s="1"/>
      <c r="P2046" s="1"/>
      <c r="Q2046" s="1"/>
      <c r="R2046" s="1"/>
      <c r="S2046" s="1"/>
      <c r="T2046" s="1"/>
      <c r="U2046" s="1"/>
      <c r="V2046" s="1"/>
      <c r="W2046" s="1"/>
      <c r="X2046" s="1"/>
      <c r="Y2046" s="1"/>
      <c r="Z2046" s="1"/>
    </row>
    <row r="2047" ht="15.75" customHeight="1">
      <c r="A2047" s="2">
        <f>IFERROR(__xludf.DUMMYFUNCTION("""COMPUTED_VALUE"""),1023000.0)</f>
        <v>1023000</v>
      </c>
      <c r="B2047" s="2">
        <f>IFERROR(__xludf.DUMMYFUNCTION("""COMPUTED_VALUE"""),20460.0)</f>
        <v>20460</v>
      </c>
      <c r="C2047" s="66">
        <f>IFERROR(__xludf.DUMMYFUNCTION("""COMPUTED_VALUE"""),2.092035E10)</f>
        <v>20920350000</v>
      </c>
      <c r="D2047" s="1"/>
      <c r="E2047" s="1"/>
      <c r="F2047" s="1"/>
      <c r="G2047" s="1"/>
      <c r="H2047" s="1"/>
      <c r="I2047" s="1"/>
      <c r="J2047" s="1"/>
      <c r="K2047" s="1"/>
      <c r="L2047" s="1"/>
      <c r="M2047" s="1"/>
      <c r="N2047" s="1"/>
      <c r="O2047" s="1"/>
      <c r="P2047" s="1"/>
      <c r="Q2047" s="1"/>
      <c r="R2047" s="1"/>
      <c r="S2047" s="1"/>
      <c r="T2047" s="1"/>
      <c r="U2047" s="1"/>
      <c r="V2047" s="1"/>
      <c r="W2047" s="1"/>
      <c r="X2047" s="1"/>
      <c r="Y2047" s="1"/>
      <c r="Z2047" s="1"/>
    </row>
    <row r="2048" ht="15.75" customHeight="1">
      <c r="A2048" s="2">
        <f>IFERROR(__xludf.DUMMYFUNCTION("""COMPUTED_VALUE"""),1023500.0)</f>
        <v>1023500</v>
      </c>
      <c r="B2048" s="2">
        <f>IFERROR(__xludf.DUMMYFUNCTION("""COMPUTED_VALUE"""),20470.0)</f>
        <v>20470</v>
      </c>
      <c r="C2048" s="66">
        <f>IFERROR(__xludf.DUMMYFUNCTION("""COMPUTED_VALUE"""),2.094081E10)</f>
        <v>20940810000</v>
      </c>
      <c r="D2048" s="1"/>
      <c r="E2048" s="1"/>
      <c r="F2048" s="1"/>
      <c r="G2048" s="1"/>
      <c r="H2048" s="1"/>
      <c r="I2048" s="1"/>
      <c r="J2048" s="1"/>
      <c r="K2048" s="1"/>
      <c r="L2048" s="1"/>
      <c r="M2048" s="1"/>
      <c r="N2048" s="1"/>
      <c r="O2048" s="1"/>
      <c r="P2048" s="1"/>
      <c r="Q2048" s="1"/>
      <c r="R2048" s="1"/>
      <c r="S2048" s="1"/>
      <c r="T2048" s="1"/>
      <c r="U2048" s="1"/>
      <c r="V2048" s="1"/>
      <c r="W2048" s="1"/>
      <c r="X2048" s="1"/>
      <c r="Y2048" s="1"/>
      <c r="Z2048" s="1"/>
    </row>
    <row r="2049" ht="15.75" customHeight="1">
      <c r="A2049" s="2">
        <f>IFERROR(__xludf.DUMMYFUNCTION("""COMPUTED_VALUE"""),1024000.0)</f>
        <v>1024000</v>
      </c>
      <c r="B2049" s="2">
        <f>IFERROR(__xludf.DUMMYFUNCTION("""COMPUTED_VALUE"""),20480.0)</f>
        <v>20480</v>
      </c>
      <c r="C2049" s="66">
        <f>IFERROR(__xludf.DUMMYFUNCTION("""COMPUTED_VALUE"""),2.096128E10)</f>
        <v>20961280000</v>
      </c>
      <c r="D2049" s="1"/>
      <c r="E2049" s="1"/>
      <c r="F2049" s="1"/>
      <c r="G2049" s="1"/>
      <c r="H2049" s="1"/>
      <c r="I2049" s="1"/>
      <c r="J2049" s="1"/>
      <c r="K2049" s="1"/>
      <c r="L2049" s="1"/>
      <c r="M2049" s="1"/>
      <c r="N2049" s="1"/>
      <c r="O2049" s="1"/>
      <c r="P2049" s="1"/>
      <c r="Q2049" s="1"/>
      <c r="R2049" s="1"/>
      <c r="S2049" s="1"/>
      <c r="T2049" s="1"/>
      <c r="U2049" s="1"/>
      <c r="V2049" s="1"/>
      <c r="W2049" s="1"/>
      <c r="X2049" s="1"/>
      <c r="Y2049" s="1"/>
      <c r="Z2049" s="1"/>
    </row>
    <row r="2050" ht="15.75" customHeight="1">
      <c r="A2050" s="2">
        <f>IFERROR(__xludf.DUMMYFUNCTION("""COMPUTED_VALUE"""),1024500.0)</f>
        <v>1024500</v>
      </c>
      <c r="B2050" s="2">
        <f>IFERROR(__xludf.DUMMYFUNCTION("""COMPUTED_VALUE"""),20490.0)</f>
        <v>20490</v>
      </c>
      <c r="C2050" s="66">
        <f>IFERROR(__xludf.DUMMYFUNCTION("""COMPUTED_VALUE"""),2.098176E10)</f>
        <v>20981760000</v>
      </c>
      <c r="D2050" s="1"/>
      <c r="E2050" s="1"/>
      <c r="F2050" s="1"/>
      <c r="G2050" s="1"/>
      <c r="H2050" s="1"/>
      <c r="I2050" s="1"/>
      <c r="J2050" s="1"/>
      <c r="K2050" s="1"/>
      <c r="L2050" s="1"/>
      <c r="M2050" s="1"/>
      <c r="N2050" s="1"/>
      <c r="O2050" s="1"/>
      <c r="P2050" s="1"/>
      <c r="Q2050" s="1"/>
      <c r="R2050" s="1"/>
      <c r="S2050" s="1"/>
      <c r="T2050" s="1"/>
      <c r="U2050" s="1"/>
      <c r="V2050" s="1"/>
      <c r="W2050" s="1"/>
      <c r="X2050" s="1"/>
      <c r="Y2050" s="1"/>
      <c r="Z2050" s="1"/>
    </row>
    <row r="2051" ht="15.75" customHeight="1">
      <c r="A2051" s="2">
        <f>IFERROR(__xludf.DUMMYFUNCTION("""COMPUTED_VALUE"""),1025000.0)</f>
        <v>1025000</v>
      </c>
      <c r="B2051" s="2">
        <f>IFERROR(__xludf.DUMMYFUNCTION("""COMPUTED_VALUE"""),20500.0)</f>
        <v>20500</v>
      </c>
      <c r="C2051" s="66">
        <f>IFERROR(__xludf.DUMMYFUNCTION("""COMPUTED_VALUE"""),2.100225E10)</f>
        <v>21002250000</v>
      </c>
      <c r="D2051" s="1"/>
      <c r="E2051" s="1"/>
      <c r="F2051" s="1"/>
      <c r="G2051" s="1"/>
      <c r="H2051" s="1"/>
      <c r="I2051" s="1"/>
      <c r="J2051" s="1"/>
      <c r="K2051" s="1"/>
      <c r="L2051" s="1"/>
      <c r="M2051" s="1"/>
      <c r="N2051" s="1"/>
      <c r="O2051" s="1"/>
      <c r="P2051" s="1"/>
      <c r="Q2051" s="1"/>
      <c r="R2051" s="1"/>
      <c r="S2051" s="1"/>
      <c r="T2051" s="1"/>
      <c r="U2051" s="1"/>
      <c r="V2051" s="1"/>
      <c r="W2051" s="1"/>
      <c r="X2051" s="1"/>
      <c r="Y2051" s="1"/>
      <c r="Z2051" s="1"/>
    </row>
    <row r="2052" ht="15.75" customHeight="1">
      <c r="A2052" s="2">
        <f>IFERROR(__xludf.DUMMYFUNCTION("""COMPUTED_VALUE"""),1025500.0)</f>
        <v>1025500</v>
      </c>
      <c r="B2052" s="2">
        <f>IFERROR(__xludf.DUMMYFUNCTION("""COMPUTED_VALUE"""),20510.0)</f>
        <v>20510</v>
      </c>
      <c r="C2052" s="66">
        <f>IFERROR(__xludf.DUMMYFUNCTION("""COMPUTED_VALUE"""),2.102275E10)</f>
        <v>21022750000</v>
      </c>
      <c r="D2052" s="1"/>
      <c r="E2052" s="1"/>
      <c r="F2052" s="1"/>
      <c r="G2052" s="1"/>
      <c r="H2052" s="1"/>
      <c r="I2052" s="1"/>
      <c r="J2052" s="1"/>
      <c r="K2052" s="1"/>
      <c r="L2052" s="1"/>
      <c r="M2052" s="1"/>
      <c r="N2052" s="1"/>
      <c r="O2052" s="1"/>
      <c r="P2052" s="1"/>
      <c r="Q2052" s="1"/>
      <c r="R2052" s="1"/>
      <c r="S2052" s="1"/>
      <c r="T2052" s="1"/>
      <c r="U2052" s="1"/>
      <c r="V2052" s="1"/>
      <c r="W2052" s="1"/>
      <c r="X2052" s="1"/>
      <c r="Y2052" s="1"/>
      <c r="Z2052" s="1"/>
    </row>
    <row r="2053" ht="15.75" customHeight="1">
      <c r="A2053" s="2">
        <f>IFERROR(__xludf.DUMMYFUNCTION("""COMPUTED_VALUE"""),1026000.0)</f>
        <v>1026000</v>
      </c>
      <c r="B2053" s="2">
        <f>IFERROR(__xludf.DUMMYFUNCTION("""COMPUTED_VALUE"""),20520.0)</f>
        <v>20520</v>
      </c>
      <c r="C2053" s="66">
        <f>IFERROR(__xludf.DUMMYFUNCTION("""COMPUTED_VALUE"""),2.104326E10)</f>
        <v>21043260000</v>
      </c>
      <c r="D2053" s="1"/>
      <c r="E2053" s="1"/>
      <c r="F2053" s="1"/>
      <c r="G2053" s="1"/>
      <c r="H2053" s="1"/>
      <c r="I2053" s="1"/>
      <c r="J2053" s="1"/>
      <c r="K2053" s="1"/>
      <c r="L2053" s="1"/>
      <c r="M2053" s="1"/>
      <c r="N2053" s="1"/>
      <c r="O2053" s="1"/>
      <c r="P2053" s="1"/>
      <c r="Q2053" s="1"/>
      <c r="R2053" s="1"/>
      <c r="S2053" s="1"/>
      <c r="T2053" s="1"/>
      <c r="U2053" s="1"/>
      <c r="V2053" s="1"/>
      <c r="W2053" s="1"/>
      <c r="X2053" s="1"/>
      <c r="Y2053" s="1"/>
      <c r="Z2053" s="1"/>
    </row>
    <row r="2054" ht="15.75" customHeight="1">
      <c r="A2054" s="2">
        <f>IFERROR(__xludf.DUMMYFUNCTION("""COMPUTED_VALUE"""),1026500.0)</f>
        <v>1026500</v>
      </c>
      <c r="B2054" s="2">
        <f>IFERROR(__xludf.DUMMYFUNCTION("""COMPUTED_VALUE"""),20530.0)</f>
        <v>20530</v>
      </c>
      <c r="C2054" s="66">
        <f>IFERROR(__xludf.DUMMYFUNCTION("""COMPUTED_VALUE"""),2.106378E10)</f>
        <v>21063780000</v>
      </c>
      <c r="D2054" s="1"/>
      <c r="E2054" s="1"/>
      <c r="F2054" s="1"/>
      <c r="G2054" s="1"/>
      <c r="H2054" s="1"/>
      <c r="I2054" s="1"/>
      <c r="J2054" s="1"/>
      <c r="K2054" s="1"/>
      <c r="L2054" s="1"/>
      <c r="M2054" s="1"/>
      <c r="N2054" s="1"/>
      <c r="O2054" s="1"/>
      <c r="P2054" s="1"/>
      <c r="Q2054" s="1"/>
      <c r="R2054" s="1"/>
      <c r="S2054" s="1"/>
      <c r="T2054" s="1"/>
      <c r="U2054" s="1"/>
      <c r="V2054" s="1"/>
      <c r="W2054" s="1"/>
      <c r="X2054" s="1"/>
      <c r="Y2054" s="1"/>
      <c r="Z2054" s="1"/>
    </row>
    <row r="2055" ht="15.75" customHeight="1">
      <c r="A2055" s="2">
        <f>IFERROR(__xludf.DUMMYFUNCTION("""COMPUTED_VALUE"""),1027000.0)</f>
        <v>1027000</v>
      </c>
      <c r="B2055" s="2">
        <f>IFERROR(__xludf.DUMMYFUNCTION("""COMPUTED_VALUE"""),20540.0)</f>
        <v>20540</v>
      </c>
      <c r="C2055" s="66">
        <f>IFERROR(__xludf.DUMMYFUNCTION("""COMPUTED_VALUE"""),2.108431E10)</f>
        <v>21084310000</v>
      </c>
      <c r="D2055" s="1"/>
      <c r="E2055" s="1"/>
      <c r="F2055" s="1"/>
      <c r="G2055" s="1"/>
      <c r="H2055" s="1"/>
      <c r="I2055" s="1"/>
      <c r="J2055" s="1"/>
      <c r="K2055" s="1"/>
      <c r="L2055" s="1"/>
      <c r="M2055" s="1"/>
      <c r="N2055" s="1"/>
      <c r="O2055" s="1"/>
      <c r="P2055" s="1"/>
      <c r="Q2055" s="1"/>
      <c r="R2055" s="1"/>
      <c r="S2055" s="1"/>
      <c r="T2055" s="1"/>
      <c r="U2055" s="1"/>
      <c r="V2055" s="1"/>
      <c r="W2055" s="1"/>
      <c r="X2055" s="1"/>
      <c r="Y2055" s="1"/>
      <c r="Z2055" s="1"/>
    </row>
    <row r="2056" ht="15.75" customHeight="1">
      <c r="A2056" s="2">
        <f>IFERROR(__xludf.DUMMYFUNCTION("""COMPUTED_VALUE"""),1027500.0)</f>
        <v>1027500</v>
      </c>
      <c r="B2056" s="2">
        <f>IFERROR(__xludf.DUMMYFUNCTION("""COMPUTED_VALUE"""),20550.0)</f>
        <v>20550</v>
      </c>
      <c r="C2056" s="66">
        <f>IFERROR(__xludf.DUMMYFUNCTION("""COMPUTED_VALUE"""),2.110485E10)</f>
        <v>21104850000</v>
      </c>
      <c r="D2056" s="1"/>
      <c r="E2056" s="1"/>
      <c r="F2056" s="1"/>
      <c r="G2056" s="1"/>
      <c r="H2056" s="1"/>
      <c r="I2056" s="1"/>
      <c r="J2056" s="1"/>
      <c r="K2056" s="1"/>
      <c r="L2056" s="1"/>
      <c r="M2056" s="1"/>
      <c r="N2056" s="1"/>
      <c r="O2056" s="1"/>
      <c r="P2056" s="1"/>
      <c r="Q2056" s="1"/>
      <c r="R2056" s="1"/>
      <c r="S2056" s="1"/>
      <c r="T2056" s="1"/>
      <c r="U2056" s="1"/>
      <c r="V2056" s="1"/>
      <c r="W2056" s="1"/>
      <c r="X2056" s="1"/>
      <c r="Y2056" s="1"/>
      <c r="Z2056" s="1"/>
    </row>
    <row r="2057" ht="15.75" customHeight="1">
      <c r="A2057" s="2">
        <f>IFERROR(__xludf.DUMMYFUNCTION("""COMPUTED_VALUE"""),1028000.0)</f>
        <v>1028000</v>
      </c>
      <c r="B2057" s="2">
        <f>IFERROR(__xludf.DUMMYFUNCTION("""COMPUTED_VALUE"""),20560.0)</f>
        <v>20560</v>
      </c>
      <c r="C2057" s="66">
        <f>IFERROR(__xludf.DUMMYFUNCTION("""COMPUTED_VALUE"""),2.11254E10)</f>
        <v>21125400000</v>
      </c>
      <c r="D2057" s="1"/>
      <c r="E2057" s="1"/>
      <c r="F2057" s="1"/>
      <c r="G2057" s="1"/>
      <c r="H2057" s="1"/>
      <c r="I2057" s="1"/>
      <c r="J2057" s="1"/>
      <c r="K2057" s="1"/>
      <c r="L2057" s="1"/>
      <c r="M2057" s="1"/>
      <c r="N2057" s="1"/>
      <c r="O2057" s="1"/>
      <c r="P2057" s="1"/>
      <c r="Q2057" s="1"/>
      <c r="R2057" s="1"/>
      <c r="S2057" s="1"/>
      <c r="T2057" s="1"/>
      <c r="U2057" s="1"/>
      <c r="V2057" s="1"/>
      <c r="W2057" s="1"/>
      <c r="X2057" s="1"/>
      <c r="Y2057" s="1"/>
      <c r="Z2057" s="1"/>
    </row>
    <row r="2058" ht="15.75" customHeight="1">
      <c r="A2058" s="2">
        <f>IFERROR(__xludf.DUMMYFUNCTION("""COMPUTED_VALUE"""),1028500.0)</f>
        <v>1028500</v>
      </c>
      <c r="B2058" s="2">
        <f>IFERROR(__xludf.DUMMYFUNCTION("""COMPUTED_VALUE"""),20570.0)</f>
        <v>20570</v>
      </c>
      <c r="C2058" s="66">
        <f>IFERROR(__xludf.DUMMYFUNCTION("""COMPUTED_VALUE"""),2.114596E10)</f>
        <v>21145960000</v>
      </c>
      <c r="D2058" s="1"/>
      <c r="E2058" s="1"/>
      <c r="F2058" s="1"/>
      <c r="G2058" s="1"/>
      <c r="H2058" s="1"/>
      <c r="I2058" s="1"/>
      <c r="J2058" s="1"/>
      <c r="K2058" s="1"/>
      <c r="L2058" s="1"/>
      <c r="M2058" s="1"/>
      <c r="N2058" s="1"/>
      <c r="O2058" s="1"/>
      <c r="P2058" s="1"/>
      <c r="Q2058" s="1"/>
      <c r="R2058" s="1"/>
      <c r="S2058" s="1"/>
      <c r="T2058" s="1"/>
      <c r="U2058" s="1"/>
      <c r="V2058" s="1"/>
      <c r="W2058" s="1"/>
      <c r="X2058" s="1"/>
      <c r="Y2058" s="1"/>
      <c r="Z2058" s="1"/>
    </row>
    <row r="2059" ht="15.75" customHeight="1">
      <c r="A2059" s="2">
        <f>IFERROR(__xludf.DUMMYFUNCTION("""COMPUTED_VALUE"""),1029000.0)</f>
        <v>1029000</v>
      </c>
      <c r="B2059" s="2">
        <f>IFERROR(__xludf.DUMMYFUNCTION("""COMPUTED_VALUE"""),20580.0)</f>
        <v>20580</v>
      </c>
      <c r="C2059" s="66">
        <f>IFERROR(__xludf.DUMMYFUNCTION("""COMPUTED_VALUE"""),2.116653E10)</f>
        <v>21166530000</v>
      </c>
      <c r="D2059" s="1"/>
      <c r="E2059" s="1"/>
      <c r="F2059" s="1"/>
      <c r="G2059" s="1"/>
      <c r="H2059" s="1"/>
      <c r="I2059" s="1"/>
      <c r="J2059" s="1"/>
      <c r="K2059" s="1"/>
      <c r="L2059" s="1"/>
      <c r="M2059" s="1"/>
      <c r="N2059" s="1"/>
      <c r="O2059" s="1"/>
      <c r="P2059" s="1"/>
      <c r="Q2059" s="1"/>
      <c r="R2059" s="1"/>
      <c r="S2059" s="1"/>
      <c r="T2059" s="1"/>
      <c r="U2059" s="1"/>
      <c r="V2059" s="1"/>
      <c r="W2059" s="1"/>
      <c r="X2059" s="1"/>
      <c r="Y2059" s="1"/>
      <c r="Z2059" s="1"/>
    </row>
    <row r="2060" ht="15.75" customHeight="1">
      <c r="A2060" s="2">
        <f>IFERROR(__xludf.DUMMYFUNCTION("""COMPUTED_VALUE"""),1029500.0)</f>
        <v>1029500</v>
      </c>
      <c r="B2060" s="2">
        <f>IFERROR(__xludf.DUMMYFUNCTION("""COMPUTED_VALUE"""),20590.0)</f>
        <v>20590</v>
      </c>
      <c r="C2060" s="66">
        <f>IFERROR(__xludf.DUMMYFUNCTION("""COMPUTED_VALUE"""),2.118711E10)</f>
        <v>21187110000</v>
      </c>
      <c r="D2060" s="1"/>
      <c r="E2060" s="1"/>
      <c r="F2060" s="1"/>
      <c r="G2060" s="1"/>
      <c r="H2060" s="1"/>
      <c r="I2060" s="1"/>
      <c r="J2060" s="1"/>
      <c r="K2060" s="1"/>
      <c r="L2060" s="1"/>
      <c r="M2060" s="1"/>
      <c r="N2060" s="1"/>
      <c r="O2060" s="1"/>
      <c r="P2060" s="1"/>
      <c r="Q2060" s="1"/>
      <c r="R2060" s="1"/>
      <c r="S2060" s="1"/>
      <c r="T2060" s="1"/>
      <c r="U2060" s="1"/>
      <c r="V2060" s="1"/>
      <c r="W2060" s="1"/>
      <c r="X2060" s="1"/>
      <c r="Y2060" s="1"/>
      <c r="Z2060" s="1"/>
    </row>
    <row r="2061" ht="15.75" customHeight="1">
      <c r="A2061" s="2">
        <f>IFERROR(__xludf.DUMMYFUNCTION("""COMPUTED_VALUE"""),1030000.0)</f>
        <v>1030000</v>
      </c>
      <c r="B2061" s="2">
        <f>IFERROR(__xludf.DUMMYFUNCTION("""COMPUTED_VALUE"""),20600.0)</f>
        <v>20600</v>
      </c>
      <c r="C2061" s="66">
        <f>IFERROR(__xludf.DUMMYFUNCTION("""COMPUTED_VALUE"""),2.12077E10)</f>
        <v>21207700000</v>
      </c>
      <c r="D2061" s="1"/>
      <c r="E2061" s="1"/>
      <c r="F2061" s="1"/>
      <c r="G2061" s="1"/>
      <c r="H2061" s="1"/>
      <c r="I2061" s="1"/>
      <c r="J2061" s="1"/>
      <c r="K2061" s="1"/>
      <c r="L2061" s="1"/>
      <c r="M2061" s="1"/>
      <c r="N2061" s="1"/>
      <c r="O2061" s="1"/>
      <c r="P2061" s="1"/>
      <c r="Q2061" s="1"/>
      <c r="R2061" s="1"/>
      <c r="S2061" s="1"/>
      <c r="T2061" s="1"/>
      <c r="U2061" s="1"/>
      <c r="V2061" s="1"/>
      <c r="W2061" s="1"/>
      <c r="X2061" s="1"/>
      <c r="Y2061" s="1"/>
      <c r="Z2061" s="1"/>
    </row>
    <row r="2062" ht="15.75" customHeight="1">
      <c r="A2062" s="2">
        <f>IFERROR(__xludf.DUMMYFUNCTION("""COMPUTED_VALUE"""),1030500.0)</f>
        <v>1030500</v>
      </c>
      <c r="B2062" s="2">
        <f>IFERROR(__xludf.DUMMYFUNCTION("""COMPUTED_VALUE"""),20610.0)</f>
        <v>20610</v>
      </c>
      <c r="C2062" s="66">
        <f>IFERROR(__xludf.DUMMYFUNCTION("""COMPUTED_VALUE"""),2.12283E10)</f>
        <v>21228300000</v>
      </c>
      <c r="D2062" s="1"/>
      <c r="E2062" s="1"/>
      <c r="F2062" s="1"/>
      <c r="G2062" s="1"/>
      <c r="H2062" s="1"/>
      <c r="I2062" s="1"/>
      <c r="J2062" s="1"/>
      <c r="K2062" s="1"/>
      <c r="L2062" s="1"/>
      <c r="M2062" s="1"/>
      <c r="N2062" s="1"/>
      <c r="O2062" s="1"/>
      <c r="P2062" s="1"/>
      <c r="Q2062" s="1"/>
      <c r="R2062" s="1"/>
      <c r="S2062" s="1"/>
      <c r="T2062" s="1"/>
      <c r="U2062" s="1"/>
      <c r="V2062" s="1"/>
      <c r="W2062" s="1"/>
      <c r="X2062" s="1"/>
      <c r="Y2062" s="1"/>
      <c r="Z2062" s="1"/>
    </row>
    <row r="2063" ht="15.75" customHeight="1">
      <c r="A2063" s="2">
        <f>IFERROR(__xludf.DUMMYFUNCTION("""COMPUTED_VALUE"""),1031000.0)</f>
        <v>1031000</v>
      </c>
      <c r="B2063" s="2">
        <f>IFERROR(__xludf.DUMMYFUNCTION("""COMPUTED_VALUE"""),20620.0)</f>
        <v>20620</v>
      </c>
      <c r="C2063" s="66">
        <f>IFERROR(__xludf.DUMMYFUNCTION("""COMPUTED_VALUE"""),2.124891E10)</f>
        <v>21248910000</v>
      </c>
      <c r="D2063" s="1"/>
      <c r="E2063" s="1"/>
      <c r="F2063" s="1"/>
      <c r="G2063" s="1"/>
      <c r="H2063" s="1"/>
      <c r="I2063" s="1"/>
      <c r="J2063" s="1"/>
      <c r="K2063" s="1"/>
      <c r="L2063" s="1"/>
      <c r="M2063" s="1"/>
      <c r="N2063" s="1"/>
      <c r="O2063" s="1"/>
      <c r="P2063" s="1"/>
      <c r="Q2063" s="1"/>
      <c r="R2063" s="1"/>
      <c r="S2063" s="1"/>
      <c r="T2063" s="1"/>
      <c r="U2063" s="1"/>
      <c r="V2063" s="1"/>
      <c r="W2063" s="1"/>
      <c r="X2063" s="1"/>
      <c r="Y2063" s="1"/>
      <c r="Z2063" s="1"/>
    </row>
    <row r="2064" ht="15.75" customHeight="1">
      <c r="A2064" s="2">
        <f>IFERROR(__xludf.DUMMYFUNCTION("""COMPUTED_VALUE"""),1031500.0)</f>
        <v>1031500</v>
      </c>
      <c r="B2064" s="2">
        <f>IFERROR(__xludf.DUMMYFUNCTION("""COMPUTED_VALUE"""),20630.0)</f>
        <v>20630</v>
      </c>
      <c r="C2064" s="66">
        <f>IFERROR(__xludf.DUMMYFUNCTION("""COMPUTED_VALUE"""),2.126953E10)</f>
        <v>21269530000</v>
      </c>
      <c r="D2064" s="1"/>
      <c r="E2064" s="1"/>
      <c r="F2064" s="1"/>
      <c r="G2064" s="1"/>
      <c r="H2064" s="1"/>
      <c r="I2064" s="1"/>
      <c r="J2064" s="1"/>
      <c r="K2064" s="1"/>
      <c r="L2064" s="1"/>
      <c r="M2064" s="1"/>
      <c r="N2064" s="1"/>
      <c r="O2064" s="1"/>
      <c r="P2064" s="1"/>
      <c r="Q2064" s="1"/>
      <c r="R2064" s="1"/>
      <c r="S2064" s="1"/>
      <c r="T2064" s="1"/>
      <c r="U2064" s="1"/>
      <c r="V2064" s="1"/>
      <c r="W2064" s="1"/>
      <c r="X2064" s="1"/>
      <c r="Y2064" s="1"/>
      <c r="Z2064" s="1"/>
    </row>
    <row r="2065" ht="15.75" customHeight="1">
      <c r="A2065" s="2">
        <f>IFERROR(__xludf.DUMMYFUNCTION("""COMPUTED_VALUE"""),1032000.0)</f>
        <v>1032000</v>
      </c>
      <c r="B2065" s="2">
        <f>IFERROR(__xludf.DUMMYFUNCTION("""COMPUTED_VALUE"""),20640.0)</f>
        <v>20640</v>
      </c>
      <c r="C2065" s="66">
        <f>IFERROR(__xludf.DUMMYFUNCTION("""COMPUTED_VALUE"""),2.129016E10)</f>
        <v>21290160000</v>
      </c>
      <c r="D2065" s="1"/>
      <c r="E2065" s="1"/>
      <c r="F2065" s="1"/>
      <c r="G2065" s="1"/>
      <c r="H2065" s="1"/>
      <c r="I2065" s="1"/>
      <c r="J2065" s="1"/>
      <c r="K2065" s="1"/>
      <c r="L2065" s="1"/>
      <c r="M2065" s="1"/>
      <c r="N2065" s="1"/>
      <c r="O2065" s="1"/>
      <c r="P2065" s="1"/>
      <c r="Q2065" s="1"/>
      <c r="R2065" s="1"/>
      <c r="S2065" s="1"/>
      <c r="T2065" s="1"/>
      <c r="U2065" s="1"/>
      <c r="V2065" s="1"/>
      <c r="W2065" s="1"/>
      <c r="X2065" s="1"/>
      <c r="Y2065" s="1"/>
      <c r="Z2065" s="1"/>
    </row>
    <row r="2066" ht="15.75" customHeight="1">
      <c r="A2066" s="2">
        <f>IFERROR(__xludf.DUMMYFUNCTION("""COMPUTED_VALUE"""),1032500.0)</f>
        <v>1032500</v>
      </c>
      <c r="B2066" s="2">
        <f>IFERROR(__xludf.DUMMYFUNCTION("""COMPUTED_VALUE"""),20650.0)</f>
        <v>20650</v>
      </c>
      <c r="C2066" s="66">
        <f>IFERROR(__xludf.DUMMYFUNCTION("""COMPUTED_VALUE"""),2.13108E10)</f>
        <v>21310800000</v>
      </c>
      <c r="D2066" s="1"/>
      <c r="E2066" s="1"/>
      <c r="F2066" s="1"/>
      <c r="G2066" s="1"/>
      <c r="H2066" s="1"/>
      <c r="I2066" s="1"/>
      <c r="J2066" s="1"/>
      <c r="K2066" s="1"/>
      <c r="L2066" s="1"/>
      <c r="M2066" s="1"/>
      <c r="N2066" s="1"/>
      <c r="O2066" s="1"/>
      <c r="P2066" s="1"/>
      <c r="Q2066" s="1"/>
      <c r="R2066" s="1"/>
      <c r="S2066" s="1"/>
      <c r="T2066" s="1"/>
      <c r="U2066" s="1"/>
      <c r="V2066" s="1"/>
      <c r="W2066" s="1"/>
      <c r="X2066" s="1"/>
      <c r="Y2066" s="1"/>
      <c r="Z2066" s="1"/>
    </row>
    <row r="2067" ht="15.75" customHeight="1">
      <c r="A2067" s="2">
        <f>IFERROR(__xludf.DUMMYFUNCTION("""COMPUTED_VALUE"""),1033000.0)</f>
        <v>1033000</v>
      </c>
      <c r="B2067" s="2">
        <f>IFERROR(__xludf.DUMMYFUNCTION("""COMPUTED_VALUE"""),20660.0)</f>
        <v>20660</v>
      </c>
      <c r="C2067" s="66">
        <f>IFERROR(__xludf.DUMMYFUNCTION("""COMPUTED_VALUE"""),2.133145E10)</f>
        <v>21331450000</v>
      </c>
      <c r="D2067" s="1"/>
      <c r="E2067" s="1"/>
      <c r="F2067" s="1"/>
      <c r="G2067" s="1"/>
      <c r="H2067" s="1"/>
      <c r="I2067" s="1"/>
      <c r="J2067" s="1"/>
      <c r="K2067" s="1"/>
      <c r="L2067" s="1"/>
      <c r="M2067" s="1"/>
      <c r="N2067" s="1"/>
      <c r="O2067" s="1"/>
      <c r="P2067" s="1"/>
      <c r="Q2067" s="1"/>
      <c r="R2067" s="1"/>
      <c r="S2067" s="1"/>
      <c r="T2067" s="1"/>
      <c r="U2067" s="1"/>
      <c r="V2067" s="1"/>
      <c r="W2067" s="1"/>
      <c r="X2067" s="1"/>
      <c r="Y2067" s="1"/>
      <c r="Z2067" s="1"/>
    </row>
    <row r="2068" ht="15.75" customHeight="1">
      <c r="A2068" s="2">
        <f>IFERROR(__xludf.DUMMYFUNCTION("""COMPUTED_VALUE"""),1033500.0)</f>
        <v>1033500</v>
      </c>
      <c r="B2068" s="2">
        <f>IFERROR(__xludf.DUMMYFUNCTION("""COMPUTED_VALUE"""),20670.0)</f>
        <v>20670</v>
      </c>
      <c r="C2068" s="66">
        <f>IFERROR(__xludf.DUMMYFUNCTION("""COMPUTED_VALUE"""),2.135211E10)</f>
        <v>21352110000</v>
      </c>
      <c r="D2068" s="1"/>
      <c r="E2068" s="1"/>
      <c r="F2068" s="1"/>
      <c r="G2068" s="1"/>
      <c r="H2068" s="1"/>
      <c r="I2068" s="1"/>
      <c r="J2068" s="1"/>
      <c r="K2068" s="1"/>
      <c r="L2068" s="1"/>
      <c r="M2068" s="1"/>
      <c r="N2068" s="1"/>
      <c r="O2068" s="1"/>
      <c r="P2068" s="1"/>
      <c r="Q2068" s="1"/>
      <c r="R2068" s="1"/>
      <c r="S2068" s="1"/>
      <c r="T2068" s="1"/>
      <c r="U2068" s="1"/>
      <c r="V2068" s="1"/>
      <c r="W2068" s="1"/>
      <c r="X2068" s="1"/>
      <c r="Y2068" s="1"/>
      <c r="Z2068" s="1"/>
    </row>
    <row r="2069" ht="15.75" customHeight="1">
      <c r="A2069" s="2">
        <f>IFERROR(__xludf.DUMMYFUNCTION("""COMPUTED_VALUE"""),1034000.0)</f>
        <v>1034000</v>
      </c>
      <c r="B2069" s="2">
        <f>IFERROR(__xludf.DUMMYFUNCTION("""COMPUTED_VALUE"""),20680.0)</f>
        <v>20680</v>
      </c>
      <c r="C2069" s="66">
        <f>IFERROR(__xludf.DUMMYFUNCTION("""COMPUTED_VALUE"""),2.137278E10)</f>
        <v>21372780000</v>
      </c>
      <c r="D2069" s="1"/>
      <c r="E2069" s="1"/>
      <c r="F2069" s="1"/>
      <c r="G2069" s="1"/>
      <c r="H2069" s="1"/>
      <c r="I2069" s="1"/>
      <c r="J2069" s="1"/>
      <c r="K2069" s="1"/>
      <c r="L2069" s="1"/>
      <c r="M2069" s="1"/>
      <c r="N2069" s="1"/>
      <c r="O2069" s="1"/>
      <c r="P2069" s="1"/>
      <c r="Q2069" s="1"/>
      <c r="R2069" s="1"/>
      <c r="S2069" s="1"/>
      <c r="T2069" s="1"/>
      <c r="U2069" s="1"/>
      <c r="V2069" s="1"/>
      <c r="W2069" s="1"/>
      <c r="X2069" s="1"/>
      <c r="Y2069" s="1"/>
      <c r="Z2069" s="1"/>
    </row>
    <row r="2070" ht="15.75" customHeight="1">
      <c r="A2070" s="2">
        <f>IFERROR(__xludf.DUMMYFUNCTION("""COMPUTED_VALUE"""),1034500.0)</f>
        <v>1034500</v>
      </c>
      <c r="B2070" s="2">
        <f>IFERROR(__xludf.DUMMYFUNCTION("""COMPUTED_VALUE"""),20690.0)</f>
        <v>20690</v>
      </c>
      <c r="C2070" s="66">
        <f>IFERROR(__xludf.DUMMYFUNCTION("""COMPUTED_VALUE"""),2.139346E10)</f>
        <v>21393460000</v>
      </c>
      <c r="D2070" s="1"/>
      <c r="E2070" s="1"/>
      <c r="F2070" s="1"/>
      <c r="G2070" s="1"/>
      <c r="H2070" s="1"/>
      <c r="I2070" s="1"/>
      <c r="J2070" s="1"/>
      <c r="K2070" s="1"/>
      <c r="L2070" s="1"/>
      <c r="M2070" s="1"/>
      <c r="N2070" s="1"/>
      <c r="O2070" s="1"/>
      <c r="P2070" s="1"/>
      <c r="Q2070" s="1"/>
      <c r="R2070" s="1"/>
      <c r="S2070" s="1"/>
      <c r="T2070" s="1"/>
      <c r="U2070" s="1"/>
      <c r="V2070" s="1"/>
      <c r="W2070" s="1"/>
      <c r="X2070" s="1"/>
      <c r="Y2070" s="1"/>
      <c r="Z2070" s="1"/>
    </row>
    <row r="2071" ht="15.75" customHeight="1">
      <c r="A2071" s="2">
        <f>IFERROR(__xludf.DUMMYFUNCTION("""COMPUTED_VALUE"""),1035000.0)</f>
        <v>1035000</v>
      </c>
      <c r="B2071" s="2">
        <f>IFERROR(__xludf.DUMMYFUNCTION("""COMPUTED_VALUE"""),20700.0)</f>
        <v>20700</v>
      </c>
      <c r="C2071" s="66">
        <f>IFERROR(__xludf.DUMMYFUNCTION("""COMPUTED_VALUE"""),2.141415E10)</f>
        <v>21414150000</v>
      </c>
      <c r="D2071" s="1"/>
      <c r="E2071" s="1"/>
      <c r="F2071" s="1"/>
      <c r="G2071" s="1"/>
      <c r="H2071" s="1"/>
      <c r="I2071" s="1"/>
      <c r="J2071" s="1"/>
      <c r="K2071" s="1"/>
      <c r="L2071" s="1"/>
      <c r="M2071" s="1"/>
      <c r="N2071" s="1"/>
      <c r="O2071" s="1"/>
      <c r="P2071" s="1"/>
      <c r="Q2071" s="1"/>
      <c r="R2071" s="1"/>
      <c r="S2071" s="1"/>
      <c r="T2071" s="1"/>
      <c r="U2071" s="1"/>
      <c r="V2071" s="1"/>
      <c r="W2071" s="1"/>
      <c r="X2071" s="1"/>
      <c r="Y2071" s="1"/>
      <c r="Z2071" s="1"/>
    </row>
    <row r="2072" ht="15.75" customHeight="1">
      <c r="A2072" s="2">
        <f>IFERROR(__xludf.DUMMYFUNCTION("""COMPUTED_VALUE"""),1035500.0)</f>
        <v>1035500</v>
      </c>
      <c r="B2072" s="2">
        <f>IFERROR(__xludf.DUMMYFUNCTION("""COMPUTED_VALUE"""),20710.0)</f>
        <v>20710</v>
      </c>
      <c r="C2072" s="66">
        <f>IFERROR(__xludf.DUMMYFUNCTION("""COMPUTED_VALUE"""),2.143485E10)</f>
        <v>21434850000</v>
      </c>
      <c r="D2072" s="1"/>
      <c r="E2072" s="1"/>
      <c r="F2072" s="1"/>
      <c r="G2072" s="1"/>
      <c r="H2072" s="1"/>
      <c r="I2072" s="1"/>
      <c r="J2072" s="1"/>
      <c r="K2072" s="1"/>
      <c r="L2072" s="1"/>
      <c r="M2072" s="1"/>
      <c r="N2072" s="1"/>
      <c r="O2072" s="1"/>
      <c r="P2072" s="1"/>
      <c r="Q2072" s="1"/>
      <c r="R2072" s="1"/>
      <c r="S2072" s="1"/>
      <c r="T2072" s="1"/>
      <c r="U2072" s="1"/>
      <c r="V2072" s="1"/>
      <c r="W2072" s="1"/>
      <c r="X2072" s="1"/>
      <c r="Y2072" s="1"/>
      <c r="Z2072" s="1"/>
    </row>
    <row r="2073" ht="15.75" customHeight="1">
      <c r="A2073" s="2">
        <f>IFERROR(__xludf.DUMMYFUNCTION("""COMPUTED_VALUE"""),1036000.0)</f>
        <v>1036000</v>
      </c>
      <c r="B2073" s="2">
        <f>IFERROR(__xludf.DUMMYFUNCTION("""COMPUTED_VALUE"""),20720.0)</f>
        <v>20720</v>
      </c>
      <c r="C2073" s="66">
        <f>IFERROR(__xludf.DUMMYFUNCTION("""COMPUTED_VALUE"""),2.145556E10)</f>
        <v>21455560000</v>
      </c>
      <c r="D2073" s="1"/>
      <c r="E2073" s="1"/>
      <c r="F2073" s="1"/>
      <c r="G2073" s="1"/>
      <c r="H2073" s="1"/>
      <c r="I2073" s="1"/>
      <c r="J2073" s="1"/>
      <c r="K2073" s="1"/>
      <c r="L2073" s="1"/>
      <c r="M2073" s="1"/>
      <c r="N2073" s="1"/>
      <c r="O2073" s="1"/>
      <c r="P2073" s="1"/>
      <c r="Q2073" s="1"/>
      <c r="R2073" s="1"/>
      <c r="S2073" s="1"/>
      <c r="T2073" s="1"/>
      <c r="U2073" s="1"/>
      <c r="V2073" s="1"/>
      <c r="W2073" s="1"/>
      <c r="X2073" s="1"/>
      <c r="Y2073" s="1"/>
      <c r="Z2073" s="1"/>
    </row>
    <row r="2074" ht="15.75" customHeight="1">
      <c r="A2074" s="2">
        <f>IFERROR(__xludf.DUMMYFUNCTION("""COMPUTED_VALUE"""),1036500.0)</f>
        <v>1036500</v>
      </c>
      <c r="B2074" s="2">
        <f>IFERROR(__xludf.DUMMYFUNCTION("""COMPUTED_VALUE"""),20730.0)</f>
        <v>20730</v>
      </c>
      <c r="C2074" s="66">
        <f>IFERROR(__xludf.DUMMYFUNCTION("""COMPUTED_VALUE"""),2.147628E10)</f>
        <v>21476280000</v>
      </c>
      <c r="D2074" s="1"/>
      <c r="E2074" s="1"/>
      <c r="F2074" s="1"/>
      <c r="G2074" s="1"/>
      <c r="H2074" s="1"/>
      <c r="I2074" s="1"/>
      <c r="J2074" s="1"/>
      <c r="K2074" s="1"/>
      <c r="L2074" s="1"/>
      <c r="M2074" s="1"/>
      <c r="N2074" s="1"/>
      <c r="O2074" s="1"/>
      <c r="P2074" s="1"/>
      <c r="Q2074" s="1"/>
      <c r="R2074" s="1"/>
      <c r="S2074" s="1"/>
      <c r="T2074" s="1"/>
      <c r="U2074" s="1"/>
      <c r="V2074" s="1"/>
      <c r="W2074" s="1"/>
      <c r="X2074" s="1"/>
      <c r="Y2074" s="1"/>
      <c r="Z2074" s="1"/>
    </row>
    <row r="2075" ht="15.75" customHeight="1">
      <c r="A2075" s="2">
        <f>IFERROR(__xludf.DUMMYFUNCTION("""COMPUTED_VALUE"""),1037000.0)</f>
        <v>1037000</v>
      </c>
      <c r="B2075" s="2">
        <f>IFERROR(__xludf.DUMMYFUNCTION("""COMPUTED_VALUE"""),20740.0)</f>
        <v>20740</v>
      </c>
      <c r="C2075" s="66">
        <f>IFERROR(__xludf.DUMMYFUNCTION("""COMPUTED_VALUE"""),2.149701E10)</f>
        <v>21497010000</v>
      </c>
      <c r="D2075" s="1"/>
      <c r="E2075" s="1"/>
      <c r="F2075" s="1"/>
      <c r="G2075" s="1"/>
      <c r="H2075" s="1"/>
      <c r="I2075" s="1"/>
      <c r="J2075" s="1"/>
      <c r="K2075" s="1"/>
      <c r="L2075" s="1"/>
      <c r="M2075" s="1"/>
      <c r="N2075" s="1"/>
      <c r="O2075" s="1"/>
      <c r="P2075" s="1"/>
      <c r="Q2075" s="1"/>
      <c r="R2075" s="1"/>
      <c r="S2075" s="1"/>
      <c r="T2075" s="1"/>
      <c r="U2075" s="1"/>
      <c r="V2075" s="1"/>
      <c r="W2075" s="1"/>
      <c r="X2075" s="1"/>
      <c r="Y2075" s="1"/>
      <c r="Z2075" s="1"/>
    </row>
    <row r="2076" ht="15.75" customHeight="1">
      <c r="A2076" s="2">
        <f>IFERROR(__xludf.DUMMYFUNCTION("""COMPUTED_VALUE"""),1037500.0)</f>
        <v>1037500</v>
      </c>
      <c r="B2076" s="2">
        <f>IFERROR(__xludf.DUMMYFUNCTION("""COMPUTED_VALUE"""),20750.0)</f>
        <v>20750</v>
      </c>
      <c r="C2076" s="66">
        <f>IFERROR(__xludf.DUMMYFUNCTION("""COMPUTED_VALUE"""),2.151775E10)</f>
        <v>21517750000</v>
      </c>
      <c r="D2076" s="1"/>
      <c r="E2076" s="1"/>
      <c r="F2076" s="1"/>
      <c r="G2076" s="1"/>
      <c r="H2076" s="1"/>
      <c r="I2076" s="1"/>
      <c r="J2076" s="1"/>
      <c r="K2076" s="1"/>
      <c r="L2076" s="1"/>
      <c r="M2076" s="1"/>
      <c r="N2076" s="1"/>
      <c r="O2076" s="1"/>
      <c r="P2076" s="1"/>
      <c r="Q2076" s="1"/>
      <c r="R2076" s="1"/>
      <c r="S2076" s="1"/>
      <c r="T2076" s="1"/>
      <c r="U2076" s="1"/>
      <c r="V2076" s="1"/>
      <c r="W2076" s="1"/>
      <c r="X2076" s="1"/>
      <c r="Y2076" s="1"/>
      <c r="Z2076" s="1"/>
    </row>
    <row r="2077" ht="15.75" customHeight="1">
      <c r="A2077" s="2">
        <f>IFERROR(__xludf.DUMMYFUNCTION("""COMPUTED_VALUE"""),1038000.0)</f>
        <v>1038000</v>
      </c>
      <c r="B2077" s="2">
        <f>IFERROR(__xludf.DUMMYFUNCTION("""COMPUTED_VALUE"""),20760.0)</f>
        <v>20760</v>
      </c>
      <c r="C2077" s="66">
        <f>IFERROR(__xludf.DUMMYFUNCTION("""COMPUTED_VALUE"""),2.15385E10)</f>
        <v>21538500000</v>
      </c>
      <c r="D2077" s="1"/>
      <c r="E2077" s="1"/>
      <c r="F2077" s="1"/>
      <c r="G2077" s="1"/>
      <c r="H2077" s="1"/>
      <c r="I2077" s="1"/>
      <c r="J2077" s="1"/>
      <c r="K2077" s="1"/>
      <c r="L2077" s="1"/>
      <c r="M2077" s="1"/>
      <c r="N2077" s="1"/>
      <c r="O2077" s="1"/>
      <c r="P2077" s="1"/>
      <c r="Q2077" s="1"/>
      <c r="R2077" s="1"/>
      <c r="S2077" s="1"/>
      <c r="T2077" s="1"/>
      <c r="U2077" s="1"/>
      <c r="V2077" s="1"/>
      <c r="W2077" s="1"/>
      <c r="X2077" s="1"/>
      <c r="Y2077" s="1"/>
      <c r="Z2077" s="1"/>
    </row>
    <row r="2078" ht="15.75" customHeight="1">
      <c r="A2078" s="2">
        <f>IFERROR(__xludf.DUMMYFUNCTION("""COMPUTED_VALUE"""),1038500.0)</f>
        <v>1038500</v>
      </c>
      <c r="B2078" s="2">
        <f>IFERROR(__xludf.DUMMYFUNCTION("""COMPUTED_VALUE"""),20770.0)</f>
        <v>20770</v>
      </c>
      <c r="C2078" s="66">
        <f>IFERROR(__xludf.DUMMYFUNCTION("""COMPUTED_VALUE"""),2.155926E10)</f>
        <v>21559260000</v>
      </c>
      <c r="D2078" s="1"/>
      <c r="E2078" s="1"/>
      <c r="F2078" s="1"/>
      <c r="G2078" s="1"/>
      <c r="H2078" s="1"/>
      <c r="I2078" s="1"/>
      <c r="J2078" s="1"/>
      <c r="K2078" s="1"/>
      <c r="L2078" s="1"/>
      <c r="M2078" s="1"/>
      <c r="N2078" s="1"/>
      <c r="O2078" s="1"/>
      <c r="P2078" s="1"/>
      <c r="Q2078" s="1"/>
      <c r="R2078" s="1"/>
      <c r="S2078" s="1"/>
      <c r="T2078" s="1"/>
      <c r="U2078" s="1"/>
      <c r="V2078" s="1"/>
      <c r="W2078" s="1"/>
      <c r="X2078" s="1"/>
      <c r="Y2078" s="1"/>
      <c r="Z2078" s="1"/>
    </row>
    <row r="2079" ht="15.75" customHeight="1">
      <c r="A2079" s="2">
        <f>IFERROR(__xludf.DUMMYFUNCTION("""COMPUTED_VALUE"""),1039000.0)</f>
        <v>1039000</v>
      </c>
      <c r="B2079" s="2">
        <f>IFERROR(__xludf.DUMMYFUNCTION("""COMPUTED_VALUE"""),20780.0)</f>
        <v>20780</v>
      </c>
      <c r="C2079" s="66">
        <f>IFERROR(__xludf.DUMMYFUNCTION("""COMPUTED_VALUE"""),2.158003E10)</f>
        <v>21580030000</v>
      </c>
      <c r="D2079" s="1"/>
      <c r="E2079" s="1"/>
      <c r="F2079" s="1"/>
      <c r="G2079" s="1"/>
      <c r="H2079" s="1"/>
      <c r="I2079" s="1"/>
      <c r="J2079" s="1"/>
      <c r="K2079" s="1"/>
      <c r="L2079" s="1"/>
      <c r="M2079" s="1"/>
      <c r="N2079" s="1"/>
      <c r="O2079" s="1"/>
      <c r="P2079" s="1"/>
      <c r="Q2079" s="1"/>
      <c r="R2079" s="1"/>
      <c r="S2079" s="1"/>
      <c r="T2079" s="1"/>
      <c r="U2079" s="1"/>
      <c r="V2079" s="1"/>
      <c r="W2079" s="1"/>
      <c r="X2079" s="1"/>
      <c r="Y2079" s="1"/>
      <c r="Z2079" s="1"/>
    </row>
    <row r="2080" ht="15.75" customHeight="1">
      <c r="A2080" s="2">
        <f>IFERROR(__xludf.DUMMYFUNCTION("""COMPUTED_VALUE"""),1039500.0)</f>
        <v>1039500</v>
      </c>
      <c r="B2080" s="2">
        <f>IFERROR(__xludf.DUMMYFUNCTION("""COMPUTED_VALUE"""),20790.0)</f>
        <v>20790</v>
      </c>
      <c r="C2080" s="66">
        <f>IFERROR(__xludf.DUMMYFUNCTION("""COMPUTED_VALUE"""),2.160081E10)</f>
        <v>21600810000</v>
      </c>
      <c r="D2080" s="1"/>
      <c r="E2080" s="1"/>
      <c r="F2080" s="1"/>
      <c r="G2080" s="1"/>
      <c r="H2080" s="1"/>
      <c r="I2080" s="1"/>
      <c r="J2080" s="1"/>
      <c r="K2080" s="1"/>
      <c r="L2080" s="1"/>
      <c r="M2080" s="1"/>
      <c r="N2080" s="1"/>
      <c r="O2080" s="1"/>
      <c r="P2080" s="1"/>
      <c r="Q2080" s="1"/>
      <c r="R2080" s="1"/>
      <c r="S2080" s="1"/>
      <c r="T2080" s="1"/>
      <c r="U2080" s="1"/>
      <c r="V2080" s="1"/>
      <c r="W2080" s="1"/>
      <c r="X2080" s="1"/>
      <c r="Y2080" s="1"/>
      <c r="Z2080" s="1"/>
    </row>
    <row r="2081" ht="15.75" customHeight="1">
      <c r="A2081" s="2">
        <f>IFERROR(__xludf.DUMMYFUNCTION("""COMPUTED_VALUE"""),1040000.0)</f>
        <v>1040000</v>
      </c>
      <c r="B2081" s="2">
        <f>IFERROR(__xludf.DUMMYFUNCTION("""COMPUTED_VALUE"""),20800.0)</f>
        <v>20800</v>
      </c>
      <c r="C2081" s="66">
        <f>IFERROR(__xludf.DUMMYFUNCTION("""COMPUTED_VALUE"""),2.16216E10)</f>
        <v>21621600000</v>
      </c>
      <c r="D2081" s="1"/>
      <c r="E2081" s="1"/>
      <c r="F2081" s="1"/>
      <c r="G2081" s="1"/>
      <c r="H2081" s="1"/>
      <c r="I2081" s="1"/>
      <c r="J2081" s="1"/>
      <c r="K2081" s="1"/>
      <c r="L2081" s="1"/>
      <c r="M2081" s="1"/>
      <c r="N2081" s="1"/>
      <c r="O2081" s="1"/>
      <c r="P2081" s="1"/>
      <c r="Q2081" s="1"/>
      <c r="R2081" s="1"/>
      <c r="S2081" s="1"/>
      <c r="T2081" s="1"/>
      <c r="U2081" s="1"/>
      <c r="V2081" s="1"/>
      <c r="W2081" s="1"/>
      <c r="X2081" s="1"/>
      <c r="Y2081" s="1"/>
      <c r="Z2081" s="1"/>
    </row>
    <row r="2082" ht="15.75" customHeight="1">
      <c r="A2082" s="2">
        <f>IFERROR(__xludf.DUMMYFUNCTION("""COMPUTED_VALUE"""),1040500.0)</f>
        <v>1040500</v>
      </c>
      <c r="B2082" s="2">
        <f>IFERROR(__xludf.DUMMYFUNCTION("""COMPUTED_VALUE"""),20810.0)</f>
        <v>20810</v>
      </c>
      <c r="C2082" s="66">
        <f>IFERROR(__xludf.DUMMYFUNCTION("""COMPUTED_VALUE"""),2.16424E10)</f>
        <v>21642400000</v>
      </c>
      <c r="D2082" s="1"/>
      <c r="E2082" s="1"/>
      <c r="F2082" s="1"/>
      <c r="G2082" s="1"/>
      <c r="H2082" s="1"/>
      <c r="I2082" s="1"/>
      <c r="J2082" s="1"/>
      <c r="K2082" s="1"/>
      <c r="L2082" s="1"/>
      <c r="M2082" s="1"/>
      <c r="N2082" s="1"/>
      <c r="O2082" s="1"/>
      <c r="P2082" s="1"/>
      <c r="Q2082" s="1"/>
      <c r="R2082" s="1"/>
      <c r="S2082" s="1"/>
      <c r="T2082" s="1"/>
      <c r="U2082" s="1"/>
      <c r="V2082" s="1"/>
      <c r="W2082" s="1"/>
      <c r="X2082" s="1"/>
      <c r="Y2082" s="1"/>
      <c r="Z2082" s="1"/>
    </row>
    <row r="2083" ht="15.75" customHeight="1">
      <c r="A2083" s="2">
        <f>IFERROR(__xludf.DUMMYFUNCTION("""COMPUTED_VALUE"""),1041000.0)</f>
        <v>1041000</v>
      </c>
      <c r="B2083" s="2">
        <f>IFERROR(__xludf.DUMMYFUNCTION("""COMPUTED_VALUE"""),20820.0)</f>
        <v>20820</v>
      </c>
      <c r="C2083" s="66">
        <f>IFERROR(__xludf.DUMMYFUNCTION("""COMPUTED_VALUE"""),2.166321E10)</f>
        <v>21663210000</v>
      </c>
      <c r="D2083" s="1"/>
      <c r="E2083" s="1"/>
      <c r="F2083" s="1"/>
      <c r="G2083" s="1"/>
      <c r="H2083" s="1"/>
      <c r="I2083" s="1"/>
      <c r="J2083" s="1"/>
      <c r="K2083" s="1"/>
      <c r="L2083" s="1"/>
      <c r="M2083" s="1"/>
      <c r="N2083" s="1"/>
      <c r="O2083" s="1"/>
      <c r="P2083" s="1"/>
      <c r="Q2083" s="1"/>
      <c r="R2083" s="1"/>
      <c r="S2083" s="1"/>
      <c r="T2083" s="1"/>
      <c r="U2083" s="1"/>
      <c r="V2083" s="1"/>
      <c r="W2083" s="1"/>
      <c r="X2083" s="1"/>
      <c r="Y2083" s="1"/>
      <c r="Z2083" s="1"/>
    </row>
    <row r="2084" ht="15.75" customHeight="1">
      <c r="A2084" s="2">
        <f>IFERROR(__xludf.DUMMYFUNCTION("""COMPUTED_VALUE"""),1041500.0)</f>
        <v>1041500</v>
      </c>
      <c r="B2084" s="2">
        <f>IFERROR(__xludf.DUMMYFUNCTION("""COMPUTED_VALUE"""),20830.0)</f>
        <v>20830</v>
      </c>
      <c r="C2084" s="66">
        <f>IFERROR(__xludf.DUMMYFUNCTION("""COMPUTED_VALUE"""),2.168403E10)</f>
        <v>21684030000</v>
      </c>
      <c r="D2084" s="1"/>
      <c r="E2084" s="1"/>
      <c r="F2084" s="1"/>
      <c r="G2084" s="1"/>
      <c r="H2084" s="1"/>
      <c r="I2084" s="1"/>
      <c r="J2084" s="1"/>
      <c r="K2084" s="1"/>
      <c r="L2084" s="1"/>
      <c r="M2084" s="1"/>
      <c r="N2084" s="1"/>
      <c r="O2084" s="1"/>
      <c r="P2084" s="1"/>
      <c r="Q2084" s="1"/>
      <c r="R2084" s="1"/>
      <c r="S2084" s="1"/>
      <c r="T2084" s="1"/>
      <c r="U2084" s="1"/>
      <c r="V2084" s="1"/>
      <c r="W2084" s="1"/>
      <c r="X2084" s="1"/>
      <c r="Y2084" s="1"/>
      <c r="Z2084" s="1"/>
    </row>
    <row r="2085" ht="15.75" customHeight="1">
      <c r="A2085" s="2">
        <f>IFERROR(__xludf.DUMMYFUNCTION("""COMPUTED_VALUE"""),1042000.0)</f>
        <v>1042000</v>
      </c>
      <c r="B2085" s="2">
        <f>IFERROR(__xludf.DUMMYFUNCTION("""COMPUTED_VALUE"""),20840.0)</f>
        <v>20840</v>
      </c>
      <c r="C2085" s="66">
        <f>IFERROR(__xludf.DUMMYFUNCTION("""COMPUTED_VALUE"""),2.170486E10)</f>
        <v>21704860000</v>
      </c>
      <c r="D2085" s="1"/>
      <c r="E2085" s="1"/>
      <c r="F2085" s="1"/>
      <c r="G2085" s="1"/>
      <c r="H2085" s="1"/>
      <c r="I2085" s="1"/>
      <c r="J2085" s="1"/>
      <c r="K2085" s="1"/>
      <c r="L2085" s="1"/>
      <c r="M2085" s="1"/>
      <c r="N2085" s="1"/>
      <c r="O2085" s="1"/>
      <c r="P2085" s="1"/>
      <c r="Q2085" s="1"/>
      <c r="R2085" s="1"/>
      <c r="S2085" s="1"/>
      <c r="T2085" s="1"/>
      <c r="U2085" s="1"/>
      <c r="V2085" s="1"/>
      <c r="W2085" s="1"/>
      <c r="X2085" s="1"/>
      <c r="Y2085" s="1"/>
      <c r="Z2085" s="1"/>
    </row>
    <row r="2086" ht="15.75" customHeight="1">
      <c r="A2086" s="2">
        <f>IFERROR(__xludf.DUMMYFUNCTION("""COMPUTED_VALUE"""),1042500.0)</f>
        <v>1042500</v>
      </c>
      <c r="B2086" s="2">
        <f>IFERROR(__xludf.DUMMYFUNCTION("""COMPUTED_VALUE"""),20850.0)</f>
        <v>20850</v>
      </c>
      <c r="C2086" s="66">
        <f>IFERROR(__xludf.DUMMYFUNCTION("""COMPUTED_VALUE"""),2.17257E10)</f>
        <v>21725700000</v>
      </c>
      <c r="D2086" s="1"/>
      <c r="E2086" s="1"/>
      <c r="F2086" s="1"/>
      <c r="G2086" s="1"/>
      <c r="H2086" s="1"/>
      <c r="I2086" s="1"/>
      <c r="J2086" s="1"/>
      <c r="K2086" s="1"/>
      <c r="L2086" s="1"/>
      <c r="M2086" s="1"/>
      <c r="N2086" s="1"/>
      <c r="O2086" s="1"/>
      <c r="P2086" s="1"/>
      <c r="Q2086" s="1"/>
      <c r="R2086" s="1"/>
      <c r="S2086" s="1"/>
      <c r="T2086" s="1"/>
      <c r="U2086" s="1"/>
      <c r="V2086" s="1"/>
      <c r="W2086" s="1"/>
      <c r="X2086" s="1"/>
      <c r="Y2086" s="1"/>
      <c r="Z2086" s="1"/>
    </row>
    <row r="2087" ht="15.75" customHeight="1">
      <c r="A2087" s="2">
        <f>IFERROR(__xludf.DUMMYFUNCTION("""COMPUTED_VALUE"""),1043000.0)</f>
        <v>1043000</v>
      </c>
      <c r="B2087" s="2">
        <f>IFERROR(__xludf.DUMMYFUNCTION("""COMPUTED_VALUE"""),20860.0)</f>
        <v>20860</v>
      </c>
      <c r="C2087" s="66">
        <f>IFERROR(__xludf.DUMMYFUNCTION("""COMPUTED_VALUE"""),2.174655E10)</f>
        <v>21746550000</v>
      </c>
      <c r="D2087" s="1"/>
      <c r="E2087" s="1"/>
      <c r="F2087" s="1"/>
      <c r="G2087" s="1"/>
      <c r="H2087" s="1"/>
      <c r="I2087" s="1"/>
      <c r="J2087" s="1"/>
      <c r="K2087" s="1"/>
      <c r="L2087" s="1"/>
      <c r="M2087" s="1"/>
      <c r="N2087" s="1"/>
      <c r="O2087" s="1"/>
      <c r="P2087" s="1"/>
      <c r="Q2087" s="1"/>
      <c r="R2087" s="1"/>
      <c r="S2087" s="1"/>
      <c r="T2087" s="1"/>
      <c r="U2087" s="1"/>
      <c r="V2087" s="1"/>
      <c r="W2087" s="1"/>
      <c r="X2087" s="1"/>
      <c r="Y2087" s="1"/>
      <c r="Z2087" s="1"/>
    </row>
    <row r="2088" ht="15.75" customHeight="1">
      <c r="A2088" s="2">
        <f>IFERROR(__xludf.DUMMYFUNCTION("""COMPUTED_VALUE"""),1043500.0)</f>
        <v>1043500</v>
      </c>
      <c r="B2088" s="2">
        <f>IFERROR(__xludf.DUMMYFUNCTION("""COMPUTED_VALUE"""),20870.0)</f>
        <v>20870</v>
      </c>
      <c r="C2088" s="66">
        <f>IFERROR(__xludf.DUMMYFUNCTION("""COMPUTED_VALUE"""),2.176741E10)</f>
        <v>21767410000</v>
      </c>
      <c r="D2088" s="1"/>
      <c r="E2088" s="1"/>
      <c r="F2088" s="1"/>
      <c r="G2088" s="1"/>
      <c r="H2088" s="1"/>
      <c r="I2088" s="1"/>
      <c r="J2088" s="1"/>
      <c r="K2088" s="1"/>
      <c r="L2088" s="1"/>
      <c r="M2088" s="1"/>
      <c r="N2088" s="1"/>
      <c r="O2088" s="1"/>
      <c r="P2088" s="1"/>
      <c r="Q2088" s="1"/>
      <c r="R2088" s="1"/>
      <c r="S2088" s="1"/>
      <c r="T2088" s="1"/>
      <c r="U2088" s="1"/>
      <c r="V2088" s="1"/>
      <c r="W2088" s="1"/>
      <c r="X2088" s="1"/>
      <c r="Y2088" s="1"/>
      <c r="Z2088" s="1"/>
    </row>
    <row r="2089" ht="15.75" customHeight="1">
      <c r="A2089" s="2">
        <f>IFERROR(__xludf.DUMMYFUNCTION("""COMPUTED_VALUE"""),1044000.0)</f>
        <v>1044000</v>
      </c>
      <c r="B2089" s="2">
        <f>IFERROR(__xludf.DUMMYFUNCTION("""COMPUTED_VALUE"""),20880.0)</f>
        <v>20880</v>
      </c>
      <c r="C2089" s="66">
        <f>IFERROR(__xludf.DUMMYFUNCTION("""COMPUTED_VALUE"""),2.178828E10)</f>
        <v>21788280000</v>
      </c>
      <c r="D2089" s="1"/>
      <c r="E2089" s="1"/>
      <c r="F2089" s="1"/>
      <c r="G2089" s="1"/>
      <c r="H2089" s="1"/>
      <c r="I2089" s="1"/>
      <c r="J2089" s="1"/>
      <c r="K2089" s="1"/>
      <c r="L2089" s="1"/>
      <c r="M2089" s="1"/>
      <c r="N2089" s="1"/>
      <c r="O2089" s="1"/>
      <c r="P2089" s="1"/>
      <c r="Q2089" s="1"/>
      <c r="R2089" s="1"/>
      <c r="S2089" s="1"/>
      <c r="T2089" s="1"/>
      <c r="U2089" s="1"/>
      <c r="V2089" s="1"/>
      <c r="W2089" s="1"/>
      <c r="X2089" s="1"/>
      <c r="Y2089" s="1"/>
      <c r="Z2089" s="1"/>
    </row>
    <row r="2090" ht="15.75" customHeight="1">
      <c r="A2090" s="2">
        <f>IFERROR(__xludf.DUMMYFUNCTION("""COMPUTED_VALUE"""),1044500.0)</f>
        <v>1044500</v>
      </c>
      <c r="B2090" s="2">
        <f>IFERROR(__xludf.DUMMYFUNCTION("""COMPUTED_VALUE"""),20890.0)</f>
        <v>20890</v>
      </c>
      <c r="C2090" s="66">
        <f>IFERROR(__xludf.DUMMYFUNCTION("""COMPUTED_VALUE"""),2.180916E10)</f>
        <v>21809160000</v>
      </c>
      <c r="D2090" s="1"/>
      <c r="E2090" s="1"/>
      <c r="F2090" s="1"/>
      <c r="G2090" s="1"/>
      <c r="H2090" s="1"/>
      <c r="I2090" s="1"/>
      <c r="J2090" s="1"/>
      <c r="K2090" s="1"/>
      <c r="L2090" s="1"/>
      <c r="M2090" s="1"/>
      <c r="N2090" s="1"/>
      <c r="O2090" s="1"/>
      <c r="P2090" s="1"/>
      <c r="Q2090" s="1"/>
      <c r="R2090" s="1"/>
      <c r="S2090" s="1"/>
      <c r="T2090" s="1"/>
      <c r="U2090" s="1"/>
      <c r="V2090" s="1"/>
      <c r="W2090" s="1"/>
      <c r="X2090" s="1"/>
      <c r="Y2090" s="1"/>
      <c r="Z2090" s="1"/>
    </row>
    <row r="2091" ht="15.75" customHeight="1">
      <c r="A2091" s="2">
        <f>IFERROR(__xludf.DUMMYFUNCTION("""COMPUTED_VALUE"""),1045000.0)</f>
        <v>1045000</v>
      </c>
      <c r="B2091" s="2">
        <f>IFERROR(__xludf.DUMMYFUNCTION("""COMPUTED_VALUE"""),20900.0)</f>
        <v>20900</v>
      </c>
      <c r="C2091" s="66">
        <f>IFERROR(__xludf.DUMMYFUNCTION("""COMPUTED_VALUE"""),2.183005E10)</f>
        <v>21830050000</v>
      </c>
      <c r="D2091" s="1"/>
      <c r="E2091" s="1"/>
      <c r="F2091" s="1"/>
      <c r="G2091" s="1"/>
      <c r="H2091" s="1"/>
      <c r="I2091" s="1"/>
      <c r="J2091" s="1"/>
      <c r="K2091" s="1"/>
      <c r="L2091" s="1"/>
      <c r="M2091" s="1"/>
      <c r="N2091" s="1"/>
      <c r="O2091" s="1"/>
      <c r="P2091" s="1"/>
      <c r="Q2091" s="1"/>
      <c r="R2091" s="1"/>
      <c r="S2091" s="1"/>
      <c r="T2091" s="1"/>
      <c r="U2091" s="1"/>
      <c r="V2091" s="1"/>
      <c r="W2091" s="1"/>
      <c r="X2091" s="1"/>
      <c r="Y2091" s="1"/>
      <c r="Z2091" s="1"/>
    </row>
    <row r="2092" ht="15.75" customHeight="1">
      <c r="A2092" s="2">
        <f>IFERROR(__xludf.DUMMYFUNCTION("""COMPUTED_VALUE"""),1045500.0)</f>
        <v>1045500</v>
      </c>
      <c r="B2092" s="2">
        <f>IFERROR(__xludf.DUMMYFUNCTION("""COMPUTED_VALUE"""),20910.0)</f>
        <v>20910</v>
      </c>
      <c r="C2092" s="66">
        <f>IFERROR(__xludf.DUMMYFUNCTION("""COMPUTED_VALUE"""),2.185095E10)</f>
        <v>21850950000</v>
      </c>
      <c r="D2092" s="1"/>
      <c r="E2092" s="1"/>
      <c r="F2092" s="1"/>
      <c r="G2092" s="1"/>
      <c r="H2092" s="1"/>
      <c r="I2092" s="1"/>
      <c r="J2092" s="1"/>
      <c r="K2092" s="1"/>
      <c r="L2092" s="1"/>
      <c r="M2092" s="1"/>
      <c r="N2092" s="1"/>
      <c r="O2092" s="1"/>
      <c r="P2092" s="1"/>
      <c r="Q2092" s="1"/>
      <c r="R2092" s="1"/>
      <c r="S2092" s="1"/>
      <c r="T2092" s="1"/>
      <c r="U2092" s="1"/>
      <c r="V2092" s="1"/>
      <c r="W2092" s="1"/>
      <c r="X2092" s="1"/>
      <c r="Y2092" s="1"/>
      <c r="Z2092" s="1"/>
    </row>
    <row r="2093" ht="15.75" customHeight="1">
      <c r="A2093" s="2">
        <f>IFERROR(__xludf.DUMMYFUNCTION("""COMPUTED_VALUE"""),1046000.0)</f>
        <v>1046000</v>
      </c>
      <c r="B2093" s="2">
        <f>IFERROR(__xludf.DUMMYFUNCTION("""COMPUTED_VALUE"""),20920.0)</f>
        <v>20920</v>
      </c>
      <c r="C2093" s="66">
        <f>IFERROR(__xludf.DUMMYFUNCTION("""COMPUTED_VALUE"""),2.187186E10)</f>
        <v>21871860000</v>
      </c>
      <c r="D2093" s="1"/>
      <c r="E2093" s="1"/>
      <c r="F2093" s="1"/>
      <c r="G2093" s="1"/>
      <c r="H2093" s="1"/>
      <c r="I2093" s="1"/>
      <c r="J2093" s="1"/>
      <c r="K2093" s="1"/>
      <c r="L2093" s="1"/>
      <c r="M2093" s="1"/>
      <c r="N2093" s="1"/>
      <c r="O2093" s="1"/>
      <c r="P2093" s="1"/>
      <c r="Q2093" s="1"/>
      <c r="R2093" s="1"/>
      <c r="S2093" s="1"/>
      <c r="T2093" s="1"/>
      <c r="U2093" s="1"/>
      <c r="V2093" s="1"/>
      <c r="W2093" s="1"/>
      <c r="X2093" s="1"/>
      <c r="Y2093" s="1"/>
      <c r="Z2093" s="1"/>
    </row>
    <row r="2094" ht="15.75" customHeight="1">
      <c r="A2094" s="2">
        <f>IFERROR(__xludf.DUMMYFUNCTION("""COMPUTED_VALUE"""),1046500.0)</f>
        <v>1046500</v>
      </c>
      <c r="B2094" s="2">
        <f>IFERROR(__xludf.DUMMYFUNCTION("""COMPUTED_VALUE"""),20930.0)</f>
        <v>20930</v>
      </c>
      <c r="C2094" s="66">
        <f>IFERROR(__xludf.DUMMYFUNCTION("""COMPUTED_VALUE"""),2.189278E10)</f>
        <v>21892780000</v>
      </c>
      <c r="D2094" s="1"/>
      <c r="E2094" s="1"/>
      <c r="F2094" s="1"/>
      <c r="G2094" s="1"/>
      <c r="H2094" s="1"/>
      <c r="I2094" s="1"/>
      <c r="J2094" s="1"/>
      <c r="K2094" s="1"/>
      <c r="L2094" s="1"/>
      <c r="M2094" s="1"/>
      <c r="N2094" s="1"/>
      <c r="O2094" s="1"/>
      <c r="P2094" s="1"/>
      <c r="Q2094" s="1"/>
      <c r="R2094" s="1"/>
      <c r="S2094" s="1"/>
      <c r="T2094" s="1"/>
      <c r="U2094" s="1"/>
      <c r="V2094" s="1"/>
      <c r="W2094" s="1"/>
      <c r="X2094" s="1"/>
      <c r="Y2094" s="1"/>
      <c r="Z2094" s="1"/>
    </row>
    <row r="2095" ht="15.75" customHeight="1">
      <c r="A2095" s="2">
        <f>IFERROR(__xludf.DUMMYFUNCTION("""COMPUTED_VALUE"""),1047000.0)</f>
        <v>1047000</v>
      </c>
      <c r="B2095" s="2">
        <f>IFERROR(__xludf.DUMMYFUNCTION("""COMPUTED_VALUE"""),20940.0)</f>
        <v>20940</v>
      </c>
      <c r="C2095" s="66">
        <f>IFERROR(__xludf.DUMMYFUNCTION("""COMPUTED_VALUE"""),2.191371E10)</f>
        <v>21913710000</v>
      </c>
      <c r="D2095" s="1"/>
      <c r="E2095" s="1"/>
      <c r="F2095" s="1"/>
      <c r="G2095" s="1"/>
      <c r="H2095" s="1"/>
      <c r="I2095" s="1"/>
      <c r="J2095" s="1"/>
      <c r="K2095" s="1"/>
      <c r="L2095" s="1"/>
      <c r="M2095" s="1"/>
      <c r="N2095" s="1"/>
      <c r="O2095" s="1"/>
      <c r="P2095" s="1"/>
      <c r="Q2095" s="1"/>
      <c r="R2095" s="1"/>
      <c r="S2095" s="1"/>
      <c r="T2095" s="1"/>
      <c r="U2095" s="1"/>
      <c r="V2095" s="1"/>
      <c r="W2095" s="1"/>
      <c r="X2095" s="1"/>
      <c r="Y2095" s="1"/>
      <c r="Z2095" s="1"/>
    </row>
    <row r="2096" ht="15.75" customHeight="1">
      <c r="A2096" s="2">
        <f>IFERROR(__xludf.DUMMYFUNCTION("""COMPUTED_VALUE"""),1047500.0)</f>
        <v>1047500</v>
      </c>
      <c r="B2096" s="2">
        <f>IFERROR(__xludf.DUMMYFUNCTION("""COMPUTED_VALUE"""),20950.0)</f>
        <v>20950</v>
      </c>
      <c r="C2096" s="66">
        <f>IFERROR(__xludf.DUMMYFUNCTION("""COMPUTED_VALUE"""),2.193465E10)</f>
        <v>21934650000</v>
      </c>
      <c r="D2096" s="1"/>
      <c r="E2096" s="1"/>
      <c r="F2096" s="1"/>
      <c r="G2096" s="1"/>
      <c r="H2096" s="1"/>
      <c r="I2096" s="1"/>
      <c r="J2096" s="1"/>
      <c r="K2096" s="1"/>
      <c r="L2096" s="1"/>
      <c r="M2096" s="1"/>
      <c r="N2096" s="1"/>
      <c r="O2096" s="1"/>
      <c r="P2096" s="1"/>
      <c r="Q2096" s="1"/>
      <c r="R2096" s="1"/>
      <c r="S2096" s="1"/>
      <c r="T2096" s="1"/>
      <c r="U2096" s="1"/>
      <c r="V2096" s="1"/>
      <c r="W2096" s="1"/>
      <c r="X2096" s="1"/>
      <c r="Y2096" s="1"/>
      <c r="Z2096" s="1"/>
    </row>
    <row r="2097" ht="15.75" customHeight="1">
      <c r="A2097" s="2">
        <f>IFERROR(__xludf.DUMMYFUNCTION("""COMPUTED_VALUE"""),1048000.0)</f>
        <v>1048000</v>
      </c>
      <c r="B2097" s="2">
        <f>IFERROR(__xludf.DUMMYFUNCTION("""COMPUTED_VALUE"""),20960.0)</f>
        <v>20960</v>
      </c>
      <c r="C2097" s="66">
        <f>IFERROR(__xludf.DUMMYFUNCTION("""COMPUTED_VALUE"""),2.19556E10)</f>
        <v>21955600000</v>
      </c>
      <c r="D2097" s="1"/>
      <c r="E2097" s="1"/>
      <c r="F2097" s="1"/>
      <c r="G2097" s="1"/>
      <c r="H2097" s="1"/>
      <c r="I2097" s="1"/>
      <c r="J2097" s="1"/>
      <c r="K2097" s="1"/>
      <c r="L2097" s="1"/>
      <c r="M2097" s="1"/>
      <c r="N2097" s="1"/>
      <c r="O2097" s="1"/>
      <c r="P2097" s="1"/>
      <c r="Q2097" s="1"/>
      <c r="R2097" s="1"/>
      <c r="S2097" s="1"/>
      <c r="T2097" s="1"/>
      <c r="U2097" s="1"/>
      <c r="V2097" s="1"/>
      <c r="W2097" s="1"/>
      <c r="X2097" s="1"/>
      <c r="Y2097" s="1"/>
      <c r="Z2097" s="1"/>
    </row>
    <row r="2098" ht="15.75" customHeight="1">
      <c r="A2098" s="2">
        <f>IFERROR(__xludf.DUMMYFUNCTION("""COMPUTED_VALUE"""),1048500.0)</f>
        <v>1048500</v>
      </c>
      <c r="B2098" s="2">
        <f>IFERROR(__xludf.DUMMYFUNCTION("""COMPUTED_VALUE"""),20970.0)</f>
        <v>20970</v>
      </c>
      <c r="C2098" s="66">
        <f>IFERROR(__xludf.DUMMYFUNCTION("""COMPUTED_VALUE"""),2.197656E10)</f>
        <v>21976560000</v>
      </c>
      <c r="D2098" s="1"/>
      <c r="E2098" s="1"/>
      <c r="F2098" s="1"/>
      <c r="G2098" s="1"/>
      <c r="H2098" s="1"/>
      <c r="I2098" s="1"/>
      <c r="J2098" s="1"/>
      <c r="K2098" s="1"/>
      <c r="L2098" s="1"/>
      <c r="M2098" s="1"/>
      <c r="N2098" s="1"/>
      <c r="O2098" s="1"/>
      <c r="P2098" s="1"/>
      <c r="Q2098" s="1"/>
      <c r="R2098" s="1"/>
      <c r="S2098" s="1"/>
      <c r="T2098" s="1"/>
      <c r="U2098" s="1"/>
      <c r="V2098" s="1"/>
      <c r="W2098" s="1"/>
      <c r="X2098" s="1"/>
      <c r="Y2098" s="1"/>
      <c r="Z2098" s="1"/>
    </row>
    <row r="2099" ht="15.75" customHeight="1">
      <c r="A2099" s="2">
        <f>IFERROR(__xludf.DUMMYFUNCTION("""COMPUTED_VALUE"""),1049000.0)</f>
        <v>1049000</v>
      </c>
      <c r="B2099" s="2">
        <f>IFERROR(__xludf.DUMMYFUNCTION("""COMPUTED_VALUE"""),20980.0)</f>
        <v>20980</v>
      </c>
      <c r="C2099" s="66">
        <f>IFERROR(__xludf.DUMMYFUNCTION("""COMPUTED_VALUE"""),2.199753E10)</f>
        <v>21997530000</v>
      </c>
      <c r="D2099" s="1"/>
      <c r="E2099" s="1"/>
      <c r="F2099" s="1"/>
      <c r="G2099" s="1"/>
      <c r="H2099" s="1"/>
      <c r="I2099" s="1"/>
      <c r="J2099" s="1"/>
      <c r="K2099" s="1"/>
      <c r="L2099" s="1"/>
      <c r="M2099" s="1"/>
      <c r="N2099" s="1"/>
      <c r="O2099" s="1"/>
      <c r="P2099" s="1"/>
      <c r="Q2099" s="1"/>
      <c r="R2099" s="1"/>
      <c r="S2099" s="1"/>
      <c r="T2099" s="1"/>
      <c r="U2099" s="1"/>
      <c r="V2099" s="1"/>
      <c r="W2099" s="1"/>
      <c r="X2099" s="1"/>
      <c r="Y2099" s="1"/>
      <c r="Z2099" s="1"/>
    </row>
    <row r="2100" ht="15.75" customHeight="1">
      <c r="A2100" s="2">
        <f>IFERROR(__xludf.DUMMYFUNCTION("""COMPUTED_VALUE"""),1049500.0)</f>
        <v>1049500</v>
      </c>
      <c r="B2100" s="2">
        <f>IFERROR(__xludf.DUMMYFUNCTION("""COMPUTED_VALUE"""),20990.0)</f>
        <v>20990</v>
      </c>
      <c r="C2100" s="66">
        <f>IFERROR(__xludf.DUMMYFUNCTION("""COMPUTED_VALUE"""),2.201851E10)</f>
        <v>22018510000</v>
      </c>
      <c r="D2100" s="1"/>
      <c r="E2100" s="1"/>
      <c r="F2100" s="1"/>
      <c r="G2100" s="1"/>
      <c r="H2100" s="1"/>
      <c r="I2100" s="1"/>
      <c r="J2100" s="1"/>
      <c r="K2100" s="1"/>
      <c r="L2100" s="1"/>
      <c r="M2100" s="1"/>
      <c r="N2100" s="1"/>
      <c r="O2100" s="1"/>
      <c r="P2100" s="1"/>
      <c r="Q2100" s="1"/>
      <c r="R2100" s="1"/>
      <c r="S2100" s="1"/>
      <c r="T2100" s="1"/>
      <c r="U2100" s="1"/>
      <c r="V2100" s="1"/>
      <c r="W2100" s="1"/>
      <c r="X2100" s="1"/>
      <c r="Y2100" s="1"/>
      <c r="Z2100" s="1"/>
    </row>
    <row r="2101" ht="15.75" customHeight="1">
      <c r="A2101" s="2">
        <f>IFERROR(__xludf.DUMMYFUNCTION("""COMPUTED_VALUE"""),1050000.0)</f>
        <v>1050000</v>
      </c>
      <c r="B2101" s="2">
        <f>IFERROR(__xludf.DUMMYFUNCTION("""COMPUTED_VALUE"""),21000.0)</f>
        <v>21000</v>
      </c>
      <c r="C2101" s="66">
        <f>IFERROR(__xludf.DUMMYFUNCTION("""COMPUTED_VALUE"""),2.20395E10)</f>
        <v>22039500000</v>
      </c>
      <c r="D2101" s="1"/>
      <c r="E2101" s="1"/>
      <c r="F2101" s="1"/>
      <c r="G2101" s="1"/>
      <c r="H2101" s="1"/>
      <c r="I2101" s="1"/>
      <c r="J2101" s="1"/>
      <c r="K2101" s="1"/>
      <c r="L2101" s="1"/>
      <c r="M2101" s="1"/>
      <c r="N2101" s="1"/>
      <c r="O2101" s="1"/>
      <c r="P2101" s="1"/>
      <c r="Q2101" s="1"/>
      <c r="R2101" s="1"/>
      <c r="S2101" s="1"/>
      <c r="T2101" s="1"/>
      <c r="U2101" s="1"/>
      <c r="V2101" s="1"/>
      <c r="W2101" s="1"/>
      <c r="X2101" s="1"/>
      <c r="Y2101" s="1"/>
      <c r="Z2101" s="1"/>
    </row>
    <row r="2102" ht="15.75" customHeight="1">
      <c r="A2102" s="2">
        <f>IFERROR(__xludf.DUMMYFUNCTION("""COMPUTED_VALUE"""),1050500.0)</f>
        <v>1050500</v>
      </c>
      <c r="B2102" s="2">
        <f>IFERROR(__xludf.DUMMYFUNCTION("""COMPUTED_VALUE"""),21010.0)</f>
        <v>21010</v>
      </c>
      <c r="C2102" s="66">
        <f>IFERROR(__xludf.DUMMYFUNCTION("""COMPUTED_VALUE"""),2.20605E10)</f>
        <v>22060500000</v>
      </c>
      <c r="D2102" s="1"/>
      <c r="E2102" s="1"/>
      <c r="F2102" s="1"/>
      <c r="G2102" s="1"/>
      <c r="H2102" s="1"/>
      <c r="I2102" s="1"/>
      <c r="J2102" s="1"/>
      <c r="K2102" s="1"/>
      <c r="L2102" s="1"/>
      <c r="M2102" s="1"/>
      <c r="N2102" s="1"/>
      <c r="O2102" s="1"/>
      <c r="P2102" s="1"/>
      <c r="Q2102" s="1"/>
      <c r="R2102" s="1"/>
      <c r="S2102" s="1"/>
      <c r="T2102" s="1"/>
      <c r="U2102" s="1"/>
      <c r="V2102" s="1"/>
      <c r="W2102" s="1"/>
      <c r="X2102" s="1"/>
      <c r="Y2102" s="1"/>
      <c r="Z2102" s="1"/>
    </row>
    <row r="2103" ht="15.75" customHeight="1">
      <c r="A2103" s="2">
        <f>IFERROR(__xludf.DUMMYFUNCTION("""COMPUTED_VALUE"""),1051000.0)</f>
        <v>1051000</v>
      </c>
      <c r="B2103" s="2">
        <f>IFERROR(__xludf.DUMMYFUNCTION("""COMPUTED_VALUE"""),21020.0)</f>
        <v>21020</v>
      </c>
      <c r="C2103" s="66">
        <f>IFERROR(__xludf.DUMMYFUNCTION("""COMPUTED_VALUE"""),2.208151E10)</f>
        <v>22081510000</v>
      </c>
      <c r="D2103" s="1"/>
      <c r="E2103" s="1"/>
      <c r="F2103" s="1"/>
      <c r="G2103" s="1"/>
      <c r="H2103" s="1"/>
      <c r="I2103" s="1"/>
      <c r="J2103" s="1"/>
      <c r="K2103" s="1"/>
      <c r="L2103" s="1"/>
      <c r="M2103" s="1"/>
      <c r="N2103" s="1"/>
      <c r="O2103" s="1"/>
      <c r="P2103" s="1"/>
      <c r="Q2103" s="1"/>
      <c r="R2103" s="1"/>
      <c r="S2103" s="1"/>
      <c r="T2103" s="1"/>
      <c r="U2103" s="1"/>
      <c r="V2103" s="1"/>
      <c r="W2103" s="1"/>
      <c r="X2103" s="1"/>
      <c r="Y2103" s="1"/>
      <c r="Z2103" s="1"/>
    </row>
    <row r="2104" ht="15.75" customHeight="1">
      <c r="A2104" s="2">
        <f>IFERROR(__xludf.DUMMYFUNCTION("""COMPUTED_VALUE"""),1051500.0)</f>
        <v>1051500</v>
      </c>
      <c r="B2104" s="2">
        <f>IFERROR(__xludf.DUMMYFUNCTION("""COMPUTED_VALUE"""),21030.0)</f>
        <v>21030</v>
      </c>
      <c r="C2104" s="66">
        <f>IFERROR(__xludf.DUMMYFUNCTION("""COMPUTED_VALUE"""),2.210253E10)</f>
        <v>22102530000</v>
      </c>
      <c r="D2104" s="1"/>
      <c r="E2104" s="1"/>
      <c r="F2104" s="1"/>
      <c r="G2104" s="1"/>
      <c r="H2104" s="1"/>
      <c r="I2104" s="1"/>
      <c r="J2104" s="1"/>
      <c r="K2104" s="1"/>
      <c r="L2104" s="1"/>
      <c r="M2104" s="1"/>
      <c r="N2104" s="1"/>
      <c r="O2104" s="1"/>
      <c r="P2104" s="1"/>
      <c r="Q2104" s="1"/>
      <c r="R2104" s="1"/>
      <c r="S2104" s="1"/>
      <c r="T2104" s="1"/>
      <c r="U2104" s="1"/>
      <c r="V2104" s="1"/>
      <c r="W2104" s="1"/>
      <c r="X2104" s="1"/>
      <c r="Y2104" s="1"/>
      <c r="Z2104" s="1"/>
    </row>
    <row r="2105" ht="15.75" customHeight="1">
      <c r="A2105" s="2">
        <f>IFERROR(__xludf.DUMMYFUNCTION("""COMPUTED_VALUE"""),1052000.0)</f>
        <v>1052000</v>
      </c>
      <c r="B2105" s="2">
        <f>IFERROR(__xludf.DUMMYFUNCTION("""COMPUTED_VALUE"""),21040.0)</f>
        <v>21040</v>
      </c>
      <c r="C2105" s="66">
        <f>IFERROR(__xludf.DUMMYFUNCTION("""COMPUTED_VALUE"""),2.212356E10)</f>
        <v>22123560000</v>
      </c>
      <c r="D2105" s="1"/>
      <c r="E2105" s="1"/>
      <c r="F2105" s="1"/>
      <c r="G2105" s="1"/>
      <c r="H2105" s="1"/>
      <c r="I2105" s="1"/>
      <c r="J2105" s="1"/>
      <c r="K2105" s="1"/>
      <c r="L2105" s="1"/>
      <c r="M2105" s="1"/>
      <c r="N2105" s="1"/>
      <c r="O2105" s="1"/>
      <c r="P2105" s="1"/>
      <c r="Q2105" s="1"/>
      <c r="R2105" s="1"/>
      <c r="S2105" s="1"/>
      <c r="T2105" s="1"/>
      <c r="U2105" s="1"/>
      <c r="V2105" s="1"/>
      <c r="W2105" s="1"/>
      <c r="X2105" s="1"/>
      <c r="Y2105" s="1"/>
      <c r="Z2105" s="1"/>
    </row>
    <row r="2106" ht="15.75" customHeight="1">
      <c r="A2106" s="2">
        <f>IFERROR(__xludf.DUMMYFUNCTION("""COMPUTED_VALUE"""),1052500.0)</f>
        <v>1052500</v>
      </c>
      <c r="B2106" s="2">
        <f>IFERROR(__xludf.DUMMYFUNCTION("""COMPUTED_VALUE"""),21050.0)</f>
        <v>21050</v>
      </c>
      <c r="C2106" s="66">
        <f>IFERROR(__xludf.DUMMYFUNCTION("""COMPUTED_VALUE"""),2.21446E10)</f>
        <v>22144600000</v>
      </c>
      <c r="D2106" s="1"/>
      <c r="E2106" s="1"/>
      <c r="F2106" s="1"/>
      <c r="G2106" s="1"/>
      <c r="H2106" s="1"/>
      <c r="I2106" s="1"/>
      <c r="J2106" s="1"/>
      <c r="K2106" s="1"/>
      <c r="L2106" s="1"/>
      <c r="M2106" s="1"/>
      <c r="N2106" s="1"/>
      <c r="O2106" s="1"/>
      <c r="P2106" s="1"/>
      <c r="Q2106" s="1"/>
      <c r="R2106" s="1"/>
      <c r="S2106" s="1"/>
      <c r="T2106" s="1"/>
      <c r="U2106" s="1"/>
      <c r="V2106" s="1"/>
      <c r="W2106" s="1"/>
      <c r="X2106" s="1"/>
      <c r="Y2106" s="1"/>
      <c r="Z2106" s="1"/>
    </row>
    <row r="2107" ht="15.75" customHeight="1">
      <c r="A2107" s="2">
        <f>IFERROR(__xludf.DUMMYFUNCTION("""COMPUTED_VALUE"""),1053000.0)</f>
        <v>1053000</v>
      </c>
      <c r="B2107" s="2">
        <f>IFERROR(__xludf.DUMMYFUNCTION("""COMPUTED_VALUE"""),21060.0)</f>
        <v>21060</v>
      </c>
      <c r="C2107" s="66">
        <f>IFERROR(__xludf.DUMMYFUNCTION("""COMPUTED_VALUE"""),2.216565E10)</f>
        <v>22165650000</v>
      </c>
      <c r="D2107" s="1"/>
      <c r="E2107" s="1"/>
      <c r="F2107" s="1"/>
      <c r="G2107" s="1"/>
      <c r="H2107" s="1"/>
      <c r="I2107" s="1"/>
      <c r="J2107" s="1"/>
      <c r="K2107" s="1"/>
      <c r="L2107" s="1"/>
      <c r="M2107" s="1"/>
      <c r="N2107" s="1"/>
      <c r="O2107" s="1"/>
      <c r="P2107" s="1"/>
      <c r="Q2107" s="1"/>
      <c r="R2107" s="1"/>
      <c r="S2107" s="1"/>
      <c r="T2107" s="1"/>
      <c r="U2107" s="1"/>
      <c r="V2107" s="1"/>
      <c r="W2107" s="1"/>
      <c r="X2107" s="1"/>
      <c r="Y2107" s="1"/>
      <c r="Z2107" s="1"/>
    </row>
    <row r="2108" ht="15.75" customHeight="1">
      <c r="A2108" s="2">
        <f>IFERROR(__xludf.DUMMYFUNCTION("""COMPUTED_VALUE"""),1053500.0)</f>
        <v>1053500</v>
      </c>
      <c r="B2108" s="2">
        <f>IFERROR(__xludf.DUMMYFUNCTION("""COMPUTED_VALUE"""),21070.0)</f>
        <v>21070</v>
      </c>
      <c r="C2108" s="66">
        <f>IFERROR(__xludf.DUMMYFUNCTION("""COMPUTED_VALUE"""),2.218671E10)</f>
        <v>22186710000</v>
      </c>
      <c r="D2108" s="1"/>
      <c r="E2108" s="1"/>
      <c r="F2108" s="1"/>
      <c r="G2108" s="1"/>
      <c r="H2108" s="1"/>
      <c r="I2108" s="1"/>
      <c r="J2108" s="1"/>
      <c r="K2108" s="1"/>
      <c r="L2108" s="1"/>
      <c r="M2108" s="1"/>
      <c r="N2108" s="1"/>
      <c r="O2108" s="1"/>
      <c r="P2108" s="1"/>
      <c r="Q2108" s="1"/>
      <c r="R2108" s="1"/>
      <c r="S2108" s="1"/>
      <c r="T2108" s="1"/>
      <c r="U2108" s="1"/>
      <c r="V2108" s="1"/>
      <c r="W2108" s="1"/>
      <c r="X2108" s="1"/>
      <c r="Y2108" s="1"/>
      <c r="Z2108" s="1"/>
    </row>
    <row r="2109" ht="15.75" customHeight="1">
      <c r="A2109" s="2">
        <f>IFERROR(__xludf.DUMMYFUNCTION("""COMPUTED_VALUE"""),1054000.0)</f>
        <v>1054000</v>
      </c>
      <c r="B2109" s="2">
        <f>IFERROR(__xludf.DUMMYFUNCTION("""COMPUTED_VALUE"""),21080.0)</f>
        <v>21080</v>
      </c>
      <c r="C2109" s="66">
        <f>IFERROR(__xludf.DUMMYFUNCTION("""COMPUTED_VALUE"""),2.220778E10)</f>
        <v>22207780000</v>
      </c>
      <c r="D2109" s="1"/>
      <c r="E2109" s="1"/>
      <c r="F2109" s="1"/>
      <c r="G2109" s="1"/>
      <c r="H2109" s="1"/>
      <c r="I2109" s="1"/>
      <c r="J2109" s="1"/>
      <c r="K2109" s="1"/>
      <c r="L2109" s="1"/>
      <c r="M2109" s="1"/>
      <c r="N2109" s="1"/>
      <c r="O2109" s="1"/>
      <c r="P2109" s="1"/>
      <c r="Q2109" s="1"/>
      <c r="R2109" s="1"/>
      <c r="S2109" s="1"/>
      <c r="T2109" s="1"/>
      <c r="U2109" s="1"/>
      <c r="V2109" s="1"/>
      <c r="W2109" s="1"/>
      <c r="X2109" s="1"/>
      <c r="Y2109" s="1"/>
      <c r="Z2109" s="1"/>
    </row>
    <row r="2110" ht="15.75" customHeight="1">
      <c r="A2110" s="2">
        <f>IFERROR(__xludf.DUMMYFUNCTION("""COMPUTED_VALUE"""),1054500.0)</f>
        <v>1054500</v>
      </c>
      <c r="B2110" s="2">
        <f>IFERROR(__xludf.DUMMYFUNCTION("""COMPUTED_VALUE"""),21090.0)</f>
        <v>21090</v>
      </c>
      <c r="C2110" s="66">
        <f>IFERROR(__xludf.DUMMYFUNCTION("""COMPUTED_VALUE"""),2.222886E10)</f>
        <v>22228860000</v>
      </c>
      <c r="D2110" s="1"/>
      <c r="E2110" s="1"/>
      <c r="F2110" s="1"/>
      <c r="G2110" s="1"/>
      <c r="H2110" s="1"/>
      <c r="I2110" s="1"/>
      <c r="J2110" s="1"/>
      <c r="K2110" s="1"/>
      <c r="L2110" s="1"/>
      <c r="M2110" s="1"/>
      <c r="N2110" s="1"/>
      <c r="O2110" s="1"/>
      <c r="P2110" s="1"/>
      <c r="Q2110" s="1"/>
      <c r="R2110" s="1"/>
      <c r="S2110" s="1"/>
      <c r="T2110" s="1"/>
      <c r="U2110" s="1"/>
      <c r="V2110" s="1"/>
      <c r="W2110" s="1"/>
      <c r="X2110" s="1"/>
      <c r="Y2110" s="1"/>
      <c r="Z2110" s="1"/>
    </row>
    <row r="2111" ht="15.75" customHeight="1">
      <c r="A2111" s="2">
        <f>IFERROR(__xludf.DUMMYFUNCTION("""COMPUTED_VALUE"""),1055000.0)</f>
        <v>1055000</v>
      </c>
      <c r="B2111" s="2">
        <f>IFERROR(__xludf.DUMMYFUNCTION("""COMPUTED_VALUE"""),21100.0)</f>
        <v>21100</v>
      </c>
      <c r="C2111" s="66">
        <f>IFERROR(__xludf.DUMMYFUNCTION("""COMPUTED_VALUE"""),2.224995E10)</f>
        <v>22249950000</v>
      </c>
      <c r="D2111" s="1"/>
      <c r="E2111" s="1"/>
      <c r="F2111" s="1"/>
      <c r="G2111" s="1"/>
      <c r="H2111" s="1"/>
      <c r="I2111" s="1"/>
      <c r="J2111" s="1"/>
      <c r="K2111" s="1"/>
      <c r="L2111" s="1"/>
      <c r="M2111" s="1"/>
      <c r="N2111" s="1"/>
      <c r="O2111" s="1"/>
      <c r="P2111" s="1"/>
      <c r="Q2111" s="1"/>
      <c r="R2111" s="1"/>
      <c r="S2111" s="1"/>
      <c r="T2111" s="1"/>
      <c r="U2111" s="1"/>
      <c r="V2111" s="1"/>
      <c r="W2111" s="1"/>
      <c r="X2111" s="1"/>
      <c r="Y2111" s="1"/>
      <c r="Z2111" s="1"/>
    </row>
    <row r="2112" ht="15.75" customHeight="1">
      <c r="A2112" s="2">
        <f>IFERROR(__xludf.DUMMYFUNCTION("""COMPUTED_VALUE"""),1055500.0)</f>
        <v>1055500</v>
      </c>
      <c r="B2112" s="2">
        <f>IFERROR(__xludf.DUMMYFUNCTION("""COMPUTED_VALUE"""),21110.0)</f>
        <v>21110</v>
      </c>
      <c r="C2112" s="66">
        <f>IFERROR(__xludf.DUMMYFUNCTION("""COMPUTED_VALUE"""),2.227105E10)</f>
        <v>22271050000</v>
      </c>
      <c r="D2112" s="1"/>
      <c r="E2112" s="1"/>
      <c r="F2112" s="1"/>
      <c r="G2112" s="1"/>
      <c r="H2112" s="1"/>
      <c r="I2112" s="1"/>
      <c r="J2112" s="1"/>
      <c r="K2112" s="1"/>
      <c r="L2112" s="1"/>
      <c r="M2112" s="1"/>
      <c r="N2112" s="1"/>
      <c r="O2112" s="1"/>
      <c r="P2112" s="1"/>
      <c r="Q2112" s="1"/>
      <c r="R2112" s="1"/>
      <c r="S2112" s="1"/>
      <c r="T2112" s="1"/>
      <c r="U2112" s="1"/>
      <c r="V2112" s="1"/>
      <c r="W2112" s="1"/>
      <c r="X2112" s="1"/>
      <c r="Y2112" s="1"/>
      <c r="Z2112" s="1"/>
    </row>
    <row r="2113" ht="15.75" customHeight="1">
      <c r="A2113" s="2">
        <f>IFERROR(__xludf.DUMMYFUNCTION("""COMPUTED_VALUE"""),1056000.0)</f>
        <v>1056000</v>
      </c>
      <c r="B2113" s="2">
        <f>IFERROR(__xludf.DUMMYFUNCTION("""COMPUTED_VALUE"""),21120.0)</f>
        <v>21120</v>
      </c>
      <c r="C2113" s="66">
        <f>IFERROR(__xludf.DUMMYFUNCTION("""COMPUTED_VALUE"""),2.229216E10)</f>
        <v>22292160000</v>
      </c>
      <c r="D2113" s="1"/>
      <c r="E2113" s="1"/>
      <c r="F2113" s="1"/>
      <c r="G2113" s="1"/>
      <c r="H2113" s="1"/>
      <c r="I2113" s="1"/>
      <c r="J2113" s="1"/>
      <c r="K2113" s="1"/>
      <c r="L2113" s="1"/>
      <c r="M2113" s="1"/>
      <c r="N2113" s="1"/>
      <c r="O2113" s="1"/>
      <c r="P2113" s="1"/>
      <c r="Q2113" s="1"/>
      <c r="R2113" s="1"/>
      <c r="S2113" s="1"/>
      <c r="T2113" s="1"/>
      <c r="U2113" s="1"/>
      <c r="V2113" s="1"/>
      <c r="W2113" s="1"/>
      <c r="X2113" s="1"/>
      <c r="Y2113" s="1"/>
      <c r="Z2113" s="1"/>
    </row>
    <row r="2114" ht="15.75" customHeight="1">
      <c r="A2114" s="2">
        <f>IFERROR(__xludf.DUMMYFUNCTION("""COMPUTED_VALUE"""),1056500.0)</f>
        <v>1056500</v>
      </c>
      <c r="B2114" s="2">
        <f>IFERROR(__xludf.DUMMYFUNCTION("""COMPUTED_VALUE"""),21130.0)</f>
        <v>21130</v>
      </c>
      <c r="C2114" s="66">
        <f>IFERROR(__xludf.DUMMYFUNCTION("""COMPUTED_VALUE"""),2.231328E10)</f>
        <v>22313280000</v>
      </c>
      <c r="D2114" s="1"/>
      <c r="E2114" s="1"/>
      <c r="F2114" s="1"/>
      <c r="G2114" s="1"/>
      <c r="H2114" s="1"/>
      <c r="I2114" s="1"/>
      <c r="J2114" s="1"/>
      <c r="K2114" s="1"/>
      <c r="L2114" s="1"/>
      <c r="M2114" s="1"/>
      <c r="N2114" s="1"/>
      <c r="O2114" s="1"/>
      <c r="P2114" s="1"/>
      <c r="Q2114" s="1"/>
      <c r="R2114" s="1"/>
      <c r="S2114" s="1"/>
      <c r="T2114" s="1"/>
      <c r="U2114" s="1"/>
      <c r="V2114" s="1"/>
      <c r="W2114" s="1"/>
      <c r="X2114" s="1"/>
      <c r="Y2114" s="1"/>
      <c r="Z2114" s="1"/>
    </row>
    <row r="2115" ht="15.75" customHeight="1">
      <c r="A2115" s="2">
        <f>IFERROR(__xludf.DUMMYFUNCTION("""COMPUTED_VALUE"""),1057000.0)</f>
        <v>1057000</v>
      </c>
      <c r="B2115" s="2">
        <f>IFERROR(__xludf.DUMMYFUNCTION("""COMPUTED_VALUE"""),21140.0)</f>
        <v>21140</v>
      </c>
      <c r="C2115" s="66">
        <f>IFERROR(__xludf.DUMMYFUNCTION("""COMPUTED_VALUE"""),2.233441E10)</f>
        <v>22334410000</v>
      </c>
      <c r="D2115" s="1"/>
      <c r="E2115" s="1"/>
      <c r="F2115" s="1"/>
      <c r="G2115" s="1"/>
      <c r="H2115" s="1"/>
      <c r="I2115" s="1"/>
      <c r="J2115" s="1"/>
      <c r="K2115" s="1"/>
      <c r="L2115" s="1"/>
      <c r="M2115" s="1"/>
      <c r="N2115" s="1"/>
      <c r="O2115" s="1"/>
      <c r="P2115" s="1"/>
      <c r="Q2115" s="1"/>
      <c r="R2115" s="1"/>
      <c r="S2115" s="1"/>
      <c r="T2115" s="1"/>
      <c r="U2115" s="1"/>
      <c r="V2115" s="1"/>
      <c r="W2115" s="1"/>
      <c r="X2115" s="1"/>
      <c r="Y2115" s="1"/>
      <c r="Z2115" s="1"/>
    </row>
    <row r="2116" ht="15.75" customHeight="1">
      <c r="A2116" s="2">
        <f>IFERROR(__xludf.DUMMYFUNCTION("""COMPUTED_VALUE"""),1057500.0)</f>
        <v>1057500</v>
      </c>
      <c r="B2116" s="2">
        <f>IFERROR(__xludf.DUMMYFUNCTION("""COMPUTED_VALUE"""),21150.0)</f>
        <v>21150</v>
      </c>
      <c r="C2116" s="66">
        <f>IFERROR(__xludf.DUMMYFUNCTION("""COMPUTED_VALUE"""),2.235555E10)</f>
        <v>22355550000</v>
      </c>
      <c r="D2116" s="1"/>
      <c r="E2116" s="1"/>
      <c r="F2116" s="1"/>
      <c r="G2116" s="1"/>
      <c r="H2116" s="1"/>
      <c r="I2116" s="1"/>
      <c r="J2116" s="1"/>
      <c r="K2116" s="1"/>
      <c r="L2116" s="1"/>
      <c r="M2116" s="1"/>
      <c r="N2116" s="1"/>
      <c r="O2116" s="1"/>
      <c r="P2116" s="1"/>
      <c r="Q2116" s="1"/>
      <c r="R2116" s="1"/>
      <c r="S2116" s="1"/>
      <c r="T2116" s="1"/>
      <c r="U2116" s="1"/>
      <c r="V2116" s="1"/>
      <c r="W2116" s="1"/>
      <c r="X2116" s="1"/>
      <c r="Y2116" s="1"/>
      <c r="Z2116" s="1"/>
    </row>
    <row r="2117" ht="15.75" customHeight="1">
      <c r="A2117" s="2">
        <f>IFERROR(__xludf.DUMMYFUNCTION("""COMPUTED_VALUE"""),1058000.0)</f>
        <v>1058000</v>
      </c>
      <c r="B2117" s="2">
        <f>IFERROR(__xludf.DUMMYFUNCTION("""COMPUTED_VALUE"""),21160.0)</f>
        <v>21160</v>
      </c>
      <c r="C2117" s="66">
        <f>IFERROR(__xludf.DUMMYFUNCTION("""COMPUTED_VALUE"""),2.23767E10)</f>
        <v>22376700000</v>
      </c>
      <c r="D2117" s="1"/>
      <c r="E2117" s="1"/>
      <c r="F2117" s="1"/>
      <c r="G2117" s="1"/>
      <c r="H2117" s="1"/>
      <c r="I2117" s="1"/>
      <c r="J2117" s="1"/>
      <c r="K2117" s="1"/>
      <c r="L2117" s="1"/>
      <c r="M2117" s="1"/>
      <c r="N2117" s="1"/>
      <c r="O2117" s="1"/>
      <c r="P2117" s="1"/>
      <c r="Q2117" s="1"/>
      <c r="R2117" s="1"/>
      <c r="S2117" s="1"/>
      <c r="T2117" s="1"/>
      <c r="U2117" s="1"/>
      <c r="V2117" s="1"/>
      <c r="W2117" s="1"/>
      <c r="X2117" s="1"/>
      <c r="Y2117" s="1"/>
      <c r="Z2117" s="1"/>
    </row>
    <row r="2118" ht="15.75" customHeight="1">
      <c r="A2118" s="2">
        <f>IFERROR(__xludf.DUMMYFUNCTION("""COMPUTED_VALUE"""),1058500.0)</f>
        <v>1058500</v>
      </c>
      <c r="B2118" s="2">
        <f>IFERROR(__xludf.DUMMYFUNCTION("""COMPUTED_VALUE"""),21170.0)</f>
        <v>21170</v>
      </c>
      <c r="C2118" s="66">
        <f>IFERROR(__xludf.DUMMYFUNCTION("""COMPUTED_VALUE"""),2.239786E10)</f>
        <v>22397860000</v>
      </c>
      <c r="D2118" s="1"/>
      <c r="E2118" s="1"/>
      <c r="F2118" s="1"/>
      <c r="G2118" s="1"/>
      <c r="H2118" s="1"/>
      <c r="I2118" s="1"/>
      <c r="J2118" s="1"/>
      <c r="K2118" s="1"/>
      <c r="L2118" s="1"/>
      <c r="M2118" s="1"/>
      <c r="N2118" s="1"/>
      <c r="O2118" s="1"/>
      <c r="P2118" s="1"/>
      <c r="Q2118" s="1"/>
      <c r="R2118" s="1"/>
      <c r="S2118" s="1"/>
      <c r="T2118" s="1"/>
      <c r="U2118" s="1"/>
      <c r="V2118" s="1"/>
      <c r="W2118" s="1"/>
      <c r="X2118" s="1"/>
      <c r="Y2118" s="1"/>
      <c r="Z2118" s="1"/>
    </row>
    <row r="2119" ht="15.75" customHeight="1">
      <c r="A2119" s="2">
        <f>IFERROR(__xludf.DUMMYFUNCTION("""COMPUTED_VALUE"""),1059000.0)</f>
        <v>1059000</v>
      </c>
      <c r="B2119" s="2">
        <f>IFERROR(__xludf.DUMMYFUNCTION("""COMPUTED_VALUE"""),21180.0)</f>
        <v>21180</v>
      </c>
      <c r="C2119" s="66">
        <f>IFERROR(__xludf.DUMMYFUNCTION("""COMPUTED_VALUE"""),2.241903E10)</f>
        <v>22419030000</v>
      </c>
      <c r="D2119" s="1"/>
      <c r="E2119" s="1"/>
      <c r="F2119" s="1"/>
      <c r="G2119" s="1"/>
      <c r="H2119" s="1"/>
      <c r="I2119" s="1"/>
      <c r="J2119" s="1"/>
      <c r="K2119" s="1"/>
      <c r="L2119" s="1"/>
      <c r="M2119" s="1"/>
      <c r="N2119" s="1"/>
      <c r="O2119" s="1"/>
      <c r="P2119" s="1"/>
      <c r="Q2119" s="1"/>
      <c r="R2119" s="1"/>
      <c r="S2119" s="1"/>
      <c r="T2119" s="1"/>
      <c r="U2119" s="1"/>
      <c r="V2119" s="1"/>
      <c r="W2119" s="1"/>
      <c r="X2119" s="1"/>
      <c r="Y2119" s="1"/>
      <c r="Z2119" s="1"/>
    </row>
    <row r="2120" ht="15.75" customHeight="1">
      <c r="A2120" s="2">
        <f>IFERROR(__xludf.DUMMYFUNCTION("""COMPUTED_VALUE"""),1059500.0)</f>
        <v>1059500</v>
      </c>
      <c r="B2120" s="2">
        <f>IFERROR(__xludf.DUMMYFUNCTION("""COMPUTED_VALUE"""),21190.0)</f>
        <v>21190</v>
      </c>
      <c r="C2120" s="66">
        <f>IFERROR(__xludf.DUMMYFUNCTION("""COMPUTED_VALUE"""),2.244021E10)</f>
        <v>22440210000</v>
      </c>
      <c r="D2120" s="1"/>
      <c r="E2120" s="1"/>
      <c r="F2120" s="1"/>
      <c r="G2120" s="1"/>
      <c r="H2120" s="1"/>
      <c r="I2120" s="1"/>
      <c r="J2120" s="1"/>
      <c r="K2120" s="1"/>
      <c r="L2120" s="1"/>
      <c r="M2120" s="1"/>
      <c r="N2120" s="1"/>
      <c r="O2120" s="1"/>
      <c r="P2120" s="1"/>
      <c r="Q2120" s="1"/>
      <c r="R2120" s="1"/>
      <c r="S2120" s="1"/>
      <c r="T2120" s="1"/>
      <c r="U2120" s="1"/>
      <c r="V2120" s="1"/>
      <c r="W2120" s="1"/>
      <c r="X2120" s="1"/>
      <c r="Y2120" s="1"/>
      <c r="Z2120" s="1"/>
    </row>
    <row r="2121" ht="15.75" customHeight="1">
      <c r="A2121" s="2">
        <f>IFERROR(__xludf.DUMMYFUNCTION("""COMPUTED_VALUE"""),1060000.0)</f>
        <v>1060000</v>
      </c>
      <c r="B2121" s="2">
        <f>IFERROR(__xludf.DUMMYFUNCTION("""COMPUTED_VALUE"""),21200.0)</f>
        <v>21200</v>
      </c>
      <c r="C2121" s="66">
        <f>IFERROR(__xludf.DUMMYFUNCTION("""COMPUTED_VALUE"""),2.24614E10)</f>
        <v>22461400000</v>
      </c>
      <c r="D2121" s="1"/>
      <c r="E2121" s="1"/>
      <c r="F2121" s="1"/>
      <c r="G2121" s="1"/>
      <c r="H2121" s="1"/>
      <c r="I2121" s="1"/>
      <c r="J2121" s="1"/>
      <c r="K2121" s="1"/>
      <c r="L2121" s="1"/>
      <c r="M2121" s="1"/>
      <c r="N2121" s="1"/>
      <c r="O2121" s="1"/>
      <c r="P2121" s="1"/>
      <c r="Q2121" s="1"/>
      <c r="R2121" s="1"/>
      <c r="S2121" s="1"/>
      <c r="T2121" s="1"/>
      <c r="U2121" s="1"/>
      <c r="V2121" s="1"/>
      <c r="W2121" s="1"/>
      <c r="X2121" s="1"/>
      <c r="Y2121" s="1"/>
      <c r="Z2121" s="1"/>
    </row>
    <row r="2122" ht="15.75" customHeight="1">
      <c r="A2122" s="2">
        <f>IFERROR(__xludf.DUMMYFUNCTION("""COMPUTED_VALUE"""),1060500.0)</f>
        <v>1060500</v>
      </c>
      <c r="B2122" s="2">
        <f>IFERROR(__xludf.DUMMYFUNCTION("""COMPUTED_VALUE"""),21210.0)</f>
        <v>21210</v>
      </c>
      <c r="C2122" s="66">
        <f>IFERROR(__xludf.DUMMYFUNCTION("""COMPUTED_VALUE"""),2.24826E10)</f>
        <v>22482600000</v>
      </c>
      <c r="D2122" s="1"/>
      <c r="E2122" s="1"/>
      <c r="F2122" s="1"/>
      <c r="G2122" s="1"/>
      <c r="H2122" s="1"/>
      <c r="I2122" s="1"/>
      <c r="J2122" s="1"/>
      <c r="K2122" s="1"/>
      <c r="L2122" s="1"/>
      <c r="M2122" s="1"/>
      <c r="N2122" s="1"/>
      <c r="O2122" s="1"/>
      <c r="P2122" s="1"/>
      <c r="Q2122" s="1"/>
      <c r="R2122" s="1"/>
      <c r="S2122" s="1"/>
      <c r="T2122" s="1"/>
      <c r="U2122" s="1"/>
      <c r="V2122" s="1"/>
      <c r="W2122" s="1"/>
      <c r="X2122" s="1"/>
      <c r="Y2122" s="1"/>
      <c r="Z2122" s="1"/>
    </row>
    <row r="2123" ht="15.75" customHeight="1">
      <c r="A2123" s="2">
        <f>IFERROR(__xludf.DUMMYFUNCTION("""COMPUTED_VALUE"""),1061000.0)</f>
        <v>1061000</v>
      </c>
      <c r="B2123" s="2">
        <f>IFERROR(__xludf.DUMMYFUNCTION("""COMPUTED_VALUE"""),21220.0)</f>
        <v>21220</v>
      </c>
      <c r="C2123" s="66">
        <f>IFERROR(__xludf.DUMMYFUNCTION("""COMPUTED_VALUE"""),2.250381E10)</f>
        <v>22503810000</v>
      </c>
      <c r="D2123" s="1"/>
      <c r="E2123" s="1"/>
      <c r="F2123" s="1"/>
      <c r="G2123" s="1"/>
      <c r="H2123" s="1"/>
      <c r="I2123" s="1"/>
      <c r="J2123" s="1"/>
      <c r="K2123" s="1"/>
      <c r="L2123" s="1"/>
      <c r="M2123" s="1"/>
      <c r="N2123" s="1"/>
      <c r="O2123" s="1"/>
      <c r="P2123" s="1"/>
      <c r="Q2123" s="1"/>
      <c r="R2123" s="1"/>
      <c r="S2123" s="1"/>
      <c r="T2123" s="1"/>
      <c r="U2123" s="1"/>
      <c r="V2123" s="1"/>
      <c r="W2123" s="1"/>
      <c r="X2123" s="1"/>
      <c r="Y2123" s="1"/>
      <c r="Z2123" s="1"/>
    </row>
    <row r="2124" ht="15.75" customHeight="1">
      <c r="A2124" s="2">
        <f>IFERROR(__xludf.DUMMYFUNCTION("""COMPUTED_VALUE"""),1061500.0)</f>
        <v>1061500</v>
      </c>
      <c r="B2124" s="2">
        <f>IFERROR(__xludf.DUMMYFUNCTION("""COMPUTED_VALUE"""),21230.0)</f>
        <v>21230</v>
      </c>
      <c r="C2124" s="66">
        <f>IFERROR(__xludf.DUMMYFUNCTION("""COMPUTED_VALUE"""),2.252503E10)</f>
        <v>22525030000</v>
      </c>
      <c r="D2124" s="1"/>
      <c r="E2124" s="1"/>
      <c r="F2124" s="1"/>
      <c r="G2124" s="1"/>
      <c r="H2124" s="1"/>
      <c r="I2124" s="1"/>
      <c r="J2124" s="1"/>
      <c r="K2124" s="1"/>
      <c r="L2124" s="1"/>
      <c r="M2124" s="1"/>
      <c r="N2124" s="1"/>
      <c r="O2124" s="1"/>
      <c r="P2124" s="1"/>
      <c r="Q2124" s="1"/>
      <c r="R2124" s="1"/>
      <c r="S2124" s="1"/>
      <c r="T2124" s="1"/>
      <c r="U2124" s="1"/>
      <c r="V2124" s="1"/>
      <c r="W2124" s="1"/>
      <c r="X2124" s="1"/>
      <c r="Y2124" s="1"/>
      <c r="Z2124" s="1"/>
    </row>
    <row r="2125" ht="15.75" customHeight="1">
      <c r="A2125" s="2">
        <f>IFERROR(__xludf.DUMMYFUNCTION("""COMPUTED_VALUE"""),1062000.0)</f>
        <v>1062000</v>
      </c>
      <c r="B2125" s="2">
        <f>IFERROR(__xludf.DUMMYFUNCTION("""COMPUTED_VALUE"""),21240.0)</f>
        <v>21240</v>
      </c>
      <c r="C2125" s="66">
        <f>IFERROR(__xludf.DUMMYFUNCTION("""COMPUTED_VALUE"""),2.254626E10)</f>
        <v>22546260000</v>
      </c>
      <c r="D2125" s="1"/>
      <c r="E2125" s="1"/>
      <c r="F2125" s="1"/>
      <c r="G2125" s="1"/>
      <c r="H2125" s="1"/>
      <c r="I2125" s="1"/>
      <c r="J2125" s="1"/>
      <c r="K2125" s="1"/>
      <c r="L2125" s="1"/>
      <c r="M2125" s="1"/>
      <c r="N2125" s="1"/>
      <c r="O2125" s="1"/>
      <c r="P2125" s="1"/>
      <c r="Q2125" s="1"/>
      <c r="R2125" s="1"/>
      <c r="S2125" s="1"/>
      <c r="T2125" s="1"/>
      <c r="U2125" s="1"/>
      <c r="V2125" s="1"/>
      <c r="W2125" s="1"/>
      <c r="X2125" s="1"/>
      <c r="Y2125" s="1"/>
      <c r="Z2125" s="1"/>
    </row>
    <row r="2126" ht="15.75" customHeight="1">
      <c r="A2126" s="2">
        <f>IFERROR(__xludf.DUMMYFUNCTION("""COMPUTED_VALUE"""),1062500.0)</f>
        <v>1062500</v>
      </c>
      <c r="B2126" s="2">
        <f>IFERROR(__xludf.DUMMYFUNCTION("""COMPUTED_VALUE"""),21250.0)</f>
        <v>21250</v>
      </c>
      <c r="C2126" s="66">
        <f>IFERROR(__xludf.DUMMYFUNCTION("""COMPUTED_VALUE"""),2.25675E10)</f>
        <v>22567500000</v>
      </c>
      <c r="D2126" s="1"/>
      <c r="E2126" s="1"/>
      <c r="F2126" s="1"/>
      <c r="G2126" s="1"/>
      <c r="H2126" s="1"/>
      <c r="I2126" s="1"/>
      <c r="J2126" s="1"/>
      <c r="K2126" s="1"/>
      <c r="L2126" s="1"/>
      <c r="M2126" s="1"/>
      <c r="N2126" s="1"/>
      <c r="O2126" s="1"/>
      <c r="P2126" s="1"/>
      <c r="Q2126" s="1"/>
      <c r="R2126" s="1"/>
      <c r="S2126" s="1"/>
      <c r="T2126" s="1"/>
      <c r="U2126" s="1"/>
      <c r="V2126" s="1"/>
      <c r="W2126" s="1"/>
      <c r="X2126" s="1"/>
      <c r="Y2126" s="1"/>
      <c r="Z2126" s="1"/>
    </row>
    <row r="2127" ht="15.75" customHeight="1">
      <c r="A2127" s="2">
        <f>IFERROR(__xludf.DUMMYFUNCTION("""COMPUTED_VALUE"""),1063000.0)</f>
        <v>1063000</v>
      </c>
      <c r="B2127" s="2">
        <f>IFERROR(__xludf.DUMMYFUNCTION("""COMPUTED_VALUE"""),21260.0)</f>
        <v>21260</v>
      </c>
      <c r="C2127" s="66">
        <f>IFERROR(__xludf.DUMMYFUNCTION("""COMPUTED_VALUE"""),2.258875E10)</f>
        <v>22588750000</v>
      </c>
      <c r="D2127" s="1"/>
      <c r="E2127" s="1"/>
      <c r="F2127" s="1"/>
      <c r="G2127" s="1"/>
      <c r="H2127" s="1"/>
      <c r="I2127" s="1"/>
      <c r="J2127" s="1"/>
      <c r="K2127" s="1"/>
      <c r="L2127" s="1"/>
      <c r="M2127" s="1"/>
      <c r="N2127" s="1"/>
      <c r="O2127" s="1"/>
      <c r="P2127" s="1"/>
      <c r="Q2127" s="1"/>
      <c r="R2127" s="1"/>
      <c r="S2127" s="1"/>
      <c r="T2127" s="1"/>
      <c r="U2127" s="1"/>
      <c r="V2127" s="1"/>
      <c r="W2127" s="1"/>
      <c r="X2127" s="1"/>
      <c r="Y2127" s="1"/>
      <c r="Z2127" s="1"/>
    </row>
    <row r="2128" ht="15.75" customHeight="1">
      <c r="A2128" s="2">
        <f>IFERROR(__xludf.DUMMYFUNCTION("""COMPUTED_VALUE"""),1063500.0)</f>
        <v>1063500</v>
      </c>
      <c r="B2128" s="2">
        <f>IFERROR(__xludf.DUMMYFUNCTION("""COMPUTED_VALUE"""),21270.0)</f>
        <v>21270</v>
      </c>
      <c r="C2128" s="66">
        <f>IFERROR(__xludf.DUMMYFUNCTION("""COMPUTED_VALUE"""),2.261001E10)</f>
        <v>22610010000</v>
      </c>
      <c r="D2128" s="1"/>
      <c r="E2128" s="1"/>
      <c r="F2128" s="1"/>
      <c r="G2128" s="1"/>
      <c r="H2128" s="1"/>
      <c r="I2128" s="1"/>
      <c r="J2128" s="1"/>
      <c r="K2128" s="1"/>
      <c r="L2128" s="1"/>
      <c r="M2128" s="1"/>
      <c r="N2128" s="1"/>
      <c r="O2128" s="1"/>
      <c r="P2128" s="1"/>
      <c r="Q2128" s="1"/>
      <c r="R2128" s="1"/>
      <c r="S2128" s="1"/>
      <c r="T2128" s="1"/>
      <c r="U2128" s="1"/>
      <c r="V2128" s="1"/>
      <c r="W2128" s="1"/>
      <c r="X2128" s="1"/>
      <c r="Y2128" s="1"/>
      <c r="Z2128" s="1"/>
    </row>
    <row r="2129" ht="15.75" customHeight="1">
      <c r="A2129" s="2">
        <f>IFERROR(__xludf.DUMMYFUNCTION("""COMPUTED_VALUE"""),1064000.0)</f>
        <v>1064000</v>
      </c>
      <c r="B2129" s="2">
        <f>IFERROR(__xludf.DUMMYFUNCTION("""COMPUTED_VALUE"""),21280.0)</f>
        <v>21280</v>
      </c>
      <c r="C2129" s="66">
        <f>IFERROR(__xludf.DUMMYFUNCTION("""COMPUTED_VALUE"""),2.263128E10)</f>
        <v>22631280000</v>
      </c>
      <c r="D2129" s="1"/>
      <c r="E2129" s="1"/>
      <c r="F2129" s="1"/>
      <c r="G2129" s="1"/>
      <c r="H2129" s="1"/>
      <c r="I2129" s="1"/>
      <c r="J2129" s="1"/>
      <c r="K2129" s="1"/>
      <c r="L2129" s="1"/>
      <c r="M2129" s="1"/>
      <c r="N2129" s="1"/>
      <c r="O2129" s="1"/>
      <c r="P2129" s="1"/>
      <c r="Q2129" s="1"/>
      <c r="R2129" s="1"/>
      <c r="S2129" s="1"/>
      <c r="T2129" s="1"/>
      <c r="U2129" s="1"/>
      <c r="V2129" s="1"/>
      <c r="W2129" s="1"/>
      <c r="X2129" s="1"/>
      <c r="Y2129" s="1"/>
      <c r="Z2129" s="1"/>
    </row>
    <row r="2130" ht="15.75" customHeight="1">
      <c r="A2130" s="2">
        <f>IFERROR(__xludf.DUMMYFUNCTION("""COMPUTED_VALUE"""),1064500.0)</f>
        <v>1064500</v>
      </c>
      <c r="B2130" s="2">
        <f>IFERROR(__xludf.DUMMYFUNCTION("""COMPUTED_VALUE"""),21290.0)</f>
        <v>21290</v>
      </c>
      <c r="C2130" s="66">
        <f>IFERROR(__xludf.DUMMYFUNCTION("""COMPUTED_VALUE"""),2.265256E10)</f>
        <v>22652560000</v>
      </c>
      <c r="D2130" s="1"/>
      <c r="E2130" s="1"/>
      <c r="F2130" s="1"/>
      <c r="G2130" s="1"/>
      <c r="H2130" s="1"/>
      <c r="I2130" s="1"/>
      <c r="J2130" s="1"/>
      <c r="K2130" s="1"/>
      <c r="L2130" s="1"/>
      <c r="M2130" s="1"/>
      <c r="N2130" s="1"/>
      <c r="O2130" s="1"/>
      <c r="P2130" s="1"/>
      <c r="Q2130" s="1"/>
      <c r="R2130" s="1"/>
      <c r="S2130" s="1"/>
      <c r="T2130" s="1"/>
      <c r="U2130" s="1"/>
      <c r="V2130" s="1"/>
      <c r="W2130" s="1"/>
      <c r="X2130" s="1"/>
      <c r="Y2130" s="1"/>
      <c r="Z2130" s="1"/>
    </row>
    <row r="2131" ht="15.75" customHeight="1">
      <c r="A2131" s="2">
        <f>IFERROR(__xludf.DUMMYFUNCTION("""COMPUTED_VALUE"""),1065000.0)</f>
        <v>1065000</v>
      </c>
      <c r="B2131" s="2">
        <f>IFERROR(__xludf.DUMMYFUNCTION("""COMPUTED_VALUE"""),21300.0)</f>
        <v>21300</v>
      </c>
      <c r="C2131" s="66">
        <f>IFERROR(__xludf.DUMMYFUNCTION("""COMPUTED_VALUE"""),2.267385E10)</f>
        <v>22673850000</v>
      </c>
      <c r="D2131" s="1"/>
      <c r="E2131" s="1"/>
      <c r="F2131" s="1"/>
      <c r="G2131" s="1"/>
      <c r="H2131" s="1"/>
      <c r="I2131" s="1"/>
      <c r="J2131" s="1"/>
      <c r="K2131" s="1"/>
      <c r="L2131" s="1"/>
      <c r="M2131" s="1"/>
      <c r="N2131" s="1"/>
      <c r="O2131" s="1"/>
      <c r="P2131" s="1"/>
      <c r="Q2131" s="1"/>
      <c r="R2131" s="1"/>
      <c r="S2131" s="1"/>
      <c r="T2131" s="1"/>
      <c r="U2131" s="1"/>
      <c r="V2131" s="1"/>
      <c r="W2131" s="1"/>
      <c r="X2131" s="1"/>
      <c r="Y2131" s="1"/>
      <c r="Z2131" s="1"/>
    </row>
    <row r="2132" ht="15.75" customHeight="1">
      <c r="A2132" s="2">
        <f>IFERROR(__xludf.DUMMYFUNCTION("""COMPUTED_VALUE"""),1065500.0)</f>
        <v>1065500</v>
      </c>
      <c r="B2132" s="2">
        <f>IFERROR(__xludf.DUMMYFUNCTION("""COMPUTED_VALUE"""),21310.0)</f>
        <v>21310</v>
      </c>
      <c r="C2132" s="66">
        <f>IFERROR(__xludf.DUMMYFUNCTION("""COMPUTED_VALUE"""),2.269515E10)</f>
        <v>22695150000</v>
      </c>
      <c r="D2132" s="1"/>
      <c r="E2132" s="1"/>
      <c r="F2132" s="1"/>
      <c r="G2132" s="1"/>
      <c r="H2132" s="1"/>
      <c r="I2132" s="1"/>
      <c r="J2132" s="1"/>
      <c r="K2132" s="1"/>
      <c r="L2132" s="1"/>
      <c r="M2132" s="1"/>
      <c r="N2132" s="1"/>
      <c r="O2132" s="1"/>
      <c r="P2132" s="1"/>
      <c r="Q2132" s="1"/>
      <c r="R2132" s="1"/>
      <c r="S2132" s="1"/>
      <c r="T2132" s="1"/>
      <c r="U2132" s="1"/>
      <c r="V2132" s="1"/>
      <c r="W2132" s="1"/>
      <c r="X2132" s="1"/>
      <c r="Y2132" s="1"/>
      <c r="Z2132" s="1"/>
    </row>
    <row r="2133" ht="15.75" customHeight="1">
      <c r="A2133" s="2">
        <f>IFERROR(__xludf.DUMMYFUNCTION("""COMPUTED_VALUE"""),1066000.0)</f>
        <v>1066000</v>
      </c>
      <c r="B2133" s="2">
        <f>IFERROR(__xludf.DUMMYFUNCTION("""COMPUTED_VALUE"""),21320.0)</f>
        <v>21320</v>
      </c>
      <c r="C2133" s="66">
        <f>IFERROR(__xludf.DUMMYFUNCTION("""COMPUTED_VALUE"""),2.271646E10)</f>
        <v>22716460000</v>
      </c>
      <c r="D2133" s="1"/>
      <c r="E2133" s="1"/>
      <c r="F2133" s="1"/>
      <c r="G2133" s="1"/>
      <c r="H2133" s="1"/>
      <c r="I2133" s="1"/>
      <c r="J2133" s="1"/>
      <c r="K2133" s="1"/>
      <c r="L2133" s="1"/>
      <c r="M2133" s="1"/>
      <c r="N2133" s="1"/>
      <c r="O2133" s="1"/>
      <c r="P2133" s="1"/>
      <c r="Q2133" s="1"/>
      <c r="R2133" s="1"/>
      <c r="S2133" s="1"/>
      <c r="T2133" s="1"/>
      <c r="U2133" s="1"/>
      <c r="V2133" s="1"/>
      <c r="W2133" s="1"/>
      <c r="X2133" s="1"/>
      <c r="Y2133" s="1"/>
      <c r="Z2133" s="1"/>
    </row>
    <row r="2134" ht="15.75" customHeight="1">
      <c r="A2134" s="2">
        <f>IFERROR(__xludf.DUMMYFUNCTION("""COMPUTED_VALUE"""),1066500.0)</f>
        <v>1066500</v>
      </c>
      <c r="B2134" s="2">
        <f>IFERROR(__xludf.DUMMYFUNCTION("""COMPUTED_VALUE"""),21330.0)</f>
        <v>21330</v>
      </c>
      <c r="C2134" s="66">
        <f>IFERROR(__xludf.DUMMYFUNCTION("""COMPUTED_VALUE"""),2.273778E10)</f>
        <v>22737780000</v>
      </c>
      <c r="D2134" s="1"/>
      <c r="E2134" s="1"/>
      <c r="F2134" s="1"/>
      <c r="G2134" s="1"/>
      <c r="H2134" s="1"/>
      <c r="I2134" s="1"/>
      <c r="J2134" s="1"/>
      <c r="K2134" s="1"/>
      <c r="L2134" s="1"/>
      <c r="M2134" s="1"/>
      <c r="N2134" s="1"/>
      <c r="O2134" s="1"/>
      <c r="P2134" s="1"/>
      <c r="Q2134" s="1"/>
      <c r="R2134" s="1"/>
      <c r="S2134" s="1"/>
      <c r="T2134" s="1"/>
      <c r="U2134" s="1"/>
      <c r="V2134" s="1"/>
      <c r="W2134" s="1"/>
      <c r="X2134" s="1"/>
      <c r="Y2134" s="1"/>
      <c r="Z2134" s="1"/>
    </row>
    <row r="2135" ht="15.75" customHeight="1">
      <c r="A2135" s="2">
        <f>IFERROR(__xludf.DUMMYFUNCTION("""COMPUTED_VALUE"""),1067000.0)</f>
        <v>1067000</v>
      </c>
      <c r="B2135" s="2">
        <f>IFERROR(__xludf.DUMMYFUNCTION("""COMPUTED_VALUE"""),21340.0)</f>
        <v>21340</v>
      </c>
      <c r="C2135" s="66">
        <f>IFERROR(__xludf.DUMMYFUNCTION("""COMPUTED_VALUE"""),2.275911E10)</f>
        <v>22759110000</v>
      </c>
      <c r="D2135" s="1"/>
      <c r="E2135" s="1"/>
      <c r="F2135" s="1"/>
      <c r="G2135" s="1"/>
      <c r="H2135" s="1"/>
      <c r="I2135" s="1"/>
      <c r="J2135" s="1"/>
      <c r="K2135" s="1"/>
      <c r="L2135" s="1"/>
      <c r="M2135" s="1"/>
      <c r="N2135" s="1"/>
      <c r="O2135" s="1"/>
      <c r="P2135" s="1"/>
      <c r="Q2135" s="1"/>
      <c r="R2135" s="1"/>
      <c r="S2135" s="1"/>
      <c r="T2135" s="1"/>
      <c r="U2135" s="1"/>
      <c r="V2135" s="1"/>
      <c r="W2135" s="1"/>
      <c r="X2135" s="1"/>
      <c r="Y2135" s="1"/>
      <c r="Z2135" s="1"/>
    </row>
    <row r="2136" ht="15.75" customHeight="1">
      <c r="A2136" s="2">
        <f>IFERROR(__xludf.DUMMYFUNCTION("""COMPUTED_VALUE"""),1067500.0)</f>
        <v>1067500</v>
      </c>
      <c r="B2136" s="2">
        <f>IFERROR(__xludf.DUMMYFUNCTION("""COMPUTED_VALUE"""),21350.0)</f>
        <v>21350</v>
      </c>
      <c r="C2136" s="66">
        <f>IFERROR(__xludf.DUMMYFUNCTION("""COMPUTED_VALUE"""),2.278045E10)</f>
        <v>22780450000</v>
      </c>
      <c r="D2136" s="1"/>
      <c r="E2136" s="1"/>
      <c r="F2136" s="1"/>
      <c r="G2136" s="1"/>
      <c r="H2136" s="1"/>
      <c r="I2136" s="1"/>
      <c r="J2136" s="1"/>
      <c r="K2136" s="1"/>
      <c r="L2136" s="1"/>
      <c r="M2136" s="1"/>
      <c r="N2136" s="1"/>
      <c r="O2136" s="1"/>
      <c r="P2136" s="1"/>
      <c r="Q2136" s="1"/>
      <c r="R2136" s="1"/>
      <c r="S2136" s="1"/>
      <c r="T2136" s="1"/>
      <c r="U2136" s="1"/>
      <c r="V2136" s="1"/>
      <c r="W2136" s="1"/>
      <c r="X2136" s="1"/>
      <c r="Y2136" s="1"/>
      <c r="Z2136" s="1"/>
    </row>
    <row r="2137" ht="15.75" customHeight="1">
      <c r="A2137" s="2">
        <f>IFERROR(__xludf.DUMMYFUNCTION("""COMPUTED_VALUE"""),1068000.0)</f>
        <v>1068000</v>
      </c>
      <c r="B2137" s="2">
        <f>IFERROR(__xludf.DUMMYFUNCTION("""COMPUTED_VALUE"""),21360.0)</f>
        <v>21360</v>
      </c>
      <c r="C2137" s="66">
        <f>IFERROR(__xludf.DUMMYFUNCTION("""COMPUTED_VALUE"""),2.28018E10)</f>
        <v>22801800000</v>
      </c>
      <c r="D2137" s="1"/>
      <c r="E2137" s="1"/>
      <c r="F2137" s="1"/>
      <c r="G2137" s="1"/>
      <c r="H2137" s="1"/>
      <c r="I2137" s="1"/>
      <c r="J2137" s="1"/>
      <c r="K2137" s="1"/>
      <c r="L2137" s="1"/>
      <c r="M2137" s="1"/>
      <c r="N2137" s="1"/>
      <c r="O2137" s="1"/>
      <c r="P2137" s="1"/>
      <c r="Q2137" s="1"/>
      <c r="R2137" s="1"/>
      <c r="S2137" s="1"/>
      <c r="T2137" s="1"/>
      <c r="U2137" s="1"/>
      <c r="V2137" s="1"/>
      <c r="W2137" s="1"/>
      <c r="X2137" s="1"/>
      <c r="Y2137" s="1"/>
      <c r="Z2137" s="1"/>
    </row>
    <row r="2138" ht="15.75" customHeight="1">
      <c r="A2138" s="2">
        <f>IFERROR(__xludf.DUMMYFUNCTION("""COMPUTED_VALUE"""),1068500.0)</f>
        <v>1068500</v>
      </c>
      <c r="B2138" s="2">
        <f>IFERROR(__xludf.DUMMYFUNCTION("""COMPUTED_VALUE"""),21370.0)</f>
        <v>21370</v>
      </c>
      <c r="C2138" s="66">
        <f>IFERROR(__xludf.DUMMYFUNCTION("""COMPUTED_VALUE"""),2.282316E10)</f>
        <v>22823160000</v>
      </c>
      <c r="D2138" s="1"/>
      <c r="E2138" s="1"/>
      <c r="F2138" s="1"/>
      <c r="G2138" s="1"/>
      <c r="H2138" s="1"/>
      <c r="I2138" s="1"/>
      <c r="J2138" s="1"/>
      <c r="K2138" s="1"/>
      <c r="L2138" s="1"/>
      <c r="M2138" s="1"/>
      <c r="N2138" s="1"/>
      <c r="O2138" s="1"/>
      <c r="P2138" s="1"/>
      <c r="Q2138" s="1"/>
      <c r="R2138" s="1"/>
      <c r="S2138" s="1"/>
      <c r="T2138" s="1"/>
      <c r="U2138" s="1"/>
      <c r="V2138" s="1"/>
      <c r="W2138" s="1"/>
      <c r="X2138" s="1"/>
      <c r="Y2138" s="1"/>
      <c r="Z2138" s="1"/>
    </row>
    <row r="2139" ht="15.75" customHeight="1">
      <c r="A2139" s="2">
        <f>IFERROR(__xludf.DUMMYFUNCTION("""COMPUTED_VALUE"""),1069000.0)</f>
        <v>1069000</v>
      </c>
      <c r="B2139" s="2">
        <f>IFERROR(__xludf.DUMMYFUNCTION("""COMPUTED_VALUE"""),21380.0)</f>
        <v>21380</v>
      </c>
      <c r="C2139" s="66">
        <f>IFERROR(__xludf.DUMMYFUNCTION("""COMPUTED_VALUE"""),2.284453E10)</f>
        <v>22844530000</v>
      </c>
      <c r="D2139" s="1"/>
      <c r="E2139" s="1"/>
      <c r="F2139" s="1"/>
      <c r="G2139" s="1"/>
      <c r="H2139" s="1"/>
      <c r="I2139" s="1"/>
      <c r="J2139" s="1"/>
      <c r="K2139" s="1"/>
      <c r="L2139" s="1"/>
      <c r="M2139" s="1"/>
      <c r="N2139" s="1"/>
      <c r="O2139" s="1"/>
      <c r="P2139" s="1"/>
      <c r="Q2139" s="1"/>
      <c r="R2139" s="1"/>
      <c r="S2139" s="1"/>
      <c r="T2139" s="1"/>
      <c r="U2139" s="1"/>
      <c r="V2139" s="1"/>
      <c r="W2139" s="1"/>
      <c r="X2139" s="1"/>
      <c r="Y2139" s="1"/>
      <c r="Z2139" s="1"/>
    </row>
    <row r="2140" ht="15.75" customHeight="1">
      <c r="A2140" s="2">
        <f>IFERROR(__xludf.DUMMYFUNCTION("""COMPUTED_VALUE"""),1069500.0)</f>
        <v>1069500</v>
      </c>
      <c r="B2140" s="2">
        <f>IFERROR(__xludf.DUMMYFUNCTION("""COMPUTED_VALUE"""),21390.0)</f>
        <v>21390</v>
      </c>
      <c r="C2140" s="66">
        <f>IFERROR(__xludf.DUMMYFUNCTION("""COMPUTED_VALUE"""),2.286591E10)</f>
        <v>22865910000</v>
      </c>
      <c r="D2140" s="1"/>
      <c r="E2140" s="1"/>
      <c r="F2140" s="1"/>
      <c r="G2140" s="1"/>
      <c r="H2140" s="1"/>
      <c r="I2140" s="1"/>
      <c r="J2140" s="1"/>
      <c r="K2140" s="1"/>
      <c r="L2140" s="1"/>
      <c r="M2140" s="1"/>
      <c r="N2140" s="1"/>
      <c r="O2140" s="1"/>
      <c r="P2140" s="1"/>
      <c r="Q2140" s="1"/>
      <c r="R2140" s="1"/>
      <c r="S2140" s="1"/>
      <c r="T2140" s="1"/>
      <c r="U2140" s="1"/>
      <c r="V2140" s="1"/>
      <c r="W2140" s="1"/>
      <c r="X2140" s="1"/>
      <c r="Y2140" s="1"/>
      <c r="Z2140" s="1"/>
    </row>
    <row r="2141" ht="15.75" customHeight="1">
      <c r="A2141" s="2">
        <f>IFERROR(__xludf.DUMMYFUNCTION("""COMPUTED_VALUE"""),1070000.0)</f>
        <v>1070000</v>
      </c>
      <c r="B2141" s="2">
        <f>IFERROR(__xludf.DUMMYFUNCTION("""COMPUTED_VALUE"""),21400.0)</f>
        <v>21400</v>
      </c>
      <c r="C2141" s="66">
        <f>IFERROR(__xludf.DUMMYFUNCTION("""COMPUTED_VALUE"""),2.28873E10)</f>
        <v>22887300000</v>
      </c>
      <c r="D2141" s="1"/>
      <c r="E2141" s="1"/>
      <c r="F2141" s="1"/>
      <c r="G2141" s="1"/>
      <c r="H2141" s="1"/>
      <c r="I2141" s="1"/>
      <c r="J2141" s="1"/>
      <c r="K2141" s="1"/>
      <c r="L2141" s="1"/>
      <c r="M2141" s="1"/>
      <c r="N2141" s="1"/>
      <c r="O2141" s="1"/>
      <c r="P2141" s="1"/>
      <c r="Q2141" s="1"/>
      <c r="R2141" s="1"/>
      <c r="S2141" s="1"/>
      <c r="T2141" s="1"/>
      <c r="U2141" s="1"/>
      <c r="V2141" s="1"/>
      <c r="W2141" s="1"/>
      <c r="X2141" s="1"/>
      <c r="Y2141" s="1"/>
      <c r="Z2141" s="1"/>
    </row>
    <row r="2142" ht="15.75" customHeight="1">
      <c r="A2142" s="2">
        <f>IFERROR(__xludf.DUMMYFUNCTION("""COMPUTED_VALUE"""),1070500.0)</f>
        <v>1070500</v>
      </c>
      <c r="B2142" s="2">
        <f>IFERROR(__xludf.DUMMYFUNCTION("""COMPUTED_VALUE"""),21410.0)</f>
        <v>21410</v>
      </c>
      <c r="C2142" s="66">
        <f>IFERROR(__xludf.DUMMYFUNCTION("""COMPUTED_VALUE"""),2.29087E10)</f>
        <v>22908700000</v>
      </c>
      <c r="D2142" s="1"/>
      <c r="E2142" s="1"/>
      <c r="F2142" s="1"/>
      <c r="G2142" s="1"/>
      <c r="H2142" s="1"/>
      <c r="I2142" s="1"/>
      <c r="J2142" s="1"/>
      <c r="K2142" s="1"/>
      <c r="L2142" s="1"/>
      <c r="M2142" s="1"/>
      <c r="N2142" s="1"/>
      <c r="O2142" s="1"/>
      <c r="P2142" s="1"/>
      <c r="Q2142" s="1"/>
      <c r="R2142" s="1"/>
      <c r="S2142" s="1"/>
      <c r="T2142" s="1"/>
      <c r="U2142" s="1"/>
      <c r="V2142" s="1"/>
      <c r="W2142" s="1"/>
      <c r="X2142" s="1"/>
      <c r="Y2142" s="1"/>
      <c r="Z2142" s="1"/>
    </row>
    <row r="2143" ht="15.75" customHeight="1">
      <c r="A2143" s="2">
        <f>IFERROR(__xludf.DUMMYFUNCTION("""COMPUTED_VALUE"""),1071000.0)</f>
        <v>1071000</v>
      </c>
      <c r="B2143" s="2">
        <f>IFERROR(__xludf.DUMMYFUNCTION("""COMPUTED_VALUE"""),21420.0)</f>
        <v>21420</v>
      </c>
      <c r="C2143" s="66">
        <f>IFERROR(__xludf.DUMMYFUNCTION("""COMPUTED_VALUE"""),2.293011E10)</f>
        <v>22930110000</v>
      </c>
      <c r="D2143" s="1"/>
      <c r="E2143" s="1"/>
      <c r="F2143" s="1"/>
      <c r="G2143" s="1"/>
      <c r="H2143" s="1"/>
      <c r="I2143" s="1"/>
      <c r="J2143" s="1"/>
      <c r="K2143" s="1"/>
      <c r="L2143" s="1"/>
      <c r="M2143" s="1"/>
      <c r="N2143" s="1"/>
      <c r="O2143" s="1"/>
      <c r="P2143" s="1"/>
      <c r="Q2143" s="1"/>
      <c r="R2143" s="1"/>
      <c r="S2143" s="1"/>
      <c r="T2143" s="1"/>
      <c r="U2143" s="1"/>
      <c r="V2143" s="1"/>
      <c r="W2143" s="1"/>
      <c r="X2143" s="1"/>
      <c r="Y2143" s="1"/>
      <c r="Z2143" s="1"/>
    </row>
    <row r="2144" ht="15.75" customHeight="1">
      <c r="A2144" s="2">
        <f>IFERROR(__xludf.DUMMYFUNCTION("""COMPUTED_VALUE"""),1071500.0)</f>
        <v>1071500</v>
      </c>
      <c r="B2144" s="2">
        <f>IFERROR(__xludf.DUMMYFUNCTION("""COMPUTED_VALUE"""),21430.0)</f>
        <v>21430</v>
      </c>
      <c r="C2144" s="66">
        <f>IFERROR(__xludf.DUMMYFUNCTION("""COMPUTED_VALUE"""),2.295153E10)</f>
        <v>22951530000</v>
      </c>
      <c r="D2144" s="1"/>
      <c r="E2144" s="1"/>
      <c r="F2144" s="1"/>
      <c r="G2144" s="1"/>
      <c r="H2144" s="1"/>
      <c r="I2144" s="1"/>
      <c r="J2144" s="1"/>
      <c r="K2144" s="1"/>
      <c r="L2144" s="1"/>
      <c r="M2144" s="1"/>
      <c r="N2144" s="1"/>
      <c r="O2144" s="1"/>
      <c r="P2144" s="1"/>
      <c r="Q2144" s="1"/>
      <c r="R2144" s="1"/>
      <c r="S2144" s="1"/>
      <c r="T2144" s="1"/>
      <c r="U2144" s="1"/>
      <c r="V2144" s="1"/>
      <c r="W2144" s="1"/>
      <c r="X2144" s="1"/>
      <c r="Y2144" s="1"/>
      <c r="Z2144" s="1"/>
    </row>
    <row r="2145" ht="15.75" customHeight="1">
      <c r="A2145" s="2">
        <f>IFERROR(__xludf.DUMMYFUNCTION("""COMPUTED_VALUE"""),1072000.0)</f>
        <v>1072000</v>
      </c>
      <c r="B2145" s="2">
        <f>IFERROR(__xludf.DUMMYFUNCTION("""COMPUTED_VALUE"""),21440.0)</f>
        <v>21440</v>
      </c>
      <c r="C2145" s="66">
        <f>IFERROR(__xludf.DUMMYFUNCTION("""COMPUTED_VALUE"""),2.297296E10)</f>
        <v>22972960000</v>
      </c>
      <c r="D2145" s="1"/>
      <c r="E2145" s="1"/>
      <c r="F2145" s="1"/>
      <c r="G2145" s="1"/>
      <c r="H2145" s="1"/>
      <c r="I2145" s="1"/>
      <c r="J2145" s="1"/>
      <c r="K2145" s="1"/>
      <c r="L2145" s="1"/>
      <c r="M2145" s="1"/>
      <c r="N2145" s="1"/>
      <c r="O2145" s="1"/>
      <c r="P2145" s="1"/>
      <c r="Q2145" s="1"/>
      <c r="R2145" s="1"/>
      <c r="S2145" s="1"/>
      <c r="T2145" s="1"/>
      <c r="U2145" s="1"/>
      <c r="V2145" s="1"/>
      <c r="W2145" s="1"/>
      <c r="X2145" s="1"/>
      <c r="Y2145" s="1"/>
      <c r="Z2145" s="1"/>
    </row>
    <row r="2146" ht="15.75" customHeight="1">
      <c r="A2146" s="2">
        <f>IFERROR(__xludf.DUMMYFUNCTION("""COMPUTED_VALUE"""),1072500.0)</f>
        <v>1072500</v>
      </c>
      <c r="B2146" s="2">
        <f>IFERROR(__xludf.DUMMYFUNCTION("""COMPUTED_VALUE"""),21450.0)</f>
        <v>21450</v>
      </c>
      <c r="C2146" s="66">
        <f>IFERROR(__xludf.DUMMYFUNCTION("""COMPUTED_VALUE"""),2.29944E10)</f>
        <v>22994400000</v>
      </c>
      <c r="D2146" s="1"/>
      <c r="E2146" s="1"/>
      <c r="F2146" s="1"/>
      <c r="G2146" s="1"/>
      <c r="H2146" s="1"/>
      <c r="I2146" s="1"/>
      <c r="J2146" s="1"/>
      <c r="K2146" s="1"/>
      <c r="L2146" s="1"/>
      <c r="M2146" s="1"/>
      <c r="N2146" s="1"/>
      <c r="O2146" s="1"/>
      <c r="P2146" s="1"/>
      <c r="Q2146" s="1"/>
      <c r="R2146" s="1"/>
      <c r="S2146" s="1"/>
      <c r="T2146" s="1"/>
      <c r="U2146" s="1"/>
      <c r="V2146" s="1"/>
      <c r="W2146" s="1"/>
      <c r="X2146" s="1"/>
      <c r="Y2146" s="1"/>
      <c r="Z2146" s="1"/>
    </row>
    <row r="2147" ht="15.75" customHeight="1">
      <c r="A2147" s="2">
        <f>IFERROR(__xludf.DUMMYFUNCTION("""COMPUTED_VALUE"""),1073000.0)</f>
        <v>1073000</v>
      </c>
      <c r="B2147" s="2">
        <f>IFERROR(__xludf.DUMMYFUNCTION("""COMPUTED_VALUE"""),21460.0)</f>
        <v>21460</v>
      </c>
      <c r="C2147" s="66">
        <f>IFERROR(__xludf.DUMMYFUNCTION("""COMPUTED_VALUE"""),2.301585E10)</f>
        <v>23015850000</v>
      </c>
      <c r="D2147" s="1"/>
      <c r="E2147" s="1"/>
      <c r="F2147" s="1"/>
      <c r="G2147" s="1"/>
      <c r="H2147" s="1"/>
      <c r="I2147" s="1"/>
      <c r="J2147" s="1"/>
      <c r="K2147" s="1"/>
      <c r="L2147" s="1"/>
      <c r="M2147" s="1"/>
      <c r="N2147" s="1"/>
      <c r="O2147" s="1"/>
      <c r="P2147" s="1"/>
      <c r="Q2147" s="1"/>
      <c r="R2147" s="1"/>
      <c r="S2147" s="1"/>
      <c r="T2147" s="1"/>
      <c r="U2147" s="1"/>
      <c r="V2147" s="1"/>
      <c r="W2147" s="1"/>
      <c r="X2147" s="1"/>
      <c r="Y2147" s="1"/>
      <c r="Z2147" s="1"/>
    </row>
    <row r="2148" ht="15.75" customHeight="1">
      <c r="A2148" s="2">
        <f>IFERROR(__xludf.DUMMYFUNCTION("""COMPUTED_VALUE"""),1073500.0)</f>
        <v>1073500</v>
      </c>
      <c r="B2148" s="2">
        <f>IFERROR(__xludf.DUMMYFUNCTION("""COMPUTED_VALUE"""),21470.0)</f>
        <v>21470</v>
      </c>
      <c r="C2148" s="66">
        <f>IFERROR(__xludf.DUMMYFUNCTION("""COMPUTED_VALUE"""),2.303731E10)</f>
        <v>23037310000</v>
      </c>
      <c r="D2148" s="1"/>
      <c r="E2148" s="1"/>
      <c r="F2148" s="1"/>
      <c r="G2148" s="1"/>
      <c r="H2148" s="1"/>
      <c r="I2148" s="1"/>
      <c r="J2148" s="1"/>
      <c r="K2148" s="1"/>
      <c r="L2148" s="1"/>
      <c r="M2148" s="1"/>
      <c r="N2148" s="1"/>
      <c r="O2148" s="1"/>
      <c r="P2148" s="1"/>
      <c r="Q2148" s="1"/>
      <c r="R2148" s="1"/>
      <c r="S2148" s="1"/>
      <c r="T2148" s="1"/>
      <c r="U2148" s="1"/>
      <c r="V2148" s="1"/>
      <c r="W2148" s="1"/>
      <c r="X2148" s="1"/>
      <c r="Y2148" s="1"/>
      <c r="Z2148" s="1"/>
    </row>
    <row r="2149" ht="15.75" customHeight="1">
      <c r="A2149" s="2">
        <f>IFERROR(__xludf.DUMMYFUNCTION("""COMPUTED_VALUE"""),1074000.0)</f>
        <v>1074000</v>
      </c>
      <c r="B2149" s="2">
        <f>IFERROR(__xludf.DUMMYFUNCTION("""COMPUTED_VALUE"""),21480.0)</f>
        <v>21480</v>
      </c>
      <c r="C2149" s="66">
        <f>IFERROR(__xludf.DUMMYFUNCTION("""COMPUTED_VALUE"""),2.305878E10)</f>
        <v>23058780000</v>
      </c>
      <c r="D2149" s="1"/>
      <c r="E2149" s="1"/>
      <c r="F2149" s="1"/>
      <c r="G2149" s="1"/>
      <c r="H2149" s="1"/>
      <c r="I2149" s="1"/>
      <c r="J2149" s="1"/>
      <c r="K2149" s="1"/>
      <c r="L2149" s="1"/>
      <c r="M2149" s="1"/>
      <c r="N2149" s="1"/>
      <c r="O2149" s="1"/>
      <c r="P2149" s="1"/>
      <c r="Q2149" s="1"/>
      <c r="R2149" s="1"/>
      <c r="S2149" s="1"/>
      <c r="T2149" s="1"/>
      <c r="U2149" s="1"/>
      <c r="V2149" s="1"/>
      <c r="W2149" s="1"/>
      <c r="X2149" s="1"/>
      <c r="Y2149" s="1"/>
      <c r="Z2149" s="1"/>
    </row>
    <row r="2150" ht="15.75" customHeight="1">
      <c r="A2150" s="2">
        <f>IFERROR(__xludf.DUMMYFUNCTION("""COMPUTED_VALUE"""),1074500.0)</f>
        <v>1074500</v>
      </c>
      <c r="B2150" s="2">
        <f>IFERROR(__xludf.DUMMYFUNCTION("""COMPUTED_VALUE"""),21490.0)</f>
        <v>21490</v>
      </c>
      <c r="C2150" s="66">
        <f>IFERROR(__xludf.DUMMYFUNCTION("""COMPUTED_VALUE"""),2.308026E10)</f>
        <v>23080260000</v>
      </c>
      <c r="D2150" s="1"/>
      <c r="E2150" s="1"/>
      <c r="F2150" s="1"/>
      <c r="G2150" s="1"/>
      <c r="H2150" s="1"/>
      <c r="I2150" s="1"/>
      <c r="J2150" s="1"/>
      <c r="K2150" s="1"/>
      <c r="L2150" s="1"/>
      <c r="M2150" s="1"/>
      <c r="N2150" s="1"/>
      <c r="O2150" s="1"/>
      <c r="P2150" s="1"/>
      <c r="Q2150" s="1"/>
      <c r="R2150" s="1"/>
      <c r="S2150" s="1"/>
      <c r="T2150" s="1"/>
      <c r="U2150" s="1"/>
      <c r="V2150" s="1"/>
      <c r="W2150" s="1"/>
      <c r="X2150" s="1"/>
      <c r="Y2150" s="1"/>
      <c r="Z2150" s="1"/>
    </row>
    <row r="2151" ht="15.75" customHeight="1">
      <c r="A2151" s="2">
        <f>IFERROR(__xludf.DUMMYFUNCTION("""COMPUTED_VALUE"""),1075000.0)</f>
        <v>1075000</v>
      </c>
      <c r="B2151" s="2">
        <f>IFERROR(__xludf.DUMMYFUNCTION("""COMPUTED_VALUE"""),21500.0)</f>
        <v>21500</v>
      </c>
      <c r="C2151" s="66">
        <f>IFERROR(__xludf.DUMMYFUNCTION("""COMPUTED_VALUE"""),2.310175E10)</f>
        <v>23101750000</v>
      </c>
      <c r="D2151" s="1"/>
      <c r="E2151" s="1"/>
      <c r="F2151" s="1"/>
      <c r="G2151" s="1"/>
      <c r="H2151" s="1"/>
      <c r="I2151" s="1"/>
      <c r="J2151" s="1"/>
      <c r="K2151" s="1"/>
      <c r="L2151" s="1"/>
      <c r="M2151" s="1"/>
      <c r="N2151" s="1"/>
      <c r="O2151" s="1"/>
      <c r="P2151" s="1"/>
      <c r="Q2151" s="1"/>
      <c r="R2151" s="1"/>
      <c r="S2151" s="1"/>
      <c r="T2151" s="1"/>
      <c r="U2151" s="1"/>
      <c r="V2151" s="1"/>
      <c r="W2151" s="1"/>
      <c r="X2151" s="1"/>
      <c r="Y2151" s="1"/>
      <c r="Z2151" s="1"/>
    </row>
    <row r="2152" ht="15.75" customHeight="1">
      <c r="A2152" s="2">
        <f>IFERROR(__xludf.DUMMYFUNCTION("""COMPUTED_VALUE"""),1075500.0)</f>
        <v>1075500</v>
      </c>
      <c r="B2152" s="2">
        <f>IFERROR(__xludf.DUMMYFUNCTION("""COMPUTED_VALUE"""),21510.0)</f>
        <v>21510</v>
      </c>
      <c r="C2152" s="66">
        <f>IFERROR(__xludf.DUMMYFUNCTION("""COMPUTED_VALUE"""),2.312325E10)</f>
        <v>23123250000</v>
      </c>
      <c r="D2152" s="1"/>
      <c r="E2152" s="1"/>
      <c r="F2152" s="1"/>
      <c r="G2152" s="1"/>
      <c r="H2152" s="1"/>
      <c r="I2152" s="1"/>
      <c r="J2152" s="1"/>
      <c r="K2152" s="1"/>
      <c r="L2152" s="1"/>
      <c r="M2152" s="1"/>
      <c r="N2152" s="1"/>
      <c r="O2152" s="1"/>
      <c r="P2152" s="1"/>
      <c r="Q2152" s="1"/>
      <c r="R2152" s="1"/>
      <c r="S2152" s="1"/>
      <c r="T2152" s="1"/>
      <c r="U2152" s="1"/>
      <c r="V2152" s="1"/>
      <c r="W2152" s="1"/>
      <c r="X2152" s="1"/>
      <c r="Y2152" s="1"/>
      <c r="Z2152" s="1"/>
    </row>
    <row r="2153" ht="15.75" customHeight="1">
      <c r="A2153" s="2">
        <f>IFERROR(__xludf.DUMMYFUNCTION("""COMPUTED_VALUE"""),1076000.0)</f>
        <v>1076000</v>
      </c>
      <c r="B2153" s="2">
        <f>IFERROR(__xludf.DUMMYFUNCTION("""COMPUTED_VALUE"""),21520.0)</f>
        <v>21520</v>
      </c>
      <c r="C2153" s="66">
        <f>IFERROR(__xludf.DUMMYFUNCTION("""COMPUTED_VALUE"""),2.314476E10)</f>
        <v>23144760000</v>
      </c>
      <c r="D2153" s="1"/>
      <c r="E2153" s="1"/>
      <c r="F2153" s="1"/>
      <c r="G2153" s="1"/>
      <c r="H2153" s="1"/>
      <c r="I2153" s="1"/>
      <c r="J2153" s="1"/>
      <c r="K2153" s="1"/>
      <c r="L2153" s="1"/>
      <c r="M2153" s="1"/>
      <c r="N2153" s="1"/>
      <c r="O2153" s="1"/>
      <c r="P2153" s="1"/>
      <c r="Q2153" s="1"/>
      <c r="R2153" s="1"/>
      <c r="S2153" s="1"/>
      <c r="T2153" s="1"/>
      <c r="U2153" s="1"/>
      <c r="V2153" s="1"/>
      <c r="W2153" s="1"/>
      <c r="X2153" s="1"/>
      <c r="Y2153" s="1"/>
      <c r="Z2153" s="1"/>
    </row>
    <row r="2154" ht="15.75" customHeight="1">
      <c r="A2154" s="2">
        <f>IFERROR(__xludf.DUMMYFUNCTION("""COMPUTED_VALUE"""),1076500.0)</f>
        <v>1076500</v>
      </c>
      <c r="B2154" s="2">
        <f>IFERROR(__xludf.DUMMYFUNCTION("""COMPUTED_VALUE"""),21530.0)</f>
        <v>21530</v>
      </c>
      <c r="C2154" s="66">
        <f>IFERROR(__xludf.DUMMYFUNCTION("""COMPUTED_VALUE"""),2.316628E10)</f>
        <v>23166280000</v>
      </c>
      <c r="D2154" s="1"/>
      <c r="E2154" s="1"/>
      <c r="F2154" s="1"/>
      <c r="G2154" s="1"/>
      <c r="H2154" s="1"/>
      <c r="I2154" s="1"/>
      <c r="J2154" s="1"/>
      <c r="K2154" s="1"/>
      <c r="L2154" s="1"/>
      <c r="M2154" s="1"/>
      <c r="N2154" s="1"/>
      <c r="O2154" s="1"/>
      <c r="P2154" s="1"/>
      <c r="Q2154" s="1"/>
      <c r="R2154" s="1"/>
      <c r="S2154" s="1"/>
      <c r="T2154" s="1"/>
      <c r="U2154" s="1"/>
      <c r="V2154" s="1"/>
      <c r="W2154" s="1"/>
      <c r="X2154" s="1"/>
      <c r="Y2154" s="1"/>
      <c r="Z2154" s="1"/>
    </row>
    <row r="2155" ht="15.75" customHeight="1">
      <c r="A2155" s="2">
        <f>IFERROR(__xludf.DUMMYFUNCTION("""COMPUTED_VALUE"""),1077000.0)</f>
        <v>1077000</v>
      </c>
      <c r="B2155" s="2">
        <f>IFERROR(__xludf.DUMMYFUNCTION("""COMPUTED_VALUE"""),21540.0)</f>
        <v>21540</v>
      </c>
      <c r="C2155" s="66">
        <f>IFERROR(__xludf.DUMMYFUNCTION("""COMPUTED_VALUE"""),2.318781E10)</f>
        <v>23187810000</v>
      </c>
      <c r="D2155" s="1"/>
      <c r="E2155" s="1"/>
      <c r="F2155" s="1"/>
      <c r="G2155" s="1"/>
      <c r="H2155" s="1"/>
      <c r="I2155" s="1"/>
      <c r="J2155" s="1"/>
      <c r="K2155" s="1"/>
      <c r="L2155" s="1"/>
      <c r="M2155" s="1"/>
      <c r="N2155" s="1"/>
      <c r="O2155" s="1"/>
      <c r="P2155" s="1"/>
      <c r="Q2155" s="1"/>
      <c r="R2155" s="1"/>
      <c r="S2155" s="1"/>
      <c r="T2155" s="1"/>
      <c r="U2155" s="1"/>
      <c r="V2155" s="1"/>
      <c r="W2155" s="1"/>
      <c r="X2155" s="1"/>
      <c r="Y2155" s="1"/>
      <c r="Z2155" s="1"/>
    </row>
    <row r="2156" ht="15.75" customHeight="1">
      <c r="A2156" s="2">
        <f>IFERROR(__xludf.DUMMYFUNCTION("""COMPUTED_VALUE"""),1077500.0)</f>
        <v>1077500</v>
      </c>
      <c r="B2156" s="2">
        <f>IFERROR(__xludf.DUMMYFUNCTION("""COMPUTED_VALUE"""),21550.0)</f>
        <v>21550</v>
      </c>
      <c r="C2156" s="66">
        <f>IFERROR(__xludf.DUMMYFUNCTION("""COMPUTED_VALUE"""),2.320935E10)</f>
        <v>23209350000</v>
      </c>
      <c r="D2156" s="1"/>
      <c r="E2156" s="1"/>
      <c r="F2156" s="1"/>
      <c r="G2156" s="1"/>
      <c r="H2156" s="1"/>
      <c r="I2156" s="1"/>
      <c r="J2156" s="1"/>
      <c r="K2156" s="1"/>
      <c r="L2156" s="1"/>
      <c r="M2156" s="1"/>
      <c r="N2156" s="1"/>
      <c r="O2156" s="1"/>
      <c r="P2156" s="1"/>
      <c r="Q2156" s="1"/>
      <c r="R2156" s="1"/>
      <c r="S2156" s="1"/>
      <c r="T2156" s="1"/>
      <c r="U2156" s="1"/>
      <c r="V2156" s="1"/>
      <c r="W2156" s="1"/>
      <c r="X2156" s="1"/>
      <c r="Y2156" s="1"/>
      <c r="Z2156" s="1"/>
    </row>
    <row r="2157" ht="15.75" customHeight="1">
      <c r="A2157" s="2">
        <f>IFERROR(__xludf.DUMMYFUNCTION("""COMPUTED_VALUE"""),1078000.0)</f>
        <v>1078000</v>
      </c>
      <c r="B2157" s="2">
        <f>IFERROR(__xludf.DUMMYFUNCTION("""COMPUTED_VALUE"""),21560.0)</f>
        <v>21560</v>
      </c>
      <c r="C2157" s="66">
        <f>IFERROR(__xludf.DUMMYFUNCTION("""COMPUTED_VALUE"""),2.32309E10)</f>
        <v>23230900000</v>
      </c>
      <c r="D2157" s="1"/>
      <c r="E2157" s="1"/>
      <c r="F2157" s="1"/>
      <c r="G2157" s="1"/>
      <c r="H2157" s="1"/>
      <c r="I2157" s="1"/>
      <c r="J2157" s="1"/>
      <c r="K2157" s="1"/>
      <c r="L2157" s="1"/>
      <c r="M2157" s="1"/>
      <c r="N2157" s="1"/>
      <c r="O2157" s="1"/>
      <c r="P2157" s="1"/>
      <c r="Q2157" s="1"/>
      <c r="R2157" s="1"/>
      <c r="S2157" s="1"/>
      <c r="T2157" s="1"/>
      <c r="U2157" s="1"/>
      <c r="V2157" s="1"/>
      <c r="W2157" s="1"/>
      <c r="X2157" s="1"/>
      <c r="Y2157" s="1"/>
      <c r="Z2157" s="1"/>
    </row>
    <row r="2158" ht="15.75" customHeight="1">
      <c r="A2158" s="2">
        <f>IFERROR(__xludf.DUMMYFUNCTION("""COMPUTED_VALUE"""),1078500.0)</f>
        <v>1078500</v>
      </c>
      <c r="B2158" s="2">
        <f>IFERROR(__xludf.DUMMYFUNCTION("""COMPUTED_VALUE"""),21570.0)</f>
        <v>21570</v>
      </c>
      <c r="C2158" s="66">
        <f>IFERROR(__xludf.DUMMYFUNCTION("""COMPUTED_VALUE"""),2.325246E10)</f>
        <v>23252460000</v>
      </c>
      <c r="D2158" s="1"/>
      <c r="E2158" s="1"/>
      <c r="F2158" s="1"/>
      <c r="G2158" s="1"/>
      <c r="H2158" s="1"/>
      <c r="I2158" s="1"/>
      <c r="J2158" s="1"/>
      <c r="K2158" s="1"/>
      <c r="L2158" s="1"/>
      <c r="M2158" s="1"/>
      <c r="N2158" s="1"/>
      <c r="O2158" s="1"/>
      <c r="P2158" s="1"/>
      <c r="Q2158" s="1"/>
      <c r="R2158" s="1"/>
      <c r="S2158" s="1"/>
      <c r="T2158" s="1"/>
      <c r="U2158" s="1"/>
      <c r="V2158" s="1"/>
      <c r="W2158" s="1"/>
      <c r="X2158" s="1"/>
      <c r="Y2158" s="1"/>
      <c r="Z2158" s="1"/>
    </row>
    <row r="2159" ht="15.75" customHeight="1">
      <c r="A2159" s="2">
        <f>IFERROR(__xludf.DUMMYFUNCTION("""COMPUTED_VALUE"""),1079000.0)</f>
        <v>1079000</v>
      </c>
      <c r="B2159" s="2">
        <f>IFERROR(__xludf.DUMMYFUNCTION("""COMPUTED_VALUE"""),21580.0)</f>
        <v>21580</v>
      </c>
      <c r="C2159" s="66">
        <f>IFERROR(__xludf.DUMMYFUNCTION("""COMPUTED_VALUE"""),2.327403E10)</f>
        <v>23274030000</v>
      </c>
      <c r="D2159" s="1"/>
      <c r="E2159" s="1"/>
      <c r="F2159" s="1"/>
      <c r="G2159" s="1"/>
      <c r="H2159" s="1"/>
      <c r="I2159" s="1"/>
      <c r="J2159" s="1"/>
      <c r="K2159" s="1"/>
      <c r="L2159" s="1"/>
      <c r="M2159" s="1"/>
      <c r="N2159" s="1"/>
      <c r="O2159" s="1"/>
      <c r="P2159" s="1"/>
      <c r="Q2159" s="1"/>
      <c r="R2159" s="1"/>
      <c r="S2159" s="1"/>
      <c r="T2159" s="1"/>
      <c r="U2159" s="1"/>
      <c r="V2159" s="1"/>
      <c r="W2159" s="1"/>
      <c r="X2159" s="1"/>
      <c r="Y2159" s="1"/>
      <c r="Z2159" s="1"/>
    </row>
    <row r="2160" ht="15.75" customHeight="1">
      <c r="A2160" s="2">
        <f>IFERROR(__xludf.DUMMYFUNCTION("""COMPUTED_VALUE"""),1079500.0)</f>
        <v>1079500</v>
      </c>
      <c r="B2160" s="2">
        <f>IFERROR(__xludf.DUMMYFUNCTION("""COMPUTED_VALUE"""),21590.0)</f>
        <v>21590</v>
      </c>
      <c r="C2160" s="66">
        <f>IFERROR(__xludf.DUMMYFUNCTION("""COMPUTED_VALUE"""),2.329561E10)</f>
        <v>23295610000</v>
      </c>
      <c r="D2160" s="1"/>
      <c r="E2160" s="1"/>
      <c r="F2160" s="1"/>
      <c r="G2160" s="1"/>
      <c r="H2160" s="1"/>
      <c r="I2160" s="1"/>
      <c r="J2160" s="1"/>
      <c r="K2160" s="1"/>
      <c r="L2160" s="1"/>
      <c r="M2160" s="1"/>
      <c r="N2160" s="1"/>
      <c r="O2160" s="1"/>
      <c r="P2160" s="1"/>
      <c r="Q2160" s="1"/>
      <c r="R2160" s="1"/>
      <c r="S2160" s="1"/>
      <c r="T2160" s="1"/>
      <c r="U2160" s="1"/>
      <c r="V2160" s="1"/>
      <c r="W2160" s="1"/>
      <c r="X2160" s="1"/>
      <c r="Y2160" s="1"/>
      <c r="Z2160" s="1"/>
    </row>
    <row r="2161" ht="15.75" customHeight="1">
      <c r="A2161" s="2">
        <f>IFERROR(__xludf.DUMMYFUNCTION("""COMPUTED_VALUE"""),1080000.0)</f>
        <v>1080000</v>
      </c>
      <c r="B2161" s="2">
        <f>IFERROR(__xludf.DUMMYFUNCTION("""COMPUTED_VALUE"""),21600.0)</f>
        <v>21600</v>
      </c>
      <c r="C2161" s="66">
        <f>IFERROR(__xludf.DUMMYFUNCTION("""COMPUTED_VALUE"""),2.33172E10)</f>
        <v>23317200000</v>
      </c>
      <c r="D2161" s="1"/>
      <c r="E2161" s="1"/>
      <c r="F2161" s="1"/>
      <c r="G2161" s="1"/>
      <c r="H2161" s="1"/>
      <c r="I2161" s="1"/>
      <c r="J2161" s="1"/>
      <c r="K2161" s="1"/>
      <c r="L2161" s="1"/>
      <c r="M2161" s="1"/>
      <c r="N2161" s="1"/>
      <c r="O2161" s="1"/>
      <c r="P2161" s="1"/>
      <c r="Q2161" s="1"/>
      <c r="R2161" s="1"/>
      <c r="S2161" s="1"/>
      <c r="T2161" s="1"/>
      <c r="U2161" s="1"/>
      <c r="V2161" s="1"/>
      <c r="W2161" s="1"/>
      <c r="X2161" s="1"/>
      <c r="Y2161" s="1"/>
      <c r="Z2161" s="1"/>
    </row>
    <row r="2162" ht="15.75" customHeight="1">
      <c r="A2162" s="2">
        <f>IFERROR(__xludf.DUMMYFUNCTION("""COMPUTED_VALUE"""),1080500.0)</f>
        <v>1080500</v>
      </c>
      <c r="B2162" s="2">
        <f>IFERROR(__xludf.DUMMYFUNCTION("""COMPUTED_VALUE"""),21610.0)</f>
        <v>21610</v>
      </c>
      <c r="C2162" s="66">
        <f>IFERROR(__xludf.DUMMYFUNCTION("""COMPUTED_VALUE"""),2.33388E10)</f>
        <v>23338800000</v>
      </c>
      <c r="D2162" s="1"/>
      <c r="E2162" s="1"/>
      <c r="F2162" s="1"/>
      <c r="G2162" s="1"/>
      <c r="H2162" s="1"/>
      <c r="I2162" s="1"/>
      <c r="J2162" s="1"/>
      <c r="K2162" s="1"/>
      <c r="L2162" s="1"/>
      <c r="M2162" s="1"/>
      <c r="N2162" s="1"/>
      <c r="O2162" s="1"/>
      <c r="P2162" s="1"/>
      <c r="Q2162" s="1"/>
      <c r="R2162" s="1"/>
      <c r="S2162" s="1"/>
      <c r="T2162" s="1"/>
      <c r="U2162" s="1"/>
      <c r="V2162" s="1"/>
      <c r="W2162" s="1"/>
      <c r="X2162" s="1"/>
      <c r="Y2162" s="1"/>
      <c r="Z2162" s="1"/>
    </row>
    <row r="2163" ht="15.75" customHeight="1">
      <c r="A2163" s="2">
        <f>IFERROR(__xludf.DUMMYFUNCTION("""COMPUTED_VALUE"""),1081000.0)</f>
        <v>1081000</v>
      </c>
      <c r="B2163" s="2">
        <f>IFERROR(__xludf.DUMMYFUNCTION("""COMPUTED_VALUE"""),21620.0)</f>
        <v>21620</v>
      </c>
      <c r="C2163" s="66">
        <f>IFERROR(__xludf.DUMMYFUNCTION("""COMPUTED_VALUE"""),2.336041E10)</f>
        <v>23360410000</v>
      </c>
      <c r="D2163" s="1"/>
      <c r="E2163" s="1"/>
      <c r="F2163" s="1"/>
      <c r="G2163" s="1"/>
      <c r="H2163" s="1"/>
      <c r="I2163" s="1"/>
      <c r="J2163" s="1"/>
      <c r="K2163" s="1"/>
      <c r="L2163" s="1"/>
      <c r="M2163" s="1"/>
      <c r="N2163" s="1"/>
      <c r="O2163" s="1"/>
      <c r="P2163" s="1"/>
      <c r="Q2163" s="1"/>
      <c r="R2163" s="1"/>
      <c r="S2163" s="1"/>
      <c r="T2163" s="1"/>
      <c r="U2163" s="1"/>
      <c r="V2163" s="1"/>
      <c r="W2163" s="1"/>
      <c r="X2163" s="1"/>
      <c r="Y2163" s="1"/>
      <c r="Z2163" s="1"/>
    </row>
    <row r="2164" ht="15.75" customHeight="1">
      <c r="A2164" s="2">
        <f>IFERROR(__xludf.DUMMYFUNCTION("""COMPUTED_VALUE"""),1081500.0)</f>
        <v>1081500</v>
      </c>
      <c r="B2164" s="2">
        <f>IFERROR(__xludf.DUMMYFUNCTION("""COMPUTED_VALUE"""),21630.0)</f>
        <v>21630</v>
      </c>
      <c r="C2164" s="66">
        <f>IFERROR(__xludf.DUMMYFUNCTION("""COMPUTED_VALUE"""),2.338203E10)</f>
        <v>23382030000</v>
      </c>
      <c r="D2164" s="1"/>
      <c r="E2164" s="1"/>
      <c r="F2164" s="1"/>
      <c r="G2164" s="1"/>
      <c r="H2164" s="1"/>
      <c r="I2164" s="1"/>
      <c r="J2164" s="1"/>
      <c r="K2164" s="1"/>
      <c r="L2164" s="1"/>
      <c r="M2164" s="1"/>
      <c r="N2164" s="1"/>
      <c r="O2164" s="1"/>
      <c r="P2164" s="1"/>
      <c r="Q2164" s="1"/>
      <c r="R2164" s="1"/>
      <c r="S2164" s="1"/>
      <c r="T2164" s="1"/>
      <c r="U2164" s="1"/>
      <c r="V2164" s="1"/>
      <c r="W2164" s="1"/>
      <c r="X2164" s="1"/>
      <c r="Y2164" s="1"/>
      <c r="Z2164" s="1"/>
    </row>
    <row r="2165" ht="15.75" customHeight="1">
      <c r="A2165" s="2">
        <f>IFERROR(__xludf.DUMMYFUNCTION("""COMPUTED_VALUE"""),1082000.0)</f>
        <v>1082000</v>
      </c>
      <c r="B2165" s="2">
        <f>IFERROR(__xludf.DUMMYFUNCTION("""COMPUTED_VALUE"""),21640.0)</f>
        <v>21640</v>
      </c>
      <c r="C2165" s="66">
        <f>IFERROR(__xludf.DUMMYFUNCTION("""COMPUTED_VALUE"""),2.340366E10)</f>
        <v>23403660000</v>
      </c>
      <c r="D2165" s="1"/>
      <c r="E2165" s="1"/>
      <c r="F2165" s="1"/>
      <c r="G2165" s="1"/>
      <c r="H2165" s="1"/>
      <c r="I2165" s="1"/>
      <c r="J2165" s="1"/>
      <c r="K2165" s="1"/>
      <c r="L2165" s="1"/>
      <c r="M2165" s="1"/>
      <c r="N2165" s="1"/>
      <c r="O2165" s="1"/>
      <c r="P2165" s="1"/>
      <c r="Q2165" s="1"/>
      <c r="R2165" s="1"/>
      <c r="S2165" s="1"/>
      <c r="T2165" s="1"/>
      <c r="U2165" s="1"/>
      <c r="V2165" s="1"/>
      <c r="W2165" s="1"/>
      <c r="X2165" s="1"/>
      <c r="Y2165" s="1"/>
      <c r="Z2165" s="1"/>
    </row>
    <row r="2166" ht="15.75" customHeight="1">
      <c r="A2166" s="2">
        <f>IFERROR(__xludf.DUMMYFUNCTION("""COMPUTED_VALUE"""),1082500.0)</f>
        <v>1082500</v>
      </c>
      <c r="B2166" s="2">
        <f>IFERROR(__xludf.DUMMYFUNCTION("""COMPUTED_VALUE"""),21650.0)</f>
        <v>21650</v>
      </c>
      <c r="C2166" s="66">
        <f>IFERROR(__xludf.DUMMYFUNCTION("""COMPUTED_VALUE"""),2.34253E10)</f>
        <v>23425300000</v>
      </c>
      <c r="D2166" s="1"/>
      <c r="E2166" s="1"/>
      <c r="F2166" s="1"/>
      <c r="G2166" s="1"/>
      <c r="H2166" s="1"/>
      <c r="I2166" s="1"/>
      <c r="J2166" s="1"/>
      <c r="K2166" s="1"/>
      <c r="L2166" s="1"/>
      <c r="M2166" s="1"/>
      <c r="N2166" s="1"/>
      <c r="O2166" s="1"/>
      <c r="P2166" s="1"/>
      <c r="Q2166" s="1"/>
      <c r="R2166" s="1"/>
      <c r="S2166" s="1"/>
      <c r="T2166" s="1"/>
      <c r="U2166" s="1"/>
      <c r="V2166" s="1"/>
      <c r="W2166" s="1"/>
      <c r="X2166" s="1"/>
      <c r="Y2166" s="1"/>
      <c r="Z2166" s="1"/>
    </row>
    <row r="2167" ht="15.75" customHeight="1">
      <c r="A2167" s="2">
        <f>IFERROR(__xludf.DUMMYFUNCTION("""COMPUTED_VALUE"""),1083000.0)</f>
        <v>1083000</v>
      </c>
      <c r="B2167" s="2">
        <f>IFERROR(__xludf.DUMMYFUNCTION("""COMPUTED_VALUE"""),21660.0)</f>
        <v>21660</v>
      </c>
      <c r="C2167" s="66">
        <f>IFERROR(__xludf.DUMMYFUNCTION("""COMPUTED_VALUE"""),2.344695E10)</f>
        <v>23446950000</v>
      </c>
      <c r="D2167" s="1"/>
      <c r="E2167" s="1"/>
      <c r="F2167" s="1"/>
      <c r="G2167" s="1"/>
      <c r="H2167" s="1"/>
      <c r="I2167" s="1"/>
      <c r="J2167" s="1"/>
      <c r="K2167" s="1"/>
      <c r="L2167" s="1"/>
      <c r="M2167" s="1"/>
      <c r="N2167" s="1"/>
      <c r="O2167" s="1"/>
      <c r="P2167" s="1"/>
      <c r="Q2167" s="1"/>
      <c r="R2167" s="1"/>
      <c r="S2167" s="1"/>
      <c r="T2167" s="1"/>
      <c r="U2167" s="1"/>
      <c r="V2167" s="1"/>
      <c r="W2167" s="1"/>
      <c r="X2167" s="1"/>
      <c r="Y2167" s="1"/>
      <c r="Z2167" s="1"/>
    </row>
    <row r="2168" ht="15.75" customHeight="1">
      <c r="A2168" s="2">
        <f>IFERROR(__xludf.DUMMYFUNCTION("""COMPUTED_VALUE"""),1083500.0)</f>
        <v>1083500</v>
      </c>
      <c r="B2168" s="2">
        <f>IFERROR(__xludf.DUMMYFUNCTION("""COMPUTED_VALUE"""),21670.0)</f>
        <v>21670</v>
      </c>
      <c r="C2168" s="66">
        <f>IFERROR(__xludf.DUMMYFUNCTION("""COMPUTED_VALUE"""),2.346861E10)</f>
        <v>23468610000</v>
      </c>
      <c r="D2168" s="1"/>
      <c r="E2168" s="1"/>
      <c r="F2168" s="1"/>
      <c r="G2168" s="1"/>
      <c r="H2168" s="1"/>
      <c r="I2168" s="1"/>
      <c r="J2168" s="1"/>
      <c r="K2168" s="1"/>
      <c r="L2168" s="1"/>
      <c r="M2168" s="1"/>
      <c r="N2168" s="1"/>
      <c r="O2168" s="1"/>
      <c r="P2168" s="1"/>
      <c r="Q2168" s="1"/>
      <c r="R2168" s="1"/>
      <c r="S2168" s="1"/>
      <c r="T2168" s="1"/>
      <c r="U2168" s="1"/>
      <c r="V2168" s="1"/>
      <c r="W2168" s="1"/>
      <c r="X2168" s="1"/>
      <c r="Y2168" s="1"/>
      <c r="Z2168" s="1"/>
    </row>
    <row r="2169" ht="15.75" customHeight="1">
      <c r="A2169" s="2">
        <f>IFERROR(__xludf.DUMMYFUNCTION("""COMPUTED_VALUE"""),1084000.0)</f>
        <v>1084000</v>
      </c>
      <c r="B2169" s="2">
        <f>IFERROR(__xludf.DUMMYFUNCTION("""COMPUTED_VALUE"""),21680.0)</f>
        <v>21680</v>
      </c>
      <c r="C2169" s="66">
        <f>IFERROR(__xludf.DUMMYFUNCTION("""COMPUTED_VALUE"""),2.349028E10)</f>
        <v>23490280000</v>
      </c>
      <c r="D2169" s="1"/>
      <c r="E2169" s="1"/>
      <c r="F2169" s="1"/>
      <c r="G2169" s="1"/>
      <c r="H2169" s="1"/>
      <c r="I2169" s="1"/>
      <c r="J2169" s="1"/>
      <c r="K2169" s="1"/>
      <c r="L2169" s="1"/>
      <c r="M2169" s="1"/>
      <c r="N2169" s="1"/>
      <c r="O2169" s="1"/>
      <c r="P2169" s="1"/>
      <c r="Q2169" s="1"/>
      <c r="R2169" s="1"/>
      <c r="S2169" s="1"/>
      <c r="T2169" s="1"/>
      <c r="U2169" s="1"/>
      <c r="V2169" s="1"/>
      <c r="W2169" s="1"/>
      <c r="X2169" s="1"/>
      <c r="Y2169" s="1"/>
      <c r="Z2169" s="1"/>
    </row>
    <row r="2170" ht="15.75" customHeight="1">
      <c r="A2170" s="2">
        <f>IFERROR(__xludf.DUMMYFUNCTION("""COMPUTED_VALUE"""),1084500.0)</f>
        <v>1084500</v>
      </c>
      <c r="B2170" s="2">
        <f>IFERROR(__xludf.DUMMYFUNCTION("""COMPUTED_VALUE"""),21690.0)</f>
        <v>21690</v>
      </c>
      <c r="C2170" s="66">
        <f>IFERROR(__xludf.DUMMYFUNCTION("""COMPUTED_VALUE"""),2.351196E10)</f>
        <v>23511960000</v>
      </c>
      <c r="D2170" s="1"/>
      <c r="E2170" s="1"/>
      <c r="F2170" s="1"/>
      <c r="G2170" s="1"/>
      <c r="H2170" s="1"/>
      <c r="I2170" s="1"/>
      <c r="J2170" s="1"/>
      <c r="K2170" s="1"/>
      <c r="L2170" s="1"/>
      <c r="M2170" s="1"/>
      <c r="N2170" s="1"/>
      <c r="O2170" s="1"/>
      <c r="P2170" s="1"/>
      <c r="Q2170" s="1"/>
      <c r="R2170" s="1"/>
      <c r="S2170" s="1"/>
      <c r="T2170" s="1"/>
      <c r="U2170" s="1"/>
      <c r="V2170" s="1"/>
      <c r="W2170" s="1"/>
      <c r="X2170" s="1"/>
      <c r="Y2170" s="1"/>
      <c r="Z2170" s="1"/>
    </row>
    <row r="2171" ht="15.75" customHeight="1">
      <c r="A2171" s="2">
        <f>IFERROR(__xludf.DUMMYFUNCTION("""COMPUTED_VALUE"""),1085000.0)</f>
        <v>1085000</v>
      </c>
      <c r="B2171" s="2">
        <f>IFERROR(__xludf.DUMMYFUNCTION("""COMPUTED_VALUE"""),21700.0)</f>
        <v>21700</v>
      </c>
      <c r="C2171" s="66">
        <f>IFERROR(__xludf.DUMMYFUNCTION("""COMPUTED_VALUE"""),2.353365E10)</f>
        <v>23533650000</v>
      </c>
      <c r="D2171" s="1"/>
      <c r="E2171" s="1"/>
      <c r="F2171" s="1"/>
      <c r="G2171" s="1"/>
      <c r="H2171" s="1"/>
      <c r="I2171" s="1"/>
      <c r="J2171" s="1"/>
      <c r="K2171" s="1"/>
      <c r="L2171" s="1"/>
      <c r="M2171" s="1"/>
      <c r="N2171" s="1"/>
      <c r="O2171" s="1"/>
      <c r="P2171" s="1"/>
      <c r="Q2171" s="1"/>
      <c r="R2171" s="1"/>
      <c r="S2171" s="1"/>
      <c r="T2171" s="1"/>
      <c r="U2171" s="1"/>
      <c r="V2171" s="1"/>
      <c r="W2171" s="1"/>
      <c r="X2171" s="1"/>
      <c r="Y2171" s="1"/>
      <c r="Z2171" s="1"/>
    </row>
    <row r="2172" ht="15.75" customHeight="1">
      <c r="A2172" s="2">
        <f>IFERROR(__xludf.DUMMYFUNCTION("""COMPUTED_VALUE"""),1085500.0)</f>
        <v>1085500</v>
      </c>
      <c r="B2172" s="2">
        <f>IFERROR(__xludf.DUMMYFUNCTION("""COMPUTED_VALUE"""),21710.0)</f>
        <v>21710</v>
      </c>
      <c r="C2172" s="66">
        <f>IFERROR(__xludf.DUMMYFUNCTION("""COMPUTED_VALUE"""),2.355535E10)</f>
        <v>23555350000</v>
      </c>
      <c r="D2172" s="1"/>
      <c r="E2172" s="1"/>
      <c r="F2172" s="1"/>
      <c r="G2172" s="1"/>
      <c r="H2172" s="1"/>
      <c r="I2172" s="1"/>
      <c r="J2172" s="1"/>
      <c r="K2172" s="1"/>
      <c r="L2172" s="1"/>
      <c r="M2172" s="1"/>
      <c r="N2172" s="1"/>
      <c r="O2172" s="1"/>
      <c r="P2172" s="1"/>
      <c r="Q2172" s="1"/>
      <c r="R2172" s="1"/>
      <c r="S2172" s="1"/>
      <c r="T2172" s="1"/>
      <c r="U2172" s="1"/>
      <c r="V2172" s="1"/>
      <c r="W2172" s="1"/>
      <c r="X2172" s="1"/>
      <c r="Y2172" s="1"/>
      <c r="Z2172" s="1"/>
    </row>
    <row r="2173" ht="15.75" customHeight="1">
      <c r="A2173" s="2">
        <f>IFERROR(__xludf.DUMMYFUNCTION("""COMPUTED_VALUE"""),1086000.0)</f>
        <v>1086000</v>
      </c>
      <c r="B2173" s="2">
        <f>IFERROR(__xludf.DUMMYFUNCTION("""COMPUTED_VALUE"""),21720.0)</f>
        <v>21720</v>
      </c>
      <c r="C2173" s="66">
        <f>IFERROR(__xludf.DUMMYFUNCTION("""COMPUTED_VALUE"""),2.357706E10)</f>
        <v>23577060000</v>
      </c>
      <c r="D2173" s="1"/>
      <c r="E2173" s="1"/>
      <c r="F2173" s="1"/>
      <c r="G2173" s="1"/>
      <c r="H2173" s="1"/>
      <c r="I2173" s="1"/>
      <c r="J2173" s="1"/>
      <c r="K2173" s="1"/>
      <c r="L2173" s="1"/>
      <c r="M2173" s="1"/>
      <c r="N2173" s="1"/>
      <c r="O2173" s="1"/>
      <c r="P2173" s="1"/>
      <c r="Q2173" s="1"/>
      <c r="R2173" s="1"/>
      <c r="S2173" s="1"/>
      <c r="T2173" s="1"/>
      <c r="U2173" s="1"/>
      <c r="V2173" s="1"/>
      <c r="W2173" s="1"/>
      <c r="X2173" s="1"/>
      <c r="Y2173" s="1"/>
      <c r="Z2173" s="1"/>
    </row>
    <row r="2174" ht="15.75" customHeight="1">
      <c r="A2174" s="2">
        <f>IFERROR(__xludf.DUMMYFUNCTION("""COMPUTED_VALUE"""),1086500.0)</f>
        <v>1086500</v>
      </c>
      <c r="B2174" s="2">
        <f>IFERROR(__xludf.DUMMYFUNCTION("""COMPUTED_VALUE"""),21730.0)</f>
        <v>21730</v>
      </c>
      <c r="C2174" s="66">
        <f>IFERROR(__xludf.DUMMYFUNCTION("""COMPUTED_VALUE"""),2.359878E10)</f>
        <v>23598780000</v>
      </c>
      <c r="D2174" s="1"/>
      <c r="E2174" s="1"/>
      <c r="F2174" s="1"/>
      <c r="G2174" s="1"/>
      <c r="H2174" s="1"/>
      <c r="I2174" s="1"/>
      <c r="J2174" s="1"/>
      <c r="K2174" s="1"/>
      <c r="L2174" s="1"/>
      <c r="M2174" s="1"/>
      <c r="N2174" s="1"/>
      <c r="O2174" s="1"/>
      <c r="P2174" s="1"/>
      <c r="Q2174" s="1"/>
      <c r="R2174" s="1"/>
      <c r="S2174" s="1"/>
      <c r="T2174" s="1"/>
      <c r="U2174" s="1"/>
      <c r="V2174" s="1"/>
      <c r="W2174" s="1"/>
      <c r="X2174" s="1"/>
      <c r="Y2174" s="1"/>
      <c r="Z2174" s="1"/>
    </row>
    <row r="2175" ht="15.75" customHeight="1">
      <c r="A2175" s="2">
        <f>IFERROR(__xludf.DUMMYFUNCTION("""COMPUTED_VALUE"""),1087000.0)</f>
        <v>1087000</v>
      </c>
      <c r="B2175" s="2">
        <f>IFERROR(__xludf.DUMMYFUNCTION("""COMPUTED_VALUE"""),21740.0)</f>
        <v>21740</v>
      </c>
      <c r="C2175" s="66">
        <f>IFERROR(__xludf.DUMMYFUNCTION("""COMPUTED_VALUE"""),2.362051E10)</f>
        <v>23620510000</v>
      </c>
      <c r="D2175" s="1"/>
      <c r="E2175" s="1"/>
      <c r="F2175" s="1"/>
      <c r="G2175" s="1"/>
      <c r="H2175" s="1"/>
      <c r="I2175" s="1"/>
      <c r="J2175" s="1"/>
      <c r="K2175" s="1"/>
      <c r="L2175" s="1"/>
      <c r="M2175" s="1"/>
      <c r="N2175" s="1"/>
      <c r="O2175" s="1"/>
      <c r="P2175" s="1"/>
      <c r="Q2175" s="1"/>
      <c r="R2175" s="1"/>
      <c r="S2175" s="1"/>
      <c r="T2175" s="1"/>
      <c r="U2175" s="1"/>
      <c r="V2175" s="1"/>
      <c r="W2175" s="1"/>
      <c r="X2175" s="1"/>
      <c r="Y2175" s="1"/>
      <c r="Z2175" s="1"/>
    </row>
    <row r="2176" ht="15.75" customHeight="1">
      <c r="A2176" s="2">
        <f>IFERROR(__xludf.DUMMYFUNCTION("""COMPUTED_VALUE"""),1087500.0)</f>
        <v>1087500</v>
      </c>
      <c r="B2176" s="2">
        <f>IFERROR(__xludf.DUMMYFUNCTION("""COMPUTED_VALUE"""),21750.0)</f>
        <v>21750</v>
      </c>
      <c r="C2176" s="66">
        <f>IFERROR(__xludf.DUMMYFUNCTION("""COMPUTED_VALUE"""),2.364225E10)</f>
        <v>23642250000</v>
      </c>
      <c r="D2176" s="1"/>
      <c r="E2176" s="1"/>
      <c r="F2176" s="1"/>
      <c r="G2176" s="1"/>
      <c r="H2176" s="1"/>
      <c r="I2176" s="1"/>
      <c r="J2176" s="1"/>
      <c r="K2176" s="1"/>
      <c r="L2176" s="1"/>
      <c r="M2176" s="1"/>
      <c r="N2176" s="1"/>
      <c r="O2176" s="1"/>
      <c r="P2176" s="1"/>
      <c r="Q2176" s="1"/>
      <c r="R2176" s="1"/>
      <c r="S2176" s="1"/>
      <c r="T2176" s="1"/>
      <c r="U2176" s="1"/>
      <c r="V2176" s="1"/>
      <c r="W2176" s="1"/>
      <c r="X2176" s="1"/>
      <c r="Y2176" s="1"/>
      <c r="Z2176" s="1"/>
    </row>
    <row r="2177" ht="15.75" customHeight="1">
      <c r="A2177" s="2">
        <f>IFERROR(__xludf.DUMMYFUNCTION("""COMPUTED_VALUE"""),1088000.0)</f>
        <v>1088000</v>
      </c>
      <c r="B2177" s="2">
        <f>IFERROR(__xludf.DUMMYFUNCTION("""COMPUTED_VALUE"""),21760.0)</f>
        <v>21760</v>
      </c>
      <c r="C2177" s="66">
        <f>IFERROR(__xludf.DUMMYFUNCTION("""COMPUTED_VALUE"""),2.3664E10)</f>
        <v>23664000000</v>
      </c>
      <c r="D2177" s="1"/>
      <c r="E2177" s="1"/>
      <c r="F2177" s="1"/>
      <c r="G2177" s="1"/>
      <c r="H2177" s="1"/>
      <c r="I2177" s="1"/>
      <c r="J2177" s="1"/>
      <c r="K2177" s="1"/>
      <c r="L2177" s="1"/>
      <c r="M2177" s="1"/>
      <c r="N2177" s="1"/>
      <c r="O2177" s="1"/>
      <c r="P2177" s="1"/>
      <c r="Q2177" s="1"/>
      <c r="R2177" s="1"/>
      <c r="S2177" s="1"/>
      <c r="T2177" s="1"/>
      <c r="U2177" s="1"/>
      <c r="V2177" s="1"/>
      <c r="W2177" s="1"/>
      <c r="X2177" s="1"/>
      <c r="Y2177" s="1"/>
      <c r="Z2177" s="1"/>
    </row>
    <row r="2178" ht="15.75" customHeight="1">
      <c r="A2178" s="2">
        <f>IFERROR(__xludf.DUMMYFUNCTION("""COMPUTED_VALUE"""),1088500.0)</f>
        <v>1088500</v>
      </c>
      <c r="B2178" s="2">
        <f>IFERROR(__xludf.DUMMYFUNCTION("""COMPUTED_VALUE"""),21770.0)</f>
        <v>21770</v>
      </c>
      <c r="C2178" s="66">
        <f>IFERROR(__xludf.DUMMYFUNCTION("""COMPUTED_VALUE"""),2.368576E10)</f>
        <v>23685760000</v>
      </c>
      <c r="D2178" s="1"/>
      <c r="E2178" s="1"/>
      <c r="F2178" s="1"/>
      <c r="G2178" s="1"/>
      <c r="H2178" s="1"/>
      <c r="I2178" s="1"/>
      <c r="J2178" s="1"/>
      <c r="K2178" s="1"/>
      <c r="L2178" s="1"/>
      <c r="M2178" s="1"/>
      <c r="N2178" s="1"/>
      <c r="O2178" s="1"/>
      <c r="P2178" s="1"/>
      <c r="Q2178" s="1"/>
      <c r="R2178" s="1"/>
      <c r="S2178" s="1"/>
      <c r="T2178" s="1"/>
      <c r="U2178" s="1"/>
      <c r="V2178" s="1"/>
      <c r="W2178" s="1"/>
      <c r="X2178" s="1"/>
      <c r="Y2178" s="1"/>
      <c r="Z2178" s="1"/>
    </row>
    <row r="2179" ht="15.75" customHeight="1">
      <c r="A2179" s="2">
        <f>IFERROR(__xludf.DUMMYFUNCTION("""COMPUTED_VALUE"""),1089000.0)</f>
        <v>1089000</v>
      </c>
      <c r="B2179" s="2">
        <f>IFERROR(__xludf.DUMMYFUNCTION("""COMPUTED_VALUE"""),21780.0)</f>
        <v>21780</v>
      </c>
      <c r="C2179" s="66">
        <f>IFERROR(__xludf.DUMMYFUNCTION("""COMPUTED_VALUE"""),2.370753E10)</f>
        <v>23707530000</v>
      </c>
      <c r="D2179" s="1"/>
      <c r="E2179" s="1"/>
      <c r="F2179" s="1"/>
      <c r="G2179" s="1"/>
      <c r="H2179" s="1"/>
      <c r="I2179" s="1"/>
      <c r="J2179" s="1"/>
      <c r="K2179" s="1"/>
      <c r="L2179" s="1"/>
      <c r="M2179" s="1"/>
      <c r="N2179" s="1"/>
      <c r="O2179" s="1"/>
      <c r="P2179" s="1"/>
      <c r="Q2179" s="1"/>
      <c r="R2179" s="1"/>
      <c r="S2179" s="1"/>
      <c r="T2179" s="1"/>
      <c r="U2179" s="1"/>
      <c r="V2179" s="1"/>
      <c r="W2179" s="1"/>
      <c r="X2179" s="1"/>
      <c r="Y2179" s="1"/>
      <c r="Z2179" s="1"/>
    </row>
    <row r="2180" ht="15.75" customHeight="1">
      <c r="A2180" s="2">
        <f>IFERROR(__xludf.DUMMYFUNCTION("""COMPUTED_VALUE"""),1089500.0)</f>
        <v>1089500</v>
      </c>
      <c r="B2180" s="2">
        <f>IFERROR(__xludf.DUMMYFUNCTION("""COMPUTED_VALUE"""),21790.0)</f>
        <v>21790</v>
      </c>
      <c r="C2180" s="66">
        <f>IFERROR(__xludf.DUMMYFUNCTION("""COMPUTED_VALUE"""),2.372931E10)</f>
        <v>23729310000</v>
      </c>
      <c r="D2180" s="1"/>
      <c r="E2180" s="1"/>
      <c r="F2180" s="1"/>
      <c r="G2180" s="1"/>
      <c r="H2180" s="1"/>
      <c r="I2180" s="1"/>
      <c r="J2180" s="1"/>
      <c r="K2180" s="1"/>
      <c r="L2180" s="1"/>
      <c r="M2180" s="1"/>
      <c r="N2180" s="1"/>
      <c r="O2180" s="1"/>
      <c r="P2180" s="1"/>
      <c r="Q2180" s="1"/>
      <c r="R2180" s="1"/>
      <c r="S2180" s="1"/>
      <c r="T2180" s="1"/>
      <c r="U2180" s="1"/>
      <c r="V2180" s="1"/>
      <c r="W2180" s="1"/>
      <c r="X2180" s="1"/>
      <c r="Y2180" s="1"/>
      <c r="Z2180" s="1"/>
    </row>
    <row r="2181" ht="15.75" customHeight="1">
      <c r="A2181" s="2">
        <f>IFERROR(__xludf.DUMMYFUNCTION("""COMPUTED_VALUE"""),1090000.0)</f>
        <v>1090000</v>
      </c>
      <c r="B2181" s="2">
        <f>IFERROR(__xludf.DUMMYFUNCTION("""COMPUTED_VALUE"""),21800.0)</f>
        <v>21800</v>
      </c>
      <c r="C2181" s="66">
        <f>IFERROR(__xludf.DUMMYFUNCTION("""COMPUTED_VALUE"""),2.37511E10)</f>
        <v>23751100000</v>
      </c>
      <c r="D2181" s="1"/>
      <c r="E2181" s="1"/>
      <c r="F2181" s="1"/>
      <c r="G2181" s="1"/>
      <c r="H2181" s="1"/>
      <c r="I2181" s="1"/>
      <c r="J2181" s="1"/>
      <c r="K2181" s="1"/>
      <c r="L2181" s="1"/>
      <c r="M2181" s="1"/>
      <c r="N2181" s="1"/>
      <c r="O2181" s="1"/>
      <c r="P2181" s="1"/>
      <c r="Q2181" s="1"/>
      <c r="R2181" s="1"/>
      <c r="S2181" s="1"/>
      <c r="T2181" s="1"/>
      <c r="U2181" s="1"/>
      <c r="V2181" s="1"/>
      <c r="W2181" s="1"/>
      <c r="X2181" s="1"/>
      <c r="Y2181" s="1"/>
      <c r="Z2181" s="1"/>
    </row>
    <row r="2182" ht="15.75" customHeight="1">
      <c r="A2182" s="2">
        <f>IFERROR(__xludf.DUMMYFUNCTION("""COMPUTED_VALUE"""),1090500.0)</f>
        <v>1090500</v>
      </c>
      <c r="B2182" s="2">
        <f>IFERROR(__xludf.DUMMYFUNCTION("""COMPUTED_VALUE"""),21810.0)</f>
        <v>21810</v>
      </c>
      <c r="C2182" s="66">
        <f>IFERROR(__xludf.DUMMYFUNCTION("""COMPUTED_VALUE"""),2.37729E10)</f>
        <v>23772900000</v>
      </c>
      <c r="D2182" s="1"/>
      <c r="E2182" s="1"/>
      <c r="F2182" s="1"/>
      <c r="G2182" s="1"/>
      <c r="H2182" s="1"/>
      <c r="I2182" s="1"/>
      <c r="J2182" s="1"/>
      <c r="K2182" s="1"/>
      <c r="L2182" s="1"/>
      <c r="M2182" s="1"/>
      <c r="N2182" s="1"/>
      <c r="O2182" s="1"/>
      <c r="P2182" s="1"/>
      <c r="Q2182" s="1"/>
      <c r="R2182" s="1"/>
      <c r="S2182" s="1"/>
      <c r="T2182" s="1"/>
      <c r="U2182" s="1"/>
      <c r="V2182" s="1"/>
      <c r="W2182" s="1"/>
      <c r="X2182" s="1"/>
      <c r="Y2182" s="1"/>
      <c r="Z2182" s="1"/>
    </row>
    <row r="2183" ht="15.75" customHeight="1">
      <c r="A2183" s="2">
        <f>IFERROR(__xludf.DUMMYFUNCTION("""COMPUTED_VALUE"""),1091000.0)</f>
        <v>1091000</v>
      </c>
      <c r="B2183" s="2">
        <f>IFERROR(__xludf.DUMMYFUNCTION("""COMPUTED_VALUE"""),21820.0)</f>
        <v>21820</v>
      </c>
      <c r="C2183" s="66">
        <f>IFERROR(__xludf.DUMMYFUNCTION("""COMPUTED_VALUE"""),2.379471E10)</f>
        <v>23794710000</v>
      </c>
      <c r="D2183" s="1"/>
      <c r="E2183" s="1"/>
      <c r="F2183" s="1"/>
      <c r="G2183" s="1"/>
      <c r="H2183" s="1"/>
      <c r="I2183" s="1"/>
      <c r="J2183" s="1"/>
      <c r="K2183" s="1"/>
      <c r="L2183" s="1"/>
      <c r="M2183" s="1"/>
      <c r="N2183" s="1"/>
      <c r="O2183" s="1"/>
      <c r="P2183" s="1"/>
      <c r="Q2183" s="1"/>
      <c r="R2183" s="1"/>
      <c r="S2183" s="1"/>
      <c r="T2183" s="1"/>
      <c r="U2183" s="1"/>
      <c r="V2183" s="1"/>
      <c r="W2183" s="1"/>
      <c r="X2183" s="1"/>
      <c r="Y2183" s="1"/>
      <c r="Z2183" s="1"/>
    </row>
    <row r="2184" ht="15.75" customHeight="1">
      <c r="A2184" s="2">
        <f>IFERROR(__xludf.DUMMYFUNCTION("""COMPUTED_VALUE"""),1091500.0)</f>
        <v>1091500</v>
      </c>
      <c r="B2184" s="2">
        <f>IFERROR(__xludf.DUMMYFUNCTION("""COMPUTED_VALUE"""),21830.0)</f>
        <v>21830</v>
      </c>
      <c r="C2184" s="66">
        <f>IFERROR(__xludf.DUMMYFUNCTION("""COMPUTED_VALUE"""),2.381653E10)</f>
        <v>23816530000</v>
      </c>
      <c r="D2184" s="1"/>
      <c r="E2184" s="1"/>
      <c r="F2184" s="1"/>
      <c r="G2184" s="1"/>
      <c r="H2184" s="1"/>
      <c r="I2184" s="1"/>
      <c r="J2184" s="1"/>
      <c r="K2184" s="1"/>
      <c r="L2184" s="1"/>
      <c r="M2184" s="1"/>
      <c r="N2184" s="1"/>
      <c r="O2184" s="1"/>
      <c r="P2184" s="1"/>
      <c r="Q2184" s="1"/>
      <c r="R2184" s="1"/>
      <c r="S2184" s="1"/>
      <c r="T2184" s="1"/>
      <c r="U2184" s="1"/>
      <c r="V2184" s="1"/>
      <c r="W2184" s="1"/>
      <c r="X2184" s="1"/>
      <c r="Y2184" s="1"/>
      <c r="Z2184" s="1"/>
    </row>
    <row r="2185" ht="15.75" customHeight="1">
      <c r="A2185" s="2">
        <f>IFERROR(__xludf.DUMMYFUNCTION("""COMPUTED_VALUE"""),1092000.0)</f>
        <v>1092000</v>
      </c>
      <c r="B2185" s="2">
        <f>IFERROR(__xludf.DUMMYFUNCTION("""COMPUTED_VALUE"""),21840.0)</f>
        <v>21840</v>
      </c>
      <c r="C2185" s="66">
        <f>IFERROR(__xludf.DUMMYFUNCTION("""COMPUTED_VALUE"""),2.383836E10)</f>
        <v>23838360000</v>
      </c>
      <c r="D2185" s="1"/>
      <c r="E2185" s="1"/>
      <c r="F2185" s="1"/>
      <c r="G2185" s="1"/>
      <c r="H2185" s="1"/>
      <c r="I2185" s="1"/>
      <c r="J2185" s="1"/>
      <c r="K2185" s="1"/>
      <c r="L2185" s="1"/>
      <c r="M2185" s="1"/>
      <c r="N2185" s="1"/>
      <c r="O2185" s="1"/>
      <c r="P2185" s="1"/>
      <c r="Q2185" s="1"/>
      <c r="R2185" s="1"/>
      <c r="S2185" s="1"/>
      <c r="T2185" s="1"/>
      <c r="U2185" s="1"/>
      <c r="V2185" s="1"/>
      <c r="W2185" s="1"/>
      <c r="X2185" s="1"/>
      <c r="Y2185" s="1"/>
      <c r="Z2185" s="1"/>
    </row>
    <row r="2186" ht="15.75" customHeight="1">
      <c r="A2186" s="2">
        <f>IFERROR(__xludf.DUMMYFUNCTION("""COMPUTED_VALUE"""),1092500.0)</f>
        <v>1092500</v>
      </c>
      <c r="B2186" s="2">
        <f>IFERROR(__xludf.DUMMYFUNCTION("""COMPUTED_VALUE"""),21850.0)</f>
        <v>21850</v>
      </c>
      <c r="C2186" s="66">
        <f>IFERROR(__xludf.DUMMYFUNCTION("""COMPUTED_VALUE"""),2.38602E10)</f>
        <v>23860200000</v>
      </c>
      <c r="D2186" s="1"/>
      <c r="E2186" s="1"/>
      <c r="F2186" s="1"/>
      <c r="G2186" s="1"/>
      <c r="H2186" s="1"/>
      <c r="I2186" s="1"/>
      <c r="J2186" s="1"/>
      <c r="K2186" s="1"/>
      <c r="L2186" s="1"/>
      <c r="M2186" s="1"/>
      <c r="N2186" s="1"/>
      <c r="O2186" s="1"/>
      <c r="P2186" s="1"/>
      <c r="Q2186" s="1"/>
      <c r="R2186" s="1"/>
      <c r="S2186" s="1"/>
      <c r="T2186" s="1"/>
      <c r="U2186" s="1"/>
      <c r="V2186" s="1"/>
      <c r="W2186" s="1"/>
      <c r="X2186" s="1"/>
      <c r="Y2186" s="1"/>
      <c r="Z2186" s="1"/>
    </row>
    <row r="2187" ht="15.75" customHeight="1">
      <c r="A2187" s="2">
        <f>IFERROR(__xludf.DUMMYFUNCTION("""COMPUTED_VALUE"""),1093000.0)</f>
        <v>1093000</v>
      </c>
      <c r="B2187" s="2">
        <f>IFERROR(__xludf.DUMMYFUNCTION("""COMPUTED_VALUE"""),21860.0)</f>
        <v>21860</v>
      </c>
      <c r="C2187" s="66">
        <f>IFERROR(__xludf.DUMMYFUNCTION("""COMPUTED_VALUE"""),2.388205E10)</f>
        <v>23882050000</v>
      </c>
      <c r="D2187" s="1"/>
      <c r="E2187" s="1"/>
      <c r="F2187" s="1"/>
      <c r="G2187" s="1"/>
      <c r="H2187" s="1"/>
      <c r="I2187" s="1"/>
      <c r="J2187" s="1"/>
      <c r="K2187" s="1"/>
      <c r="L2187" s="1"/>
      <c r="M2187" s="1"/>
      <c r="N2187" s="1"/>
      <c r="O2187" s="1"/>
      <c r="P2187" s="1"/>
      <c r="Q2187" s="1"/>
      <c r="R2187" s="1"/>
      <c r="S2187" s="1"/>
      <c r="T2187" s="1"/>
      <c r="U2187" s="1"/>
      <c r="V2187" s="1"/>
      <c r="W2187" s="1"/>
      <c r="X2187" s="1"/>
      <c r="Y2187" s="1"/>
      <c r="Z2187" s="1"/>
    </row>
    <row r="2188" ht="15.75" customHeight="1">
      <c r="A2188" s="2">
        <f>IFERROR(__xludf.DUMMYFUNCTION("""COMPUTED_VALUE"""),1093500.0)</f>
        <v>1093500</v>
      </c>
      <c r="B2188" s="2">
        <f>IFERROR(__xludf.DUMMYFUNCTION("""COMPUTED_VALUE"""),21870.0)</f>
        <v>21870</v>
      </c>
      <c r="C2188" s="66">
        <f>IFERROR(__xludf.DUMMYFUNCTION("""COMPUTED_VALUE"""),2.390391E10)</f>
        <v>23903910000</v>
      </c>
      <c r="D2188" s="1"/>
      <c r="E2188" s="1"/>
      <c r="F2188" s="1"/>
      <c r="G2188" s="1"/>
      <c r="H2188" s="1"/>
      <c r="I2188" s="1"/>
      <c r="J2188" s="1"/>
      <c r="K2188" s="1"/>
      <c r="L2188" s="1"/>
      <c r="M2188" s="1"/>
      <c r="N2188" s="1"/>
      <c r="O2188" s="1"/>
      <c r="P2188" s="1"/>
      <c r="Q2188" s="1"/>
      <c r="R2188" s="1"/>
      <c r="S2188" s="1"/>
      <c r="T2188" s="1"/>
      <c r="U2188" s="1"/>
      <c r="V2188" s="1"/>
      <c r="W2188" s="1"/>
      <c r="X2188" s="1"/>
      <c r="Y2188" s="1"/>
      <c r="Z2188" s="1"/>
    </row>
    <row r="2189" ht="15.75" customHeight="1">
      <c r="A2189" s="2">
        <f>IFERROR(__xludf.DUMMYFUNCTION("""COMPUTED_VALUE"""),1094000.0)</f>
        <v>1094000</v>
      </c>
      <c r="B2189" s="2">
        <f>IFERROR(__xludf.DUMMYFUNCTION("""COMPUTED_VALUE"""),21880.0)</f>
        <v>21880</v>
      </c>
      <c r="C2189" s="66">
        <f>IFERROR(__xludf.DUMMYFUNCTION("""COMPUTED_VALUE"""),2.392578E10)</f>
        <v>23925780000</v>
      </c>
      <c r="D2189" s="1"/>
      <c r="E2189" s="1"/>
      <c r="F2189" s="1"/>
      <c r="G2189" s="1"/>
      <c r="H2189" s="1"/>
      <c r="I2189" s="1"/>
      <c r="J2189" s="1"/>
      <c r="K2189" s="1"/>
      <c r="L2189" s="1"/>
      <c r="M2189" s="1"/>
      <c r="N2189" s="1"/>
      <c r="O2189" s="1"/>
      <c r="P2189" s="1"/>
      <c r="Q2189" s="1"/>
      <c r="R2189" s="1"/>
      <c r="S2189" s="1"/>
      <c r="T2189" s="1"/>
      <c r="U2189" s="1"/>
      <c r="V2189" s="1"/>
      <c r="W2189" s="1"/>
      <c r="X2189" s="1"/>
      <c r="Y2189" s="1"/>
      <c r="Z2189" s="1"/>
    </row>
    <row r="2190" ht="15.75" customHeight="1">
      <c r="A2190" s="2">
        <f>IFERROR(__xludf.DUMMYFUNCTION("""COMPUTED_VALUE"""),1094500.0)</f>
        <v>1094500</v>
      </c>
      <c r="B2190" s="2">
        <f>IFERROR(__xludf.DUMMYFUNCTION("""COMPUTED_VALUE"""),21890.0)</f>
        <v>21890</v>
      </c>
      <c r="C2190" s="66">
        <f>IFERROR(__xludf.DUMMYFUNCTION("""COMPUTED_VALUE"""),2.394766E10)</f>
        <v>23947660000</v>
      </c>
      <c r="D2190" s="1"/>
      <c r="E2190" s="1"/>
      <c r="F2190" s="1"/>
      <c r="G2190" s="1"/>
      <c r="H2190" s="1"/>
      <c r="I2190" s="1"/>
      <c r="J2190" s="1"/>
      <c r="K2190" s="1"/>
      <c r="L2190" s="1"/>
      <c r="M2190" s="1"/>
      <c r="N2190" s="1"/>
      <c r="O2190" s="1"/>
      <c r="P2190" s="1"/>
      <c r="Q2190" s="1"/>
      <c r="R2190" s="1"/>
      <c r="S2190" s="1"/>
      <c r="T2190" s="1"/>
      <c r="U2190" s="1"/>
      <c r="V2190" s="1"/>
      <c r="W2190" s="1"/>
      <c r="X2190" s="1"/>
      <c r="Y2190" s="1"/>
      <c r="Z2190" s="1"/>
    </row>
    <row r="2191" ht="15.75" customHeight="1">
      <c r="A2191" s="2">
        <f>IFERROR(__xludf.DUMMYFUNCTION("""COMPUTED_VALUE"""),1095000.0)</f>
        <v>1095000</v>
      </c>
      <c r="B2191" s="2">
        <f>IFERROR(__xludf.DUMMYFUNCTION("""COMPUTED_VALUE"""),21900.0)</f>
        <v>21900</v>
      </c>
      <c r="C2191" s="66">
        <f>IFERROR(__xludf.DUMMYFUNCTION("""COMPUTED_VALUE"""),2.396955E10)</f>
        <v>23969550000</v>
      </c>
      <c r="D2191" s="1"/>
      <c r="E2191" s="1"/>
      <c r="F2191" s="1"/>
      <c r="G2191" s="1"/>
      <c r="H2191" s="1"/>
      <c r="I2191" s="1"/>
      <c r="J2191" s="1"/>
      <c r="K2191" s="1"/>
      <c r="L2191" s="1"/>
      <c r="M2191" s="1"/>
      <c r="N2191" s="1"/>
      <c r="O2191" s="1"/>
      <c r="P2191" s="1"/>
      <c r="Q2191" s="1"/>
      <c r="R2191" s="1"/>
      <c r="S2191" s="1"/>
      <c r="T2191" s="1"/>
      <c r="U2191" s="1"/>
      <c r="V2191" s="1"/>
      <c r="W2191" s="1"/>
      <c r="X2191" s="1"/>
      <c r="Y2191" s="1"/>
      <c r="Z2191" s="1"/>
    </row>
    <row r="2192" ht="15.75" customHeight="1">
      <c r="A2192" s="2">
        <f>IFERROR(__xludf.DUMMYFUNCTION("""COMPUTED_VALUE"""),1095500.0)</f>
        <v>1095500</v>
      </c>
      <c r="B2192" s="2">
        <f>IFERROR(__xludf.DUMMYFUNCTION("""COMPUTED_VALUE"""),21910.0)</f>
        <v>21910</v>
      </c>
      <c r="C2192" s="66">
        <f>IFERROR(__xludf.DUMMYFUNCTION("""COMPUTED_VALUE"""),2.399145E10)</f>
        <v>23991450000</v>
      </c>
      <c r="D2192" s="1"/>
      <c r="E2192" s="1"/>
      <c r="F2192" s="1"/>
      <c r="G2192" s="1"/>
      <c r="H2192" s="1"/>
      <c r="I2192" s="1"/>
      <c r="J2192" s="1"/>
      <c r="K2192" s="1"/>
      <c r="L2192" s="1"/>
      <c r="M2192" s="1"/>
      <c r="N2192" s="1"/>
      <c r="O2192" s="1"/>
      <c r="P2192" s="1"/>
      <c r="Q2192" s="1"/>
      <c r="R2192" s="1"/>
      <c r="S2192" s="1"/>
      <c r="T2192" s="1"/>
      <c r="U2192" s="1"/>
      <c r="V2192" s="1"/>
      <c r="W2192" s="1"/>
      <c r="X2192" s="1"/>
      <c r="Y2192" s="1"/>
      <c r="Z2192" s="1"/>
    </row>
    <row r="2193" ht="15.75" customHeight="1">
      <c r="A2193" s="2">
        <f>IFERROR(__xludf.DUMMYFUNCTION("""COMPUTED_VALUE"""),1096000.0)</f>
        <v>1096000</v>
      </c>
      <c r="B2193" s="2">
        <f>IFERROR(__xludf.DUMMYFUNCTION("""COMPUTED_VALUE"""),21920.0)</f>
        <v>21920</v>
      </c>
      <c r="C2193" s="66">
        <f>IFERROR(__xludf.DUMMYFUNCTION("""COMPUTED_VALUE"""),2.401336E10)</f>
        <v>24013360000</v>
      </c>
      <c r="D2193" s="1"/>
      <c r="E2193" s="1"/>
      <c r="F2193" s="1"/>
      <c r="G2193" s="1"/>
      <c r="H2193" s="1"/>
      <c r="I2193" s="1"/>
      <c r="J2193" s="1"/>
      <c r="K2193" s="1"/>
      <c r="L2193" s="1"/>
      <c r="M2193" s="1"/>
      <c r="N2193" s="1"/>
      <c r="O2193" s="1"/>
      <c r="P2193" s="1"/>
      <c r="Q2193" s="1"/>
      <c r="R2193" s="1"/>
      <c r="S2193" s="1"/>
      <c r="T2193" s="1"/>
      <c r="U2193" s="1"/>
      <c r="V2193" s="1"/>
      <c r="W2193" s="1"/>
      <c r="X2193" s="1"/>
      <c r="Y2193" s="1"/>
      <c r="Z2193" s="1"/>
    </row>
    <row r="2194" ht="15.75" customHeight="1">
      <c r="A2194" s="2">
        <f>IFERROR(__xludf.DUMMYFUNCTION("""COMPUTED_VALUE"""),1096500.0)</f>
        <v>1096500</v>
      </c>
      <c r="B2194" s="2">
        <f>IFERROR(__xludf.DUMMYFUNCTION("""COMPUTED_VALUE"""),21930.0)</f>
        <v>21930</v>
      </c>
      <c r="C2194" s="66">
        <f>IFERROR(__xludf.DUMMYFUNCTION("""COMPUTED_VALUE"""),2.403528E10)</f>
        <v>24035280000</v>
      </c>
      <c r="D2194" s="1"/>
      <c r="E2194" s="1"/>
      <c r="F2194" s="1"/>
      <c r="G2194" s="1"/>
      <c r="H2194" s="1"/>
      <c r="I2194" s="1"/>
      <c r="J2194" s="1"/>
      <c r="K2194" s="1"/>
      <c r="L2194" s="1"/>
      <c r="M2194" s="1"/>
      <c r="N2194" s="1"/>
      <c r="O2194" s="1"/>
      <c r="P2194" s="1"/>
      <c r="Q2194" s="1"/>
      <c r="R2194" s="1"/>
      <c r="S2194" s="1"/>
      <c r="T2194" s="1"/>
      <c r="U2194" s="1"/>
      <c r="V2194" s="1"/>
      <c r="W2194" s="1"/>
      <c r="X2194" s="1"/>
      <c r="Y2194" s="1"/>
      <c r="Z2194" s="1"/>
    </row>
    <row r="2195" ht="15.75" customHeight="1">
      <c r="A2195" s="2">
        <f>IFERROR(__xludf.DUMMYFUNCTION("""COMPUTED_VALUE"""),1097000.0)</f>
        <v>1097000</v>
      </c>
      <c r="B2195" s="2">
        <f>IFERROR(__xludf.DUMMYFUNCTION("""COMPUTED_VALUE"""),21940.0)</f>
        <v>21940</v>
      </c>
      <c r="C2195" s="66">
        <f>IFERROR(__xludf.DUMMYFUNCTION("""COMPUTED_VALUE"""),2.405721E10)</f>
        <v>24057210000</v>
      </c>
      <c r="D2195" s="1"/>
      <c r="E2195" s="1"/>
      <c r="F2195" s="1"/>
      <c r="G2195" s="1"/>
      <c r="H2195" s="1"/>
      <c r="I2195" s="1"/>
      <c r="J2195" s="1"/>
      <c r="K2195" s="1"/>
      <c r="L2195" s="1"/>
      <c r="M2195" s="1"/>
      <c r="N2195" s="1"/>
      <c r="O2195" s="1"/>
      <c r="P2195" s="1"/>
      <c r="Q2195" s="1"/>
      <c r="R2195" s="1"/>
      <c r="S2195" s="1"/>
      <c r="T2195" s="1"/>
      <c r="U2195" s="1"/>
      <c r="V2195" s="1"/>
      <c r="W2195" s="1"/>
      <c r="X2195" s="1"/>
      <c r="Y2195" s="1"/>
      <c r="Z2195" s="1"/>
    </row>
    <row r="2196" ht="15.75" customHeight="1">
      <c r="A2196" s="2">
        <f>IFERROR(__xludf.DUMMYFUNCTION("""COMPUTED_VALUE"""),1097500.0)</f>
        <v>1097500</v>
      </c>
      <c r="B2196" s="2">
        <f>IFERROR(__xludf.DUMMYFUNCTION("""COMPUTED_VALUE"""),21950.0)</f>
        <v>21950</v>
      </c>
      <c r="C2196" s="66">
        <f>IFERROR(__xludf.DUMMYFUNCTION("""COMPUTED_VALUE"""),2.407915E10)</f>
        <v>24079150000</v>
      </c>
      <c r="D2196" s="1"/>
      <c r="E2196" s="1"/>
      <c r="F2196" s="1"/>
      <c r="G2196" s="1"/>
      <c r="H2196" s="1"/>
      <c r="I2196" s="1"/>
      <c r="J2196" s="1"/>
      <c r="K2196" s="1"/>
      <c r="L2196" s="1"/>
      <c r="M2196" s="1"/>
      <c r="N2196" s="1"/>
      <c r="O2196" s="1"/>
      <c r="P2196" s="1"/>
      <c r="Q2196" s="1"/>
      <c r="R2196" s="1"/>
      <c r="S2196" s="1"/>
      <c r="T2196" s="1"/>
      <c r="U2196" s="1"/>
      <c r="V2196" s="1"/>
      <c r="W2196" s="1"/>
      <c r="X2196" s="1"/>
      <c r="Y2196" s="1"/>
      <c r="Z2196" s="1"/>
    </row>
    <row r="2197" ht="15.75" customHeight="1">
      <c r="A2197" s="2">
        <f>IFERROR(__xludf.DUMMYFUNCTION("""COMPUTED_VALUE"""),1098000.0)</f>
        <v>1098000</v>
      </c>
      <c r="B2197" s="2">
        <f>IFERROR(__xludf.DUMMYFUNCTION("""COMPUTED_VALUE"""),21960.0)</f>
        <v>21960</v>
      </c>
      <c r="C2197" s="66">
        <f>IFERROR(__xludf.DUMMYFUNCTION("""COMPUTED_VALUE"""),2.41011E10)</f>
        <v>24101100000</v>
      </c>
      <c r="D2197" s="1"/>
      <c r="E2197" s="1"/>
      <c r="F2197" s="1"/>
      <c r="G2197" s="1"/>
      <c r="H2197" s="1"/>
      <c r="I2197" s="1"/>
      <c r="J2197" s="1"/>
      <c r="K2197" s="1"/>
      <c r="L2197" s="1"/>
      <c r="M2197" s="1"/>
      <c r="N2197" s="1"/>
      <c r="O2197" s="1"/>
      <c r="P2197" s="1"/>
      <c r="Q2197" s="1"/>
      <c r="R2197" s="1"/>
      <c r="S2197" s="1"/>
      <c r="T2197" s="1"/>
      <c r="U2197" s="1"/>
      <c r="V2197" s="1"/>
      <c r="W2197" s="1"/>
      <c r="X2197" s="1"/>
      <c r="Y2197" s="1"/>
      <c r="Z2197" s="1"/>
    </row>
    <row r="2198" ht="15.75" customHeight="1">
      <c r="A2198" s="2">
        <f>IFERROR(__xludf.DUMMYFUNCTION("""COMPUTED_VALUE"""),1098500.0)</f>
        <v>1098500</v>
      </c>
      <c r="B2198" s="2">
        <f>IFERROR(__xludf.DUMMYFUNCTION("""COMPUTED_VALUE"""),21970.0)</f>
        <v>21970</v>
      </c>
      <c r="C2198" s="66">
        <f>IFERROR(__xludf.DUMMYFUNCTION("""COMPUTED_VALUE"""),2.412306E10)</f>
        <v>24123060000</v>
      </c>
      <c r="D2198" s="1"/>
      <c r="E2198" s="1"/>
      <c r="F2198" s="1"/>
      <c r="G2198" s="1"/>
      <c r="H2198" s="1"/>
      <c r="I2198" s="1"/>
      <c r="J2198" s="1"/>
      <c r="K2198" s="1"/>
      <c r="L2198" s="1"/>
      <c r="M2198" s="1"/>
      <c r="N2198" s="1"/>
      <c r="O2198" s="1"/>
      <c r="P2198" s="1"/>
      <c r="Q2198" s="1"/>
      <c r="R2198" s="1"/>
      <c r="S2198" s="1"/>
      <c r="T2198" s="1"/>
      <c r="U2198" s="1"/>
      <c r="V2198" s="1"/>
      <c r="W2198" s="1"/>
      <c r="X2198" s="1"/>
      <c r="Y2198" s="1"/>
      <c r="Z2198" s="1"/>
    </row>
    <row r="2199" ht="15.75" customHeight="1">
      <c r="A2199" s="2">
        <f>IFERROR(__xludf.DUMMYFUNCTION("""COMPUTED_VALUE"""),1099000.0)</f>
        <v>1099000</v>
      </c>
      <c r="B2199" s="2">
        <f>IFERROR(__xludf.DUMMYFUNCTION("""COMPUTED_VALUE"""),21980.0)</f>
        <v>21980</v>
      </c>
      <c r="C2199" s="66">
        <f>IFERROR(__xludf.DUMMYFUNCTION("""COMPUTED_VALUE"""),2.414503E10)</f>
        <v>24145030000</v>
      </c>
      <c r="D2199" s="1"/>
      <c r="E2199" s="1"/>
      <c r="F2199" s="1"/>
      <c r="G2199" s="1"/>
      <c r="H2199" s="1"/>
      <c r="I2199" s="1"/>
      <c r="J2199" s="1"/>
      <c r="K2199" s="1"/>
      <c r="L2199" s="1"/>
      <c r="M2199" s="1"/>
      <c r="N2199" s="1"/>
      <c r="O2199" s="1"/>
      <c r="P2199" s="1"/>
      <c r="Q2199" s="1"/>
      <c r="R2199" s="1"/>
      <c r="S2199" s="1"/>
      <c r="T2199" s="1"/>
      <c r="U2199" s="1"/>
      <c r="V2199" s="1"/>
      <c r="W2199" s="1"/>
      <c r="X2199" s="1"/>
      <c r="Y2199" s="1"/>
      <c r="Z2199" s="1"/>
    </row>
    <row r="2200" ht="15.75" customHeight="1">
      <c r="A2200" s="2">
        <f>IFERROR(__xludf.DUMMYFUNCTION("""COMPUTED_VALUE"""),1099500.0)</f>
        <v>1099500</v>
      </c>
      <c r="B2200" s="2">
        <f>IFERROR(__xludf.DUMMYFUNCTION("""COMPUTED_VALUE"""),21990.0)</f>
        <v>21990</v>
      </c>
      <c r="C2200" s="66">
        <f>IFERROR(__xludf.DUMMYFUNCTION("""COMPUTED_VALUE"""),2.416701E10)</f>
        <v>24167010000</v>
      </c>
      <c r="D2200" s="1"/>
      <c r="E2200" s="1"/>
      <c r="F2200" s="1"/>
      <c r="G2200" s="1"/>
      <c r="H2200" s="1"/>
      <c r="I2200" s="1"/>
      <c r="J2200" s="1"/>
      <c r="K2200" s="1"/>
      <c r="L2200" s="1"/>
      <c r="M2200" s="1"/>
      <c r="N2200" s="1"/>
      <c r="O2200" s="1"/>
      <c r="P2200" s="1"/>
      <c r="Q2200" s="1"/>
      <c r="R2200" s="1"/>
      <c r="S2200" s="1"/>
      <c r="T2200" s="1"/>
      <c r="U2200" s="1"/>
      <c r="V2200" s="1"/>
      <c r="W2200" s="1"/>
      <c r="X2200" s="1"/>
      <c r="Y2200" s="1"/>
      <c r="Z2200" s="1"/>
    </row>
    <row r="2201" ht="15.75" customHeight="1">
      <c r="A2201" s="2">
        <f>IFERROR(__xludf.DUMMYFUNCTION("""COMPUTED_VALUE"""),1100000.0)</f>
        <v>1100000</v>
      </c>
      <c r="B2201" s="2">
        <f>IFERROR(__xludf.DUMMYFUNCTION("""COMPUTED_VALUE"""),22000.0)</f>
        <v>22000</v>
      </c>
      <c r="C2201" s="66">
        <f>IFERROR(__xludf.DUMMYFUNCTION("""COMPUTED_VALUE"""),2.4189E10)</f>
        <v>24189000000</v>
      </c>
      <c r="D2201" s="1"/>
      <c r="E2201" s="1"/>
      <c r="F2201" s="1"/>
      <c r="G2201" s="1"/>
      <c r="H2201" s="1"/>
      <c r="I2201" s="1"/>
      <c r="J2201" s="1"/>
      <c r="K2201" s="1"/>
      <c r="L2201" s="1"/>
      <c r="M2201" s="1"/>
      <c r="N2201" s="1"/>
      <c r="O2201" s="1"/>
      <c r="P2201" s="1"/>
      <c r="Q2201" s="1"/>
      <c r="R2201" s="1"/>
      <c r="S2201" s="1"/>
      <c r="T2201" s="1"/>
      <c r="U2201" s="1"/>
      <c r="V2201" s="1"/>
      <c r="W2201" s="1"/>
      <c r="X2201" s="1"/>
      <c r="Y2201" s="1"/>
      <c r="Z2201" s="1"/>
    </row>
    <row r="2202" ht="15.75" customHeight="1">
      <c r="A2202" s="2">
        <f>IFERROR(__xludf.DUMMYFUNCTION("""COMPUTED_VALUE"""),1100500.0)</f>
        <v>1100500</v>
      </c>
      <c r="B2202" s="2">
        <f>IFERROR(__xludf.DUMMYFUNCTION("""COMPUTED_VALUE"""),22010.0)</f>
        <v>22010</v>
      </c>
      <c r="C2202" s="66">
        <f>IFERROR(__xludf.DUMMYFUNCTION("""COMPUTED_VALUE"""),2.4211E10)</f>
        <v>24211000000</v>
      </c>
      <c r="D2202" s="1"/>
      <c r="E2202" s="1"/>
      <c r="F2202" s="1"/>
      <c r="G2202" s="1"/>
      <c r="H2202" s="1"/>
      <c r="I2202" s="1"/>
      <c r="J2202" s="1"/>
      <c r="K2202" s="1"/>
      <c r="L2202" s="1"/>
      <c r="M2202" s="1"/>
      <c r="N2202" s="1"/>
      <c r="O2202" s="1"/>
      <c r="P2202" s="1"/>
      <c r="Q2202" s="1"/>
      <c r="R2202" s="1"/>
      <c r="S2202" s="1"/>
      <c r="T2202" s="1"/>
      <c r="U2202" s="1"/>
      <c r="V2202" s="1"/>
      <c r="W2202" s="1"/>
      <c r="X2202" s="1"/>
      <c r="Y2202" s="1"/>
      <c r="Z2202" s="1"/>
    </row>
    <row r="2203" ht="15.75" customHeight="1">
      <c r="A2203" s="2">
        <f>IFERROR(__xludf.DUMMYFUNCTION("""COMPUTED_VALUE"""),1101000.0)</f>
        <v>1101000</v>
      </c>
      <c r="B2203" s="2">
        <f>IFERROR(__xludf.DUMMYFUNCTION("""COMPUTED_VALUE"""),22020.0)</f>
        <v>22020</v>
      </c>
      <c r="C2203" s="66">
        <f>IFERROR(__xludf.DUMMYFUNCTION("""COMPUTED_VALUE"""),2.423301E10)</f>
        <v>24233010000</v>
      </c>
      <c r="D2203" s="1"/>
      <c r="E2203" s="1"/>
      <c r="F2203" s="1"/>
      <c r="G2203" s="1"/>
      <c r="H2203" s="1"/>
      <c r="I2203" s="1"/>
      <c r="J2203" s="1"/>
      <c r="K2203" s="1"/>
      <c r="L2203" s="1"/>
      <c r="M2203" s="1"/>
      <c r="N2203" s="1"/>
      <c r="O2203" s="1"/>
      <c r="P2203" s="1"/>
      <c r="Q2203" s="1"/>
      <c r="R2203" s="1"/>
      <c r="S2203" s="1"/>
      <c r="T2203" s="1"/>
      <c r="U2203" s="1"/>
      <c r="V2203" s="1"/>
      <c r="W2203" s="1"/>
      <c r="X2203" s="1"/>
      <c r="Y2203" s="1"/>
      <c r="Z2203" s="1"/>
    </row>
    <row r="2204" ht="15.75" customHeight="1">
      <c r="A2204" s="2">
        <f>IFERROR(__xludf.DUMMYFUNCTION("""COMPUTED_VALUE"""),1101500.0)</f>
        <v>1101500</v>
      </c>
      <c r="B2204" s="2">
        <f>IFERROR(__xludf.DUMMYFUNCTION("""COMPUTED_VALUE"""),22030.0)</f>
        <v>22030</v>
      </c>
      <c r="C2204" s="66">
        <f>IFERROR(__xludf.DUMMYFUNCTION("""COMPUTED_VALUE"""),2.425503E10)</f>
        <v>24255030000</v>
      </c>
      <c r="D2204" s="1"/>
      <c r="E2204" s="1"/>
      <c r="F2204" s="1"/>
      <c r="G2204" s="1"/>
      <c r="H2204" s="1"/>
      <c r="I2204" s="1"/>
      <c r="J2204" s="1"/>
      <c r="K2204" s="1"/>
      <c r="L2204" s="1"/>
      <c r="M2204" s="1"/>
      <c r="N2204" s="1"/>
      <c r="O2204" s="1"/>
      <c r="P2204" s="1"/>
      <c r="Q2204" s="1"/>
      <c r="R2204" s="1"/>
      <c r="S2204" s="1"/>
      <c r="T2204" s="1"/>
      <c r="U2204" s="1"/>
      <c r="V2204" s="1"/>
      <c r="W2204" s="1"/>
      <c r="X2204" s="1"/>
      <c r="Y2204" s="1"/>
      <c r="Z2204" s="1"/>
    </row>
    <row r="2205" ht="15.75" customHeight="1">
      <c r="A2205" s="2">
        <f>IFERROR(__xludf.DUMMYFUNCTION("""COMPUTED_VALUE"""),1102000.0)</f>
        <v>1102000</v>
      </c>
      <c r="B2205" s="2">
        <f>IFERROR(__xludf.DUMMYFUNCTION("""COMPUTED_VALUE"""),22040.0)</f>
        <v>22040</v>
      </c>
      <c r="C2205" s="66">
        <f>IFERROR(__xludf.DUMMYFUNCTION("""COMPUTED_VALUE"""),2.427706E10)</f>
        <v>24277060000</v>
      </c>
      <c r="D2205" s="1"/>
      <c r="E2205" s="1"/>
      <c r="F2205" s="1"/>
      <c r="G2205" s="1"/>
      <c r="H2205" s="1"/>
      <c r="I2205" s="1"/>
      <c r="J2205" s="1"/>
      <c r="K2205" s="1"/>
      <c r="L2205" s="1"/>
      <c r="M2205" s="1"/>
      <c r="N2205" s="1"/>
      <c r="O2205" s="1"/>
      <c r="P2205" s="1"/>
      <c r="Q2205" s="1"/>
      <c r="R2205" s="1"/>
      <c r="S2205" s="1"/>
      <c r="T2205" s="1"/>
      <c r="U2205" s="1"/>
      <c r="V2205" s="1"/>
      <c r="W2205" s="1"/>
      <c r="X2205" s="1"/>
      <c r="Y2205" s="1"/>
      <c r="Z2205" s="1"/>
    </row>
    <row r="2206" ht="15.75" customHeight="1">
      <c r="A2206" s="2">
        <f>IFERROR(__xludf.DUMMYFUNCTION("""COMPUTED_VALUE"""),1102500.0)</f>
        <v>1102500</v>
      </c>
      <c r="B2206" s="2">
        <f>IFERROR(__xludf.DUMMYFUNCTION("""COMPUTED_VALUE"""),22050.0)</f>
        <v>22050</v>
      </c>
      <c r="C2206" s="66">
        <f>IFERROR(__xludf.DUMMYFUNCTION("""COMPUTED_VALUE"""),2.42991E10)</f>
        <v>24299100000</v>
      </c>
      <c r="D2206" s="1"/>
      <c r="E2206" s="1"/>
      <c r="F2206" s="1"/>
      <c r="G2206" s="1"/>
      <c r="H2206" s="1"/>
      <c r="I2206" s="1"/>
      <c r="J2206" s="1"/>
      <c r="K2206" s="1"/>
      <c r="L2206" s="1"/>
      <c r="M2206" s="1"/>
      <c r="N2206" s="1"/>
      <c r="O2206" s="1"/>
      <c r="P2206" s="1"/>
      <c r="Q2206" s="1"/>
      <c r="R2206" s="1"/>
      <c r="S2206" s="1"/>
      <c r="T2206" s="1"/>
      <c r="U2206" s="1"/>
      <c r="V2206" s="1"/>
      <c r="W2206" s="1"/>
      <c r="X2206" s="1"/>
      <c r="Y2206" s="1"/>
      <c r="Z2206" s="1"/>
    </row>
    <row r="2207" ht="15.75" customHeight="1">
      <c r="A2207" s="2">
        <f>IFERROR(__xludf.DUMMYFUNCTION("""COMPUTED_VALUE"""),1103000.0)</f>
        <v>1103000</v>
      </c>
      <c r="B2207" s="2">
        <f>IFERROR(__xludf.DUMMYFUNCTION("""COMPUTED_VALUE"""),22060.0)</f>
        <v>22060</v>
      </c>
      <c r="C2207" s="66">
        <f>IFERROR(__xludf.DUMMYFUNCTION("""COMPUTED_VALUE"""),2.432115E10)</f>
        <v>24321150000</v>
      </c>
      <c r="D2207" s="1"/>
      <c r="E2207" s="1"/>
      <c r="F2207" s="1"/>
      <c r="G2207" s="1"/>
      <c r="H2207" s="1"/>
      <c r="I2207" s="1"/>
      <c r="J2207" s="1"/>
      <c r="K2207" s="1"/>
      <c r="L2207" s="1"/>
      <c r="M2207" s="1"/>
      <c r="N2207" s="1"/>
      <c r="O2207" s="1"/>
      <c r="P2207" s="1"/>
      <c r="Q2207" s="1"/>
      <c r="R2207" s="1"/>
      <c r="S2207" s="1"/>
      <c r="T2207" s="1"/>
      <c r="U2207" s="1"/>
      <c r="V2207" s="1"/>
      <c r="W2207" s="1"/>
      <c r="X2207" s="1"/>
      <c r="Y2207" s="1"/>
      <c r="Z2207" s="1"/>
    </row>
    <row r="2208" ht="15.75" customHeight="1">
      <c r="A2208" s="2">
        <f>IFERROR(__xludf.DUMMYFUNCTION("""COMPUTED_VALUE"""),1103500.0)</f>
        <v>1103500</v>
      </c>
      <c r="B2208" s="2">
        <f>IFERROR(__xludf.DUMMYFUNCTION("""COMPUTED_VALUE"""),22070.0)</f>
        <v>22070</v>
      </c>
      <c r="C2208" s="66">
        <f>IFERROR(__xludf.DUMMYFUNCTION("""COMPUTED_VALUE"""),2.434321E10)</f>
        <v>24343210000</v>
      </c>
      <c r="D2208" s="1"/>
      <c r="E2208" s="1"/>
      <c r="F2208" s="1"/>
      <c r="G2208" s="1"/>
      <c r="H2208" s="1"/>
      <c r="I2208" s="1"/>
      <c r="J2208" s="1"/>
      <c r="K2208" s="1"/>
      <c r="L2208" s="1"/>
      <c r="M2208" s="1"/>
      <c r="N2208" s="1"/>
      <c r="O2208" s="1"/>
      <c r="P2208" s="1"/>
      <c r="Q2208" s="1"/>
      <c r="R2208" s="1"/>
      <c r="S2208" s="1"/>
      <c r="T2208" s="1"/>
      <c r="U2208" s="1"/>
      <c r="V2208" s="1"/>
      <c r="W2208" s="1"/>
      <c r="X2208" s="1"/>
      <c r="Y2208" s="1"/>
      <c r="Z2208" s="1"/>
    </row>
    <row r="2209" ht="15.75" customHeight="1">
      <c r="A2209" s="2">
        <f>IFERROR(__xludf.DUMMYFUNCTION("""COMPUTED_VALUE"""),1104000.0)</f>
        <v>1104000</v>
      </c>
      <c r="B2209" s="2">
        <f>IFERROR(__xludf.DUMMYFUNCTION("""COMPUTED_VALUE"""),22080.0)</f>
        <v>22080</v>
      </c>
      <c r="C2209" s="66">
        <f>IFERROR(__xludf.DUMMYFUNCTION("""COMPUTED_VALUE"""),2.436528E10)</f>
        <v>24365280000</v>
      </c>
      <c r="D2209" s="1"/>
      <c r="E2209" s="1"/>
      <c r="F2209" s="1"/>
      <c r="G2209" s="1"/>
      <c r="H2209" s="1"/>
      <c r="I2209" s="1"/>
      <c r="J2209" s="1"/>
      <c r="K2209" s="1"/>
      <c r="L2209" s="1"/>
      <c r="M2209" s="1"/>
      <c r="N2209" s="1"/>
      <c r="O2209" s="1"/>
      <c r="P2209" s="1"/>
      <c r="Q2209" s="1"/>
      <c r="R2209" s="1"/>
      <c r="S2209" s="1"/>
      <c r="T2209" s="1"/>
      <c r="U2209" s="1"/>
      <c r="V2209" s="1"/>
      <c r="W2209" s="1"/>
      <c r="X2209" s="1"/>
      <c r="Y2209" s="1"/>
      <c r="Z2209" s="1"/>
    </row>
    <row r="2210" ht="15.75" customHeight="1">
      <c r="A2210" s="2">
        <f>IFERROR(__xludf.DUMMYFUNCTION("""COMPUTED_VALUE"""),1104500.0)</f>
        <v>1104500</v>
      </c>
      <c r="B2210" s="2">
        <f>IFERROR(__xludf.DUMMYFUNCTION("""COMPUTED_VALUE"""),22090.0)</f>
        <v>22090</v>
      </c>
      <c r="C2210" s="66">
        <f>IFERROR(__xludf.DUMMYFUNCTION("""COMPUTED_VALUE"""),2.438736E10)</f>
        <v>24387360000</v>
      </c>
      <c r="D2210" s="1"/>
      <c r="E2210" s="1"/>
      <c r="F2210" s="1"/>
      <c r="G2210" s="1"/>
      <c r="H2210" s="1"/>
      <c r="I2210" s="1"/>
      <c r="J2210" s="1"/>
      <c r="K2210" s="1"/>
      <c r="L2210" s="1"/>
      <c r="M2210" s="1"/>
      <c r="N2210" s="1"/>
      <c r="O2210" s="1"/>
      <c r="P2210" s="1"/>
      <c r="Q2210" s="1"/>
      <c r="R2210" s="1"/>
      <c r="S2210" s="1"/>
      <c r="T2210" s="1"/>
      <c r="U2210" s="1"/>
      <c r="V2210" s="1"/>
      <c r="W2210" s="1"/>
      <c r="X2210" s="1"/>
      <c r="Y2210" s="1"/>
      <c r="Z2210" s="1"/>
    </row>
    <row r="2211" ht="15.75" customHeight="1">
      <c r="A2211" s="2">
        <f>IFERROR(__xludf.DUMMYFUNCTION("""COMPUTED_VALUE"""),1105000.0)</f>
        <v>1105000</v>
      </c>
      <c r="B2211" s="2">
        <f>IFERROR(__xludf.DUMMYFUNCTION("""COMPUTED_VALUE"""),22100.0)</f>
        <v>22100</v>
      </c>
      <c r="C2211" s="66">
        <f>IFERROR(__xludf.DUMMYFUNCTION("""COMPUTED_VALUE"""),2.440945E10)</f>
        <v>24409450000</v>
      </c>
      <c r="D2211" s="1"/>
      <c r="E2211" s="1"/>
      <c r="F2211" s="1"/>
      <c r="G2211" s="1"/>
      <c r="H2211" s="1"/>
      <c r="I2211" s="1"/>
      <c r="J2211" s="1"/>
      <c r="K2211" s="1"/>
      <c r="L2211" s="1"/>
      <c r="M2211" s="1"/>
      <c r="N2211" s="1"/>
      <c r="O2211" s="1"/>
      <c r="P2211" s="1"/>
      <c r="Q2211" s="1"/>
      <c r="R2211" s="1"/>
      <c r="S2211" s="1"/>
      <c r="T2211" s="1"/>
      <c r="U2211" s="1"/>
      <c r="V2211" s="1"/>
      <c r="W2211" s="1"/>
      <c r="X2211" s="1"/>
      <c r="Y2211" s="1"/>
      <c r="Z2211" s="1"/>
    </row>
    <row r="2212" ht="15.75" customHeight="1">
      <c r="A2212" s="2">
        <f>IFERROR(__xludf.DUMMYFUNCTION("""COMPUTED_VALUE"""),1105500.0)</f>
        <v>1105500</v>
      </c>
      <c r="B2212" s="2">
        <f>IFERROR(__xludf.DUMMYFUNCTION("""COMPUTED_VALUE"""),22110.0)</f>
        <v>22110</v>
      </c>
      <c r="C2212" s="66">
        <f>IFERROR(__xludf.DUMMYFUNCTION("""COMPUTED_VALUE"""),2.443155E10)</f>
        <v>24431550000</v>
      </c>
      <c r="D2212" s="1"/>
      <c r="E2212" s="1"/>
      <c r="F2212" s="1"/>
      <c r="G2212" s="1"/>
      <c r="H2212" s="1"/>
      <c r="I2212" s="1"/>
      <c r="J2212" s="1"/>
      <c r="K2212" s="1"/>
      <c r="L2212" s="1"/>
      <c r="M2212" s="1"/>
      <c r="N2212" s="1"/>
      <c r="O2212" s="1"/>
      <c r="P2212" s="1"/>
      <c r="Q2212" s="1"/>
      <c r="R2212" s="1"/>
      <c r="S2212" s="1"/>
      <c r="T2212" s="1"/>
      <c r="U2212" s="1"/>
      <c r="V2212" s="1"/>
      <c r="W2212" s="1"/>
      <c r="X2212" s="1"/>
      <c r="Y2212" s="1"/>
      <c r="Z2212" s="1"/>
    </row>
    <row r="2213" ht="15.75" customHeight="1">
      <c r="A2213" s="2">
        <f>IFERROR(__xludf.DUMMYFUNCTION("""COMPUTED_VALUE"""),1106000.0)</f>
        <v>1106000</v>
      </c>
      <c r="B2213" s="2">
        <f>IFERROR(__xludf.DUMMYFUNCTION("""COMPUTED_VALUE"""),22120.0)</f>
        <v>22120</v>
      </c>
      <c r="C2213" s="66">
        <f>IFERROR(__xludf.DUMMYFUNCTION("""COMPUTED_VALUE"""),2.445366E10)</f>
        <v>24453660000</v>
      </c>
      <c r="D2213" s="1"/>
      <c r="E2213" s="1"/>
      <c r="F2213" s="1"/>
      <c r="G2213" s="1"/>
      <c r="H2213" s="1"/>
      <c r="I2213" s="1"/>
      <c r="J2213" s="1"/>
      <c r="K2213" s="1"/>
      <c r="L2213" s="1"/>
      <c r="M2213" s="1"/>
      <c r="N2213" s="1"/>
      <c r="O2213" s="1"/>
      <c r="P2213" s="1"/>
      <c r="Q2213" s="1"/>
      <c r="R2213" s="1"/>
      <c r="S2213" s="1"/>
      <c r="T2213" s="1"/>
      <c r="U2213" s="1"/>
      <c r="V2213" s="1"/>
      <c r="W2213" s="1"/>
      <c r="X2213" s="1"/>
      <c r="Y2213" s="1"/>
      <c r="Z2213" s="1"/>
    </row>
    <row r="2214" ht="15.75" customHeight="1">
      <c r="A2214" s="2">
        <f>IFERROR(__xludf.DUMMYFUNCTION("""COMPUTED_VALUE"""),1106500.0)</f>
        <v>1106500</v>
      </c>
      <c r="B2214" s="2">
        <f>IFERROR(__xludf.DUMMYFUNCTION("""COMPUTED_VALUE"""),22130.0)</f>
        <v>22130</v>
      </c>
      <c r="C2214" s="66">
        <f>IFERROR(__xludf.DUMMYFUNCTION("""COMPUTED_VALUE"""),2.447578E10)</f>
        <v>24475780000</v>
      </c>
      <c r="D2214" s="1"/>
      <c r="E2214" s="1"/>
      <c r="F2214" s="1"/>
      <c r="G2214" s="1"/>
      <c r="H2214" s="1"/>
      <c r="I2214" s="1"/>
      <c r="J2214" s="1"/>
      <c r="K2214" s="1"/>
      <c r="L2214" s="1"/>
      <c r="M2214" s="1"/>
      <c r="N2214" s="1"/>
      <c r="O2214" s="1"/>
      <c r="P2214" s="1"/>
      <c r="Q2214" s="1"/>
      <c r="R2214" s="1"/>
      <c r="S2214" s="1"/>
      <c r="T2214" s="1"/>
      <c r="U2214" s="1"/>
      <c r="V2214" s="1"/>
      <c r="W2214" s="1"/>
      <c r="X2214" s="1"/>
      <c r="Y2214" s="1"/>
      <c r="Z2214" s="1"/>
    </row>
    <row r="2215" ht="15.75" customHeight="1">
      <c r="A2215" s="2">
        <f>IFERROR(__xludf.DUMMYFUNCTION("""COMPUTED_VALUE"""),1107000.0)</f>
        <v>1107000</v>
      </c>
      <c r="B2215" s="2">
        <f>IFERROR(__xludf.DUMMYFUNCTION("""COMPUTED_VALUE"""),22140.0)</f>
        <v>22140</v>
      </c>
      <c r="C2215" s="66">
        <f>IFERROR(__xludf.DUMMYFUNCTION("""COMPUTED_VALUE"""),2.449791E10)</f>
        <v>24497910000</v>
      </c>
      <c r="D2215" s="1"/>
      <c r="E2215" s="1"/>
      <c r="F2215" s="1"/>
      <c r="G2215" s="1"/>
      <c r="H2215" s="1"/>
      <c r="I2215" s="1"/>
      <c r="J2215" s="1"/>
      <c r="K2215" s="1"/>
      <c r="L2215" s="1"/>
      <c r="M2215" s="1"/>
      <c r="N2215" s="1"/>
      <c r="O2215" s="1"/>
      <c r="P2215" s="1"/>
      <c r="Q2215" s="1"/>
      <c r="R2215" s="1"/>
      <c r="S2215" s="1"/>
      <c r="T2215" s="1"/>
      <c r="U2215" s="1"/>
      <c r="V2215" s="1"/>
      <c r="W2215" s="1"/>
      <c r="X2215" s="1"/>
      <c r="Y2215" s="1"/>
      <c r="Z2215" s="1"/>
    </row>
    <row r="2216" ht="15.75" customHeight="1">
      <c r="A2216" s="2">
        <f>IFERROR(__xludf.DUMMYFUNCTION("""COMPUTED_VALUE"""),1107500.0)</f>
        <v>1107500</v>
      </c>
      <c r="B2216" s="2">
        <f>IFERROR(__xludf.DUMMYFUNCTION("""COMPUTED_VALUE"""),22150.0)</f>
        <v>22150</v>
      </c>
      <c r="C2216" s="66">
        <f>IFERROR(__xludf.DUMMYFUNCTION("""COMPUTED_VALUE"""),2.452005E10)</f>
        <v>24520050000</v>
      </c>
      <c r="D2216" s="1"/>
      <c r="E2216" s="1"/>
      <c r="F2216" s="1"/>
      <c r="G2216" s="1"/>
      <c r="H2216" s="1"/>
      <c r="I2216" s="1"/>
      <c r="J2216" s="1"/>
      <c r="K2216" s="1"/>
      <c r="L2216" s="1"/>
      <c r="M2216" s="1"/>
      <c r="N2216" s="1"/>
      <c r="O2216" s="1"/>
      <c r="P2216" s="1"/>
      <c r="Q2216" s="1"/>
      <c r="R2216" s="1"/>
      <c r="S2216" s="1"/>
      <c r="T2216" s="1"/>
      <c r="U2216" s="1"/>
      <c r="V2216" s="1"/>
      <c r="W2216" s="1"/>
      <c r="X2216" s="1"/>
      <c r="Y2216" s="1"/>
      <c r="Z2216" s="1"/>
    </row>
    <row r="2217" ht="15.75" customHeight="1">
      <c r="A2217" s="2">
        <f>IFERROR(__xludf.DUMMYFUNCTION("""COMPUTED_VALUE"""),1108000.0)</f>
        <v>1108000</v>
      </c>
      <c r="B2217" s="2">
        <f>IFERROR(__xludf.DUMMYFUNCTION("""COMPUTED_VALUE"""),22160.0)</f>
        <v>22160</v>
      </c>
      <c r="C2217" s="66">
        <f>IFERROR(__xludf.DUMMYFUNCTION("""COMPUTED_VALUE"""),2.45422E10)</f>
        <v>24542200000</v>
      </c>
      <c r="D2217" s="1"/>
      <c r="E2217" s="1"/>
      <c r="F2217" s="1"/>
      <c r="G2217" s="1"/>
      <c r="H2217" s="1"/>
      <c r="I2217" s="1"/>
      <c r="J2217" s="1"/>
      <c r="K2217" s="1"/>
      <c r="L2217" s="1"/>
      <c r="M2217" s="1"/>
      <c r="N2217" s="1"/>
      <c r="O2217" s="1"/>
      <c r="P2217" s="1"/>
      <c r="Q2217" s="1"/>
      <c r="R2217" s="1"/>
      <c r="S2217" s="1"/>
      <c r="T2217" s="1"/>
      <c r="U2217" s="1"/>
      <c r="V2217" s="1"/>
      <c r="W2217" s="1"/>
      <c r="X2217" s="1"/>
      <c r="Y2217" s="1"/>
      <c r="Z2217" s="1"/>
    </row>
    <row r="2218" ht="15.75" customHeight="1">
      <c r="A2218" s="2">
        <f>IFERROR(__xludf.DUMMYFUNCTION("""COMPUTED_VALUE"""),1108500.0)</f>
        <v>1108500</v>
      </c>
      <c r="B2218" s="2">
        <f>IFERROR(__xludf.DUMMYFUNCTION("""COMPUTED_VALUE"""),22170.0)</f>
        <v>22170</v>
      </c>
      <c r="C2218" s="66">
        <f>IFERROR(__xludf.DUMMYFUNCTION("""COMPUTED_VALUE"""),2.456436E10)</f>
        <v>24564360000</v>
      </c>
      <c r="D2218" s="1"/>
      <c r="E2218" s="1"/>
      <c r="F2218" s="1"/>
      <c r="G2218" s="1"/>
      <c r="H2218" s="1"/>
      <c r="I2218" s="1"/>
      <c r="J2218" s="1"/>
      <c r="K2218" s="1"/>
      <c r="L2218" s="1"/>
      <c r="M2218" s="1"/>
      <c r="N2218" s="1"/>
      <c r="O2218" s="1"/>
      <c r="P2218" s="1"/>
      <c r="Q2218" s="1"/>
      <c r="R2218" s="1"/>
      <c r="S2218" s="1"/>
      <c r="T2218" s="1"/>
      <c r="U2218" s="1"/>
      <c r="V2218" s="1"/>
      <c r="W2218" s="1"/>
      <c r="X2218" s="1"/>
      <c r="Y2218" s="1"/>
      <c r="Z2218" s="1"/>
    </row>
    <row r="2219" ht="15.75" customHeight="1">
      <c r="A2219" s="2">
        <f>IFERROR(__xludf.DUMMYFUNCTION("""COMPUTED_VALUE"""),1109000.0)</f>
        <v>1109000</v>
      </c>
      <c r="B2219" s="2">
        <f>IFERROR(__xludf.DUMMYFUNCTION("""COMPUTED_VALUE"""),22180.0)</f>
        <v>22180</v>
      </c>
      <c r="C2219" s="66">
        <f>IFERROR(__xludf.DUMMYFUNCTION("""COMPUTED_VALUE"""),2.458653E10)</f>
        <v>24586530000</v>
      </c>
      <c r="D2219" s="1"/>
      <c r="E2219" s="1"/>
      <c r="F2219" s="1"/>
      <c r="G2219" s="1"/>
      <c r="H2219" s="1"/>
      <c r="I2219" s="1"/>
      <c r="J2219" s="1"/>
      <c r="K2219" s="1"/>
      <c r="L2219" s="1"/>
      <c r="M2219" s="1"/>
      <c r="N2219" s="1"/>
      <c r="O2219" s="1"/>
      <c r="P2219" s="1"/>
      <c r="Q2219" s="1"/>
      <c r="R2219" s="1"/>
      <c r="S2219" s="1"/>
      <c r="T2219" s="1"/>
      <c r="U2219" s="1"/>
      <c r="V2219" s="1"/>
      <c r="W2219" s="1"/>
      <c r="X2219" s="1"/>
      <c r="Y2219" s="1"/>
      <c r="Z2219" s="1"/>
    </row>
    <row r="2220" ht="15.75" customHeight="1">
      <c r="A2220" s="2">
        <f>IFERROR(__xludf.DUMMYFUNCTION("""COMPUTED_VALUE"""),1109500.0)</f>
        <v>1109500</v>
      </c>
      <c r="B2220" s="2">
        <f>IFERROR(__xludf.DUMMYFUNCTION("""COMPUTED_VALUE"""),22190.0)</f>
        <v>22190</v>
      </c>
      <c r="C2220" s="66">
        <f>IFERROR(__xludf.DUMMYFUNCTION("""COMPUTED_VALUE"""),2.460871E10)</f>
        <v>24608710000</v>
      </c>
      <c r="D2220" s="1"/>
      <c r="E2220" s="1"/>
      <c r="F2220" s="1"/>
      <c r="G2220" s="1"/>
      <c r="H2220" s="1"/>
      <c r="I2220" s="1"/>
      <c r="J2220" s="1"/>
      <c r="K2220" s="1"/>
      <c r="L2220" s="1"/>
      <c r="M2220" s="1"/>
      <c r="N2220" s="1"/>
      <c r="O2220" s="1"/>
      <c r="P2220" s="1"/>
      <c r="Q2220" s="1"/>
      <c r="R2220" s="1"/>
      <c r="S2220" s="1"/>
      <c r="T2220" s="1"/>
      <c r="U2220" s="1"/>
      <c r="V2220" s="1"/>
      <c r="W2220" s="1"/>
      <c r="X2220" s="1"/>
      <c r="Y2220" s="1"/>
      <c r="Z2220" s="1"/>
    </row>
    <row r="2221" ht="15.75" customHeight="1">
      <c r="A2221" s="2">
        <f>IFERROR(__xludf.DUMMYFUNCTION("""COMPUTED_VALUE"""),1110000.0)</f>
        <v>1110000</v>
      </c>
      <c r="B2221" s="2">
        <f>IFERROR(__xludf.DUMMYFUNCTION("""COMPUTED_VALUE"""),22200.0)</f>
        <v>22200</v>
      </c>
      <c r="C2221" s="66">
        <f>IFERROR(__xludf.DUMMYFUNCTION("""COMPUTED_VALUE"""),2.46309E10)</f>
        <v>24630900000</v>
      </c>
      <c r="D2221" s="1"/>
      <c r="E2221" s="1"/>
      <c r="F2221" s="1"/>
      <c r="G2221" s="1"/>
      <c r="H2221" s="1"/>
      <c r="I2221" s="1"/>
      <c r="J2221" s="1"/>
      <c r="K2221" s="1"/>
      <c r="L2221" s="1"/>
      <c r="M2221" s="1"/>
      <c r="N2221" s="1"/>
      <c r="O2221" s="1"/>
      <c r="P2221" s="1"/>
      <c r="Q2221" s="1"/>
      <c r="R2221" s="1"/>
      <c r="S2221" s="1"/>
      <c r="T2221" s="1"/>
      <c r="U2221" s="1"/>
      <c r="V2221" s="1"/>
      <c r="W2221" s="1"/>
      <c r="X2221" s="1"/>
      <c r="Y2221" s="1"/>
      <c r="Z2221" s="1"/>
    </row>
    <row r="2222" ht="15.75" customHeight="1">
      <c r="A2222" s="2">
        <f>IFERROR(__xludf.DUMMYFUNCTION("""COMPUTED_VALUE"""),1110500.0)</f>
        <v>1110500</v>
      </c>
      <c r="B2222" s="2">
        <f>IFERROR(__xludf.DUMMYFUNCTION("""COMPUTED_VALUE"""),22210.0)</f>
        <v>22210</v>
      </c>
      <c r="C2222" s="66">
        <f>IFERROR(__xludf.DUMMYFUNCTION("""COMPUTED_VALUE"""),2.46531E10)</f>
        <v>24653100000</v>
      </c>
      <c r="D2222" s="1"/>
      <c r="E2222" s="1"/>
      <c r="F2222" s="1"/>
      <c r="G2222" s="1"/>
      <c r="H2222" s="1"/>
      <c r="I2222" s="1"/>
      <c r="J2222" s="1"/>
      <c r="K2222" s="1"/>
      <c r="L2222" s="1"/>
      <c r="M2222" s="1"/>
      <c r="N2222" s="1"/>
      <c r="O2222" s="1"/>
      <c r="P2222" s="1"/>
      <c r="Q2222" s="1"/>
      <c r="R2222" s="1"/>
      <c r="S2222" s="1"/>
      <c r="T2222" s="1"/>
      <c r="U2222" s="1"/>
      <c r="V2222" s="1"/>
      <c r="W2222" s="1"/>
      <c r="X2222" s="1"/>
      <c r="Y2222" s="1"/>
      <c r="Z2222" s="1"/>
    </row>
    <row r="2223" ht="15.75" customHeight="1">
      <c r="A2223" s="2">
        <f>IFERROR(__xludf.DUMMYFUNCTION("""COMPUTED_VALUE"""),1111000.0)</f>
        <v>1111000</v>
      </c>
      <c r="B2223" s="2">
        <f>IFERROR(__xludf.DUMMYFUNCTION("""COMPUTED_VALUE"""),22220.0)</f>
        <v>22220</v>
      </c>
      <c r="C2223" s="66">
        <f>IFERROR(__xludf.DUMMYFUNCTION("""COMPUTED_VALUE"""),2.467531E10)</f>
        <v>24675310000</v>
      </c>
      <c r="D2223" s="1"/>
      <c r="E2223" s="1"/>
      <c r="F2223" s="1"/>
      <c r="G2223" s="1"/>
      <c r="H2223" s="1"/>
      <c r="I2223" s="1"/>
      <c r="J2223" s="1"/>
      <c r="K2223" s="1"/>
      <c r="L2223" s="1"/>
      <c r="M2223" s="1"/>
      <c r="N2223" s="1"/>
      <c r="O2223" s="1"/>
      <c r="P2223" s="1"/>
      <c r="Q2223" s="1"/>
      <c r="R2223" s="1"/>
      <c r="S2223" s="1"/>
      <c r="T2223" s="1"/>
      <c r="U2223" s="1"/>
      <c r="V2223" s="1"/>
      <c r="W2223" s="1"/>
      <c r="X2223" s="1"/>
      <c r="Y2223" s="1"/>
      <c r="Z2223" s="1"/>
    </row>
    <row r="2224" ht="15.75" customHeight="1">
      <c r="A2224" s="2">
        <f>IFERROR(__xludf.DUMMYFUNCTION("""COMPUTED_VALUE"""),1111500.0)</f>
        <v>1111500</v>
      </c>
      <c r="B2224" s="2">
        <f>IFERROR(__xludf.DUMMYFUNCTION("""COMPUTED_VALUE"""),22230.0)</f>
        <v>22230</v>
      </c>
      <c r="C2224" s="66">
        <f>IFERROR(__xludf.DUMMYFUNCTION("""COMPUTED_VALUE"""),2.469753E10)</f>
        <v>24697530000</v>
      </c>
      <c r="D2224" s="1"/>
      <c r="E2224" s="1"/>
      <c r="F2224" s="1"/>
      <c r="G2224" s="1"/>
      <c r="H2224" s="1"/>
      <c r="I2224" s="1"/>
      <c r="J2224" s="1"/>
      <c r="K2224" s="1"/>
      <c r="L2224" s="1"/>
      <c r="M2224" s="1"/>
      <c r="N2224" s="1"/>
      <c r="O2224" s="1"/>
      <c r="P2224" s="1"/>
      <c r="Q2224" s="1"/>
      <c r="R2224" s="1"/>
      <c r="S2224" s="1"/>
      <c r="T2224" s="1"/>
      <c r="U2224" s="1"/>
      <c r="V2224" s="1"/>
      <c r="W2224" s="1"/>
      <c r="X2224" s="1"/>
      <c r="Y2224" s="1"/>
      <c r="Z2224" s="1"/>
    </row>
    <row r="2225" ht="15.75" customHeight="1">
      <c r="A2225" s="2">
        <f>IFERROR(__xludf.DUMMYFUNCTION("""COMPUTED_VALUE"""),1112000.0)</f>
        <v>1112000</v>
      </c>
      <c r="B2225" s="2">
        <f>IFERROR(__xludf.DUMMYFUNCTION("""COMPUTED_VALUE"""),22240.0)</f>
        <v>22240</v>
      </c>
      <c r="C2225" s="66">
        <f>IFERROR(__xludf.DUMMYFUNCTION("""COMPUTED_VALUE"""),2.471976E10)</f>
        <v>24719760000</v>
      </c>
      <c r="D2225" s="1"/>
      <c r="E2225" s="1"/>
      <c r="F2225" s="1"/>
      <c r="G2225" s="1"/>
      <c r="H2225" s="1"/>
      <c r="I2225" s="1"/>
      <c r="J2225" s="1"/>
      <c r="K2225" s="1"/>
      <c r="L2225" s="1"/>
      <c r="M2225" s="1"/>
      <c r="N2225" s="1"/>
      <c r="O2225" s="1"/>
      <c r="P2225" s="1"/>
      <c r="Q2225" s="1"/>
      <c r="R2225" s="1"/>
      <c r="S2225" s="1"/>
      <c r="T2225" s="1"/>
      <c r="U2225" s="1"/>
      <c r="V2225" s="1"/>
      <c r="W2225" s="1"/>
      <c r="X2225" s="1"/>
      <c r="Y2225" s="1"/>
      <c r="Z2225" s="1"/>
    </row>
    <row r="2226" ht="15.75" customHeight="1">
      <c r="A2226" s="2">
        <f>IFERROR(__xludf.DUMMYFUNCTION("""COMPUTED_VALUE"""),1112500.0)</f>
        <v>1112500</v>
      </c>
      <c r="B2226" s="2">
        <f>IFERROR(__xludf.DUMMYFUNCTION("""COMPUTED_VALUE"""),22250.0)</f>
        <v>22250</v>
      </c>
      <c r="C2226" s="66">
        <f>IFERROR(__xludf.DUMMYFUNCTION("""COMPUTED_VALUE"""),2.4742E10)</f>
        <v>24742000000</v>
      </c>
      <c r="D2226" s="1"/>
      <c r="E2226" s="1"/>
      <c r="F2226" s="1"/>
      <c r="G2226" s="1"/>
      <c r="H2226" s="1"/>
      <c r="I2226" s="1"/>
      <c r="J2226" s="1"/>
      <c r="K2226" s="1"/>
      <c r="L2226" s="1"/>
      <c r="M2226" s="1"/>
      <c r="N2226" s="1"/>
      <c r="O2226" s="1"/>
      <c r="P2226" s="1"/>
      <c r="Q2226" s="1"/>
      <c r="R2226" s="1"/>
      <c r="S2226" s="1"/>
      <c r="T2226" s="1"/>
      <c r="U2226" s="1"/>
      <c r="V2226" s="1"/>
      <c r="W2226" s="1"/>
      <c r="X2226" s="1"/>
      <c r="Y2226" s="1"/>
      <c r="Z2226" s="1"/>
    </row>
    <row r="2227" ht="15.75" customHeight="1">
      <c r="A2227" s="2">
        <f>IFERROR(__xludf.DUMMYFUNCTION("""COMPUTED_VALUE"""),1113000.0)</f>
        <v>1113000</v>
      </c>
      <c r="B2227" s="2">
        <f>IFERROR(__xludf.DUMMYFUNCTION("""COMPUTED_VALUE"""),22260.0)</f>
        <v>22260</v>
      </c>
      <c r="C2227" s="66">
        <f>IFERROR(__xludf.DUMMYFUNCTION("""COMPUTED_VALUE"""),2.476425E10)</f>
        <v>24764250000</v>
      </c>
      <c r="D2227" s="1"/>
      <c r="E2227" s="1"/>
      <c r="F2227" s="1"/>
      <c r="G2227" s="1"/>
      <c r="H2227" s="1"/>
      <c r="I2227" s="1"/>
      <c r="J2227" s="1"/>
      <c r="K2227" s="1"/>
      <c r="L2227" s="1"/>
      <c r="M2227" s="1"/>
      <c r="N2227" s="1"/>
      <c r="O2227" s="1"/>
      <c r="P2227" s="1"/>
      <c r="Q2227" s="1"/>
      <c r="R2227" s="1"/>
      <c r="S2227" s="1"/>
      <c r="T2227" s="1"/>
      <c r="U2227" s="1"/>
      <c r="V2227" s="1"/>
      <c r="W2227" s="1"/>
      <c r="X2227" s="1"/>
      <c r="Y2227" s="1"/>
      <c r="Z2227" s="1"/>
    </row>
    <row r="2228" ht="15.75" customHeight="1">
      <c r="A2228" s="2">
        <f>IFERROR(__xludf.DUMMYFUNCTION("""COMPUTED_VALUE"""),1113500.0)</f>
        <v>1113500</v>
      </c>
      <c r="B2228" s="2">
        <f>IFERROR(__xludf.DUMMYFUNCTION("""COMPUTED_VALUE"""),22270.0)</f>
        <v>22270</v>
      </c>
      <c r="C2228" s="66">
        <f>IFERROR(__xludf.DUMMYFUNCTION("""COMPUTED_VALUE"""),2.478651E10)</f>
        <v>24786510000</v>
      </c>
      <c r="D2228" s="1"/>
      <c r="E2228" s="1"/>
      <c r="F2228" s="1"/>
      <c r="G2228" s="1"/>
      <c r="H2228" s="1"/>
      <c r="I2228" s="1"/>
      <c r="J2228" s="1"/>
      <c r="K2228" s="1"/>
      <c r="L2228" s="1"/>
      <c r="M2228" s="1"/>
      <c r="N2228" s="1"/>
      <c r="O2228" s="1"/>
      <c r="P2228" s="1"/>
      <c r="Q2228" s="1"/>
      <c r="R2228" s="1"/>
      <c r="S2228" s="1"/>
      <c r="T2228" s="1"/>
      <c r="U2228" s="1"/>
      <c r="V2228" s="1"/>
      <c r="W2228" s="1"/>
      <c r="X2228" s="1"/>
      <c r="Y2228" s="1"/>
      <c r="Z2228" s="1"/>
    </row>
    <row r="2229" ht="15.75" customHeight="1">
      <c r="A2229" s="2">
        <f>IFERROR(__xludf.DUMMYFUNCTION("""COMPUTED_VALUE"""),1114000.0)</f>
        <v>1114000</v>
      </c>
      <c r="B2229" s="2">
        <f>IFERROR(__xludf.DUMMYFUNCTION("""COMPUTED_VALUE"""),22280.0)</f>
        <v>22280</v>
      </c>
      <c r="C2229" s="66">
        <f>IFERROR(__xludf.DUMMYFUNCTION("""COMPUTED_VALUE"""),2.480878E10)</f>
        <v>24808780000</v>
      </c>
      <c r="D2229" s="1"/>
      <c r="E2229" s="1"/>
      <c r="F2229" s="1"/>
      <c r="G2229" s="1"/>
      <c r="H2229" s="1"/>
      <c r="I2229" s="1"/>
      <c r="J2229" s="1"/>
      <c r="K2229" s="1"/>
      <c r="L2229" s="1"/>
      <c r="M2229" s="1"/>
      <c r="N2229" s="1"/>
      <c r="O2229" s="1"/>
      <c r="P2229" s="1"/>
      <c r="Q2229" s="1"/>
      <c r="R2229" s="1"/>
      <c r="S2229" s="1"/>
      <c r="T2229" s="1"/>
      <c r="U2229" s="1"/>
      <c r="V2229" s="1"/>
      <c r="W2229" s="1"/>
      <c r="X2229" s="1"/>
      <c r="Y2229" s="1"/>
      <c r="Z2229" s="1"/>
    </row>
    <row r="2230" ht="15.75" customHeight="1">
      <c r="A2230" s="2">
        <f>IFERROR(__xludf.DUMMYFUNCTION("""COMPUTED_VALUE"""),1114500.0)</f>
        <v>1114500</v>
      </c>
      <c r="B2230" s="2">
        <f>IFERROR(__xludf.DUMMYFUNCTION("""COMPUTED_VALUE"""),22290.0)</f>
        <v>22290</v>
      </c>
      <c r="C2230" s="66">
        <f>IFERROR(__xludf.DUMMYFUNCTION("""COMPUTED_VALUE"""),2.483106E10)</f>
        <v>24831060000</v>
      </c>
      <c r="D2230" s="1"/>
      <c r="E2230" s="1"/>
      <c r="F2230" s="1"/>
      <c r="G2230" s="1"/>
      <c r="H2230" s="1"/>
      <c r="I2230" s="1"/>
      <c r="J2230" s="1"/>
      <c r="K2230" s="1"/>
      <c r="L2230" s="1"/>
      <c r="M2230" s="1"/>
      <c r="N2230" s="1"/>
      <c r="O2230" s="1"/>
      <c r="P2230" s="1"/>
      <c r="Q2230" s="1"/>
      <c r="R2230" s="1"/>
      <c r="S2230" s="1"/>
      <c r="T2230" s="1"/>
      <c r="U2230" s="1"/>
      <c r="V2230" s="1"/>
      <c r="W2230" s="1"/>
      <c r="X2230" s="1"/>
      <c r="Y2230" s="1"/>
      <c r="Z2230" s="1"/>
    </row>
    <row r="2231" ht="15.75" customHeight="1">
      <c r="A2231" s="2">
        <f>IFERROR(__xludf.DUMMYFUNCTION("""COMPUTED_VALUE"""),1115000.0)</f>
        <v>1115000</v>
      </c>
      <c r="B2231" s="2">
        <f>IFERROR(__xludf.DUMMYFUNCTION("""COMPUTED_VALUE"""),22300.0)</f>
        <v>22300</v>
      </c>
      <c r="C2231" s="66">
        <f>IFERROR(__xludf.DUMMYFUNCTION("""COMPUTED_VALUE"""),2.485335E10)</f>
        <v>24853350000</v>
      </c>
      <c r="D2231" s="1"/>
      <c r="E2231" s="1"/>
      <c r="F2231" s="1"/>
      <c r="G2231" s="1"/>
      <c r="H2231" s="1"/>
      <c r="I2231" s="1"/>
      <c r="J2231" s="1"/>
      <c r="K2231" s="1"/>
      <c r="L2231" s="1"/>
      <c r="M2231" s="1"/>
      <c r="N2231" s="1"/>
      <c r="O2231" s="1"/>
      <c r="P2231" s="1"/>
      <c r="Q2231" s="1"/>
      <c r="R2231" s="1"/>
      <c r="S2231" s="1"/>
      <c r="T2231" s="1"/>
      <c r="U2231" s="1"/>
      <c r="V2231" s="1"/>
      <c r="W2231" s="1"/>
      <c r="X2231" s="1"/>
      <c r="Y2231" s="1"/>
      <c r="Z2231" s="1"/>
    </row>
    <row r="2232" ht="15.75" customHeight="1">
      <c r="A2232" s="2">
        <f>IFERROR(__xludf.DUMMYFUNCTION("""COMPUTED_VALUE"""),1115500.0)</f>
        <v>1115500</v>
      </c>
      <c r="B2232" s="2">
        <f>IFERROR(__xludf.DUMMYFUNCTION("""COMPUTED_VALUE"""),22310.0)</f>
        <v>22310</v>
      </c>
      <c r="C2232" s="66">
        <f>IFERROR(__xludf.DUMMYFUNCTION("""COMPUTED_VALUE"""),2.487565E10)</f>
        <v>24875650000</v>
      </c>
      <c r="D2232" s="1"/>
      <c r="E2232" s="1"/>
      <c r="F2232" s="1"/>
      <c r="G2232" s="1"/>
      <c r="H2232" s="1"/>
      <c r="I2232" s="1"/>
      <c r="J2232" s="1"/>
      <c r="K2232" s="1"/>
      <c r="L2232" s="1"/>
      <c r="M2232" s="1"/>
      <c r="N2232" s="1"/>
      <c r="O2232" s="1"/>
      <c r="P2232" s="1"/>
      <c r="Q2232" s="1"/>
      <c r="R2232" s="1"/>
      <c r="S2232" s="1"/>
      <c r="T2232" s="1"/>
      <c r="U2232" s="1"/>
      <c r="V2232" s="1"/>
      <c r="W2232" s="1"/>
      <c r="X2232" s="1"/>
      <c r="Y2232" s="1"/>
      <c r="Z2232" s="1"/>
    </row>
    <row r="2233" ht="15.75" customHeight="1">
      <c r="A2233" s="2">
        <f>IFERROR(__xludf.DUMMYFUNCTION("""COMPUTED_VALUE"""),1116000.0)</f>
        <v>1116000</v>
      </c>
      <c r="B2233" s="2">
        <f>IFERROR(__xludf.DUMMYFUNCTION("""COMPUTED_VALUE"""),22320.0)</f>
        <v>22320</v>
      </c>
      <c r="C2233" s="66">
        <f>IFERROR(__xludf.DUMMYFUNCTION("""COMPUTED_VALUE"""),2.489796E10)</f>
        <v>24897960000</v>
      </c>
      <c r="D2233" s="1"/>
      <c r="E2233" s="1"/>
      <c r="F2233" s="1"/>
      <c r="G2233" s="1"/>
      <c r="H2233" s="1"/>
      <c r="I2233" s="1"/>
      <c r="J2233" s="1"/>
      <c r="K2233" s="1"/>
      <c r="L2233" s="1"/>
      <c r="M2233" s="1"/>
      <c r="N2233" s="1"/>
      <c r="O2233" s="1"/>
      <c r="P2233" s="1"/>
      <c r="Q2233" s="1"/>
      <c r="R2233" s="1"/>
      <c r="S2233" s="1"/>
      <c r="T2233" s="1"/>
      <c r="U2233" s="1"/>
      <c r="V2233" s="1"/>
      <c r="W2233" s="1"/>
      <c r="X2233" s="1"/>
      <c r="Y2233" s="1"/>
      <c r="Z2233" s="1"/>
    </row>
    <row r="2234" ht="15.75" customHeight="1">
      <c r="A2234" s="2">
        <f>IFERROR(__xludf.DUMMYFUNCTION("""COMPUTED_VALUE"""),1116500.0)</f>
        <v>1116500</v>
      </c>
      <c r="B2234" s="2">
        <f>IFERROR(__xludf.DUMMYFUNCTION("""COMPUTED_VALUE"""),22330.0)</f>
        <v>22330</v>
      </c>
      <c r="C2234" s="66">
        <f>IFERROR(__xludf.DUMMYFUNCTION("""COMPUTED_VALUE"""),2.492028E10)</f>
        <v>24920280000</v>
      </c>
      <c r="D2234" s="1"/>
      <c r="E2234" s="1"/>
      <c r="F2234" s="1"/>
      <c r="G2234" s="1"/>
      <c r="H2234" s="1"/>
      <c r="I2234" s="1"/>
      <c r="J2234" s="1"/>
      <c r="K2234" s="1"/>
      <c r="L2234" s="1"/>
      <c r="M2234" s="1"/>
      <c r="N2234" s="1"/>
      <c r="O2234" s="1"/>
      <c r="P2234" s="1"/>
      <c r="Q2234" s="1"/>
      <c r="R2234" s="1"/>
      <c r="S2234" s="1"/>
      <c r="T2234" s="1"/>
      <c r="U2234" s="1"/>
      <c r="V2234" s="1"/>
      <c r="W2234" s="1"/>
      <c r="X2234" s="1"/>
      <c r="Y2234" s="1"/>
      <c r="Z2234" s="1"/>
    </row>
    <row r="2235" ht="15.75" customHeight="1">
      <c r="A2235" s="2">
        <f>IFERROR(__xludf.DUMMYFUNCTION("""COMPUTED_VALUE"""),1117000.0)</f>
        <v>1117000</v>
      </c>
      <c r="B2235" s="2">
        <f>IFERROR(__xludf.DUMMYFUNCTION("""COMPUTED_VALUE"""),22340.0)</f>
        <v>22340</v>
      </c>
      <c r="C2235" s="66">
        <f>IFERROR(__xludf.DUMMYFUNCTION("""COMPUTED_VALUE"""),2.494261E10)</f>
        <v>24942610000</v>
      </c>
      <c r="D2235" s="1"/>
      <c r="E2235" s="1"/>
      <c r="F2235" s="1"/>
      <c r="G2235" s="1"/>
      <c r="H2235" s="1"/>
      <c r="I2235" s="1"/>
      <c r="J2235" s="1"/>
      <c r="K2235" s="1"/>
      <c r="L2235" s="1"/>
      <c r="M2235" s="1"/>
      <c r="N2235" s="1"/>
      <c r="O2235" s="1"/>
      <c r="P2235" s="1"/>
      <c r="Q2235" s="1"/>
      <c r="R2235" s="1"/>
      <c r="S2235" s="1"/>
      <c r="T2235" s="1"/>
      <c r="U2235" s="1"/>
      <c r="V2235" s="1"/>
      <c r="W2235" s="1"/>
      <c r="X2235" s="1"/>
      <c r="Y2235" s="1"/>
      <c r="Z2235" s="1"/>
    </row>
    <row r="2236" ht="15.75" customHeight="1">
      <c r="A2236" s="2">
        <f>IFERROR(__xludf.DUMMYFUNCTION("""COMPUTED_VALUE"""),1117500.0)</f>
        <v>1117500</v>
      </c>
      <c r="B2236" s="2">
        <f>IFERROR(__xludf.DUMMYFUNCTION("""COMPUTED_VALUE"""),22350.0)</f>
        <v>22350</v>
      </c>
      <c r="C2236" s="66">
        <f>IFERROR(__xludf.DUMMYFUNCTION("""COMPUTED_VALUE"""),2.496495E10)</f>
        <v>24964950000</v>
      </c>
      <c r="D2236" s="1"/>
      <c r="E2236" s="1"/>
      <c r="F2236" s="1"/>
      <c r="G2236" s="1"/>
      <c r="H2236" s="1"/>
      <c r="I2236" s="1"/>
      <c r="J2236" s="1"/>
      <c r="K2236" s="1"/>
      <c r="L2236" s="1"/>
      <c r="M2236" s="1"/>
      <c r="N2236" s="1"/>
      <c r="O2236" s="1"/>
      <c r="P2236" s="1"/>
      <c r="Q2236" s="1"/>
      <c r="R2236" s="1"/>
      <c r="S2236" s="1"/>
      <c r="T2236" s="1"/>
      <c r="U2236" s="1"/>
      <c r="V2236" s="1"/>
      <c r="W2236" s="1"/>
      <c r="X2236" s="1"/>
      <c r="Y2236" s="1"/>
      <c r="Z2236" s="1"/>
    </row>
    <row r="2237" ht="15.75" customHeight="1">
      <c r="A2237" s="2">
        <f>IFERROR(__xludf.DUMMYFUNCTION("""COMPUTED_VALUE"""),1118000.0)</f>
        <v>1118000</v>
      </c>
      <c r="B2237" s="2">
        <f>IFERROR(__xludf.DUMMYFUNCTION("""COMPUTED_VALUE"""),22360.0)</f>
        <v>22360</v>
      </c>
      <c r="C2237" s="66">
        <f>IFERROR(__xludf.DUMMYFUNCTION("""COMPUTED_VALUE"""),2.49873E10)</f>
        <v>24987300000</v>
      </c>
      <c r="D2237" s="1"/>
      <c r="E2237" s="1"/>
      <c r="F2237" s="1"/>
      <c r="G2237" s="1"/>
      <c r="H2237" s="1"/>
      <c r="I2237" s="1"/>
      <c r="J2237" s="1"/>
      <c r="K2237" s="1"/>
      <c r="L2237" s="1"/>
      <c r="M2237" s="1"/>
      <c r="N2237" s="1"/>
      <c r="O2237" s="1"/>
      <c r="P2237" s="1"/>
      <c r="Q2237" s="1"/>
      <c r="R2237" s="1"/>
      <c r="S2237" s="1"/>
      <c r="T2237" s="1"/>
      <c r="U2237" s="1"/>
      <c r="V2237" s="1"/>
      <c r="W2237" s="1"/>
      <c r="X2237" s="1"/>
      <c r="Y2237" s="1"/>
      <c r="Z2237" s="1"/>
    </row>
    <row r="2238" ht="15.75" customHeight="1">
      <c r="A2238" s="2">
        <f>IFERROR(__xludf.DUMMYFUNCTION("""COMPUTED_VALUE"""),1118500.0)</f>
        <v>1118500</v>
      </c>
      <c r="B2238" s="2">
        <f>IFERROR(__xludf.DUMMYFUNCTION("""COMPUTED_VALUE"""),22370.0)</f>
        <v>22370</v>
      </c>
      <c r="C2238" s="66">
        <f>IFERROR(__xludf.DUMMYFUNCTION("""COMPUTED_VALUE"""),2.500966E10)</f>
        <v>25009660000</v>
      </c>
      <c r="D2238" s="1"/>
      <c r="E2238" s="1"/>
      <c r="F2238" s="1"/>
      <c r="G2238" s="1"/>
      <c r="H2238" s="1"/>
      <c r="I2238" s="1"/>
      <c r="J2238" s="1"/>
      <c r="K2238" s="1"/>
      <c r="L2238" s="1"/>
      <c r="M2238" s="1"/>
      <c r="N2238" s="1"/>
      <c r="O2238" s="1"/>
      <c r="P2238" s="1"/>
      <c r="Q2238" s="1"/>
      <c r="R2238" s="1"/>
      <c r="S2238" s="1"/>
      <c r="T2238" s="1"/>
      <c r="U2238" s="1"/>
      <c r="V2238" s="1"/>
      <c r="W2238" s="1"/>
      <c r="X2238" s="1"/>
      <c r="Y2238" s="1"/>
      <c r="Z2238" s="1"/>
    </row>
    <row r="2239" ht="15.75" customHeight="1">
      <c r="A2239" s="2">
        <f>IFERROR(__xludf.DUMMYFUNCTION("""COMPUTED_VALUE"""),1119000.0)</f>
        <v>1119000</v>
      </c>
      <c r="B2239" s="2">
        <f>IFERROR(__xludf.DUMMYFUNCTION("""COMPUTED_VALUE"""),22380.0)</f>
        <v>22380</v>
      </c>
      <c r="C2239" s="66">
        <f>IFERROR(__xludf.DUMMYFUNCTION("""COMPUTED_VALUE"""),2.503203E10)</f>
        <v>25032030000</v>
      </c>
      <c r="D2239" s="1"/>
      <c r="E2239" s="1"/>
      <c r="F2239" s="1"/>
      <c r="G2239" s="1"/>
      <c r="H2239" s="1"/>
      <c r="I2239" s="1"/>
      <c r="J2239" s="1"/>
      <c r="K2239" s="1"/>
      <c r="L2239" s="1"/>
      <c r="M2239" s="1"/>
      <c r="N2239" s="1"/>
      <c r="O2239" s="1"/>
      <c r="P2239" s="1"/>
      <c r="Q2239" s="1"/>
      <c r="R2239" s="1"/>
      <c r="S2239" s="1"/>
      <c r="T2239" s="1"/>
      <c r="U2239" s="1"/>
      <c r="V2239" s="1"/>
      <c r="W2239" s="1"/>
      <c r="X2239" s="1"/>
      <c r="Y2239" s="1"/>
      <c r="Z2239" s="1"/>
    </row>
    <row r="2240" ht="15.75" customHeight="1">
      <c r="A2240" s="2">
        <f>IFERROR(__xludf.DUMMYFUNCTION("""COMPUTED_VALUE"""),1119500.0)</f>
        <v>1119500</v>
      </c>
      <c r="B2240" s="2">
        <f>IFERROR(__xludf.DUMMYFUNCTION("""COMPUTED_VALUE"""),22390.0)</f>
        <v>22390</v>
      </c>
      <c r="C2240" s="66">
        <f>IFERROR(__xludf.DUMMYFUNCTION("""COMPUTED_VALUE"""),2.505441E10)</f>
        <v>25054410000</v>
      </c>
      <c r="D2240" s="1"/>
      <c r="E2240" s="1"/>
      <c r="F2240" s="1"/>
      <c r="G2240" s="1"/>
      <c r="H2240" s="1"/>
      <c r="I2240" s="1"/>
      <c r="J2240" s="1"/>
      <c r="K2240" s="1"/>
      <c r="L2240" s="1"/>
      <c r="M2240" s="1"/>
      <c r="N2240" s="1"/>
      <c r="O2240" s="1"/>
      <c r="P2240" s="1"/>
      <c r="Q2240" s="1"/>
      <c r="R2240" s="1"/>
      <c r="S2240" s="1"/>
      <c r="T2240" s="1"/>
      <c r="U2240" s="1"/>
      <c r="V2240" s="1"/>
      <c r="W2240" s="1"/>
      <c r="X2240" s="1"/>
      <c r="Y2240" s="1"/>
      <c r="Z2240" s="1"/>
    </row>
    <row r="2241" ht="15.75" customHeight="1">
      <c r="A2241" s="2">
        <f>IFERROR(__xludf.DUMMYFUNCTION("""COMPUTED_VALUE"""),1120000.0)</f>
        <v>1120000</v>
      </c>
      <c r="B2241" s="2">
        <f>IFERROR(__xludf.DUMMYFUNCTION("""COMPUTED_VALUE"""),22400.0)</f>
        <v>22400</v>
      </c>
      <c r="C2241" s="66">
        <f>IFERROR(__xludf.DUMMYFUNCTION("""COMPUTED_VALUE"""),2.50768E10)</f>
        <v>25076800000</v>
      </c>
      <c r="D2241" s="1"/>
      <c r="E2241" s="1"/>
      <c r="F2241" s="1"/>
      <c r="G2241" s="1"/>
      <c r="H2241" s="1"/>
      <c r="I2241" s="1"/>
      <c r="J2241" s="1"/>
      <c r="K2241" s="1"/>
      <c r="L2241" s="1"/>
      <c r="M2241" s="1"/>
      <c r="N2241" s="1"/>
      <c r="O2241" s="1"/>
      <c r="P2241" s="1"/>
      <c r="Q2241" s="1"/>
      <c r="R2241" s="1"/>
      <c r="S2241" s="1"/>
      <c r="T2241" s="1"/>
      <c r="U2241" s="1"/>
      <c r="V2241" s="1"/>
      <c r="W2241" s="1"/>
      <c r="X2241" s="1"/>
      <c r="Y2241" s="1"/>
      <c r="Z2241" s="1"/>
    </row>
    <row r="2242" ht="15.75" customHeight="1">
      <c r="A2242" s="2">
        <f>IFERROR(__xludf.DUMMYFUNCTION("""COMPUTED_VALUE"""),1120500.0)</f>
        <v>1120500</v>
      </c>
      <c r="B2242" s="2">
        <f>IFERROR(__xludf.DUMMYFUNCTION("""COMPUTED_VALUE"""),22410.0)</f>
        <v>22410</v>
      </c>
      <c r="C2242" s="66">
        <f>IFERROR(__xludf.DUMMYFUNCTION("""COMPUTED_VALUE"""),2.50992E10)</f>
        <v>25099200000</v>
      </c>
      <c r="D2242" s="1"/>
      <c r="E2242" s="1"/>
      <c r="F2242" s="1"/>
      <c r="G2242" s="1"/>
      <c r="H2242" s="1"/>
      <c r="I2242" s="1"/>
      <c r="J2242" s="1"/>
      <c r="K2242" s="1"/>
      <c r="L2242" s="1"/>
      <c r="M2242" s="1"/>
      <c r="N2242" s="1"/>
      <c r="O2242" s="1"/>
      <c r="P2242" s="1"/>
      <c r="Q2242" s="1"/>
      <c r="R2242" s="1"/>
      <c r="S2242" s="1"/>
      <c r="T2242" s="1"/>
      <c r="U2242" s="1"/>
      <c r="V2242" s="1"/>
      <c r="W2242" s="1"/>
      <c r="X2242" s="1"/>
      <c r="Y2242" s="1"/>
      <c r="Z2242" s="1"/>
    </row>
    <row r="2243" ht="15.75" customHeight="1">
      <c r="A2243" s="2">
        <f>IFERROR(__xludf.DUMMYFUNCTION("""COMPUTED_VALUE"""),1121000.0)</f>
        <v>1121000</v>
      </c>
      <c r="B2243" s="2">
        <f>IFERROR(__xludf.DUMMYFUNCTION("""COMPUTED_VALUE"""),22420.0)</f>
        <v>22420</v>
      </c>
      <c r="C2243" s="66">
        <f>IFERROR(__xludf.DUMMYFUNCTION("""COMPUTED_VALUE"""),2.512161E10)</f>
        <v>25121610000</v>
      </c>
      <c r="D2243" s="1"/>
      <c r="E2243" s="1"/>
      <c r="F2243" s="1"/>
      <c r="G2243" s="1"/>
      <c r="H2243" s="1"/>
      <c r="I2243" s="1"/>
      <c r="J2243" s="1"/>
      <c r="K2243" s="1"/>
      <c r="L2243" s="1"/>
      <c r="M2243" s="1"/>
      <c r="N2243" s="1"/>
      <c r="O2243" s="1"/>
      <c r="P2243" s="1"/>
      <c r="Q2243" s="1"/>
      <c r="R2243" s="1"/>
      <c r="S2243" s="1"/>
      <c r="T2243" s="1"/>
      <c r="U2243" s="1"/>
      <c r="V2243" s="1"/>
      <c r="W2243" s="1"/>
      <c r="X2243" s="1"/>
      <c r="Y2243" s="1"/>
      <c r="Z2243" s="1"/>
    </row>
    <row r="2244" ht="15.75" customHeight="1">
      <c r="A2244" s="2">
        <f>IFERROR(__xludf.DUMMYFUNCTION("""COMPUTED_VALUE"""),1121500.0)</f>
        <v>1121500</v>
      </c>
      <c r="B2244" s="2">
        <f>IFERROR(__xludf.DUMMYFUNCTION("""COMPUTED_VALUE"""),22430.0)</f>
        <v>22430</v>
      </c>
      <c r="C2244" s="66">
        <f>IFERROR(__xludf.DUMMYFUNCTION("""COMPUTED_VALUE"""),2.514403E10)</f>
        <v>25144030000</v>
      </c>
      <c r="D2244" s="1"/>
      <c r="E2244" s="1"/>
      <c r="F2244" s="1"/>
      <c r="G2244" s="1"/>
      <c r="H2244" s="1"/>
      <c r="I2244" s="1"/>
      <c r="J2244" s="1"/>
      <c r="K2244" s="1"/>
      <c r="L2244" s="1"/>
      <c r="M2244" s="1"/>
      <c r="N2244" s="1"/>
      <c r="O2244" s="1"/>
      <c r="P2244" s="1"/>
      <c r="Q2244" s="1"/>
      <c r="R2244" s="1"/>
      <c r="S2244" s="1"/>
      <c r="T2244" s="1"/>
      <c r="U2244" s="1"/>
      <c r="V2244" s="1"/>
      <c r="W2244" s="1"/>
      <c r="X2244" s="1"/>
      <c r="Y2244" s="1"/>
      <c r="Z2244" s="1"/>
    </row>
    <row r="2245" ht="15.75" customHeight="1">
      <c r="A2245" s="2">
        <f>IFERROR(__xludf.DUMMYFUNCTION("""COMPUTED_VALUE"""),1122000.0)</f>
        <v>1122000</v>
      </c>
      <c r="B2245" s="2">
        <f>IFERROR(__xludf.DUMMYFUNCTION("""COMPUTED_VALUE"""),22440.0)</f>
        <v>22440</v>
      </c>
      <c r="C2245" s="66">
        <f>IFERROR(__xludf.DUMMYFUNCTION("""COMPUTED_VALUE"""),2.516646E10)</f>
        <v>25166460000</v>
      </c>
      <c r="D2245" s="1"/>
      <c r="E2245" s="1"/>
      <c r="F2245" s="1"/>
      <c r="G2245" s="1"/>
      <c r="H2245" s="1"/>
      <c r="I2245" s="1"/>
      <c r="J2245" s="1"/>
      <c r="K2245" s="1"/>
      <c r="L2245" s="1"/>
      <c r="M2245" s="1"/>
      <c r="N2245" s="1"/>
      <c r="O2245" s="1"/>
      <c r="P2245" s="1"/>
      <c r="Q2245" s="1"/>
      <c r="R2245" s="1"/>
      <c r="S2245" s="1"/>
      <c r="T2245" s="1"/>
      <c r="U2245" s="1"/>
      <c r="V2245" s="1"/>
      <c r="W2245" s="1"/>
      <c r="X2245" s="1"/>
      <c r="Y2245" s="1"/>
      <c r="Z2245" s="1"/>
    </row>
    <row r="2246" ht="15.75" customHeight="1">
      <c r="A2246" s="2">
        <f>IFERROR(__xludf.DUMMYFUNCTION("""COMPUTED_VALUE"""),1122500.0)</f>
        <v>1122500</v>
      </c>
      <c r="B2246" s="2">
        <f>IFERROR(__xludf.DUMMYFUNCTION("""COMPUTED_VALUE"""),22450.0)</f>
        <v>22450</v>
      </c>
      <c r="C2246" s="66">
        <f>IFERROR(__xludf.DUMMYFUNCTION("""COMPUTED_VALUE"""),2.51889E10)</f>
        <v>25188900000</v>
      </c>
      <c r="D2246" s="1"/>
      <c r="E2246" s="1"/>
      <c r="F2246" s="1"/>
      <c r="G2246" s="1"/>
      <c r="H2246" s="1"/>
      <c r="I2246" s="1"/>
      <c r="J2246" s="1"/>
      <c r="K2246" s="1"/>
      <c r="L2246" s="1"/>
      <c r="M2246" s="1"/>
      <c r="N2246" s="1"/>
      <c r="O2246" s="1"/>
      <c r="P2246" s="1"/>
      <c r="Q2246" s="1"/>
      <c r="R2246" s="1"/>
      <c r="S2246" s="1"/>
      <c r="T2246" s="1"/>
      <c r="U2246" s="1"/>
      <c r="V2246" s="1"/>
      <c r="W2246" s="1"/>
      <c r="X2246" s="1"/>
      <c r="Y2246" s="1"/>
      <c r="Z2246" s="1"/>
    </row>
    <row r="2247" ht="15.75" customHeight="1">
      <c r="A2247" s="2">
        <f>IFERROR(__xludf.DUMMYFUNCTION("""COMPUTED_VALUE"""),1123000.0)</f>
        <v>1123000</v>
      </c>
      <c r="B2247" s="2">
        <f>IFERROR(__xludf.DUMMYFUNCTION("""COMPUTED_VALUE"""),22460.0)</f>
        <v>22460</v>
      </c>
      <c r="C2247" s="66">
        <f>IFERROR(__xludf.DUMMYFUNCTION("""COMPUTED_VALUE"""),2.521135E10)</f>
        <v>25211350000</v>
      </c>
      <c r="D2247" s="1"/>
      <c r="E2247" s="1"/>
      <c r="F2247" s="1"/>
      <c r="G2247" s="1"/>
      <c r="H2247" s="1"/>
      <c r="I2247" s="1"/>
      <c r="J2247" s="1"/>
      <c r="K2247" s="1"/>
      <c r="L2247" s="1"/>
      <c r="M2247" s="1"/>
      <c r="N2247" s="1"/>
      <c r="O2247" s="1"/>
      <c r="P2247" s="1"/>
      <c r="Q2247" s="1"/>
      <c r="R2247" s="1"/>
      <c r="S2247" s="1"/>
      <c r="T2247" s="1"/>
      <c r="U2247" s="1"/>
      <c r="V2247" s="1"/>
      <c r="W2247" s="1"/>
      <c r="X2247" s="1"/>
      <c r="Y2247" s="1"/>
      <c r="Z2247" s="1"/>
    </row>
    <row r="2248" ht="15.75" customHeight="1">
      <c r="A2248" s="2">
        <f>IFERROR(__xludf.DUMMYFUNCTION("""COMPUTED_VALUE"""),1123500.0)</f>
        <v>1123500</v>
      </c>
      <c r="B2248" s="2">
        <f>IFERROR(__xludf.DUMMYFUNCTION("""COMPUTED_VALUE"""),22470.0)</f>
        <v>22470</v>
      </c>
      <c r="C2248" s="66">
        <f>IFERROR(__xludf.DUMMYFUNCTION("""COMPUTED_VALUE"""),2.523381E10)</f>
        <v>25233810000</v>
      </c>
      <c r="D2248" s="1"/>
      <c r="E2248" s="1"/>
      <c r="F2248" s="1"/>
      <c r="G2248" s="1"/>
      <c r="H2248" s="1"/>
      <c r="I2248" s="1"/>
      <c r="J2248" s="1"/>
      <c r="K2248" s="1"/>
      <c r="L2248" s="1"/>
      <c r="M2248" s="1"/>
      <c r="N2248" s="1"/>
      <c r="O2248" s="1"/>
      <c r="P2248" s="1"/>
      <c r="Q2248" s="1"/>
      <c r="R2248" s="1"/>
      <c r="S2248" s="1"/>
      <c r="T2248" s="1"/>
      <c r="U2248" s="1"/>
      <c r="V2248" s="1"/>
      <c r="W2248" s="1"/>
      <c r="X2248" s="1"/>
      <c r="Y2248" s="1"/>
      <c r="Z2248" s="1"/>
    </row>
    <row r="2249" ht="15.75" customHeight="1">
      <c r="A2249" s="2">
        <f>IFERROR(__xludf.DUMMYFUNCTION("""COMPUTED_VALUE"""),1124000.0)</f>
        <v>1124000</v>
      </c>
      <c r="B2249" s="2">
        <f>IFERROR(__xludf.DUMMYFUNCTION("""COMPUTED_VALUE"""),22480.0)</f>
        <v>22480</v>
      </c>
      <c r="C2249" s="66">
        <f>IFERROR(__xludf.DUMMYFUNCTION("""COMPUTED_VALUE"""),2.525628E10)</f>
        <v>25256280000</v>
      </c>
      <c r="D2249" s="1"/>
      <c r="E2249" s="1"/>
      <c r="F2249" s="1"/>
      <c r="G2249" s="1"/>
      <c r="H2249" s="1"/>
      <c r="I2249" s="1"/>
      <c r="J2249" s="1"/>
      <c r="K2249" s="1"/>
      <c r="L2249" s="1"/>
      <c r="M2249" s="1"/>
      <c r="N2249" s="1"/>
      <c r="O2249" s="1"/>
      <c r="P2249" s="1"/>
      <c r="Q2249" s="1"/>
      <c r="R2249" s="1"/>
      <c r="S2249" s="1"/>
      <c r="T2249" s="1"/>
      <c r="U2249" s="1"/>
      <c r="V2249" s="1"/>
      <c r="W2249" s="1"/>
      <c r="X2249" s="1"/>
      <c r="Y2249" s="1"/>
      <c r="Z2249" s="1"/>
    </row>
    <row r="2250" ht="15.75" customHeight="1">
      <c r="A2250" s="2">
        <f>IFERROR(__xludf.DUMMYFUNCTION("""COMPUTED_VALUE"""),1124500.0)</f>
        <v>1124500</v>
      </c>
      <c r="B2250" s="2">
        <f>IFERROR(__xludf.DUMMYFUNCTION("""COMPUTED_VALUE"""),22490.0)</f>
        <v>22490</v>
      </c>
      <c r="C2250" s="66">
        <f>IFERROR(__xludf.DUMMYFUNCTION("""COMPUTED_VALUE"""),2.527876E10)</f>
        <v>25278760000</v>
      </c>
      <c r="D2250" s="1"/>
      <c r="E2250" s="1"/>
      <c r="F2250" s="1"/>
      <c r="G2250" s="1"/>
      <c r="H2250" s="1"/>
      <c r="I2250" s="1"/>
      <c r="J2250" s="1"/>
      <c r="K2250" s="1"/>
      <c r="L2250" s="1"/>
      <c r="M2250" s="1"/>
      <c r="N2250" s="1"/>
      <c r="O2250" s="1"/>
      <c r="P2250" s="1"/>
      <c r="Q2250" s="1"/>
      <c r="R2250" s="1"/>
      <c r="S2250" s="1"/>
      <c r="T2250" s="1"/>
      <c r="U2250" s="1"/>
      <c r="V2250" s="1"/>
      <c r="W2250" s="1"/>
      <c r="X2250" s="1"/>
      <c r="Y2250" s="1"/>
      <c r="Z2250" s="1"/>
    </row>
    <row r="2251" ht="15.75" customHeight="1">
      <c r="A2251" s="2">
        <f>IFERROR(__xludf.DUMMYFUNCTION("""COMPUTED_VALUE"""),1125000.0)</f>
        <v>1125000</v>
      </c>
      <c r="B2251" s="2">
        <f>IFERROR(__xludf.DUMMYFUNCTION("""COMPUTED_VALUE"""),22500.0)</f>
        <v>22500</v>
      </c>
      <c r="C2251" s="66">
        <f>IFERROR(__xludf.DUMMYFUNCTION("""COMPUTED_VALUE"""),2.530125E10)</f>
        <v>25301250000</v>
      </c>
      <c r="D2251" s="1"/>
      <c r="E2251" s="1"/>
      <c r="F2251" s="1"/>
      <c r="G2251" s="1"/>
      <c r="H2251" s="1"/>
      <c r="I2251" s="1"/>
      <c r="J2251" s="1"/>
      <c r="K2251" s="1"/>
      <c r="L2251" s="1"/>
      <c r="M2251" s="1"/>
      <c r="N2251" s="1"/>
      <c r="O2251" s="1"/>
      <c r="P2251" s="1"/>
      <c r="Q2251" s="1"/>
      <c r="R2251" s="1"/>
      <c r="S2251" s="1"/>
      <c r="T2251" s="1"/>
      <c r="U2251" s="1"/>
      <c r="V2251" s="1"/>
      <c r="W2251" s="1"/>
      <c r="X2251" s="1"/>
      <c r="Y2251" s="1"/>
      <c r="Z2251" s="1"/>
    </row>
    <row r="2252" ht="15.75" customHeight="1">
      <c r="A2252" s="2">
        <f>IFERROR(__xludf.DUMMYFUNCTION("""COMPUTED_VALUE"""),1125500.0)</f>
        <v>1125500</v>
      </c>
      <c r="B2252" s="2">
        <f>IFERROR(__xludf.DUMMYFUNCTION("""COMPUTED_VALUE"""),22510.0)</f>
        <v>22510</v>
      </c>
      <c r="C2252" s="66">
        <f>IFERROR(__xludf.DUMMYFUNCTION("""COMPUTED_VALUE"""),2.532375E10)</f>
        <v>25323750000</v>
      </c>
      <c r="D2252" s="1"/>
      <c r="E2252" s="1"/>
      <c r="F2252" s="1"/>
      <c r="G2252" s="1"/>
      <c r="H2252" s="1"/>
      <c r="I2252" s="1"/>
      <c r="J2252" s="1"/>
      <c r="K2252" s="1"/>
      <c r="L2252" s="1"/>
      <c r="M2252" s="1"/>
      <c r="N2252" s="1"/>
      <c r="O2252" s="1"/>
      <c r="P2252" s="1"/>
      <c r="Q2252" s="1"/>
      <c r="R2252" s="1"/>
      <c r="S2252" s="1"/>
      <c r="T2252" s="1"/>
      <c r="U2252" s="1"/>
      <c r="V2252" s="1"/>
      <c r="W2252" s="1"/>
      <c r="X2252" s="1"/>
      <c r="Y2252" s="1"/>
      <c r="Z2252" s="1"/>
    </row>
    <row r="2253" ht="15.75" customHeight="1">
      <c r="A2253" s="2">
        <f>IFERROR(__xludf.DUMMYFUNCTION("""COMPUTED_VALUE"""),1126000.0)</f>
        <v>1126000</v>
      </c>
      <c r="B2253" s="2">
        <f>IFERROR(__xludf.DUMMYFUNCTION("""COMPUTED_VALUE"""),22520.0)</f>
        <v>22520</v>
      </c>
      <c r="C2253" s="66">
        <f>IFERROR(__xludf.DUMMYFUNCTION("""COMPUTED_VALUE"""),2.534626E10)</f>
        <v>25346260000</v>
      </c>
      <c r="D2253" s="1"/>
      <c r="E2253" s="1"/>
      <c r="F2253" s="1"/>
      <c r="G2253" s="1"/>
      <c r="H2253" s="1"/>
      <c r="I2253" s="1"/>
      <c r="J2253" s="1"/>
      <c r="K2253" s="1"/>
      <c r="L2253" s="1"/>
      <c r="M2253" s="1"/>
      <c r="N2253" s="1"/>
      <c r="O2253" s="1"/>
      <c r="P2253" s="1"/>
      <c r="Q2253" s="1"/>
      <c r="R2253" s="1"/>
      <c r="S2253" s="1"/>
      <c r="T2253" s="1"/>
      <c r="U2253" s="1"/>
      <c r="V2253" s="1"/>
      <c r="W2253" s="1"/>
      <c r="X2253" s="1"/>
      <c r="Y2253" s="1"/>
      <c r="Z2253" s="1"/>
    </row>
    <row r="2254" ht="15.75" customHeight="1">
      <c r="A2254" s="2">
        <f>IFERROR(__xludf.DUMMYFUNCTION("""COMPUTED_VALUE"""),1126500.0)</f>
        <v>1126500</v>
      </c>
      <c r="B2254" s="2">
        <f>IFERROR(__xludf.DUMMYFUNCTION("""COMPUTED_VALUE"""),22530.0)</f>
        <v>22530</v>
      </c>
      <c r="C2254" s="66">
        <f>IFERROR(__xludf.DUMMYFUNCTION("""COMPUTED_VALUE"""),2.536878E10)</f>
        <v>25368780000</v>
      </c>
      <c r="D2254" s="1"/>
      <c r="E2254" s="1"/>
      <c r="F2254" s="1"/>
      <c r="G2254" s="1"/>
      <c r="H2254" s="1"/>
      <c r="I2254" s="1"/>
      <c r="J2254" s="1"/>
      <c r="K2254" s="1"/>
      <c r="L2254" s="1"/>
      <c r="M2254" s="1"/>
      <c r="N2254" s="1"/>
      <c r="O2254" s="1"/>
      <c r="P2254" s="1"/>
      <c r="Q2254" s="1"/>
      <c r="R2254" s="1"/>
      <c r="S2254" s="1"/>
      <c r="T2254" s="1"/>
      <c r="U2254" s="1"/>
      <c r="V2254" s="1"/>
      <c r="W2254" s="1"/>
      <c r="X2254" s="1"/>
      <c r="Y2254" s="1"/>
      <c r="Z2254" s="1"/>
    </row>
    <row r="2255" ht="15.75" customHeight="1">
      <c r="A2255" s="2">
        <f>IFERROR(__xludf.DUMMYFUNCTION("""COMPUTED_VALUE"""),1127000.0)</f>
        <v>1127000</v>
      </c>
      <c r="B2255" s="2">
        <f>IFERROR(__xludf.DUMMYFUNCTION("""COMPUTED_VALUE"""),22540.0)</f>
        <v>22540</v>
      </c>
      <c r="C2255" s="66">
        <f>IFERROR(__xludf.DUMMYFUNCTION("""COMPUTED_VALUE"""),2.539131E10)</f>
        <v>25391310000</v>
      </c>
      <c r="D2255" s="1"/>
      <c r="E2255" s="1"/>
      <c r="F2255" s="1"/>
      <c r="G2255" s="1"/>
      <c r="H2255" s="1"/>
      <c r="I2255" s="1"/>
      <c r="J2255" s="1"/>
      <c r="K2255" s="1"/>
      <c r="L2255" s="1"/>
      <c r="M2255" s="1"/>
      <c r="N2255" s="1"/>
      <c r="O2255" s="1"/>
      <c r="P2255" s="1"/>
      <c r="Q2255" s="1"/>
      <c r="R2255" s="1"/>
      <c r="S2255" s="1"/>
      <c r="T2255" s="1"/>
      <c r="U2255" s="1"/>
      <c r="V2255" s="1"/>
      <c r="W2255" s="1"/>
      <c r="X2255" s="1"/>
      <c r="Y2255" s="1"/>
      <c r="Z2255" s="1"/>
    </row>
    <row r="2256" ht="15.75" customHeight="1">
      <c r="A2256" s="2">
        <f>IFERROR(__xludf.DUMMYFUNCTION("""COMPUTED_VALUE"""),1127500.0)</f>
        <v>1127500</v>
      </c>
      <c r="B2256" s="2">
        <f>IFERROR(__xludf.DUMMYFUNCTION("""COMPUTED_VALUE"""),22550.0)</f>
        <v>22550</v>
      </c>
      <c r="C2256" s="66">
        <f>IFERROR(__xludf.DUMMYFUNCTION("""COMPUTED_VALUE"""),2.541385E10)</f>
        <v>25413850000</v>
      </c>
      <c r="D2256" s="1"/>
      <c r="E2256" s="1"/>
      <c r="F2256" s="1"/>
      <c r="G2256" s="1"/>
      <c r="H2256" s="1"/>
      <c r="I2256" s="1"/>
      <c r="J2256" s="1"/>
      <c r="K2256" s="1"/>
      <c r="L2256" s="1"/>
      <c r="M2256" s="1"/>
      <c r="N2256" s="1"/>
      <c r="O2256" s="1"/>
      <c r="P2256" s="1"/>
      <c r="Q2256" s="1"/>
      <c r="R2256" s="1"/>
      <c r="S2256" s="1"/>
      <c r="T2256" s="1"/>
      <c r="U2256" s="1"/>
      <c r="V2256" s="1"/>
      <c r="W2256" s="1"/>
      <c r="X2256" s="1"/>
      <c r="Y2256" s="1"/>
      <c r="Z2256" s="1"/>
    </row>
    <row r="2257" ht="15.75" customHeight="1">
      <c r="A2257" s="2">
        <f>IFERROR(__xludf.DUMMYFUNCTION("""COMPUTED_VALUE"""),1128000.0)</f>
        <v>1128000</v>
      </c>
      <c r="B2257" s="2">
        <f>IFERROR(__xludf.DUMMYFUNCTION("""COMPUTED_VALUE"""),22560.0)</f>
        <v>22560</v>
      </c>
      <c r="C2257" s="66">
        <f>IFERROR(__xludf.DUMMYFUNCTION("""COMPUTED_VALUE"""),2.54364E10)</f>
        <v>25436400000</v>
      </c>
      <c r="D2257" s="1"/>
      <c r="E2257" s="1"/>
      <c r="F2257" s="1"/>
      <c r="G2257" s="1"/>
      <c r="H2257" s="1"/>
      <c r="I2257" s="1"/>
      <c r="J2257" s="1"/>
      <c r="K2257" s="1"/>
      <c r="L2257" s="1"/>
      <c r="M2257" s="1"/>
      <c r="N2257" s="1"/>
      <c r="O2257" s="1"/>
      <c r="P2257" s="1"/>
      <c r="Q2257" s="1"/>
      <c r="R2257" s="1"/>
      <c r="S2257" s="1"/>
      <c r="T2257" s="1"/>
      <c r="U2257" s="1"/>
      <c r="V2257" s="1"/>
      <c r="W2257" s="1"/>
      <c r="X2257" s="1"/>
      <c r="Y2257" s="1"/>
      <c r="Z2257" s="1"/>
    </row>
    <row r="2258" ht="15.75" customHeight="1">
      <c r="A2258" s="2">
        <f>IFERROR(__xludf.DUMMYFUNCTION("""COMPUTED_VALUE"""),1128500.0)</f>
        <v>1128500</v>
      </c>
      <c r="B2258" s="2">
        <f>IFERROR(__xludf.DUMMYFUNCTION("""COMPUTED_VALUE"""),22570.0)</f>
        <v>22570</v>
      </c>
      <c r="C2258" s="66">
        <f>IFERROR(__xludf.DUMMYFUNCTION("""COMPUTED_VALUE"""),2.545896E10)</f>
        <v>25458960000</v>
      </c>
      <c r="D2258" s="1"/>
      <c r="E2258" s="1"/>
      <c r="F2258" s="1"/>
      <c r="G2258" s="1"/>
      <c r="H2258" s="1"/>
      <c r="I2258" s="1"/>
      <c r="J2258" s="1"/>
      <c r="K2258" s="1"/>
      <c r="L2258" s="1"/>
      <c r="M2258" s="1"/>
      <c r="N2258" s="1"/>
      <c r="O2258" s="1"/>
      <c r="P2258" s="1"/>
      <c r="Q2258" s="1"/>
      <c r="R2258" s="1"/>
      <c r="S2258" s="1"/>
      <c r="T2258" s="1"/>
      <c r="U2258" s="1"/>
      <c r="V2258" s="1"/>
      <c r="W2258" s="1"/>
      <c r="X2258" s="1"/>
      <c r="Y2258" s="1"/>
      <c r="Z2258" s="1"/>
    </row>
    <row r="2259" ht="15.75" customHeight="1">
      <c r="A2259" s="2">
        <f>IFERROR(__xludf.DUMMYFUNCTION("""COMPUTED_VALUE"""),1129000.0)</f>
        <v>1129000</v>
      </c>
      <c r="B2259" s="2">
        <f>IFERROR(__xludf.DUMMYFUNCTION("""COMPUTED_VALUE"""),22580.0)</f>
        <v>22580</v>
      </c>
      <c r="C2259" s="66">
        <f>IFERROR(__xludf.DUMMYFUNCTION("""COMPUTED_VALUE"""),2.548153E10)</f>
        <v>25481530000</v>
      </c>
      <c r="D2259" s="1"/>
      <c r="E2259" s="1"/>
      <c r="F2259" s="1"/>
      <c r="G2259" s="1"/>
      <c r="H2259" s="1"/>
      <c r="I2259" s="1"/>
      <c r="J2259" s="1"/>
      <c r="K2259" s="1"/>
      <c r="L2259" s="1"/>
      <c r="M2259" s="1"/>
      <c r="N2259" s="1"/>
      <c r="O2259" s="1"/>
      <c r="P2259" s="1"/>
      <c r="Q2259" s="1"/>
      <c r="R2259" s="1"/>
      <c r="S2259" s="1"/>
      <c r="T2259" s="1"/>
      <c r="U2259" s="1"/>
      <c r="V2259" s="1"/>
      <c r="W2259" s="1"/>
      <c r="X2259" s="1"/>
      <c r="Y2259" s="1"/>
      <c r="Z2259" s="1"/>
    </row>
    <row r="2260" ht="15.75" customHeight="1">
      <c r="A2260" s="2">
        <f>IFERROR(__xludf.DUMMYFUNCTION("""COMPUTED_VALUE"""),1129500.0)</f>
        <v>1129500</v>
      </c>
      <c r="B2260" s="2">
        <f>IFERROR(__xludf.DUMMYFUNCTION("""COMPUTED_VALUE"""),22590.0)</f>
        <v>22590</v>
      </c>
      <c r="C2260" s="66">
        <f>IFERROR(__xludf.DUMMYFUNCTION("""COMPUTED_VALUE"""),2.550411E10)</f>
        <v>25504110000</v>
      </c>
      <c r="D2260" s="1"/>
      <c r="E2260" s="1"/>
      <c r="F2260" s="1"/>
      <c r="G2260" s="1"/>
      <c r="H2260" s="1"/>
      <c r="I2260" s="1"/>
      <c r="J2260" s="1"/>
      <c r="K2260" s="1"/>
      <c r="L2260" s="1"/>
      <c r="M2260" s="1"/>
      <c r="N2260" s="1"/>
      <c r="O2260" s="1"/>
      <c r="P2260" s="1"/>
      <c r="Q2260" s="1"/>
      <c r="R2260" s="1"/>
      <c r="S2260" s="1"/>
      <c r="T2260" s="1"/>
      <c r="U2260" s="1"/>
      <c r="V2260" s="1"/>
      <c r="W2260" s="1"/>
      <c r="X2260" s="1"/>
      <c r="Y2260" s="1"/>
      <c r="Z2260" s="1"/>
    </row>
    <row r="2261" ht="15.75" customHeight="1">
      <c r="A2261" s="2">
        <f>IFERROR(__xludf.DUMMYFUNCTION("""COMPUTED_VALUE"""),1130000.0)</f>
        <v>1130000</v>
      </c>
      <c r="B2261" s="2">
        <f>IFERROR(__xludf.DUMMYFUNCTION("""COMPUTED_VALUE"""),22600.0)</f>
        <v>22600</v>
      </c>
      <c r="C2261" s="66">
        <f>IFERROR(__xludf.DUMMYFUNCTION("""COMPUTED_VALUE"""),2.55267E10)</f>
        <v>25526700000</v>
      </c>
      <c r="D2261" s="1"/>
      <c r="E2261" s="1"/>
      <c r="F2261" s="1"/>
      <c r="G2261" s="1"/>
      <c r="H2261" s="1"/>
      <c r="I2261" s="1"/>
      <c r="J2261" s="1"/>
      <c r="K2261" s="1"/>
      <c r="L2261" s="1"/>
      <c r="M2261" s="1"/>
      <c r="N2261" s="1"/>
      <c r="O2261" s="1"/>
      <c r="P2261" s="1"/>
      <c r="Q2261" s="1"/>
      <c r="R2261" s="1"/>
      <c r="S2261" s="1"/>
      <c r="T2261" s="1"/>
      <c r="U2261" s="1"/>
      <c r="V2261" s="1"/>
      <c r="W2261" s="1"/>
      <c r="X2261" s="1"/>
      <c r="Y2261" s="1"/>
      <c r="Z2261" s="1"/>
    </row>
    <row r="2262" ht="15.75" customHeight="1">
      <c r="A2262" s="2">
        <f>IFERROR(__xludf.DUMMYFUNCTION("""COMPUTED_VALUE"""),1130500.0)</f>
        <v>1130500</v>
      </c>
      <c r="B2262" s="2">
        <f>IFERROR(__xludf.DUMMYFUNCTION("""COMPUTED_VALUE"""),22610.0)</f>
        <v>22610</v>
      </c>
      <c r="C2262" s="66">
        <f>IFERROR(__xludf.DUMMYFUNCTION("""COMPUTED_VALUE"""),2.55493E10)</f>
        <v>25549300000</v>
      </c>
      <c r="D2262" s="1"/>
      <c r="E2262" s="1"/>
      <c r="F2262" s="1"/>
      <c r="G2262" s="1"/>
      <c r="H2262" s="1"/>
      <c r="I2262" s="1"/>
      <c r="J2262" s="1"/>
      <c r="K2262" s="1"/>
      <c r="L2262" s="1"/>
      <c r="M2262" s="1"/>
      <c r="N2262" s="1"/>
      <c r="O2262" s="1"/>
      <c r="P2262" s="1"/>
      <c r="Q2262" s="1"/>
      <c r="R2262" s="1"/>
      <c r="S2262" s="1"/>
      <c r="T2262" s="1"/>
      <c r="U2262" s="1"/>
      <c r="V2262" s="1"/>
      <c r="W2262" s="1"/>
      <c r="X2262" s="1"/>
      <c r="Y2262" s="1"/>
      <c r="Z2262" s="1"/>
    </row>
    <row r="2263" ht="15.75" customHeight="1">
      <c r="A2263" s="2">
        <f>IFERROR(__xludf.DUMMYFUNCTION("""COMPUTED_VALUE"""),1131000.0)</f>
        <v>1131000</v>
      </c>
      <c r="B2263" s="2">
        <f>IFERROR(__xludf.DUMMYFUNCTION("""COMPUTED_VALUE"""),22620.0)</f>
        <v>22620</v>
      </c>
      <c r="C2263" s="66">
        <f>IFERROR(__xludf.DUMMYFUNCTION("""COMPUTED_VALUE"""),2.557191E10)</f>
        <v>25571910000</v>
      </c>
      <c r="D2263" s="1"/>
      <c r="E2263" s="1"/>
      <c r="F2263" s="1"/>
      <c r="G2263" s="1"/>
      <c r="H2263" s="1"/>
      <c r="I2263" s="1"/>
      <c r="J2263" s="1"/>
      <c r="K2263" s="1"/>
      <c r="L2263" s="1"/>
      <c r="M2263" s="1"/>
      <c r="N2263" s="1"/>
      <c r="O2263" s="1"/>
      <c r="P2263" s="1"/>
      <c r="Q2263" s="1"/>
      <c r="R2263" s="1"/>
      <c r="S2263" s="1"/>
      <c r="T2263" s="1"/>
      <c r="U2263" s="1"/>
      <c r="V2263" s="1"/>
      <c r="W2263" s="1"/>
      <c r="X2263" s="1"/>
      <c r="Y2263" s="1"/>
      <c r="Z2263" s="1"/>
    </row>
    <row r="2264" ht="15.75" customHeight="1">
      <c r="A2264" s="2">
        <f>IFERROR(__xludf.DUMMYFUNCTION("""COMPUTED_VALUE"""),1131500.0)</f>
        <v>1131500</v>
      </c>
      <c r="B2264" s="2">
        <f>IFERROR(__xludf.DUMMYFUNCTION("""COMPUTED_VALUE"""),22630.0)</f>
        <v>22630</v>
      </c>
      <c r="C2264" s="66">
        <f>IFERROR(__xludf.DUMMYFUNCTION("""COMPUTED_VALUE"""),2.559453E10)</f>
        <v>25594530000</v>
      </c>
      <c r="D2264" s="1"/>
      <c r="E2264" s="1"/>
      <c r="F2264" s="1"/>
      <c r="G2264" s="1"/>
      <c r="H2264" s="1"/>
      <c r="I2264" s="1"/>
      <c r="J2264" s="1"/>
      <c r="K2264" s="1"/>
      <c r="L2264" s="1"/>
      <c r="M2264" s="1"/>
      <c r="N2264" s="1"/>
      <c r="O2264" s="1"/>
      <c r="P2264" s="1"/>
      <c r="Q2264" s="1"/>
      <c r="R2264" s="1"/>
      <c r="S2264" s="1"/>
      <c r="T2264" s="1"/>
      <c r="U2264" s="1"/>
      <c r="V2264" s="1"/>
      <c r="W2264" s="1"/>
      <c r="X2264" s="1"/>
      <c r="Y2264" s="1"/>
      <c r="Z2264" s="1"/>
    </row>
    <row r="2265" ht="15.75" customHeight="1">
      <c r="A2265" s="2">
        <f>IFERROR(__xludf.DUMMYFUNCTION("""COMPUTED_VALUE"""),1132000.0)</f>
        <v>1132000</v>
      </c>
      <c r="B2265" s="2">
        <f>IFERROR(__xludf.DUMMYFUNCTION("""COMPUTED_VALUE"""),22640.0)</f>
        <v>22640</v>
      </c>
      <c r="C2265" s="66">
        <f>IFERROR(__xludf.DUMMYFUNCTION("""COMPUTED_VALUE"""),2.561716E10)</f>
        <v>25617160000</v>
      </c>
      <c r="D2265" s="1"/>
      <c r="E2265" s="1"/>
      <c r="F2265" s="1"/>
      <c r="G2265" s="1"/>
      <c r="H2265" s="1"/>
      <c r="I2265" s="1"/>
      <c r="J2265" s="1"/>
      <c r="K2265" s="1"/>
      <c r="L2265" s="1"/>
      <c r="M2265" s="1"/>
      <c r="N2265" s="1"/>
      <c r="O2265" s="1"/>
      <c r="P2265" s="1"/>
      <c r="Q2265" s="1"/>
      <c r="R2265" s="1"/>
      <c r="S2265" s="1"/>
      <c r="T2265" s="1"/>
      <c r="U2265" s="1"/>
      <c r="V2265" s="1"/>
      <c r="W2265" s="1"/>
      <c r="X2265" s="1"/>
      <c r="Y2265" s="1"/>
      <c r="Z2265" s="1"/>
    </row>
    <row r="2266" ht="15.75" customHeight="1">
      <c r="A2266" s="2">
        <f>IFERROR(__xludf.DUMMYFUNCTION("""COMPUTED_VALUE"""),1132500.0)</f>
        <v>1132500</v>
      </c>
      <c r="B2266" s="2">
        <f>IFERROR(__xludf.DUMMYFUNCTION("""COMPUTED_VALUE"""),22650.0)</f>
        <v>22650</v>
      </c>
      <c r="C2266" s="66">
        <f>IFERROR(__xludf.DUMMYFUNCTION("""COMPUTED_VALUE"""),2.56398E10)</f>
        <v>25639800000</v>
      </c>
      <c r="D2266" s="1"/>
      <c r="E2266" s="1"/>
      <c r="F2266" s="1"/>
      <c r="G2266" s="1"/>
      <c r="H2266" s="1"/>
      <c r="I2266" s="1"/>
      <c r="J2266" s="1"/>
      <c r="K2266" s="1"/>
      <c r="L2266" s="1"/>
      <c r="M2266" s="1"/>
      <c r="N2266" s="1"/>
      <c r="O2266" s="1"/>
      <c r="P2266" s="1"/>
      <c r="Q2266" s="1"/>
      <c r="R2266" s="1"/>
      <c r="S2266" s="1"/>
      <c r="T2266" s="1"/>
      <c r="U2266" s="1"/>
      <c r="V2266" s="1"/>
      <c r="W2266" s="1"/>
      <c r="X2266" s="1"/>
      <c r="Y2266" s="1"/>
      <c r="Z2266" s="1"/>
    </row>
    <row r="2267" ht="15.75" customHeight="1">
      <c r="A2267" s="2">
        <f>IFERROR(__xludf.DUMMYFUNCTION("""COMPUTED_VALUE"""),1133000.0)</f>
        <v>1133000</v>
      </c>
      <c r="B2267" s="2">
        <f>IFERROR(__xludf.DUMMYFUNCTION("""COMPUTED_VALUE"""),22660.0)</f>
        <v>22660</v>
      </c>
      <c r="C2267" s="66">
        <f>IFERROR(__xludf.DUMMYFUNCTION("""COMPUTED_VALUE"""),2.566245E10)</f>
        <v>25662450000</v>
      </c>
      <c r="D2267" s="1"/>
      <c r="E2267" s="1"/>
      <c r="F2267" s="1"/>
      <c r="G2267" s="1"/>
      <c r="H2267" s="1"/>
      <c r="I2267" s="1"/>
      <c r="J2267" s="1"/>
      <c r="K2267" s="1"/>
      <c r="L2267" s="1"/>
      <c r="M2267" s="1"/>
      <c r="N2267" s="1"/>
      <c r="O2267" s="1"/>
      <c r="P2267" s="1"/>
      <c r="Q2267" s="1"/>
      <c r="R2267" s="1"/>
      <c r="S2267" s="1"/>
      <c r="T2267" s="1"/>
      <c r="U2267" s="1"/>
      <c r="V2267" s="1"/>
      <c r="W2267" s="1"/>
      <c r="X2267" s="1"/>
      <c r="Y2267" s="1"/>
      <c r="Z2267" s="1"/>
    </row>
    <row r="2268" ht="15.75" customHeight="1">
      <c r="A2268" s="2">
        <f>IFERROR(__xludf.DUMMYFUNCTION("""COMPUTED_VALUE"""),1133500.0)</f>
        <v>1133500</v>
      </c>
      <c r="B2268" s="2">
        <f>IFERROR(__xludf.DUMMYFUNCTION("""COMPUTED_VALUE"""),22670.0)</f>
        <v>22670</v>
      </c>
      <c r="C2268" s="66">
        <f>IFERROR(__xludf.DUMMYFUNCTION("""COMPUTED_VALUE"""),2.568511E10)</f>
        <v>25685110000</v>
      </c>
      <c r="D2268" s="1"/>
      <c r="E2268" s="1"/>
      <c r="F2268" s="1"/>
      <c r="G2268" s="1"/>
      <c r="H2268" s="1"/>
      <c r="I2268" s="1"/>
      <c r="J2268" s="1"/>
      <c r="K2268" s="1"/>
      <c r="L2268" s="1"/>
      <c r="M2268" s="1"/>
      <c r="N2268" s="1"/>
      <c r="O2268" s="1"/>
      <c r="P2268" s="1"/>
      <c r="Q2268" s="1"/>
      <c r="R2268" s="1"/>
      <c r="S2268" s="1"/>
      <c r="T2268" s="1"/>
      <c r="U2268" s="1"/>
      <c r="V2268" s="1"/>
      <c r="W2268" s="1"/>
      <c r="X2268" s="1"/>
      <c r="Y2268" s="1"/>
      <c r="Z2268" s="1"/>
    </row>
    <row r="2269" ht="15.75" customHeight="1">
      <c r="A2269" s="2">
        <f>IFERROR(__xludf.DUMMYFUNCTION("""COMPUTED_VALUE"""),1134000.0)</f>
        <v>1134000</v>
      </c>
      <c r="B2269" s="2">
        <f>IFERROR(__xludf.DUMMYFUNCTION("""COMPUTED_VALUE"""),22680.0)</f>
        <v>22680</v>
      </c>
      <c r="C2269" s="66">
        <f>IFERROR(__xludf.DUMMYFUNCTION("""COMPUTED_VALUE"""),2.570778E10)</f>
        <v>25707780000</v>
      </c>
      <c r="D2269" s="1"/>
      <c r="E2269" s="1"/>
      <c r="F2269" s="1"/>
      <c r="G2269" s="1"/>
      <c r="H2269" s="1"/>
      <c r="I2269" s="1"/>
      <c r="J2269" s="1"/>
      <c r="K2269" s="1"/>
      <c r="L2269" s="1"/>
      <c r="M2269" s="1"/>
      <c r="N2269" s="1"/>
      <c r="O2269" s="1"/>
      <c r="P2269" s="1"/>
      <c r="Q2269" s="1"/>
      <c r="R2269" s="1"/>
      <c r="S2269" s="1"/>
      <c r="T2269" s="1"/>
      <c r="U2269" s="1"/>
      <c r="V2269" s="1"/>
      <c r="W2269" s="1"/>
      <c r="X2269" s="1"/>
      <c r="Y2269" s="1"/>
      <c r="Z2269" s="1"/>
    </row>
    <row r="2270" ht="15.75" customHeight="1">
      <c r="A2270" s="2">
        <f>IFERROR(__xludf.DUMMYFUNCTION("""COMPUTED_VALUE"""),1134500.0)</f>
        <v>1134500</v>
      </c>
      <c r="B2270" s="2">
        <f>IFERROR(__xludf.DUMMYFUNCTION("""COMPUTED_VALUE"""),22690.0)</f>
        <v>22690</v>
      </c>
      <c r="C2270" s="66">
        <f>IFERROR(__xludf.DUMMYFUNCTION("""COMPUTED_VALUE"""),2.573046E10)</f>
        <v>25730460000</v>
      </c>
      <c r="D2270" s="1"/>
      <c r="E2270" s="1"/>
      <c r="F2270" s="1"/>
      <c r="G2270" s="1"/>
      <c r="H2270" s="1"/>
      <c r="I2270" s="1"/>
      <c r="J2270" s="1"/>
      <c r="K2270" s="1"/>
      <c r="L2270" s="1"/>
      <c r="M2270" s="1"/>
      <c r="N2270" s="1"/>
      <c r="O2270" s="1"/>
      <c r="P2270" s="1"/>
      <c r="Q2270" s="1"/>
      <c r="R2270" s="1"/>
      <c r="S2270" s="1"/>
      <c r="T2270" s="1"/>
      <c r="U2270" s="1"/>
      <c r="V2270" s="1"/>
      <c r="W2270" s="1"/>
      <c r="X2270" s="1"/>
      <c r="Y2270" s="1"/>
      <c r="Z2270" s="1"/>
    </row>
    <row r="2271" ht="15.75" customHeight="1">
      <c r="A2271" s="2">
        <f>IFERROR(__xludf.DUMMYFUNCTION("""COMPUTED_VALUE"""),1135000.0)</f>
        <v>1135000</v>
      </c>
      <c r="B2271" s="2">
        <f>IFERROR(__xludf.DUMMYFUNCTION("""COMPUTED_VALUE"""),22700.0)</f>
        <v>22700</v>
      </c>
      <c r="C2271" s="66">
        <f>IFERROR(__xludf.DUMMYFUNCTION("""COMPUTED_VALUE"""),2.575315E10)</f>
        <v>25753150000</v>
      </c>
      <c r="D2271" s="1"/>
      <c r="E2271" s="1"/>
      <c r="F2271" s="1"/>
      <c r="G2271" s="1"/>
      <c r="H2271" s="1"/>
      <c r="I2271" s="1"/>
      <c r="J2271" s="1"/>
      <c r="K2271" s="1"/>
      <c r="L2271" s="1"/>
      <c r="M2271" s="1"/>
      <c r="N2271" s="1"/>
      <c r="O2271" s="1"/>
      <c r="P2271" s="1"/>
      <c r="Q2271" s="1"/>
      <c r="R2271" s="1"/>
      <c r="S2271" s="1"/>
      <c r="T2271" s="1"/>
      <c r="U2271" s="1"/>
      <c r="V2271" s="1"/>
      <c r="W2271" s="1"/>
      <c r="X2271" s="1"/>
      <c r="Y2271" s="1"/>
      <c r="Z2271" s="1"/>
    </row>
    <row r="2272" ht="15.75" customHeight="1">
      <c r="A2272" s="2">
        <f>IFERROR(__xludf.DUMMYFUNCTION("""COMPUTED_VALUE"""),1135500.0)</f>
        <v>1135500</v>
      </c>
      <c r="B2272" s="2">
        <f>IFERROR(__xludf.DUMMYFUNCTION("""COMPUTED_VALUE"""),22710.0)</f>
        <v>22710</v>
      </c>
      <c r="C2272" s="66">
        <f>IFERROR(__xludf.DUMMYFUNCTION("""COMPUTED_VALUE"""),2.577585E10)</f>
        <v>25775850000</v>
      </c>
      <c r="D2272" s="1"/>
      <c r="E2272" s="1"/>
      <c r="F2272" s="1"/>
      <c r="G2272" s="1"/>
      <c r="H2272" s="1"/>
      <c r="I2272" s="1"/>
      <c r="J2272" s="1"/>
      <c r="K2272" s="1"/>
      <c r="L2272" s="1"/>
      <c r="M2272" s="1"/>
      <c r="N2272" s="1"/>
      <c r="O2272" s="1"/>
      <c r="P2272" s="1"/>
      <c r="Q2272" s="1"/>
      <c r="R2272" s="1"/>
      <c r="S2272" s="1"/>
      <c r="T2272" s="1"/>
      <c r="U2272" s="1"/>
      <c r="V2272" s="1"/>
      <c r="W2272" s="1"/>
      <c r="X2272" s="1"/>
      <c r="Y2272" s="1"/>
      <c r="Z2272" s="1"/>
    </row>
    <row r="2273" ht="15.75" customHeight="1">
      <c r="A2273" s="2">
        <f>IFERROR(__xludf.DUMMYFUNCTION("""COMPUTED_VALUE"""),1136000.0)</f>
        <v>1136000</v>
      </c>
      <c r="B2273" s="2">
        <f>IFERROR(__xludf.DUMMYFUNCTION("""COMPUTED_VALUE"""),22720.0)</f>
        <v>22720</v>
      </c>
      <c r="C2273" s="66">
        <f>IFERROR(__xludf.DUMMYFUNCTION("""COMPUTED_VALUE"""),2.579856E10)</f>
        <v>25798560000</v>
      </c>
      <c r="D2273" s="1"/>
      <c r="E2273" s="1"/>
      <c r="F2273" s="1"/>
      <c r="G2273" s="1"/>
      <c r="H2273" s="1"/>
      <c r="I2273" s="1"/>
      <c r="J2273" s="1"/>
      <c r="K2273" s="1"/>
      <c r="L2273" s="1"/>
      <c r="M2273" s="1"/>
      <c r="N2273" s="1"/>
      <c r="O2273" s="1"/>
      <c r="P2273" s="1"/>
      <c r="Q2273" s="1"/>
      <c r="R2273" s="1"/>
      <c r="S2273" s="1"/>
      <c r="T2273" s="1"/>
      <c r="U2273" s="1"/>
      <c r="V2273" s="1"/>
      <c r="W2273" s="1"/>
      <c r="X2273" s="1"/>
      <c r="Y2273" s="1"/>
      <c r="Z2273" s="1"/>
    </row>
    <row r="2274" ht="15.75" customHeight="1">
      <c r="A2274" s="2">
        <f>IFERROR(__xludf.DUMMYFUNCTION("""COMPUTED_VALUE"""),1136500.0)</f>
        <v>1136500</v>
      </c>
      <c r="B2274" s="2">
        <f>IFERROR(__xludf.DUMMYFUNCTION("""COMPUTED_VALUE"""),22730.0)</f>
        <v>22730</v>
      </c>
      <c r="C2274" s="66">
        <f>IFERROR(__xludf.DUMMYFUNCTION("""COMPUTED_VALUE"""),2.582128E10)</f>
        <v>25821280000</v>
      </c>
      <c r="D2274" s="1"/>
      <c r="E2274" s="1"/>
      <c r="F2274" s="1"/>
      <c r="G2274" s="1"/>
      <c r="H2274" s="1"/>
      <c r="I2274" s="1"/>
      <c r="J2274" s="1"/>
      <c r="K2274" s="1"/>
      <c r="L2274" s="1"/>
      <c r="M2274" s="1"/>
      <c r="N2274" s="1"/>
      <c r="O2274" s="1"/>
      <c r="P2274" s="1"/>
      <c r="Q2274" s="1"/>
      <c r="R2274" s="1"/>
      <c r="S2274" s="1"/>
      <c r="T2274" s="1"/>
      <c r="U2274" s="1"/>
      <c r="V2274" s="1"/>
      <c r="W2274" s="1"/>
      <c r="X2274" s="1"/>
      <c r="Y2274" s="1"/>
      <c r="Z2274" s="1"/>
    </row>
    <row r="2275" ht="15.75" customHeight="1">
      <c r="A2275" s="2">
        <f>IFERROR(__xludf.DUMMYFUNCTION("""COMPUTED_VALUE"""),1137000.0)</f>
        <v>1137000</v>
      </c>
      <c r="B2275" s="2">
        <f>IFERROR(__xludf.DUMMYFUNCTION("""COMPUTED_VALUE"""),22740.0)</f>
        <v>22740</v>
      </c>
      <c r="C2275" s="66">
        <f>IFERROR(__xludf.DUMMYFUNCTION("""COMPUTED_VALUE"""),2.584401E10)</f>
        <v>25844010000</v>
      </c>
      <c r="D2275" s="1"/>
      <c r="E2275" s="1"/>
      <c r="F2275" s="1"/>
      <c r="G2275" s="1"/>
      <c r="H2275" s="1"/>
      <c r="I2275" s="1"/>
      <c r="J2275" s="1"/>
      <c r="K2275" s="1"/>
      <c r="L2275" s="1"/>
      <c r="M2275" s="1"/>
      <c r="N2275" s="1"/>
      <c r="O2275" s="1"/>
      <c r="P2275" s="1"/>
      <c r="Q2275" s="1"/>
      <c r="R2275" s="1"/>
      <c r="S2275" s="1"/>
      <c r="T2275" s="1"/>
      <c r="U2275" s="1"/>
      <c r="V2275" s="1"/>
      <c r="W2275" s="1"/>
      <c r="X2275" s="1"/>
      <c r="Y2275" s="1"/>
      <c r="Z2275" s="1"/>
    </row>
    <row r="2276" ht="15.75" customHeight="1">
      <c r="A2276" s="2">
        <f>IFERROR(__xludf.DUMMYFUNCTION("""COMPUTED_VALUE"""),1137500.0)</f>
        <v>1137500</v>
      </c>
      <c r="B2276" s="2">
        <f>IFERROR(__xludf.DUMMYFUNCTION("""COMPUTED_VALUE"""),22750.0)</f>
        <v>22750</v>
      </c>
      <c r="C2276" s="66">
        <f>IFERROR(__xludf.DUMMYFUNCTION("""COMPUTED_VALUE"""),2.586675E10)</f>
        <v>25866750000</v>
      </c>
      <c r="D2276" s="1"/>
      <c r="E2276" s="1"/>
      <c r="F2276" s="1"/>
      <c r="G2276" s="1"/>
      <c r="H2276" s="1"/>
      <c r="I2276" s="1"/>
      <c r="J2276" s="1"/>
      <c r="K2276" s="1"/>
      <c r="L2276" s="1"/>
      <c r="M2276" s="1"/>
      <c r="N2276" s="1"/>
      <c r="O2276" s="1"/>
      <c r="P2276" s="1"/>
      <c r="Q2276" s="1"/>
      <c r="R2276" s="1"/>
      <c r="S2276" s="1"/>
      <c r="T2276" s="1"/>
      <c r="U2276" s="1"/>
      <c r="V2276" s="1"/>
      <c r="W2276" s="1"/>
      <c r="X2276" s="1"/>
      <c r="Y2276" s="1"/>
      <c r="Z2276" s="1"/>
    </row>
    <row r="2277" ht="15.75" customHeight="1">
      <c r="A2277" s="2">
        <f>IFERROR(__xludf.DUMMYFUNCTION("""COMPUTED_VALUE"""),1138000.0)</f>
        <v>1138000</v>
      </c>
      <c r="B2277" s="2">
        <f>IFERROR(__xludf.DUMMYFUNCTION("""COMPUTED_VALUE"""),22760.0)</f>
        <v>22760</v>
      </c>
      <c r="C2277" s="66">
        <f>IFERROR(__xludf.DUMMYFUNCTION("""COMPUTED_VALUE"""),2.58895E10)</f>
        <v>25889500000</v>
      </c>
      <c r="D2277" s="1"/>
      <c r="E2277" s="1"/>
      <c r="F2277" s="1"/>
      <c r="G2277" s="1"/>
      <c r="H2277" s="1"/>
      <c r="I2277" s="1"/>
      <c r="J2277" s="1"/>
      <c r="K2277" s="1"/>
      <c r="L2277" s="1"/>
      <c r="M2277" s="1"/>
      <c r="N2277" s="1"/>
      <c r="O2277" s="1"/>
      <c r="P2277" s="1"/>
      <c r="Q2277" s="1"/>
      <c r="R2277" s="1"/>
      <c r="S2277" s="1"/>
      <c r="T2277" s="1"/>
      <c r="U2277" s="1"/>
      <c r="V2277" s="1"/>
      <c r="W2277" s="1"/>
      <c r="X2277" s="1"/>
      <c r="Y2277" s="1"/>
      <c r="Z2277" s="1"/>
    </row>
    <row r="2278" ht="15.75" customHeight="1">
      <c r="A2278" s="2">
        <f>IFERROR(__xludf.DUMMYFUNCTION("""COMPUTED_VALUE"""),1138500.0)</f>
        <v>1138500</v>
      </c>
      <c r="B2278" s="2">
        <f>IFERROR(__xludf.DUMMYFUNCTION("""COMPUTED_VALUE"""),22770.0)</f>
        <v>22770</v>
      </c>
      <c r="C2278" s="66">
        <f>IFERROR(__xludf.DUMMYFUNCTION("""COMPUTED_VALUE"""),2.591226E10)</f>
        <v>25912260000</v>
      </c>
      <c r="D2278" s="1"/>
      <c r="E2278" s="1"/>
      <c r="F2278" s="1"/>
      <c r="G2278" s="1"/>
      <c r="H2278" s="1"/>
      <c r="I2278" s="1"/>
      <c r="J2278" s="1"/>
      <c r="K2278" s="1"/>
      <c r="L2278" s="1"/>
      <c r="M2278" s="1"/>
      <c r="N2278" s="1"/>
      <c r="O2278" s="1"/>
      <c r="P2278" s="1"/>
      <c r="Q2278" s="1"/>
      <c r="R2278" s="1"/>
      <c r="S2278" s="1"/>
      <c r="T2278" s="1"/>
      <c r="U2278" s="1"/>
      <c r="V2278" s="1"/>
      <c r="W2278" s="1"/>
      <c r="X2278" s="1"/>
      <c r="Y2278" s="1"/>
      <c r="Z2278" s="1"/>
    </row>
    <row r="2279" ht="15.75" customHeight="1">
      <c r="A2279" s="2">
        <f>IFERROR(__xludf.DUMMYFUNCTION("""COMPUTED_VALUE"""),1139000.0)</f>
        <v>1139000</v>
      </c>
      <c r="B2279" s="2">
        <f>IFERROR(__xludf.DUMMYFUNCTION("""COMPUTED_VALUE"""),22780.0)</f>
        <v>22780</v>
      </c>
      <c r="C2279" s="66">
        <f>IFERROR(__xludf.DUMMYFUNCTION("""COMPUTED_VALUE"""),2.593503E10)</f>
        <v>25935030000</v>
      </c>
      <c r="D2279" s="1"/>
      <c r="E2279" s="1"/>
      <c r="F2279" s="1"/>
      <c r="G2279" s="1"/>
      <c r="H2279" s="1"/>
      <c r="I2279" s="1"/>
      <c r="J2279" s="1"/>
      <c r="K2279" s="1"/>
      <c r="L2279" s="1"/>
      <c r="M2279" s="1"/>
      <c r="N2279" s="1"/>
      <c r="O2279" s="1"/>
      <c r="P2279" s="1"/>
      <c r="Q2279" s="1"/>
      <c r="R2279" s="1"/>
      <c r="S2279" s="1"/>
      <c r="T2279" s="1"/>
      <c r="U2279" s="1"/>
      <c r="V2279" s="1"/>
      <c r="W2279" s="1"/>
      <c r="X2279" s="1"/>
      <c r="Y2279" s="1"/>
      <c r="Z2279" s="1"/>
    </row>
    <row r="2280" ht="15.75" customHeight="1">
      <c r="A2280" s="2">
        <f>IFERROR(__xludf.DUMMYFUNCTION("""COMPUTED_VALUE"""),1139500.0)</f>
        <v>1139500</v>
      </c>
      <c r="B2280" s="2">
        <f>IFERROR(__xludf.DUMMYFUNCTION("""COMPUTED_VALUE"""),22790.0)</f>
        <v>22790</v>
      </c>
      <c r="C2280" s="66">
        <f>IFERROR(__xludf.DUMMYFUNCTION("""COMPUTED_VALUE"""),2.595781E10)</f>
        <v>25957810000</v>
      </c>
      <c r="D2280" s="1"/>
      <c r="E2280" s="1"/>
      <c r="F2280" s="1"/>
      <c r="G2280" s="1"/>
      <c r="H2280" s="1"/>
      <c r="I2280" s="1"/>
      <c r="J2280" s="1"/>
      <c r="K2280" s="1"/>
      <c r="L2280" s="1"/>
      <c r="M2280" s="1"/>
      <c r="N2280" s="1"/>
      <c r="O2280" s="1"/>
      <c r="P2280" s="1"/>
      <c r="Q2280" s="1"/>
      <c r="R2280" s="1"/>
      <c r="S2280" s="1"/>
      <c r="T2280" s="1"/>
      <c r="U2280" s="1"/>
      <c r="V2280" s="1"/>
      <c r="W2280" s="1"/>
      <c r="X2280" s="1"/>
      <c r="Y2280" s="1"/>
      <c r="Z2280" s="1"/>
    </row>
    <row r="2281" ht="15.75" customHeight="1">
      <c r="A2281" s="2">
        <f>IFERROR(__xludf.DUMMYFUNCTION("""COMPUTED_VALUE"""),1140000.0)</f>
        <v>1140000</v>
      </c>
      <c r="B2281" s="2">
        <f>IFERROR(__xludf.DUMMYFUNCTION("""COMPUTED_VALUE"""),22800.0)</f>
        <v>22800</v>
      </c>
      <c r="C2281" s="66">
        <f>IFERROR(__xludf.DUMMYFUNCTION("""COMPUTED_VALUE"""),2.59806E10)</f>
        <v>25980600000</v>
      </c>
      <c r="D2281" s="1"/>
      <c r="E2281" s="1"/>
      <c r="F2281" s="1"/>
      <c r="G2281" s="1"/>
      <c r="H2281" s="1"/>
      <c r="I2281" s="1"/>
      <c r="J2281" s="1"/>
      <c r="K2281" s="1"/>
      <c r="L2281" s="1"/>
      <c r="M2281" s="1"/>
      <c r="N2281" s="1"/>
      <c r="O2281" s="1"/>
      <c r="P2281" s="1"/>
      <c r="Q2281" s="1"/>
      <c r="R2281" s="1"/>
      <c r="S2281" s="1"/>
      <c r="T2281" s="1"/>
      <c r="U2281" s="1"/>
      <c r="V2281" s="1"/>
      <c r="W2281" s="1"/>
      <c r="X2281" s="1"/>
      <c r="Y2281" s="1"/>
      <c r="Z2281" s="1"/>
    </row>
    <row r="2282" ht="15.75" customHeight="1">
      <c r="A2282" s="2">
        <f>IFERROR(__xludf.DUMMYFUNCTION("""COMPUTED_VALUE"""),1140500.0)</f>
        <v>1140500</v>
      </c>
      <c r="B2282" s="2">
        <f>IFERROR(__xludf.DUMMYFUNCTION("""COMPUTED_VALUE"""),22810.0)</f>
        <v>22810</v>
      </c>
      <c r="C2282" s="66">
        <f>IFERROR(__xludf.DUMMYFUNCTION("""COMPUTED_VALUE"""),2.60034E10)</f>
        <v>26003400000</v>
      </c>
      <c r="D2282" s="1"/>
      <c r="E2282" s="1"/>
      <c r="F2282" s="1"/>
      <c r="G2282" s="1"/>
      <c r="H2282" s="1"/>
      <c r="I2282" s="1"/>
      <c r="J2282" s="1"/>
      <c r="K2282" s="1"/>
      <c r="L2282" s="1"/>
      <c r="M2282" s="1"/>
      <c r="N2282" s="1"/>
      <c r="O2282" s="1"/>
      <c r="P2282" s="1"/>
      <c r="Q2282" s="1"/>
      <c r="R2282" s="1"/>
      <c r="S2282" s="1"/>
      <c r="T2282" s="1"/>
      <c r="U2282" s="1"/>
      <c r="V2282" s="1"/>
      <c r="W2282" s="1"/>
      <c r="X2282" s="1"/>
      <c r="Y2282" s="1"/>
      <c r="Z2282" s="1"/>
    </row>
    <row r="2283" ht="15.75" customHeight="1">
      <c r="A2283" s="2">
        <f>IFERROR(__xludf.DUMMYFUNCTION("""COMPUTED_VALUE"""),1141000.0)</f>
        <v>1141000</v>
      </c>
      <c r="B2283" s="2">
        <f>IFERROR(__xludf.DUMMYFUNCTION("""COMPUTED_VALUE"""),22820.0)</f>
        <v>22820</v>
      </c>
      <c r="C2283" s="66">
        <f>IFERROR(__xludf.DUMMYFUNCTION("""COMPUTED_VALUE"""),2.602621E10)</f>
        <v>26026210000</v>
      </c>
      <c r="D2283" s="1"/>
      <c r="E2283" s="1"/>
      <c r="F2283" s="1"/>
      <c r="G2283" s="1"/>
      <c r="H2283" s="1"/>
      <c r="I2283" s="1"/>
      <c r="J2283" s="1"/>
      <c r="K2283" s="1"/>
      <c r="L2283" s="1"/>
      <c r="M2283" s="1"/>
      <c r="N2283" s="1"/>
      <c r="O2283" s="1"/>
      <c r="P2283" s="1"/>
      <c r="Q2283" s="1"/>
      <c r="R2283" s="1"/>
      <c r="S2283" s="1"/>
      <c r="T2283" s="1"/>
      <c r="U2283" s="1"/>
      <c r="V2283" s="1"/>
      <c r="W2283" s="1"/>
      <c r="X2283" s="1"/>
      <c r="Y2283" s="1"/>
      <c r="Z2283" s="1"/>
    </row>
    <row r="2284" ht="15.75" customHeight="1">
      <c r="A2284" s="2">
        <f>IFERROR(__xludf.DUMMYFUNCTION("""COMPUTED_VALUE"""),1141500.0)</f>
        <v>1141500</v>
      </c>
      <c r="B2284" s="2">
        <f>IFERROR(__xludf.DUMMYFUNCTION("""COMPUTED_VALUE"""),22830.0)</f>
        <v>22830</v>
      </c>
      <c r="C2284" s="66">
        <f>IFERROR(__xludf.DUMMYFUNCTION("""COMPUTED_VALUE"""),2.604903E10)</f>
        <v>26049030000</v>
      </c>
      <c r="D2284" s="1"/>
      <c r="E2284" s="1"/>
      <c r="F2284" s="1"/>
      <c r="G2284" s="1"/>
      <c r="H2284" s="1"/>
      <c r="I2284" s="1"/>
      <c r="J2284" s="1"/>
      <c r="K2284" s="1"/>
      <c r="L2284" s="1"/>
      <c r="M2284" s="1"/>
      <c r="N2284" s="1"/>
      <c r="O2284" s="1"/>
      <c r="P2284" s="1"/>
      <c r="Q2284" s="1"/>
      <c r="R2284" s="1"/>
      <c r="S2284" s="1"/>
      <c r="T2284" s="1"/>
      <c r="U2284" s="1"/>
      <c r="V2284" s="1"/>
      <c r="W2284" s="1"/>
      <c r="X2284" s="1"/>
      <c r="Y2284" s="1"/>
      <c r="Z2284" s="1"/>
    </row>
    <row r="2285" ht="15.75" customHeight="1">
      <c r="A2285" s="2">
        <f>IFERROR(__xludf.DUMMYFUNCTION("""COMPUTED_VALUE"""),1142000.0)</f>
        <v>1142000</v>
      </c>
      <c r="B2285" s="2">
        <f>IFERROR(__xludf.DUMMYFUNCTION("""COMPUTED_VALUE"""),22840.0)</f>
        <v>22840</v>
      </c>
      <c r="C2285" s="66">
        <f>IFERROR(__xludf.DUMMYFUNCTION("""COMPUTED_VALUE"""),2.607186E10)</f>
        <v>26071860000</v>
      </c>
      <c r="D2285" s="1"/>
      <c r="E2285" s="1"/>
      <c r="F2285" s="1"/>
      <c r="G2285" s="1"/>
      <c r="H2285" s="1"/>
      <c r="I2285" s="1"/>
      <c r="J2285" s="1"/>
      <c r="K2285" s="1"/>
      <c r="L2285" s="1"/>
      <c r="M2285" s="1"/>
      <c r="N2285" s="1"/>
      <c r="O2285" s="1"/>
      <c r="P2285" s="1"/>
      <c r="Q2285" s="1"/>
      <c r="R2285" s="1"/>
      <c r="S2285" s="1"/>
      <c r="T2285" s="1"/>
      <c r="U2285" s="1"/>
      <c r="V2285" s="1"/>
      <c r="W2285" s="1"/>
      <c r="X2285" s="1"/>
      <c r="Y2285" s="1"/>
      <c r="Z2285" s="1"/>
    </row>
    <row r="2286" ht="15.75" customHeight="1">
      <c r="A2286" s="2">
        <f>IFERROR(__xludf.DUMMYFUNCTION("""COMPUTED_VALUE"""),1142500.0)</f>
        <v>1142500</v>
      </c>
      <c r="B2286" s="2">
        <f>IFERROR(__xludf.DUMMYFUNCTION("""COMPUTED_VALUE"""),22850.0)</f>
        <v>22850</v>
      </c>
      <c r="C2286" s="66">
        <f>IFERROR(__xludf.DUMMYFUNCTION("""COMPUTED_VALUE"""),2.60947E10)</f>
        <v>26094700000</v>
      </c>
      <c r="D2286" s="1"/>
      <c r="E2286" s="1"/>
      <c r="F2286" s="1"/>
      <c r="G2286" s="1"/>
      <c r="H2286" s="1"/>
      <c r="I2286" s="1"/>
      <c r="J2286" s="1"/>
      <c r="K2286" s="1"/>
      <c r="L2286" s="1"/>
      <c r="M2286" s="1"/>
      <c r="N2286" s="1"/>
      <c r="O2286" s="1"/>
      <c r="P2286" s="1"/>
      <c r="Q2286" s="1"/>
      <c r="R2286" s="1"/>
      <c r="S2286" s="1"/>
      <c r="T2286" s="1"/>
      <c r="U2286" s="1"/>
      <c r="V2286" s="1"/>
      <c r="W2286" s="1"/>
      <c r="X2286" s="1"/>
      <c r="Y2286" s="1"/>
      <c r="Z2286" s="1"/>
    </row>
    <row r="2287" ht="15.75" customHeight="1">
      <c r="A2287" s="2">
        <f>IFERROR(__xludf.DUMMYFUNCTION("""COMPUTED_VALUE"""),1143000.0)</f>
        <v>1143000</v>
      </c>
      <c r="B2287" s="2">
        <f>IFERROR(__xludf.DUMMYFUNCTION("""COMPUTED_VALUE"""),22860.0)</f>
        <v>22860</v>
      </c>
      <c r="C2287" s="66">
        <f>IFERROR(__xludf.DUMMYFUNCTION("""COMPUTED_VALUE"""),2.611755E10)</f>
        <v>26117550000</v>
      </c>
      <c r="D2287" s="1"/>
      <c r="E2287" s="1"/>
      <c r="F2287" s="1"/>
      <c r="G2287" s="1"/>
      <c r="H2287" s="1"/>
      <c r="I2287" s="1"/>
      <c r="J2287" s="1"/>
      <c r="K2287" s="1"/>
      <c r="L2287" s="1"/>
      <c r="M2287" s="1"/>
      <c r="N2287" s="1"/>
      <c r="O2287" s="1"/>
      <c r="P2287" s="1"/>
      <c r="Q2287" s="1"/>
      <c r="R2287" s="1"/>
      <c r="S2287" s="1"/>
      <c r="T2287" s="1"/>
      <c r="U2287" s="1"/>
      <c r="V2287" s="1"/>
      <c r="W2287" s="1"/>
      <c r="X2287" s="1"/>
      <c r="Y2287" s="1"/>
      <c r="Z2287" s="1"/>
    </row>
    <row r="2288" ht="15.75" customHeight="1">
      <c r="A2288" s="2">
        <f>IFERROR(__xludf.DUMMYFUNCTION("""COMPUTED_VALUE"""),1143500.0)</f>
        <v>1143500</v>
      </c>
      <c r="B2288" s="2">
        <f>IFERROR(__xludf.DUMMYFUNCTION("""COMPUTED_VALUE"""),22870.0)</f>
        <v>22870</v>
      </c>
      <c r="C2288" s="66">
        <f>IFERROR(__xludf.DUMMYFUNCTION("""COMPUTED_VALUE"""),2.614041E10)</f>
        <v>26140410000</v>
      </c>
      <c r="D2288" s="1"/>
      <c r="E2288" s="1"/>
      <c r="F2288" s="1"/>
      <c r="G2288" s="1"/>
      <c r="H2288" s="1"/>
      <c r="I2288" s="1"/>
      <c r="J2288" s="1"/>
      <c r="K2288" s="1"/>
      <c r="L2288" s="1"/>
      <c r="M2288" s="1"/>
      <c r="N2288" s="1"/>
      <c r="O2288" s="1"/>
      <c r="P2288" s="1"/>
      <c r="Q2288" s="1"/>
      <c r="R2288" s="1"/>
      <c r="S2288" s="1"/>
      <c r="T2288" s="1"/>
      <c r="U2288" s="1"/>
      <c r="V2288" s="1"/>
      <c r="W2288" s="1"/>
      <c r="X2288" s="1"/>
      <c r="Y2288" s="1"/>
      <c r="Z2288" s="1"/>
    </row>
    <row r="2289" ht="15.75" customHeight="1">
      <c r="A2289" s="2">
        <f>IFERROR(__xludf.DUMMYFUNCTION("""COMPUTED_VALUE"""),1144000.0)</f>
        <v>1144000</v>
      </c>
      <c r="B2289" s="2">
        <f>IFERROR(__xludf.DUMMYFUNCTION("""COMPUTED_VALUE"""),22880.0)</f>
        <v>22880</v>
      </c>
      <c r="C2289" s="66">
        <f>IFERROR(__xludf.DUMMYFUNCTION("""COMPUTED_VALUE"""),2.616328E10)</f>
        <v>26163280000</v>
      </c>
      <c r="D2289" s="1"/>
      <c r="E2289" s="1"/>
      <c r="F2289" s="1"/>
      <c r="G2289" s="1"/>
      <c r="H2289" s="1"/>
      <c r="I2289" s="1"/>
      <c r="J2289" s="1"/>
      <c r="K2289" s="1"/>
      <c r="L2289" s="1"/>
      <c r="M2289" s="1"/>
      <c r="N2289" s="1"/>
      <c r="O2289" s="1"/>
      <c r="P2289" s="1"/>
      <c r="Q2289" s="1"/>
      <c r="R2289" s="1"/>
      <c r="S2289" s="1"/>
      <c r="T2289" s="1"/>
      <c r="U2289" s="1"/>
      <c r="V2289" s="1"/>
      <c r="W2289" s="1"/>
      <c r="X2289" s="1"/>
      <c r="Y2289" s="1"/>
      <c r="Z2289" s="1"/>
    </row>
    <row r="2290" ht="15.75" customHeight="1">
      <c r="A2290" s="2">
        <f>IFERROR(__xludf.DUMMYFUNCTION("""COMPUTED_VALUE"""),1144500.0)</f>
        <v>1144500</v>
      </c>
      <c r="B2290" s="2">
        <f>IFERROR(__xludf.DUMMYFUNCTION("""COMPUTED_VALUE"""),22890.0)</f>
        <v>22890</v>
      </c>
      <c r="C2290" s="66">
        <f>IFERROR(__xludf.DUMMYFUNCTION("""COMPUTED_VALUE"""),2.618616E10)</f>
        <v>26186160000</v>
      </c>
      <c r="D2290" s="1"/>
      <c r="E2290" s="1"/>
      <c r="F2290" s="1"/>
      <c r="G2290" s="1"/>
      <c r="H2290" s="1"/>
      <c r="I2290" s="1"/>
      <c r="J2290" s="1"/>
      <c r="K2290" s="1"/>
      <c r="L2290" s="1"/>
      <c r="M2290" s="1"/>
      <c r="N2290" s="1"/>
      <c r="O2290" s="1"/>
      <c r="P2290" s="1"/>
      <c r="Q2290" s="1"/>
      <c r="R2290" s="1"/>
      <c r="S2290" s="1"/>
      <c r="T2290" s="1"/>
      <c r="U2290" s="1"/>
      <c r="V2290" s="1"/>
      <c r="W2290" s="1"/>
      <c r="X2290" s="1"/>
      <c r="Y2290" s="1"/>
      <c r="Z2290" s="1"/>
    </row>
    <row r="2291" ht="15.75" customHeight="1">
      <c r="A2291" s="2">
        <f>IFERROR(__xludf.DUMMYFUNCTION("""COMPUTED_VALUE"""),1145000.0)</f>
        <v>1145000</v>
      </c>
      <c r="B2291" s="2">
        <f>IFERROR(__xludf.DUMMYFUNCTION("""COMPUTED_VALUE"""),22900.0)</f>
        <v>22900</v>
      </c>
      <c r="C2291" s="66">
        <f>IFERROR(__xludf.DUMMYFUNCTION("""COMPUTED_VALUE"""),2.620905E10)</f>
        <v>26209050000</v>
      </c>
      <c r="D2291" s="1"/>
      <c r="E2291" s="1"/>
      <c r="F2291" s="1"/>
      <c r="G2291" s="1"/>
      <c r="H2291" s="1"/>
      <c r="I2291" s="1"/>
      <c r="J2291" s="1"/>
      <c r="K2291" s="1"/>
      <c r="L2291" s="1"/>
      <c r="M2291" s="1"/>
      <c r="N2291" s="1"/>
      <c r="O2291" s="1"/>
      <c r="P2291" s="1"/>
      <c r="Q2291" s="1"/>
      <c r="R2291" s="1"/>
      <c r="S2291" s="1"/>
      <c r="T2291" s="1"/>
      <c r="U2291" s="1"/>
      <c r="V2291" s="1"/>
      <c r="W2291" s="1"/>
      <c r="X2291" s="1"/>
      <c r="Y2291" s="1"/>
      <c r="Z2291" s="1"/>
    </row>
    <row r="2292" ht="15.75" customHeight="1">
      <c r="A2292" s="2">
        <f>IFERROR(__xludf.DUMMYFUNCTION("""COMPUTED_VALUE"""),1145500.0)</f>
        <v>1145500</v>
      </c>
      <c r="B2292" s="2">
        <f>IFERROR(__xludf.DUMMYFUNCTION("""COMPUTED_VALUE"""),22910.0)</f>
        <v>22910</v>
      </c>
      <c r="C2292" s="66">
        <f>IFERROR(__xludf.DUMMYFUNCTION("""COMPUTED_VALUE"""),2.623195E10)</f>
        <v>26231950000</v>
      </c>
      <c r="D2292" s="1"/>
      <c r="E2292" s="1"/>
      <c r="F2292" s="1"/>
      <c r="G2292" s="1"/>
      <c r="H2292" s="1"/>
      <c r="I2292" s="1"/>
      <c r="J2292" s="1"/>
      <c r="K2292" s="1"/>
      <c r="L2292" s="1"/>
      <c r="M2292" s="1"/>
      <c r="N2292" s="1"/>
      <c r="O2292" s="1"/>
      <c r="P2292" s="1"/>
      <c r="Q2292" s="1"/>
      <c r="R2292" s="1"/>
      <c r="S2292" s="1"/>
      <c r="T2292" s="1"/>
      <c r="U2292" s="1"/>
      <c r="V2292" s="1"/>
      <c r="W2292" s="1"/>
      <c r="X2292" s="1"/>
      <c r="Y2292" s="1"/>
      <c r="Z2292" s="1"/>
    </row>
    <row r="2293" ht="15.75" customHeight="1">
      <c r="A2293" s="2">
        <f>IFERROR(__xludf.DUMMYFUNCTION("""COMPUTED_VALUE"""),1146000.0)</f>
        <v>1146000</v>
      </c>
      <c r="B2293" s="2">
        <f>IFERROR(__xludf.DUMMYFUNCTION("""COMPUTED_VALUE"""),22920.0)</f>
        <v>22920</v>
      </c>
      <c r="C2293" s="66">
        <f>IFERROR(__xludf.DUMMYFUNCTION("""COMPUTED_VALUE"""),2.625486E10)</f>
        <v>26254860000</v>
      </c>
      <c r="D2293" s="1"/>
      <c r="E2293" s="1"/>
      <c r="F2293" s="1"/>
      <c r="G2293" s="1"/>
      <c r="H2293" s="1"/>
      <c r="I2293" s="1"/>
      <c r="J2293" s="1"/>
      <c r="K2293" s="1"/>
      <c r="L2293" s="1"/>
      <c r="M2293" s="1"/>
      <c r="N2293" s="1"/>
      <c r="O2293" s="1"/>
      <c r="P2293" s="1"/>
      <c r="Q2293" s="1"/>
      <c r="R2293" s="1"/>
      <c r="S2293" s="1"/>
      <c r="T2293" s="1"/>
      <c r="U2293" s="1"/>
      <c r="V2293" s="1"/>
      <c r="W2293" s="1"/>
      <c r="X2293" s="1"/>
      <c r="Y2293" s="1"/>
      <c r="Z2293" s="1"/>
    </row>
    <row r="2294" ht="15.75" customHeight="1">
      <c r="A2294" s="2">
        <f>IFERROR(__xludf.DUMMYFUNCTION("""COMPUTED_VALUE"""),1146500.0)</f>
        <v>1146500</v>
      </c>
      <c r="B2294" s="2">
        <f>IFERROR(__xludf.DUMMYFUNCTION("""COMPUTED_VALUE"""),22930.0)</f>
        <v>22930</v>
      </c>
      <c r="C2294" s="66">
        <f>IFERROR(__xludf.DUMMYFUNCTION("""COMPUTED_VALUE"""),2.627778E10)</f>
        <v>26277780000</v>
      </c>
      <c r="D2294" s="1"/>
      <c r="E2294" s="1"/>
      <c r="F2294" s="1"/>
      <c r="G2294" s="1"/>
      <c r="H2294" s="1"/>
      <c r="I2294" s="1"/>
      <c r="J2294" s="1"/>
      <c r="K2294" s="1"/>
      <c r="L2294" s="1"/>
      <c r="M2294" s="1"/>
      <c r="N2294" s="1"/>
      <c r="O2294" s="1"/>
      <c r="P2294" s="1"/>
      <c r="Q2294" s="1"/>
      <c r="R2294" s="1"/>
      <c r="S2294" s="1"/>
      <c r="T2294" s="1"/>
      <c r="U2294" s="1"/>
      <c r="V2294" s="1"/>
      <c r="W2294" s="1"/>
      <c r="X2294" s="1"/>
      <c r="Y2294" s="1"/>
      <c r="Z2294" s="1"/>
    </row>
    <row r="2295" ht="15.75" customHeight="1">
      <c r="A2295" s="2">
        <f>IFERROR(__xludf.DUMMYFUNCTION("""COMPUTED_VALUE"""),1147000.0)</f>
        <v>1147000</v>
      </c>
      <c r="B2295" s="2">
        <f>IFERROR(__xludf.DUMMYFUNCTION("""COMPUTED_VALUE"""),22940.0)</f>
        <v>22940</v>
      </c>
      <c r="C2295" s="66">
        <f>IFERROR(__xludf.DUMMYFUNCTION("""COMPUTED_VALUE"""),2.630071E10)</f>
        <v>26300710000</v>
      </c>
      <c r="D2295" s="1"/>
      <c r="E2295" s="1"/>
      <c r="F2295" s="1"/>
      <c r="G2295" s="1"/>
      <c r="H2295" s="1"/>
      <c r="I2295" s="1"/>
      <c r="J2295" s="1"/>
      <c r="K2295" s="1"/>
      <c r="L2295" s="1"/>
      <c r="M2295" s="1"/>
      <c r="N2295" s="1"/>
      <c r="O2295" s="1"/>
      <c r="P2295" s="1"/>
      <c r="Q2295" s="1"/>
      <c r="R2295" s="1"/>
      <c r="S2295" s="1"/>
      <c r="T2295" s="1"/>
      <c r="U2295" s="1"/>
      <c r="V2295" s="1"/>
      <c r="W2295" s="1"/>
      <c r="X2295" s="1"/>
      <c r="Y2295" s="1"/>
      <c r="Z2295" s="1"/>
    </row>
    <row r="2296" ht="15.75" customHeight="1">
      <c r="A2296" s="2">
        <f>IFERROR(__xludf.DUMMYFUNCTION("""COMPUTED_VALUE"""),1147500.0)</f>
        <v>1147500</v>
      </c>
      <c r="B2296" s="2">
        <f>IFERROR(__xludf.DUMMYFUNCTION("""COMPUTED_VALUE"""),22950.0)</f>
        <v>22950</v>
      </c>
      <c r="C2296" s="66">
        <f>IFERROR(__xludf.DUMMYFUNCTION("""COMPUTED_VALUE"""),2.632365E10)</f>
        <v>26323650000</v>
      </c>
      <c r="D2296" s="1"/>
      <c r="E2296" s="1"/>
      <c r="F2296" s="1"/>
      <c r="G2296" s="1"/>
      <c r="H2296" s="1"/>
      <c r="I2296" s="1"/>
      <c r="J2296" s="1"/>
      <c r="K2296" s="1"/>
      <c r="L2296" s="1"/>
      <c r="M2296" s="1"/>
      <c r="N2296" s="1"/>
      <c r="O2296" s="1"/>
      <c r="P2296" s="1"/>
      <c r="Q2296" s="1"/>
      <c r="R2296" s="1"/>
      <c r="S2296" s="1"/>
      <c r="T2296" s="1"/>
      <c r="U2296" s="1"/>
      <c r="V2296" s="1"/>
      <c r="W2296" s="1"/>
      <c r="X2296" s="1"/>
      <c r="Y2296" s="1"/>
      <c r="Z2296" s="1"/>
    </row>
    <row r="2297" ht="15.75" customHeight="1">
      <c r="A2297" s="2">
        <f>IFERROR(__xludf.DUMMYFUNCTION("""COMPUTED_VALUE"""),1148000.0)</f>
        <v>1148000</v>
      </c>
      <c r="B2297" s="2">
        <f>IFERROR(__xludf.DUMMYFUNCTION("""COMPUTED_VALUE"""),22960.0)</f>
        <v>22960</v>
      </c>
      <c r="C2297" s="66">
        <f>IFERROR(__xludf.DUMMYFUNCTION("""COMPUTED_VALUE"""),2.63466E10)</f>
        <v>26346600000</v>
      </c>
      <c r="D2297" s="1"/>
      <c r="E2297" s="1"/>
      <c r="F2297" s="1"/>
      <c r="G2297" s="1"/>
      <c r="H2297" s="1"/>
      <c r="I2297" s="1"/>
      <c r="J2297" s="1"/>
      <c r="K2297" s="1"/>
      <c r="L2297" s="1"/>
      <c r="M2297" s="1"/>
      <c r="N2297" s="1"/>
      <c r="O2297" s="1"/>
      <c r="P2297" s="1"/>
      <c r="Q2297" s="1"/>
      <c r="R2297" s="1"/>
      <c r="S2297" s="1"/>
      <c r="T2297" s="1"/>
      <c r="U2297" s="1"/>
      <c r="V2297" s="1"/>
      <c r="W2297" s="1"/>
      <c r="X2297" s="1"/>
      <c r="Y2297" s="1"/>
      <c r="Z2297" s="1"/>
    </row>
    <row r="2298" ht="15.75" customHeight="1">
      <c r="A2298" s="2">
        <f>IFERROR(__xludf.DUMMYFUNCTION("""COMPUTED_VALUE"""),1148500.0)</f>
        <v>1148500</v>
      </c>
      <c r="B2298" s="2">
        <f>IFERROR(__xludf.DUMMYFUNCTION("""COMPUTED_VALUE"""),22970.0)</f>
        <v>22970</v>
      </c>
      <c r="C2298" s="66">
        <f>IFERROR(__xludf.DUMMYFUNCTION("""COMPUTED_VALUE"""),2.636956E10)</f>
        <v>26369560000</v>
      </c>
      <c r="D2298" s="1"/>
      <c r="E2298" s="1"/>
      <c r="F2298" s="1"/>
      <c r="G2298" s="1"/>
      <c r="H2298" s="1"/>
      <c r="I2298" s="1"/>
      <c r="J2298" s="1"/>
      <c r="K2298" s="1"/>
      <c r="L2298" s="1"/>
      <c r="M2298" s="1"/>
      <c r="N2298" s="1"/>
      <c r="O2298" s="1"/>
      <c r="P2298" s="1"/>
      <c r="Q2298" s="1"/>
      <c r="R2298" s="1"/>
      <c r="S2298" s="1"/>
      <c r="T2298" s="1"/>
      <c r="U2298" s="1"/>
      <c r="V2298" s="1"/>
      <c r="W2298" s="1"/>
      <c r="X2298" s="1"/>
      <c r="Y2298" s="1"/>
      <c r="Z2298" s="1"/>
    </row>
    <row r="2299" ht="15.75" customHeight="1">
      <c r="A2299" s="2">
        <f>IFERROR(__xludf.DUMMYFUNCTION("""COMPUTED_VALUE"""),1149000.0)</f>
        <v>1149000</v>
      </c>
      <c r="B2299" s="2">
        <f>IFERROR(__xludf.DUMMYFUNCTION("""COMPUTED_VALUE"""),22980.0)</f>
        <v>22980</v>
      </c>
      <c r="C2299" s="66">
        <f>IFERROR(__xludf.DUMMYFUNCTION("""COMPUTED_VALUE"""),2.639253E10)</f>
        <v>26392530000</v>
      </c>
      <c r="D2299" s="1"/>
      <c r="E2299" s="1"/>
      <c r="F2299" s="1"/>
      <c r="G2299" s="1"/>
      <c r="H2299" s="1"/>
      <c r="I2299" s="1"/>
      <c r="J2299" s="1"/>
      <c r="K2299" s="1"/>
      <c r="L2299" s="1"/>
      <c r="M2299" s="1"/>
      <c r="N2299" s="1"/>
      <c r="O2299" s="1"/>
      <c r="P2299" s="1"/>
      <c r="Q2299" s="1"/>
      <c r="R2299" s="1"/>
      <c r="S2299" s="1"/>
      <c r="T2299" s="1"/>
      <c r="U2299" s="1"/>
      <c r="V2299" s="1"/>
      <c r="W2299" s="1"/>
      <c r="X2299" s="1"/>
      <c r="Y2299" s="1"/>
      <c r="Z2299" s="1"/>
    </row>
    <row r="2300" ht="15.75" customHeight="1">
      <c r="A2300" s="2">
        <f>IFERROR(__xludf.DUMMYFUNCTION("""COMPUTED_VALUE"""),1149500.0)</f>
        <v>1149500</v>
      </c>
      <c r="B2300" s="2">
        <f>IFERROR(__xludf.DUMMYFUNCTION("""COMPUTED_VALUE"""),22990.0)</f>
        <v>22990</v>
      </c>
      <c r="C2300" s="66">
        <f>IFERROR(__xludf.DUMMYFUNCTION("""COMPUTED_VALUE"""),2.641551E10)</f>
        <v>26415510000</v>
      </c>
      <c r="D2300" s="1"/>
      <c r="E2300" s="1"/>
      <c r="F2300" s="1"/>
      <c r="G2300" s="1"/>
      <c r="H2300" s="1"/>
      <c r="I2300" s="1"/>
      <c r="J2300" s="1"/>
      <c r="K2300" s="1"/>
      <c r="L2300" s="1"/>
      <c r="M2300" s="1"/>
      <c r="N2300" s="1"/>
      <c r="O2300" s="1"/>
      <c r="P2300" s="1"/>
      <c r="Q2300" s="1"/>
      <c r="R2300" s="1"/>
      <c r="S2300" s="1"/>
      <c r="T2300" s="1"/>
      <c r="U2300" s="1"/>
      <c r="V2300" s="1"/>
      <c r="W2300" s="1"/>
      <c r="X2300" s="1"/>
      <c r="Y2300" s="1"/>
      <c r="Z2300" s="1"/>
    </row>
    <row r="2301" ht="15.75" customHeight="1">
      <c r="A2301" s="2">
        <f>IFERROR(__xludf.DUMMYFUNCTION("""COMPUTED_VALUE"""),1150000.0)</f>
        <v>1150000</v>
      </c>
      <c r="B2301" s="2">
        <f>IFERROR(__xludf.DUMMYFUNCTION("""COMPUTED_VALUE"""),23000.0)</f>
        <v>23000</v>
      </c>
      <c r="C2301" s="66">
        <f>IFERROR(__xludf.DUMMYFUNCTION("""COMPUTED_VALUE"""),2.64385E10)</f>
        <v>26438500000</v>
      </c>
      <c r="D2301" s="1"/>
      <c r="E2301" s="1"/>
      <c r="F2301" s="1"/>
      <c r="G2301" s="1"/>
      <c r="H2301" s="1"/>
      <c r="I2301" s="1"/>
      <c r="J2301" s="1"/>
      <c r="K2301" s="1"/>
      <c r="L2301" s="1"/>
      <c r="M2301" s="1"/>
      <c r="N2301" s="1"/>
      <c r="O2301" s="1"/>
      <c r="P2301" s="1"/>
      <c r="Q2301" s="1"/>
      <c r="R2301" s="1"/>
      <c r="S2301" s="1"/>
      <c r="T2301" s="1"/>
      <c r="U2301" s="1"/>
      <c r="V2301" s="1"/>
      <c r="W2301" s="1"/>
      <c r="X2301" s="1"/>
      <c r="Y2301" s="1"/>
      <c r="Z2301" s="1"/>
    </row>
    <row r="2302" ht="15.75" customHeight="1">
      <c r="A2302" s="2">
        <f>IFERROR(__xludf.DUMMYFUNCTION("""COMPUTED_VALUE"""),1150500.0)</f>
        <v>1150500</v>
      </c>
      <c r="B2302" s="2">
        <f>IFERROR(__xludf.DUMMYFUNCTION("""COMPUTED_VALUE"""),23010.0)</f>
        <v>23010</v>
      </c>
      <c r="C2302" s="66">
        <f>IFERROR(__xludf.DUMMYFUNCTION("""COMPUTED_VALUE"""),2.64615E10)</f>
        <v>26461500000</v>
      </c>
      <c r="D2302" s="1"/>
      <c r="E2302" s="1"/>
      <c r="F2302" s="1"/>
      <c r="G2302" s="1"/>
      <c r="H2302" s="1"/>
      <c r="I2302" s="1"/>
      <c r="J2302" s="1"/>
      <c r="K2302" s="1"/>
      <c r="L2302" s="1"/>
      <c r="M2302" s="1"/>
      <c r="N2302" s="1"/>
      <c r="O2302" s="1"/>
      <c r="P2302" s="1"/>
      <c r="Q2302" s="1"/>
      <c r="R2302" s="1"/>
      <c r="S2302" s="1"/>
      <c r="T2302" s="1"/>
      <c r="U2302" s="1"/>
      <c r="V2302" s="1"/>
      <c r="W2302" s="1"/>
      <c r="X2302" s="1"/>
      <c r="Y2302" s="1"/>
      <c r="Z2302" s="1"/>
    </row>
    <row r="2303" ht="15.75" customHeight="1">
      <c r="A2303" s="2">
        <f>IFERROR(__xludf.DUMMYFUNCTION("""COMPUTED_VALUE"""),1151000.0)</f>
        <v>1151000</v>
      </c>
      <c r="B2303" s="2">
        <f>IFERROR(__xludf.DUMMYFUNCTION("""COMPUTED_VALUE"""),23020.0)</f>
        <v>23020</v>
      </c>
      <c r="C2303" s="66">
        <f>IFERROR(__xludf.DUMMYFUNCTION("""COMPUTED_VALUE"""),2.648451E10)</f>
        <v>26484510000</v>
      </c>
      <c r="D2303" s="1"/>
      <c r="E2303" s="1"/>
      <c r="F2303" s="1"/>
      <c r="G2303" s="1"/>
      <c r="H2303" s="1"/>
      <c r="I2303" s="1"/>
      <c r="J2303" s="1"/>
      <c r="K2303" s="1"/>
      <c r="L2303" s="1"/>
      <c r="M2303" s="1"/>
      <c r="N2303" s="1"/>
      <c r="O2303" s="1"/>
      <c r="P2303" s="1"/>
      <c r="Q2303" s="1"/>
      <c r="R2303" s="1"/>
      <c r="S2303" s="1"/>
      <c r="T2303" s="1"/>
      <c r="U2303" s="1"/>
      <c r="V2303" s="1"/>
      <c r="W2303" s="1"/>
      <c r="X2303" s="1"/>
      <c r="Y2303" s="1"/>
      <c r="Z2303" s="1"/>
    </row>
    <row r="2304" ht="15.75" customHeight="1">
      <c r="A2304" s="2">
        <f>IFERROR(__xludf.DUMMYFUNCTION("""COMPUTED_VALUE"""),1151500.0)</f>
        <v>1151500</v>
      </c>
      <c r="B2304" s="2">
        <f>IFERROR(__xludf.DUMMYFUNCTION("""COMPUTED_VALUE"""),23030.0)</f>
        <v>23030</v>
      </c>
      <c r="C2304" s="66">
        <f>IFERROR(__xludf.DUMMYFUNCTION("""COMPUTED_VALUE"""),2.650753E10)</f>
        <v>26507530000</v>
      </c>
      <c r="D2304" s="1"/>
      <c r="E2304" s="1"/>
      <c r="F2304" s="1"/>
      <c r="G2304" s="1"/>
      <c r="H2304" s="1"/>
      <c r="I2304" s="1"/>
      <c r="J2304" s="1"/>
      <c r="K2304" s="1"/>
      <c r="L2304" s="1"/>
      <c r="M2304" s="1"/>
      <c r="N2304" s="1"/>
      <c r="O2304" s="1"/>
      <c r="P2304" s="1"/>
      <c r="Q2304" s="1"/>
      <c r="R2304" s="1"/>
      <c r="S2304" s="1"/>
      <c r="T2304" s="1"/>
      <c r="U2304" s="1"/>
      <c r="V2304" s="1"/>
      <c r="W2304" s="1"/>
      <c r="X2304" s="1"/>
      <c r="Y2304" s="1"/>
      <c r="Z2304" s="1"/>
    </row>
    <row r="2305" ht="15.75" customHeight="1">
      <c r="A2305" s="2">
        <f>IFERROR(__xludf.DUMMYFUNCTION("""COMPUTED_VALUE"""),1152000.0)</f>
        <v>1152000</v>
      </c>
      <c r="B2305" s="2">
        <f>IFERROR(__xludf.DUMMYFUNCTION("""COMPUTED_VALUE"""),23040.0)</f>
        <v>23040</v>
      </c>
      <c r="C2305" s="66">
        <f>IFERROR(__xludf.DUMMYFUNCTION("""COMPUTED_VALUE"""),2.653056E10)</f>
        <v>26530560000</v>
      </c>
      <c r="D2305" s="1"/>
      <c r="E2305" s="1"/>
      <c r="F2305" s="1"/>
      <c r="G2305" s="1"/>
      <c r="H2305" s="1"/>
      <c r="I2305" s="1"/>
      <c r="J2305" s="1"/>
      <c r="K2305" s="1"/>
      <c r="L2305" s="1"/>
      <c r="M2305" s="1"/>
      <c r="N2305" s="1"/>
      <c r="O2305" s="1"/>
      <c r="P2305" s="1"/>
      <c r="Q2305" s="1"/>
      <c r="R2305" s="1"/>
      <c r="S2305" s="1"/>
      <c r="T2305" s="1"/>
      <c r="U2305" s="1"/>
      <c r="V2305" s="1"/>
      <c r="W2305" s="1"/>
      <c r="X2305" s="1"/>
      <c r="Y2305" s="1"/>
      <c r="Z2305" s="1"/>
    </row>
    <row r="2306" ht="15.75" customHeight="1">
      <c r="A2306" s="2">
        <f>IFERROR(__xludf.DUMMYFUNCTION("""COMPUTED_VALUE"""),1152500.0)</f>
        <v>1152500</v>
      </c>
      <c r="B2306" s="2">
        <f>IFERROR(__xludf.DUMMYFUNCTION("""COMPUTED_VALUE"""),23050.0)</f>
        <v>23050</v>
      </c>
      <c r="C2306" s="66">
        <f>IFERROR(__xludf.DUMMYFUNCTION("""COMPUTED_VALUE"""),2.65536E10)</f>
        <v>26553600000</v>
      </c>
      <c r="D2306" s="1"/>
      <c r="E2306" s="1"/>
      <c r="F2306" s="1"/>
      <c r="G2306" s="1"/>
      <c r="H2306" s="1"/>
      <c r="I2306" s="1"/>
      <c r="J2306" s="1"/>
      <c r="K2306" s="1"/>
      <c r="L2306" s="1"/>
      <c r="M2306" s="1"/>
      <c r="N2306" s="1"/>
      <c r="O2306" s="1"/>
      <c r="P2306" s="1"/>
      <c r="Q2306" s="1"/>
      <c r="R2306" s="1"/>
      <c r="S2306" s="1"/>
      <c r="T2306" s="1"/>
      <c r="U2306" s="1"/>
      <c r="V2306" s="1"/>
      <c r="W2306" s="1"/>
      <c r="X2306" s="1"/>
      <c r="Y2306" s="1"/>
      <c r="Z2306" s="1"/>
    </row>
    <row r="2307" ht="15.75" customHeight="1">
      <c r="A2307" s="2">
        <f>IFERROR(__xludf.DUMMYFUNCTION("""COMPUTED_VALUE"""),1153000.0)</f>
        <v>1153000</v>
      </c>
      <c r="B2307" s="2">
        <f>IFERROR(__xludf.DUMMYFUNCTION("""COMPUTED_VALUE"""),23060.0)</f>
        <v>23060</v>
      </c>
      <c r="C2307" s="66">
        <f>IFERROR(__xludf.DUMMYFUNCTION("""COMPUTED_VALUE"""),2.657665E10)</f>
        <v>26576650000</v>
      </c>
      <c r="D2307" s="1"/>
      <c r="E2307" s="1"/>
      <c r="F2307" s="1"/>
      <c r="G2307" s="1"/>
      <c r="H2307" s="1"/>
      <c r="I2307" s="1"/>
      <c r="J2307" s="1"/>
      <c r="K2307" s="1"/>
      <c r="L2307" s="1"/>
      <c r="M2307" s="1"/>
      <c r="N2307" s="1"/>
      <c r="O2307" s="1"/>
      <c r="P2307" s="1"/>
      <c r="Q2307" s="1"/>
      <c r="R2307" s="1"/>
      <c r="S2307" s="1"/>
      <c r="T2307" s="1"/>
      <c r="U2307" s="1"/>
      <c r="V2307" s="1"/>
      <c r="W2307" s="1"/>
      <c r="X2307" s="1"/>
      <c r="Y2307" s="1"/>
      <c r="Z2307" s="1"/>
    </row>
    <row r="2308" ht="15.75" customHeight="1">
      <c r="A2308" s="2">
        <f>IFERROR(__xludf.DUMMYFUNCTION("""COMPUTED_VALUE"""),1153500.0)</f>
        <v>1153500</v>
      </c>
      <c r="B2308" s="2">
        <f>IFERROR(__xludf.DUMMYFUNCTION("""COMPUTED_VALUE"""),23070.0)</f>
        <v>23070</v>
      </c>
      <c r="C2308" s="66">
        <f>IFERROR(__xludf.DUMMYFUNCTION("""COMPUTED_VALUE"""),2.659971E10)</f>
        <v>26599710000</v>
      </c>
      <c r="D2308" s="1"/>
      <c r="E2308" s="1"/>
      <c r="F2308" s="1"/>
      <c r="G2308" s="1"/>
      <c r="H2308" s="1"/>
      <c r="I2308" s="1"/>
      <c r="J2308" s="1"/>
      <c r="K2308" s="1"/>
      <c r="L2308" s="1"/>
      <c r="M2308" s="1"/>
      <c r="N2308" s="1"/>
      <c r="O2308" s="1"/>
      <c r="P2308" s="1"/>
      <c r="Q2308" s="1"/>
      <c r="R2308" s="1"/>
      <c r="S2308" s="1"/>
      <c r="T2308" s="1"/>
      <c r="U2308" s="1"/>
      <c r="V2308" s="1"/>
      <c r="W2308" s="1"/>
      <c r="X2308" s="1"/>
      <c r="Y2308" s="1"/>
      <c r="Z2308" s="1"/>
    </row>
    <row r="2309" ht="15.75" customHeight="1">
      <c r="A2309" s="2">
        <f>IFERROR(__xludf.DUMMYFUNCTION("""COMPUTED_VALUE"""),1154000.0)</f>
        <v>1154000</v>
      </c>
      <c r="B2309" s="2">
        <f>IFERROR(__xludf.DUMMYFUNCTION("""COMPUTED_VALUE"""),23080.0)</f>
        <v>23080</v>
      </c>
      <c r="C2309" s="66">
        <f>IFERROR(__xludf.DUMMYFUNCTION("""COMPUTED_VALUE"""),2.662278E10)</f>
        <v>26622780000</v>
      </c>
      <c r="D2309" s="1"/>
      <c r="E2309" s="1"/>
      <c r="F2309" s="1"/>
      <c r="G2309" s="1"/>
      <c r="H2309" s="1"/>
      <c r="I2309" s="1"/>
      <c r="J2309" s="1"/>
      <c r="K2309" s="1"/>
      <c r="L2309" s="1"/>
      <c r="M2309" s="1"/>
      <c r="N2309" s="1"/>
      <c r="O2309" s="1"/>
      <c r="P2309" s="1"/>
      <c r="Q2309" s="1"/>
      <c r="R2309" s="1"/>
      <c r="S2309" s="1"/>
      <c r="T2309" s="1"/>
      <c r="U2309" s="1"/>
      <c r="V2309" s="1"/>
      <c r="W2309" s="1"/>
      <c r="X2309" s="1"/>
      <c r="Y2309" s="1"/>
      <c r="Z2309" s="1"/>
    </row>
    <row r="2310" ht="15.75" customHeight="1">
      <c r="A2310" s="2">
        <f>IFERROR(__xludf.DUMMYFUNCTION("""COMPUTED_VALUE"""),1154500.0)</f>
        <v>1154500</v>
      </c>
      <c r="B2310" s="2">
        <f>IFERROR(__xludf.DUMMYFUNCTION("""COMPUTED_VALUE"""),23090.0)</f>
        <v>23090</v>
      </c>
      <c r="C2310" s="66">
        <f>IFERROR(__xludf.DUMMYFUNCTION("""COMPUTED_VALUE"""),2.664586E10)</f>
        <v>26645860000</v>
      </c>
      <c r="D2310" s="1"/>
      <c r="E2310" s="1"/>
      <c r="F2310" s="1"/>
      <c r="G2310" s="1"/>
      <c r="H2310" s="1"/>
      <c r="I2310" s="1"/>
      <c r="J2310" s="1"/>
      <c r="K2310" s="1"/>
      <c r="L2310" s="1"/>
      <c r="M2310" s="1"/>
      <c r="N2310" s="1"/>
      <c r="O2310" s="1"/>
      <c r="P2310" s="1"/>
      <c r="Q2310" s="1"/>
      <c r="R2310" s="1"/>
      <c r="S2310" s="1"/>
      <c r="T2310" s="1"/>
      <c r="U2310" s="1"/>
      <c r="V2310" s="1"/>
      <c r="W2310" s="1"/>
      <c r="X2310" s="1"/>
      <c r="Y2310" s="1"/>
      <c r="Z2310" s="1"/>
    </row>
    <row r="2311" ht="15.75" customHeight="1">
      <c r="A2311" s="2">
        <f>IFERROR(__xludf.DUMMYFUNCTION("""COMPUTED_VALUE"""),1155000.0)</f>
        <v>1155000</v>
      </c>
      <c r="B2311" s="2">
        <f>IFERROR(__xludf.DUMMYFUNCTION("""COMPUTED_VALUE"""),23100.0)</f>
        <v>23100</v>
      </c>
      <c r="C2311" s="66">
        <f>IFERROR(__xludf.DUMMYFUNCTION("""COMPUTED_VALUE"""),2.666895E10)</f>
        <v>26668950000</v>
      </c>
      <c r="D2311" s="1"/>
      <c r="E2311" s="1"/>
      <c r="F2311" s="1"/>
      <c r="G2311" s="1"/>
      <c r="H2311" s="1"/>
      <c r="I2311" s="1"/>
      <c r="J2311" s="1"/>
      <c r="K2311" s="1"/>
      <c r="L2311" s="1"/>
      <c r="M2311" s="1"/>
      <c r="N2311" s="1"/>
      <c r="O2311" s="1"/>
      <c r="P2311" s="1"/>
      <c r="Q2311" s="1"/>
      <c r="R2311" s="1"/>
      <c r="S2311" s="1"/>
      <c r="T2311" s="1"/>
      <c r="U2311" s="1"/>
      <c r="V2311" s="1"/>
      <c r="W2311" s="1"/>
      <c r="X2311" s="1"/>
      <c r="Y2311" s="1"/>
      <c r="Z2311" s="1"/>
    </row>
    <row r="2312" ht="15.75" customHeight="1">
      <c r="A2312" s="2">
        <f>IFERROR(__xludf.DUMMYFUNCTION("""COMPUTED_VALUE"""),1155500.0)</f>
        <v>1155500</v>
      </c>
      <c r="B2312" s="2">
        <f>IFERROR(__xludf.DUMMYFUNCTION("""COMPUTED_VALUE"""),23110.0)</f>
        <v>23110</v>
      </c>
      <c r="C2312" s="66">
        <f>IFERROR(__xludf.DUMMYFUNCTION("""COMPUTED_VALUE"""),2.669205E10)</f>
        <v>26692050000</v>
      </c>
      <c r="D2312" s="1"/>
      <c r="E2312" s="1"/>
      <c r="F2312" s="1"/>
      <c r="G2312" s="1"/>
      <c r="H2312" s="1"/>
      <c r="I2312" s="1"/>
      <c r="J2312" s="1"/>
      <c r="K2312" s="1"/>
      <c r="L2312" s="1"/>
      <c r="M2312" s="1"/>
      <c r="N2312" s="1"/>
      <c r="O2312" s="1"/>
      <c r="P2312" s="1"/>
      <c r="Q2312" s="1"/>
      <c r="R2312" s="1"/>
      <c r="S2312" s="1"/>
      <c r="T2312" s="1"/>
      <c r="U2312" s="1"/>
      <c r="V2312" s="1"/>
      <c r="W2312" s="1"/>
      <c r="X2312" s="1"/>
      <c r="Y2312" s="1"/>
      <c r="Z2312" s="1"/>
    </row>
    <row r="2313" ht="15.75" customHeight="1">
      <c r="A2313" s="2">
        <f>IFERROR(__xludf.DUMMYFUNCTION("""COMPUTED_VALUE"""),1156000.0)</f>
        <v>1156000</v>
      </c>
      <c r="B2313" s="2">
        <f>IFERROR(__xludf.DUMMYFUNCTION("""COMPUTED_VALUE"""),23120.0)</f>
        <v>23120</v>
      </c>
      <c r="C2313" s="66">
        <f>IFERROR(__xludf.DUMMYFUNCTION("""COMPUTED_VALUE"""),2.671516E10)</f>
        <v>26715160000</v>
      </c>
      <c r="D2313" s="1"/>
      <c r="E2313" s="1"/>
      <c r="F2313" s="1"/>
      <c r="G2313" s="1"/>
      <c r="H2313" s="1"/>
      <c r="I2313" s="1"/>
      <c r="J2313" s="1"/>
      <c r="K2313" s="1"/>
      <c r="L2313" s="1"/>
      <c r="M2313" s="1"/>
      <c r="N2313" s="1"/>
      <c r="O2313" s="1"/>
      <c r="P2313" s="1"/>
      <c r="Q2313" s="1"/>
      <c r="R2313" s="1"/>
      <c r="S2313" s="1"/>
      <c r="T2313" s="1"/>
      <c r="U2313" s="1"/>
      <c r="V2313" s="1"/>
      <c r="W2313" s="1"/>
      <c r="X2313" s="1"/>
      <c r="Y2313" s="1"/>
      <c r="Z2313" s="1"/>
    </row>
    <row r="2314" ht="15.75" customHeight="1">
      <c r="A2314" s="2">
        <f>IFERROR(__xludf.DUMMYFUNCTION("""COMPUTED_VALUE"""),1156500.0)</f>
        <v>1156500</v>
      </c>
      <c r="B2314" s="2">
        <f>IFERROR(__xludf.DUMMYFUNCTION("""COMPUTED_VALUE"""),23130.0)</f>
        <v>23130</v>
      </c>
      <c r="C2314" s="66">
        <f>IFERROR(__xludf.DUMMYFUNCTION("""COMPUTED_VALUE"""),2.673828E10)</f>
        <v>26738280000</v>
      </c>
      <c r="D2314" s="1"/>
      <c r="E2314" s="1"/>
      <c r="F2314" s="1"/>
      <c r="G2314" s="1"/>
      <c r="H2314" s="1"/>
      <c r="I2314" s="1"/>
      <c r="J2314" s="1"/>
      <c r="K2314" s="1"/>
      <c r="L2314" s="1"/>
      <c r="M2314" s="1"/>
      <c r="N2314" s="1"/>
      <c r="O2314" s="1"/>
      <c r="P2314" s="1"/>
      <c r="Q2314" s="1"/>
      <c r="R2314" s="1"/>
      <c r="S2314" s="1"/>
      <c r="T2314" s="1"/>
      <c r="U2314" s="1"/>
      <c r="V2314" s="1"/>
      <c r="W2314" s="1"/>
      <c r="X2314" s="1"/>
      <c r="Y2314" s="1"/>
      <c r="Z2314" s="1"/>
    </row>
    <row r="2315" ht="15.75" customHeight="1">
      <c r="A2315" s="2">
        <f>IFERROR(__xludf.DUMMYFUNCTION("""COMPUTED_VALUE"""),1157000.0)</f>
        <v>1157000</v>
      </c>
      <c r="B2315" s="2">
        <f>IFERROR(__xludf.DUMMYFUNCTION("""COMPUTED_VALUE"""),23140.0)</f>
        <v>23140</v>
      </c>
      <c r="C2315" s="66">
        <f>IFERROR(__xludf.DUMMYFUNCTION("""COMPUTED_VALUE"""),2.676141E10)</f>
        <v>26761410000</v>
      </c>
      <c r="D2315" s="1"/>
      <c r="E2315" s="1"/>
      <c r="F2315" s="1"/>
      <c r="G2315" s="1"/>
      <c r="H2315" s="1"/>
      <c r="I2315" s="1"/>
      <c r="J2315" s="1"/>
      <c r="K2315" s="1"/>
      <c r="L2315" s="1"/>
      <c r="M2315" s="1"/>
      <c r="N2315" s="1"/>
      <c r="O2315" s="1"/>
      <c r="P2315" s="1"/>
      <c r="Q2315" s="1"/>
      <c r="R2315" s="1"/>
      <c r="S2315" s="1"/>
      <c r="T2315" s="1"/>
      <c r="U2315" s="1"/>
      <c r="V2315" s="1"/>
      <c r="W2315" s="1"/>
      <c r="X2315" s="1"/>
      <c r="Y2315" s="1"/>
      <c r="Z2315" s="1"/>
    </row>
    <row r="2316" ht="15.75" customHeight="1">
      <c r="A2316" s="2">
        <f>IFERROR(__xludf.DUMMYFUNCTION("""COMPUTED_VALUE"""),1157500.0)</f>
        <v>1157500</v>
      </c>
      <c r="B2316" s="2">
        <f>IFERROR(__xludf.DUMMYFUNCTION("""COMPUTED_VALUE"""),23150.0)</f>
        <v>23150</v>
      </c>
      <c r="C2316" s="66">
        <f>IFERROR(__xludf.DUMMYFUNCTION("""COMPUTED_VALUE"""),2.678455E10)</f>
        <v>26784550000</v>
      </c>
      <c r="D2316" s="1"/>
      <c r="E2316" s="1"/>
      <c r="F2316" s="1"/>
      <c r="G2316" s="1"/>
      <c r="H2316" s="1"/>
      <c r="I2316" s="1"/>
      <c r="J2316" s="1"/>
      <c r="K2316" s="1"/>
      <c r="L2316" s="1"/>
      <c r="M2316" s="1"/>
      <c r="N2316" s="1"/>
      <c r="O2316" s="1"/>
      <c r="P2316" s="1"/>
      <c r="Q2316" s="1"/>
      <c r="R2316" s="1"/>
      <c r="S2316" s="1"/>
      <c r="T2316" s="1"/>
      <c r="U2316" s="1"/>
      <c r="V2316" s="1"/>
      <c r="W2316" s="1"/>
      <c r="X2316" s="1"/>
      <c r="Y2316" s="1"/>
      <c r="Z2316" s="1"/>
    </row>
    <row r="2317" ht="15.75" customHeight="1">
      <c r="A2317" s="2">
        <f>IFERROR(__xludf.DUMMYFUNCTION("""COMPUTED_VALUE"""),1158000.0)</f>
        <v>1158000</v>
      </c>
      <c r="B2317" s="2">
        <f>IFERROR(__xludf.DUMMYFUNCTION("""COMPUTED_VALUE"""),23160.0)</f>
        <v>23160</v>
      </c>
      <c r="C2317" s="66">
        <f>IFERROR(__xludf.DUMMYFUNCTION("""COMPUTED_VALUE"""),2.68077E10)</f>
        <v>26807700000</v>
      </c>
      <c r="D2317" s="1"/>
      <c r="E2317" s="1"/>
      <c r="F2317" s="1"/>
      <c r="G2317" s="1"/>
      <c r="H2317" s="1"/>
      <c r="I2317" s="1"/>
      <c r="J2317" s="1"/>
      <c r="K2317" s="1"/>
      <c r="L2317" s="1"/>
      <c r="M2317" s="1"/>
      <c r="N2317" s="1"/>
      <c r="O2317" s="1"/>
      <c r="P2317" s="1"/>
      <c r="Q2317" s="1"/>
      <c r="R2317" s="1"/>
      <c r="S2317" s="1"/>
      <c r="T2317" s="1"/>
      <c r="U2317" s="1"/>
      <c r="V2317" s="1"/>
      <c r="W2317" s="1"/>
      <c r="X2317" s="1"/>
      <c r="Y2317" s="1"/>
      <c r="Z2317" s="1"/>
    </row>
    <row r="2318" ht="15.75" customHeight="1">
      <c r="A2318" s="2">
        <f>IFERROR(__xludf.DUMMYFUNCTION("""COMPUTED_VALUE"""),1158500.0)</f>
        <v>1158500</v>
      </c>
      <c r="B2318" s="2">
        <f>IFERROR(__xludf.DUMMYFUNCTION("""COMPUTED_VALUE"""),23170.0)</f>
        <v>23170</v>
      </c>
      <c r="C2318" s="66">
        <f>IFERROR(__xludf.DUMMYFUNCTION("""COMPUTED_VALUE"""),2.683086E10)</f>
        <v>26830860000</v>
      </c>
      <c r="D2318" s="1"/>
      <c r="E2318" s="1"/>
      <c r="F2318" s="1"/>
      <c r="G2318" s="1"/>
      <c r="H2318" s="1"/>
      <c r="I2318" s="1"/>
      <c r="J2318" s="1"/>
      <c r="K2318" s="1"/>
      <c r="L2318" s="1"/>
      <c r="M2318" s="1"/>
      <c r="N2318" s="1"/>
      <c r="O2318" s="1"/>
      <c r="P2318" s="1"/>
      <c r="Q2318" s="1"/>
      <c r="R2318" s="1"/>
      <c r="S2318" s="1"/>
      <c r="T2318" s="1"/>
      <c r="U2318" s="1"/>
      <c r="V2318" s="1"/>
      <c r="W2318" s="1"/>
      <c r="X2318" s="1"/>
      <c r="Y2318" s="1"/>
      <c r="Z2318" s="1"/>
    </row>
    <row r="2319" ht="15.75" customHeight="1">
      <c r="A2319" s="2">
        <f>IFERROR(__xludf.DUMMYFUNCTION("""COMPUTED_VALUE"""),1159000.0)</f>
        <v>1159000</v>
      </c>
      <c r="B2319" s="2">
        <f>IFERROR(__xludf.DUMMYFUNCTION("""COMPUTED_VALUE"""),23180.0)</f>
        <v>23180</v>
      </c>
      <c r="C2319" s="66">
        <f>IFERROR(__xludf.DUMMYFUNCTION("""COMPUTED_VALUE"""),2.685403E10)</f>
        <v>26854030000</v>
      </c>
      <c r="D2319" s="1"/>
      <c r="E2319" s="1"/>
      <c r="F2319" s="1"/>
      <c r="G2319" s="1"/>
      <c r="H2319" s="1"/>
      <c r="I2319" s="1"/>
      <c r="J2319" s="1"/>
      <c r="K2319" s="1"/>
      <c r="L2319" s="1"/>
      <c r="M2319" s="1"/>
      <c r="N2319" s="1"/>
      <c r="O2319" s="1"/>
      <c r="P2319" s="1"/>
      <c r="Q2319" s="1"/>
      <c r="R2319" s="1"/>
      <c r="S2319" s="1"/>
      <c r="T2319" s="1"/>
      <c r="U2319" s="1"/>
      <c r="V2319" s="1"/>
      <c r="W2319" s="1"/>
      <c r="X2319" s="1"/>
      <c r="Y2319" s="1"/>
      <c r="Z2319" s="1"/>
    </row>
    <row r="2320" ht="15.75" customHeight="1">
      <c r="A2320" s="2">
        <f>IFERROR(__xludf.DUMMYFUNCTION("""COMPUTED_VALUE"""),1159500.0)</f>
        <v>1159500</v>
      </c>
      <c r="B2320" s="2">
        <f>IFERROR(__xludf.DUMMYFUNCTION("""COMPUTED_VALUE"""),23190.0)</f>
        <v>23190</v>
      </c>
      <c r="C2320" s="66">
        <f>IFERROR(__xludf.DUMMYFUNCTION("""COMPUTED_VALUE"""),2.687721E10)</f>
        <v>26877210000</v>
      </c>
      <c r="D2320" s="1"/>
      <c r="E2320" s="1"/>
      <c r="F2320" s="1"/>
      <c r="G2320" s="1"/>
      <c r="H2320" s="1"/>
      <c r="I2320" s="1"/>
      <c r="J2320" s="1"/>
      <c r="K2320" s="1"/>
      <c r="L2320" s="1"/>
      <c r="M2320" s="1"/>
      <c r="N2320" s="1"/>
      <c r="O2320" s="1"/>
      <c r="P2320" s="1"/>
      <c r="Q2320" s="1"/>
      <c r="R2320" s="1"/>
      <c r="S2320" s="1"/>
      <c r="T2320" s="1"/>
      <c r="U2320" s="1"/>
      <c r="V2320" s="1"/>
      <c r="W2320" s="1"/>
      <c r="X2320" s="1"/>
      <c r="Y2320" s="1"/>
      <c r="Z2320" s="1"/>
    </row>
    <row r="2321" ht="15.75" customHeight="1">
      <c r="A2321" s="2">
        <f>IFERROR(__xludf.DUMMYFUNCTION("""COMPUTED_VALUE"""),1160000.0)</f>
        <v>1160000</v>
      </c>
      <c r="B2321" s="2">
        <f>IFERROR(__xludf.DUMMYFUNCTION("""COMPUTED_VALUE"""),23200.0)</f>
        <v>23200</v>
      </c>
      <c r="C2321" s="66">
        <f>IFERROR(__xludf.DUMMYFUNCTION("""COMPUTED_VALUE"""),2.69004E10)</f>
        <v>26900400000</v>
      </c>
      <c r="D2321" s="1"/>
      <c r="E2321" s="1"/>
      <c r="F2321" s="1"/>
      <c r="G2321" s="1"/>
      <c r="H2321" s="1"/>
      <c r="I2321" s="1"/>
      <c r="J2321" s="1"/>
      <c r="K2321" s="1"/>
      <c r="L2321" s="1"/>
      <c r="M2321" s="1"/>
      <c r="N2321" s="1"/>
      <c r="O2321" s="1"/>
      <c r="P2321" s="1"/>
      <c r="Q2321" s="1"/>
      <c r="R2321" s="1"/>
      <c r="S2321" s="1"/>
      <c r="T2321" s="1"/>
      <c r="U2321" s="1"/>
      <c r="V2321" s="1"/>
      <c r="W2321" s="1"/>
      <c r="X2321" s="1"/>
      <c r="Y2321" s="1"/>
      <c r="Z2321" s="1"/>
    </row>
    <row r="2322" ht="15.75" customHeight="1">
      <c r="A2322" s="2">
        <f>IFERROR(__xludf.DUMMYFUNCTION("""COMPUTED_VALUE"""),1160500.0)</f>
        <v>1160500</v>
      </c>
      <c r="B2322" s="2">
        <f>IFERROR(__xludf.DUMMYFUNCTION("""COMPUTED_VALUE"""),23210.0)</f>
        <v>23210</v>
      </c>
      <c r="C2322" s="66">
        <f>IFERROR(__xludf.DUMMYFUNCTION("""COMPUTED_VALUE"""),2.69236E10)</f>
        <v>26923600000</v>
      </c>
      <c r="D2322" s="1"/>
      <c r="E2322" s="1"/>
      <c r="F2322" s="1"/>
      <c r="G2322" s="1"/>
      <c r="H2322" s="1"/>
      <c r="I2322" s="1"/>
      <c r="J2322" s="1"/>
      <c r="K2322" s="1"/>
      <c r="L2322" s="1"/>
      <c r="M2322" s="1"/>
      <c r="N2322" s="1"/>
      <c r="O2322" s="1"/>
      <c r="P2322" s="1"/>
      <c r="Q2322" s="1"/>
      <c r="R2322" s="1"/>
      <c r="S2322" s="1"/>
      <c r="T2322" s="1"/>
      <c r="U2322" s="1"/>
      <c r="V2322" s="1"/>
      <c r="W2322" s="1"/>
      <c r="X2322" s="1"/>
      <c r="Y2322" s="1"/>
      <c r="Z2322" s="1"/>
    </row>
    <row r="2323" ht="15.75" customHeight="1">
      <c r="A2323" s="2">
        <f>IFERROR(__xludf.DUMMYFUNCTION("""COMPUTED_VALUE"""),1161000.0)</f>
        <v>1161000</v>
      </c>
      <c r="B2323" s="2">
        <f>IFERROR(__xludf.DUMMYFUNCTION("""COMPUTED_VALUE"""),23220.0)</f>
        <v>23220</v>
      </c>
      <c r="C2323" s="66">
        <f>IFERROR(__xludf.DUMMYFUNCTION("""COMPUTED_VALUE"""),2.694681E10)</f>
        <v>26946810000</v>
      </c>
      <c r="D2323" s="1"/>
      <c r="E2323" s="1"/>
      <c r="F2323" s="1"/>
      <c r="G2323" s="1"/>
      <c r="H2323" s="1"/>
      <c r="I2323" s="1"/>
      <c r="J2323" s="1"/>
      <c r="K2323" s="1"/>
      <c r="L2323" s="1"/>
      <c r="M2323" s="1"/>
      <c r="N2323" s="1"/>
      <c r="O2323" s="1"/>
      <c r="P2323" s="1"/>
      <c r="Q2323" s="1"/>
      <c r="R2323" s="1"/>
      <c r="S2323" s="1"/>
      <c r="T2323" s="1"/>
      <c r="U2323" s="1"/>
      <c r="V2323" s="1"/>
      <c r="W2323" s="1"/>
      <c r="X2323" s="1"/>
      <c r="Y2323" s="1"/>
      <c r="Z2323" s="1"/>
    </row>
    <row r="2324" ht="15.75" customHeight="1">
      <c r="A2324" s="2">
        <f>IFERROR(__xludf.DUMMYFUNCTION("""COMPUTED_VALUE"""),1161500.0)</f>
        <v>1161500</v>
      </c>
      <c r="B2324" s="2">
        <f>IFERROR(__xludf.DUMMYFUNCTION("""COMPUTED_VALUE"""),23230.0)</f>
        <v>23230</v>
      </c>
      <c r="C2324" s="66">
        <f>IFERROR(__xludf.DUMMYFUNCTION("""COMPUTED_VALUE"""),2.697003E10)</f>
        <v>26970030000</v>
      </c>
      <c r="D2324" s="1"/>
      <c r="E2324" s="1"/>
      <c r="F2324" s="1"/>
      <c r="G2324" s="1"/>
      <c r="H2324" s="1"/>
      <c r="I2324" s="1"/>
      <c r="J2324" s="1"/>
      <c r="K2324" s="1"/>
      <c r="L2324" s="1"/>
      <c r="M2324" s="1"/>
      <c r="N2324" s="1"/>
      <c r="O2324" s="1"/>
      <c r="P2324" s="1"/>
      <c r="Q2324" s="1"/>
      <c r="R2324" s="1"/>
      <c r="S2324" s="1"/>
      <c r="T2324" s="1"/>
      <c r="U2324" s="1"/>
      <c r="V2324" s="1"/>
      <c r="W2324" s="1"/>
      <c r="X2324" s="1"/>
      <c r="Y2324" s="1"/>
      <c r="Z2324" s="1"/>
    </row>
    <row r="2325" ht="15.75" customHeight="1">
      <c r="A2325" s="2">
        <f>IFERROR(__xludf.DUMMYFUNCTION("""COMPUTED_VALUE"""),1162000.0)</f>
        <v>1162000</v>
      </c>
      <c r="B2325" s="2">
        <f>IFERROR(__xludf.DUMMYFUNCTION("""COMPUTED_VALUE"""),23240.0)</f>
        <v>23240</v>
      </c>
      <c r="C2325" s="66">
        <f>IFERROR(__xludf.DUMMYFUNCTION("""COMPUTED_VALUE"""),2.699326E10)</f>
        <v>26993260000</v>
      </c>
      <c r="D2325" s="1"/>
      <c r="E2325" s="1"/>
      <c r="F2325" s="1"/>
      <c r="G2325" s="1"/>
      <c r="H2325" s="1"/>
      <c r="I2325" s="1"/>
      <c r="J2325" s="1"/>
      <c r="K2325" s="1"/>
      <c r="L2325" s="1"/>
      <c r="M2325" s="1"/>
      <c r="N2325" s="1"/>
      <c r="O2325" s="1"/>
      <c r="P2325" s="1"/>
      <c r="Q2325" s="1"/>
      <c r="R2325" s="1"/>
      <c r="S2325" s="1"/>
      <c r="T2325" s="1"/>
      <c r="U2325" s="1"/>
      <c r="V2325" s="1"/>
      <c r="W2325" s="1"/>
      <c r="X2325" s="1"/>
      <c r="Y2325" s="1"/>
      <c r="Z2325" s="1"/>
    </row>
    <row r="2326" ht="15.75" customHeight="1">
      <c r="A2326" s="2">
        <f>IFERROR(__xludf.DUMMYFUNCTION("""COMPUTED_VALUE"""),1162500.0)</f>
        <v>1162500</v>
      </c>
      <c r="B2326" s="2">
        <f>IFERROR(__xludf.DUMMYFUNCTION("""COMPUTED_VALUE"""),23250.0)</f>
        <v>23250</v>
      </c>
      <c r="C2326" s="66">
        <f>IFERROR(__xludf.DUMMYFUNCTION("""COMPUTED_VALUE"""),2.70165E10)</f>
        <v>27016500000</v>
      </c>
      <c r="D2326" s="1"/>
      <c r="E2326" s="1"/>
      <c r="F2326" s="1"/>
      <c r="G2326" s="1"/>
      <c r="H2326" s="1"/>
      <c r="I2326" s="1"/>
      <c r="J2326" s="1"/>
      <c r="K2326" s="1"/>
      <c r="L2326" s="1"/>
      <c r="M2326" s="1"/>
      <c r="N2326" s="1"/>
      <c r="O2326" s="1"/>
      <c r="P2326" s="1"/>
      <c r="Q2326" s="1"/>
      <c r="R2326" s="1"/>
      <c r="S2326" s="1"/>
      <c r="T2326" s="1"/>
      <c r="U2326" s="1"/>
      <c r="V2326" s="1"/>
      <c r="W2326" s="1"/>
      <c r="X2326" s="1"/>
      <c r="Y2326" s="1"/>
      <c r="Z2326" s="1"/>
    </row>
    <row r="2327" ht="15.75" customHeight="1">
      <c r="A2327" s="2">
        <f>IFERROR(__xludf.DUMMYFUNCTION("""COMPUTED_VALUE"""),1163000.0)</f>
        <v>1163000</v>
      </c>
      <c r="B2327" s="2">
        <f>IFERROR(__xludf.DUMMYFUNCTION("""COMPUTED_VALUE"""),23260.0)</f>
        <v>23260</v>
      </c>
      <c r="C2327" s="66">
        <f>IFERROR(__xludf.DUMMYFUNCTION("""COMPUTED_VALUE"""),2.703975E10)</f>
        <v>27039750000</v>
      </c>
      <c r="D2327" s="1"/>
      <c r="E2327" s="1"/>
      <c r="F2327" s="1"/>
      <c r="G2327" s="1"/>
      <c r="H2327" s="1"/>
      <c r="I2327" s="1"/>
      <c r="J2327" s="1"/>
      <c r="K2327" s="1"/>
      <c r="L2327" s="1"/>
      <c r="M2327" s="1"/>
      <c r="N2327" s="1"/>
      <c r="O2327" s="1"/>
      <c r="P2327" s="1"/>
      <c r="Q2327" s="1"/>
      <c r="R2327" s="1"/>
      <c r="S2327" s="1"/>
      <c r="T2327" s="1"/>
      <c r="U2327" s="1"/>
      <c r="V2327" s="1"/>
      <c r="W2327" s="1"/>
      <c r="X2327" s="1"/>
      <c r="Y2327" s="1"/>
      <c r="Z2327" s="1"/>
    </row>
    <row r="2328" ht="15.75" customHeight="1">
      <c r="A2328" s="2">
        <f>IFERROR(__xludf.DUMMYFUNCTION("""COMPUTED_VALUE"""),1163500.0)</f>
        <v>1163500</v>
      </c>
      <c r="B2328" s="2">
        <f>IFERROR(__xludf.DUMMYFUNCTION("""COMPUTED_VALUE"""),23270.0)</f>
        <v>23270</v>
      </c>
      <c r="C2328" s="66">
        <f>IFERROR(__xludf.DUMMYFUNCTION("""COMPUTED_VALUE"""),2.706301E10)</f>
        <v>27063010000</v>
      </c>
      <c r="D2328" s="1"/>
      <c r="E2328" s="1"/>
      <c r="F2328" s="1"/>
      <c r="G2328" s="1"/>
      <c r="H2328" s="1"/>
      <c r="I2328" s="1"/>
      <c r="J2328" s="1"/>
      <c r="K2328" s="1"/>
      <c r="L2328" s="1"/>
      <c r="M2328" s="1"/>
      <c r="N2328" s="1"/>
      <c r="O2328" s="1"/>
      <c r="P2328" s="1"/>
      <c r="Q2328" s="1"/>
      <c r="R2328" s="1"/>
      <c r="S2328" s="1"/>
      <c r="T2328" s="1"/>
      <c r="U2328" s="1"/>
      <c r="V2328" s="1"/>
      <c r="W2328" s="1"/>
      <c r="X2328" s="1"/>
      <c r="Y2328" s="1"/>
      <c r="Z2328" s="1"/>
    </row>
    <row r="2329" ht="15.75" customHeight="1">
      <c r="A2329" s="2">
        <f>IFERROR(__xludf.DUMMYFUNCTION("""COMPUTED_VALUE"""),1164000.0)</f>
        <v>1164000</v>
      </c>
      <c r="B2329" s="2">
        <f>IFERROR(__xludf.DUMMYFUNCTION("""COMPUTED_VALUE"""),23280.0)</f>
        <v>23280</v>
      </c>
      <c r="C2329" s="66">
        <f>IFERROR(__xludf.DUMMYFUNCTION("""COMPUTED_VALUE"""),2.708628E10)</f>
        <v>27086280000</v>
      </c>
      <c r="D2329" s="1"/>
      <c r="E2329" s="1"/>
      <c r="F2329" s="1"/>
      <c r="G2329" s="1"/>
      <c r="H2329" s="1"/>
      <c r="I2329" s="1"/>
      <c r="J2329" s="1"/>
      <c r="K2329" s="1"/>
      <c r="L2329" s="1"/>
      <c r="M2329" s="1"/>
      <c r="N2329" s="1"/>
      <c r="O2329" s="1"/>
      <c r="P2329" s="1"/>
      <c r="Q2329" s="1"/>
      <c r="R2329" s="1"/>
      <c r="S2329" s="1"/>
      <c r="T2329" s="1"/>
      <c r="U2329" s="1"/>
      <c r="V2329" s="1"/>
      <c r="W2329" s="1"/>
      <c r="X2329" s="1"/>
      <c r="Y2329" s="1"/>
      <c r="Z2329" s="1"/>
    </row>
    <row r="2330" ht="15.75" customHeight="1">
      <c r="A2330" s="2">
        <f>IFERROR(__xludf.DUMMYFUNCTION("""COMPUTED_VALUE"""),1164500.0)</f>
        <v>1164500</v>
      </c>
      <c r="B2330" s="2">
        <f>IFERROR(__xludf.DUMMYFUNCTION("""COMPUTED_VALUE"""),23290.0)</f>
        <v>23290</v>
      </c>
      <c r="C2330" s="66">
        <f>IFERROR(__xludf.DUMMYFUNCTION("""COMPUTED_VALUE"""),2.710956E10)</f>
        <v>27109560000</v>
      </c>
      <c r="D2330" s="1"/>
      <c r="E2330" s="1"/>
      <c r="F2330" s="1"/>
      <c r="G2330" s="1"/>
      <c r="H2330" s="1"/>
      <c r="I2330" s="1"/>
      <c r="J2330" s="1"/>
      <c r="K2330" s="1"/>
      <c r="L2330" s="1"/>
      <c r="M2330" s="1"/>
      <c r="N2330" s="1"/>
      <c r="O2330" s="1"/>
      <c r="P2330" s="1"/>
      <c r="Q2330" s="1"/>
      <c r="R2330" s="1"/>
      <c r="S2330" s="1"/>
      <c r="T2330" s="1"/>
      <c r="U2330" s="1"/>
      <c r="V2330" s="1"/>
      <c r="W2330" s="1"/>
      <c r="X2330" s="1"/>
      <c r="Y2330" s="1"/>
      <c r="Z2330" s="1"/>
    </row>
    <row r="2331" ht="15.75" customHeight="1">
      <c r="A2331" s="2">
        <f>IFERROR(__xludf.DUMMYFUNCTION("""COMPUTED_VALUE"""),1165000.0)</f>
        <v>1165000</v>
      </c>
      <c r="B2331" s="2">
        <f>IFERROR(__xludf.DUMMYFUNCTION("""COMPUTED_VALUE"""),23300.0)</f>
        <v>23300</v>
      </c>
      <c r="C2331" s="66">
        <f>IFERROR(__xludf.DUMMYFUNCTION("""COMPUTED_VALUE"""),2.713285E10)</f>
        <v>27132850000</v>
      </c>
      <c r="D2331" s="1"/>
      <c r="E2331" s="1"/>
      <c r="F2331" s="1"/>
      <c r="G2331" s="1"/>
      <c r="H2331" s="1"/>
      <c r="I2331" s="1"/>
      <c r="J2331" s="1"/>
      <c r="K2331" s="1"/>
      <c r="L2331" s="1"/>
      <c r="M2331" s="1"/>
      <c r="N2331" s="1"/>
      <c r="O2331" s="1"/>
      <c r="P2331" s="1"/>
      <c r="Q2331" s="1"/>
      <c r="R2331" s="1"/>
      <c r="S2331" s="1"/>
      <c r="T2331" s="1"/>
      <c r="U2331" s="1"/>
      <c r="V2331" s="1"/>
      <c r="W2331" s="1"/>
      <c r="X2331" s="1"/>
      <c r="Y2331" s="1"/>
      <c r="Z2331" s="1"/>
    </row>
    <row r="2332" ht="15.75" customHeight="1">
      <c r="A2332" s="2">
        <f>IFERROR(__xludf.DUMMYFUNCTION("""COMPUTED_VALUE"""),1165500.0)</f>
        <v>1165500</v>
      </c>
      <c r="B2332" s="2">
        <f>IFERROR(__xludf.DUMMYFUNCTION("""COMPUTED_VALUE"""),23310.0)</f>
        <v>23310</v>
      </c>
      <c r="C2332" s="66">
        <f>IFERROR(__xludf.DUMMYFUNCTION("""COMPUTED_VALUE"""),2.715615E10)</f>
        <v>27156150000</v>
      </c>
      <c r="D2332" s="1"/>
      <c r="E2332" s="1"/>
      <c r="F2332" s="1"/>
      <c r="G2332" s="1"/>
      <c r="H2332" s="1"/>
      <c r="I2332" s="1"/>
      <c r="J2332" s="1"/>
      <c r="K2332" s="1"/>
      <c r="L2332" s="1"/>
      <c r="M2332" s="1"/>
      <c r="N2332" s="1"/>
      <c r="O2332" s="1"/>
      <c r="P2332" s="1"/>
      <c r="Q2332" s="1"/>
      <c r="R2332" s="1"/>
      <c r="S2332" s="1"/>
      <c r="T2332" s="1"/>
      <c r="U2332" s="1"/>
      <c r="V2332" s="1"/>
      <c r="W2332" s="1"/>
      <c r="X2332" s="1"/>
      <c r="Y2332" s="1"/>
      <c r="Z2332" s="1"/>
    </row>
    <row r="2333" ht="15.75" customHeight="1">
      <c r="A2333" s="2">
        <f>IFERROR(__xludf.DUMMYFUNCTION("""COMPUTED_VALUE"""),1166000.0)</f>
        <v>1166000</v>
      </c>
      <c r="B2333" s="2">
        <f>IFERROR(__xludf.DUMMYFUNCTION("""COMPUTED_VALUE"""),23320.0)</f>
        <v>23320</v>
      </c>
      <c r="C2333" s="66">
        <f>IFERROR(__xludf.DUMMYFUNCTION("""COMPUTED_VALUE"""),2.717946E10)</f>
        <v>27179460000</v>
      </c>
      <c r="D2333" s="1"/>
      <c r="E2333" s="1"/>
      <c r="F2333" s="1"/>
      <c r="G2333" s="1"/>
      <c r="H2333" s="1"/>
      <c r="I2333" s="1"/>
      <c r="J2333" s="1"/>
      <c r="K2333" s="1"/>
      <c r="L2333" s="1"/>
      <c r="M2333" s="1"/>
      <c r="N2333" s="1"/>
      <c r="O2333" s="1"/>
      <c r="P2333" s="1"/>
      <c r="Q2333" s="1"/>
      <c r="R2333" s="1"/>
      <c r="S2333" s="1"/>
      <c r="T2333" s="1"/>
      <c r="U2333" s="1"/>
      <c r="V2333" s="1"/>
      <c r="W2333" s="1"/>
      <c r="X2333" s="1"/>
      <c r="Y2333" s="1"/>
      <c r="Z2333" s="1"/>
    </row>
    <row r="2334" ht="15.75" customHeight="1">
      <c r="A2334" s="2">
        <f>IFERROR(__xludf.DUMMYFUNCTION("""COMPUTED_VALUE"""),1166500.0)</f>
        <v>1166500</v>
      </c>
      <c r="B2334" s="2">
        <f>IFERROR(__xludf.DUMMYFUNCTION("""COMPUTED_VALUE"""),23330.0)</f>
        <v>23330</v>
      </c>
      <c r="C2334" s="66">
        <f>IFERROR(__xludf.DUMMYFUNCTION("""COMPUTED_VALUE"""),2.720278E10)</f>
        <v>27202780000</v>
      </c>
      <c r="D2334" s="1"/>
      <c r="E2334" s="1"/>
      <c r="F2334" s="1"/>
      <c r="G2334" s="1"/>
      <c r="H2334" s="1"/>
      <c r="I2334" s="1"/>
      <c r="J2334" s="1"/>
      <c r="K2334" s="1"/>
      <c r="L2334" s="1"/>
      <c r="M2334" s="1"/>
      <c r="N2334" s="1"/>
      <c r="O2334" s="1"/>
      <c r="P2334" s="1"/>
      <c r="Q2334" s="1"/>
      <c r="R2334" s="1"/>
      <c r="S2334" s="1"/>
      <c r="T2334" s="1"/>
      <c r="U2334" s="1"/>
      <c r="V2334" s="1"/>
      <c r="W2334" s="1"/>
      <c r="X2334" s="1"/>
      <c r="Y2334" s="1"/>
      <c r="Z2334" s="1"/>
    </row>
    <row r="2335" ht="15.75" customHeight="1">
      <c r="A2335" s="2">
        <f>IFERROR(__xludf.DUMMYFUNCTION("""COMPUTED_VALUE"""),1167000.0)</f>
        <v>1167000</v>
      </c>
      <c r="B2335" s="2">
        <f>IFERROR(__xludf.DUMMYFUNCTION("""COMPUTED_VALUE"""),23340.0)</f>
        <v>23340</v>
      </c>
      <c r="C2335" s="66">
        <f>IFERROR(__xludf.DUMMYFUNCTION("""COMPUTED_VALUE"""),2.722611E10)</f>
        <v>27226110000</v>
      </c>
      <c r="D2335" s="1"/>
      <c r="E2335" s="1"/>
      <c r="F2335" s="1"/>
      <c r="G2335" s="1"/>
      <c r="H2335" s="1"/>
      <c r="I2335" s="1"/>
      <c r="J2335" s="1"/>
      <c r="K2335" s="1"/>
      <c r="L2335" s="1"/>
      <c r="M2335" s="1"/>
      <c r="N2335" s="1"/>
      <c r="O2335" s="1"/>
      <c r="P2335" s="1"/>
      <c r="Q2335" s="1"/>
      <c r="R2335" s="1"/>
      <c r="S2335" s="1"/>
      <c r="T2335" s="1"/>
      <c r="U2335" s="1"/>
      <c r="V2335" s="1"/>
      <c r="W2335" s="1"/>
      <c r="X2335" s="1"/>
      <c r="Y2335" s="1"/>
      <c r="Z2335" s="1"/>
    </row>
    <row r="2336" ht="15.75" customHeight="1">
      <c r="A2336" s="2">
        <f>IFERROR(__xludf.DUMMYFUNCTION("""COMPUTED_VALUE"""),1167500.0)</f>
        <v>1167500</v>
      </c>
      <c r="B2336" s="2">
        <f>IFERROR(__xludf.DUMMYFUNCTION("""COMPUTED_VALUE"""),23350.0)</f>
        <v>23350</v>
      </c>
      <c r="C2336" s="66">
        <f>IFERROR(__xludf.DUMMYFUNCTION("""COMPUTED_VALUE"""),2.724945E10)</f>
        <v>27249450000</v>
      </c>
      <c r="D2336" s="1"/>
      <c r="E2336" s="1"/>
      <c r="F2336" s="1"/>
      <c r="G2336" s="1"/>
      <c r="H2336" s="1"/>
      <c r="I2336" s="1"/>
      <c r="J2336" s="1"/>
      <c r="K2336" s="1"/>
      <c r="L2336" s="1"/>
      <c r="M2336" s="1"/>
      <c r="N2336" s="1"/>
      <c r="O2336" s="1"/>
      <c r="P2336" s="1"/>
      <c r="Q2336" s="1"/>
      <c r="R2336" s="1"/>
      <c r="S2336" s="1"/>
      <c r="T2336" s="1"/>
      <c r="U2336" s="1"/>
      <c r="V2336" s="1"/>
      <c r="W2336" s="1"/>
      <c r="X2336" s="1"/>
      <c r="Y2336" s="1"/>
      <c r="Z2336" s="1"/>
    </row>
    <row r="2337" ht="15.75" customHeight="1">
      <c r="A2337" s="2">
        <f>IFERROR(__xludf.DUMMYFUNCTION("""COMPUTED_VALUE"""),1168000.0)</f>
        <v>1168000</v>
      </c>
      <c r="B2337" s="2">
        <f>IFERROR(__xludf.DUMMYFUNCTION("""COMPUTED_VALUE"""),23360.0)</f>
        <v>23360</v>
      </c>
      <c r="C2337" s="66">
        <f>IFERROR(__xludf.DUMMYFUNCTION("""COMPUTED_VALUE"""),2.72728E10)</f>
        <v>27272800000</v>
      </c>
      <c r="D2337" s="1"/>
      <c r="E2337" s="1"/>
      <c r="F2337" s="1"/>
      <c r="G2337" s="1"/>
      <c r="H2337" s="1"/>
      <c r="I2337" s="1"/>
      <c r="J2337" s="1"/>
      <c r="K2337" s="1"/>
      <c r="L2337" s="1"/>
      <c r="M2337" s="1"/>
      <c r="N2337" s="1"/>
      <c r="O2337" s="1"/>
      <c r="P2337" s="1"/>
      <c r="Q2337" s="1"/>
      <c r="R2337" s="1"/>
      <c r="S2337" s="1"/>
      <c r="T2337" s="1"/>
      <c r="U2337" s="1"/>
      <c r="V2337" s="1"/>
      <c r="W2337" s="1"/>
      <c r="X2337" s="1"/>
      <c r="Y2337" s="1"/>
      <c r="Z2337" s="1"/>
    </row>
    <row r="2338" ht="15.75" customHeight="1">
      <c r="A2338" s="2">
        <f>IFERROR(__xludf.DUMMYFUNCTION("""COMPUTED_VALUE"""),1168500.0)</f>
        <v>1168500</v>
      </c>
      <c r="B2338" s="2">
        <f>IFERROR(__xludf.DUMMYFUNCTION("""COMPUTED_VALUE"""),23370.0)</f>
        <v>23370</v>
      </c>
      <c r="C2338" s="66">
        <f>IFERROR(__xludf.DUMMYFUNCTION("""COMPUTED_VALUE"""),2.729616E10)</f>
        <v>27296160000</v>
      </c>
      <c r="D2338" s="1"/>
      <c r="E2338" s="1"/>
      <c r="F2338" s="1"/>
      <c r="G2338" s="1"/>
      <c r="H2338" s="1"/>
      <c r="I2338" s="1"/>
      <c r="J2338" s="1"/>
      <c r="K2338" s="1"/>
      <c r="L2338" s="1"/>
      <c r="M2338" s="1"/>
      <c r="N2338" s="1"/>
      <c r="O2338" s="1"/>
      <c r="P2338" s="1"/>
      <c r="Q2338" s="1"/>
      <c r="R2338" s="1"/>
      <c r="S2338" s="1"/>
      <c r="T2338" s="1"/>
      <c r="U2338" s="1"/>
      <c r="V2338" s="1"/>
      <c r="W2338" s="1"/>
      <c r="X2338" s="1"/>
      <c r="Y2338" s="1"/>
      <c r="Z2338" s="1"/>
    </row>
    <row r="2339" ht="15.75" customHeight="1">
      <c r="A2339" s="2">
        <f>IFERROR(__xludf.DUMMYFUNCTION("""COMPUTED_VALUE"""),1169000.0)</f>
        <v>1169000</v>
      </c>
      <c r="B2339" s="2">
        <f>IFERROR(__xludf.DUMMYFUNCTION("""COMPUTED_VALUE"""),23380.0)</f>
        <v>23380</v>
      </c>
      <c r="C2339" s="66">
        <f>IFERROR(__xludf.DUMMYFUNCTION("""COMPUTED_VALUE"""),2.731953E10)</f>
        <v>27319530000</v>
      </c>
      <c r="D2339" s="1"/>
      <c r="E2339" s="1"/>
      <c r="F2339" s="1"/>
      <c r="G2339" s="1"/>
      <c r="H2339" s="1"/>
      <c r="I2339" s="1"/>
      <c r="J2339" s="1"/>
      <c r="K2339" s="1"/>
      <c r="L2339" s="1"/>
      <c r="M2339" s="1"/>
      <c r="N2339" s="1"/>
      <c r="O2339" s="1"/>
      <c r="P2339" s="1"/>
      <c r="Q2339" s="1"/>
      <c r="R2339" s="1"/>
      <c r="S2339" s="1"/>
      <c r="T2339" s="1"/>
      <c r="U2339" s="1"/>
      <c r="V2339" s="1"/>
      <c r="W2339" s="1"/>
      <c r="X2339" s="1"/>
      <c r="Y2339" s="1"/>
      <c r="Z2339" s="1"/>
    </row>
    <row r="2340" ht="15.75" customHeight="1">
      <c r="A2340" s="2">
        <f>IFERROR(__xludf.DUMMYFUNCTION("""COMPUTED_VALUE"""),1169500.0)</f>
        <v>1169500</v>
      </c>
      <c r="B2340" s="2">
        <f>IFERROR(__xludf.DUMMYFUNCTION("""COMPUTED_VALUE"""),23390.0)</f>
        <v>23390</v>
      </c>
      <c r="C2340" s="66">
        <f>IFERROR(__xludf.DUMMYFUNCTION("""COMPUTED_VALUE"""),2.734291E10)</f>
        <v>27342910000</v>
      </c>
      <c r="D2340" s="1"/>
      <c r="E2340" s="1"/>
      <c r="F2340" s="1"/>
      <c r="G2340" s="1"/>
      <c r="H2340" s="1"/>
      <c r="I2340" s="1"/>
      <c r="J2340" s="1"/>
      <c r="K2340" s="1"/>
      <c r="L2340" s="1"/>
      <c r="M2340" s="1"/>
      <c r="N2340" s="1"/>
      <c r="O2340" s="1"/>
      <c r="P2340" s="1"/>
      <c r="Q2340" s="1"/>
      <c r="R2340" s="1"/>
      <c r="S2340" s="1"/>
      <c r="T2340" s="1"/>
      <c r="U2340" s="1"/>
      <c r="V2340" s="1"/>
      <c r="W2340" s="1"/>
      <c r="X2340" s="1"/>
      <c r="Y2340" s="1"/>
      <c r="Z2340" s="1"/>
    </row>
    <row r="2341" ht="15.75" customHeight="1">
      <c r="A2341" s="2">
        <f>IFERROR(__xludf.DUMMYFUNCTION("""COMPUTED_VALUE"""),1170000.0)</f>
        <v>1170000</v>
      </c>
      <c r="B2341" s="2">
        <f>IFERROR(__xludf.DUMMYFUNCTION("""COMPUTED_VALUE"""),23400.0)</f>
        <v>23400</v>
      </c>
      <c r="C2341" s="66">
        <f>IFERROR(__xludf.DUMMYFUNCTION("""COMPUTED_VALUE"""),2.73663E10)</f>
        <v>27366300000</v>
      </c>
      <c r="D2341" s="1"/>
      <c r="E2341" s="1"/>
      <c r="F2341" s="1"/>
      <c r="G2341" s="1"/>
      <c r="H2341" s="1"/>
      <c r="I2341" s="1"/>
      <c r="J2341" s="1"/>
      <c r="K2341" s="1"/>
      <c r="L2341" s="1"/>
      <c r="M2341" s="1"/>
      <c r="N2341" s="1"/>
      <c r="O2341" s="1"/>
      <c r="P2341" s="1"/>
      <c r="Q2341" s="1"/>
      <c r="R2341" s="1"/>
      <c r="S2341" s="1"/>
      <c r="T2341" s="1"/>
      <c r="U2341" s="1"/>
      <c r="V2341" s="1"/>
      <c r="W2341" s="1"/>
      <c r="X2341" s="1"/>
      <c r="Y2341" s="1"/>
      <c r="Z2341" s="1"/>
    </row>
    <row r="2342" ht="15.75" customHeight="1">
      <c r="A2342" s="2">
        <f>IFERROR(__xludf.DUMMYFUNCTION("""COMPUTED_VALUE"""),1170500.0)</f>
        <v>1170500</v>
      </c>
      <c r="B2342" s="2">
        <f>IFERROR(__xludf.DUMMYFUNCTION("""COMPUTED_VALUE"""),23410.0)</f>
        <v>23410</v>
      </c>
      <c r="C2342" s="66">
        <f>IFERROR(__xludf.DUMMYFUNCTION("""COMPUTED_VALUE"""),2.73897E10)</f>
        <v>27389700000</v>
      </c>
      <c r="D2342" s="1"/>
      <c r="E2342" s="1"/>
      <c r="F2342" s="1"/>
      <c r="G2342" s="1"/>
      <c r="H2342" s="1"/>
      <c r="I2342" s="1"/>
      <c r="J2342" s="1"/>
      <c r="K2342" s="1"/>
      <c r="L2342" s="1"/>
      <c r="M2342" s="1"/>
      <c r="N2342" s="1"/>
      <c r="O2342" s="1"/>
      <c r="P2342" s="1"/>
      <c r="Q2342" s="1"/>
      <c r="R2342" s="1"/>
      <c r="S2342" s="1"/>
      <c r="T2342" s="1"/>
      <c r="U2342" s="1"/>
      <c r="V2342" s="1"/>
      <c r="W2342" s="1"/>
      <c r="X2342" s="1"/>
      <c r="Y2342" s="1"/>
      <c r="Z2342" s="1"/>
    </row>
    <row r="2343" ht="15.75" customHeight="1">
      <c r="A2343" s="2">
        <f>IFERROR(__xludf.DUMMYFUNCTION("""COMPUTED_VALUE"""),1171000.0)</f>
        <v>1171000</v>
      </c>
      <c r="B2343" s="2">
        <f>IFERROR(__xludf.DUMMYFUNCTION("""COMPUTED_VALUE"""),23420.0)</f>
        <v>23420</v>
      </c>
      <c r="C2343" s="66">
        <f>IFERROR(__xludf.DUMMYFUNCTION("""COMPUTED_VALUE"""),2.741311E10)</f>
        <v>27413110000</v>
      </c>
      <c r="D2343" s="1"/>
      <c r="E2343" s="1"/>
      <c r="F2343" s="1"/>
      <c r="G2343" s="1"/>
      <c r="H2343" s="1"/>
      <c r="I2343" s="1"/>
      <c r="J2343" s="1"/>
      <c r="K2343" s="1"/>
      <c r="L2343" s="1"/>
      <c r="M2343" s="1"/>
      <c r="N2343" s="1"/>
      <c r="O2343" s="1"/>
      <c r="P2343" s="1"/>
      <c r="Q2343" s="1"/>
      <c r="R2343" s="1"/>
      <c r="S2343" s="1"/>
      <c r="T2343" s="1"/>
      <c r="U2343" s="1"/>
      <c r="V2343" s="1"/>
      <c r="W2343" s="1"/>
      <c r="X2343" s="1"/>
      <c r="Y2343" s="1"/>
      <c r="Z2343" s="1"/>
    </row>
    <row r="2344" ht="15.75" customHeight="1">
      <c r="A2344" s="2">
        <f>IFERROR(__xludf.DUMMYFUNCTION("""COMPUTED_VALUE"""),1171500.0)</f>
        <v>1171500</v>
      </c>
      <c r="B2344" s="2">
        <f>IFERROR(__xludf.DUMMYFUNCTION("""COMPUTED_VALUE"""),23430.0)</f>
        <v>23430</v>
      </c>
      <c r="C2344" s="66">
        <f>IFERROR(__xludf.DUMMYFUNCTION("""COMPUTED_VALUE"""),2.743653E10)</f>
        <v>27436530000</v>
      </c>
      <c r="D2344" s="1"/>
      <c r="E2344" s="1"/>
      <c r="F2344" s="1"/>
      <c r="G2344" s="1"/>
      <c r="H2344" s="1"/>
      <c r="I2344" s="1"/>
      <c r="J2344" s="1"/>
      <c r="K2344" s="1"/>
      <c r="L2344" s="1"/>
      <c r="M2344" s="1"/>
      <c r="N2344" s="1"/>
      <c r="O2344" s="1"/>
      <c r="P2344" s="1"/>
      <c r="Q2344" s="1"/>
      <c r="R2344" s="1"/>
      <c r="S2344" s="1"/>
      <c r="T2344" s="1"/>
      <c r="U2344" s="1"/>
      <c r="V2344" s="1"/>
      <c r="W2344" s="1"/>
      <c r="X2344" s="1"/>
      <c r="Y2344" s="1"/>
      <c r="Z2344" s="1"/>
    </row>
    <row r="2345" ht="15.75" customHeight="1">
      <c r="A2345" s="2">
        <f>IFERROR(__xludf.DUMMYFUNCTION("""COMPUTED_VALUE"""),1172000.0)</f>
        <v>1172000</v>
      </c>
      <c r="B2345" s="2">
        <f>IFERROR(__xludf.DUMMYFUNCTION("""COMPUTED_VALUE"""),23440.0)</f>
        <v>23440</v>
      </c>
      <c r="C2345" s="66">
        <f>IFERROR(__xludf.DUMMYFUNCTION("""COMPUTED_VALUE"""),2.745996E10)</f>
        <v>27459960000</v>
      </c>
      <c r="D2345" s="1"/>
      <c r="E2345" s="1"/>
      <c r="F2345" s="1"/>
      <c r="G2345" s="1"/>
      <c r="H2345" s="1"/>
      <c r="I2345" s="1"/>
      <c r="J2345" s="1"/>
      <c r="K2345" s="1"/>
      <c r="L2345" s="1"/>
      <c r="M2345" s="1"/>
      <c r="N2345" s="1"/>
      <c r="O2345" s="1"/>
      <c r="P2345" s="1"/>
      <c r="Q2345" s="1"/>
      <c r="R2345" s="1"/>
      <c r="S2345" s="1"/>
      <c r="T2345" s="1"/>
      <c r="U2345" s="1"/>
      <c r="V2345" s="1"/>
      <c r="W2345" s="1"/>
      <c r="X2345" s="1"/>
      <c r="Y2345" s="1"/>
      <c r="Z2345" s="1"/>
    </row>
    <row r="2346" ht="15.75" customHeight="1">
      <c r="A2346" s="2">
        <f>IFERROR(__xludf.DUMMYFUNCTION("""COMPUTED_VALUE"""),1172500.0)</f>
        <v>1172500</v>
      </c>
      <c r="B2346" s="2">
        <f>IFERROR(__xludf.DUMMYFUNCTION("""COMPUTED_VALUE"""),23450.0)</f>
        <v>23450</v>
      </c>
      <c r="C2346" s="66">
        <f>IFERROR(__xludf.DUMMYFUNCTION("""COMPUTED_VALUE"""),2.74834E10)</f>
        <v>27483400000</v>
      </c>
      <c r="D2346" s="1"/>
      <c r="E2346" s="1"/>
      <c r="F2346" s="1"/>
      <c r="G2346" s="1"/>
      <c r="H2346" s="1"/>
      <c r="I2346" s="1"/>
      <c r="J2346" s="1"/>
      <c r="K2346" s="1"/>
      <c r="L2346" s="1"/>
      <c r="M2346" s="1"/>
      <c r="N2346" s="1"/>
      <c r="O2346" s="1"/>
      <c r="P2346" s="1"/>
      <c r="Q2346" s="1"/>
      <c r="R2346" s="1"/>
      <c r="S2346" s="1"/>
      <c r="T2346" s="1"/>
      <c r="U2346" s="1"/>
      <c r="V2346" s="1"/>
      <c r="W2346" s="1"/>
      <c r="X2346" s="1"/>
      <c r="Y2346" s="1"/>
      <c r="Z2346" s="1"/>
    </row>
    <row r="2347" ht="15.75" customHeight="1">
      <c r="A2347" s="2">
        <f>IFERROR(__xludf.DUMMYFUNCTION("""COMPUTED_VALUE"""),1173000.0)</f>
        <v>1173000</v>
      </c>
      <c r="B2347" s="2">
        <f>IFERROR(__xludf.DUMMYFUNCTION("""COMPUTED_VALUE"""),23460.0)</f>
        <v>23460</v>
      </c>
      <c r="C2347" s="66">
        <f>IFERROR(__xludf.DUMMYFUNCTION("""COMPUTED_VALUE"""),2.750685E10)</f>
        <v>27506850000</v>
      </c>
      <c r="D2347" s="1"/>
      <c r="E2347" s="1"/>
      <c r="F2347" s="1"/>
      <c r="G2347" s="1"/>
      <c r="H2347" s="1"/>
      <c r="I2347" s="1"/>
      <c r="J2347" s="1"/>
      <c r="K2347" s="1"/>
      <c r="L2347" s="1"/>
      <c r="M2347" s="1"/>
      <c r="N2347" s="1"/>
      <c r="O2347" s="1"/>
      <c r="P2347" s="1"/>
      <c r="Q2347" s="1"/>
      <c r="R2347" s="1"/>
      <c r="S2347" s="1"/>
      <c r="T2347" s="1"/>
      <c r="U2347" s="1"/>
      <c r="V2347" s="1"/>
      <c r="W2347" s="1"/>
      <c r="X2347" s="1"/>
      <c r="Y2347" s="1"/>
      <c r="Z2347" s="1"/>
    </row>
    <row r="2348" ht="15.75" customHeight="1">
      <c r="A2348" s="2">
        <f>IFERROR(__xludf.DUMMYFUNCTION("""COMPUTED_VALUE"""),1173500.0)</f>
        <v>1173500</v>
      </c>
      <c r="B2348" s="2">
        <f>IFERROR(__xludf.DUMMYFUNCTION("""COMPUTED_VALUE"""),23470.0)</f>
        <v>23470</v>
      </c>
      <c r="C2348" s="66">
        <f>IFERROR(__xludf.DUMMYFUNCTION("""COMPUTED_VALUE"""),2.753031E10)</f>
        <v>27530310000</v>
      </c>
      <c r="D2348" s="1"/>
      <c r="E2348" s="1"/>
      <c r="F2348" s="1"/>
      <c r="G2348" s="1"/>
      <c r="H2348" s="1"/>
      <c r="I2348" s="1"/>
      <c r="J2348" s="1"/>
      <c r="K2348" s="1"/>
      <c r="L2348" s="1"/>
      <c r="M2348" s="1"/>
      <c r="N2348" s="1"/>
      <c r="O2348" s="1"/>
      <c r="P2348" s="1"/>
      <c r="Q2348" s="1"/>
      <c r="R2348" s="1"/>
      <c r="S2348" s="1"/>
      <c r="T2348" s="1"/>
      <c r="U2348" s="1"/>
      <c r="V2348" s="1"/>
      <c r="W2348" s="1"/>
      <c r="X2348" s="1"/>
      <c r="Y2348" s="1"/>
      <c r="Z2348" s="1"/>
    </row>
    <row r="2349" ht="15.75" customHeight="1">
      <c r="A2349" s="2">
        <f>IFERROR(__xludf.DUMMYFUNCTION("""COMPUTED_VALUE"""),1174000.0)</f>
        <v>1174000</v>
      </c>
      <c r="B2349" s="2">
        <f>IFERROR(__xludf.DUMMYFUNCTION("""COMPUTED_VALUE"""),23480.0)</f>
        <v>23480</v>
      </c>
      <c r="C2349" s="66">
        <f>IFERROR(__xludf.DUMMYFUNCTION("""COMPUTED_VALUE"""),2.755378E10)</f>
        <v>27553780000</v>
      </c>
      <c r="D2349" s="1"/>
      <c r="E2349" s="1"/>
      <c r="F2349" s="1"/>
      <c r="G2349" s="1"/>
      <c r="H2349" s="1"/>
      <c r="I2349" s="1"/>
      <c r="J2349" s="1"/>
      <c r="K2349" s="1"/>
      <c r="L2349" s="1"/>
      <c r="M2349" s="1"/>
      <c r="N2349" s="1"/>
      <c r="O2349" s="1"/>
      <c r="P2349" s="1"/>
      <c r="Q2349" s="1"/>
      <c r="R2349" s="1"/>
      <c r="S2349" s="1"/>
      <c r="T2349" s="1"/>
      <c r="U2349" s="1"/>
      <c r="V2349" s="1"/>
      <c r="W2349" s="1"/>
      <c r="X2349" s="1"/>
      <c r="Y2349" s="1"/>
      <c r="Z2349" s="1"/>
    </row>
    <row r="2350" ht="15.75" customHeight="1">
      <c r="A2350" s="2">
        <f>IFERROR(__xludf.DUMMYFUNCTION("""COMPUTED_VALUE"""),1174500.0)</f>
        <v>1174500</v>
      </c>
      <c r="B2350" s="2">
        <f>IFERROR(__xludf.DUMMYFUNCTION("""COMPUTED_VALUE"""),23490.0)</f>
        <v>23490</v>
      </c>
      <c r="C2350" s="66">
        <f>IFERROR(__xludf.DUMMYFUNCTION("""COMPUTED_VALUE"""),2.757726E10)</f>
        <v>27577260000</v>
      </c>
      <c r="D2350" s="1"/>
      <c r="E2350" s="1"/>
      <c r="F2350" s="1"/>
      <c r="G2350" s="1"/>
      <c r="H2350" s="1"/>
      <c r="I2350" s="1"/>
      <c r="J2350" s="1"/>
      <c r="K2350" s="1"/>
      <c r="L2350" s="1"/>
      <c r="M2350" s="1"/>
      <c r="N2350" s="1"/>
      <c r="O2350" s="1"/>
      <c r="P2350" s="1"/>
      <c r="Q2350" s="1"/>
      <c r="R2350" s="1"/>
      <c r="S2350" s="1"/>
      <c r="T2350" s="1"/>
      <c r="U2350" s="1"/>
      <c r="V2350" s="1"/>
      <c r="W2350" s="1"/>
      <c r="X2350" s="1"/>
      <c r="Y2350" s="1"/>
      <c r="Z2350" s="1"/>
    </row>
    <row r="2351" ht="15.75" customHeight="1">
      <c r="A2351" s="2">
        <f>IFERROR(__xludf.DUMMYFUNCTION("""COMPUTED_VALUE"""),1175000.0)</f>
        <v>1175000</v>
      </c>
      <c r="B2351" s="2">
        <f>IFERROR(__xludf.DUMMYFUNCTION("""COMPUTED_VALUE"""),23500.0)</f>
        <v>23500</v>
      </c>
      <c r="C2351" s="66">
        <f>IFERROR(__xludf.DUMMYFUNCTION("""COMPUTED_VALUE"""),2.760075E10)</f>
        <v>27600750000</v>
      </c>
      <c r="D2351" s="1"/>
      <c r="E2351" s="1"/>
      <c r="F2351" s="1"/>
      <c r="G2351" s="1"/>
      <c r="H2351" s="1"/>
      <c r="I2351" s="1"/>
      <c r="J2351" s="1"/>
      <c r="K2351" s="1"/>
      <c r="L2351" s="1"/>
      <c r="M2351" s="1"/>
      <c r="N2351" s="1"/>
      <c r="O2351" s="1"/>
      <c r="P2351" s="1"/>
      <c r="Q2351" s="1"/>
      <c r="R2351" s="1"/>
      <c r="S2351" s="1"/>
      <c r="T2351" s="1"/>
      <c r="U2351" s="1"/>
      <c r="V2351" s="1"/>
      <c r="W2351" s="1"/>
      <c r="X2351" s="1"/>
      <c r="Y2351" s="1"/>
      <c r="Z2351" s="1"/>
    </row>
    <row r="2352" ht="15.75" customHeight="1">
      <c r="A2352" s="2">
        <f>IFERROR(__xludf.DUMMYFUNCTION("""COMPUTED_VALUE"""),1175500.0)</f>
        <v>1175500</v>
      </c>
      <c r="B2352" s="2">
        <f>IFERROR(__xludf.DUMMYFUNCTION("""COMPUTED_VALUE"""),23510.0)</f>
        <v>23510</v>
      </c>
      <c r="C2352" s="66">
        <f>IFERROR(__xludf.DUMMYFUNCTION("""COMPUTED_VALUE"""),2.762425E10)</f>
        <v>27624250000</v>
      </c>
      <c r="D2352" s="1"/>
      <c r="E2352" s="1"/>
      <c r="F2352" s="1"/>
      <c r="G2352" s="1"/>
      <c r="H2352" s="1"/>
      <c r="I2352" s="1"/>
      <c r="J2352" s="1"/>
      <c r="K2352" s="1"/>
      <c r="L2352" s="1"/>
      <c r="M2352" s="1"/>
      <c r="N2352" s="1"/>
      <c r="O2352" s="1"/>
      <c r="P2352" s="1"/>
      <c r="Q2352" s="1"/>
      <c r="R2352" s="1"/>
      <c r="S2352" s="1"/>
      <c r="T2352" s="1"/>
      <c r="U2352" s="1"/>
      <c r="V2352" s="1"/>
      <c r="W2352" s="1"/>
      <c r="X2352" s="1"/>
      <c r="Y2352" s="1"/>
      <c r="Z2352" s="1"/>
    </row>
    <row r="2353" ht="15.75" customHeight="1">
      <c r="A2353" s="2">
        <f>IFERROR(__xludf.DUMMYFUNCTION("""COMPUTED_VALUE"""),1176000.0)</f>
        <v>1176000</v>
      </c>
      <c r="B2353" s="2">
        <f>IFERROR(__xludf.DUMMYFUNCTION("""COMPUTED_VALUE"""),23520.0)</f>
        <v>23520</v>
      </c>
      <c r="C2353" s="66">
        <f>IFERROR(__xludf.DUMMYFUNCTION("""COMPUTED_VALUE"""),2.764776E10)</f>
        <v>27647760000</v>
      </c>
      <c r="D2353" s="1"/>
      <c r="E2353" s="1"/>
      <c r="F2353" s="1"/>
      <c r="G2353" s="1"/>
      <c r="H2353" s="1"/>
      <c r="I2353" s="1"/>
      <c r="J2353" s="1"/>
      <c r="K2353" s="1"/>
      <c r="L2353" s="1"/>
      <c r="M2353" s="1"/>
      <c r="N2353" s="1"/>
      <c r="O2353" s="1"/>
      <c r="P2353" s="1"/>
      <c r="Q2353" s="1"/>
      <c r="R2353" s="1"/>
      <c r="S2353" s="1"/>
      <c r="T2353" s="1"/>
      <c r="U2353" s="1"/>
      <c r="V2353" s="1"/>
      <c r="W2353" s="1"/>
      <c r="X2353" s="1"/>
      <c r="Y2353" s="1"/>
      <c r="Z2353" s="1"/>
    </row>
    <row r="2354" ht="15.75" customHeight="1">
      <c r="A2354" s="2">
        <f>IFERROR(__xludf.DUMMYFUNCTION("""COMPUTED_VALUE"""),1176500.0)</f>
        <v>1176500</v>
      </c>
      <c r="B2354" s="2">
        <f>IFERROR(__xludf.DUMMYFUNCTION("""COMPUTED_VALUE"""),23530.0)</f>
        <v>23530</v>
      </c>
      <c r="C2354" s="66">
        <f>IFERROR(__xludf.DUMMYFUNCTION("""COMPUTED_VALUE"""),2.767128E10)</f>
        <v>27671280000</v>
      </c>
      <c r="D2354" s="1"/>
      <c r="E2354" s="1"/>
      <c r="F2354" s="1"/>
      <c r="G2354" s="1"/>
      <c r="H2354" s="1"/>
      <c r="I2354" s="1"/>
      <c r="J2354" s="1"/>
      <c r="K2354" s="1"/>
      <c r="L2354" s="1"/>
      <c r="M2354" s="1"/>
      <c r="N2354" s="1"/>
      <c r="O2354" s="1"/>
      <c r="P2354" s="1"/>
      <c r="Q2354" s="1"/>
      <c r="R2354" s="1"/>
      <c r="S2354" s="1"/>
      <c r="T2354" s="1"/>
      <c r="U2354" s="1"/>
      <c r="V2354" s="1"/>
      <c r="W2354" s="1"/>
      <c r="X2354" s="1"/>
      <c r="Y2354" s="1"/>
      <c r="Z2354" s="1"/>
    </row>
    <row r="2355" ht="15.75" customHeight="1">
      <c r="A2355" s="2">
        <f>IFERROR(__xludf.DUMMYFUNCTION("""COMPUTED_VALUE"""),1177000.0)</f>
        <v>1177000</v>
      </c>
      <c r="B2355" s="2">
        <f>IFERROR(__xludf.DUMMYFUNCTION("""COMPUTED_VALUE"""),23540.0)</f>
        <v>23540</v>
      </c>
      <c r="C2355" s="66">
        <f>IFERROR(__xludf.DUMMYFUNCTION("""COMPUTED_VALUE"""),2.769481E10)</f>
        <v>27694810000</v>
      </c>
      <c r="D2355" s="1"/>
      <c r="E2355" s="1"/>
      <c r="F2355" s="1"/>
      <c r="G2355" s="1"/>
      <c r="H2355" s="1"/>
      <c r="I2355" s="1"/>
      <c r="J2355" s="1"/>
      <c r="K2355" s="1"/>
      <c r="L2355" s="1"/>
      <c r="M2355" s="1"/>
      <c r="N2355" s="1"/>
      <c r="O2355" s="1"/>
      <c r="P2355" s="1"/>
      <c r="Q2355" s="1"/>
      <c r="R2355" s="1"/>
      <c r="S2355" s="1"/>
      <c r="T2355" s="1"/>
      <c r="U2355" s="1"/>
      <c r="V2355" s="1"/>
      <c r="W2355" s="1"/>
      <c r="X2355" s="1"/>
      <c r="Y2355" s="1"/>
      <c r="Z2355" s="1"/>
    </row>
    <row r="2356" ht="15.75" customHeight="1">
      <c r="A2356" s="2">
        <f>IFERROR(__xludf.DUMMYFUNCTION("""COMPUTED_VALUE"""),1177500.0)</f>
        <v>1177500</v>
      </c>
      <c r="B2356" s="2">
        <f>IFERROR(__xludf.DUMMYFUNCTION("""COMPUTED_VALUE"""),23550.0)</f>
        <v>23550</v>
      </c>
      <c r="C2356" s="66">
        <f>IFERROR(__xludf.DUMMYFUNCTION("""COMPUTED_VALUE"""),2.771835E10)</f>
        <v>27718350000</v>
      </c>
      <c r="D2356" s="1"/>
      <c r="E2356" s="1"/>
      <c r="F2356" s="1"/>
      <c r="G2356" s="1"/>
      <c r="H2356" s="1"/>
      <c r="I2356" s="1"/>
      <c r="J2356" s="1"/>
      <c r="K2356" s="1"/>
      <c r="L2356" s="1"/>
      <c r="M2356" s="1"/>
      <c r="N2356" s="1"/>
      <c r="O2356" s="1"/>
      <c r="P2356" s="1"/>
      <c r="Q2356" s="1"/>
      <c r="R2356" s="1"/>
      <c r="S2356" s="1"/>
      <c r="T2356" s="1"/>
      <c r="U2356" s="1"/>
      <c r="V2356" s="1"/>
      <c r="W2356" s="1"/>
      <c r="X2356" s="1"/>
      <c r="Y2356" s="1"/>
      <c r="Z2356" s="1"/>
    </row>
    <row r="2357" ht="15.75" customHeight="1">
      <c r="A2357" s="2">
        <f>IFERROR(__xludf.DUMMYFUNCTION("""COMPUTED_VALUE"""),1178000.0)</f>
        <v>1178000</v>
      </c>
      <c r="B2357" s="2">
        <f>IFERROR(__xludf.DUMMYFUNCTION("""COMPUTED_VALUE"""),23560.0)</f>
        <v>23560</v>
      </c>
      <c r="C2357" s="66">
        <f>IFERROR(__xludf.DUMMYFUNCTION("""COMPUTED_VALUE"""),2.77419E10)</f>
        <v>27741900000</v>
      </c>
      <c r="D2357" s="1"/>
      <c r="E2357" s="1"/>
      <c r="F2357" s="1"/>
      <c r="G2357" s="1"/>
      <c r="H2357" s="1"/>
      <c r="I2357" s="1"/>
      <c r="J2357" s="1"/>
      <c r="K2357" s="1"/>
      <c r="L2357" s="1"/>
      <c r="M2357" s="1"/>
      <c r="N2357" s="1"/>
      <c r="O2357" s="1"/>
      <c r="P2357" s="1"/>
      <c r="Q2357" s="1"/>
      <c r="R2357" s="1"/>
      <c r="S2357" s="1"/>
      <c r="T2357" s="1"/>
      <c r="U2357" s="1"/>
      <c r="V2357" s="1"/>
      <c r="W2357" s="1"/>
      <c r="X2357" s="1"/>
      <c r="Y2357" s="1"/>
      <c r="Z2357" s="1"/>
    </row>
    <row r="2358" ht="15.75" customHeight="1">
      <c r="A2358" s="2">
        <f>IFERROR(__xludf.DUMMYFUNCTION("""COMPUTED_VALUE"""),1178500.0)</f>
        <v>1178500</v>
      </c>
      <c r="B2358" s="2">
        <f>IFERROR(__xludf.DUMMYFUNCTION("""COMPUTED_VALUE"""),23570.0)</f>
        <v>23570</v>
      </c>
      <c r="C2358" s="66">
        <f>IFERROR(__xludf.DUMMYFUNCTION("""COMPUTED_VALUE"""),2.776546E10)</f>
        <v>27765460000</v>
      </c>
      <c r="D2358" s="1"/>
      <c r="E2358" s="1"/>
      <c r="F2358" s="1"/>
      <c r="G2358" s="1"/>
      <c r="H2358" s="1"/>
      <c r="I2358" s="1"/>
      <c r="J2358" s="1"/>
      <c r="K2358" s="1"/>
      <c r="L2358" s="1"/>
      <c r="M2358" s="1"/>
      <c r="N2358" s="1"/>
      <c r="O2358" s="1"/>
      <c r="P2358" s="1"/>
      <c r="Q2358" s="1"/>
      <c r="R2358" s="1"/>
      <c r="S2358" s="1"/>
      <c r="T2358" s="1"/>
      <c r="U2358" s="1"/>
      <c r="V2358" s="1"/>
      <c r="W2358" s="1"/>
      <c r="X2358" s="1"/>
      <c r="Y2358" s="1"/>
      <c r="Z2358" s="1"/>
    </row>
    <row r="2359" ht="15.75" customHeight="1">
      <c r="A2359" s="2">
        <f>IFERROR(__xludf.DUMMYFUNCTION("""COMPUTED_VALUE"""),1179000.0)</f>
        <v>1179000</v>
      </c>
      <c r="B2359" s="2">
        <f>IFERROR(__xludf.DUMMYFUNCTION("""COMPUTED_VALUE"""),23580.0)</f>
        <v>23580</v>
      </c>
      <c r="C2359" s="66">
        <f>IFERROR(__xludf.DUMMYFUNCTION("""COMPUTED_VALUE"""),2.778903E10)</f>
        <v>27789030000</v>
      </c>
      <c r="D2359" s="1"/>
      <c r="E2359" s="1"/>
      <c r="F2359" s="1"/>
      <c r="G2359" s="1"/>
      <c r="H2359" s="1"/>
      <c r="I2359" s="1"/>
      <c r="J2359" s="1"/>
      <c r="K2359" s="1"/>
      <c r="L2359" s="1"/>
      <c r="M2359" s="1"/>
      <c r="N2359" s="1"/>
      <c r="O2359" s="1"/>
      <c r="P2359" s="1"/>
      <c r="Q2359" s="1"/>
      <c r="R2359" s="1"/>
      <c r="S2359" s="1"/>
      <c r="T2359" s="1"/>
      <c r="U2359" s="1"/>
      <c r="V2359" s="1"/>
      <c r="W2359" s="1"/>
      <c r="X2359" s="1"/>
      <c r="Y2359" s="1"/>
      <c r="Z2359" s="1"/>
    </row>
    <row r="2360" ht="15.75" customHeight="1">
      <c r="A2360" s="2">
        <f>IFERROR(__xludf.DUMMYFUNCTION("""COMPUTED_VALUE"""),1179500.0)</f>
        <v>1179500</v>
      </c>
      <c r="B2360" s="2">
        <f>IFERROR(__xludf.DUMMYFUNCTION("""COMPUTED_VALUE"""),23590.0)</f>
        <v>23590</v>
      </c>
      <c r="C2360" s="66">
        <f>IFERROR(__xludf.DUMMYFUNCTION("""COMPUTED_VALUE"""),2.781261E10)</f>
        <v>27812610000</v>
      </c>
      <c r="D2360" s="1"/>
      <c r="E2360" s="1"/>
      <c r="F2360" s="1"/>
      <c r="G2360" s="1"/>
      <c r="H2360" s="1"/>
      <c r="I2360" s="1"/>
      <c r="J2360" s="1"/>
      <c r="K2360" s="1"/>
      <c r="L2360" s="1"/>
      <c r="M2360" s="1"/>
      <c r="N2360" s="1"/>
      <c r="O2360" s="1"/>
      <c r="P2360" s="1"/>
      <c r="Q2360" s="1"/>
      <c r="R2360" s="1"/>
      <c r="S2360" s="1"/>
      <c r="T2360" s="1"/>
      <c r="U2360" s="1"/>
      <c r="V2360" s="1"/>
      <c r="W2360" s="1"/>
      <c r="X2360" s="1"/>
      <c r="Y2360" s="1"/>
      <c r="Z2360" s="1"/>
    </row>
    <row r="2361" ht="15.75" customHeight="1">
      <c r="A2361" s="2">
        <f>IFERROR(__xludf.DUMMYFUNCTION("""COMPUTED_VALUE"""),1180000.0)</f>
        <v>1180000</v>
      </c>
      <c r="B2361" s="2">
        <f>IFERROR(__xludf.DUMMYFUNCTION("""COMPUTED_VALUE"""),23600.0)</f>
        <v>23600</v>
      </c>
      <c r="C2361" s="66">
        <f>IFERROR(__xludf.DUMMYFUNCTION("""COMPUTED_VALUE"""),2.78362E10)</f>
        <v>27836200000</v>
      </c>
      <c r="D2361" s="1"/>
      <c r="E2361" s="1"/>
      <c r="F2361" s="1"/>
      <c r="G2361" s="1"/>
      <c r="H2361" s="1"/>
      <c r="I2361" s="1"/>
      <c r="J2361" s="1"/>
      <c r="K2361" s="1"/>
      <c r="L2361" s="1"/>
      <c r="M2361" s="1"/>
      <c r="N2361" s="1"/>
      <c r="O2361" s="1"/>
      <c r="P2361" s="1"/>
      <c r="Q2361" s="1"/>
      <c r="R2361" s="1"/>
      <c r="S2361" s="1"/>
      <c r="T2361" s="1"/>
      <c r="U2361" s="1"/>
      <c r="V2361" s="1"/>
      <c r="W2361" s="1"/>
      <c r="X2361" s="1"/>
      <c r="Y2361" s="1"/>
      <c r="Z2361" s="1"/>
    </row>
    <row r="2362" ht="15.75" customHeight="1">
      <c r="A2362" s="2">
        <f>IFERROR(__xludf.DUMMYFUNCTION("""COMPUTED_VALUE"""),1180500.0)</f>
        <v>1180500</v>
      </c>
      <c r="B2362" s="2">
        <f>IFERROR(__xludf.DUMMYFUNCTION("""COMPUTED_VALUE"""),23610.0)</f>
        <v>23610</v>
      </c>
      <c r="C2362" s="66">
        <f>IFERROR(__xludf.DUMMYFUNCTION("""COMPUTED_VALUE"""),2.78598E10)</f>
        <v>27859800000</v>
      </c>
      <c r="D2362" s="1"/>
      <c r="E2362" s="1"/>
      <c r="F2362" s="1"/>
      <c r="G2362" s="1"/>
      <c r="H2362" s="1"/>
      <c r="I2362" s="1"/>
      <c r="J2362" s="1"/>
      <c r="K2362" s="1"/>
      <c r="L2362" s="1"/>
      <c r="M2362" s="1"/>
      <c r="N2362" s="1"/>
      <c r="O2362" s="1"/>
      <c r="P2362" s="1"/>
      <c r="Q2362" s="1"/>
      <c r="R2362" s="1"/>
      <c r="S2362" s="1"/>
      <c r="T2362" s="1"/>
      <c r="U2362" s="1"/>
      <c r="V2362" s="1"/>
      <c r="W2362" s="1"/>
      <c r="X2362" s="1"/>
      <c r="Y2362" s="1"/>
      <c r="Z2362" s="1"/>
    </row>
    <row r="2363" ht="15.75" customHeight="1">
      <c r="A2363" s="2">
        <f>IFERROR(__xludf.DUMMYFUNCTION("""COMPUTED_VALUE"""),1181000.0)</f>
        <v>1181000</v>
      </c>
      <c r="B2363" s="2">
        <f>IFERROR(__xludf.DUMMYFUNCTION("""COMPUTED_VALUE"""),23620.0)</f>
        <v>23620</v>
      </c>
      <c r="C2363" s="66">
        <f>IFERROR(__xludf.DUMMYFUNCTION("""COMPUTED_VALUE"""),2.788341E10)</f>
        <v>27883410000</v>
      </c>
      <c r="D2363" s="1"/>
      <c r="E2363" s="1"/>
      <c r="F2363" s="1"/>
      <c r="G2363" s="1"/>
      <c r="H2363" s="1"/>
      <c r="I2363" s="1"/>
      <c r="J2363" s="1"/>
      <c r="K2363" s="1"/>
      <c r="L2363" s="1"/>
      <c r="M2363" s="1"/>
      <c r="N2363" s="1"/>
      <c r="O2363" s="1"/>
      <c r="P2363" s="1"/>
      <c r="Q2363" s="1"/>
      <c r="R2363" s="1"/>
      <c r="S2363" s="1"/>
      <c r="T2363" s="1"/>
      <c r="U2363" s="1"/>
      <c r="V2363" s="1"/>
      <c r="W2363" s="1"/>
      <c r="X2363" s="1"/>
      <c r="Y2363" s="1"/>
      <c r="Z2363" s="1"/>
    </row>
    <row r="2364" ht="15.75" customHeight="1">
      <c r="A2364" s="2">
        <f>IFERROR(__xludf.DUMMYFUNCTION("""COMPUTED_VALUE"""),1181500.0)</f>
        <v>1181500</v>
      </c>
      <c r="B2364" s="2">
        <f>IFERROR(__xludf.DUMMYFUNCTION("""COMPUTED_VALUE"""),23630.0)</f>
        <v>23630</v>
      </c>
      <c r="C2364" s="66">
        <f>IFERROR(__xludf.DUMMYFUNCTION("""COMPUTED_VALUE"""),2.790703E10)</f>
        <v>27907030000</v>
      </c>
      <c r="D2364" s="1"/>
      <c r="E2364" s="1"/>
      <c r="F2364" s="1"/>
      <c r="G2364" s="1"/>
      <c r="H2364" s="1"/>
      <c r="I2364" s="1"/>
      <c r="J2364" s="1"/>
      <c r="K2364" s="1"/>
      <c r="L2364" s="1"/>
      <c r="M2364" s="1"/>
      <c r="N2364" s="1"/>
      <c r="O2364" s="1"/>
      <c r="P2364" s="1"/>
      <c r="Q2364" s="1"/>
      <c r="R2364" s="1"/>
      <c r="S2364" s="1"/>
      <c r="T2364" s="1"/>
      <c r="U2364" s="1"/>
      <c r="V2364" s="1"/>
      <c r="W2364" s="1"/>
      <c r="X2364" s="1"/>
      <c r="Y2364" s="1"/>
      <c r="Z2364" s="1"/>
    </row>
    <row r="2365" ht="15.75" customHeight="1">
      <c r="A2365" s="2">
        <f>IFERROR(__xludf.DUMMYFUNCTION("""COMPUTED_VALUE"""),1182000.0)</f>
        <v>1182000</v>
      </c>
      <c r="B2365" s="2">
        <f>IFERROR(__xludf.DUMMYFUNCTION("""COMPUTED_VALUE"""),23640.0)</f>
        <v>23640</v>
      </c>
      <c r="C2365" s="66">
        <f>IFERROR(__xludf.DUMMYFUNCTION("""COMPUTED_VALUE"""),2.793066E10)</f>
        <v>27930660000</v>
      </c>
      <c r="D2365" s="1"/>
      <c r="E2365" s="1"/>
      <c r="F2365" s="1"/>
      <c r="G2365" s="1"/>
      <c r="H2365" s="1"/>
      <c r="I2365" s="1"/>
      <c r="J2365" s="1"/>
      <c r="K2365" s="1"/>
      <c r="L2365" s="1"/>
      <c r="M2365" s="1"/>
      <c r="N2365" s="1"/>
      <c r="O2365" s="1"/>
      <c r="P2365" s="1"/>
      <c r="Q2365" s="1"/>
      <c r="R2365" s="1"/>
      <c r="S2365" s="1"/>
      <c r="T2365" s="1"/>
      <c r="U2365" s="1"/>
      <c r="V2365" s="1"/>
      <c r="W2365" s="1"/>
      <c r="X2365" s="1"/>
      <c r="Y2365" s="1"/>
      <c r="Z2365" s="1"/>
    </row>
    <row r="2366" ht="15.75" customHeight="1">
      <c r="A2366" s="2">
        <f>IFERROR(__xludf.DUMMYFUNCTION("""COMPUTED_VALUE"""),1182500.0)</f>
        <v>1182500</v>
      </c>
      <c r="B2366" s="2">
        <f>IFERROR(__xludf.DUMMYFUNCTION("""COMPUTED_VALUE"""),23650.0)</f>
        <v>23650</v>
      </c>
      <c r="C2366" s="66">
        <f>IFERROR(__xludf.DUMMYFUNCTION("""COMPUTED_VALUE"""),2.79543E10)</f>
        <v>27954300000</v>
      </c>
      <c r="D2366" s="1"/>
      <c r="E2366" s="1"/>
      <c r="F2366" s="1"/>
      <c r="G2366" s="1"/>
      <c r="H2366" s="1"/>
      <c r="I2366" s="1"/>
      <c r="J2366" s="1"/>
      <c r="K2366" s="1"/>
      <c r="L2366" s="1"/>
      <c r="M2366" s="1"/>
      <c r="N2366" s="1"/>
      <c r="O2366" s="1"/>
      <c r="P2366" s="1"/>
      <c r="Q2366" s="1"/>
      <c r="R2366" s="1"/>
      <c r="S2366" s="1"/>
      <c r="T2366" s="1"/>
      <c r="U2366" s="1"/>
      <c r="V2366" s="1"/>
      <c r="W2366" s="1"/>
      <c r="X2366" s="1"/>
      <c r="Y2366" s="1"/>
      <c r="Z2366" s="1"/>
    </row>
    <row r="2367" ht="15.75" customHeight="1">
      <c r="A2367" s="2">
        <f>IFERROR(__xludf.DUMMYFUNCTION("""COMPUTED_VALUE"""),1183000.0)</f>
        <v>1183000</v>
      </c>
      <c r="B2367" s="2">
        <f>IFERROR(__xludf.DUMMYFUNCTION("""COMPUTED_VALUE"""),23660.0)</f>
        <v>23660</v>
      </c>
      <c r="C2367" s="66">
        <f>IFERROR(__xludf.DUMMYFUNCTION("""COMPUTED_VALUE"""),2.797795E10)</f>
        <v>27977950000</v>
      </c>
      <c r="D2367" s="1"/>
      <c r="E2367" s="1"/>
      <c r="F2367" s="1"/>
      <c r="G2367" s="1"/>
      <c r="H2367" s="1"/>
      <c r="I2367" s="1"/>
      <c r="J2367" s="1"/>
      <c r="K2367" s="1"/>
      <c r="L2367" s="1"/>
      <c r="M2367" s="1"/>
      <c r="N2367" s="1"/>
      <c r="O2367" s="1"/>
      <c r="P2367" s="1"/>
      <c r="Q2367" s="1"/>
      <c r="R2367" s="1"/>
      <c r="S2367" s="1"/>
      <c r="T2367" s="1"/>
      <c r="U2367" s="1"/>
      <c r="V2367" s="1"/>
      <c r="W2367" s="1"/>
      <c r="X2367" s="1"/>
      <c r="Y2367" s="1"/>
      <c r="Z2367" s="1"/>
    </row>
    <row r="2368" ht="15.75" customHeight="1">
      <c r="A2368" s="2">
        <f>IFERROR(__xludf.DUMMYFUNCTION("""COMPUTED_VALUE"""),1183500.0)</f>
        <v>1183500</v>
      </c>
      <c r="B2368" s="2">
        <f>IFERROR(__xludf.DUMMYFUNCTION("""COMPUTED_VALUE"""),23670.0)</f>
        <v>23670</v>
      </c>
      <c r="C2368" s="66">
        <f>IFERROR(__xludf.DUMMYFUNCTION("""COMPUTED_VALUE"""),2.800161E10)</f>
        <v>28001610000</v>
      </c>
      <c r="D2368" s="1"/>
      <c r="E2368" s="1"/>
      <c r="F2368" s="1"/>
      <c r="G2368" s="1"/>
      <c r="H2368" s="1"/>
      <c r="I2368" s="1"/>
      <c r="J2368" s="1"/>
      <c r="K2368" s="1"/>
      <c r="L2368" s="1"/>
      <c r="M2368" s="1"/>
      <c r="N2368" s="1"/>
      <c r="O2368" s="1"/>
      <c r="P2368" s="1"/>
      <c r="Q2368" s="1"/>
      <c r="R2368" s="1"/>
      <c r="S2368" s="1"/>
      <c r="T2368" s="1"/>
      <c r="U2368" s="1"/>
      <c r="V2368" s="1"/>
      <c r="W2368" s="1"/>
      <c r="X2368" s="1"/>
      <c r="Y2368" s="1"/>
      <c r="Z2368" s="1"/>
    </row>
    <row r="2369" ht="15.75" customHeight="1">
      <c r="A2369" s="2">
        <f>IFERROR(__xludf.DUMMYFUNCTION("""COMPUTED_VALUE"""),1184000.0)</f>
        <v>1184000</v>
      </c>
      <c r="B2369" s="2">
        <f>IFERROR(__xludf.DUMMYFUNCTION("""COMPUTED_VALUE"""),23680.0)</f>
        <v>23680</v>
      </c>
      <c r="C2369" s="66">
        <f>IFERROR(__xludf.DUMMYFUNCTION("""COMPUTED_VALUE"""),2.802528E10)</f>
        <v>28025280000</v>
      </c>
      <c r="D2369" s="1"/>
      <c r="E2369" s="1"/>
      <c r="F2369" s="1"/>
      <c r="G2369" s="1"/>
      <c r="H2369" s="1"/>
      <c r="I2369" s="1"/>
      <c r="J2369" s="1"/>
      <c r="K2369" s="1"/>
      <c r="L2369" s="1"/>
      <c r="M2369" s="1"/>
      <c r="N2369" s="1"/>
      <c r="O2369" s="1"/>
      <c r="P2369" s="1"/>
      <c r="Q2369" s="1"/>
      <c r="R2369" s="1"/>
      <c r="S2369" s="1"/>
      <c r="T2369" s="1"/>
      <c r="U2369" s="1"/>
      <c r="V2369" s="1"/>
      <c r="W2369" s="1"/>
      <c r="X2369" s="1"/>
      <c r="Y2369" s="1"/>
      <c r="Z2369" s="1"/>
    </row>
    <row r="2370" ht="15.75" customHeight="1">
      <c r="A2370" s="2">
        <f>IFERROR(__xludf.DUMMYFUNCTION("""COMPUTED_VALUE"""),1184500.0)</f>
        <v>1184500</v>
      </c>
      <c r="B2370" s="2">
        <f>IFERROR(__xludf.DUMMYFUNCTION("""COMPUTED_VALUE"""),23690.0)</f>
        <v>23690</v>
      </c>
      <c r="C2370" s="66">
        <f>IFERROR(__xludf.DUMMYFUNCTION("""COMPUTED_VALUE"""),2.804896E10)</f>
        <v>28048960000</v>
      </c>
      <c r="D2370" s="1"/>
      <c r="E2370" s="1"/>
      <c r="F2370" s="1"/>
      <c r="G2370" s="1"/>
      <c r="H2370" s="1"/>
      <c r="I2370" s="1"/>
      <c r="J2370" s="1"/>
      <c r="K2370" s="1"/>
      <c r="L2370" s="1"/>
      <c r="M2370" s="1"/>
      <c r="N2370" s="1"/>
      <c r="O2370" s="1"/>
      <c r="P2370" s="1"/>
      <c r="Q2370" s="1"/>
      <c r="R2370" s="1"/>
      <c r="S2370" s="1"/>
      <c r="T2370" s="1"/>
      <c r="U2370" s="1"/>
      <c r="V2370" s="1"/>
      <c r="W2370" s="1"/>
      <c r="X2370" s="1"/>
      <c r="Y2370" s="1"/>
      <c r="Z2370" s="1"/>
    </row>
    <row r="2371" ht="15.75" customHeight="1">
      <c r="A2371" s="2">
        <f>IFERROR(__xludf.DUMMYFUNCTION("""COMPUTED_VALUE"""),1185000.0)</f>
        <v>1185000</v>
      </c>
      <c r="B2371" s="2">
        <f>IFERROR(__xludf.DUMMYFUNCTION("""COMPUTED_VALUE"""),23700.0)</f>
        <v>23700</v>
      </c>
      <c r="C2371" s="66">
        <f>IFERROR(__xludf.DUMMYFUNCTION("""COMPUTED_VALUE"""),2.807265E10)</f>
        <v>28072650000</v>
      </c>
      <c r="D2371" s="1"/>
      <c r="E2371" s="1"/>
      <c r="F2371" s="1"/>
      <c r="G2371" s="1"/>
      <c r="H2371" s="1"/>
      <c r="I2371" s="1"/>
      <c r="J2371" s="1"/>
      <c r="K2371" s="1"/>
      <c r="L2371" s="1"/>
      <c r="M2371" s="1"/>
      <c r="N2371" s="1"/>
      <c r="O2371" s="1"/>
      <c r="P2371" s="1"/>
      <c r="Q2371" s="1"/>
      <c r="R2371" s="1"/>
      <c r="S2371" s="1"/>
      <c r="T2371" s="1"/>
      <c r="U2371" s="1"/>
      <c r="V2371" s="1"/>
      <c r="W2371" s="1"/>
      <c r="X2371" s="1"/>
      <c r="Y2371" s="1"/>
      <c r="Z2371" s="1"/>
    </row>
    <row r="2372" ht="15.75" customHeight="1">
      <c r="A2372" s="2">
        <f>IFERROR(__xludf.DUMMYFUNCTION("""COMPUTED_VALUE"""),1185500.0)</f>
        <v>1185500</v>
      </c>
      <c r="B2372" s="2">
        <f>IFERROR(__xludf.DUMMYFUNCTION("""COMPUTED_VALUE"""),23710.0)</f>
        <v>23710</v>
      </c>
      <c r="C2372" s="66">
        <f>IFERROR(__xludf.DUMMYFUNCTION("""COMPUTED_VALUE"""),2.809635E10)</f>
        <v>28096350000</v>
      </c>
      <c r="D2372" s="1"/>
      <c r="E2372" s="1"/>
      <c r="F2372" s="1"/>
      <c r="G2372" s="1"/>
      <c r="H2372" s="1"/>
      <c r="I2372" s="1"/>
      <c r="J2372" s="1"/>
      <c r="K2372" s="1"/>
      <c r="L2372" s="1"/>
      <c r="M2372" s="1"/>
      <c r="N2372" s="1"/>
      <c r="O2372" s="1"/>
      <c r="P2372" s="1"/>
      <c r="Q2372" s="1"/>
      <c r="R2372" s="1"/>
      <c r="S2372" s="1"/>
      <c r="T2372" s="1"/>
      <c r="U2372" s="1"/>
      <c r="V2372" s="1"/>
      <c r="W2372" s="1"/>
      <c r="X2372" s="1"/>
      <c r="Y2372" s="1"/>
      <c r="Z2372" s="1"/>
    </row>
    <row r="2373" ht="15.75" customHeight="1">
      <c r="A2373" s="2">
        <f>IFERROR(__xludf.DUMMYFUNCTION("""COMPUTED_VALUE"""),1186000.0)</f>
        <v>1186000</v>
      </c>
      <c r="B2373" s="2">
        <f>IFERROR(__xludf.DUMMYFUNCTION("""COMPUTED_VALUE"""),23720.0)</f>
        <v>23720</v>
      </c>
      <c r="C2373" s="66">
        <f>IFERROR(__xludf.DUMMYFUNCTION("""COMPUTED_VALUE"""),2.812006E10)</f>
        <v>28120060000</v>
      </c>
      <c r="D2373" s="1"/>
      <c r="E2373" s="1"/>
      <c r="F2373" s="1"/>
      <c r="G2373" s="1"/>
      <c r="H2373" s="1"/>
      <c r="I2373" s="1"/>
      <c r="J2373" s="1"/>
      <c r="K2373" s="1"/>
      <c r="L2373" s="1"/>
      <c r="M2373" s="1"/>
      <c r="N2373" s="1"/>
      <c r="O2373" s="1"/>
      <c r="P2373" s="1"/>
      <c r="Q2373" s="1"/>
      <c r="R2373" s="1"/>
      <c r="S2373" s="1"/>
      <c r="T2373" s="1"/>
      <c r="U2373" s="1"/>
      <c r="V2373" s="1"/>
      <c r="W2373" s="1"/>
      <c r="X2373" s="1"/>
      <c r="Y2373" s="1"/>
      <c r="Z2373" s="1"/>
    </row>
    <row r="2374" ht="15.75" customHeight="1">
      <c r="A2374" s="2">
        <f>IFERROR(__xludf.DUMMYFUNCTION("""COMPUTED_VALUE"""),1186500.0)</f>
        <v>1186500</v>
      </c>
      <c r="B2374" s="2">
        <f>IFERROR(__xludf.DUMMYFUNCTION("""COMPUTED_VALUE"""),23730.0)</f>
        <v>23730</v>
      </c>
      <c r="C2374" s="66">
        <f>IFERROR(__xludf.DUMMYFUNCTION("""COMPUTED_VALUE"""),2.814378E10)</f>
        <v>28143780000</v>
      </c>
      <c r="D2374" s="1"/>
      <c r="E2374" s="1"/>
      <c r="F2374" s="1"/>
      <c r="G2374" s="1"/>
      <c r="H2374" s="1"/>
      <c r="I2374" s="1"/>
      <c r="J2374" s="1"/>
      <c r="K2374" s="1"/>
      <c r="L2374" s="1"/>
      <c r="M2374" s="1"/>
      <c r="N2374" s="1"/>
      <c r="O2374" s="1"/>
      <c r="P2374" s="1"/>
      <c r="Q2374" s="1"/>
      <c r="R2374" s="1"/>
      <c r="S2374" s="1"/>
      <c r="T2374" s="1"/>
      <c r="U2374" s="1"/>
      <c r="V2374" s="1"/>
      <c r="W2374" s="1"/>
      <c r="X2374" s="1"/>
      <c r="Y2374" s="1"/>
      <c r="Z2374" s="1"/>
    </row>
    <row r="2375" ht="15.75" customHeight="1">
      <c r="A2375" s="2">
        <f>IFERROR(__xludf.DUMMYFUNCTION("""COMPUTED_VALUE"""),1187000.0)</f>
        <v>1187000</v>
      </c>
      <c r="B2375" s="2">
        <f>IFERROR(__xludf.DUMMYFUNCTION("""COMPUTED_VALUE"""),23740.0)</f>
        <v>23740</v>
      </c>
      <c r="C2375" s="66">
        <f>IFERROR(__xludf.DUMMYFUNCTION("""COMPUTED_VALUE"""),2.816751E10)</f>
        <v>28167510000</v>
      </c>
      <c r="D2375" s="1"/>
      <c r="E2375" s="1"/>
      <c r="F2375" s="1"/>
      <c r="G2375" s="1"/>
      <c r="H2375" s="1"/>
      <c r="I2375" s="1"/>
      <c r="J2375" s="1"/>
      <c r="K2375" s="1"/>
      <c r="L2375" s="1"/>
      <c r="M2375" s="1"/>
      <c r="N2375" s="1"/>
      <c r="O2375" s="1"/>
      <c r="P2375" s="1"/>
      <c r="Q2375" s="1"/>
      <c r="R2375" s="1"/>
      <c r="S2375" s="1"/>
      <c r="T2375" s="1"/>
      <c r="U2375" s="1"/>
      <c r="V2375" s="1"/>
      <c r="W2375" s="1"/>
      <c r="X2375" s="1"/>
      <c r="Y2375" s="1"/>
      <c r="Z2375" s="1"/>
    </row>
    <row r="2376" ht="15.75" customHeight="1">
      <c r="A2376" s="2">
        <f>IFERROR(__xludf.DUMMYFUNCTION("""COMPUTED_VALUE"""),1187500.0)</f>
        <v>1187500</v>
      </c>
      <c r="B2376" s="2">
        <f>IFERROR(__xludf.DUMMYFUNCTION("""COMPUTED_VALUE"""),23750.0)</f>
        <v>23750</v>
      </c>
      <c r="C2376" s="66">
        <f>IFERROR(__xludf.DUMMYFUNCTION("""COMPUTED_VALUE"""),2.819125E10)</f>
        <v>28191250000</v>
      </c>
      <c r="D2376" s="1"/>
      <c r="E2376" s="1"/>
      <c r="F2376" s="1"/>
      <c r="G2376" s="1"/>
      <c r="H2376" s="1"/>
      <c r="I2376" s="1"/>
      <c r="J2376" s="1"/>
      <c r="K2376" s="1"/>
      <c r="L2376" s="1"/>
      <c r="M2376" s="1"/>
      <c r="N2376" s="1"/>
      <c r="O2376" s="1"/>
      <c r="P2376" s="1"/>
      <c r="Q2376" s="1"/>
      <c r="R2376" s="1"/>
      <c r="S2376" s="1"/>
      <c r="T2376" s="1"/>
      <c r="U2376" s="1"/>
      <c r="V2376" s="1"/>
      <c r="W2376" s="1"/>
      <c r="X2376" s="1"/>
      <c r="Y2376" s="1"/>
      <c r="Z2376" s="1"/>
    </row>
    <row r="2377" ht="15.75" customHeight="1">
      <c r="A2377" s="2">
        <f>IFERROR(__xludf.DUMMYFUNCTION("""COMPUTED_VALUE"""),1188000.0)</f>
        <v>1188000</v>
      </c>
      <c r="B2377" s="2">
        <f>IFERROR(__xludf.DUMMYFUNCTION("""COMPUTED_VALUE"""),23760.0)</f>
        <v>23760</v>
      </c>
      <c r="C2377" s="66">
        <f>IFERROR(__xludf.DUMMYFUNCTION("""COMPUTED_VALUE"""),2.8215E10)</f>
        <v>28215000000</v>
      </c>
      <c r="D2377" s="1"/>
      <c r="E2377" s="1"/>
      <c r="F2377" s="1"/>
      <c r="G2377" s="1"/>
      <c r="H2377" s="1"/>
      <c r="I2377" s="1"/>
      <c r="J2377" s="1"/>
      <c r="K2377" s="1"/>
      <c r="L2377" s="1"/>
      <c r="M2377" s="1"/>
      <c r="N2377" s="1"/>
      <c r="O2377" s="1"/>
      <c r="P2377" s="1"/>
      <c r="Q2377" s="1"/>
      <c r="R2377" s="1"/>
      <c r="S2377" s="1"/>
      <c r="T2377" s="1"/>
      <c r="U2377" s="1"/>
      <c r="V2377" s="1"/>
      <c r="W2377" s="1"/>
      <c r="X2377" s="1"/>
      <c r="Y2377" s="1"/>
      <c r="Z2377" s="1"/>
    </row>
    <row r="2378" ht="15.75" customHeight="1">
      <c r="A2378" s="2">
        <f>IFERROR(__xludf.DUMMYFUNCTION("""COMPUTED_VALUE"""),1188500.0)</f>
        <v>1188500</v>
      </c>
      <c r="B2378" s="2">
        <f>IFERROR(__xludf.DUMMYFUNCTION("""COMPUTED_VALUE"""),23770.0)</f>
        <v>23770</v>
      </c>
      <c r="C2378" s="66">
        <f>IFERROR(__xludf.DUMMYFUNCTION("""COMPUTED_VALUE"""),2.823876E10)</f>
        <v>28238760000</v>
      </c>
      <c r="D2378" s="1"/>
      <c r="E2378" s="1"/>
      <c r="F2378" s="1"/>
      <c r="G2378" s="1"/>
      <c r="H2378" s="1"/>
      <c r="I2378" s="1"/>
      <c r="J2378" s="1"/>
      <c r="K2378" s="1"/>
      <c r="L2378" s="1"/>
      <c r="M2378" s="1"/>
      <c r="N2378" s="1"/>
      <c r="O2378" s="1"/>
      <c r="P2378" s="1"/>
      <c r="Q2378" s="1"/>
      <c r="R2378" s="1"/>
      <c r="S2378" s="1"/>
      <c r="T2378" s="1"/>
      <c r="U2378" s="1"/>
      <c r="V2378" s="1"/>
      <c r="W2378" s="1"/>
      <c r="X2378" s="1"/>
      <c r="Y2378" s="1"/>
      <c r="Z2378" s="1"/>
    </row>
    <row r="2379" ht="15.75" customHeight="1">
      <c r="A2379" s="2">
        <f>IFERROR(__xludf.DUMMYFUNCTION("""COMPUTED_VALUE"""),1189000.0)</f>
        <v>1189000</v>
      </c>
      <c r="B2379" s="2">
        <f>IFERROR(__xludf.DUMMYFUNCTION("""COMPUTED_VALUE"""),23780.0)</f>
        <v>23780</v>
      </c>
      <c r="C2379" s="66">
        <f>IFERROR(__xludf.DUMMYFUNCTION("""COMPUTED_VALUE"""),2.826253E10)</f>
        <v>28262530000</v>
      </c>
      <c r="D2379" s="1"/>
      <c r="E2379" s="1"/>
      <c r="F2379" s="1"/>
      <c r="G2379" s="1"/>
      <c r="H2379" s="1"/>
      <c r="I2379" s="1"/>
      <c r="J2379" s="1"/>
      <c r="K2379" s="1"/>
      <c r="L2379" s="1"/>
      <c r="M2379" s="1"/>
      <c r="N2379" s="1"/>
      <c r="O2379" s="1"/>
      <c r="P2379" s="1"/>
      <c r="Q2379" s="1"/>
      <c r="R2379" s="1"/>
      <c r="S2379" s="1"/>
      <c r="T2379" s="1"/>
      <c r="U2379" s="1"/>
      <c r="V2379" s="1"/>
      <c r="W2379" s="1"/>
      <c r="X2379" s="1"/>
      <c r="Y2379" s="1"/>
      <c r="Z2379" s="1"/>
    </row>
    <row r="2380" ht="15.75" customHeight="1">
      <c r="A2380" s="2">
        <f>IFERROR(__xludf.DUMMYFUNCTION("""COMPUTED_VALUE"""),1189500.0)</f>
        <v>1189500</v>
      </c>
      <c r="B2380" s="2">
        <f>IFERROR(__xludf.DUMMYFUNCTION("""COMPUTED_VALUE"""),23790.0)</f>
        <v>23790</v>
      </c>
      <c r="C2380" s="66">
        <f>IFERROR(__xludf.DUMMYFUNCTION("""COMPUTED_VALUE"""),2.828631E10)</f>
        <v>28286310000</v>
      </c>
      <c r="D2380" s="1"/>
      <c r="E2380" s="1"/>
      <c r="F2380" s="1"/>
      <c r="G2380" s="1"/>
      <c r="H2380" s="1"/>
      <c r="I2380" s="1"/>
      <c r="J2380" s="1"/>
      <c r="K2380" s="1"/>
      <c r="L2380" s="1"/>
      <c r="M2380" s="1"/>
      <c r="N2380" s="1"/>
      <c r="O2380" s="1"/>
      <c r="P2380" s="1"/>
      <c r="Q2380" s="1"/>
      <c r="R2380" s="1"/>
      <c r="S2380" s="1"/>
      <c r="T2380" s="1"/>
      <c r="U2380" s="1"/>
      <c r="V2380" s="1"/>
      <c r="W2380" s="1"/>
      <c r="X2380" s="1"/>
      <c r="Y2380" s="1"/>
      <c r="Z2380" s="1"/>
    </row>
    <row r="2381" ht="15.75" customHeight="1">
      <c r="A2381" s="2">
        <f>IFERROR(__xludf.DUMMYFUNCTION("""COMPUTED_VALUE"""),1190000.0)</f>
        <v>1190000</v>
      </c>
      <c r="B2381" s="2">
        <f>IFERROR(__xludf.DUMMYFUNCTION("""COMPUTED_VALUE"""),23800.0)</f>
        <v>23800</v>
      </c>
      <c r="C2381" s="66">
        <f>IFERROR(__xludf.DUMMYFUNCTION("""COMPUTED_VALUE"""),2.83101E10)</f>
        <v>28310100000</v>
      </c>
      <c r="D2381" s="1"/>
      <c r="E2381" s="1"/>
      <c r="F2381" s="1"/>
      <c r="G2381" s="1"/>
      <c r="H2381" s="1"/>
      <c r="I2381" s="1"/>
      <c r="J2381" s="1"/>
      <c r="K2381" s="1"/>
      <c r="L2381" s="1"/>
      <c r="M2381" s="1"/>
      <c r="N2381" s="1"/>
      <c r="O2381" s="1"/>
      <c r="P2381" s="1"/>
      <c r="Q2381" s="1"/>
      <c r="R2381" s="1"/>
      <c r="S2381" s="1"/>
      <c r="T2381" s="1"/>
      <c r="U2381" s="1"/>
      <c r="V2381" s="1"/>
      <c r="W2381" s="1"/>
      <c r="X2381" s="1"/>
      <c r="Y2381" s="1"/>
      <c r="Z2381" s="1"/>
    </row>
    <row r="2382" ht="15.75" customHeight="1">
      <c r="A2382" s="2">
        <f>IFERROR(__xludf.DUMMYFUNCTION("""COMPUTED_VALUE"""),1190500.0)</f>
        <v>1190500</v>
      </c>
      <c r="B2382" s="2">
        <f>IFERROR(__xludf.DUMMYFUNCTION("""COMPUTED_VALUE"""),23810.0)</f>
        <v>23810</v>
      </c>
      <c r="C2382" s="66">
        <f>IFERROR(__xludf.DUMMYFUNCTION("""COMPUTED_VALUE"""),2.83339E10)</f>
        <v>28333900000</v>
      </c>
      <c r="D2382" s="1"/>
      <c r="E2382" s="1"/>
      <c r="F2382" s="1"/>
      <c r="G2382" s="1"/>
      <c r="H2382" s="1"/>
      <c r="I2382" s="1"/>
      <c r="J2382" s="1"/>
      <c r="K2382" s="1"/>
      <c r="L2382" s="1"/>
      <c r="M2382" s="1"/>
      <c r="N2382" s="1"/>
      <c r="O2382" s="1"/>
      <c r="P2382" s="1"/>
      <c r="Q2382" s="1"/>
      <c r="R2382" s="1"/>
      <c r="S2382" s="1"/>
      <c r="T2382" s="1"/>
      <c r="U2382" s="1"/>
      <c r="V2382" s="1"/>
      <c r="W2382" s="1"/>
      <c r="X2382" s="1"/>
      <c r="Y2382" s="1"/>
      <c r="Z2382" s="1"/>
    </row>
    <row r="2383" ht="15.75" customHeight="1">
      <c r="A2383" s="2">
        <f>IFERROR(__xludf.DUMMYFUNCTION("""COMPUTED_VALUE"""),1191000.0)</f>
        <v>1191000</v>
      </c>
      <c r="B2383" s="2">
        <f>IFERROR(__xludf.DUMMYFUNCTION("""COMPUTED_VALUE"""),23820.0)</f>
        <v>23820</v>
      </c>
      <c r="C2383" s="66">
        <f>IFERROR(__xludf.DUMMYFUNCTION("""COMPUTED_VALUE"""),2.835771E10)</f>
        <v>28357710000</v>
      </c>
      <c r="D2383" s="1"/>
      <c r="E2383" s="1"/>
      <c r="F2383" s="1"/>
      <c r="G2383" s="1"/>
      <c r="H2383" s="1"/>
      <c r="I2383" s="1"/>
      <c r="J2383" s="1"/>
      <c r="K2383" s="1"/>
      <c r="L2383" s="1"/>
      <c r="M2383" s="1"/>
      <c r="N2383" s="1"/>
      <c r="O2383" s="1"/>
      <c r="P2383" s="1"/>
      <c r="Q2383" s="1"/>
      <c r="R2383" s="1"/>
      <c r="S2383" s="1"/>
      <c r="T2383" s="1"/>
      <c r="U2383" s="1"/>
      <c r="V2383" s="1"/>
      <c r="W2383" s="1"/>
      <c r="X2383" s="1"/>
      <c r="Y2383" s="1"/>
      <c r="Z2383" s="1"/>
    </row>
    <row r="2384" ht="15.75" customHeight="1">
      <c r="A2384" s="2">
        <f>IFERROR(__xludf.DUMMYFUNCTION("""COMPUTED_VALUE"""),1191500.0)</f>
        <v>1191500</v>
      </c>
      <c r="B2384" s="2">
        <f>IFERROR(__xludf.DUMMYFUNCTION("""COMPUTED_VALUE"""),23830.0)</f>
        <v>23830</v>
      </c>
      <c r="C2384" s="66">
        <f>IFERROR(__xludf.DUMMYFUNCTION("""COMPUTED_VALUE"""),2.838153E10)</f>
        <v>28381530000</v>
      </c>
      <c r="D2384" s="1"/>
      <c r="E2384" s="1"/>
      <c r="F2384" s="1"/>
      <c r="G2384" s="1"/>
      <c r="H2384" s="1"/>
      <c r="I2384" s="1"/>
      <c r="J2384" s="1"/>
      <c r="K2384" s="1"/>
      <c r="L2384" s="1"/>
      <c r="M2384" s="1"/>
      <c r="N2384" s="1"/>
      <c r="O2384" s="1"/>
      <c r="P2384" s="1"/>
      <c r="Q2384" s="1"/>
      <c r="R2384" s="1"/>
      <c r="S2384" s="1"/>
      <c r="T2384" s="1"/>
      <c r="U2384" s="1"/>
      <c r="V2384" s="1"/>
      <c r="W2384" s="1"/>
      <c r="X2384" s="1"/>
      <c r="Y2384" s="1"/>
      <c r="Z2384" s="1"/>
    </row>
    <row r="2385" ht="15.75" customHeight="1">
      <c r="A2385" s="2">
        <f>IFERROR(__xludf.DUMMYFUNCTION("""COMPUTED_VALUE"""),1192000.0)</f>
        <v>1192000</v>
      </c>
      <c r="B2385" s="2">
        <f>IFERROR(__xludf.DUMMYFUNCTION("""COMPUTED_VALUE"""),23840.0)</f>
        <v>23840</v>
      </c>
      <c r="C2385" s="66">
        <f>IFERROR(__xludf.DUMMYFUNCTION("""COMPUTED_VALUE"""),2.840536E10)</f>
        <v>28405360000</v>
      </c>
      <c r="D2385" s="1"/>
      <c r="E2385" s="1"/>
      <c r="F2385" s="1"/>
      <c r="G2385" s="1"/>
      <c r="H2385" s="1"/>
      <c r="I2385" s="1"/>
      <c r="J2385" s="1"/>
      <c r="K2385" s="1"/>
      <c r="L2385" s="1"/>
      <c r="M2385" s="1"/>
      <c r="N2385" s="1"/>
      <c r="O2385" s="1"/>
      <c r="P2385" s="1"/>
      <c r="Q2385" s="1"/>
      <c r="R2385" s="1"/>
      <c r="S2385" s="1"/>
      <c r="T2385" s="1"/>
      <c r="U2385" s="1"/>
      <c r="V2385" s="1"/>
      <c r="W2385" s="1"/>
      <c r="X2385" s="1"/>
      <c r="Y2385" s="1"/>
      <c r="Z2385" s="1"/>
    </row>
    <row r="2386" ht="15.75" customHeight="1">
      <c r="A2386" s="2">
        <f>IFERROR(__xludf.DUMMYFUNCTION("""COMPUTED_VALUE"""),1192500.0)</f>
        <v>1192500</v>
      </c>
      <c r="B2386" s="2">
        <f>IFERROR(__xludf.DUMMYFUNCTION("""COMPUTED_VALUE"""),23850.0)</f>
        <v>23850</v>
      </c>
      <c r="C2386" s="66">
        <f>IFERROR(__xludf.DUMMYFUNCTION("""COMPUTED_VALUE"""),2.84292E10)</f>
        <v>28429200000</v>
      </c>
      <c r="D2386" s="1"/>
      <c r="E2386" s="1"/>
      <c r="F2386" s="1"/>
      <c r="G2386" s="1"/>
      <c r="H2386" s="1"/>
      <c r="I2386" s="1"/>
      <c r="J2386" s="1"/>
      <c r="K2386" s="1"/>
      <c r="L2386" s="1"/>
      <c r="M2386" s="1"/>
      <c r="N2386" s="1"/>
      <c r="O2386" s="1"/>
      <c r="P2386" s="1"/>
      <c r="Q2386" s="1"/>
      <c r="R2386" s="1"/>
      <c r="S2386" s="1"/>
      <c r="T2386" s="1"/>
      <c r="U2386" s="1"/>
      <c r="V2386" s="1"/>
      <c r="W2386" s="1"/>
      <c r="X2386" s="1"/>
      <c r="Y2386" s="1"/>
      <c r="Z2386" s="1"/>
    </row>
    <row r="2387" ht="15.75" customHeight="1">
      <c r="A2387" s="2">
        <f>IFERROR(__xludf.DUMMYFUNCTION("""COMPUTED_VALUE"""),1193000.0)</f>
        <v>1193000</v>
      </c>
      <c r="B2387" s="2">
        <f>IFERROR(__xludf.DUMMYFUNCTION("""COMPUTED_VALUE"""),23860.0)</f>
        <v>23860</v>
      </c>
      <c r="C2387" s="66">
        <f>IFERROR(__xludf.DUMMYFUNCTION("""COMPUTED_VALUE"""),2.845305E10)</f>
        <v>28453050000</v>
      </c>
      <c r="D2387" s="1"/>
      <c r="E2387" s="1"/>
      <c r="F2387" s="1"/>
      <c r="G2387" s="1"/>
      <c r="H2387" s="1"/>
      <c r="I2387" s="1"/>
      <c r="J2387" s="1"/>
      <c r="K2387" s="1"/>
      <c r="L2387" s="1"/>
      <c r="M2387" s="1"/>
      <c r="N2387" s="1"/>
      <c r="O2387" s="1"/>
      <c r="P2387" s="1"/>
      <c r="Q2387" s="1"/>
      <c r="R2387" s="1"/>
      <c r="S2387" s="1"/>
      <c r="T2387" s="1"/>
      <c r="U2387" s="1"/>
      <c r="V2387" s="1"/>
      <c r="W2387" s="1"/>
      <c r="X2387" s="1"/>
      <c r="Y2387" s="1"/>
      <c r="Z2387" s="1"/>
    </row>
    <row r="2388" ht="15.75" customHeight="1">
      <c r="A2388" s="2">
        <f>IFERROR(__xludf.DUMMYFUNCTION("""COMPUTED_VALUE"""),1193500.0)</f>
        <v>1193500</v>
      </c>
      <c r="B2388" s="2">
        <f>IFERROR(__xludf.DUMMYFUNCTION("""COMPUTED_VALUE"""),23870.0)</f>
        <v>23870</v>
      </c>
      <c r="C2388" s="66">
        <f>IFERROR(__xludf.DUMMYFUNCTION("""COMPUTED_VALUE"""),2.847691E10)</f>
        <v>28476910000</v>
      </c>
      <c r="D2388" s="1"/>
      <c r="E2388" s="1"/>
      <c r="F2388" s="1"/>
      <c r="G2388" s="1"/>
      <c r="H2388" s="1"/>
      <c r="I2388" s="1"/>
      <c r="J2388" s="1"/>
      <c r="K2388" s="1"/>
      <c r="L2388" s="1"/>
      <c r="M2388" s="1"/>
      <c r="N2388" s="1"/>
      <c r="O2388" s="1"/>
      <c r="P2388" s="1"/>
      <c r="Q2388" s="1"/>
      <c r="R2388" s="1"/>
      <c r="S2388" s="1"/>
      <c r="T2388" s="1"/>
      <c r="U2388" s="1"/>
      <c r="V2388" s="1"/>
      <c r="W2388" s="1"/>
      <c r="X2388" s="1"/>
      <c r="Y2388" s="1"/>
      <c r="Z2388" s="1"/>
    </row>
    <row r="2389" ht="15.75" customHeight="1">
      <c r="A2389" s="2">
        <f>IFERROR(__xludf.DUMMYFUNCTION("""COMPUTED_VALUE"""),1194000.0)</f>
        <v>1194000</v>
      </c>
      <c r="B2389" s="2">
        <f>IFERROR(__xludf.DUMMYFUNCTION("""COMPUTED_VALUE"""),23880.0)</f>
        <v>23880</v>
      </c>
      <c r="C2389" s="66">
        <f>IFERROR(__xludf.DUMMYFUNCTION("""COMPUTED_VALUE"""),2.850078E10)</f>
        <v>28500780000</v>
      </c>
      <c r="D2389" s="1"/>
      <c r="E2389" s="1"/>
      <c r="F2389" s="1"/>
      <c r="G2389" s="1"/>
      <c r="H2389" s="1"/>
      <c r="I2389" s="1"/>
      <c r="J2389" s="1"/>
      <c r="K2389" s="1"/>
      <c r="L2389" s="1"/>
      <c r="M2389" s="1"/>
      <c r="N2389" s="1"/>
      <c r="O2389" s="1"/>
      <c r="P2389" s="1"/>
      <c r="Q2389" s="1"/>
      <c r="R2389" s="1"/>
      <c r="S2389" s="1"/>
      <c r="T2389" s="1"/>
      <c r="U2389" s="1"/>
      <c r="V2389" s="1"/>
      <c r="W2389" s="1"/>
      <c r="X2389" s="1"/>
      <c r="Y2389" s="1"/>
      <c r="Z2389" s="1"/>
    </row>
    <row r="2390" ht="15.75" customHeight="1">
      <c r="A2390" s="2">
        <f>IFERROR(__xludf.DUMMYFUNCTION("""COMPUTED_VALUE"""),1194500.0)</f>
        <v>1194500</v>
      </c>
      <c r="B2390" s="2">
        <f>IFERROR(__xludf.DUMMYFUNCTION("""COMPUTED_VALUE"""),23890.0)</f>
        <v>23890</v>
      </c>
      <c r="C2390" s="66">
        <f>IFERROR(__xludf.DUMMYFUNCTION("""COMPUTED_VALUE"""),2.852466E10)</f>
        <v>28524660000</v>
      </c>
      <c r="D2390" s="1"/>
      <c r="E2390" s="1"/>
      <c r="F2390" s="1"/>
      <c r="G2390" s="1"/>
      <c r="H2390" s="1"/>
      <c r="I2390" s="1"/>
      <c r="J2390" s="1"/>
      <c r="K2390" s="1"/>
      <c r="L2390" s="1"/>
      <c r="M2390" s="1"/>
      <c r="N2390" s="1"/>
      <c r="O2390" s="1"/>
      <c r="P2390" s="1"/>
      <c r="Q2390" s="1"/>
      <c r="R2390" s="1"/>
      <c r="S2390" s="1"/>
      <c r="T2390" s="1"/>
      <c r="U2390" s="1"/>
      <c r="V2390" s="1"/>
      <c r="W2390" s="1"/>
      <c r="X2390" s="1"/>
      <c r="Y2390" s="1"/>
      <c r="Z2390" s="1"/>
    </row>
    <row r="2391" ht="15.75" customHeight="1">
      <c r="A2391" s="2">
        <f>IFERROR(__xludf.DUMMYFUNCTION("""COMPUTED_VALUE"""),1195000.0)</f>
        <v>1195000</v>
      </c>
      <c r="B2391" s="2">
        <f>IFERROR(__xludf.DUMMYFUNCTION("""COMPUTED_VALUE"""),23900.0)</f>
        <v>23900</v>
      </c>
      <c r="C2391" s="66">
        <f>IFERROR(__xludf.DUMMYFUNCTION("""COMPUTED_VALUE"""),2.854855E10)</f>
        <v>28548550000</v>
      </c>
      <c r="D2391" s="1"/>
      <c r="E2391" s="1"/>
      <c r="F2391" s="1"/>
      <c r="G2391" s="1"/>
      <c r="H2391" s="1"/>
      <c r="I2391" s="1"/>
      <c r="J2391" s="1"/>
      <c r="K2391" s="1"/>
      <c r="L2391" s="1"/>
      <c r="M2391" s="1"/>
      <c r="N2391" s="1"/>
      <c r="O2391" s="1"/>
      <c r="P2391" s="1"/>
      <c r="Q2391" s="1"/>
      <c r="R2391" s="1"/>
      <c r="S2391" s="1"/>
      <c r="T2391" s="1"/>
      <c r="U2391" s="1"/>
      <c r="V2391" s="1"/>
      <c r="W2391" s="1"/>
      <c r="X2391" s="1"/>
      <c r="Y2391" s="1"/>
      <c r="Z2391" s="1"/>
    </row>
    <row r="2392" ht="15.75" customHeight="1">
      <c r="A2392" s="2">
        <f>IFERROR(__xludf.DUMMYFUNCTION("""COMPUTED_VALUE"""),1195500.0)</f>
        <v>1195500</v>
      </c>
      <c r="B2392" s="2">
        <f>IFERROR(__xludf.DUMMYFUNCTION("""COMPUTED_VALUE"""),23910.0)</f>
        <v>23910</v>
      </c>
      <c r="C2392" s="66">
        <f>IFERROR(__xludf.DUMMYFUNCTION("""COMPUTED_VALUE"""),2.857245E10)</f>
        <v>28572450000</v>
      </c>
      <c r="D2392" s="1"/>
      <c r="E2392" s="1"/>
      <c r="F2392" s="1"/>
      <c r="G2392" s="1"/>
      <c r="H2392" s="1"/>
      <c r="I2392" s="1"/>
      <c r="J2392" s="1"/>
      <c r="K2392" s="1"/>
      <c r="L2392" s="1"/>
      <c r="M2392" s="1"/>
      <c r="N2392" s="1"/>
      <c r="O2392" s="1"/>
      <c r="P2392" s="1"/>
      <c r="Q2392" s="1"/>
      <c r="R2392" s="1"/>
      <c r="S2392" s="1"/>
      <c r="T2392" s="1"/>
      <c r="U2392" s="1"/>
      <c r="V2392" s="1"/>
      <c r="W2392" s="1"/>
      <c r="X2392" s="1"/>
      <c r="Y2392" s="1"/>
      <c r="Z2392" s="1"/>
    </row>
    <row r="2393" ht="15.75" customHeight="1">
      <c r="A2393" s="2">
        <f>IFERROR(__xludf.DUMMYFUNCTION("""COMPUTED_VALUE"""),1196000.0)</f>
        <v>1196000</v>
      </c>
      <c r="B2393" s="2">
        <f>IFERROR(__xludf.DUMMYFUNCTION("""COMPUTED_VALUE"""),23920.0)</f>
        <v>23920</v>
      </c>
      <c r="C2393" s="66">
        <f>IFERROR(__xludf.DUMMYFUNCTION("""COMPUTED_VALUE"""),2.859636E10)</f>
        <v>28596360000</v>
      </c>
      <c r="D2393" s="1"/>
      <c r="E2393" s="1"/>
      <c r="F2393" s="1"/>
      <c r="G2393" s="1"/>
      <c r="H2393" s="1"/>
      <c r="I2393" s="1"/>
      <c r="J2393" s="1"/>
      <c r="K2393" s="1"/>
      <c r="L2393" s="1"/>
      <c r="M2393" s="1"/>
      <c r="N2393" s="1"/>
      <c r="O2393" s="1"/>
      <c r="P2393" s="1"/>
      <c r="Q2393" s="1"/>
      <c r="R2393" s="1"/>
      <c r="S2393" s="1"/>
      <c r="T2393" s="1"/>
      <c r="U2393" s="1"/>
      <c r="V2393" s="1"/>
      <c r="W2393" s="1"/>
      <c r="X2393" s="1"/>
      <c r="Y2393" s="1"/>
      <c r="Z2393" s="1"/>
    </row>
    <row r="2394" ht="15.75" customHeight="1">
      <c r="A2394" s="2">
        <f>IFERROR(__xludf.DUMMYFUNCTION("""COMPUTED_VALUE"""),1196500.0)</f>
        <v>1196500</v>
      </c>
      <c r="B2394" s="2">
        <f>IFERROR(__xludf.DUMMYFUNCTION("""COMPUTED_VALUE"""),23930.0)</f>
        <v>23930</v>
      </c>
      <c r="C2394" s="66">
        <f>IFERROR(__xludf.DUMMYFUNCTION("""COMPUTED_VALUE"""),2.862028E10)</f>
        <v>28620280000</v>
      </c>
      <c r="D2394" s="1"/>
      <c r="E2394" s="1"/>
      <c r="F2394" s="1"/>
      <c r="G2394" s="1"/>
      <c r="H2394" s="1"/>
      <c r="I2394" s="1"/>
      <c r="J2394" s="1"/>
      <c r="K2394" s="1"/>
      <c r="L2394" s="1"/>
      <c r="M2394" s="1"/>
      <c r="N2394" s="1"/>
      <c r="O2394" s="1"/>
      <c r="P2394" s="1"/>
      <c r="Q2394" s="1"/>
      <c r="R2394" s="1"/>
      <c r="S2394" s="1"/>
      <c r="T2394" s="1"/>
      <c r="U2394" s="1"/>
      <c r="V2394" s="1"/>
      <c r="W2394" s="1"/>
      <c r="X2394" s="1"/>
      <c r="Y2394" s="1"/>
      <c r="Z2394" s="1"/>
    </row>
    <row r="2395" ht="15.75" customHeight="1">
      <c r="A2395" s="2">
        <f>IFERROR(__xludf.DUMMYFUNCTION("""COMPUTED_VALUE"""),1197000.0)</f>
        <v>1197000</v>
      </c>
      <c r="B2395" s="2">
        <f>IFERROR(__xludf.DUMMYFUNCTION("""COMPUTED_VALUE"""),23940.0)</f>
        <v>23940</v>
      </c>
      <c r="C2395" s="66">
        <f>IFERROR(__xludf.DUMMYFUNCTION("""COMPUTED_VALUE"""),2.864421E10)</f>
        <v>28644210000</v>
      </c>
      <c r="D2395" s="1"/>
      <c r="E2395" s="1"/>
      <c r="F2395" s="1"/>
      <c r="G2395" s="1"/>
      <c r="H2395" s="1"/>
      <c r="I2395" s="1"/>
      <c r="J2395" s="1"/>
      <c r="K2395" s="1"/>
      <c r="L2395" s="1"/>
      <c r="M2395" s="1"/>
      <c r="N2395" s="1"/>
      <c r="O2395" s="1"/>
      <c r="P2395" s="1"/>
      <c r="Q2395" s="1"/>
      <c r="R2395" s="1"/>
      <c r="S2395" s="1"/>
      <c r="T2395" s="1"/>
      <c r="U2395" s="1"/>
      <c r="V2395" s="1"/>
      <c r="W2395" s="1"/>
      <c r="X2395" s="1"/>
      <c r="Y2395" s="1"/>
      <c r="Z2395" s="1"/>
    </row>
    <row r="2396" ht="15.75" customHeight="1">
      <c r="A2396" s="2">
        <f>IFERROR(__xludf.DUMMYFUNCTION("""COMPUTED_VALUE"""),1197500.0)</f>
        <v>1197500</v>
      </c>
      <c r="B2396" s="2">
        <f>IFERROR(__xludf.DUMMYFUNCTION("""COMPUTED_VALUE"""),23950.0)</f>
        <v>23950</v>
      </c>
      <c r="C2396" s="66">
        <f>IFERROR(__xludf.DUMMYFUNCTION("""COMPUTED_VALUE"""),2.866815E10)</f>
        <v>28668150000</v>
      </c>
      <c r="D2396" s="1"/>
      <c r="E2396" s="1"/>
      <c r="F2396" s="1"/>
      <c r="G2396" s="1"/>
      <c r="H2396" s="1"/>
      <c r="I2396" s="1"/>
      <c r="J2396" s="1"/>
      <c r="K2396" s="1"/>
      <c r="L2396" s="1"/>
      <c r="M2396" s="1"/>
      <c r="N2396" s="1"/>
      <c r="O2396" s="1"/>
      <c r="P2396" s="1"/>
      <c r="Q2396" s="1"/>
      <c r="R2396" s="1"/>
      <c r="S2396" s="1"/>
      <c r="T2396" s="1"/>
      <c r="U2396" s="1"/>
      <c r="V2396" s="1"/>
      <c r="W2396" s="1"/>
      <c r="X2396" s="1"/>
      <c r="Y2396" s="1"/>
      <c r="Z2396" s="1"/>
    </row>
    <row r="2397" ht="15.75" customHeight="1">
      <c r="A2397" s="2">
        <f>IFERROR(__xludf.DUMMYFUNCTION("""COMPUTED_VALUE"""),1198000.0)</f>
        <v>1198000</v>
      </c>
      <c r="B2397" s="2">
        <f>IFERROR(__xludf.DUMMYFUNCTION("""COMPUTED_VALUE"""),23960.0)</f>
        <v>23960</v>
      </c>
      <c r="C2397" s="66">
        <f>IFERROR(__xludf.DUMMYFUNCTION("""COMPUTED_VALUE"""),2.86921E10)</f>
        <v>28692100000</v>
      </c>
      <c r="D2397" s="1"/>
      <c r="E2397" s="1"/>
      <c r="F2397" s="1"/>
      <c r="G2397" s="1"/>
      <c r="H2397" s="1"/>
      <c r="I2397" s="1"/>
      <c r="J2397" s="1"/>
      <c r="K2397" s="1"/>
      <c r="L2397" s="1"/>
      <c r="M2397" s="1"/>
      <c r="N2397" s="1"/>
      <c r="O2397" s="1"/>
      <c r="P2397" s="1"/>
      <c r="Q2397" s="1"/>
      <c r="R2397" s="1"/>
      <c r="S2397" s="1"/>
      <c r="T2397" s="1"/>
      <c r="U2397" s="1"/>
      <c r="V2397" s="1"/>
      <c r="W2397" s="1"/>
      <c r="X2397" s="1"/>
      <c r="Y2397" s="1"/>
      <c r="Z2397" s="1"/>
    </row>
    <row r="2398" ht="15.75" customHeight="1">
      <c r="A2398" s="2">
        <f>IFERROR(__xludf.DUMMYFUNCTION("""COMPUTED_VALUE"""),1198500.0)</f>
        <v>1198500</v>
      </c>
      <c r="B2398" s="2">
        <f>IFERROR(__xludf.DUMMYFUNCTION("""COMPUTED_VALUE"""),23970.0)</f>
        <v>23970</v>
      </c>
      <c r="C2398" s="66">
        <f>IFERROR(__xludf.DUMMYFUNCTION("""COMPUTED_VALUE"""),2.871606E10)</f>
        <v>28716060000</v>
      </c>
      <c r="D2398" s="1"/>
      <c r="E2398" s="1"/>
      <c r="F2398" s="1"/>
      <c r="G2398" s="1"/>
      <c r="H2398" s="1"/>
      <c r="I2398" s="1"/>
      <c r="J2398" s="1"/>
      <c r="K2398" s="1"/>
      <c r="L2398" s="1"/>
      <c r="M2398" s="1"/>
      <c r="N2398" s="1"/>
      <c r="O2398" s="1"/>
      <c r="P2398" s="1"/>
      <c r="Q2398" s="1"/>
      <c r="R2398" s="1"/>
      <c r="S2398" s="1"/>
      <c r="T2398" s="1"/>
      <c r="U2398" s="1"/>
      <c r="V2398" s="1"/>
      <c r="W2398" s="1"/>
      <c r="X2398" s="1"/>
      <c r="Y2398" s="1"/>
      <c r="Z2398" s="1"/>
    </row>
    <row r="2399" ht="15.75" customHeight="1">
      <c r="A2399" s="2">
        <f>IFERROR(__xludf.DUMMYFUNCTION("""COMPUTED_VALUE"""),1199000.0)</f>
        <v>1199000</v>
      </c>
      <c r="B2399" s="2">
        <f>IFERROR(__xludf.DUMMYFUNCTION("""COMPUTED_VALUE"""),23980.0)</f>
        <v>23980</v>
      </c>
      <c r="C2399" s="66">
        <f>IFERROR(__xludf.DUMMYFUNCTION("""COMPUTED_VALUE"""),2.874003E10)</f>
        <v>28740030000</v>
      </c>
      <c r="D2399" s="1"/>
      <c r="E2399" s="1"/>
      <c r="F2399" s="1"/>
      <c r="G2399" s="1"/>
      <c r="H2399" s="1"/>
      <c r="I2399" s="1"/>
      <c r="J2399" s="1"/>
      <c r="K2399" s="1"/>
      <c r="L2399" s="1"/>
      <c r="M2399" s="1"/>
      <c r="N2399" s="1"/>
      <c r="O2399" s="1"/>
      <c r="P2399" s="1"/>
      <c r="Q2399" s="1"/>
      <c r="R2399" s="1"/>
      <c r="S2399" s="1"/>
      <c r="T2399" s="1"/>
      <c r="U2399" s="1"/>
      <c r="V2399" s="1"/>
      <c r="W2399" s="1"/>
      <c r="X2399" s="1"/>
      <c r="Y2399" s="1"/>
      <c r="Z2399" s="1"/>
    </row>
    <row r="2400" ht="15.75" customHeight="1">
      <c r="A2400" s="2">
        <f>IFERROR(__xludf.DUMMYFUNCTION("""COMPUTED_VALUE"""),1199500.0)</f>
        <v>1199500</v>
      </c>
      <c r="B2400" s="2">
        <f>IFERROR(__xludf.DUMMYFUNCTION("""COMPUTED_VALUE"""),23990.0)</f>
        <v>23990</v>
      </c>
      <c r="C2400" s="66">
        <f>IFERROR(__xludf.DUMMYFUNCTION("""COMPUTED_VALUE"""),2.876401E10)</f>
        <v>28764010000</v>
      </c>
      <c r="D2400" s="1"/>
      <c r="E2400" s="1"/>
      <c r="F2400" s="1"/>
      <c r="G2400" s="1"/>
      <c r="H2400" s="1"/>
      <c r="I2400" s="1"/>
      <c r="J2400" s="1"/>
      <c r="K2400" s="1"/>
      <c r="L2400" s="1"/>
      <c r="M2400" s="1"/>
      <c r="N2400" s="1"/>
      <c r="O2400" s="1"/>
      <c r="P2400" s="1"/>
      <c r="Q2400" s="1"/>
      <c r="R2400" s="1"/>
      <c r="S2400" s="1"/>
      <c r="T2400" s="1"/>
      <c r="U2400" s="1"/>
      <c r="V2400" s="1"/>
      <c r="W2400" s="1"/>
      <c r="X2400" s="1"/>
      <c r="Y2400" s="1"/>
      <c r="Z2400" s="1"/>
    </row>
    <row r="2401" ht="15.75" customHeight="1">
      <c r="A2401" s="2">
        <f>IFERROR(__xludf.DUMMYFUNCTION("""COMPUTED_VALUE"""),1200000.0)</f>
        <v>1200000</v>
      </c>
      <c r="B2401" s="2">
        <f>IFERROR(__xludf.DUMMYFUNCTION("""COMPUTED_VALUE"""),24000.0)</f>
        <v>24000</v>
      </c>
      <c r="C2401" s="66">
        <f>IFERROR(__xludf.DUMMYFUNCTION("""COMPUTED_VALUE"""),2.8788E10)</f>
        <v>28788000000</v>
      </c>
      <c r="D2401" s="1"/>
      <c r="E2401" s="1"/>
      <c r="F2401" s="1"/>
      <c r="G2401" s="1"/>
      <c r="H2401" s="1"/>
      <c r="I2401" s="1"/>
      <c r="J2401" s="1"/>
      <c r="K2401" s="1"/>
      <c r="L2401" s="1"/>
      <c r="M2401" s="1"/>
      <c r="N2401" s="1"/>
      <c r="O2401" s="1"/>
      <c r="P2401" s="1"/>
      <c r="Q2401" s="1"/>
      <c r="R2401" s="1"/>
      <c r="S2401" s="1"/>
      <c r="T2401" s="1"/>
      <c r="U2401" s="1"/>
      <c r="V2401" s="1"/>
      <c r="W2401" s="1"/>
      <c r="X2401" s="1"/>
      <c r="Y2401" s="1"/>
      <c r="Z2401" s="1"/>
    </row>
    <row r="2402" ht="15.75" customHeight="1">
      <c r="A2402" s="2"/>
      <c r="B2402" s="2"/>
      <c r="C2402" s="66"/>
    </row>
    <row r="2403" ht="15.75" customHeight="1">
      <c r="A2403" s="2"/>
      <c r="B2403" s="2"/>
      <c r="C2403" s="66"/>
    </row>
    <row r="2404" ht="15.75" customHeight="1">
      <c r="A2404" s="2"/>
      <c r="B2404" s="2"/>
      <c r="C2404" s="66"/>
    </row>
    <row r="2405" ht="15.75" customHeight="1">
      <c r="A2405" s="2"/>
      <c r="B2405" s="2"/>
      <c r="C2405" s="66"/>
    </row>
    <row r="2406" ht="15.75" customHeight="1">
      <c r="A2406" s="2"/>
      <c r="B2406" s="2"/>
      <c r="C2406" s="66"/>
    </row>
    <row r="2407" ht="15.75" customHeight="1">
      <c r="A2407" s="2"/>
      <c r="B2407" s="2"/>
      <c r="C2407" s="66"/>
    </row>
    <row r="2408" ht="15.75" customHeight="1">
      <c r="A2408" s="2"/>
      <c r="B2408" s="2"/>
      <c r="C2408" s="66"/>
    </row>
    <row r="2409" ht="15.75" customHeight="1">
      <c r="A2409" s="2"/>
      <c r="B2409" s="2"/>
      <c r="C2409" s="66"/>
    </row>
    <row r="2410" ht="15.75" customHeight="1">
      <c r="A2410" s="2"/>
      <c r="B2410" s="2"/>
      <c r="C2410" s="66"/>
    </row>
    <row r="2411" ht="15.75" customHeight="1">
      <c r="A2411" s="2"/>
      <c r="B2411" s="2"/>
      <c r="C2411" s="66"/>
    </row>
    <row r="2412" ht="15.75" customHeight="1">
      <c r="A2412" s="2"/>
      <c r="B2412" s="2"/>
      <c r="C2412" s="66"/>
    </row>
    <row r="2413" ht="15.75" customHeight="1">
      <c r="A2413" s="2"/>
      <c r="B2413" s="2"/>
      <c r="C2413" s="66"/>
    </row>
    <row r="2414" ht="15.75" customHeight="1">
      <c r="A2414" s="2"/>
      <c r="B2414" s="2"/>
      <c r="C2414" s="66"/>
    </row>
    <row r="2415" ht="15.75" customHeight="1">
      <c r="A2415" s="2"/>
      <c r="B2415" s="2"/>
      <c r="C2415" s="66"/>
    </row>
    <row r="2416" ht="15.75" customHeight="1">
      <c r="A2416" s="2"/>
      <c r="B2416" s="2"/>
      <c r="C2416" s="66"/>
    </row>
    <row r="2417" ht="15.75" customHeight="1">
      <c r="A2417" s="2"/>
      <c r="B2417" s="2"/>
      <c r="C2417" s="66"/>
    </row>
    <row r="2418" ht="15.75" customHeight="1">
      <c r="A2418" s="2"/>
      <c r="B2418" s="2"/>
      <c r="C2418" s="66"/>
    </row>
    <row r="2419" ht="15.75" customHeight="1">
      <c r="A2419" s="2"/>
      <c r="B2419" s="2"/>
      <c r="C2419" s="66"/>
    </row>
    <row r="2420" ht="15.75" customHeight="1">
      <c r="A2420" s="2"/>
      <c r="B2420" s="2"/>
      <c r="C2420" s="66"/>
    </row>
    <row r="2421" ht="15.75" customHeight="1">
      <c r="A2421" s="2"/>
      <c r="B2421" s="2"/>
      <c r="C2421" s="66"/>
    </row>
    <row r="2422" ht="15.75" customHeight="1">
      <c r="A2422" s="2"/>
      <c r="B2422" s="2"/>
      <c r="C2422" s="66"/>
    </row>
    <row r="2423" ht="15.75" customHeight="1">
      <c r="A2423" s="2"/>
      <c r="B2423" s="2"/>
      <c r="C2423" s="66"/>
    </row>
    <row r="2424" ht="15.75" customHeight="1">
      <c r="A2424" s="2"/>
      <c r="B2424" s="2"/>
      <c r="C2424" s="66"/>
    </row>
    <row r="2425" ht="15.75" customHeight="1">
      <c r="A2425" s="2"/>
      <c r="B2425" s="2"/>
      <c r="C2425" s="66"/>
    </row>
    <row r="2426" ht="15.75" customHeight="1">
      <c r="A2426" s="2"/>
      <c r="B2426" s="2"/>
      <c r="C2426" s="66"/>
    </row>
    <row r="2427" ht="15.75" customHeight="1">
      <c r="A2427" s="2"/>
      <c r="B2427" s="2"/>
      <c r="C2427" s="66"/>
    </row>
    <row r="2428" ht="15.75" customHeight="1">
      <c r="A2428" s="2"/>
      <c r="B2428" s="2"/>
      <c r="C2428" s="66"/>
    </row>
    <row r="2429" ht="15.75" customHeight="1">
      <c r="A2429" s="2"/>
      <c r="B2429" s="2"/>
      <c r="C2429" s="66"/>
    </row>
    <row r="2430" ht="15.75" customHeight="1">
      <c r="A2430" s="2"/>
      <c r="B2430" s="2"/>
      <c r="C2430" s="66"/>
    </row>
    <row r="2431" ht="15.75" customHeight="1">
      <c r="A2431" s="2"/>
      <c r="B2431" s="2"/>
      <c r="C2431" s="66"/>
    </row>
    <row r="2432" ht="15.75" customHeight="1">
      <c r="A2432" s="2"/>
      <c r="B2432" s="2"/>
      <c r="C2432" s="66"/>
    </row>
    <row r="2433" ht="15.75" customHeight="1">
      <c r="A2433" s="2"/>
      <c r="B2433" s="2"/>
      <c r="C2433" s="66"/>
    </row>
    <row r="2434" ht="15.75" customHeight="1">
      <c r="A2434" s="2"/>
      <c r="B2434" s="2"/>
      <c r="C2434" s="66"/>
    </row>
    <row r="2435" ht="15.75" customHeight="1">
      <c r="A2435" s="2"/>
      <c r="B2435" s="2"/>
      <c r="C2435" s="66"/>
    </row>
    <row r="2436" ht="15.75" customHeight="1">
      <c r="A2436" s="2"/>
      <c r="B2436" s="2"/>
      <c r="C2436" s="66"/>
    </row>
    <row r="2437" ht="15.75" customHeight="1">
      <c r="A2437" s="2"/>
      <c r="B2437" s="2"/>
      <c r="C2437" s="66"/>
    </row>
    <row r="2438" ht="15.75" customHeight="1">
      <c r="A2438" s="2"/>
      <c r="B2438" s="2"/>
      <c r="C2438" s="66"/>
    </row>
    <row r="2439" ht="15.75" customHeight="1">
      <c r="A2439" s="2"/>
      <c r="B2439" s="2"/>
      <c r="C2439" s="66"/>
    </row>
    <row r="2440" ht="15.75" customHeight="1">
      <c r="A2440" s="2"/>
      <c r="B2440" s="2"/>
      <c r="C2440" s="66"/>
    </row>
    <row r="2441" ht="15.75" customHeight="1">
      <c r="A2441" s="2"/>
      <c r="B2441" s="2"/>
      <c r="C2441" s="66"/>
    </row>
    <row r="2442" ht="15.75" customHeight="1">
      <c r="A2442" s="2"/>
      <c r="B2442" s="2"/>
      <c r="C2442" s="66"/>
    </row>
    <row r="2443" ht="15.75" customHeight="1">
      <c r="A2443" s="2"/>
      <c r="B2443" s="2"/>
      <c r="C2443" s="66"/>
    </row>
    <row r="2444" ht="15.75" customHeight="1">
      <c r="A2444" s="2"/>
      <c r="B2444" s="2"/>
      <c r="C2444" s="66"/>
    </row>
    <row r="2445" ht="15.75" customHeight="1">
      <c r="A2445" s="2"/>
      <c r="B2445" s="2"/>
      <c r="C2445" s="66"/>
    </row>
    <row r="2446" ht="15.75" customHeight="1">
      <c r="A2446" s="2"/>
      <c r="B2446" s="2"/>
      <c r="C2446" s="66"/>
    </row>
    <row r="2447" ht="15.75" customHeight="1">
      <c r="A2447" s="2"/>
      <c r="B2447" s="2"/>
      <c r="C2447" s="66"/>
    </row>
    <row r="2448" ht="15.75" customHeight="1">
      <c r="A2448" s="2"/>
      <c r="B2448" s="2"/>
      <c r="C2448" s="66"/>
    </row>
    <row r="2449" ht="15.75" customHeight="1">
      <c r="A2449" s="2"/>
      <c r="B2449" s="2"/>
      <c r="C2449" s="66"/>
    </row>
    <row r="2450" ht="15.75" customHeight="1">
      <c r="A2450" s="2"/>
      <c r="B2450" s="2"/>
      <c r="C2450" s="66"/>
    </row>
    <row r="2451" ht="15.75" customHeight="1">
      <c r="A2451" s="2"/>
      <c r="B2451" s="2"/>
      <c r="C2451" s="66"/>
    </row>
    <row r="2452" ht="15.75" customHeight="1">
      <c r="A2452" s="2"/>
      <c r="B2452" s="2"/>
      <c r="C2452" s="66"/>
    </row>
    <row r="2453" ht="15.75" customHeight="1">
      <c r="A2453" s="2"/>
      <c r="B2453" s="2"/>
      <c r="C2453" s="66"/>
    </row>
    <row r="2454" ht="15.75" customHeight="1">
      <c r="A2454" s="2"/>
      <c r="B2454" s="2"/>
      <c r="C2454" s="66"/>
    </row>
    <row r="2455" ht="15.75" customHeight="1">
      <c r="A2455" s="2"/>
      <c r="B2455" s="2"/>
      <c r="C2455" s="66"/>
    </row>
    <row r="2456" ht="15.75" customHeight="1">
      <c r="A2456" s="2"/>
      <c r="B2456" s="2"/>
      <c r="C2456" s="66"/>
    </row>
    <row r="2457" ht="15.75" customHeight="1">
      <c r="A2457" s="2"/>
      <c r="B2457" s="2"/>
      <c r="C2457" s="66"/>
    </row>
    <row r="2458" ht="15.75" customHeight="1">
      <c r="A2458" s="2"/>
      <c r="B2458" s="2"/>
      <c r="C2458" s="66"/>
    </row>
    <row r="2459" ht="15.75" customHeight="1">
      <c r="A2459" s="2"/>
      <c r="B2459" s="2"/>
      <c r="C2459" s="66"/>
    </row>
    <row r="2460" ht="15.75" customHeight="1">
      <c r="A2460" s="2"/>
      <c r="B2460" s="2"/>
      <c r="C2460" s="66"/>
    </row>
    <row r="2461" ht="15.75" customHeight="1">
      <c r="A2461" s="2"/>
      <c r="B2461" s="2"/>
      <c r="C2461" s="66"/>
    </row>
    <row r="2462" ht="15.75" customHeight="1">
      <c r="A2462" s="2"/>
      <c r="B2462" s="2"/>
      <c r="C2462" s="66"/>
    </row>
    <row r="2463" ht="15.75" customHeight="1">
      <c r="A2463" s="2"/>
      <c r="B2463" s="2"/>
      <c r="C2463" s="66"/>
    </row>
    <row r="2464" ht="15.75" customHeight="1">
      <c r="A2464" s="2"/>
      <c r="B2464" s="2"/>
      <c r="C2464" s="66"/>
    </row>
    <row r="2465" ht="15.75" customHeight="1">
      <c r="A2465" s="2"/>
      <c r="B2465" s="2"/>
      <c r="C2465" s="66"/>
    </row>
    <row r="2466" ht="15.75" customHeight="1">
      <c r="A2466" s="2"/>
      <c r="B2466" s="2"/>
      <c r="C2466" s="66"/>
    </row>
    <row r="2467" ht="15.75" customHeight="1">
      <c r="A2467" s="2"/>
      <c r="B2467" s="2"/>
      <c r="C2467" s="66"/>
    </row>
    <row r="2468" ht="15.75" customHeight="1">
      <c r="A2468" s="2"/>
      <c r="B2468" s="2"/>
      <c r="C2468" s="66"/>
    </row>
    <row r="2469" ht="15.75" customHeight="1">
      <c r="A2469" s="2"/>
      <c r="B2469" s="2"/>
      <c r="C2469" s="66"/>
    </row>
    <row r="2470" ht="15.75" customHeight="1">
      <c r="A2470" s="2"/>
      <c r="B2470" s="2"/>
      <c r="C2470" s="66"/>
    </row>
    <row r="2471" ht="15.75" customHeight="1">
      <c r="A2471" s="2"/>
      <c r="B2471" s="2"/>
      <c r="C2471" s="66"/>
    </row>
    <row r="2472" ht="15.75" customHeight="1">
      <c r="A2472" s="2"/>
      <c r="B2472" s="2"/>
      <c r="C2472" s="66"/>
    </row>
    <row r="2473" ht="15.75" customHeight="1">
      <c r="A2473" s="2"/>
      <c r="B2473" s="2"/>
      <c r="C2473" s="66"/>
    </row>
    <row r="2474" ht="15.75" customHeight="1">
      <c r="A2474" s="2"/>
      <c r="B2474" s="2"/>
      <c r="C2474" s="66"/>
    </row>
    <row r="2475" ht="15.75" customHeight="1">
      <c r="A2475" s="2"/>
      <c r="B2475" s="2"/>
      <c r="C2475" s="66"/>
    </row>
    <row r="2476" ht="15.75" customHeight="1">
      <c r="A2476" s="2"/>
      <c r="B2476" s="2"/>
      <c r="C2476" s="66"/>
    </row>
    <row r="2477" ht="15.75" customHeight="1">
      <c r="A2477" s="2"/>
      <c r="B2477" s="2"/>
      <c r="C2477" s="66"/>
    </row>
    <row r="2478" ht="15.75" customHeight="1">
      <c r="A2478" s="2"/>
      <c r="B2478" s="2"/>
      <c r="C2478" s="66"/>
    </row>
    <row r="2479" ht="15.75" customHeight="1">
      <c r="A2479" s="2"/>
      <c r="B2479" s="2"/>
      <c r="C2479" s="66"/>
    </row>
    <row r="2480" ht="15.75" customHeight="1">
      <c r="A2480" s="2"/>
      <c r="B2480" s="2"/>
      <c r="C2480" s="66"/>
    </row>
    <row r="2481" ht="15.75" customHeight="1">
      <c r="A2481" s="2"/>
      <c r="B2481" s="2"/>
      <c r="C2481" s="66"/>
    </row>
    <row r="2482" ht="15.75" customHeight="1">
      <c r="A2482" s="2"/>
      <c r="B2482" s="2"/>
      <c r="C2482" s="66"/>
    </row>
    <row r="2483" ht="15.75" customHeight="1">
      <c r="A2483" s="2"/>
      <c r="B2483" s="2"/>
      <c r="C2483" s="66"/>
    </row>
    <row r="2484" ht="15.75" customHeight="1">
      <c r="A2484" s="2"/>
      <c r="B2484" s="2"/>
      <c r="C2484" s="66"/>
    </row>
    <row r="2485" ht="15.75" customHeight="1">
      <c r="A2485" s="2"/>
      <c r="B2485" s="2"/>
      <c r="C2485" s="66"/>
    </row>
    <row r="2486" ht="15.75" customHeight="1">
      <c r="A2486" s="2"/>
      <c r="B2486" s="2"/>
      <c r="C2486" s="66"/>
    </row>
    <row r="2487" ht="15.75" customHeight="1">
      <c r="A2487" s="2"/>
      <c r="B2487" s="2"/>
      <c r="C2487" s="66"/>
    </row>
    <row r="2488" ht="15.75" customHeight="1">
      <c r="A2488" s="2"/>
      <c r="B2488" s="2"/>
      <c r="C2488" s="66"/>
    </row>
    <row r="2489" ht="15.75" customHeight="1">
      <c r="A2489" s="2"/>
      <c r="B2489" s="2"/>
      <c r="C2489" s="66"/>
    </row>
    <row r="2490" ht="15.75" customHeight="1">
      <c r="A2490" s="2"/>
      <c r="B2490" s="2"/>
      <c r="C2490" s="66"/>
    </row>
    <row r="2491" ht="15.75" customHeight="1">
      <c r="A2491" s="2"/>
      <c r="B2491" s="2"/>
      <c r="C2491" s="66"/>
    </row>
    <row r="2492" ht="15.75" customHeight="1">
      <c r="A2492" s="2"/>
      <c r="B2492" s="2"/>
      <c r="C2492" s="66"/>
    </row>
    <row r="2493" ht="15.75" customHeight="1">
      <c r="A2493" s="2"/>
      <c r="B2493" s="2"/>
      <c r="C2493" s="66"/>
    </row>
    <row r="2494" ht="15.75" customHeight="1">
      <c r="A2494" s="2"/>
      <c r="B2494" s="2"/>
      <c r="C2494" s="66"/>
    </row>
    <row r="2495" ht="15.75" customHeight="1">
      <c r="A2495" s="2"/>
      <c r="B2495" s="2"/>
      <c r="C2495" s="66"/>
    </row>
    <row r="2496" ht="15.75" customHeight="1">
      <c r="A2496" s="2"/>
      <c r="B2496" s="2"/>
      <c r="C2496" s="66"/>
    </row>
    <row r="2497" ht="15.75" customHeight="1">
      <c r="A2497" s="2"/>
      <c r="B2497" s="2"/>
      <c r="C2497" s="66"/>
    </row>
    <row r="2498" ht="15.75" customHeight="1">
      <c r="A2498" s="2"/>
      <c r="B2498" s="2"/>
      <c r="C2498" s="66"/>
    </row>
    <row r="2499" ht="15.75" customHeight="1">
      <c r="A2499" s="2"/>
      <c r="B2499" s="2"/>
      <c r="C2499" s="66"/>
    </row>
    <row r="2500" ht="15.75" customHeight="1">
      <c r="A2500" s="2"/>
      <c r="B2500" s="2"/>
      <c r="C2500" s="66"/>
    </row>
    <row r="2501" ht="15.75" customHeight="1">
      <c r="A2501" s="2"/>
      <c r="B2501" s="2"/>
      <c r="C2501" s="66"/>
    </row>
    <row r="2502" ht="15.75" customHeight="1">
      <c r="A2502" s="2"/>
      <c r="B2502" s="2"/>
      <c r="C2502" s="66"/>
    </row>
    <row r="2503" ht="15.75" customHeight="1">
      <c r="A2503" s="2"/>
      <c r="B2503" s="2"/>
      <c r="C2503" s="66"/>
    </row>
    <row r="2504" ht="15.75" customHeight="1">
      <c r="A2504" s="2"/>
      <c r="B2504" s="2"/>
      <c r="C2504" s="66"/>
    </row>
    <row r="2505" ht="15.75" customHeight="1">
      <c r="A2505" s="2"/>
      <c r="B2505" s="2"/>
      <c r="C2505" s="66"/>
    </row>
    <row r="2506" ht="15.75" customHeight="1">
      <c r="A2506" s="2"/>
      <c r="B2506" s="2"/>
      <c r="C2506" s="66"/>
    </row>
    <row r="2507" ht="15.75" customHeight="1">
      <c r="A2507" s="2"/>
      <c r="B2507" s="2"/>
      <c r="C2507" s="66"/>
    </row>
    <row r="2508" ht="15.75" customHeight="1">
      <c r="A2508" s="2"/>
      <c r="B2508" s="2"/>
      <c r="C2508" s="66"/>
    </row>
    <row r="2509" ht="15.75" customHeight="1">
      <c r="A2509" s="2"/>
      <c r="B2509" s="2"/>
      <c r="C2509" s="66"/>
    </row>
    <row r="2510" ht="15.75" customHeight="1">
      <c r="A2510" s="2"/>
      <c r="B2510" s="2"/>
      <c r="C2510" s="66"/>
    </row>
    <row r="2511" ht="15.75" customHeight="1">
      <c r="A2511" s="2"/>
      <c r="B2511" s="2"/>
      <c r="C2511" s="66"/>
    </row>
    <row r="2512" ht="15.75" customHeight="1">
      <c r="A2512" s="2"/>
      <c r="B2512" s="2"/>
      <c r="C2512" s="66"/>
    </row>
    <row r="2513" ht="15.75" customHeight="1">
      <c r="A2513" s="2"/>
      <c r="B2513" s="2"/>
      <c r="C2513" s="66"/>
    </row>
    <row r="2514" ht="15.75" customHeight="1">
      <c r="A2514" s="2"/>
      <c r="B2514" s="2"/>
      <c r="C2514" s="66"/>
    </row>
    <row r="2515" ht="15.75" customHeight="1">
      <c r="A2515" s="2"/>
      <c r="B2515" s="2"/>
      <c r="C2515" s="66"/>
    </row>
    <row r="2516" ht="15.75" customHeight="1">
      <c r="A2516" s="2"/>
      <c r="B2516" s="2"/>
      <c r="C2516" s="66"/>
    </row>
    <row r="2517" ht="15.75" customHeight="1">
      <c r="A2517" s="2"/>
      <c r="B2517" s="2"/>
      <c r="C2517" s="66"/>
    </row>
    <row r="2518" ht="15.75" customHeight="1">
      <c r="A2518" s="2"/>
      <c r="B2518" s="2"/>
      <c r="C2518" s="66"/>
    </row>
    <row r="2519" ht="15.75" customHeight="1">
      <c r="A2519" s="2"/>
      <c r="B2519" s="2"/>
      <c r="C2519" s="66"/>
    </row>
    <row r="2520" ht="15.75" customHeight="1">
      <c r="A2520" s="2"/>
      <c r="B2520" s="2"/>
      <c r="C2520" s="66"/>
    </row>
    <row r="2521" ht="15.75" customHeight="1">
      <c r="A2521" s="2"/>
      <c r="B2521" s="2"/>
      <c r="C2521" s="66"/>
    </row>
    <row r="2522" ht="15.75" customHeight="1">
      <c r="A2522" s="2"/>
      <c r="B2522" s="2"/>
      <c r="C2522" s="66"/>
    </row>
    <row r="2523" ht="15.75" customHeight="1">
      <c r="A2523" s="2"/>
      <c r="B2523" s="2"/>
      <c r="C2523" s="66"/>
    </row>
    <row r="2524" ht="15.75" customHeight="1">
      <c r="A2524" s="2"/>
      <c r="B2524" s="2"/>
      <c r="C2524" s="66"/>
    </row>
    <row r="2525" ht="15.75" customHeight="1">
      <c r="A2525" s="2"/>
      <c r="B2525" s="2"/>
      <c r="C2525" s="66"/>
    </row>
    <row r="2526" ht="15.75" customHeight="1">
      <c r="A2526" s="2"/>
      <c r="B2526" s="2"/>
      <c r="C2526" s="66"/>
    </row>
    <row r="2527" ht="15.75" customHeight="1">
      <c r="A2527" s="2"/>
      <c r="B2527" s="2"/>
      <c r="C2527" s="66"/>
    </row>
    <row r="2528" ht="15.75" customHeight="1">
      <c r="A2528" s="2"/>
      <c r="B2528" s="2"/>
      <c r="C2528" s="66"/>
    </row>
    <row r="2529" ht="15.75" customHeight="1">
      <c r="A2529" s="2"/>
      <c r="B2529" s="2"/>
      <c r="C2529" s="66"/>
    </row>
    <row r="2530" ht="15.75" customHeight="1">
      <c r="A2530" s="2"/>
      <c r="B2530" s="2"/>
      <c r="C2530" s="66"/>
    </row>
    <row r="2531" ht="15.75" customHeight="1">
      <c r="A2531" s="2"/>
      <c r="B2531" s="2"/>
      <c r="C2531" s="66"/>
    </row>
    <row r="2532" ht="15.75" customHeight="1">
      <c r="A2532" s="2"/>
      <c r="B2532" s="2"/>
      <c r="C2532" s="66"/>
    </row>
    <row r="2533" ht="15.75" customHeight="1">
      <c r="A2533" s="2"/>
      <c r="B2533" s="2"/>
      <c r="C2533" s="66"/>
    </row>
    <row r="2534" ht="15.75" customHeight="1">
      <c r="A2534" s="2"/>
      <c r="B2534" s="2"/>
      <c r="C2534" s="66"/>
    </row>
    <row r="2535" ht="15.75" customHeight="1">
      <c r="A2535" s="2"/>
      <c r="B2535" s="2"/>
      <c r="C2535" s="66"/>
    </row>
    <row r="2536" ht="15.75" customHeight="1">
      <c r="A2536" s="2"/>
      <c r="B2536" s="2"/>
      <c r="C2536" s="66"/>
    </row>
    <row r="2537" ht="15.75" customHeight="1">
      <c r="A2537" s="2"/>
      <c r="B2537" s="2"/>
      <c r="C2537" s="66"/>
    </row>
    <row r="2538" ht="15.75" customHeight="1">
      <c r="A2538" s="2"/>
      <c r="B2538" s="2"/>
      <c r="C2538" s="66"/>
    </row>
    <row r="2539" ht="15.75" customHeight="1">
      <c r="A2539" s="2"/>
      <c r="B2539" s="2"/>
      <c r="C2539" s="66"/>
    </row>
    <row r="2540" ht="15.75" customHeight="1">
      <c r="A2540" s="2"/>
      <c r="B2540" s="2"/>
      <c r="C2540" s="66"/>
    </row>
    <row r="2541" ht="15.75" customHeight="1">
      <c r="A2541" s="2"/>
      <c r="B2541" s="2"/>
      <c r="C2541" s="66"/>
    </row>
    <row r="2542" ht="15.75" customHeight="1">
      <c r="A2542" s="2"/>
      <c r="B2542" s="2"/>
      <c r="C2542" s="66"/>
    </row>
    <row r="2543" ht="15.75" customHeight="1">
      <c r="A2543" s="2"/>
      <c r="B2543" s="2"/>
      <c r="C2543" s="66"/>
    </row>
    <row r="2544" ht="15.75" customHeight="1">
      <c r="A2544" s="2"/>
      <c r="B2544" s="2"/>
      <c r="C2544" s="66"/>
    </row>
    <row r="2545" ht="15.75" customHeight="1">
      <c r="A2545" s="2"/>
      <c r="B2545" s="2"/>
      <c r="C2545" s="66"/>
    </row>
    <row r="2546" ht="15.75" customHeight="1">
      <c r="A2546" s="2"/>
      <c r="B2546" s="2"/>
      <c r="C2546" s="66"/>
    </row>
    <row r="2547" ht="15.75" customHeight="1">
      <c r="A2547" s="2"/>
      <c r="B2547" s="2"/>
      <c r="C2547" s="66"/>
    </row>
    <row r="2548" ht="15.75" customHeight="1">
      <c r="A2548" s="2"/>
      <c r="B2548" s="2"/>
      <c r="C2548" s="66"/>
    </row>
    <row r="2549" ht="15.75" customHeight="1">
      <c r="A2549" s="2"/>
      <c r="B2549" s="2"/>
      <c r="C2549" s="66"/>
    </row>
    <row r="2550" ht="15.75" customHeight="1">
      <c r="A2550" s="2"/>
      <c r="B2550" s="2"/>
      <c r="C2550" s="66"/>
    </row>
    <row r="2551" ht="15.75" customHeight="1">
      <c r="A2551" s="2"/>
      <c r="B2551" s="2"/>
      <c r="C2551" s="66"/>
    </row>
    <row r="2552" ht="15.75" customHeight="1">
      <c r="A2552" s="2"/>
      <c r="B2552" s="2"/>
      <c r="C2552" s="66"/>
    </row>
    <row r="2553" ht="15.75" customHeight="1">
      <c r="A2553" s="2"/>
      <c r="B2553" s="2"/>
      <c r="C2553" s="66"/>
    </row>
    <row r="2554" ht="15.75" customHeight="1">
      <c r="A2554" s="2"/>
      <c r="B2554" s="2"/>
      <c r="C2554" s="66"/>
    </row>
    <row r="2555" ht="15.75" customHeight="1">
      <c r="A2555" s="2"/>
      <c r="B2555" s="2"/>
      <c r="C2555" s="66"/>
    </row>
    <row r="2556" ht="15.75" customHeight="1">
      <c r="A2556" s="2"/>
      <c r="B2556" s="2"/>
      <c r="C2556" s="66"/>
    </row>
    <row r="2557" ht="15.75" customHeight="1">
      <c r="A2557" s="2"/>
      <c r="B2557" s="2"/>
      <c r="C2557" s="66"/>
    </row>
    <row r="2558" ht="15.75" customHeight="1">
      <c r="A2558" s="2"/>
      <c r="B2558" s="2"/>
      <c r="C2558" s="66"/>
    </row>
    <row r="2559" ht="15.75" customHeight="1">
      <c r="A2559" s="2"/>
      <c r="B2559" s="2"/>
      <c r="C2559" s="66"/>
    </row>
    <row r="2560" ht="15.75" customHeight="1">
      <c r="A2560" s="2"/>
      <c r="B2560" s="2"/>
      <c r="C2560" s="66"/>
    </row>
    <row r="2561" ht="15.75" customHeight="1">
      <c r="A2561" s="2"/>
      <c r="B2561" s="2"/>
      <c r="C2561" s="66"/>
    </row>
    <row r="2562" ht="15.75" customHeight="1">
      <c r="A2562" s="2"/>
      <c r="B2562" s="2"/>
      <c r="C2562" s="66"/>
    </row>
    <row r="2563" ht="15.75" customHeight="1">
      <c r="A2563" s="2"/>
      <c r="B2563" s="2"/>
      <c r="C2563" s="66"/>
    </row>
    <row r="2564" ht="15.75" customHeight="1">
      <c r="A2564" s="2"/>
      <c r="B2564" s="2"/>
      <c r="C2564" s="66"/>
    </row>
    <row r="2565" ht="15.75" customHeight="1">
      <c r="A2565" s="2"/>
      <c r="B2565" s="2"/>
      <c r="C2565" s="66"/>
    </row>
    <row r="2566" ht="15.75" customHeight="1">
      <c r="A2566" s="2"/>
      <c r="B2566" s="2"/>
      <c r="C2566" s="66"/>
    </row>
    <row r="2567" ht="15.75" customHeight="1">
      <c r="A2567" s="2"/>
      <c r="B2567" s="2"/>
      <c r="C2567" s="66"/>
    </row>
    <row r="2568" ht="15.75" customHeight="1">
      <c r="A2568" s="2"/>
      <c r="B2568" s="2"/>
      <c r="C2568" s="66"/>
    </row>
    <row r="2569" ht="15.75" customHeight="1">
      <c r="A2569" s="2"/>
      <c r="B2569" s="2"/>
      <c r="C2569" s="66"/>
    </row>
    <row r="2570" ht="15.75" customHeight="1">
      <c r="A2570" s="2"/>
      <c r="B2570" s="2"/>
      <c r="C2570" s="66"/>
    </row>
    <row r="2571" ht="15.75" customHeight="1">
      <c r="A2571" s="2"/>
      <c r="B2571" s="2"/>
      <c r="C2571" s="66"/>
    </row>
    <row r="2572" ht="15.75" customHeight="1">
      <c r="A2572" s="2"/>
      <c r="B2572" s="2"/>
      <c r="C2572" s="66"/>
    </row>
    <row r="2573" ht="15.75" customHeight="1">
      <c r="A2573" s="2"/>
      <c r="B2573" s="2"/>
      <c r="C2573" s="66"/>
    </row>
    <row r="2574" ht="15.75" customHeight="1">
      <c r="A2574" s="2"/>
      <c r="B2574" s="2"/>
      <c r="C2574" s="66"/>
    </row>
    <row r="2575" ht="15.75" customHeight="1">
      <c r="A2575" s="2"/>
      <c r="B2575" s="2"/>
      <c r="C2575" s="66"/>
    </row>
    <row r="2576" ht="15.75" customHeight="1">
      <c r="A2576" s="2"/>
      <c r="B2576" s="2"/>
      <c r="C2576" s="66"/>
    </row>
    <row r="2577" ht="15.75" customHeight="1">
      <c r="A2577" s="2"/>
      <c r="B2577" s="2"/>
      <c r="C2577" s="66"/>
    </row>
    <row r="2578" ht="15.75" customHeight="1">
      <c r="A2578" s="2"/>
      <c r="B2578" s="2"/>
      <c r="C2578" s="66"/>
    </row>
    <row r="2579" ht="15.75" customHeight="1">
      <c r="A2579" s="2"/>
      <c r="B2579" s="2"/>
      <c r="C2579" s="66"/>
    </row>
    <row r="2580" ht="15.75" customHeight="1">
      <c r="A2580" s="2"/>
      <c r="B2580" s="2"/>
      <c r="C2580" s="66"/>
    </row>
    <row r="2581" ht="15.75" customHeight="1">
      <c r="A2581" s="2"/>
      <c r="B2581" s="2"/>
      <c r="C2581" s="66"/>
    </row>
    <row r="2582" ht="15.75" customHeight="1">
      <c r="A2582" s="2"/>
      <c r="B2582" s="2"/>
      <c r="C2582" s="66"/>
    </row>
    <row r="2583" ht="15.75" customHeight="1">
      <c r="A2583" s="2"/>
      <c r="B2583" s="2"/>
      <c r="C2583" s="66"/>
    </row>
    <row r="2584" ht="15.75" customHeight="1">
      <c r="A2584" s="2"/>
      <c r="B2584" s="2"/>
      <c r="C2584" s="66"/>
    </row>
    <row r="2585" ht="15.75" customHeight="1">
      <c r="A2585" s="2"/>
      <c r="B2585" s="2"/>
      <c r="C2585" s="66"/>
    </row>
    <row r="2586" ht="15.75" customHeight="1">
      <c r="A2586" s="2"/>
      <c r="B2586" s="2"/>
      <c r="C2586" s="66"/>
    </row>
    <row r="2587" ht="15.75" customHeight="1">
      <c r="A2587" s="2"/>
      <c r="B2587" s="2"/>
      <c r="C2587" s="66"/>
    </row>
    <row r="2588" ht="15.75" customHeight="1">
      <c r="A2588" s="2"/>
      <c r="B2588" s="2"/>
      <c r="C2588" s="66"/>
    </row>
    <row r="2589" ht="15.75" customHeight="1">
      <c r="A2589" s="2"/>
      <c r="B2589" s="2"/>
      <c r="C2589" s="66"/>
    </row>
    <row r="2590" ht="15.75" customHeight="1">
      <c r="A2590" s="2"/>
      <c r="B2590" s="2"/>
      <c r="C2590" s="66"/>
    </row>
    <row r="2591" ht="15.75" customHeight="1">
      <c r="A2591" s="2"/>
      <c r="B2591" s="2"/>
      <c r="C2591" s="66"/>
    </row>
    <row r="2592" ht="15.75" customHeight="1">
      <c r="A2592" s="2"/>
      <c r="B2592" s="2"/>
      <c r="C2592" s="66"/>
    </row>
    <row r="2593" ht="15.75" customHeight="1">
      <c r="A2593" s="2"/>
      <c r="B2593" s="2"/>
      <c r="C2593" s="66"/>
    </row>
    <row r="2594" ht="15.75" customHeight="1">
      <c r="A2594" s="2"/>
      <c r="B2594" s="2"/>
      <c r="C2594" s="66"/>
    </row>
    <row r="2595" ht="15.75" customHeight="1">
      <c r="A2595" s="2"/>
      <c r="B2595" s="2"/>
      <c r="C2595" s="66"/>
    </row>
    <row r="2596" ht="15.75" customHeight="1">
      <c r="A2596" s="2"/>
      <c r="B2596" s="2"/>
      <c r="C2596" s="66"/>
    </row>
    <row r="2597" ht="15.75" customHeight="1">
      <c r="A2597" s="2"/>
      <c r="B2597" s="2"/>
      <c r="C2597" s="66"/>
    </row>
    <row r="2598" ht="15.75" customHeight="1">
      <c r="A2598" s="2"/>
      <c r="B2598" s="2"/>
      <c r="C2598" s="66"/>
    </row>
    <row r="2599" ht="15.75" customHeight="1">
      <c r="A2599" s="2"/>
      <c r="B2599" s="2"/>
      <c r="C2599" s="66"/>
    </row>
    <row r="2600" ht="15.75" customHeight="1">
      <c r="A2600" s="2"/>
      <c r="B2600" s="2"/>
      <c r="C2600" s="66"/>
    </row>
    <row r="2601" ht="15.75" customHeight="1">
      <c r="A2601" s="2"/>
      <c r="B2601" s="2"/>
      <c r="C2601" s="66"/>
    </row>
    <row r="2602" ht="15.75" customHeight="1">
      <c r="A2602" s="2"/>
      <c r="B2602" s="2"/>
      <c r="C2602" s="66"/>
    </row>
    <row r="2603" ht="15.75" customHeight="1">
      <c r="A2603" s="2"/>
      <c r="B2603" s="2"/>
      <c r="C2603" s="66"/>
    </row>
    <row r="2604" ht="15.75" customHeight="1">
      <c r="A2604" s="2"/>
      <c r="B2604" s="2"/>
      <c r="C2604" s="66"/>
    </row>
    <row r="2605" ht="15.75" customHeight="1">
      <c r="A2605" s="2"/>
      <c r="B2605" s="2"/>
      <c r="C2605" s="66"/>
    </row>
    <row r="2606" ht="15.75" customHeight="1">
      <c r="A2606" s="2"/>
      <c r="B2606" s="2"/>
      <c r="C2606" s="66"/>
    </row>
    <row r="2607" ht="15.75" customHeight="1">
      <c r="A2607" s="2"/>
      <c r="B2607" s="2"/>
      <c r="C2607" s="66"/>
    </row>
    <row r="2608" ht="15.75" customHeight="1">
      <c r="A2608" s="2"/>
      <c r="B2608" s="2"/>
      <c r="C2608" s="66"/>
    </row>
    <row r="2609" ht="15.75" customHeight="1">
      <c r="A2609" s="2"/>
      <c r="B2609" s="2"/>
      <c r="C2609" s="66"/>
    </row>
    <row r="2610" ht="15.75" customHeight="1">
      <c r="A2610" s="2"/>
      <c r="B2610" s="2"/>
      <c r="C2610" s="66"/>
    </row>
    <row r="2611" ht="15.75" customHeight="1">
      <c r="A2611" s="2"/>
      <c r="B2611" s="2"/>
      <c r="C2611" s="66"/>
    </row>
    <row r="2612" ht="15.75" customHeight="1">
      <c r="A2612" s="2"/>
      <c r="B2612" s="2"/>
      <c r="C2612" s="66"/>
    </row>
    <row r="2613" ht="15.75" customHeight="1">
      <c r="A2613" s="2"/>
      <c r="B2613" s="2"/>
      <c r="C2613" s="66"/>
    </row>
    <row r="2614" ht="15.75" customHeight="1">
      <c r="A2614" s="2"/>
      <c r="B2614" s="2"/>
      <c r="C2614" s="66"/>
    </row>
    <row r="2615" ht="15.75" customHeight="1">
      <c r="A2615" s="2"/>
      <c r="B2615" s="2"/>
      <c r="C2615" s="66"/>
    </row>
    <row r="2616" ht="15.75" customHeight="1">
      <c r="A2616" s="2"/>
      <c r="B2616" s="2"/>
      <c r="C2616" s="66"/>
    </row>
    <row r="2617" ht="15.75" customHeight="1">
      <c r="A2617" s="2"/>
      <c r="B2617" s="2"/>
      <c r="C2617" s="66"/>
    </row>
    <row r="2618" ht="15.75" customHeight="1">
      <c r="A2618" s="2"/>
      <c r="B2618" s="2"/>
      <c r="C2618" s="66"/>
    </row>
    <row r="2619" ht="15.75" customHeight="1">
      <c r="A2619" s="2"/>
      <c r="B2619" s="2"/>
      <c r="C2619" s="66"/>
    </row>
    <row r="2620" ht="15.75" customHeight="1">
      <c r="A2620" s="2"/>
      <c r="B2620" s="2"/>
      <c r="C2620" s="66"/>
    </row>
    <row r="2621" ht="15.75" customHeight="1">
      <c r="A2621" s="2"/>
      <c r="B2621" s="2"/>
      <c r="C2621" s="66"/>
    </row>
    <row r="2622" ht="15.75" customHeight="1">
      <c r="A2622" s="2"/>
      <c r="B2622" s="2"/>
      <c r="C2622" s="66"/>
    </row>
    <row r="2623" ht="15.75" customHeight="1">
      <c r="A2623" s="2"/>
      <c r="B2623" s="2"/>
      <c r="C2623" s="66"/>
    </row>
    <row r="2624" ht="15.75" customHeight="1">
      <c r="A2624" s="2"/>
      <c r="B2624" s="2"/>
      <c r="C2624" s="66"/>
    </row>
    <row r="2625" ht="15.75" customHeight="1">
      <c r="A2625" s="2"/>
      <c r="B2625" s="2"/>
      <c r="C2625" s="66"/>
    </row>
    <row r="2626" ht="15.75" customHeight="1">
      <c r="A2626" s="2"/>
      <c r="B2626" s="2"/>
      <c r="C2626" s="66"/>
    </row>
    <row r="2627" ht="15.75" customHeight="1">
      <c r="A2627" s="2"/>
      <c r="B2627" s="2"/>
      <c r="C2627" s="66"/>
    </row>
    <row r="2628" ht="15.75" customHeight="1">
      <c r="A2628" s="2"/>
      <c r="B2628" s="2"/>
      <c r="C2628" s="66"/>
    </row>
    <row r="2629" ht="15.75" customHeight="1">
      <c r="A2629" s="2"/>
      <c r="B2629" s="2"/>
      <c r="C2629" s="66"/>
    </row>
    <row r="2630" ht="15.75" customHeight="1">
      <c r="A2630" s="2"/>
      <c r="B2630" s="2"/>
      <c r="C2630" s="66"/>
    </row>
    <row r="2631" ht="15.75" customHeight="1">
      <c r="A2631" s="2"/>
      <c r="B2631" s="2"/>
      <c r="C2631" s="66"/>
    </row>
    <row r="2632" ht="15.75" customHeight="1">
      <c r="A2632" s="2"/>
      <c r="B2632" s="2"/>
      <c r="C2632" s="66"/>
    </row>
    <row r="2633" ht="15.75" customHeight="1">
      <c r="A2633" s="2"/>
      <c r="B2633" s="2"/>
      <c r="C2633" s="66"/>
    </row>
    <row r="2634" ht="15.75" customHeight="1">
      <c r="A2634" s="2"/>
      <c r="B2634" s="2"/>
      <c r="C2634" s="66"/>
    </row>
    <row r="2635" ht="15.75" customHeight="1">
      <c r="A2635" s="2"/>
      <c r="B2635" s="2"/>
      <c r="C2635" s="66"/>
    </row>
    <row r="2636" ht="15.75" customHeight="1">
      <c r="A2636" s="2"/>
      <c r="B2636" s="2"/>
      <c r="C2636" s="66"/>
    </row>
    <row r="2637" ht="15.75" customHeight="1">
      <c r="A2637" s="2"/>
      <c r="B2637" s="2"/>
      <c r="C2637" s="66"/>
    </row>
    <row r="2638" ht="15.75" customHeight="1">
      <c r="A2638" s="2"/>
      <c r="B2638" s="2"/>
      <c r="C2638" s="66"/>
    </row>
    <row r="2639" ht="15.75" customHeight="1">
      <c r="A2639" s="2"/>
      <c r="B2639" s="2"/>
      <c r="C2639" s="66"/>
    </row>
    <row r="2640" ht="15.75" customHeight="1">
      <c r="A2640" s="2"/>
      <c r="B2640" s="2"/>
      <c r="C2640" s="66"/>
    </row>
    <row r="2641" ht="15.75" customHeight="1">
      <c r="A2641" s="2"/>
      <c r="B2641" s="2"/>
      <c r="C2641" s="66"/>
    </row>
    <row r="2642" ht="15.75" customHeight="1">
      <c r="A2642" s="2"/>
      <c r="B2642" s="2"/>
      <c r="C2642" s="66"/>
    </row>
    <row r="2643" ht="15.75" customHeight="1">
      <c r="A2643" s="2"/>
      <c r="B2643" s="2"/>
      <c r="C2643" s="66"/>
    </row>
    <row r="2644" ht="15.75" customHeight="1">
      <c r="A2644" s="2"/>
      <c r="B2644" s="2"/>
      <c r="C2644" s="66"/>
    </row>
    <row r="2645" ht="15.75" customHeight="1">
      <c r="A2645" s="2"/>
      <c r="B2645" s="2"/>
      <c r="C2645" s="66"/>
    </row>
    <row r="2646" ht="15.75" customHeight="1">
      <c r="A2646" s="2"/>
      <c r="B2646" s="2"/>
      <c r="C2646" s="66"/>
    </row>
    <row r="2647" ht="15.75" customHeight="1">
      <c r="A2647" s="2"/>
      <c r="B2647" s="2"/>
      <c r="C2647" s="66"/>
    </row>
    <row r="2648" ht="15.75" customHeight="1">
      <c r="A2648" s="2"/>
      <c r="B2648" s="2"/>
      <c r="C2648" s="66"/>
    </row>
    <row r="2649" ht="15.75" customHeight="1">
      <c r="A2649" s="2"/>
      <c r="B2649" s="2"/>
      <c r="C2649" s="66"/>
    </row>
    <row r="2650" ht="15.75" customHeight="1">
      <c r="A2650" s="2"/>
      <c r="B2650" s="2"/>
      <c r="C2650" s="66"/>
    </row>
    <row r="2651" ht="15.75" customHeight="1">
      <c r="A2651" s="2"/>
      <c r="B2651" s="2"/>
      <c r="C2651" s="66"/>
    </row>
    <row r="2652" ht="15.75" customHeight="1">
      <c r="A2652" s="2"/>
      <c r="B2652" s="2"/>
      <c r="C2652" s="66"/>
    </row>
    <row r="2653" ht="15.75" customHeight="1">
      <c r="A2653" s="2"/>
      <c r="B2653" s="2"/>
      <c r="C2653" s="66"/>
    </row>
    <row r="2654" ht="15.75" customHeight="1">
      <c r="A2654" s="2"/>
      <c r="B2654" s="2"/>
      <c r="C2654" s="66"/>
    </row>
    <row r="2655" ht="15.75" customHeight="1">
      <c r="A2655" s="2"/>
      <c r="B2655" s="2"/>
      <c r="C2655" s="66"/>
    </row>
    <row r="2656" ht="15.75" customHeight="1">
      <c r="A2656" s="2"/>
      <c r="B2656" s="2"/>
      <c r="C2656" s="66"/>
    </row>
    <row r="2657" ht="15.75" customHeight="1">
      <c r="A2657" s="2"/>
      <c r="B2657" s="2"/>
      <c r="C2657" s="66"/>
    </row>
    <row r="2658" ht="15.75" customHeight="1">
      <c r="A2658" s="2"/>
      <c r="B2658" s="2"/>
      <c r="C2658" s="66"/>
    </row>
    <row r="2659" ht="15.75" customHeight="1">
      <c r="A2659" s="2"/>
      <c r="B2659" s="2"/>
      <c r="C2659" s="66"/>
    </row>
    <row r="2660" ht="15.75" customHeight="1">
      <c r="A2660" s="2"/>
      <c r="B2660" s="2"/>
      <c r="C2660" s="66"/>
    </row>
    <row r="2661" ht="15.75" customHeight="1">
      <c r="A2661" s="2"/>
      <c r="B2661" s="2"/>
      <c r="C2661" s="66"/>
    </row>
    <row r="2662" ht="15.75" customHeight="1">
      <c r="A2662" s="2"/>
      <c r="B2662" s="2"/>
      <c r="C2662" s="66"/>
    </row>
    <row r="2663" ht="15.75" customHeight="1">
      <c r="A2663" s="2"/>
      <c r="B2663" s="2"/>
      <c r="C2663" s="66"/>
    </row>
    <row r="2664" ht="15.75" customHeight="1">
      <c r="A2664" s="2"/>
      <c r="B2664" s="2"/>
      <c r="C2664" s="66"/>
    </row>
    <row r="2665" ht="15.75" customHeight="1">
      <c r="A2665" s="2"/>
      <c r="B2665" s="2"/>
      <c r="C2665" s="66"/>
    </row>
    <row r="2666" ht="15.75" customHeight="1">
      <c r="A2666" s="2"/>
      <c r="B2666" s="2"/>
      <c r="C2666" s="66"/>
    </row>
    <row r="2667" ht="15.75" customHeight="1">
      <c r="A2667" s="2"/>
      <c r="B2667" s="2"/>
      <c r="C2667" s="66"/>
    </row>
    <row r="2668" ht="15.75" customHeight="1">
      <c r="A2668" s="2"/>
      <c r="B2668" s="2"/>
      <c r="C2668" s="66"/>
    </row>
    <row r="2669" ht="15.75" customHeight="1">
      <c r="A2669" s="2"/>
      <c r="B2669" s="2"/>
      <c r="C2669" s="66"/>
    </row>
    <row r="2670" ht="15.75" customHeight="1">
      <c r="A2670" s="2"/>
      <c r="B2670" s="2"/>
      <c r="C2670" s="66"/>
    </row>
    <row r="2671" ht="15.75" customHeight="1">
      <c r="A2671" s="2"/>
      <c r="B2671" s="2"/>
      <c r="C2671" s="66"/>
    </row>
    <row r="2672" ht="15.75" customHeight="1">
      <c r="A2672" s="2"/>
      <c r="B2672" s="2"/>
      <c r="C2672" s="66"/>
    </row>
    <row r="2673" ht="15.75" customHeight="1">
      <c r="A2673" s="2"/>
      <c r="B2673" s="2"/>
      <c r="C2673" s="66"/>
    </row>
    <row r="2674" ht="15.75" customHeight="1">
      <c r="A2674" s="2"/>
      <c r="B2674" s="2"/>
      <c r="C2674" s="66"/>
    </row>
    <row r="2675" ht="15.75" customHeight="1">
      <c r="A2675" s="2"/>
      <c r="B2675" s="2"/>
      <c r="C2675" s="66"/>
    </row>
    <row r="2676" ht="15.75" customHeight="1">
      <c r="A2676" s="2"/>
      <c r="B2676" s="2"/>
      <c r="C2676" s="66"/>
    </row>
    <row r="2677" ht="15.75" customHeight="1">
      <c r="A2677" s="2"/>
      <c r="B2677" s="2"/>
      <c r="C2677" s="66"/>
    </row>
    <row r="2678" ht="15.75" customHeight="1">
      <c r="A2678" s="2"/>
      <c r="B2678" s="2"/>
      <c r="C2678" s="66"/>
    </row>
    <row r="2679" ht="15.75" customHeight="1">
      <c r="A2679" s="2"/>
      <c r="B2679" s="2"/>
      <c r="C2679" s="66"/>
    </row>
    <row r="2680" ht="15.75" customHeight="1">
      <c r="A2680" s="2"/>
      <c r="B2680" s="2"/>
      <c r="C2680" s="66"/>
    </row>
    <row r="2681" ht="15.75" customHeight="1">
      <c r="A2681" s="2"/>
      <c r="B2681" s="2"/>
      <c r="C2681" s="66"/>
    </row>
    <row r="2682" ht="15.75" customHeight="1">
      <c r="A2682" s="2"/>
      <c r="B2682" s="2"/>
      <c r="C2682" s="66"/>
    </row>
    <row r="2683" ht="15.75" customHeight="1">
      <c r="A2683" s="2"/>
      <c r="B2683" s="2"/>
      <c r="C2683" s="66"/>
    </row>
    <row r="2684" ht="15.75" customHeight="1">
      <c r="A2684" s="2"/>
      <c r="B2684" s="2"/>
      <c r="C2684" s="66"/>
    </row>
    <row r="2685" ht="15.75" customHeight="1">
      <c r="A2685" s="2"/>
      <c r="B2685" s="2"/>
      <c r="C2685" s="66"/>
    </row>
    <row r="2686" ht="15.75" customHeight="1">
      <c r="A2686" s="2"/>
      <c r="B2686" s="2"/>
      <c r="C2686" s="66"/>
    </row>
    <row r="2687" ht="15.75" customHeight="1">
      <c r="A2687" s="2"/>
      <c r="B2687" s="2"/>
      <c r="C2687" s="66"/>
    </row>
    <row r="2688" ht="15.75" customHeight="1">
      <c r="A2688" s="2"/>
      <c r="B2688" s="2"/>
      <c r="C2688" s="66"/>
    </row>
    <row r="2689" ht="15.75" customHeight="1">
      <c r="A2689" s="2"/>
      <c r="B2689" s="2"/>
      <c r="C2689" s="66"/>
    </row>
    <row r="2690" ht="15.75" customHeight="1">
      <c r="A2690" s="2"/>
      <c r="B2690" s="2"/>
      <c r="C2690" s="66"/>
    </row>
    <row r="2691" ht="15.75" customHeight="1">
      <c r="A2691" s="2"/>
      <c r="B2691" s="2"/>
      <c r="C2691" s="66"/>
    </row>
    <row r="2692" ht="15.75" customHeight="1">
      <c r="A2692" s="2"/>
      <c r="B2692" s="2"/>
      <c r="C2692" s="66"/>
    </row>
    <row r="2693" ht="15.75" customHeight="1">
      <c r="A2693" s="2"/>
      <c r="B2693" s="2"/>
      <c r="C2693" s="66"/>
    </row>
    <row r="2694" ht="15.75" customHeight="1">
      <c r="A2694" s="2"/>
      <c r="B2694" s="2"/>
      <c r="C2694" s="66"/>
    </row>
    <row r="2695" ht="15.75" customHeight="1">
      <c r="A2695" s="2"/>
      <c r="B2695" s="2"/>
      <c r="C2695" s="66"/>
    </row>
    <row r="2696" ht="15.75" customHeight="1">
      <c r="A2696" s="2"/>
      <c r="B2696" s="2"/>
      <c r="C2696" s="66"/>
    </row>
    <row r="2697" ht="15.75" customHeight="1">
      <c r="A2697" s="2"/>
      <c r="B2697" s="2"/>
      <c r="C2697" s="66"/>
    </row>
    <row r="2698" ht="15.75" customHeight="1">
      <c r="A2698" s="2"/>
      <c r="B2698" s="2"/>
      <c r="C2698" s="66"/>
    </row>
    <row r="2699" ht="15.75" customHeight="1">
      <c r="A2699" s="2"/>
      <c r="B2699" s="2"/>
      <c r="C2699" s="66"/>
    </row>
    <row r="2700" ht="15.75" customHeight="1">
      <c r="A2700" s="2"/>
      <c r="B2700" s="2"/>
      <c r="C2700" s="66"/>
    </row>
    <row r="2701" ht="15.75" customHeight="1">
      <c r="A2701" s="2"/>
      <c r="B2701" s="2"/>
      <c r="C2701" s="66"/>
    </row>
    <row r="2702" ht="15.75" customHeight="1">
      <c r="A2702" s="2"/>
      <c r="B2702" s="2"/>
      <c r="C2702" s="66"/>
    </row>
    <row r="2703" ht="15.75" customHeight="1">
      <c r="A2703" s="2"/>
      <c r="B2703" s="2"/>
      <c r="C2703" s="66"/>
    </row>
    <row r="2704" ht="15.75" customHeight="1">
      <c r="A2704" s="2"/>
      <c r="B2704" s="2"/>
      <c r="C2704" s="66"/>
    </row>
    <row r="2705" ht="15.75" customHeight="1">
      <c r="A2705" s="2"/>
      <c r="B2705" s="2"/>
      <c r="C2705" s="66"/>
    </row>
    <row r="2706" ht="15.75" customHeight="1">
      <c r="A2706" s="2"/>
      <c r="B2706" s="2"/>
      <c r="C2706" s="66"/>
    </row>
    <row r="2707" ht="15.75" customHeight="1">
      <c r="A2707" s="2"/>
      <c r="B2707" s="2"/>
      <c r="C2707" s="66"/>
    </row>
    <row r="2708" ht="15.75" customHeight="1">
      <c r="A2708" s="2"/>
      <c r="B2708" s="2"/>
      <c r="C2708" s="66"/>
    </row>
    <row r="2709" ht="15.75" customHeight="1">
      <c r="A2709" s="2"/>
      <c r="B2709" s="2"/>
      <c r="C2709" s="66"/>
    </row>
    <row r="2710" ht="15.75" customHeight="1">
      <c r="A2710" s="2"/>
      <c r="B2710" s="2"/>
      <c r="C2710" s="66"/>
    </row>
    <row r="2711" ht="15.75" customHeight="1">
      <c r="A2711" s="2"/>
      <c r="B2711" s="2"/>
      <c r="C2711" s="66"/>
    </row>
    <row r="2712" ht="15.75" customHeight="1">
      <c r="A2712" s="2"/>
      <c r="B2712" s="2"/>
      <c r="C2712" s="66"/>
    </row>
    <row r="2713" ht="15.75" customHeight="1">
      <c r="A2713" s="2"/>
      <c r="B2713" s="2"/>
      <c r="C2713" s="66"/>
    </row>
    <row r="2714" ht="15.75" customHeight="1">
      <c r="A2714" s="2"/>
      <c r="B2714" s="2"/>
      <c r="C2714" s="66"/>
    </row>
    <row r="2715" ht="15.75" customHeight="1">
      <c r="A2715" s="2"/>
      <c r="B2715" s="2"/>
      <c r="C2715" s="66"/>
    </row>
    <row r="2716" ht="15.75" customHeight="1">
      <c r="A2716" s="2"/>
      <c r="B2716" s="2"/>
      <c r="C2716" s="66"/>
    </row>
    <row r="2717" ht="15.75" customHeight="1">
      <c r="A2717" s="2"/>
      <c r="B2717" s="2"/>
      <c r="C2717" s="66"/>
    </row>
    <row r="2718" ht="15.75" customHeight="1">
      <c r="A2718" s="2"/>
      <c r="B2718" s="2"/>
      <c r="C2718" s="66"/>
    </row>
    <row r="2719" ht="15.75" customHeight="1">
      <c r="A2719" s="2"/>
      <c r="B2719" s="2"/>
      <c r="C2719" s="66"/>
    </row>
    <row r="2720" ht="15.75" customHeight="1">
      <c r="A2720" s="2"/>
      <c r="B2720" s="2"/>
      <c r="C2720" s="66"/>
    </row>
    <row r="2721" ht="15.75" customHeight="1">
      <c r="A2721" s="2"/>
      <c r="B2721" s="2"/>
      <c r="C2721" s="66"/>
    </row>
    <row r="2722" ht="15.75" customHeight="1">
      <c r="A2722" s="2"/>
      <c r="B2722" s="2"/>
      <c r="C2722" s="66"/>
    </row>
    <row r="2723" ht="15.75" customHeight="1">
      <c r="A2723" s="2"/>
      <c r="B2723" s="2"/>
      <c r="C2723" s="66"/>
    </row>
    <row r="2724" ht="15.75" customHeight="1">
      <c r="A2724" s="2"/>
      <c r="B2724" s="2"/>
      <c r="C2724" s="66"/>
    </row>
    <row r="2725" ht="15.75" customHeight="1">
      <c r="A2725" s="2"/>
      <c r="B2725" s="2"/>
      <c r="C2725" s="66"/>
    </row>
    <row r="2726" ht="15.75" customHeight="1">
      <c r="A2726" s="2"/>
      <c r="B2726" s="2"/>
      <c r="C2726" s="66"/>
    </row>
    <row r="2727" ht="15.75" customHeight="1">
      <c r="A2727" s="2"/>
      <c r="B2727" s="2"/>
      <c r="C2727" s="66"/>
    </row>
    <row r="2728" ht="15.75" customHeight="1">
      <c r="A2728" s="2"/>
      <c r="B2728" s="2"/>
      <c r="C2728" s="66"/>
    </row>
    <row r="2729" ht="15.75" customHeight="1">
      <c r="A2729" s="2"/>
      <c r="B2729" s="2"/>
      <c r="C2729" s="66"/>
    </row>
    <row r="2730" ht="15.75" customHeight="1">
      <c r="A2730" s="2"/>
      <c r="B2730" s="2"/>
      <c r="C2730" s="66"/>
    </row>
    <row r="2731" ht="15.75" customHeight="1">
      <c r="A2731" s="2"/>
      <c r="B2731" s="2"/>
      <c r="C2731" s="66"/>
    </row>
    <row r="2732" ht="15.75" customHeight="1">
      <c r="A2732" s="2"/>
      <c r="B2732" s="2"/>
      <c r="C2732" s="66"/>
    </row>
    <row r="2733" ht="15.75" customHeight="1">
      <c r="A2733" s="2"/>
      <c r="B2733" s="2"/>
      <c r="C2733" s="66"/>
    </row>
    <row r="2734" ht="15.75" customHeight="1">
      <c r="A2734" s="2"/>
      <c r="B2734" s="2"/>
      <c r="C2734" s="66"/>
    </row>
    <row r="2735" ht="15.75" customHeight="1">
      <c r="A2735" s="2"/>
      <c r="B2735" s="2"/>
      <c r="C2735" s="66"/>
    </row>
    <row r="2736" ht="15.75" customHeight="1">
      <c r="A2736" s="2"/>
      <c r="B2736" s="2"/>
      <c r="C2736" s="66"/>
    </row>
    <row r="2737" ht="15.75" customHeight="1">
      <c r="A2737" s="2"/>
      <c r="B2737" s="2"/>
      <c r="C2737" s="66"/>
    </row>
    <row r="2738" ht="15.75" customHeight="1">
      <c r="A2738" s="2"/>
      <c r="B2738" s="2"/>
      <c r="C2738" s="66"/>
    </row>
    <row r="2739" ht="15.75" customHeight="1">
      <c r="A2739" s="2"/>
      <c r="B2739" s="2"/>
      <c r="C2739" s="66"/>
    </row>
    <row r="2740" ht="15.75" customHeight="1">
      <c r="A2740" s="2"/>
      <c r="B2740" s="2"/>
      <c r="C2740" s="66"/>
    </row>
    <row r="2741" ht="15.75" customHeight="1">
      <c r="A2741" s="2"/>
      <c r="B2741" s="2"/>
      <c r="C2741" s="66"/>
    </row>
    <row r="2742" ht="15.75" customHeight="1">
      <c r="A2742" s="2"/>
      <c r="B2742" s="2"/>
      <c r="C2742" s="66"/>
    </row>
    <row r="2743" ht="15.75" customHeight="1">
      <c r="A2743" s="2"/>
      <c r="B2743" s="2"/>
      <c r="C2743" s="66"/>
    </row>
    <row r="2744" ht="15.75" customHeight="1">
      <c r="A2744" s="2"/>
      <c r="B2744" s="2"/>
      <c r="C2744" s="66"/>
    </row>
    <row r="2745" ht="15.75" customHeight="1">
      <c r="A2745" s="2"/>
      <c r="B2745" s="2"/>
      <c r="C2745" s="66"/>
    </row>
    <row r="2746" ht="15.75" customHeight="1">
      <c r="A2746" s="2"/>
      <c r="B2746" s="2"/>
      <c r="C2746" s="66"/>
    </row>
    <row r="2747" ht="15.75" customHeight="1">
      <c r="A2747" s="2"/>
      <c r="B2747" s="2"/>
      <c r="C2747" s="66"/>
    </row>
    <row r="2748" ht="15.75" customHeight="1">
      <c r="A2748" s="2"/>
      <c r="B2748" s="2"/>
      <c r="C2748" s="66"/>
    </row>
    <row r="2749" ht="15.75" customHeight="1">
      <c r="A2749" s="2"/>
      <c r="B2749" s="2"/>
      <c r="C2749" s="66"/>
    </row>
    <row r="2750" ht="15.75" customHeight="1">
      <c r="A2750" s="2"/>
      <c r="B2750" s="2"/>
      <c r="C2750" s="66"/>
    </row>
    <row r="2751" ht="15.75" customHeight="1">
      <c r="A2751" s="2"/>
      <c r="B2751" s="2"/>
      <c r="C2751" s="66"/>
    </row>
    <row r="2752" ht="15.75" customHeight="1">
      <c r="A2752" s="2"/>
      <c r="B2752" s="2"/>
      <c r="C2752" s="66"/>
    </row>
    <row r="2753" ht="15.75" customHeight="1">
      <c r="A2753" s="2"/>
      <c r="B2753" s="2"/>
      <c r="C2753" s="66"/>
    </row>
    <row r="2754" ht="15.75" customHeight="1">
      <c r="A2754" s="2"/>
      <c r="B2754" s="2"/>
      <c r="C2754" s="66"/>
    </row>
    <row r="2755" ht="15.75" customHeight="1">
      <c r="A2755" s="2"/>
      <c r="B2755" s="2"/>
      <c r="C2755" s="66"/>
    </row>
    <row r="2756" ht="15.75" customHeight="1">
      <c r="A2756" s="2"/>
      <c r="B2756" s="2"/>
      <c r="C2756" s="66"/>
    </row>
    <row r="2757" ht="15.75" customHeight="1">
      <c r="A2757" s="2"/>
      <c r="B2757" s="2"/>
      <c r="C2757" s="66"/>
    </row>
    <row r="2758" ht="15.75" customHeight="1">
      <c r="A2758" s="2"/>
      <c r="B2758" s="2"/>
      <c r="C2758" s="66"/>
    </row>
    <row r="2759" ht="15.75" customHeight="1">
      <c r="A2759" s="2"/>
      <c r="B2759" s="2"/>
      <c r="C2759" s="66"/>
    </row>
    <row r="2760" ht="15.75" customHeight="1">
      <c r="A2760" s="2"/>
      <c r="B2760" s="2"/>
      <c r="C2760" s="66"/>
    </row>
    <row r="2761" ht="15.75" customHeight="1">
      <c r="A2761" s="2"/>
      <c r="B2761" s="2"/>
      <c r="C2761" s="66"/>
    </row>
    <row r="2762" ht="15.75" customHeight="1">
      <c r="A2762" s="2"/>
      <c r="B2762" s="2"/>
      <c r="C2762" s="66"/>
    </row>
    <row r="2763" ht="15.75" customHeight="1">
      <c r="A2763" s="2"/>
      <c r="B2763" s="2"/>
      <c r="C2763" s="66"/>
    </row>
    <row r="2764" ht="15.75" customHeight="1">
      <c r="A2764" s="2"/>
      <c r="B2764" s="2"/>
      <c r="C2764" s="66"/>
    </row>
    <row r="2765" ht="15.75" customHeight="1">
      <c r="A2765" s="2"/>
      <c r="B2765" s="2"/>
      <c r="C2765" s="66"/>
    </row>
    <row r="2766" ht="15.75" customHeight="1">
      <c r="A2766" s="2"/>
      <c r="B2766" s="2"/>
      <c r="C2766" s="66"/>
    </row>
    <row r="2767" ht="15.75" customHeight="1">
      <c r="A2767" s="2"/>
      <c r="B2767" s="2"/>
      <c r="C2767" s="66"/>
    </row>
    <row r="2768" ht="15.75" customHeight="1">
      <c r="A2768" s="2"/>
      <c r="B2768" s="2"/>
      <c r="C2768" s="66"/>
    </row>
    <row r="2769" ht="15.75" customHeight="1">
      <c r="A2769" s="2"/>
      <c r="B2769" s="2"/>
      <c r="C2769" s="66"/>
    </row>
    <row r="2770" ht="15.75" customHeight="1">
      <c r="A2770" s="2"/>
      <c r="B2770" s="2"/>
      <c r="C2770" s="66"/>
    </row>
    <row r="2771" ht="15.75" customHeight="1">
      <c r="A2771" s="2"/>
      <c r="B2771" s="2"/>
      <c r="C2771" s="66"/>
    </row>
    <row r="2772" ht="15.75" customHeight="1">
      <c r="A2772" s="2"/>
      <c r="B2772" s="2"/>
      <c r="C2772" s="66"/>
    </row>
    <row r="2773" ht="15.75" customHeight="1">
      <c r="A2773" s="2"/>
      <c r="B2773" s="2"/>
      <c r="C2773" s="66"/>
    </row>
    <row r="2774" ht="15.75" customHeight="1">
      <c r="A2774" s="2"/>
      <c r="B2774" s="2"/>
      <c r="C2774" s="66"/>
    </row>
    <row r="2775" ht="15.75" customHeight="1">
      <c r="A2775" s="2"/>
      <c r="B2775" s="2"/>
      <c r="C2775" s="66"/>
    </row>
    <row r="2776" ht="15.75" customHeight="1">
      <c r="A2776" s="2"/>
      <c r="B2776" s="2"/>
      <c r="C2776" s="66"/>
    </row>
    <row r="2777" ht="15.75" customHeight="1">
      <c r="A2777" s="2"/>
      <c r="B2777" s="2"/>
      <c r="C2777" s="66"/>
    </row>
    <row r="2778" ht="15.75" customHeight="1">
      <c r="A2778" s="2"/>
      <c r="B2778" s="2"/>
      <c r="C2778" s="66"/>
    </row>
    <row r="2779" ht="15.75" customHeight="1">
      <c r="A2779" s="2"/>
      <c r="B2779" s="2"/>
      <c r="C2779" s="66"/>
    </row>
    <row r="2780" ht="15.75" customHeight="1">
      <c r="A2780" s="2"/>
      <c r="B2780" s="2"/>
      <c r="C2780" s="66"/>
    </row>
    <row r="2781" ht="15.75" customHeight="1">
      <c r="A2781" s="2"/>
      <c r="B2781" s="2"/>
      <c r="C2781" s="66"/>
    </row>
    <row r="2782" ht="15.75" customHeight="1">
      <c r="A2782" s="2"/>
      <c r="B2782" s="2"/>
      <c r="C2782" s="66"/>
    </row>
    <row r="2783" ht="15.75" customHeight="1">
      <c r="A2783" s="2"/>
      <c r="B2783" s="2"/>
      <c r="C2783" s="66"/>
    </row>
    <row r="2784" ht="15.75" customHeight="1">
      <c r="A2784" s="2"/>
      <c r="B2784" s="2"/>
      <c r="C2784" s="66"/>
    </row>
    <row r="2785" ht="15.75" customHeight="1">
      <c r="A2785" s="2"/>
      <c r="B2785" s="2"/>
      <c r="C2785" s="66"/>
    </row>
    <row r="2786" ht="15.75" customHeight="1">
      <c r="A2786" s="2"/>
      <c r="B2786" s="2"/>
      <c r="C2786" s="66"/>
    </row>
    <row r="2787" ht="15.75" customHeight="1">
      <c r="A2787" s="2"/>
      <c r="B2787" s="2"/>
      <c r="C2787" s="66"/>
    </row>
    <row r="2788" ht="15.75" customHeight="1">
      <c r="A2788" s="2"/>
      <c r="B2788" s="2"/>
      <c r="C2788" s="66"/>
    </row>
    <row r="2789" ht="15.75" customHeight="1">
      <c r="A2789" s="2"/>
      <c r="B2789" s="2"/>
      <c r="C2789" s="66"/>
    </row>
    <row r="2790" ht="15.75" customHeight="1">
      <c r="A2790" s="2"/>
      <c r="B2790" s="2"/>
      <c r="C2790" s="66"/>
    </row>
    <row r="2791" ht="15.75" customHeight="1">
      <c r="A2791" s="2"/>
      <c r="B2791" s="2"/>
      <c r="C2791" s="66"/>
    </row>
    <row r="2792" ht="15.75" customHeight="1">
      <c r="A2792" s="2"/>
      <c r="B2792" s="2"/>
      <c r="C2792" s="66"/>
    </row>
    <row r="2793" ht="15.75" customHeight="1">
      <c r="A2793" s="2"/>
      <c r="B2793" s="2"/>
      <c r="C2793" s="66"/>
    </row>
    <row r="2794" ht="15.75" customHeight="1">
      <c r="A2794" s="2"/>
      <c r="B2794" s="2"/>
      <c r="C2794" s="66"/>
    </row>
    <row r="2795" ht="15.75" customHeight="1">
      <c r="A2795" s="2"/>
      <c r="B2795" s="2"/>
      <c r="C2795" s="66"/>
    </row>
    <row r="2796" ht="15.75" customHeight="1">
      <c r="A2796" s="2"/>
      <c r="B2796" s="2"/>
      <c r="C2796" s="66"/>
    </row>
    <row r="2797" ht="15.75" customHeight="1">
      <c r="A2797" s="2"/>
      <c r="B2797" s="2"/>
      <c r="C2797" s="66"/>
    </row>
    <row r="2798" ht="15.75" customHeight="1">
      <c r="A2798" s="2"/>
      <c r="B2798" s="2"/>
      <c r="C2798" s="66"/>
    </row>
    <row r="2799" ht="15.75" customHeight="1">
      <c r="A2799" s="2"/>
      <c r="B2799" s="2"/>
      <c r="C2799" s="66"/>
    </row>
    <row r="2800" ht="15.75" customHeight="1">
      <c r="A2800" s="2"/>
      <c r="B2800" s="2"/>
      <c r="C2800" s="66"/>
    </row>
    <row r="2801" ht="15.75" customHeight="1">
      <c r="A2801" s="2"/>
      <c r="B2801" s="2"/>
      <c r="C2801" s="66"/>
    </row>
    <row r="2802" ht="15.75" customHeight="1">
      <c r="A2802" s="2"/>
      <c r="B2802" s="2"/>
      <c r="C2802" s="66"/>
    </row>
    <row r="2803" ht="15.75" customHeight="1">
      <c r="A2803" s="2"/>
      <c r="B2803" s="2"/>
      <c r="C2803" s="66"/>
    </row>
    <row r="2804" ht="15.75" customHeight="1">
      <c r="A2804" s="2"/>
      <c r="B2804" s="2"/>
      <c r="C2804" s="66"/>
    </row>
    <row r="2805" ht="15.75" customHeight="1">
      <c r="A2805" s="2"/>
      <c r="B2805" s="2"/>
      <c r="C2805" s="66"/>
    </row>
    <row r="2806" ht="15.75" customHeight="1">
      <c r="A2806" s="2"/>
      <c r="B2806" s="2"/>
      <c r="C2806" s="66"/>
    </row>
    <row r="2807" ht="15.75" customHeight="1">
      <c r="A2807" s="2"/>
      <c r="B2807" s="2"/>
      <c r="C2807" s="66"/>
    </row>
    <row r="2808" ht="15.75" customHeight="1">
      <c r="A2808" s="2"/>
      <c r="B2808" s="2"/>
      <c r="C2808" s="66"/>
    </row>
    <row r="2809" ht="15.75" customHeight="1">
      <c r="A2809" s="2"/>
      <c r="B2809" s="2"/>
      <c r="C2809" s="66"/>
    </row>
    <row r="2810" ht="15.75" customHeight="1">
      <c r="A2810" s="2"/>
      <c r="B2810" s="2"/>
      <c r="C2810" s="66"/>
    </row>
    <row r="2811" ht="15.75" customHeight="1">
      <c r="A2811" s="2"/>
      <c r="B2811" s="2"/>
      <c r="C2811" s="66"/>
    </row>
    <row r="2812" ht="15.75" customHeight="1">
      <c r="A2812" s="2"/>
      <c r="B2812" s="2"/>
      <c r="C2812" s="66"/>
    </row>
    <row r="2813" ht="15.75" customHeight="1">
      <c r="A2813" s="2"/>
      <c r="B2813" s="2"/>
      <c r="C2813" s="66"/>
    </row>
    <row r="2814" ht="15.75" customHeight="1">
      <c r="A2814" s="2"/>
      <c r="B2814" s="2"/>
      <c r="C2814" s="66"/>
    </row>
    <row r="2815" ht="15.75" customHeight="1">
      <c r="A2815" s="2"/>
      <c r="B2815" s="2"/>
      <c r="C2815" s="66"/>
    </row>
    <row r="2816" ht="15.75" customHeight="1">
      <c r="A2816" s="2"/>
      <c r="B2816" s="2"/>
      <c r="C2816" s="66"/>
    </row>
    <row r="2817" ht="15.75" customHeight="1">
      <c r="A2817" s="2"/>
      <c r="B2817" s="2"/>
      <c r="C2817" s="66"/>
    </row>
    <row r="2818" ht="15.75" customHeight="1">
      <c r="A2818" s="2"/>
      <c r="B2818" s="2"/>
      <c r="C2818" s="66"/>
    </row>
    <row r="2819" ht="15.75" customHeight="1">
      <c r="A2819" s="2"/>
      <c r="B2819" s="2"/>
      <c r="C2819" s="66"/>
    </row>
    <row r="2820" ht="15.75" customHeight="1">
      <c r="A2820" s="2"/>
      <c r="B2820" s="2"/>
      <c r="C2820" s="66"/>
    </row>
    <row r="2821" ht="15.75" customHeight="1">
      <c r="A2821" s="2"/>
      <c r="B2821" s="2"/>
      <c r="C2821" s="66"/>
    </row>
    <row r="2822" ht="15.75" customHeight="1">
      <c r="A2822" s="2"/>
      <c r="B2822" s="2"/>
      <c r="C2822" s="66"/>
    </row>
    <row r="2823" ht="15.75" customHeight="1">
      <c r="A2823" s="2"/>
      <c r="B2823" s="2"/>
      <c r="C2823" s="66"/>
    </row>
    <row r="2824" ht="15.75" customHeight="1">
      <c r="A2824" s="2"/>
      <c r="B2824" s="2"/>
      <c r="C2824" s="66"/>
    </row>
    <row r="2825" ht="15.75" customHeight="1">
      <c r="A2825" s="2"/>
      <c r="B2825" s="2"/>
      <c r="C2825" s="66"/>
    </row>
    <row r="2826" ht="15.75" customHeight="1">
      <c r="A2826" s="2"/>
      <c r="B2826" s="2"/>
      <c r="C2826" s="66"/>
    </row>
    <row r="2827" ht="15.75" customHeight="1">
      <c r="A2827" s="2"/>
      <c r="B2827" s="2"/>
      <c r="C2827" s="66"/>
    </row>
    <row r="2828" ht="15.75" customHeight="1">
      <c r="A2828" s="2"/>
      <c r="B2828" s="2"/>
      <c r="C2828" s="66"/>
    </row>
    <row r="2829" ht="15.75" customHeight="1">
      <c r="A2829" s="2"/>
      <c r="B2829" s="2"/>
      <c r="C2829" s="66"/>
    </row>
    <row r="2830" ht="15.75" customHeight="1">
      <c r="A2830" s="2"/>
      <c r="B2830" s="2"/>
      <c r="C2830" s="66"/>
    </row>
    <row r="2831" ht="15.75" customHeight="1">
      <c r="A2831" s="2"/>
      <c r="B2831" s="2"/>
      <c r="C2831" s="66"/>
    </row>
    <row r="2832" ht="15.75" customHeight="1">
      <c r="A2832" s="2"/>
      <c r="B2832" s="2"/>
      <c r="C2832" s="66"/>
    </row>
    <row r="2833" ht="15.75" customHeight="1">
      <c r="A2833" s="2"/>
      <c r="B2833" s="2"/>
      <c r="C2833" s="66"/>
    </row>
    <row r="2834" ht="15.75" customHeight="1">
      <c r="A2834" s="2"/>
      <c r="B2834" s="2"/>
      <c r="C2834" s="66"/>
    </row>
    <row r="2835" ht="15.75" customHeight="1">
      <c r="A2835" s="2"/>
      <c r="B2835" s="2"/>
      <c r="C2835" s="66"/>
    </row>
    <row r="2836" ht="15.75" customHeight="1">
      <c r="A2836" s="2"/>
      <c r="B2836" s="2"/>
      <c r="C2836" s="66"/>
    </row>
    <row r="2837" ht="15.75" customHeight="1">
      <c r="A2837" s="2"/>
      <c r="B2837" s="2"/>
      <c r="C2837" s="66"/>
    </row>
    <row r="2838" ht="15.75" customHeight="1">
      <c r="A2838" s="2"/>
      <c r="B2838" s="2"/>
      <c r="C2838" s="66"/>
    </row>
    <row r="2839" ht="15.75" customHeight="1">
      <c r="A2839" s="2"/>
      <c r="B2839" s="2"/>
      <c r="C2839" s="66"/>
    </row>
    <row r="2840" ht="15.75" customHeight="1">
      <c r="A2840" s="2"/>
      <c r="B2840" s="2"/>
      <c r="C2840" s="66"/>
    </row>
    <row r="2841" ht="15.75" customHeight="1">
      <c r="A2841" s="2"/>
      <c r="B2841" s="2"/>
      <c r="C2841" s="66"/>
    </row>
    <row r="2842" ht="15.75" customHeight="1">
      <c r="A2842" s="2"/>
      <c r="B2842" s="2"/>
      <c r="C2842" s="66"/>
    </row>
    <row r="2843" ht="15.75" customHeight="1">
      <c r="A2843" s="2"/>
      <c r="B2843" s="2"/>
      <c r="C2843" s="66"/>
    </row>
    <row r="2844" ht="15.75" customHeight="1">
      <c r="A2844" s="2"/>
      <c r="B2844" s="2"/>
      <c r="C2844" s="66"/>
    </row>
    <row r="2845" ht="15.75" customHeight="1">
      <c r="A2845" s="2"/>
      <c r="B2845" s="2"/>
      <c r="C2845" s="66"/>
    </row>
    <row r="2846" ht="15.75" customHeight="1">
      <c r="A2846" s="2"/>
      <c r="B2846" s="2"/>
      <c r="C2846" s="66"/>
    </row>
    <row r="2847" ht="15.75" customHeight="1">
      <c r="A2847" s="2"/>
      <c r="B2847" s="2"/>
      <c r="C2847" s="66"/>
    </row>
    <row r="2848" ht="15.75" customHeight="1">
      <c r="A2848" s="2"/>
      <c r="B2848" s="2"/>
      <c r="C2848" s="66"/>
    </row>
    <row r="2849" ht="15.75" customHeight="1">
      <c r="A2849" s="2"/>
      <c r="B2849" s="2"/>
      <c r="C2849" s="66"/>
    </row>
    <row r="2850" ht="15.75" customHeight="1">
      <c r="A2850" s="2"/>
      <c r="B2850" s="2"/>
      <c r="C2850" s="66"/>
    </row>
    <row r="2851" ht="15.75" customHeight="1">
      <c r="A2851" s="2"/>
      <c r="B2851" s="2"/>
      <c r="C2851" s="66"/>
    </row>
    <row r="2852" ht="15.75" customHeight="1">
      <c r="A2852" s="2"/>
      <c r="B2852" s="2"/>
      <c r="C2852" s="66"/>
    </row>
    <row r="2853" ht="15.75" customHeight="1">
      <c r="A2853" s="2"/>
      <c r="B2853" s="2"/>
      <c r="C2853" s="66"/>
    </row>
    <row r="2854" ht="15.75" customHeight="1">
      <c r="A2854" s="2"/>
      <c r="B2854" s="2"/>
      <c r="C2854" s="66"/>
    </row>
    <row r="2855" ht="15.75" customHeight="1">
      <c r="A2855" s="2"/>
      <c r="B2855" s="2"/>
      <c r="C2855" s="66"/>
    </row>
    <row r="2856" ht="15.75" customHeight="1">
      <c r="A2856" s="2"/>
      <c r="B2856" s="2"/>
      <c r="C2856" s="66"/>
    </row>
    <row r="2857" ht="15.75" customHeight="1">
      <c r="A2857" s="2"/>
      <c r="B2857" s="2"/>
      <c r="C2857" s="66"/>
    </row>
    <row r="2858" ht="15.75" customHeight="1">
      <c r="A2858" s="2"/>
      <c r="B2858" s="2"/>
      <c r="C2858" s="66"/>
    </row>
    <row r="2859" ht="15.75" customHeight="1">
      <c r="A2859" s="2"/>
      <c r="B2859" s="2"/>
      <c r="C2859" s="66"/>
    </row>
    <row r="2860" ht="15.75" customHeight="1">
      <c r="A2860" s="2"/>
      <c r="B2860" s="2"/>
      <c r="C2860" s="66"/>
    </row>
    <row r="2861" ht="15.75" customHeight="1">
      <c r="A2861" s="2"/>
      <c r="B2861" s="2"/>
      <c r="C2861" s="66"/>
    </row>
    <row r="2862" ht="15.75" customHeight="1">
      <c r="A2862" s="2"/>
      <c r="B2862" s="2"/>
      <c r="C2862" s="66"/>
    </row>
    <row r="2863" ht="15.75" customHeight="1">
      <c r="A2863" s="2"/>
      <c r="B2863" s="2"/>
      <c r="C2863" s="66"/>
    </row>
    <row r="2864" ht="15.75" customHeight="1">
      <c r="A2864" s="2"/>
      <c r="B2864" s="2"/>
      <c r="C2864" s="66"/>
    </row>
    <row r="2865" ht="15.75" customHeight="1">
      <c r="A2865" s="2"/>
      <c r="B2865" s="2"/>
      <c r="C2865" s="66"/>
    </row>
    <row r="2866" ht="15.75" customHeight="1">
      <c r="A2866" s="2"/>
      <c r="B2866" s="2"/>
      <c r="C2866" s="66"/>
    </row>
    <row r="2867" ht="15.75" customHeight="1">
      <c r="A2867" s="2"/>
      <c r="B2867" s="2"/>
      <c r="C2867" s="66"/>
    </row>
    <row r="2868" ht="15.75" customHeight="1">
      <c r="A2868" s="2"/>
      <c r="B2868" s="2"/>
      <c r="C2868" s="66"/>
    </row>
    <row r="2869" ht="15.75" customHeight="1">
      <c r="A2869" s="2"/>
      <c r="B2869" s="2"/>
      <c r="C2869" s="66"/>
    </row>
    <row r="2870" ht="15.75" customHeight="1">
      <c r="A2870" s="2"/>
      <c r="B2870" s="2"/>
      <c r="C2870" s="66"/>
    </row>
    <row r="2871" ht="15.75" customHeight="1">
      <c r="A2871" s="2"/>
      <c r="B2871" s="2"/>
      <c r="C2871" s="66"/>
    </row>
    <row r="2872" ht="15.75" customHeight="1">
      <c r="A2872" s="2"/>
      <c r="B2872" s="2"/>
      <c r="C2872" s="66"/>
    </row>
    <row r="2873" ht="15.75" customHeight="1">
      <c r="A2873" s="2"/>
      <c r="B2873" s="2"/>
      <c r="C2873" s="66"/>
    </row>
    <row r="2874" ht="15.75" customHeight="1">
      <c r="A2874" s="2"/>
      <c r="B2874" s="2"/>
      <c r="C2874" s="66"/>
    </row>
    <row r="2875" ht="15.75" customHeight="1">
      <c r="A2875" s="2"/>
      <c r="B2875" s="2"/>
      <c r="C2875" s="66"/>
    </row>
    <row r="2876" ht="15.75" customHeight="1">
      <c r="A2876" s="2"/>
      <c r="B2876" s="2"/>
      <c r="C2876" s="66"/>
    </row>
    <row r="2877" ht="15.75" customHeight="1">
      <c r="A2877" s="2"/>
      <c r="B2877" s="2"/>
      <c r="C2877" s="66"/>
    </row>
    <row r="2878" ht="15.75" customHeight="1">
      <c r="A2878" s="2"/>
      <c r="B2878" s="2"/>
      <c r="C2878" s="66"/>
    </row>
    <row r="2879" ht="15.75" customHeight="1">
      <c r="A2879" s="2"/>
      <c r="B2879" s="2"/>
      <c r="C2879" s="66"/>
    </row>
    <row r="2880" ht="15.75" customHeight="1">
      <c r="A2880" s="2"/>
      <c r="B2880" s="2"/>
      <c r="C2880" s="66"/>
    </row>
    <row r="2881" ht="15.75" customHeight="1">
      <c r="A2881" s="2"/>
      <c r="B2881" s="2"/>
      <c r="C2881" s="66"/>
    </row>
    <row r="2882" ht="15.75" customHeight="1">
      <c r="A2882" s="2"/>
      <c r="B2882" s="2"/>
      <c r="C2882" s="66"/>
    </row>
    <row r="2883" ht="15.75" customHeight="1">
      <c r="A2883" s="2"/>
      <c r="B2883" s="2"/>
      <c r="C2883" s="66"/>
    </row>
    <row r="2884" ht="15.75" customHeight="1">
      <c r="A2884" s="2"/>
      <c r="B2884" s="2"/>
      <c r="C2884" s="66"/>
    </row>
    <row r="2885" ht="15.75" customHeight="1">
      <c r="A2885" s="2"/>
      <c r="B2885" s="2"/>
      <c r="C2885" s="66"/>
    </row>
    <row r="2886" ht="15.75" customHeight="1">
      <c r="A2886" s="2"/>
      <c r="B2886" s="2"/>
      <c r="C2886" s="66"/>
    </row>
    <row r="2887" ht="15.75" customHeight="1">
      <c r="A2887" s="2"/>
      <c r="B2887" s="2"/>
      <c r="C2887" s="66"/>
    </row>
    <row r="2888" ht="15.75" customHeight="1">
      <c r="A2888" s="2"/>
      <c r="B2888" s="2"/>
      <c r="C2888" s="66"/>
    </row>
    <row r="2889" ht="15.75" customHeight="1">
      <c r="A2889" s="2"/>
      <c r="B2889" s="2"/>
      <c r="C2889" s="66"/>
    </row>
    <row r="2890" ht="15.75" customHeight="1">
      <c r="A2890" s="2"/>
      <c r="B2890" s="2"/>
      <c r="C2890" s="66"/>
    </row>
    <row r="2891" ht="15.75" customHeight="1">
      <c r="A2891" s="2"/>
      <c r="B2891" s="2"/>
      <c r="C2891" s="66"/>
    </row>
    <row r="2892" ht="15.75" customHeight="1">
      <c r="A2892" s="2"/>
      <c r="B2892" s="2"/>
      <c r="C2892" s="66"/>
    </row>
    <row r="2893" ht="15.75" customHeight="1">
      <c r="A2893" s="2"/>
      <c r="B2893" s="2"/>
      <c r="C2893" s="66"/>
    </row>
    <row r="2894" ht="15.75" customHeight="1">
      <c r="A2894" s="2"/>
      <c r="B2894" s="2"/>
      <c r="C2894" s="66"/>
    </row>
    <row r="2895" ht="15.75" customHeight="1">
      <c r="A2895" s="2"/>
      <c r="B2895" s="2"/>
      <c r="C2895" s="66"/>
    </row>
    <row r="2896" ht="15.75" customHeight="1">
      <c r="A2896" s="2"/>
      <c r="B2896" s="2"/>
      <c r="C2896" s="66"/>
    </row>
    <row r="2897" ht="15.75" customHeight="1">
      <c r="A2897" s="2"/>
      <c r="B2897" s="2"/>
      <c r="C2897" s="66"/>
    </row>
    <row r="2898" ht="15.75" customHeight="1">
      <c r="A2898" s="2"/>
      <c r="B2898" s="2"/>
      <c r="C2898" s="66"/>
    </row>
    <row r="2899" ht="15.75" customHeight="1">
      <c r="A2899" s="2"/>
      <c r="B2899" s="2"/>
      <c r="C2899" s="66"/>
    </row>
    <row r="2900" ht="15.75" customHeight="1">
      <c r="A2900" s="2"/>
      <c r="B2900" s="2"/>
      <c r="C2900" s="66"/>
    </row>
    <row r="2901" ht="15.75" customHeight="1">
      <c r="A2901" s="2"/>
      <c r="B2901" s="2"/>
      <c r="C2901" s="66"/>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2" max="2" width="43.13"/>
    <col customWidth="1" min="3" max="3" width="144.13"/>
  </cols>
  <sheetData>
    <row r="1">
      <c r="A1" s="1" t="str">
        <f>IFERROR(__xludf.DUMMYFUNCTION("IMPORTRANGE(""https://docs.google.com/spreadsheets/d/1HXoAI5UG3zq1UHqU5n7fPdbQk93qOha2VQb1r7iRi1o"",""Classes!A:BJ"")"),"Name")</f>
        <v>Name</v>
      </c>
      <c r="B1" s="1" t="str">
        <f>IFERROR(__xludf.DUMMYFUNCTION("""COMPUTED_VALUE"""),"SpellRank")</f>
        <v>SpellRank</v>
      </c>
      <c r="C1" s="1" t="str">
        <f>IFERROR(__xludf.DUMMYFUNCTION("""COMPUTED_VALUE"""),"Ability")</f>
        <v>Ability</v>
      </c>
      <c r="D1" s="1" t="str">
        <f>IFERROR(__xludf.DUMMYFUNCTION("""COMPUTED_VALUE"""),"Attack")</f>
        <v>Attack</v>
      </c>
      <c r="E1" s="1" t="str">
        <f>IFERROR(__xludf.DUMMYFUNCTION("""COMPUTED_VALUE"""),"Defense")</f>
        <v>Defense</v>
      </c>
      <c r="F1" s="1" t="str">
        <f>IFERROR(__xludf.DUMMYFUNCTION("""COMPUTED_VALUE"""),"Accuracy")</f>
        <v>Accuracy</v>
      </c>
      <c r="G1" s="1" t="str">
        <f>IFERROR(__xludf.DUMMYFUNCTION("""COMPUTED_VALUE"""),"Charisma")</f>
        <v>Charisma</v>
      </c>
      <c r="H1" s="1" t="str">
        <f>IFERROR(__xludf.DUMMYFUNCTION("""COMPUTED_VALUE"""),"Wisdom")</f>
        <v>Wisdom</v>
      </c>
      <c r="I1" s="1" t="str">
        <f>IFERROR(__xludf.DUMMYFUNCTION("""COMPUTED_VALUE"""),"Constitution")</f>
        <v>Constitution</v>
      </c>
      <c r="J1" s="1" t="str">
        <f>IFERROR(__xludf.DUMMYFUNCTION("""COMPUTED_VALUE"""),"Evasion")</f>
        <v>Evasion</v>
      </c>
      <c r="K1" s="1" t="str">
        <f>IFERROR(__xludf.DUMMYFUNCTION("""COMPUTED_VALUE"""),"Intimidation")</f>
        <v>Intimidation</v>
      </c>
      <c r="L1" s="1" t="str">
        <f>IFERROR(__xludf.DUMMYFUNCTION("""COMPUTED_VALUE"""),"Mobility")</f>
        <v>Mobility</v>
      </c>
      <c r="M1" s="1" t="str">
        <f>IFERROR(__xludf.DUMMYFUNCTION("""COMPUTED_VALUE"""),"HP")</f>
        <v>HP</v>
      </c>
      <c r="N1" s="1" t="str">
        <f>IFERROR(__xludf.DUMMYFUNCTION("""COMPUTED_VALUE"""),"SP")</f>
        <v>SP</v>
      </c>
      <c r="O1" s="1" t="str">
        <f>IFERROR(__xludf.DUMMYFUNCTION("""COMPUTED_VALUE"""),"Hunger")</f>
        <v>Hunger</v>
      </c>
      <c r="P1" s="1" t="str">
        <f>IFERROR(__xludf.DUMMYFUNCTION("""COMPUTED_VALUE"""),"Thirst")</f>
        <v>Thirst</v>
      </c>
      <c r="Q1" s="1" t="str">
        <f>IFERROR(__xludf.DUMMYFUNCTION("""COMPUTED_VALUE"""),"Energy")</f>
        <v>Energy</v>
      </c>
      <c r="R1" s="1" t="str">
        <f>IFERROR(__xludf.DUMMYFUNCTION("""COMPUTED_VALUE"""),"eleselect")</f>
        <v>eleselect</v>
      </c>
      <c r="S1" s="74" t="str">
        <f>IFERROR(__xludf.DUMMYFUNCTION("""COMPUTED_VALUE"""),"Fire")</f>
        <v>Fire</v>
      </c>
      <c r="T1" s="75" t="str">
        <f>IFERROR(__xludf.DUMMYFUNCTION("""COMPUTED_VALUE"""),"Water")</f>
        <v>Water</v>
      </c>
      <c r="U1" s="76" t="str">
        <f>IFERROR(__xludf.DUMMYFUNCTION("""COMPUTED_VALUE"""),"Storm")</f>
        <v>Storm</v>
      </c>
      <c r="V1" s="77" t="str">
        <f>IFERROR(__xludf.DUMMYFUNCTION("""COMPUTED_VALUE"""),"Earth")</f>
        <v>Earth</v>
      </c>
      <c r="W1" s="78" t="str">
        <f>IFERROR(__xludf.DUMMYFUNCTION("""COMPUTED_VALUE"""),"Light")</f>
        <v>Light</v>
      </c>
      <c r="X1" s="79" t="str">
        <f>IFERROR(__xludf.DUMMYFUNCTION("""COMPUTED_VALUE"""),"Dark")</f>
        <v>Dark</v>
      </c>
      <c r="Y1" s="80" t="str">
        <f>IFERROR(__xludf.DUMMYFUNCTION("""COMPUTED_VALUE"""),"Spirit")</f>
        <v>Spirit</v>
      </c>
      <c r="Z1" s="81" t="str">
        <f>IFERROR(__xludf.DUMMYFUNCTION("""COMPUTED_VALUE"""),"Order")</f>
        <v>Order</v>
      </c>
      <c r="AA1" s="82" t="str">
        <f>IFERROR(__xludf.DUMMYFUNCTION("""COMPUTED_VALUE"""),"Chaos")</f>
        <v>Chaos</v>
      </c>
      <c r="AB1" s="83" t="str">
        <f>IFERROR(__xludf.DUMMYFUNCTION("""COMPUTED_VALUE"""),"Nature")</f>
        <v>Nature</v>
      </c>
      <c r="AC1" s="84" t="str">
        <f>IFERROR(__xludf.DUMMYFUNCTION("""COMPUTED_VALUE"""),"Physical")</f>
        <v>Physical</v>
      </c>
      <c r="AD1" s="84" t="str">
        <f>IFERROR(__xludf.DUMMYFUNCTION("""COMPUTED_VALUE"""),"Melee")</f>
        <v>Melee</v>
      </c>
      <c r="AE1" s="84" t="str">
        <f>IFERROR(__xludf.DUMMYFUNCTION("""COMPUTED_VALUE"""),"Ranged")</f>
        <v>Ranged</v>
      </c>
      <c r="AF1" s="85" t="str">
        <f>IFERROR(__xludf.DUMMYFUNCTION("""COMPUTED_VALUE"""),"Stasis")</f>
        <v>Stasis</v>
      </c>
      <c r="AG1" s="86" t="str">
        <f>IFERROR(__xludf.DUMMYFUNCTION("""COMPUTED_VALUE"""),"Twilight")</f>
        <v>Twilight</v>
      </c>
      <c r="AH1" s="87" t="str">
        <f>IFERROR(__xludf.DUMMYFUNCTION("""COMPUTED_VALUE"""),"Voodoo")</f>
        <v>Voodoo</v>
      </c>
      <c r="AI1" s="88" t="str">
        <f>IFERROR(__xludf.DUMMYFUNCTION("""COMPUTED_VALUE"""),"Blood")</f>
        <v>Blood</v>
      </c>
      <c r="AJ1" s="89" t="str">
        <f>IFERROR(__xludf.DUMMYFUNCTION("""COMPUTED_VALUE"""),"Delta")</f>
        <v>Delta</v>
      </c>
      <c r="AK1" s="90" t="str">
        <f>IFERROR(__xludf.DUMMYFUNCTION("""COMPUTED_VALUE"""),"Zen")</f>
        <v>Zen</v>
      </c>
      <c r="AL1" s="91" t="str">
        <f>IFERROR(__xludf.DUMMYFUNCTION("""COMPUTED_VALUE"""),"Time")</f>
        <v>Time</v>
      </c>
      <c r="AM1" s="92" t="str">
        <f>IFERROR(__xludf.DUMMYFUNCTION("""COMPUTED_VALUE"""),"Astral")</f>
        <v>Astral</v>
      </c>
      <c r="AN1" s="93" t="str">
        <f>IFERROR(__xludf.DUMMYFUNCTION("""COMPUTED_VALUE"""),"Celestial")</f>
        <v>Celestial</v>
      </c>
      <c r="AO1" s="94" t="str">
        <f>IFERROR(__xludf.DUMMYFUNCTION("""COMPUTED_VALUE"""),"Acoustic")</f>
        <v>Acoustic</v>
      </c>
      <c r="AP1" s="94"/>
      <c r="AQ1" s="94"/>
      <c r="AR1" s="94"/>
      <c r="AS1" s="94"/>
      <c r="AT1" s="94"/>
      <c r="AU1" s="94"/>
      <c r="AV1" s="94"/>
      <c r="AW1" s="94"/>
      <c r="AX1" s="94"/>
      <c r="AY1" s="94"/>
    </row>
    <row r="2">
      <c r="A2" s="1" t="str">
        <f>IFERROR(__xludf.DUMMYFUNCTION("""COMPUTED_VALUE"""),"Archer")</f>
        <v>Archer</v>
      </c>
      <c r="B2" s="1" t="str">
        <f>IFERROR(__xludf.DUMMYFUNCTION("""COMPUTED_VALUE"""),"Rank 9 Ranged")</f>
        <v>Rank 9 Ranged</v>
      </c>
      <c r="C2" s="95" t="str">
        <f>IFERROR(__xludf.DUMMYFUNCTION("""COMPUTED_VALUE"""),"X6 damage with bows.
+5 evasion")</f>
        <v>X6 damage with bows.
+5 evasion</v>
      </c>
      <c r="D2" s="1"/>
      <c r="E2" s="1"/>
      <c r="F2" s="1"/>
      <c r="G2" s="1"/>
      <c r="H2" s="1"/>
      <c r="I2" s="1"/>
      <c r="J2" s="1">
        <f>IFERROR(__xludf.DUMMYFUNCTION("""COMPUTED_VALUE"""),5.0)</f>
        <v>5</v>
      </c>
      <c r="K2" s="1"/>
      <c r="L2" s="1"/>
      <c r="M2" s="1"/>
      <c r="N2" s="1"/>
      <c r="O2" s="1"/>
      <c r="P2" s="1"/>
      <c r="Q2" s="1"/>
      <c r="R2" s="1">
        <f>IFERROR(__xludf.DUMMYFUNCTION("""COMPUTED_VALUE"""),0.0)</f>
        <v>0</v>
      </c>
      <c r="S2" s="1"/>
      <c r="T2" s="1"/>
      <c r="U2" s="1"/>
      <c r="V2" s="1"/>
      <c r="W2" s="1"/>
      <c r="X2" s="1"/>
      <c r="Y2" s="1"/>
      <c r="Z2" s="1"/>
      <c r="AA2" s="1"/>
      <c r="AB2" s="1"/>
      <c r="AC2" s="1"/>
      <c r="AD2" s="1"/>
      <c r="AE2" s="1">
        <f>IFERROR(__xludf.DUMMYFUNCTION("""COMPUTED_VALUE"""),9.0)</f>
        <v>9</v>
      </c>
      <c r="AF2" s="1"/>
      <c r="AG2" s="1"/>
      <c r="AH2" s="1"/>
      <c r="AI2" s="1"/>
      <c r="AJ2" s="1"/>
      <c r="AK2" s="1"/>
      <c r="AL2" s="1"/>
      <c r="AM2" s="1"/>
      <c r="AN2" s="1"/>
      <c r="AO2" s="1"/>
      <c r="AP2" s="1"/>
      <c r="AQ2" s="1"/>
      <c r="AR2" s="1"/>
      <c r="AS2" s="1"/>
      <c r="AT2" s="1"/>
      <c r="AU2" s="1"/>
      <c r="AV2" s="1"/>
      <c r="AW2" s="1"/>
      <c r="AX2" s="1"/>
      <c r="AY2" s="1"/>
    </row>
    <row r="3">
      <c r="A3" s="1" t="str">
        <f>IFERROR(__xludf.DUMMYFUNCTION("""COMPUTED_VALUE"""),"Bard")</f>
        <v>Bard</v>
      </c>
      <c r="B3" s="1" t="str">
        <f>IFERROR(__xludf.DUMMYFUNCTION("""COMPUTED_VALUE"""),"Rank 6 Select 3 of any element (Excluding Zen)")</f>
        <v>Rank 6 Select 3 of any element (Excluding Zen)</v>
      </c>
      <c r="C3" s="95" t="str">
        <f>IFERROR(__xludf.DUMMYFUNCTION("""COMPUTED_VALUE"""),"SP costs for Spells are halved. 
Start with one of the following instruments required to cast spells: lap harp, drum, flute, bagpipe, fiddle, lute.
Must have an instrument equipped to cast spells.
Can use Wisdom when attacking with a hit/miss spell.")</f>
        <v>SP costs for Spells are halved. 
Start with one of the following instruments required to cast spells: lap harp, drum, flute, bagpipe, fiddle, lute.
Must have an instrument equipped to cast spells.
Can use Wisdom when attacking with a hit/miss spell.</v>
      </c>
      <c r="D3" s="1"/>
      <c r="E3" s="1"/>
      <c r="F3" s="1"/>
      <c r="G3" s="1"/>
      <c r="H3" s="1"/>
      <c r="I3" s="1"/>
      <c r="J3" s="1"/>
      <c r="K3" s="1"/>
      <c r="L3" s="1"/>
      <c r="M3" s="1"/>
      <c r="N3" s="1"/>
      <c r="O3" s="1"/>
      <c r="P3" s="1"/>
      <c r="Q3" s="1"/>
      <c r="R3" s="1">
        <f>IFERROR(__xludf.DUMMYFUNCTION("""COMPUTED_VALUE"""),3.0)</f>
        <v>3</v>
      </c>
      <c r="S3" s="1">
        <f>IFERROR(__xludf.DUMMYFUNCTION("""COMPUTED_VALUE"""),6.0)</f>
        <v>6</v>
      </c>
      <c r="T3" s="1">
        <f>IFERROR(__xludf.DUMMYFUNCTION("""COMPUTED_VALUE"""),6.0)</f>
        <v>6</v>
      </c>
      <c r="U3" s="1">
        <f>IFERROR(__xludf.DUMMYFUNCTION("""COMPUTED_VALUE"""),6.0)</f>
        <v>6</v>
      </c>
      <c r="V3" s="1">
        <f>IFERROR(__xludf.DUMMYFUNCTION("""COMPUTED_VALUE"""),6.0)</f>
        <v>6</v>
      </c>
      <c r="W3" s="1">
        <f>IFERROR(__xludf.DUMMYFUNCTION("""COMPUTED_VALUE"""),6.0)</f>
        <v>6</v>
      </c>
      <c r="X3" s="1">
        <f>IFERROR(__xludf.DUMMYFUNCTION("""COMPUTED_VALUE"""),6.0)</f>
        <v>6</v>
      </c>
      <c r="Y3" s="1">
        <f>IFERROR(__xludf.DUMMYFUNCTION("""COMPUTED_VALUE"""),6.0)</f>
        <v>6</v>
      </c>
      <c r="Z3" s="1">
        <f>IFERROR(__xludf.DUMMYFUNCTION("""COMPUTED_VALUE"""),6.0)</f>
        <v>6</v>
      </c>
      <c r="AA3" s="1">
        <f>IFERROR(__xludf.DUMMYFUNCTION("""COMPUTED_VALUE"""),6.0)</f>
        <v>6</v>
      </c>
      <c r="AB3" s="1">
        <f>IFERROR(__xludf.DUMMYFUNCTION("""COMPUTED_VALUE"""),6.0)</f>
        <v>6</v>
      </c>
      <c r="AC3" s="1">
        <f>IFERROR(__xludf.DUMMYFUNCTION("""COMPUTED_VALUE"""),6.0)</f>
        <v>6</v>
      </c>
      <c r="AD3" s="1">
        <f>IFERROR(__xludf.DUMMYFUNCTION("""COMPUTED_VALUE"""),6.0)</f>
        <v>6</v>
      </c>
      <c r="AE3" s="1">
        <f>IFERROR(__xludf.DUMMYFUNCTION("""COMPUTED_VALUE"""),6.0)</f>
        <v>6</v>
      </c>
      <c r="AF3" s="1">
        <f>IFERROR(__xludf.DUMMYFUNCTION("""COMPUTED_VALUE"""),6.0)</f>
        <v>6</v>
      </c>
      <c r="AG3" s="1">
        <f>IFERROR(__xludf.DUMMYFUNCTION("""COMPUTED_VALUE"""),6.0)</f>
        <v>6</v>
      </c>
      <c r="AH3" s="1">
        <f>IFERROR(__xludf.DUMMYFUNCTION("""COMPUTED_VALUE"""),6.0)</f>
        <v>6</v>
      </c>
      <c r="AI3" s="1">
        <f>IFERROR(__xludf.DUMMYFUNCTION("""COMPUTED_VALUE"""),6.0)</f>
        <v>6</v>
      </c>
      <c r="AJ3" s="1">
        <f>IFERROR(__xludf.DUMMYFUNCTION("""COMPUTED_VALUE"""),6.0)</f>
        <v>6</v>
      </c>
      <c r="AK3" s="1"/>
      <c r="AL3" s="1"/>
      <c r="AM3" s="1">
        <f>IFERROR(__xludf.DUMMYFUNCTION("""COMPUTED_VALUE"""),6.0)</f>
        <v>6</v>
      </c>
      <c r="AN3" s="1"/>
      <c r="AO3" s="1">
        <f>IFERROR(__xludf.DUMMYFUNCTION("""COMPUTED_VALUE"""),6.0)</f>
        <v>6</v>
      </c>
      <c r="AP3" s="1"/>
      <c r="AQ3" s="1"/>
      <c r="AR3" s="1"/>
      <c r="AS3" s="1"/>
      <c r="AT3" s="1"/>
      <c r="AU3" s="1"/>
      <c r="AV3" s="1"/>
      <c r="AW3" s="1"/>
      <c r="AX3" s="1"/>
      <c r="AY3" s="1"/>
    </row>
    <row r="4">
      <c r="A4" s="1" t="str">
        <f>IFERROR(__xludf.DUMMYFUNCTION("""COMPUTED_VALUE"""),"Bombadier")</f>
        <v>Bombadier</v>
      </c>
      <c r="B4" s="1" t="str">
        <f>IFERROR(__xludf.DUMMYFUNCTION("""COMPUTED_VALUE"""),"Rank 6 Physical, Melee, Ranged")</f>
        <v>Rank 6 Physical, Melee, Ranged</v>
      </c>
      <c r="C4" s="95" t="str">
        <f>IFERROR(__xludf.DUMMYFUNCTION("""COMPUTED_VALUE"""),"Restricted Class: (Must complete the quest ""Tick-Tock"" in Pirate's Cove to use this Class)
X4 Grenade damage
X4 Damage over time")</f>
        <v>Restricted Class: (Must complete the quest "Tick-Tock" in Pirate's Cove to use this Class)
X4 Grenade damage
X4 Damage over time</v>
      </c>
      <c r="D4" s="1"/>
      <c r="E4" s="1"/>
      <c r="F4" s="1"/>
      <c r="G4" s="1"/>
      <c r="H4" s="1"/>
      <c r="I4" s="1"/>
      <c r="J4" s="1"/>
      <c r="K4" s="1"/>
      <c r="L4" s="1"/>
      <c r="M4" s="1"/>
      <c r="N4" s="1"/>
      <c r="O4" s="1"/>
      <c r="P4" s="1"/>
      <c r="Q4" s="1"/>
      <c r="R4" s="1"/>
      <c r="S4" s="1"/>
      <c r="T4" s="1"/>
      <c r="U4" s="1"/>
      <c r="V4" s="1"/>
      <c r="W4" s="1"/>
      <c r="X4" s="1"/>
      <c r="Y4" s="1"/>
      <c r="Z4" s="1"/>
      <c r="AA4" s="1"/>
      <c r="AB4" s="1"/>
      <c r="AC4" s="1">
        <f>IFERROR(__xludf.DUMMYFUNCTION("""COMPUTED_VALUE"""),6.0)</f>
        <v>6</v>
      </c>
      <c r="AD4" s="1">
        <f>IFERROR(__xludf.DUMMYFUNCTION("""COMPUTED_VALUE"""),6.0)</f>
        <v>6</v>
      </c>
      <c r="AE4" s="1">
        <f>IFERROR(__xludf.DUMMYFUNCTION("""COMPUTED_VALUE"""),6.0)</f>
        <v>6</v>
      </c>
      <c r="AF4" s="1"/>
      <c r="AG4" s="1"/>
      <c r="AH4" s="1"/>
      <c r="AI4" s="1"/>
      <c r="AJ4" s="1"/>
      <c r="AK4" s="1"/>
      <c r="AL4" s="1"/>
      <c r="AM4" s="1"/>
      <c r="AN4" s="1"/>
      <c r="AO4" s="1"/>
      <c r="AP4" s="1"/>
      <c r="AQ4" s="1"/>
      <c r="AR4" s="1"/>
      <c r="AS4" s="1"/>
      <c r="AT4" s="1"/>
      <c r="AU4" s="1"/>
      <c r="AV4" s="1"/>
      <c r="AW4" s="1"/>
      <c r="AX4" s="1"/>
      <c r="AY4" s="1"/>
    </row>
    <row r="5">
      <c r="A5" s="1" t="str">
        <f>IFERROR(__xludf.DUMMYFUNCTION("""COMPUTED_VALUE"""),"Brawler")</f>
        <v>Brawler</v>
      </c>
      <c r="B5" s="1" t="str">
        <f>IFERROR(__xludf.DUMMYFUNCTION("""COMPUTED_VALUE"""),"Rank 9 Physical")</f>
        <v>Rank 9 Physical</v>
      </c>
      <c r="C5" s="95" t="str">
        <f>IFERROR(__xludf.DUMMYFUNCTION("""COMPUTED_VALUE"""),"+5 mobility")</f>
        <v>+5 mobility</v>
      </c>
      <c r="D5" s="1"/>
      <c r="E5" s="1"/>
      <c r="F5" s="1"/>
      <c r="G5" s="1"/>
      <c r="H5" s="1"/>
      <c r="I5" s="1"/>
      <c r="J5" s="1"/>
      <c r="K5" s="1"/>
      <c r="L5" s="1">
        <f>IFERROR(__xludf.DUMMYFUNCTION("""COMPUTED_VALUE"""),5.0)</f>
        <v>5</v>
      </c>
      <c r="M5" s="1"/>
      <c r="N5" s="1"/>
      <c r="O5" s="1"/>
      <c r="P5" s="1"/>
      <c r="Q5" s="1"/>
      <c r="R5" s="1">
        <f>IFERROR(__xludf.DUMMYFUNCTION("""COMPUTED_VALUE"""),0.0)</f>
        <v>0</v>
      </c>
      <c r="S5" s="1"/>
      <c r="T5" s="1"/>
      <c r="U5" s="1"/>
      <c r="V5" s="1"/>
      <c r="W5" s="1"/>
      <c r="X5" s="1"/>
      <c r="Y5" s="1"/>
      <c r="Z5" s="1"/>
      <c r="AA5" s="1"/>
      <c r="AB5" s="1"/>
      <c r="AC5" s="1">
        <f>IFERROR(__xludf.DUMMYFUNCTION("""COMPUTED_VALUE"""),9.0)</f>
        <v>9</v>
      </c>
      <c r="AD5" s="1"/>
      <c r="AE5" s="1"/>
      <c r="AF5" s="1"/>
      <c r="AG5" s="1"/>
      <c r="AH5" s="1"/>
      <c r="AI5" s="1"/>
      <c r="AJ5" s="1"/>
      <c r="AK5" s="1"/>
      <c r="AL5" s="1"/>
      <c r="AM5" s="1"/>
      <c r="AN5" s="1"/>
      <c r="AO5" s="1"/>
      <c r="AP5" s="1"/>
      <c r="AQ5" s="1"/>
      <c r="AR5" s="1"/>
      <c r="AS5" s="1"/>
      <c r="AT5" s="1"/>
      <c r="AU5" s="1"/>
      <c r="AV5" s="1"/>
      <c r="AW5" s="1"/>
      <c r="AX5" s="1"/>
      <c r="AY5" s="1"/>
    </row>
    <row r="6">
      <c r="A6" s="1" t="str">
        <f>IFERROR(__xludf.DUMMYFUNCTION("""COMPUTED_VALUE"""),"Cavalier")</f>
        <v>Cavalier</v>
      </c>
      <c r="B6" s="1" t="str">
        <f>IFERROR(__xludf.DUMMYFUNCTION("""COMPUTED_VALUE"""),"Rank 3 in all elements. (Excluding Acoustic and Zen)")</f>
        <v>Rank 3 in all elements. (Excluding Acoustic and Zen)</v>
      </c>
      <c r="C6" s="95" t="str">
        <f>IFERROR(__xludf.DUMMYFUNCTION("""COMPUTED_VALUE"""),"You gain Rank 9 in all elements your companion knows (add them via the leveler as a tome)
You start with the sub-class Breeder
+5 to all breeding rolls
upon picking this class you gain a single lvl one companion of one of the following (Wolf, [Fire, Storm"&amp;", Earth, Nature, or Water] Wyrm, Imp, or Lesser Tengu)
Wolf: You and any companions deal X2 damage with weapons and Natural along with causing 100 bleed with all weapons
Wyrm: You and any companions deal X2 damage of element of the chosen Wyrm along with "&amp;"permanent rank 9 spells of that Wyrm's type
Imp: You and any companions deal X2 Chaos and Dark damage along with a 10% chance of being afflicted with rampage upon using a Chaos or Dark spell
Tengu: You and any companions deal X2 Order and Light damage alo"&amp;"ng with a 5% chance to inflict an enemy with pacified 1 upon targetting them with a Light or Order spell")</f>
        <v>You gain Rank 9 in all elements your companion knows (add them via the leveler as a tome)
You start with the sub-class Breeder
+5 to all breeding rolls
upon picking this class you gain a single lvl one companion of one of the following (Wolf, [Fire, Storm, Earth, Nature, or Water] Wyrm, Imp, or Lesser Tengu)
Wolf: You and any companions deal X2 damage with weapons and Natural along with causing 100 bleed with all weapons
Wyrm: You and any companions deal X2 damage of element of the chosen Wyrm along with permanent rank 9 spells of that Wyrm's type
Imp: You and any companions deal X2 Chaos and Dark damage along with a 10% chance of being afflicted with rampage upon using a Chaos or Dark spell
Tengu: You and any companions deal X2 Order and Light damage along with a 5% chance to inflict an enemy with pacified 1 upon targetting them with a Light or Order spell</v>
      </c>
      <c r="D6" s="1"/>
      <c r="E6" s="1"/>
      <c r="F6" s="1"/>
      <c r="G6" s="1"/>
      <c r="H6" s="1"/>
      <c r="I6" s="1"/>
      <c r="J6" s="1"/>
      <c r="K6" s="1"/>
      <c r="L6" s="1"/>
      <c r="M6" s="1"/>
      <c r="N6" s="1"/>
      <c r="O6" s="1"/>
      <c r="P6" s="1"/>
      <c r="Q6" s="1"/>
      <c r="R6" s="1">
        <f>IFERROR(__xludf.DUMMYFUNCTION("""COMPUTED_VALUE"""),0.0)</f>
        <v>0</v>
      </c>
      <c r="S6" s="1">
        <f>IFERROR(__xludf.DUMMYFUNCTION("""COMPUTED_VALUE"""),3.0)</f>
        <v>3</v>
      </c>
      <c r="T6" s="1">
        <f>IFERROR(__xludf.DUMMYFUNCTION("""COMPUTED_VALUE"""),3.0)</f>
        <v>3</v>
      </c>
      <c r="U6" s="1">
        <f>IFERROR(__xludf.DUMMYFUNCTION("""COMPUTED_VALUE"""),3.0)</f>
        <v>3</v>
      </c>
      <c r="V6" s="1">
        <f>IFERROR(__xludf.DUMMYFUNCTION("""COMPUTED_VALUE"""),3.0)</f>
        <v>3</v>
      </c>
      <c r="W6" s="1">
        <f>IFERROR(__xludf.DUMMYFUNCTION("""COMPUTED_VALUE"""),3.0)</f>
        <v>3</v>
      </c>
      <c r="X6" s="1">
        <f>IFERROR(__xludf.DUMMYFUNCTION("""COMPUTED_VALUE"""),3.0)</f>
        <v>3</v>
      </c>
      <c r="Y6" s="1">
        <f>IFERROR(__xludf.DUMMYFUNCTION("""COMPUTED_VALUE"""),3.0)</f>
        <v>3</v>
      </c>
      <c r="Z6" s="1">
        <f>IFERROR(__xludf.DUMMYFUNCTION("""COMPUTED_VALUE"""),3.0)</f>
        <v>3</v>
      </c>
      <c r="AA6" s="1">
        <f>IFERROR(__xludf.DUMMYFUNCTION("""COMPUTED_VALUE"""),3.0)</f>
        <v>3</v>
      </c>
      <c r="AB6" s="1">
        <f>IFERROR(__xludf.DUMMYFUNCTION("""COMPUTED_VALUE"""),3.0)</f>
        <v>3</v>
      </c>
      <c r="AC6" s="1">
        <f>IFERROR(__xludf.DUMMYFUNCTION("""COMPUTED_VALUE"""),3.0)</f>
        <v>3</v>
      </c>
      <c r="AD6" s="1">
        <f>IFERROR(__xludf.DUMMYFUNCTION("""COMPUTED_VALUE"""),3.0)</f>
        <v>3</v>
      </c>
      <c r="AE6" s="1">
        <f>IFERROR(__xludf.DUMMYFUNCTION("""COMPUTED_VALUE"""),3.0)</f>
        <v>3</v>
      </c>
      <c r="AF6" s="1">
        <f>IFERROR(__xludf.DUMMYFUNCTION("""COMPUTED_VALUE"""),3.0)</f>
        <v>3</v>
      </c>
      <c r="AG6" s="1">
        <f>IFERROR(__xludf.DUMMYFUNCTION("""COMPUTED_VALUE"""),3.0)</f>
        <v>3</v>
      </c>
      <c r="AH6" s="1">
        <f>IFERROR(__xludf.DUMMYFUNCTION("""COMPUTED_VALUE"""),3.0)</f>
        <v>3</v>
      </c>
      <c r="AI6" s="1">
        <f>IFERROR(__xludf.DUMMYFUNCTION("""COMPUTED_VALUE"""),3.0)</f>
        <v>3</v>
      </c>
      <c r="AJ6" s="1">
        <f>IFERROR(__xludf.DUMMYFUNCTION("""COMPUTED_VALUE"""),3.0)</f>
        <v>3</v>
      </c>
      <c r="AK6" s="1"/>
      <c r="AL6" s="1"/>
      <c r="AM6" s="1">
        <f>IFERROR(__xludf.DUMMYFUNCTION("""COMPUTED_VALUE"""),3.0)</f>
        <v>3</v>
      </c>
      <c r="AN6" s="1"/>
      <c r="AO6" s="1"/>
      <c r="AP6" s="1"/>
      <c r="AQ6" s="1"/>
      <c r="AR6" s="1"/>
      <c r="AS6" s="1"/>
      <c r="AT6" s="1"/>
      <c r="AU6" s="1"/>
      <c r="AV6" s="1"/>
      <c r="AW6" s="1"/>
      <c r="AX6" s="1"/>
      <c r="AY6" s="1"/>
    </row>
    <row r="7">
      <c r="A7" s="1" t="str">
        <f>IFERROR(__xludf.DUMMYFUNCTION("""COMPUTED_VALUE"""),"Cultist")</f>
        <v>Cultist</v>
      </c>
      <c r="B7" s="1" t="str">
        <f>IFERROR(__xludf.DUMMYFUNCTION("""COMPUTED_VALUE"""),"Rank 6 Chaos, Dark, Blood")</f>
        <v>Rank 6 Chaos, Dark, Blood</v>
      </c>
      <c r="C7" s="95" t="str">
        <f>IFERROR(__xludf.DUMMYFUNCTION("""COMPUTED_VALUE"""),"Starts with 12 spell slots instead of 6.
Immune To Chaos and Dark
25% chance to inflict the target that killed you with a random non-permanent curse.")</f>
        <v>Starts with 12 spell slots instead of 6.
Immune To Chaos and Dark
25% chance to inflict the target that killed you with a random non-permanent curse.</v>
      </c>
      <c r="D7" s="1"/>
      <c r="E7" s="1"/>
      <c r="F7" s="1"/>
      <c r="G7" s="1"/>
      <c r="H7" s="1"/>
      <c r="I7" s="1"/>
      <c r="J7" s="1"/>
      <c r="K7" s="1"/>
      <c r="L7" s="1"/>
      <c r="M7" s="1"/>
      <c r="N7" s="1"/>
      <c r="O7" s="1"/>
      <c r="P7" s="1"/>
      <c r="Q7" s="1"/>
      <c r="R7" s="1">
        <f>IFERROR(__xludf.DUMMYFUNCTION("""COMPUTED_VALUE"""),0.0)</f>
        <v>0</v>
      </c>
      <c r="S7" s="1"/>
      <c r="T7" s="1"/>
      <c r="U7" s="1"/>
      <c r="V7" s="1"/>
      <c r="W7" s="1"/>
      <c r="X7" s="1">
        <f>IFERROR(__xludf.DUMMYFUNCTION("""COMPUTED_VALUE"""),6.0)</f>
        <v>6</v>
      </c>
      <c r="Y7" s="1"/>
      <c r="Z7" s="1"/>
      <c r="AA7" s="1">
        <f>IFERROR(__xludf.DUMMYFUNCTION("""COMPUTED_VALUE"""),6.0)</f>
        <v>6</v>
      </c>
      <c r="AB7" s="1"/>
      <c r="AC7" s="1"/>
      <c r="AD7" s="1"/>
      <c r="AE7" s="1"/>
      <c r="AF7" s="1"/>
      <c r="AG7" s="1"/>
      <c r="AH7" s="1"/>
      <c r="AI7" s="1">
        <f>IFERROR(__xludf.DUMMYFUNCTION("""COMPUTED_VALUE"""),6.0)</f>
        <v>6</v>
      </c>
      <c r="AJ7" s="1"/>
      <c r="AK7" s="1"/>
      <c r="AL7" s="1"/>
      <c r="AM7" s="1"/>
      <c r="AN7" s="1"/>
      <c r="AO7" s="1"/>
      <c r="AP7" s="1"/>
      <c r="AQ7" s="1"/>
      <c r="AR7" s="1"/>
      <c r="AS7" s="1"/>
      <c r="AT7" s="1"/>
      <c r="AU7" s="1"/>
      <c r="AV7" s="1"/>
      <c r="AW7" s="1"/>
      <c r="AX7" s="1"/>
      <c r="AY7" s="1"/>
    </row>
    <row r="8">
      <c r="A8" s="1" t="str">
        <f>IFERROR(__xludf.DUMMYFUNCTION("""COMPUTED_VALUE"""),"Druid")</f>
        <v>Druid</v>
      </c>
      <c r="B8" s="1" t="str">
        <f>IFERROR(__xludf.DUMMYFUNCTION("""COMPUTED_VALUE"""),"Rank 9 Nature, Rank 6 Light")</f>
        <v>Rank 9 Nature, Rank 6 Light</v>
      </c>
      <c r="C8" s="95" t="str">
        <f>IFERROR(__xludf.DUMMYFUNCTION("""COMPUTED_VALUE"""),"Your Companions deal X4 additional damage.
Companions/Pets that hatched from eggs start at level 100
Nature Immune
Can use Wisdom when attacking with a hit/miss spell.")</f>
        <v>Your Companions deal X4 additional damage.
Companions/Pets that hatched from eggs start at level 100
Nature Immune
Can use Wisdom when attacking with a hit/miss spell.</v>
      </c>
      <c r="D8" s="1"/>
      <c r="E8" s="1"/>
      <c r="F8" s="1"/>
      <c r="G8" s="1"/>
      <c r="H8" s="1"/>
      <c r="I8" s="1"/>
      <c r="J8" s="1"/>
      <c r="K8" s="1"/>
      <c r="L8" s="1"/>
      <c r="M8" s="1"/>
      <c r="N8" s="1"/>
      <c r="O8" s="1"/>
      <c r="P8" s="1"/>
      <c r="Q8" s="1"/>
      <c r="R8" s="1">
        <f>IFERROR(__xludf.DUMMYFUNCTION("""COMPUTED_VALUE"""),0.0)</f>
        <v>0</v>
      </c>
      <c r="S8" s="1"/>
      <c r="T8" s="1"/>
      <c r="U8" s="1"/>
      <c r="V8" s="1"/>
      <c r="W8" s="1">
        <f>IFERROR(__xludf.DUMMYFUNCTION("""COMPUTED_VALUE"""),6.0)</f>
        <v>6</v>
      </c>
      <c r="X8" s="1"/>
      <c r="Y8" s="1"/>
      <c r="Z8" s="1"/>
      <c r="AA8" s="1"/>
      <c r="AB8" s="1">
        <f>IFERROR(__xludf.DUMMYFUNCTION("""COMPUTED_VALUE"""),9.0)</f>
        <v>9</v>
      </c>
      <c r="AC8" s="1"/>
      <c r="AD8" s="1"/>
      <c r="AE8" s="1"/>
      <c r="AF8" s="1"/>
      <c r="AG8" s="1"/>
      <c r="AH8" s="1"/>
      <c r="AI8" s="1"/>
      <c r="AJ8" s="1"/>
      <c r="AK8" s="1"/>
      <c r="AL8" s="1"/>
      <c r="AM8" s="1"/>
      <c r="AN8" s="1"/>
      <c r="AO8" s="1"/>
      <c r="AP8" s="1"/>
      <c r="AQ8" s="1"/>
      <c r="AR8" s="1"/>
      <c r="AS8" s="1"/>
      <c r="AT8" s="1"/>
      <c r="AU8" s="1"/>
      <c r="AV8" s="1"/>
      <c r="AW8" s="1"/>
      <c r="AX8" s="1"/>
      <c r="AY8" s="1"/>
    </row>
    <row r="9">
      <c r="A9" s="1" t="str">
        <f>IFERROR(__xludf.DUMMYFUNCTION("""COMPUTED_VALUE"""),"Gunslinger")</f>
        <v>Gunslinger</v>
      </c>
      <c r="B9" s="1" t="str">
        <f>IFERROR(__xludf.DUMMYFUNCTION("""COMPUTED_VALUE"""),"Rank 6 Ranged, Physical, Melee")</f>
        <v>Rank 6 Ranged, Physical, Melee</v>
      </c>
      <c r="C9" s="95" t="str">
        <f>IFERROR(__xludf.DUMMYFUNCTION("""COMPUTED_VALUE"""),"X6 damage with Firearms.
Starts with the exclusive power ""Lasso""")</f>
        <v>X6 damage with Firearms.
Starts with the exclusive power "Lasso"</v>
      </c>
      <c r="D9" s="1"/>
      <c r="E9" s="1"/>
      <c r="F9" s="1"/>
      <c r="G9" s="1"/>
      <c r="H9" s="1"/>
      <c r="I9" s="1"/>
      <c r="J9" s="1"/>
      <c r="K9" s="1"/>
      <c r="L9" s="1"/>
      <c r="M9" s="1"/>
      <c r="N9" s="1"/>
      <c r="O9" s="1"/>
      <c r="P9" s="1"/>
      <c r="Q9" s="1"/>
      <c r="R9" s="1">
        <f>IFERROR(__xludf.DUMMYFUNCTION("""COMPUTED_VALUE"""),0.0)</f>
        <v>0</v>
      </c>
      <c r="S9" s="1"/>
      <c r="T9" s="1"/>
      <c r="U9" s="1"/>
      <c r="V9" s="1"/>
      <c r="W9" s="1"/>
      <c r="X9" s="1"/>
      <c r="Y9" s="1"/>
      <c r="Z9" s="1"/>
      <c r="AA9" s="1"/>
      <c r="AB9" s="1"/>
      <c r="AC9" s="1">
        <f>IFERROR(__xludf.DUMMYFUNCTION("""COMPUTED_VALUE"""),6.0)</f>
        <v>6</v>
      </c>
      <c r="AD9" s="1">
        <f>IFERROR(__xludf.DUMMYFUNCTION("""COMPUTED_VALUE"""),6.0)</f>
        <v>6</v>
      </c>
      <c r="AE9" s="1">
        <f>IFERROR(__xludf.DUMMYFUNCTION("""COMPUTED_VALUE"""),6.0)</f>
        <v>6</v>
      </c>
      <c r="AF9" s="1"/>
      <c r="AG9" s="1"/>
      <c r="AH9" s="1"/>
      <c r="AI9" s="1"/>
      <c r="AJ9" s="1"/>
      <c r="AK9" s="1"/>
      <c r="AL9" s="1"/>
      <c r="AM9" s="1"/>
      <c r="AN9" s="1"/>
      <c r="AO9" s="1"/>
      <c r="AP9" s="1"/>
      <c r="AQ9" s="1"/>
      <c r="AR9" s="1"/>
      <c r="AS9" s="1"/>
      <c r="AT9" s="1"/>
      <c r="AU9" s="1"/>
      <c r="AV9" s="1"/>
      <c r="AW9" s="1"/>
      <c r="AX9" s="1"/>
      <c r="AY9" s="1"/>
    </row>
    <row r="10">
      <c r="A10" s="1" t="str">
        <f>IFERROR(__xludf.DUMMYFUNCTION("""COMPUTED_VALUE"""),"Hunter")</f>
        <v>Hunter</v>
      </c>
      <c r="B10" s="1" t="str">
        <f>IFERROR(__xludf.DUMMYFUNCTION("""COMPUTED_VALUE"""),"Rank 6 Nature and Range")</f>
        <v>Rank 6 Nature and Range</v>
      </c>
      <c r="C10" s="95" t="str">
        <f>IFERROR(__xludf.DUMMYFUNCTION("""COMPUTED_VALUE"""),"If you roll nothing when looting you can roll again
Starts with the Sub-Class Chef.
Starts with Sou-Chef Proficiency")</f>
        <v>If you roll nothing when looting you can roll again
Starts with the Sub-Class Chef.
Starts with Sou-Chef Proficiency</v>
      </c>
      <c r="D10" s="1"/>
      <c r="E10" s="1"/>
      <c r="F10" s="1"/>
      <c r="G10" s="1"/>
      <c r="H10" s="1"/>
      <c r="I10" s="1"/>
      <c r="J10" s="1"/>
      <c r="K10" s="1"/>
      <c r="L10" s="1"/>
      <c r="M10" s="1"/>
      <c r="N10" s="1"/>
      <c r="O10" s="1"/>
      <c r="P10" s="1"/>
      <c r="Q10" s="1"/>
      <c r="R10" s="1">
        <f>IFERROR(__xludf.DUMMYFUNCTION("""COMPUTED_VALUE"""),0.0)</f>
        <v>0</v>
      </c>
      <c r="S10" s="1"/>
      <c r="T10" s="1"/>
      <c r="U10" s="1"/>
      <c r="V10" s="1"/>
      <c r="W10" s="1"/>
      <c r="X10" s="1"/>
      <c r="Y10" s="1"/>
      <c r="Z10" s="1"/>
      <c r="AA10" s="1"/>
      <c r="AB10" s="1">
        <f>IFERROR(__xludf.DUMMYFUNCTION("""COMPUTED_VALUE"""),6.0)</f>
        <v>6</v>
      </c>
      <c r="AC10" s="1"/>
      <c r="AD10" s="1"/>
      <c r="AE10" s="1">
        <f>IFERROR(__xludf.DUMMYFUNCTION("""COMPUTED_VALUE"""),6.0)</f>
        <v>6</v>
      </c>
      <c r="AF10" s="1"/>
      <c r="AG10" s="1"/>
      <c r="AH10" s="1"/>
      <c r="AI10" s="1"/>
      <c r="AJ10" s="1"/>
      <c r="AK10" s="1"/>
      <c r="AL10" s="1"/>
      <c r="AM10" s="1"/>
      <c r="AN10" s="1"/>
      <c r="AO10" s="1"/>
      <c r="AP10" s="1"/>
      <c r="AQ10" s="1"/>
      <c r="AR10" s="1"/>
      <c r="AS10" s="1"/>
      <c r="AT10" s="1"/>
      <c r="AU10" s="1"/>
      <c r="AV10" s="1"/>
      <c r="AW10" s="1"/>
      <c r="AX10" s="1"/>
      <c r="AY10" s="1"/>
    </row>
    <row r="11">
      <c r="A11" s="1" t="str">
        <f>IFERROR(__xludf.DUMMYFUNCTION("""COMPUTED_VALUE"""),"Jack of all Trades")</f>
        <v>Jack of all Trades</v>
      </c>
      <c r="B11" s="1" t="str">
        <f>IFERROR(__xludf.DUMMYFUNCTION("""COMPUTED_VALUE"""),"Rank 6 in all elements. (Excluding Acoustic)")</f>
        <v>Rank 6 in all elements. (Excluding Acoustic)</v>
      </c>
      <c r="C11" s="95" t="str">
        <f>IFERROR(__xludf.DUMMYFUNCTION("""COMPUTED_VALUE"""),"Starts with the following Sub-Classes:
Blacksmith
Enchanter
Alchemist
Chef
Spira Guard
Breeder
Crafter
Farmer
Miner
Fisherman")</f>
        <v>Starts with the following Sub-Classes:
Blacksmith
Enchanter
Alchemist
Chef
Spira Guard
Breeder
Crafter
Farmer
Miner
Fisherman</v>
      </c>
      <c r="D11" s="1"/>
      <c r="E11" s="1"/>
      <c r="F11" s="1"/>
      <c r="G11" s="1"/>
      <c r="H11" s="1"/>
      <c r="I11" s="1"/>
      <c r="J11" s="1"/>
      <c r="K11" s="1"/>
      <c r="L11" s="1"/>
      <c r="M11" s="1"/>
      <c r="N11" s="1"/>
      <c r="O11" s="1"/>
      <c r="P11" s="1"/>
      <c r="Q11" s="1"/>
      <c r="R11" s="1">
        <f>IFERROR(__xludf.DUMMYFUNCTION("""COMPUTED_VALUE"""),0.0)</f>
        <v>0</v>
      </c>
      <c r="S11" s="1">
        <f>IFERROR(__xludf.DUMMYFUNCTION("""COMPUTED_VALUE"""),6.0)</f>
        <v>6</v>
      </c>
      <c r="T11" s="1">
        <f>IFERROR(__xludf.DUMMYFUNCTION("""COMPUTED_VALUE"""),6.0)</f>
        <v>6</v>
      </c>
      <c r="U11" s="1">
        <f>IFERROR(__xludf.DUMMYFUNCTION("""COMPUTED_VALUE"""),6.0)</f>
        <v>6</v>
      </c>
      <c r="V11" s="1">
        <f>IFERROR(__xludf.DUMMYFUNCTION("""COMPUTED_VALUE"""),6.0)</f>
        <v>6</v>
      </c>
      <c r="W11" s="1">
        <f>IFERROR(__xludf.DUMMYFUNCTION("""COMPUTED_VALUE"""),6.0)</f>
        <v>6</v>
      </c>
      <c r="X11" s="1">
        <f>IFERROR(__xludf.DUMMYFUNCTION("""COMPUTED_VALUE"""),6.0)</f>
        <v>6</v>
      </c>
      <c r="Y11" s="1">
        <f>IFERROR(__xludf.DUMMYFUNCTION("""COMPUTED_VALUE"""),6.0)</f>
        <v>6</v>
      </c>
      <c r="Z11" s="1">
        <f>IFERROR(__xludf.DUMMYFUNCTION("""COMPUTED_VALUE"""),6.0)</f>
        <v>6</v>
      </c>
      <c r="AA11" s="1">
        <f>IFERROR(__xludf.DUMMYFUNCTION("""COMPUTED_VALUE"""),6.0)</f>
        <v>6</v>
      </c>
      <c r="AB11" s="1">
        <f>IFERROR(__xludf.DUMMYFUNCTION("""COMPUTED_VALUE"""),6.0)</f>
        <v>6</v>
      </c>
      <c r="AC11" s="1">
        <f>IFERROR(__xludf.DUMMYFUNCTION("""COMPUTED_VALUE"""),6.0)</f>
        <v>6</v>
      </c>
      <c r="AD11" s="1">
        <f>IFERROR(__xludf.DUMMYFUNCTION("""COMPUTED_VALUE"""),6.0)</f>
        <v>6</v>
      </c>
      <c r="AE11" s="1">
        <f>IFERROR(__xludf.DUMMYFUNCTION("""COMPUTED_VALUE"""),6.0)</f>
        <v>6</v>
      </c>
      <c r="AF11" s="1">
        <f>IFERROR(__xludf.DUMMYFUNCTION("""COMPUTED_VALUE"""),6.0)</f>
        <v>6</v>
      </c>
      <c r="AG11" s="1">
        <f>IFERROR(__xludf.DUMMYFUNCTION("""COMPUTED_VALUE"""),6.0)</f>
        <v>6</v>
      </c>
      <c r="AH11" s="1">
        <f>IFERROR(__xludf.DUMMYFUNCTION("""COMPUTED_VALUE"""),6.0)</f>
        <v>6</v>
      </c>
      <c r="AI11" s="1">
        <f>IFERROR(__xludf.DUMMYFUNCTION("""COMPUTED_VALUE"""),6.0)</f>
        <v>6</v>
      </c>
      <c r="AJ11" s="1">
        <f>IFERROR(__xludf.DUMMYFUNCTION("""COMPUTED_VALUE"""),6.0)</f>
        <v>6</v>
      </c>
      <c r="AK11" s="1">
        <f>IFERROR(__xludf.DUMMYFUNCTION("""COMPUTED_VALUE"""),6.0)</f>
        <v>6</v>
      </c>
      <c r="AL11" s="1"/>
      <c r="AM11" s="1"/>
      <c r="AN11" s="1"/>
      <c r="AO11" s="1"/>
      <c r="AP11" s="1"/>
      <c r="AQ11" s="1"/>
      <c r="AR11" s="1"/>
      <c r="AS11" s="1"/>
      <c r="AT11" s="1"/>
      <c r="AU11" s="1"/>
      <c r="AV11" s="1"/>
      <c r="AW11" s="1"/>
      <c r="AX11" s="1"/>
      <c r="AY11" s="1"/>
    </row>
    <row r="12">
      <c r="A12" s="1" t="str">
        <f>IFERROR(__xludf.DUMMYFUNCTION("""COMPUTED_VALUE"""),"Knight")</f>
        <v>Knight</v>
      </c>
      <c r="B12" s="1" t="str">
        <f>IFERROR(__xludf.DUMMYFUNCTION("""COMPUTED_VALUE"""),"Rank 6 Physical, Melee,Ranged, Order, and Light,")</f>
        <v>Rank 6 Physical, Melee,Ranged, Order, and Light,</v>
      </c>
      <c r="C12" s="95" t="str">
        <f>IFERROR(__xludf.DUMMYFUNCTION("""COMPUTED_VALUE"""),"+10 Charisma 
Starts with the Ability “Spira Guard”")</f>
        <v>+10 Charisma 
Starts with the Ability “Spira Guard”</v>
      </c>
      <c r="D12" s="1"/>
      <c r="E12" s="1"/>
      <c r="F12" s="1"/>
      <c r="G12" s="1">
        <f>IFERROR(__xludf.DUMMYFUNCTION("""COMPUTED_VALUE"""),10.0)</f>
        <v>10</v>
      </c>
      <c r="H12" s="1"/>
      <c r="I12" s="1"/>
      <c r="J12" s="1"/>
      <c r="K12" s="1"/>
      <c r="L12" s="1"/>
      <c r="M12" s="1"/>
      <c r="N12" s="1"/>
      <c r="O12" s="1"/>
      <c r="P12" s="1"/>
      <c r="Q12" s="1"/>
      <c r="R12" s="1">
        <f>IFERROR(__xludf.DUMMYFUNCTION("""COMPUTED_VALUE"""),0.0)</f>
        <v>0</v>
      </c>
      <c r="S12" s="1"/>
      <c r="T12" s="1"/>
      <c r="U12" s="1"/>
      <c r="V12" s="1"/>
      <c r="W12" s="1">
        <f>IFERROR(__xludf.DUMMYFUNCTION("""COMPUTED_VALUE"""),6.0)</f>
        <v>6</v>
      </c>
      <c r="X12" s="1"/>
      <c r="Y12" s="1"/>
      <c r="Z12" s="1">
        <f>IFERROR(__xludf.DUMMYFUNCTION("""COMPUTED_VALUE"""),6.0)</f>
        <v>6</v>
      </c>
      <c r="AA12" s="1"/>
      <c r="AB12" s="1"/>
      <c r="AC12" s="1">
        <f>IFERROR(__xludf.DUMMYFUNCTION("""COMPUTED_VALUE"""),6.0)</f>
        <v>6</v>
      </c>
      <c r="AD12" s="1">
        <f>IFERROR(__xludf.DUMMYFUNCTION("""COMPUTED_VALUE"""),6.0)</f>
        <v>6</v>
      </c>
      <c r="AE12" s="1">
        <f>IFERROR(__xludf.DUMMYFUNCTION("""COMPUTED_VALUE"""),6.0)</f>
        <v>6</v>
      </c>
      <c r="AF12" s="1"/>
      <c r="AG12" s="1"/>
      <c r="AH12" s="1"/>
      <c r="AI12" s="1"/>
      <c r="AJ12" s="1"/>
      <c r="AK12" s="1"/>
      <c r="AL12" s="1"/>
      <c r="AM12" s="1"/>
      <c r="AN12" s="1"/>
      <c r="AO12" s="1"/>
      <c r="AP12" s="1"/>
      <c r="AQ12" s="1"/>
      <c r="AR12" s="1"/>
      <c r="AS12" s="1"/>
      <c r="AT12" s="1"/>
      <c r="AU12" s="1"/>
      <c r="AV12" s="1"/>
      <c r="AW12" s="1"/>
      <c r="AX12" s="1"/>
      <c r="AY12" s="1"/>
    </row>
    <row r="13">
      <c r="A13" s="1" t="str">
        <f>IFERROR(__xludf.DUMMYFUNCTION("""COMPUTED_VALUE"""),"Mage")</f>
        <v>Mage</v>
      </c>
      <c r="B13" s="1" t="str">
        <f>IFERROR(__xludf.DUMMYFUNCTION("""COMPUTED_VALUE"""),"Rank 9 Select 1 of any element. (excluding Zen and Acoustic)")</f>
        <v>Rank 9 Select 1 of any element. (excluding Zen and Acoustic)</v>
      </c>
      <c r="C13" s="95" t="str">
        <f>IFERROR(__xludf.DUMMYFUNCTION("""COMPUTED_VALUE"""),"You start off with 3 spells of your choosing from your selected element.
Spell costs are divided by 2 for the user.
Starts with 12 spell slots instead of 6
Can use Wisdom when attacking with a hit/miss spell.")</f>
        <v>You start off with 3 spells of your choosing from your selected element.
Spell costs are divided by 2 for the user.
Starts with 12 spell slots instead of 6
Can use Wisdom when attacking with a hit/miss spell.</v>
      </c>
      <c r="D13" s="1"/>
      <c r="E13" s="1"/>
      <c r="F13" s="1"/>
      <c r="G13" s="1"/>
      <c r="H13" s="1"/>
      <c r="I13" s="1"/>
      <c r="J13" s="1"/>
      <c r="K13" s="1"/>
      <c r="L13" s="1"/>
      <c r="M13" s="1"/>
      <c r="N13" s="1"/>
      <c r="O13" s="1"/>
      <c r="P13" s="1"/>
      <c r="Q13" s="1"/>
      <c r="R13" s="1">
        <f>IFERROR(__xludf.DUMMYFUNCTION("""COMPUTED_VALUE"""),1.0)</f>
        <v>1</v>
      </c>
      <c r="S13" s="1">
        <f>IFERROR(__xludf.DUMMYFUNCTION("""COMPUTED_VALUE"""),9.0)</f>
        <v>9</v>
      </c>
      <c r="T13" s="1">
        <f>IFERROR(__xludf.DUMMYFUNCTION("""COMPUTED_VALUE"""),9.0)</f>
        <v>9</v>
      </c>
      <c r="U13" s="1">
        <f>IFERROR(__xludf.DUMMYFUNCTION("""COMPUTED_VALUE"""),9.0)</f>
        <v>9</v>
      </c>
      <c r="V13" s="1">
        <f>IFERROR(__xludf.DUMMYFUNCTION("""COMPUTED_VALUE"""),9.0)</f>
        <v>9</v>
      </c>
      <c r="W13" s="1">
        <f>IFERROR(__xludf.DUMMYFUNCTION("""COMPUTED_VALUE"""),9.0)</f>
        <v>9</v>
      </c>
      <c r="X13" s="1">
        <f>IFERROR(__xludf.DUMMYFUNCTION("""COMPUTED_VALUE"""),9.0)</f>
        <v>9</v>
      </c>
      <c r="Y13" s="1">
        <f>IFERROR(__xludf.DUMMYFUNCTION("""COMPUTED_VALUE"""),9.0)</f>
        <v>9</v>
      </c>
      <c r="Z13" s="1">
        <f>IFERROR(__xludf.DUMMYFUNCTION("""COMPUTED_VALUE"""),9.0)</f>
        <v>9</v>
      </c>
      <c r="AA13" s="1">
        <f>IFERROR(__xludf.DUMMYFUNCTION("""COMPUTED_VALUE"""),9.0)</f>
        <v>9</v>
      </c>
      <c r="AB13" s="1">
        <f>IFERROR(__xludf.DUMMYFUNCTION("""COMPUTED_VALUE"""),9.0)</f>
        <v>9</v>
      </c>
      <c r="AC13" s="1">
        <f>IFERROR(__xludf.DUMMYFUNCTION("""COMPUTED_VALUE"""),9.0)</f>
        <v>9</v>
      </c>
      <c r="AD13" s="1">
        <f>IFERROR(__xludf.DUMMYFUNCTION("""COMPUTED_VALUE"""),9.0)</f>
        <v>9</v>
      </c>
      <c r="AE13" s="1">
        <f>IFERROR(__xludf.DUMMYFUNCTION("""COMPUTED_VALUE"""),9.0)</f>
        <v>9</v>
      </c>
      <c r="AF13" s="1">
        <f>IFERROR(__xludf.DUMMYFUNCTION("""COMPUTED_VALUE"""),9.0)</f>
        <v>9</v>
      </c>
      <c r="AG13" s="1">
        <f>IFERROR(__xludf.DUMMYFUNCTION("""COMPUTED_VALUE"""),9.0)</f>
        <v>9</v>
      </c>
      <c r="AH13" s="1">
        <f>IFERROR(__xludf.DUMMYFUNCTION("""COMPUTED_VALUE"""),9.0)</f>
        <v>9</v>
      </c>
      <c r="AI13" s="1">
        <f>IFERROR(__xludf.DUMMYFUNCTION("""COMPUTED_VALUE"""),9.0)</f>
        <v>9</v>
      </c>
      <c r="AJ13" s="1">
        <f>IFERROR(__xludf.DUMMYFUNCTION("""COMPUTED_VALUE"""),9.0)</f>
        <v>9</v>
      </c>
      <c r="AK13" s="1"/>
      <c r="AL13" s="1"/>
      <c r="AM13" s="1">
        <f>IFERROR(__xludf.DUMMYFUNCTION("""COMPUTED_VALUE"""),9.0)</f>
        <v>9</v>
      </c>
      <c r="AN13" s="1"/>
      <c r="AO13" s="1"/>
      <c r="AP13" s="1"/>
      <c r="AQ13" s="1"/>
      <c r="AR13" s="1"/>
      <c r="AS13" s="1"/>
      <c r="AT13" s="1"/>
      <c r="AU13" s="1"/>
      <c r="AV13" s="1"/>
      <c r="AW13" s="1"/>
      <c r="AX13" s="1"/>
      <c r="AY13" s="1"/>
    </row>
    <row r="14">
      <c r="A14" s="1" t="str">
        <f>IFERROR(__xludf.DUMMYFUNCTION("""COMPUTED_VALUE"""),"Marauder ")</f>
        <v>Marauder </v>
      </c>
      <c r="B14" s="1" t="str">
        <f>IFERROR(__xludf.DUMMYFUNCTION("""COMPUTED_VALUE"""),"Rank 6 Dark, Range, Melee, Physical")</f>
        <v>Rank 6 Dark, Range, Melee, Physical</v>
      </c>
      <c r="C14" s="95" t="str">
        <f>IFERROR(__xludf.DUMMYFUNCTION("""COMPUTED_VALUE"""),"+10 Charisma 
Get an extra loot roll.")</f>
        <v>+10 Charisma 
Get an extra loot roll.</v>
      </c>
      <c r="D14" s="1"/>
      <c r="E14" s="1"/>
      <c r="F14" s="1"/>
      <c r="G14" s="1">
        <f>IFERROR(__xludf.DUMMYFUNCTION("""COMPUTED_VALUE"""),10.0)</f>
        <v>10</v>
      </c>
      <c r="H14" s="1"/>
      <c r="I14" s="1"/>
      <c r="J14" s="1"/>
      <c r="K14" s="1"/>
      <c r="L14" s="1"/>
      <c r="M14" s="1"/>
      <c r="N14" s="1"/>
      <c r="O14" s="1"/>
      <c r="P14" s="1"/>
      <c r="Q14" s="1"/>
      <c r="R14" s="1">
        <f>IFERROR(__xludf.DUMMYFUNCTION("""COMPUTED_VALUE"""),0.0)</f>
        <v>0</v>
      </c>
      <c r="S14" s="1"/>
      <c r="T14" s="1"/>
      <c r="U14" s="1"/>
      <c r="V14" s="1"/>
      <c r="W14" s="1"/>
      <c r="X14" s="1">
        <f>IFERROR(__xludf.DUMMYFUNCTION("""COMPUTED_VALUE"""),6.0)</f>
        <v>6</v>
      </c>
      <c r="Y14" s="1"/>
      <c r="Z14" s="1"/>
      <c r="AA14" s="1"/>
      <c r="AB14" s="1"/>
      <c r="AC14" s="1">
        <f>IFERROR(__xludf.DUMMYFUNCTION("""COMPUTED_VALUE"""),6.0)</f>
        <v>6</v>
      </c>
      <c r="AD14" s="1">
        <f>IFERROR(__xludf.DUMMYFUNCTION("""COMPUTED_VALUE"""),6.0)</f>
        <v>6</v>
      </c>
      <c r="AE14" s="1">
        <f>IFERROR(__xludf.DUMMYFUNCTION("""COMPUTED_VALUE"""),6.0)</f>
        <v>6</v>
      </c>
      <c r="AF14" s="1"/>
      <c r="AG14" s="1"/>
      <c r="AH14" s="1"/>
      <c r="AI14" s="1"/>
      <c r="AJ14" s="1"/>
      <c r="AK14" s="1"/>
      <c r="AL14" s="1"/>
      <c r="AM14" s="1"/>
      <c r="AN14" s="1"/>
      <c r="AO14" s="1"/>
      <c r="AP14" s="1"/>
      <c r="AQ14" s="1"/>
      <c r="AR14" s="1"/>
      <c r="AS14" s="1"/>
      <c r="AT14" s="1"/>
      <c r="AU14" s="1"/>
      <c r="AV14" s="1"/>
      <c r="AW14" s="1"/>
      <c r="AX14" s="1"/>
      <c r="AY14" s="1"/>
    </row>
    <row r="15">
      <c r="A15" s="1" t="str">
        <f>IFERROR(__xludf.DUMMYFUNCTION("""COMPUTED_VALUE"""),"Merchant")</f>
        <v>Merchant</v>
      </c>
      <c r="B15" s="1" t="str">
        <f>IFERROR(__xludf.DUMMYFUNCTION("""COMPUTED_VALUE"""),"Rank 6 Ranged, Physical, Melee")</f>
        <v>Rank 6 Ranged, Physical, Melee</v>
      </c>
      <c r="C15" s="95" t="str">
        <f>IFERROR(__xludf.DUMMYFUNCTION("""COMPUTED_VALUE"""),"+20 Charisma when haggling over the price of something.
+5 Charisma
Starts with 120 backpack storage instead of 70.
Starts with 5 locations visited of choosing excluding your starting town.")</f>
        <v>+20 Charisma when haggling over the price of something.
+5 Charisma
Starts with 120 backpack storage instead of 70.
Starts with 5 locations visited of choosing excluding your starting town.</v>
      </c>
      <c r="D15" s="1"/>
      <c r="E15" s="1"/>
      <c r="F15" s="1"/>
      <c r="G15" s="1">
        <f>IFERROR(__xludf.DUMMYFUNCTION("""COMPUTED_VALUE"""),5.0)</f>
        <v>5</v>
      </c>
      <c r="H15" s="1"/>
      <c r="I15" s="1"/>
      <c r="J15" s="1"/>
      <c r="K15" s="1"/>
      <c r="L15" s="1"/>
      <c r="M15" s="1"/>
      <c r="N15" s="1"/>
      <c r="O15" s="1"/>
      <c r="P15" s="1"/>
      <c r="Q15" s="1"/>
      <c r="R15" s="1"/>
      <c r="S15" s="1"/>
      <c r="T15" s="1"/>
      <c r="U15" s="1"/>
      <c r="V15" s="1"/>
      <c r="W15" s="1"/>
      <c r="X15" s="1"/>
      <c r="Y15" s="1"/>
      <c r="Z15" s="1"/>
      <c r="AA15" s="1"/>
      <c r="AB15" s="1"/>
      <c r="AC15" s="1">
        <f>IFERROR(__xludf.DUMMYFUNCTION("""COMPUTED_VALUE"""),6.0)</f>
        <v>6</v>
      </c>
      <c r="AD15" s="1">
        <f>IFERROR(__xludf.DUMMYFUNCTION("""COMPUTED_VALUE"""),6.0)</f>
        <v>6</v>
      </c>
      <c r="AE15" s="1">
        <f>IFERROR(__xludf.DUMMYFUNCTION("""COMPUTED_VALUE"""),6.0)</f>
        <v>6</v>
      </c>
      <c r="AF15" s="1"/>
      <c r="AG15" s="1"/>
      <c r="AH15" s="1"/>
      <c r="AI15" s="1"/>
      <c r="AJ15" s="1"/>
      <c r="AK15" s="1"/>
      <c r="AL15" s="1"/>
      <c r="AM15" s="1"/>
      <c r="AN15" s="1"/>
      <c r="AO15" s="1"/>
      <c r="AP15" s="1"/>
      <c r="AQ15" s="1"/>
      <c r="AR15" s="1"/>
      <c r="AS15" s="1"/>
      <c r="AT15" s="1"/>
      <c r="AU15" s="1"/>
      <c r="AV15" s="1"/>
      <c r="AW15" s="1"/>
      <c r="AX15" s="1"/>
      <c r="AY15" s="1"/>
    </row>
    <row r="16">
      <c r="A16" s="1" t="str">
        <f>IFERROR(__xludf.DUMMYFUNCTION("""COMPUTED_VALUE"""),"Monk")</f>
        <v>Monk</v>
      </c>
      <c r="B16" s="1" t="str">
        <f>IFERROR(__xludf.DUMMYFUNCTION("""COMPUTED_VALUE"""),"Rank 6 in all elements. (Excluding Acoustic)")</f>
        <v>Rank 6 in all elements. (Excluding Acoustic)</v>
      </c>
      <c r="C16" s="95" t="str">
        <f>IFERROR(__xludf.DUMMYFUNCTION("""COMPUTED_VALUE"""),"Gains 25 HP and SP each turn in battle.
+2 to all perks.
Can use Wisdom when attacking with a hit/miss spell.")</f>
        <v>Gains 25 HP and SP each turn in battle.
+2 to all perks.
Can use Wisdom when attacking with a hit/miss spell.</v>
      </c>
      <c r="D16" s="1"/>
      <c r="E16" s="1"/>
      <c r="F16" s="1"/>
      <c r="G16" s="1">
        <f>IFERROR(__xludf.DUMMYFUNCTION("""COMPUTED_VALUE"""),2.0)</f>
        <v>2</v>
      </c>
      <c r="H16" s="1">
        <f>IFERROR(__xludf.DUMMYFUNCTION("""COMPUTED_VALUE"""),2.0)</f>
        <v>2</v>
      </c>
      <c r="I16" s="1">
        <f>IFERROR(__xludf.DUMMYFUNCTION("""COMPUTED_VALUE"""),2.0)</f>
        <v>2</v>
      </c>
      <c r="J16" s="1">
        <f>IFERROR(__xludf.DUMMYFUNCTION("""COMPUTED_VALUE"""),2.0)</f>
        <v>2</v>
      </c>
      <c r="K16" s="1">
        <f>IFERROR(__xludf.DUMMYFUNCTION("""COMPUTED_VALUE"""),2.0)</f>
        <v>2</v>
      </c>
      <c r="L16" s="1">
        <f>IFERROR(__xludf.DUMMYFUNCTION("""COMPUTED_VALUE"""),2.0)</f>
        <v>2</v>
      </c>
      <c r="M16" s="1"/>
      <c r="N16" s="1"/>
      <c r="O16" s="1"/>
      <c r="P16" s="1"/>
      <c r="Q16" s="1"/>
      <c r="R16" s="1">
        <f>IFERROR(__xludf.DUMMYFUNCTION("""COMPUTED_VALUE"""),0.0)</f>
        <v>0</v>
      </c>
      <c r="S16" s="1">
        <f>IFERROR(__xludf.DUMMYFUNCTION("""COMPUTED_VALUE"""),6.0)</f>
        <v>6</v>
      </c>
      <c r="T16" s="1">
        <f>IFERROR(__xludf.DUMMYFUNCTION("""COMPUTED_VALUE"""),6.0)</f>
        <v>6</v>
      </c>
      <c r="U16" s="1">
        <f>IFERROR(__xludf.DUMMYFUNCTION("""COMPUTED_VALUE"""),6.0)</f>
        <v>6</v>
      </c>
      <c r="V16" s="1">
        <f>IFERROR(__xludf.DUMMYFUNCTION("""COMPUTED_VALUE"""),6.0)</f>
        <v>6</v>
      </c>
      <c r="W16" s="1">
        <f>IFERROR(__xludf.DUMMYFUNCTION("""COMPUTED_VALUE"""),6.0)</f>
        <v>6</v>
      </c>
      <c r="X16" s="1">
        <f>IFERROR(__xludf.DUMMYFUNCTION("""COMPUTED_VALUE"""),6.0)</f>
        <v>6</v>
      </c>
      <c r="Y16" s="1">
        <f>IFERROR(__xludf.DUMMYFUNCTION("""COMPUTED_VALUE"""),6.0)</f>
        <v>6</v>
      </c>
      <c r="Z16" s="1">
        <f>IFERROR(__xludf.DUMMYFUNCTION("""COMPUTED_VALUE"""),6.0)</f>
        <v>6</v>
      </c>
      <c r="AA16" s="1">
        <f>IFERROR(__xludf.DUMMYFUNCTION("""COMPUTED_VALUE"""),6.0)</f>
        <v>6</v>
      </c>
      <c r="AB16" s="1">
        <f>IFERROR(__xludf.DUMMYFUNCTION("""COMPUTED_VALUE"""),6.0)</f>
        <v>6</v>
      </c>
      <c r="AC16" s="1">
        <f>IFERROR(__xludf.DUMMYFUNCTION("""COMPUTED_VALUE"""),6.0)</f>
        <v>6</v>
      </c>
      <c r="AD16" s="1">
        <f>IFERROR(__xludf.DUMMYFUNCTION("""COMPUTED_VALUE"""),6.0)</f>
        <v>6</v>
      </c>
      <c r="AE16" s="1">
        <f>IFERROR(__xludf.DUMMYFUNCTION("""COMPUTED_VALUE"""),6.0)</f>
        <v>6</v>
      </c>
      <c r="AF16" s="1">
        <f>IFERROR(__xludf.DUMMYFUNCTION("""COMPUTED_VALUE"""),6.0)</f>
        <v>6</v>
      </c>
      <c r="AG16" s="1">
        <f>IFERROR(__xludf.DUMMYFUNCTION("""COMPUTED_VALUE"""),6.0)</f>
        <v>6</v>
      </c>
      <c r="AH16" s="1">
        <f>IFERROR(__xludf.DUMMYFUNCTION("""COMPUTED_VALUE"""),6.0)</f>
        <v>6</v>
      </c>
      <c r="AI16" s="1">
        <f>IFERROR(__xludf.DUMMYFUNCTION("""COMPUTED_VALUE"""),6.0)</f>
        <v>6</v>
      </c>
      <c r="AJ16" s="1">
        <f>IFERROR(__xludf.DUMMYFUNCTION("""COMPUTED_VALUE"""),6.0)</f>
        <v>6</v>
      </c>
      <c r="AK16" s="1">
        <f>IFERROR(__xludf.DUMMYFUNCTION("""COMPUTED_VALUE"""),6.0)</f>
        <v>6</v>
      </c>
      <c r="AL16" s="1"/>
      <c r="AM16" s="1">
        <f>IFERROR(__xludf.DUMMYFUNCTION("""COMPUTED_VALUE"""),6.0)</f>
        <v>6</v>
      </c>
      <c r="AN16" s="1"/>
      <c r="AO16" s="1"/>
      <c r="AP16" s="1"/>
      <c r="AQ16" s="1"/>
      <c r="AR16" s="1"/>
      <c r="AS16" s="1"/>
      <c r="AT16" s="1"/>
      <c r="AU16" s="1"/>
      <c r="AV16" s="1"/>
      <c r="AW16" s="1"/>
      <c r="AX16" s="1"/>
      <c r="AY16" s="1"/>
    </row>
    <row r="17">
      <c r="A17" s="1" t="str">
        <f>IFERROR(__xludf.DUMMYFUNCTION("""COMPUTED_VALUE"""),"Ninja")</f>
        <v>Ninja</v>
      </c>
      <c r="B17" s="1" t="str">
        <f>IFERROR(__xludf.DUMMYFUNCTION("""COMPUTED_VALUE"""),"Rank 6 Dark, Range, Melee, Physical, Zen")</f>
        <v>Rank 6 Dark, Range, Melee, Physical, Zen</v>
      </c>
      <c r="C17" s="95" t="str">
        <f>IFERROR(__xludf.DUMMYFUNCTION("""COMPUTED_VALUE"""),"Restricted Class: (Must complete the quest ""TBD"" in Dragonscale Island Expansion to use this Class)
Roll a d40 when fleeing.")</f>
        <v>Restricted Class: (Must complete the quest "TBD" in Dragonscale Island Expansion to use this Class)
Roll a d40 when fleeing.</v>
      </c>
      <c r="D17" s="1"/>
      <c r="E17" s="1"/>
      <c r="F17" s="1"/>
      <c r="G17" s="1"/>
      <c r="H17" s="1"/>
      <c r="I17" s="1"/>
      <c r="J17" s="1"/>
      <c r="K17" s="1"/>
      <c r="L17" s="1"/>
      <c r="M17" s="1"/>
      <c r="N17" s="1"/>
      <c r="O17" s="1"/>
      <c r="P17" s="1"/>
      <c r="Q17" s="1"/>
      <c r="R17" s="1">
        <f>IFERROR(__xludf.DUMMYFUNCTION("""COMPUTED_VALUE"""),0.0)</f>
        <v>0</v>
      </c>
      <c r="S17" s="1"/>
      <c r="T17" s="1"/>
      <c r="U17" s="1"/>
      <c r="V17" s="1"/>
      <c r="W17" s="1"/>
      <c r="X17" s="1">
        <f>IFERROR(__xludf.DUMMYFUNCTION("""COMPUTED_VALUE"""),6.0)</f>
        <v>6</v>
      </c>
      <c r="Y17" s="1"/>
      <c r="Z17" s="1"/>
      <c r="AA17" s="1"/>
      <c r="AB17" s="1"/>
      <c r="AC17" s="1">
        <f>IFERROR(__xludf.DUMMYFUNCTION("""COMPUTED_VALUE"""),6.0)</f>
        <v>6</v>
      </c>
      <c r="AD17" s="1">
        <f>IFERROR(__xludf.DUMMYFUNCTION("""COMPUTED_VALUE"""),6.0)</f>
        <v>6</v>
      </c>
      <c r="AE17" s="1">
        <f>IFERROR(__xludf.DUMMYFUNCTION("""COMPUTED_VALUE"""),6.0)</f>
        <v>6</v>
      </c>
      <c r="AF17" s="1"/>
      <c r="AG17" s="1"/>
      <c r="AH17" s="1"/>
      <c r="AI17" s="1"/>
      <c r="AJ17" s="1"/>
      <c r="AK17" s="1">
        <f>IFERROR(__xludf.DUMMYFUNCTION("""COMPUTED_VALUE"""),6.0)</f>
        <v>6</v>
      </c>
      <c r="AL17" s="1"/>
      <c r="AM17" s="1"/>
      <c r="AN17" s="1"/>
      <c r="AO17" s="1"/>
      <c r="AP17" s="1"/>
      <c r="AQ17" s="1"/>
      <c r="AR17" s="1"/>
      <c r="AS17" s="1"/>
      <c r="AT17" s="1"/>
      <c r="AU17" s="1"/>
      <c r="AV17" s="1"/>
      <c r="AW17" s="1"/>
      <c r="AX17" s="1"/>
      <c r="AY17" s="1"/>
    </row>
    <row r="18">
      <c r="A18" s="1" t="str">
        <f>IFERROR(__xludf.DUMMYFUNCTION("""COMPUTED_VALUE"""),"Pirate")</f>
        <v>Pirate</v>
      </c>
      <c r="B18" s="1" t="str">
        <f>IFERROR(__xludf.DUMMYFUNCTION("""COMPUTED_VALUE"""),"Rank 6 Water")</f>
        <v>Rank 6 Water</v>
      </c>
      <c r="C18" s="95" t="str">
        <f>IFERROR(__xludf.DUMMYFUNCTION("""COMPUTED_VALUE"""),"X2 base stats while in water or traveling on ships.
Can use your Mobility bonus when attacking in water or on a ship.")</f>
        <v>X2 base stats while in water or traveling on ships.
Can use your Mobility bonus when attacking in water or on a ship.</v>
      </c>
      <c r="D18" s="1"/>
      <c r="E18" s="1"/>
      <c r="F18" s="1"/>
      <c r="G18" s="1"/>
      <c r="H18" s="1"/>
      <c r="I18" s="1"/>
      <c r="J18" s="1"/>
      <c r="K18" s="1"/>
      <c r="L18" s="1"/>
      <c r="M18" s="1"/>
      <c r="N18" s="1"/>
      <c r="O18" s="1"/>
      <c r="P18" s="1"/>
      <c r="Q18" s="1"/>
      <c r="R18" s="1">
        <f>IFERROR(__xludf.DUMMYFUNCTION("""COMPUTED_VALUE"""),0.0)</f>
        <v>0</v>
      </c>
      <c r="S18" s="1"/>
      <c r="T18" s="1">
        <f>IFERROR(__xludf.DUMMYFUNCTION("""COMPUTED_VALUE"""),6.0)</f>
        <v>6</v>
      </c>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c r="A19" s="1" t="str">
        <f>IFERROR(__xludf.DUMMYFUNCTION("""COMPUTED_VALUE"""),"Priest")</f>
        <v>Priest</v>
      </c>
      <c r="B19" s="1" t="str">
        <f>IFERROR(__xludf.DUMMYFUNCTION("""COMPUTED_VALUE"""),"Rank 6 Order and Light.")</f>
        <v>Rank 6 Order and Light.</v>
      </c>
      <c r="C19" s="95" t="str">
        <f>IFERROR(__xludf.DUMMYFUNCTION("""COMPUTED_VALUE"""),"25% chance to be unaffected by a curse.
Immune To Light")</f>
        <v>25% chance to be unaffected by a curse.
Immune To Light</v>
      </c>
      <c r="D19" s="1"/>
      <c r="E19" s="1"/>
      <c r="F19" s="1"/>
      <c r="G19" s="1"/>
      <c r="H19" s="1"/>
      <c r="I19" s="1"/>
      <c r="J19" s="1"/>
      <c r="K19" s="1"/>
      <c r="L19" s="1"/>
      <c r="M19" s="1"/>
      <c r="N19" s="1"/>
      <c r="O19" s="1"/>
      <c r="P19" s="1"/>
      <c r="Q19" s="1"/>
      <c r="R19" s="1">
        <f>IFERROR(__xludf.DUMMYFUNCTION("""COMPUTED_VALUE"""),0.0)</f>
        <v>0</v>
      </c>
      <c r="S19" s="1"/>
      <c r="T19" s="1"/>
      <c r="U19" s="1"/>
      <c r="V19" s="1"/>
      <c r="W19" s="1">
        <f>IFERROR(__xludf.DUMMYFUNCTION("""COMPUTED_VALUE"""),6.0)</f>
        <v>6</v>
      </c>
      <c r="X19" s="1"/>
      <c r="Y19" s="1"/>
      <c r="Z19" s="1">
        <f>IFERROR(__xludf.DUMMYFUNCTION("""COMPUTED_VALUE"""),6.0)</f>
        <v>6</v>
      </c>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c r="A20" s="1" t="str">
        <f>IFERROR(__xludf.DUMMYFUNCTION("""COMPUTED_VALUE"""),"Reaper")</f>
        <v>Reaper</v>
      </c>
      <c r="B20" s="1" t="str">
        <f>IFERROR(__xludf.DUMMYFUNCTION("""COMPUTED_VALUE"""),"Rank 6 Dark and Melee, Spirit")</f>
        <v>Rank 6 Dark and Melee, Spirit</v>
      </c>
      <c r="C20" s="95" t="str">
        <f>IFERROR(__xludf.DUMMYFUNCTION("""COMPUTED_VALUE"""),"100% chance on soul drop
50% chance to be unaffected by instant death.")</f>
        <v>100% chance on soul drop
50% chance to be unaffected by instant death.</v>
      </c>
      <c r="D20" s="1"/>
      <c r="E20" s="1"/>
      <c r="F20" s="1"/>
      <c r="G20" s="1"/>
      <c r="H20" s="1"/>
      <c r="I20" s="1"/>
      <c r="J20" s="1"/>
      <c r="K20" s="1"/>
      <c r="L20" s="1"/>
      <c r="M20" s="1"/>
      <c r="N20" s="1"/>
      <c r="O20" s="1"/>
      <c r="P20" s="1"/>
      <c r="Q20" s="1"/>
      <c r="R20" s="1">
        <f>IFERROR(__xludf.DUMMYFUNCTION("""COMPUTED_VALUE"""),0.0)</f>
        <v>0</v>
      </c>
      <c r="S20" s="1"/>
      <c r="T20" s="1"/>
      <c r="U20" s="1"/>
      <c r="V20" s="1"/>
      <c r="W20" s="1"/>
      <c r="X20" s="1">
        <f>IFERROR(__xludf.DUMMYFUNCTION("""COMPUTED_VALUE"""),6.0)</f>
        <v>6</v>
      </c>
      <c r="Y20" s="1">
        <f>IFERROR(__xludf.DUMMYFUNCTION("""COMPUTED_VALUE"""),6.0)</f>
        <v>6</v>
      </c>
      <c r="Z20" s="1"/>
      <c r="AA20" s="1"/>
      <c r="AB20" s="1"/>
      <c r="AC20" s="1"/>
      <c r="AD20" s="1">
        <f>IFERROR(__xludf.DUMMYFUNCTION("""COMPUTED_VALUE"""),6.0)</f>
        <v>6</v>
      </c>
      <c r="AE20" s="1"/>
      <c r="AF20" s="1"/>
      <c r="AG20" s="1"/>
      <c r="AH20" s="1"/>
      <c r="AI20" s="1"/>
      <c r="AJ20" s="1"/>
      <c r="AK20" s="1"/>
      <c r="AL20" s="1"/>
      <c r="AM20" s="1"/>
      <c r="AN20" s="1"/>
      <c r="AO20" s="1"/>
      <c r="AP20" s="1"/>
      <c r="AQ20" s="1"/>
      <c r="AR20" s="1"/>
      <c r="AS20" s="1"/>
      <c r="AT20" s="1"/>
      <c r="AU20" s="1"/>
      <c r="AV20" s="1"/>
      <c r="AW20" s="1"/>
      <c r="AX20" s="1"/>
      <c r="AY20" s="1"/>
    </row>
    <row r="21">
      <c r="A21" s="1" t="str">
        <f>IFERROR(__xludf.DUMMYFUNCTION("""COMPUTED_VALUE"""),"Samurai")</f>
        <v>Samurai</v>
      </c>
      <c r="B21" s="1" t="str">
        <f>IFERROR(__xludf.DUMMYFUNCTION("""COMPUTED_VALUE"""),"Rank 6 Melee")</f>
        <v>Rank 6 Melee</v>
      </c>
      <c r="C21" s="95"/>
      <c r="D21" s="1"/>
      <c r="E21" s="1"/>
      <c r="F21" s="1"/>
      <c r="G21" s="1"/>
      <c r="H21" s="1"/>
      <c r="I21" s="1"/>
      <c r="J21" s="1"/>
      <c r="K21" s="1"/>
      <c r="L21" s="1"/>
      <c r="M21" s="1"/>
      <c r="N21" s="1"/>
      <c r="O21" s="1"/>
      <c r="P21" s="1"/>
      <c r="Q21" s="1"/>
      <c r="R21" s="1">
        <f>IFERROR(__xludf.DUMMYFUNCTION("""COMPUTED_VALUE"""),0.0)</f>
        <v>0</v>
      </c>
      <c r="S21" s="1"/>
      <c r="T21" s="1"/>
      <c r="U21" s="1"/>
      <c r="V21" s="1"/>
      <c r="W21" s="1"/>
      <c r="X21" s="1"/>
      <c r="Y21" s="1"/>
      <c r="Z21" s="1"/>
      <c r="AA21" s="1"/>
      <c r="AB21" s="1"/>
      <c r="AC21" s="1"/>
      <c r="AD21" s="1">
        <f>IFERROR(__xludf.DUMMYFUNCTION("""COMPUTED_VALUE"""),6.0)</f>
        <v>6</v>
      </c>
      <c r="AE21" s="1"/>
      <c r="AF21" s="1"/>
      <c r="AG21" s="1"/>
      <c r="AH21" s="1"/>
      <c r="AI21" s="1"/>
      <c r="AJ21" s="1"/>
      <c r="AK21" s="1"/>
      <c r="AL21" s="1"/>
      <c r="AM21" s="1"/>
      <c r="AN21" s="1"/>
      <c r="AO21" s="1"/>
      <c r="AP21" s="1"/>
      <c r="AQ21" s="1"/>
      <c r="AR21" s="1"/>
      <c r="AS21" s="1"/>
      <c r="AT21" s="1"/>
      <c r="AU21" s="1"/>
      <c r="AV21" s="1"/>
      <c r="AW21" s="1"/>
      <c r="AX21" s="1"/>
      <c r="AY21" s="1"/>
    </row>
    <row r="22">
      <c r="A22" s="1" t="str">
        <f>IFERROR(__xludf.DUMMYFUNCTION("""COMPUTED_VALUE"""),"Shaman")</f>
        <v>Shaman</v>
      </c>
      <c r="B22" s="1" t="str">
        <f>IFERROR(__xludf.DUMMYFUNCTION("""COMPUTED_VALUE"""),"Rank 6 Nature, Chaos, and Order")</f>
        <v>Rank 6 Nature, Chaos, and Order</v>
      </c>
      <c r="C22" s="95" t="str">
        <f>IFERROR(__xludf.DUMMYFUNCTION("""COMPUTED_VALUE"""),"50% Chance to turn one Spirit type enemy into an ally of the party at the beginning of battle if there is one.")</f>
        <v>50% Chance to turn one Spirit type enemy into an ally of the party at the beginning of battle if there is one.</v>
      </c>
      <c r="D22" s="1"/>
      <c r="E22" s="1"/>
      <c r="F22" s="1"/>
      <c r="G22" s="1"/>
      <c r="H22" s="1"/>
      <c r="I22" s="1"/>
      <c r="J22" s="1"/>
      <c r="K22" s="1"/>
      <c r="L22" s="1"/>
      <c r="M22" s="1"/>
      <c r="N22" s="1"/>
      <c r="O22" s="1"/>
      <c r="P22" s="1"/>
      <c r="Q22" s="1"/>
      <c r="R22" s="1">
        <f>IFERROR(__xludf.DUMMYFUNCTION("""COMPUTED_VALUE"""),0.0)</f>
        <v>0</v>
      </c>
      <c r="S22" s="1"/>
      <c r="T22" s="1"/>
      <c r="U22" s="1"/>
      <c r="V22" s="1"/>
      <c r="W22" s="1"/>
      <c r="X22" s="1"/>
      <c r="Y22" s="1"/>
      <c r="Z22" s="1">
        <f>IFERROR(__xludf.DUMMYFUNCTION("""COMPUTED_VALUE"""),6.0)</f>
        <v>6</v>
      </c>
      <c r="AA22" s="1">
        <f>IFERROR(__xludf.DUMMYFUNCTION("""COMPUTED_VALUE"""),6.0)</f>
        <v>6</v>
      </c>
      <c r="AB22" s="1">
        <f>IFERROR(__xludf.DUMMYFUNCTION("""COMPUTED_VALUE"""),6.0)</f>
        <v>6</v>
      </c>
      <c r="AC22" s="1"/>
      <c r="AD22" s="1"/>
      <c r="AE22" s="1"/>
      <c r="AF22" s="1"/>
      <c r="AG22" s="1"/>
      <c r="AH22" s="1"/>
      <c r="AI22" s="1"/>
      <c r="AJ22" s="1"/>
      <c r="AK22" s="1"/>
      <c r="AL22" s="1"/>
      <c r="AM22" s="1"/>
      <c r="AN22" s="1"/>
      <c r="AO22" s="1"/>
      <c r="AP22" s="1"/>
      <c r="AQ22" s="1"/>
      <c r="AR22" s="1"/>
      <c r="AS22" s="1"/>
      <c r="AT22" s="1"/>
      <c r="AU22" s="1"/>
      <c r="AV22" s="1"/>
      <c r="AW22" s="1"/>
      <c r="AX22" s="1"/>
      <c r="AY22" s="1"/>
    </row>
    <row r="23">
      <c r="A23" s="1" t="str">
        <f>IFERROR(__xludf.DUMMYFUNCTION("""COMPUTED_VALUE"""),"Sorcerer")</f>
        <v>Sorcerer</v>
      </c>
      <c r="B23" s="1" t="str">
        <f>IFERROR(__xludf.DUMMYFUNCTION("""COMPUTED_VALUE"""),"Rank 6 select 3 of any element. (excluding Zen and Acoustic)")</f>
        <v>Rank 6 select 3 of any element. (excluding Zen and Acoustic)</v>
      </c>
      <c r="C23" s="95" t="str">
        <f>IFERROR(__xludf.DUMMYFUNCTION("""COMPUTED_VALUE"""),"X2 additional Spell damage.
Starts with 12 spell slots instead of 6.
Can use Wisdom when attacking with a hit/miss spell.")</f>
        <v>X2 additional Spell damage.
Starts with 12 spell slots instead of 6.
Can use Wisdom when attacking with a hit/miss spell.</v>
      </c>
      <c r="D23" s="1"/>
      <c r="E23" s="1"/>
      <c r="F23" s="1"/>
      <c r="G23" s="1"/>
      <c r="H23" s="1"/>
      <c r="I23" s="1"/>
      <c r="J23" s="1"/>
      <c r="K23" s="1"/>
      <c r="L23" s="1"/>
      <c r="M23" s="1"/>
      <c r="N23" s="1"/>
      <c r="O23" s="1"/>
      <c r="P23" s="1"/>
      <c r="Q23" s="1"/>
      <c r="R23" s="1">
        <f>IFERROR(__xludf.DUMMYFUNCTION("""COMPUTED_VALUE"""),3.0)</f>
        <v>3</v>
      </c>
      <c r="S23" s="1">
        <f>IFERROR(__xludf.DUMMYFUNCTION("""COMPUTED_VALUE"""),6.0)</f>
        <v>6</v>
      </c>
      <c r="T23" s="1">
        <f>IFERROR(__xludf.DUMMYFUNCTION("""COMPUTED_VALUE"""),6.0)</f>
        <v>6</v>
      </c>
      <c r="U23" s="1">
        <f>IFERROR(__xludf.DUMMYFUNCTION("""COMPUTED_VALUE"""),6.0)</f>
        <v>6</v>
      </c>
      <c r="V23" s="1">
        <f>IFERROR(__xludf.DUMMYFUNCTION("""COMPUTED_VALUE"""),6.0)</f>
        <v>6</v>
      </c>
      <c r="W23" s="1">
        <f>IFERROR(__xludf.DUMMYFUNCTION("""COMPUTED_VALUE"""),6.0)</f>
        <v>6</v>
      </c>
      <c r="X23" s="1">
        <f>IFERROR(__xludf.DUMMYFUNCTION("""COMPUTED_VALUE"""),6.0)</f>
        <v>6</v>
      </c>
      <c r="Y23" s="1">
        <f>IFERROR(__xludf.DUMMYFUNCTION("""COMPUTED_VALUE"""),6.0)</f>
        <v>6</v>
      </c>
      <c r="Z23" s="1">
        <f>IFERROR(__xludf.DUMMYFUNCTION("""COMPUTED_VALUE"""),6.0)</f>
        <v>6</v>
      </c>
      <c r="AA23" s="1">
        <f>IFERROR(__xludf.DUMMYFUNCTION("""COMPUTED_VALUE"""),6.0)</f>
        <v>6</v>
      </c>
      <c r="AB23" s="1">
        <f>IFERROR(__xludf.DUMMYFUNCTION("""COMPUTED_VALUE"""),6.0)</f>
        <v>6</v>
      </c>
      <c r="AC23" s="1">
        <f>IFERROR(__xludf.DUMMYFUNCTION("""COMPUTED_VALUE"""),6.0)</f>
        <v>6</v>
      </c>
      <c r="AD23" s="1">
        <f>IFERROR(__xludf.DUMMYFUNCTION("""COMPUTED_VALUE"""),6.0)</f>
        <v>6</v>
      </c>
      <c r="AE23" s="1">
        <f>IFERROR(__xludf.DUMMYFUNCTION("""COMPUTED_VALUE"""),6.0)</f>
        <v>6</v>
      </c>
      <c r="AF23" s="1">
        <f>IFERROR(__xludf.DUMMYFUNCTION("""COMPUTED_VALUE"""),6.0)</f>
        <v>6</v>
      </c>
      <c r="AG23" s="1">
        <f>IFERROR(__xludf.DUMMYFUNCTION("""COMPUTED_VALUE"""),6.0)</f>
        <v>6</v>
      </c>
      <c r="AH23" s="1">
        <f>IFERROR(__xludf.DUMMYFUNCTION("""COMPUTED_VALUE"""),6.0)</f>
        <v>6</v>
      </c>
      <c r="AI23" s="1">
        <f>IFERROR(__xludf.DUMMYFUNCTION("""COMPUTED_VALUE"""),6.0)</f>
        <v>6</v>
      </c>
      <c r="AJ23" s="1">
        <f>IFERROR(__xludf.DUMMYFUNCTION("""COMPUTED_VALUE"""),6.0)</f>
        <v>6</v>
      </c>
      <c r="AK23" s="1"/>
      <c r="AL23" s="1"/>
      <c r="AM23" s="1">
        <f>IFERROR(__xludf.DUMMYFUNCTION("""COMPUTED_VALUE"""),6.0)</f>
        <v>6</v>
      </c>
      <c r="AN23" s="1">
        <f>IFERROR(__xludf.DUMMYFUNCTION("""COMPUTED_VALUE"""),6.0)</f>
        <v>6</v>
      </c>
      <c r="AO23" s="1"/>
      <c r="AP23" s="1"/>
      <c r="AQ23" s="1"/>
      <c r="AR23" s="1"/>
      <c r="AS23" s="1"/>
      <c r="AT23" s="1"/>
      <c r="AU23" s="1"/>
      <c r="AV23" s="1"/>
      <c r="AW23" s="1"/>
      <c r="AX23" s="1"/>
      <c r="AY23" s="1"/>
    </row>
    <row r="24">
      <c r="A24" s="1" t="str">
        <f>IFERROR(__xludf.DUMMYFUNCTION("""COMPUTED_VALUE"""),"Viking")</f>
        <v>Viking</v>
      </c>
      <c r="B24" s="1" t="str">
        <f>IFERROR(__xludf.DUMMYFUNCTION("""COMPUTED_VALUE"""),"Rank 6 Nature,Melee, Physical")</f>
        <v>Rank 6 Nature,Melee, Physical</v>
      </c>
      <c r="C24" s="95" t="str">
        <f>IFERROR(__xludf.DUMMYFUNCTION("""COMPUTED_VALUE"""),"25% chance to be unaffected by weapon damage.
Forged weapons deal X4 damage for the user.")</f>
        <v>25% chance to be unaffected by weapon damage.
Forged weapons deal X4 damage for the user.</v>
      </c>
      <c r="D24" s="1"/>
      <c r="E24" s="1"/>
      <c r="F24" s="1"/>
      <c r="G24" s="1"/>
      <c r="H24" s="1"/>
      <c r="I24" s="1"/>
      <c r="J24" s="1"/>
      <c r="K24" s="1"/>
      <c r="L24" s="1"/>
      <c r="M24" s="1"/>
      <c r="N24" s="1"/>
      <c r="O24" s="1"/>
      <c r="P24" s="1"/>
      <c r="Q24" s="1"/>
      <c r="R24" s="1">
        <f>IFERROR(__xludf.DUMMYFUNCTION("""COMPUTED_VALUE"""),0.0)</f>
        <v>0</v>
      </c>
      <c r="S24" s="1"/>
      <c r="T24" s="1"/>
      <c r="U24" s="1"/>
      <c r="V24" s="1"/>
      <c r="W24" s="1"/>
      <c r="X24" s="1"/>
      <c r="Y24" s="1"/>
      <c r="Z24" s="1"/>
      <c r="AA24" s="1"/>
      <c r="AB24" s="1">
        <f>IFERROR(__xludf.DUMMYFUNCTION("""COMPUTED_VALUE"""),6.0)</f>
        <v>6</v>
      </c>
      <c r="AC24" s="1">
        <f>IFERROR(__xludf.DUMMYFUNCTION("""COMPUTED_VALUE"""),6.0)</f>
        <v>6</v>
      </c>
      <c r="AD24" s="1">
        <f>IFERROR(__xludf.DUMMYFUNCTION("""COMPUTED_VALUE"""),6.0)</f>
        <v>6</v>
      </c>
      <c r="AE24" s="1"/>
      <c r="AF24" s="1"/>
      <c r="AG24" s="1"/>
      <c r="AH24" s="1"/>
      <c r="AI24" s="1"/>
      <c r="AJ24" s="1"/>
      <c r="AK24" s="1"/>
      <c r="AL24" s="1"/>
      <c r="AM24" s="1"/>
      <c r="AN24" s="1"/>
      <c r="AO24" s="1"/>
      <c r="AP24" s="1"/>
      <c r="AQ24" s="1"/>
      <c r="AR24" s="1"/>
      <c r="AS24" s="1"/>
      <c r="AT24" s="1"/>
      <c r="AU24" s="1"/>
      <c r="AV24" s="1"/>
      <c r="AW24" s="1"/>
      <c r="AX24" s="1"/>
      <c r="AY24" s="1"/>
    </row>
    <row r="25">
      <c r="A25" s="1" t="str">
        <f>IFERROR(__xludf.DUMMYFUNCTION("""COMPUTED_VALUE"""),"Warrior")</f>
        <v>Warrior</v>
      </c>
      <c r="B25" s="1" t="str">
        <f>IFERROR(__xludf.DUMMYFUNCTION("""COMPUTED_VALUE"""),"Rank 6 Melee and Physical")</f>
        <v>Rank 6 Melee and Physical</v>
      </c>
      <c r="C25" s="95" t="str">
        <f>IFERROR(__xludf.DUMMYFUNCTION("""COMPUTED_VALUE"""),"Double the base defense of your armor and double the damage of your weapons.")</f>
        <v>Double the base defense of your armor and double the damage of your weapons.</v>
      </c>
      <c r="D25" s="1"/>
      <c r="E25" s="1"/>
      <c r="F25" s="1"/>
      <c r="G25" s="1"/>
      <c r="H25" s="1"/>
      <c r="I25" s="1"/>
      <c r="J25" s="1"/>
      <c r="K25" s="1"/>
      <c r="L25" s="1"/>
      <c r="M25" s="1"/>
      <c r="N25" s="1"/>
      <c r="O25" s="1"/>
      <c r="P25" s="1"/>
      <c r="Q25" s="1"/>
      <c r="R25" s="1">
        <f>IFERROR(__xludf.DUMMYFUNCTION("""COMPUTED_VALUE"""),0.0)</f>
        <v>0</v>
      </c>
      <c r="S25" s="1"/>
      <c r="T25" s="1"/>
      <c r="U25" s="1"/>
      <c r="V25" s="1"/>
      <c r="W25" s="1"/>
      <c r="X25" s="1"/>
      <c r="Y25" s="1"/>
      <c r="Z25" s="1"/>
      <c r="AA25" s="1"/>
      <c r="AB25" s="1"/>
      <c r="AC25" s="1">
        <f>IFERROR(__xludf.DUMMYFUNCTION("""COMPUTED_VALUE"""),6.0)</f>
        <v>6</v>
      </c>
      <c r="AD25" s="1">
        <f>IFERROR(__xludf.DUMMYFUNCTION("""COMPUTED_VALUE"""),6.0)</f>
        <v>6</v>
      </c>
      <c r="AE25" s="1"/>
      <c r="AF25" s="1"/>
      <c r="AG25" s="1"/>
      <c r="AH25" s="1"/>
      <c r="AI25" s="1"/>
      <c r="AJ25" s="1"/>
      <c r="AK25" s="1"/>
      <c r="AL25" s="1"/>
      <c r="AM25" s="1"/>
      <c r="AN25" s="1"/>
      <c r="AO25" s="1"/>
      <c r="AP25" s="1"/>
      <c r="AQ25" s="1"/>
      <c r="AR25" s="1"/>
      <c r="AS25" s="1"/>
      <c r="AT25" s="1"/>
      <c r="AU25" s="1"/>
      <c r="AV25" s="1"/>
      <c r="AW25" s="1"/>
      <c r="AX25" s="1"/>
      <c r="AY25" s="1"/>
    </row>
    <row r="26">
      <c r="A26" s="1" t="str">
        <f>IFERROR(__xludf.DUMMYFUNCTION("""COMPUTED_VALUE"""),"WeaponMaster")</f>
        <v>WeaponMaster</v>
      </c>
      <c r="B26" s="1" t="str">
        <f>IFERROR(__xludf.DUMMYFUNCTION("""COMPUTED_VALUE"""),"Rank 9 Melee")</f>
        <v>Rank 9 Melee</v>
      </c>
      <c r="C26" s="95" t="str">
        <f>IFERROR(__xludf.DUMMYFUNCTION("""COMPUTED_VALUE"""),"X4 damage to all weapons for self only.")</f>
        <v>X4 damage to all weapons for self only.</v>
      </c>
      <c r="D26" s="1"/>
      <c r="E26" s="1"/>
      <c r="F26" s="1"/>
      <c r="G26" s="1"/>
      <c r="H26" s="1"/>
      <c r="I26" s="1"/>
      <c r="J26" s="1"/>
      <c r="K26" s="1"/>
      <c r="L26" s="1"/>
      <c r="M26" s="1"/>
      <c r="N26" s="1"/>
      <c r="O26" s="1"/>
      <c r="P26" s="1"/>
      <c r="Q26" s="1"/>
      <c r="R26" s="1">
        <f>IFERROR(__xludf.DUMMYFUNCTION("""COMPUTED_VALUE"""),0.0)</f>
        <v>0</v>
      </c>
      <c r="S26" s="1"/>
      <c r="T26" s="1"/>
      <c r="U26" s="1"/>
      <c r="V26" s="1"/>
      <c r="W26" s="1"/>
      <c r="X26" s="1"/>
      <c r="Y26" s="1"/>
      <c r="Z26" s="1"/>
      <c r="AA26" s="1"/>
      <c r="AB26" s="1"/>
      <c r="AC26" s="1"/>
      <c r="AD26" s="1">
        <f>IFERROR(__xludf.DUMMYFUNCTION("""COMPUTED_VALUE"""),9.0)</f>
        <v>9</v>
      </c>
      <c r="AE26" s="1"/>
      <c r="AF26" s="1"/>
      <c r="AG26" s="1"/>
      <c r="AH26" s="1"/>
      <c r="AI26" s="1"/>
      <c r="AJ26" s="1"/>
      <c r="AK26" s="1"/>
      <c r="AL26" s="1"/>
      <c r="AM26" s="1"/>
      <c r="AN26" s="1"/>
      <c r="AO26" s="1"/>
      <c r="AP26" s="1"/>
      <c r="AQ26" s="1"/>
      <c r="AR26" s="1"/>
      <c r="AS26" s="1"/>
      <c r="AT26" s="1"/>
      <c r="AU26" s="1"/>
      <c r="AV26" s="1"/>
      <c r="AW26" s="1"/>
      <c r="AX26" s="1"/>
      <c r="AY26" s="1"/>
    </row>
    <row r="27">
      <c r="A27" s="1" t="str">
        <f>IFERROR(__xludf.DUMMYFUNCTION("""COMPUTED_VALUE"""),"Witch")</f>
        <v>Witch</v>
      </c>
      <c r="B27" s="1" t="str">
        <f>IFERROR(__xludf.DUMMYFUNCTION("""COMPUTED_VALUE"""),"Rank 6 Select 3 of any element. (excluding Zen and Acoustic)")</f>
        <v>Rank 6 Select 3 of any element. (excluding Zen and Acoustic)</v>
      </c>
      <c r="C27" s="95" t="str">
        <f>IFERROR(__xludf.DUMMYFUNCTION("""COMPUTED_VALUE"""),"Start with the class Alchemist.
+5 to alchemy rolls
25% chance to inflict the target that killed you with a random non-permanent disease.
Starts with 12 spell slots instead of 6.
Can use Wisdom when attacking with a hit/miss spell.")</f>
        <v>Start with the class Alchemist.
+5 to alchemy rolls
25% chance to inflict the target that killed you with a random non-permanent disease.
Starts with 12 spell slots instead of 6.
Can use Wisdom when attacking with a hit/miss spell.</v>
      </c>
      <c r="D27" s="1"/>
      <c r="E27" s="1"/>
      <c r="F27" s="1"/>
      <c r="G27" s="1"/>
      <c r="H27" s="1"/>
      <c r="I27" s="1"/>
      <c r="J27" s="1"/>
      <c r="K27" s="1"/>
      <c r="L27" s="1"/>
      <c r="M27" s="1"/>
      <c r="N27" s="1"/>
      <c r="O27" s="1"/>
      <c r="P27" s="1"/>
      <c r="Q27" s="1"/>
      <c r="R27" s="1">
        <f>IFERROR(__xludf.DUMMYFUNCTION("""COMPUTED_VALUE"""),3.0)</f>
        <v>3</v>
      </c>
      <c r="S27" s="1">
        <f>IFERROR(__xludf.DUMMYFUNCTION("""COMPUTED_VALUE"""),6.0)</f>
        <v>6</v>
      </c>
      <c r="T27" s="1">
        <f>IFERROR(__xludf.DUMMYFUNCTION("""COMPUTED_VALUE"""),6.0)</f>
        <v>6</v>
      </c>
      <c r="U27" s="1">
        <f>IFERROR(__xludf.DUMMYFUNCTION("""COMPUTED_VALUE"""),6.0)</f>
        <v>6</v>
      </c>
      <c r="V27" s="1">
        <f>IFERROR(__xludf.DUMMYFUNCTION("""COMPUTED_VALUE"""),6.0)</f>
        <v>6</v>
      </c>
      <c r="W27" s="1">
        <f>IFERROR(__xludf.DUMMYFUNCTION("""COMPUTED_VALUE"""),6.0)</f>
        <v>6</v>
      </c>
      <c r="X27" s="1">
        <f>IFERROR(__xludf.DUMMYFUNCTION("""COMPUTED_VALUE"""),6.0)</f>
        <v>6</v>
      </c>
      <c r="Y27" s="1">
        <f>IFERROR(__xludf.DUMMYFUNCTION("""COMPUTED_VALUE"""),6.0)</f>
        <v>6</v>
      </c>
      <c r="Z27" s="1">
        <f>IFERROR(__xludf.DUMMYFUNCTION("""COMPUTED_VALUE"""),6.0)</f>
        <v>6</v>
      </c>
      <c r="AA27" s="1">
        <f>IFERROR(__xludf.DUMMYFUNCTION("""COMPUTED_VALUE"""),6.0)</f>
        <v>6</v>
      </c>
      <c r="AB27" s="1">
        <f>IFERROR(__xludf.DUMMYFUNCTION("""COMPUTED_VALUE"""),6.0)</f>
        <v>6</v>
      </c>
      <c r="AC27" s="1">
        <f>IFERROR(__xludf.DUMMYFUNCTION("""COMPUTED_VALUE"""),6.0)</f>
        <v>6</v>
      </c>
      <c r="AD27" s="1">
        <f>IFERROR(__xludf.DUMMYFUNCTION("""COMPUTED_VALUE"""),6.0)</f>
        <v>6</v>
      </c>
      <c r="AE27" s="1">
        <f>IFERROR(__xludf.DUMMYFUNCTION("""COMPUTED_VALUE"""),6.0)</f>
        <v>6</v>
      </c>
      <c r="AF27" s="1">
        <f>IFERROR(__xludf.DUMMYFUNCTION("""COMPUTED_VALUE"""),6.0)</f>
        <v>6</v>
      </c>
      <c r="AG27" s="1">
        <f>IFERROR(__xludf.DUMMYFUNCTION("""COMPUTED_VALUE"""),6.0)</f>
        <v>6</v>
      </c>
      <c r="AH27" s="1">
        <f>IFERROR(__xludf.DUMMYFUNCTION("""COMPUTED_VALUE"""),6.0)</f>
        <v>6</v>
      </c>
      <c r="AI27" s="1">
        <f>IFERROR(__xludf.DUMMYFUNCTION("""COMPUTED_VALUE"""),6.0)</f>
        <v>6</v>
      </c>
      <c r="AJ27" s="1">
        <f>IFERROR(__xludf.DUMMYFUNCTION("""COMPUTED_VALUE"""),6.0)</f>
        <v>6</v>
      </c>
      <c r="AK27" s="1"/>
      <c r="AL27" s="1"/>
      <c r="AM27" s="1">
        <f>IFERROR(__xludf.DUMMYFUNCTION("""COMPUTED_VALUE"""),9.0)</f>
        <v>9</v>
      </c>
      <c r="AN27" s="1"/>
      <c r="AO27" s="1"/>
      <c r="AP27" s="1"/>
      <c r="AQ27" s="1"/>
      <c r="AR27" s="1"/>
      <c r="AS27" s="1"/>
      <c r="AT27" s="1"/>
      <c r="AU27" s="1"/>
      <c r="AV27" s="1"/>
      <c r="AW27" s="1"/>
      <c r="AX27" s="1"/>
      <c r="AY27" s="1"/>
    </row>
    <row r="28">
      <c r="A28" s="1" t="str">
        <f>IFERROR(__xludf.DUMMYFUNCTION("""COMPUTED_VALUE"""),"Wizard")</f>
        <v>Wizard</v>
      </c>
      <c r="B28" s="1" t="str">
        <f>IFERROR(__xludf.DUMMYFUNCTION("""COMPUTED_VALUE"""),"Rank 6 select 3 of any element. (excluding Zen and Acoustic)")</f>
        <v>Rank 6 select 3 of any element. (excluding Zen and Acoustic)</v>
      </c>
      <c r="C28" s="1" t="str">
        <f>IFERROR(__xludf.DUMMYFUNCTION("""COMPUTED_VALUE"""),"X4 to spell damage for the user.
Starts with 12 spell slots instead of 6.
Can use Wisdom when attacking with a hit/miss spell.")</f>
        <v>X4 to spell damage for the user.
Starts with 12 spell slots instead of 6.
Can use Wisdom when attacking with a hit/miss spell.</v>
      </c>
      <c r="D28" s="1"/>
      <c r="E28" s="1"/>
      <c r="F28" s="1"/>
      <c r="G28" s="1"/>
      <c r="H28" s="1"/>
      <c r="I28" s="1"/>
      <c r="J28" s="1"/>
      <c r="K28" s="1"/>
      <c r="L28" s="1"/>
      <c r="M28" s="1"/>
      <c r="N28" s="1"/>
      <c r="O28" s="1"/>
      <c r="P28" s="1"/>
      <c r="Q28" s="1"/>
      <c r="R28" s="1">
        <f>IFERROR(__xludf.DUMMYFUNCTION("""COMPUTED_VALUE"""),3.0)</f>
        <v>3</v>
      </c>
      <c r="S28" s="1">
        <f>IFERROR(__xludf.DUMMYFUNCTION("""COMPUTED_VALUE"""),6.0)</f>
        <v>6</v>
      </c>
      <c r="T28" s="1">
        <f>IFERROR(__xludf.DUMMYFUNCTION("""COMPUTED_VALUE"""),6.0)</f>
        <v>6</v>
      </c>
      <c r="U28" s="1">
        <f>IFERROR(__xludf.DUMMYFUNCTION("""COMPUTED_VALUE"""),6.0)</f>
        <v>6</v>
      </c>
      <c r="V28" s="1">
        <f>IFERROR(__xludf.DUMMYFUNCTION("""COMPUTED_VALUE"""),6.0)</f>
        <v>6</v>
      </c>
      <c r="W28" s="1">
        <f>IFERROR(__xludf.DUMMYFUNCTION("""COMPUTED_VALUE"""),6.0)</f>
        <v>6</v>
      </c>
      <c r="X28" s="1">
        <f>IFERROR(__xludf.DUMMYFUNCTION("""COMPUTED_VALUE"""),6.0)</f>
        <v>6</v>
      </c>
      <c r="Y28" s="1">
        <f>IFERROR(__xludf.DUMMYFUNCTION("""COMPUTED_VALUE"""),6.0)</f>
        <v>6</v>
      </c>
      <c r="Z28" s="1">
        <f>IFERROR(__xludf.DUMMYFUNCTION("""COMPUTED_VALUE"""),6.0)</f>
        <v>6</v>
      </c>
      <c r="AA28" s="1">
        <f>IFERROR(__xludf.DUMMYFUNCTION("""COMPUTED_VALUE"""),6.0)</f>
        <v>6</v>
      </c>
      <c r="AB28" s="1">
        <f>IFERROR(__xludf.DUMMYFUNCTION("""COMPUTED_VALUE"""),6.0)</f>
        <v>6</v>
      </c>
      <c r="AC28" s="1">
        <f>IFERROR(__xludf.DUMMYFUNCTION("""COMPUTED_VALUE"""),6.0)</f>
        <v>6</v>
      </c>
      <c r="AD28" s="1">
        <f>IFERROR(__xludf.DUMMYFUNCTION("""COMPUTED_VALUE"""),6.0)</f>
        <v>6</v>
      </c>
      <c r="AE28" s="1">
        <f>IFERROR(__xludf.DUMMYFUNCTION("""COMPUTED_VALUE"""),6.0)</f>
        <v>6</v>
      </c>
      <c r="AF28" s="1">
        <f>IFERROR(__xludf.DUMMYFUNCTION("""COMPUTED_VALUE"""),6.0)</f>
        <v>6</v>
      </c>
      <c r="AG28" s="1">
        <f>IFERROR(__xludf.DUMMYFUNCTION("""COMPUTED_VALUE"""),6.0)</f>
        <v>6</v>
      </c>
      <c r="AH28" s="1">
        <f>IFERROR(__xludf.DUMMYFUNCTION("""COMPUTED_VALUE"""),6.0)</f>
        <v>6</v>
      </c>
      <c r="AI28" s="1">
        <f>IFERROR(__xludf.DUMMYFUNCTION("""COMPUTED_VALUE"""),6.0)</f>
        <v>6</v>
      </c>
      <c r="AJ28" s="1">
        <f>IFERROR(__xludf.DUMMYFUNCTION("""COMPUTED_VALUE"""),6.0)</f>
        <v>6</v>
      </c>
      <c r="AK28" s="1"/>
      <c r="AL28" s="1"/>
      <c r="AM28" s="1">
        <f>IFERROR(__xludf.DUMMYFUNCTION("""COMPUTED_VALUE"""),6.0)</f>
        <v>6</v>
      </c>
      <c r="AN28" s="1"/>
      <c r="AO28" s="1"/>
      <c r="AP28" s="1"/>
      <c r="AQ28" s="1"/>
      <c r="AR28" s="1"/>
      <c r="AS28" s="1"/>
      <c r="AT28" s="1"/>
      <c r="AU28" s="1"/>
      <c r="AV28" s="1"/>
      <c r="AW28" s="1"/>
      <c r="AX28" s="1"/>
      <c r="AY28" s="1"/>
    </row>
    <row r="2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sheetData>
  <conditionalFormatting sqref="D2:AY27">
    <cfRule type="notContainsBlanks" dxfId="0" priority="1">
      <formula>LEN(TRIM(D2))&gt;0</formula>
    </cfRule>
  </conditionalFormatting>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0"/>
  <cols>
    <col customWidth="1" min="1" max="1" width="12.25"/>
    <col customWidth="1" min="2" max="2" width="16.13"/>
    <col customWidth="1" min="3" max="3" width="48.75"/>
    <col customWidth="1" min="4" max="4" width="50.5"/>
    <col customWidth="1" min="5" max="5" width="139.13"/>
    <col customWidth="1" min="6" max="6" width="17.75"/>
    <col customWidth="1" min="7" max="7" width="43.38"/>
  </cols>
  <sheetData>
    <row r="1">
      <c r="A1" s="95" t="str">
        <f>IFERROR(__xludf.DUMMYFUNCTION("IMPORTRANGE(""https://docs.google.com/spreadsheets/d/1HXoAI5UG3zq1UHqU5n7fPdbQk93qOha2VQb1r7iRi1o"",""ClassesEnhanced!A:BJ"")"),"Class")</f>
        <v>Class</v>
      </c>
      <c r="B1" s="95" t="str">
        <f>IFERROR(__xludf.DUMMYFUNCTION("""COMPUTED_VALUE"""),"Enhanced Class")</f>
        <v>Enhanced Class</v>
      </c>
      <c r="C1" s="95" t="str">
        <f>IFERROR(__xludf.DUMMYFUNCTION("""COMPUTED_VALUE"""),"SpellRank")</f>
        <v>SpellRank</v>
      </c>
      <c r="D1" s="95" t="str">
        <f>IFERROR(__xludf.DUMMYFUNCTION("""COMPUTED_VALUE"""),"Ability1")</f>
        <v>Ability1</v>
      </c>
      <c r="E1" s="95" t="str">
        <f>IFERROR(__xludf.DUMMYFUNCTION("""COMPUTED_VALUE"""),"Ability2")</f>
        <v>Ability2</v>
      </c>
      <c r="F1" s="95" t="str">
        <f>IFERROR(__xludf.DUMMYFUNCTION("""COMPUTED_VALUE"""),"Ability3")</f>
        <v>Ability3</v>
      </c>
      <c r="G1" s="95" t="str">
        <f>IFERROR(__xludf.DUMMYFUNCTION("""COMPUTED_VALUE"""),"Ability4")</f>
        <v>Ability4</v>
      </c>
      <c r="H1" s="96" t="str">
        <f>IFERROR(__xludf.DUMMYFUNCTION("""COMPUTED_VALUE"""),"Attack")</f>
        <v>Attack</v>
      </c>
      <c r="I1" s="96" t="str">
        <f>IFERROR(__xludf.DUMMYFUNCTION("""COMPUTED_VALUE"""),"Defense")</f>
        <v>Defense</v>
      </c>
      <c r="J1" s="96" t="str">
        <f>IFERROR(__xludf.DUMMYFUNCTION("""COMPUTED_VALUE"""),"Accuracy")</f>
        <v>Accuracy</v>
      </c>
      <c r="K1" s="96" t="str">
        <f>IFERROR(__xludf.DUMMYFUNCTION("""COMPUTED_VALUE"""),"Charisma")</f>
        <v>Charisma</v>
      </c>
      <c r="L1" s="96" t="str">
        <f>IFERROR(__xludf.DUMMYFUNCTION("""COMPUTED_VALUE"""),"Wisdom")</f>
        <v>Wisdom</v>
      </c>
      <c r="M1" s="96" t="str">
        <f>IFERROR(__xludf.DUMMYFUNCTION("""COMPUTED_VALUE"""),"Constitution")</f>
        <v>Constitution</v>
      </c>
      <c r="N1" s="96" t="str">
        <f>IFERROR(__xludf.DUMMYFUNCTION("""COMPUTED_VALUE"""),"Evasion")</f>
        <v>Evasion</v>
      </c>
      <c r="O1" s="96" t="str">
        <f>IFERROR(__xludf.DUMMYFUNCTION("""COMPUTED_VALUE"""),"Intimidation")</f>
        <v>Intimidation</v>
      </c>
      <c r="P1" s="96" t="str">
        <f>IFERROR(__xludf.DUMMYFUNCTION("""COMPUTED_VALUE"""),"Mobility")</f>
        <v>Mobility</v>
      </c>
      <c r="Q1" s="96" t="str">
        <f>IFERROR(__xludf.DUMMYFUNCTION("""COMPUTED_VALUE"""),"HP")</f>
        <v>HP</v>
      </c>
      <c r="R1" s="96" t="str">
        <f>IFERROR(__xludf.DUMMYFUNCTION("""COMPUTED_VALUE"""),"SP")</f>
        <v>SP</v>
      </c>
      <c r="S1" s="96" t="str">
        <f>IFERROR(__xludf.DUMMYFUNCTION("""COMPUTED_VALUE"""),"Hunger")</f>
        <v>Hunger</v>
      </c>
      <c r="T1" s="96" t="str">
        <f>IFERROR(__xludf.DUMMYFUNCTION("""COMPUTED_VALUE"""),"Thirst")</f>
        <v>Thirst</v>
      </c>
      <c r="U1" s="96" t="str">
        <f>IFERROR(__xludf.DUMMYFUNCTION("""COMPUTED_VALUE"""),"Energy")</f>
        <v>Energy</v>
      </c>
      <c r="V1" s="97" t="str">
        <f>IFERROR(__xludf.DUMMYFUNCTION("""COMPUTED_VALUE"""),"eleselect")</f>
        <v>eleselect</v>
      </c>
      <c r="W1" s="74" t="str">
        <f>IFERROR(__xludf.DUMMYFUNCTION("""COMPUTED_VALUE"""),"Fire")</f>
        <v>Fire</v>
      </c>
      <c r="X1" s="75" t="str">
        <f>IFERROR(__xludf.DUMMYFUNCTION("""COMPUTED_VALUE"""),"Water")</f>
        <v>Water</v>
      </c>
      <c r="Y1" s="76" t="str">
        <f>IFERROR(__xludf.DUMMYFUNCTION("""COMPUTED_VALUE"""),"Storm")</f>
        <v>Storm</v>
      </c>
      <c r="Z1" s="77" t="str">
        <f>IFERROR(__xludf.DUMMYFUNCTION("""COMPUTED_VALUE"""),"Earth")</f>
        <v>Earth</v>
      </c>
      <c r="AA1" s="78" t="str">
        <f>IFERROR(__xludf.DUMMYFUNCTION("""COMPUTED_VALUE"""),"Light")</f>
        <v>Light</v>
      </c>
      <c r="AB1" s="79" t="str">
        <f>IFERROR(__xludf.DUMMYFUNCTION("""COMPUTED_VALUE"""),"Dark")</f>
        <v>Dark</v>
      </c>
      <c r="AC1" s="80" t="str">
        <f>IFERROR(__xludf.DUMMYFUNCTION("""COMPUTED_VALUE"""),"Spirit")</f>
        <v>Spirit</v>
      </c>
      <c r="AD1" s="81" t="str">
        <f>IFERROR(__xludf.DUMMYFUNCTION("""COMPUTED_VALUE"""),"Order")</f>
        <v>Order</v>
      </c>
      <c r="AE1" s="82" t="str">
        <f>IFERROR(__xludf.DUMMYFUNCTION("""COMPUTED_VALUE"""),"Chaos")</f>
        <v>Chaos</v>
      </c>
      <c r="AF1" s="83" t="str">
        <f>IFERROR(__xludf.DUMMYFUNCTION("""COMPUTED_VALUE"""),"Nature")</f>
        <v>Nature</v>
      </c>
      <c r="AG1" s="84" t="str">
        <f>IFERROR(__xludf.DUMMYFUNCTION("""COMPUTED_VALUE"""),"Physical")</f>
        <v>Physical</v>
      </c>
      <c r="AH1" s="84" t="str">
        <f>IFERROR(__xludf.DUMMYFUNCTION("""COMPUTED_VALUE"""),"Melee")</f>
        <v>Melee</v>
      </c>
      <c r="AI1" s="84" t="str">
        <f>IFERROR(__xludf.DUMMYFUNCTION("""COMPUTED_VALUE"""),"Ranged")</f>
        <v>Ranged</v>
      </c>
      <c r="AJ1" s="85" t="str">
        <f>IFERROR(__xludf.DUMMYFUNCTION("""COMPUTED_VALUE"""),"Stasis")</f>
        <v>Stasis</v>
      </c>
      <c r="AK1" s="86" t="str">
        <f>IFERROR(__xludf.DUMMYFUNCTION("""COMPUTED_VALUE"""),"Twilight")</f>
        <v>Twilight</v>
      </c>
      <c r="AL1" s="87" t="str">
        <f>IFERROR(__xludf.DUMMYFUNCTION("""COMPUTED_VALUE"""),"Voodoo")</f>
        <v>Voodoo</v>
      </c>
      <c r="AM1" s="88" t="str">
        <f>IFERROR(__xludf.DUMMYFUNCTION("""COMPUTED_VALUE"""),"Blood")</f>
        <v>Blood</v>
      </c>
      <c r="AN1" s="89" t="str">
        <f>IFERROR(__xludf.DUMMYFUNCTION("""COMPUTED_VALUE"""),"Delta")</f>
        <v>Delta</v>
      </c>
      <c r="AO1" s="90" t="str">
        <f>IFERROR(__xludf.DUMMYFUNCTION("""COMPUTED_VALUE"""),"Zen")</f>
        <v>Zen</v>
      </c>
      <c r="AP1" s="91" t="str">
        <f>IFERROR(__xludf.DUMMYFUNCTION("""COMPUTED_VALUE"""),"Time")</f>
        <v>Time</v>
      </c>
      <c r="AQ1" s="92" t="str">
        <f>IFERROR(__xludf.DUMMYFUNCTION("""COMPUTED_VALUE"""),"Astral")</f>
        <v>Astral</v>
      </c>
      <c r="AR1" s="93" t="str">
        <f>IFERROR(__xludf.DUMMYFUNCTION("""COMPUTED_VALUE"""),"Celestial")</f>
        <v>Celestial</v>
      </c>
      <c r="AS1" s="1" t="str">
        <f>IFERROR(__xludf.DUMMYFUNCTION("""COMPUTED_VALUE"""),"Acoustic")</f>
        <v>Acoustic</v>
      </c>
    </row>
    <row r="2">
      <c r="A2" s="95" t="str">
        <f>IFERROR(__xludf.DUMMYFUNCTION("""COMPUTED_VALUE"""),"Archer")</f>
        <v>Archer</v>
      </c>
      <c r="B2" s="98" t="str">
        <f>IFERROR(__xludf.DUMMYFUNCTION("""COMPUTED_VALUE"""),"Skilled Archer")</f>
        <v>Skilled Archer</v>
      </c>
      <c r="C2" s="95" t="str">
        <f>IFERROR(__xludf.DUMMYFUNCTION("""COMPUTED_VALUE"""),"Rank 9 Physical")</f>
        <v>Rank 9 Physical</v>
      </c>
      <c r="D2" s="99" t="str">
        <f>IFERROR(__xludf.DUMMYFUNCTION("""COMPUTED_VALUE"""),"Add your mobility and evasion while evading.")</f>
        <v>Add your mobility and evasion while evading.</v>
      </c>
      <c r="E2" s="9" t="str">
        <f>IFERROR(__xludf.DUMMYFUNCTION("""COMPUTED_VALUE"""),"X6 damage with bows.")</f>
        <v>X6 damage with bows.</v>
      </c>
      <c r="F2" s="9" t="str">
        <f>IFERROR(__xludf.DUMMYFUNCTION("""COMPUTED_VALUE"""),"Add mobilty when attacking with a bow.")</f>
        <v>Add mobilty when attacking with a bow.</v>
      </c>
      <c r="G2" s="9"/>
      <c r="H2" s="1"/>
      <c r="I2" s="1"/>
      <c r="J2" s="1"/>
      <c r="K2" s="1"/>
      <c r="L2" s="1"/>
      <c r="M2" s="1"/>
      <c r="N2" s="1"/>
      <c r="O2" s="1"/>
      <c r="P2" s="1"/>
      <c r="Q2" s="1"/>
      <c r="R2" s="1"/>
      <c r="S2" s="1"/>
      <c r="T2" s="1"/>
      <c r="U2" s="1"/>
      <c r="V2" s="1">
        <f>IFERROR(__xludf.DUMMYFUNCTION("""COMPUTED_VALUE"""),0.0)</f>
        <v>0</v>
      </c>
      <c r="W2" s="1"/>
      <c r="X2" s="1"/>
      <c r="Y2" s="1"/>
      <c r="Z2" s="1"/>
      <c r="AA2" s="1"/>
      <c r="AB2" s="1"/>
      <c r="AC2" s="1"/>
      <c r="AD2" s="1"/>
      <c r="AE2" s="1"/>
      <c r="AF2" s="1"/>
      <c r="AG2" s="1">
        <f>IFERROR(__xludf.DUMMYFUNCTION("""COMPUTED_VALUE"""),9.0)</f>
        <v>9</v>
      </c>
      <c r="AH2" s="1"/>
      <c r="AI2" s="1"/>
      <c r="AJ2" s="1"/>
      <c r="AK2" s="1"/>
      <c r="AL2" s="1"/>
      <c r="AM2" s="1"/>
      <c r="AN2" s="1"/>
      <c r="AO2" s="1"/>
      <c r="AP2" s="1"/>
      <c r="AQ2" s="1"/>
      <c r="AR2" s="1"/>
      <c r="AS2" s="1"/>
    </row>
    <row r="3">
      <c r="A3" s="95" t="str">
        <f>IFERROR(__xludf.DUMMYFUNCTION("""COMPUTED_VALUE"""),"Archer")</f>
        <v>Archer</v>
      </c>
      <c r="B3" s="95" t="str">
        <f>IFERROR(__xludf.DUMMYFUNCTION("""COMPUTED_VALUE"""),"Javelineer")</f>
        <v>Javelineer</v>
      </c>
      <c r="C3" s="95" t="str">
        <f>IFERROR(__xludf.DUMMYFUNCTION("""COMPUTED_VALUE"""),"Rank 9 Physical")</f>
        <v>Rank 9 Physical</v>
      </c>
      <c r="D3" s="95" t="str">
        <f>IFERROR(__xludf.DUMMYFUNCTION("""COMPUTED_VALUE"""),"Add your mobility and evasion while evading.")</f>
        <v>Add your mobility and evasion while evading.</v>
      </c>
      <c r="E3" s="9" t="str">
        <f>IFERROR(__xludf.DUMMYFUNCTION("""COMPUTED_VALUE"""),"X6 damage with boomerangs.")</f>
        <v>X6 damage with boomerangs.</v>
      </c>
      <c r="F3" s="9" t="str">
        <f>IFERROR(__xludf.DUMMYFUNCTION("""COMPUTED_VALUE"""),"Add mobilty when attacking with a boomerang.")</f>
        <v>Add mobilty when attacking with a boomerang.</v>
      </c>
      <c r="G3" s="9"/>
      <c r="H3" s="1"/>
      <c r="I3" s="1"/>
      <c r="J3" s="1"/>
      <c r="K3" s="1"/>
      <c r="L3" s="1"/>
      <c r="M3" s="1"/>
      <c r="N3" s="1"/>
      <c r="O3" s="1"/>
      <c r="P3" s="1"/>
      <c r="Q3" s="1"/>
      <c r="R3" s="1"/>
      <c r="S3" s="1"/>
      <c r="T3" s="1"/>
      <c r="U3" s="1"/>
      <c r="V3" s="1">
        <f>IFERROR(__xludf.DUMMYFUNCTION("""COMPUTED_VALUE"""),0.0)</f>
        <v>0</v>
      </c>
      <c r="W3" s="1"/>
      <c r="X3" s="1"/>
      <c r="Y3" s="1"/>
      <c r="Z3" s="1"/>
      <c r="AA3" s="1"/>
      <c r="AB3" s="1"/>
      <c r="AC3" s="1"/>
      <c r="AD3" s="1"/>
      <c r="AE3" s="1"/>
      <c r="AF3" s="1"/>
      <c r="AG3" s="1">
        <f>IFERROR(__xludf.DUMMYFUNCTION("""COMPUTED_VALUE"""),9.0)</f>
        <v>9</v>
      </c>
      <c r="AH3" s="1"/>
      <c r="AI3" s="1"/>
      <c r="AJ3" s="1"/>
      <c r="AK3" s="1"/>
      <c r="AL3" s="1"/>
      <c r="AM3" s="1"/>
      <c r="AN3" s="1"/>
      <c r="AO3" s="1"/>
      <c r="AP3" s="1"/>
      <c r="AQ3" s="1"/>
      <c r="AR3" s="1"/>
      <c r="AS3" s="1"/>
    </row>
    <row r="4">
      <c r="A4" s="95" t="str">
        <f>IFERROR(__xludf.DUMMYFUNCTION("""COMPUTED_VALUE"""),"Bard")</f>
        <v>Bard</v>
      </c>
      <c r="B4" s="95" t="str">
        <f>IFERROR(__xludf.DUMMYFUNCTION("""COMPUTED_VALUE"""),"Master Bard")</f>
        <v>Master Bard</v>
      </c>
      <c r="C4" s="95" t="str">
        <f>IFERROR(__xludf.DUMMYFUNCTION("""COMPUTED_VALUE"""),"Rank 9 in all Elements (excluding Zen)")</f>
        <v>Rank 9 in all Elements (excluding Zen)</v>
      </c>
      <c r="D4" s="95" t="str">
        <f>IFERROR(__xludf.DUMMYFUNCTION("""COMPUTED_VALUE"""),"While you have a Instrument equipped, Acoustic Attacks do an additional X6 damage.")</f>
        <v>While you have a Instrument equipped, Acoustic Attacks do an additional X6 damage.</v>
      </c>
      <c r="E4" s="95" t="str">
        <f>IFERROR(__xludf.DUMMYFUNCTION("""COMPUTED_VALUE"""),"X2 additional Spell damage.")</f>
        <v>X2 additional Spell damage.</v>
      </c>
      <c r="F4" s="9" t="str">
        <f>IFERROR(__xludf.DUMMYFUNCTION("""COMPUTED_VALUE"""),"Entertain - The INN town service costs nothing for you.")</f>
        <v>Entertain - The INN town service costs nothing for you.</v>
      </c>
      <c r="G4" s="9" t="str">
        <f>IFERROR(__xludf.DUMMYFUNCTION("""COMPUTED_VALUE"""),"Entertain II - When you go to a INN you recieve d20 times 1000 gilders. You can only use this ability once every 30 days of travel.")</f>
        <v>Entertain II - When you go to a INN you recieve d20 times 1000 gilders. You can only use this ability once every 30 days of travel.</v>
      </c>
      <c r="H4" s="1"/>
      <c r="I4" s="1"/>
      <c r="J4" s="1"/>
      <c r="K4" s="1"/>
      <c r="L4" s="1"/>
      <c r="M4" s="1"/>
      <c r="N4" s="1"/>
      <c r="O4" s="1"/>
      <c r="P4" s="1"/>
      <c r="Q4" s="1"/>
      <c r="R4" s="1"/>
      <c r="S4" s="1"/>
      <c r="T4" s="1"/>
      <c r="U4" s="1"/>
      <c r="V4" s="1">
        <f>IFERROR(__xludf.DUMMYFUNCTION("""COMPUTED_VALUE"""),0.0)</f>
        <v>0</v>
      </c>
      <c r="W4" s="1">
        <f>IFERROR(__xludf.DUMMYFUNCTION("""COMPUTED_VALUE"""),9.0)</f>
        <v>9</v>
      </c>
      <c r="X4" s="1">
        <f>IFERROR(__xludf.DUMMYFUNCTION("""COMPUTED_VALUE"""),9.0)</f>
        <v>9</v>
      </c>
      <c r="Y4" s="1">
        <f>IFERROR(__xludf.DUMMYFUNCTION("""COMPUTED_VALUE"""),9.0)</f>
        <v>9</v>
      </c>
      <c r="Z4" s="1">
        <f>IFERROR(__xludf.DUMMYFUNCTION("""COMPUTED_VALUE"""),9.0)</f>
        <v>9</v>
      </c>
      <c r="AA4" s="1">
        <f>IFERROR(__xludf.DUMMYFUNCTION("""COMPUTED_VALUE"""),9.0)</f>
        <v>9</v>
      </c>
      <c r="AB4" s="1">
        <f>IFERROR(__xludf.DUMMYFUNCTION("""COMPUTED_VALUE"""),9.0)</f>
        <v>9</v>
      </c>
      <c r="AC4" s="1">
        <f>IFERROR(__xludf.DUMMYFUNCTION("""COMPUTED_VALUE"""),9.0)</f>
        <v>9</v>
      </c>
      <c r="AD4" s="1">
        <f>IFERROR(__xludf.DUMMYFUNCTION("""COMPUTED_VALUE"""),9.0)</f>
        <v>9</v>
      </c>
      <c r="AE4" s="1">
        <f>IFERROR(__xludf.DUMMYFUNCTION("""COMPUTED_VALUE"""),9.0)</f>
        <v>9</v>
      </c>
      <c r="AF4" s="1">
        <f>IFERROR(__xludf.DUMMYFUNCTION("""COMPUTED_VALUE"""),9.0)</f>
        <v>9</v>
      </c>
      <c r="AG4" s="1">
        <f>IFERROR(__xludf.DUMMYFUNCTION("""COMPUTED_VALUE"""),9.0)</f>
        <v>9</v>
      </c>
      <c r="AH4" s="1">
        <f>IFERROR(__xludf.DUMMYFUNCTION("""COMPUTED_VALUE"""),9.0)</f>
        <v>9</v>
      </c>
      <c r="AI4" s="1">
        <f>IFERROR(__xludf.DUMMYFUNCTION("""COMPUTED_VALUE"""),9.0)</f>
        <v>9</v>
      </c>
      <c r="AJ4" s="1">
        <f>IFERROR(__xludf.DUMMYFUNCTION("""COMPUTED_VALUE"""),9.0)</f>
        <v>9</v>
      </c>
      <c r="AK4" s="1">
        <f>IFERROR(__xludf.DUMMYFUNCTION("""COMPUTED_VALUE"""),9.0)</f>
        <v>9</v>
      </c>
      <c r="AL4" s="1">
        <f>IFERROR(__xludf.DUMMYFUNCTION("""COMPUTED_VALUE"""),9.0)</f>
        <v>9</v>
      </c>
      <c r="AM4" s="1">
        <f>IFERROR(__xludf.DUMMYFUNCTION("""COMPUTED_VALUE"""),9.0)</f>
        <v>9</v>
      </c>
      <c r="AN4" s="1">
        <f>IFERROR(__xludf.DUMMYFUNCTION("""COMPUTED_VALUE"""),9.0)</f>
        <v>9</v>
      </c>
      <c r="AO4" s="1"/>
      <c r="AP4" s="1"/>
      <c r="AQ4" s="1">
        <f>IFERROR(__xludf.DUMMYFUNCTION("""COMPUTED_VALUE"""),9.0)</f>
        <v>9</v>
      </c>
      <c r="AR4" s="1"/>
      <c r="AS4" s="1">
        <f>IFERROR(__xludf.DUMMYFUNCTION("""COMPUTED_VALUE"""),9.0)</f>
        <v>9</v>
      </c>
    </row>
    <row r="5">
      <c r="A5" s="95" t="str">
        <f>IFERROR(__xludf.DUMMYFUNCTION("""COMPUTED_VALUE"""),"Bombadier")</f>
        <v>Bombadier</v>
      </c>
      <c r="B5" s="95" t="str">
        <f>IFERROR(__xludf.DUMMYFUNCTION("""COMPUTED_VALUE"""),"Grenadier")</f>
        <v>Grenadier</v>
      </c>
      <c r="C5" s="95" t="str">
        <f>IFERROR(__xludf.DUMMYFUNCTION("""COMPUTED_VALUE"""),"Rank 9 Fire, Physical, Ranged, Melee")</f>
        <v>Rank 9 Fire, Physical, Ranged, Melee</v>
      </c>
      <c r="D5" s="95" t="str">
        <f>IFERROR(__xludf.DUMMYFUNCTION("""COMPUTED_VALUE"""),"X6 effectiveness to all damage over time")</f>
        <v>X6 effectiveness to all damage over time</v>
      </c>
      <c r="E5" s="95" t="str">
        <f>IFERROR(__xludf.DUMMYFUNCTION("""COMPUTED_VALUE"""),"X6 Fire Damage")</f>
        <v>X6 Fire Damage</v>
      </c>
      <c r="F5" s="9" t="str">
        <f>IFERROR(__xludf.DUMMYFUNCTION("""COMPUTED_VALUE"""),"Can fire twice as many offensive grenades")</f>
        <v>Can fire twice as many offensive grenades</v>
      </c>
      <c r="G5" s="9"/>
      <c r="H5" s="1"/>
      <c r="I5" s="1"/>
      <c r="J5" s="1"/>
      <c r="K5" s="1"/>
      <c r="L5" s="1"/>
      <c r="M5" s="1"/>
      <c r="N5" s="1"/>
      <c r="O5" s="1"/>
      <c r="P5" s="1"/>
      <c r="Q5" s="1"/>
      <c r="R5" s="1"/>
      <c r="S5" s="1"/>
      <c r="T5" s="1"/>
      <c r="U5" s="1"/>
      <c r="V5" s="1">
        <f>IFERROR(__xludf.DUMMYFUNCTION("""COMPUTED_VALUE"""),0.0)</f>
        <v>0</v>
      </c>
      <c r="W5" s="1">
        <f>IFERROR(__xludf.DUMMYFUNCTION("""COMPUTED_VALUE"""),9.0)</f>
        <v>9</v>
      </c>
      <c r="X5" s="1"/>
      <c r="Y5" s="1"/>
      <c r="Z5" s="1"/>
      <c r="AA5" s="1"/>
      <c r="AB5" s="1"/>
      <c r="AC5" s="1"/>
      <c r="AD5" s="1"/>
      <c r="AE5" s="1"/>
      <c r="AF5" s="1"/>
      <c r="AG5" s="1">
        <f>IFERROR(__xludf.DUMMYFUNCTION("""COMPUTED_VALUE"""),9.0)</f>
        <v>9</v>
      </c>
      <c r="AH5" s="1">
        <f>IFERROR(__xludf.DUMMYFUNCTION("""COMPUTED_VALUE"""),9.0)</f>
        <v>9</v>
      </c>
      <c r="AI5" s="1">
        <f>IFERROR(__xludf.DUMMYFUNCTION("""COMPUTED_VALUE"""),9.0)</f>
        <v>9</v>
      </c>
      <c r="AJ5" s="1"/>
      <c r="AK5" s="1"/>
      <c r="AL5" s="1"/>
      <c r="AM5" s="1"/>
      <c r="AN5" s="1"/>
      <c r="AO5" s="1"/>
      <c r="AP5" s="1"/>
      <c r="AQ5" s="1"/>
      <c r="AR5" s="1"/>
      <c r="AS5" s="1"/>
    </row>
    <row r="6">
      <c r="A6" s="95" t="str">
        <f>IFERROR(__xludf.DUMMYFUNCTION("""COMPUTED_VALUE"""),"Bombadier")</f>
        <v>Bombadier</v>
      </c>
      <c r="B6" s="95" t="str">
        <f>IFERROR(__xludf.DUMMYFUNCTION("""COMPUTED_VALUE"""),"Cannonier")</f>
        <v>Cannonier</v>
      </c>
      <c r="C6" s="95" t="str">
        <f>IFERROR(__xludf.DUMMYFUNCTION("""COMPUTED_VALUE"""),"Rank 9 Light, Physical, Ranged, Melee")</f>
        <v>Rank 9 Light, Physical, Ranged, Melee</v>
      </c>
      <c r="D6" s="95" t="str">
        <f>IFERROR(__xludf.DUMMYFUNCTION("""COMPUTED_VALUE"""),"All Grenade-based buffs have doubled effect")</f>
        <v>All Grenade-based buffs have doubled effect</v>
      </c>
      <c r="E6" s="95" t="str">
        <f>IFERROR(__xludf.DUMMYFUNCTION("""COMPUTED_VALUE"""),"X6 Light Damage")</f>
        <v>X6 Light Damage</v>
      </c>
      <c r="F6" s="9" t="str">
        <f>IFERROR(__xludf.DUMMYFUNCTION("""COMPUTED_VALUE"""),"X4 Sp and Hp recovery from grenades")</f>
        <v>X4 Sp and Hp recovery from grenades</v>
      </c>
      <c r="G6" s="9" t="str">
        <f>IFERROR(__xludf.DUMMYFUNCTION("""COMPUTED_VALUE"""),"Can fire twice as many Buffing/Restorative Grenades")</f>
        <v>Can fire twice as many Buffing/Restorative Grenades</v>
      </c>
      <c r="H6" s="1"/>
      <c r="I6" s="1"/>
      <c r="J6" s="1"/>
      <c r="K6" s="1"/>
      <c r="L6" s="1"/>
      <c r="M6" s="1"/>
      <c r="N6" s="1"/>
      <c r="O6" s="1"/>
      <c r="P6" s="1"/>
      <c r="Q6" s="1"/>
      <c r="R6" s="1"/>
      <c r="S6" s="1"/>
      <c r="T6" s="1"/>
      <c r="U6" s="1"/>
      <c r="V6" s="1"/>
      <c r="W6" s="1"/>
      <c r="X6" s="1"/>
      <c r="Y6" s="1"/>
      <c r="Z6" s="1"/>
      <c r="AA6" s="1">
        <f>IFERROR(__xludf.DUMMYFUNCTION("""COMPUTED_VALUE"""),9.0)</f>
        <v>9</v>
      </c>
      <c r="AB6" s="1"/>
      <c r="AC6" s="1"/>
      <c r="AD6" s="1"/>
      <c r="AE6" s="1"/>
      <c r="AF6" s="1"/>
      <c r="AG6" s="1">
        <f>IFERROR(__xludf.DUMMYFUNCTION("""COMPUTED_VALUE"""),9.0)</f>
        <v>9</v>
      </c>
      <c r="AH6" s="1">
        <f>IFERROR(__xludf.DUMMYFUNCTION("""COMPUTED_VALUE"""),9.0)</f>
        <v>9</v>
      </c>
      <c r="AI6" s="1">
        <f>IFERROR(__xludf.DUMMYFUNCTION("""COMPUTED_VALUE"""),9.0)</f>
        <v>9</v>
      </c>
      <c r="AJ6" s="1"/>
      <c r="AK6" s="1"/>
      <c r="AL6" s="1"/>
      <c r="AM6" s="1"/>
      <c r="AN6" s="1"/>
      <c r="AO6" s="1"/>
      <c r="AP6" s="1"/>
      <c r="AQ6" s="1"/>
      <c r="AR6" s="1"/>
      <c r="AS6" s="1"/>
    </row>
    <row r="7">
      <c r="A7" s="95" t="str">
        <f>IFERROR(__xludf.DUMMYFUNCTION("""COMPUTED_VALUE"""),"Brawler")</f>
        <v>Brawler</v>
      </c>
      <c r="B7" s="95" t="str">
        <f>IFERROR(__xludf.DUMMYFUNCTION("""COMPUTED_VALUE"""),"Skilled Fighter")</f>
        <v>Skilled Fighter</v>
      </c>
      <c r="C7" s="95" t="str">
        <f>IFERROR(__xludf.DUMMYFUNCTION("""COMPUTED_VALUE"""),"Rank 9 Melee, Ranged")</f>
        <v>Rank 9 Melee, Ranged</v>
      </c>
      <c r="D7" s="95" t="str">
        <f>IFERROR(__xludf.DUMMYFUNCTION("""COMPUTED_VALUE"""),"Half the SP cost for Physical, Melee, and Ranged Spells.")</f>
        <v>Half the SP cost for Physical, Melee, and Ranged Spells.</v>
      </c>
      <c r="E7" s="95" t="str">
        <f>IFERROR(__xludf.DUMMYFUNCTION("""COMPUTED_VALUE"""),"Immune to damage from Natural Attacks.")</f>
        <v>Immune to damage from Natural Attacks.</v>
      </c>
      <c r="F7" s="9" t="str">
        <f>IFERROR(__xludf.DUMMYFUNCTION("""COMPUTED_VALUE"""),"Add mobility to natural attacks.")</f>
        <v>Add mobility to natural attacks.</v>
      </c>
      <c r="G7" s="9" t="str">
        <f>IFERROR(__xludf.DUMMYFUNCTION("""COMPUTED_VALUE"""),"X4 Damage towards natural attacks. ")</f>
        <v>X4 Damage towards natural attacks. </v>
      </c>
      <c r="H7" s="1"/>
      <c r="I7" s="1"/>
      <c r="J7" s="1"/>
      <c r="K7" s="1"/>
      <c r="L7" s="1"/>
      <c r="M7" s="1"/>
      <c r="N7" s="1"/>
      <c r="O7" s="1"/>
      <c r="P7" s="1"/>
      <c r="Q7" s="1"/>
      <c r="R7" s="1"/>
      <c r="S7" s="1"/>
      <c r="T7" s="1"/>
      <c r="U7" s="1"/>
      <c r="V7" s="1">
        <f>IFERROR(__xludf.DUMMYFUNCTION("""COMPUTED_VALUE"""),0.0)</f>
        <v>0</v>
      </c>
      <c r="W7" s="1"/>
      <c r="X7" s="1"/>
      <c r="Y7" s="1"/>
      <c r="Z7" s="1"/>
      <c r="AA7" s="1"/>
      <c r="AB7" s="1"/>
      <c r="AC7" s="1"/>
      <c r="AD7" s="1"/>
      <c r="AE7" s="1"/>
      <c r="AF7" s="1"/>
      <c r="AG7" s="1">
        <f>IFERROR(__xludf.DUMMYFUNCTION("""COMPUTED_VALUE"""),9.0)</f>
        <v>9</v>
      </c>
      <c r="AH7" s="1">
        <f>IFERROR(__xludf.DUMMYFUNCTION("""COMPUTED_VALUE"""),9.0)</f>
        <v>9</v>
      </c>
      <c r="AI7" s="1">
        <f>IFERROR(__xludf.DUMMYFUNCTION("""COMPUTED_VALUE"""),9.0)</f>
        <v>9</v>
      </c>
      <c r="AJ7" s="1"/>
      <c r="AK7" s="1"/>
      <c r="AL7" s="1"/>
      <c r="AM7" s="1"/>
      <c r="AN7" s="1"/>
      <c r="AO7" s="1"/>
      <c r="AP7" s="1"/>
      <c r="AQ7" s="1"/>
      <c r="AR7" s="1"/>
      <c r="AS7" s="1"/>
    </row>
    <row r="8">
      <c r="A8" s="95" t="str">
        <f>IFERROR(__xludf.DUMMYFUNCTION("""COMPUTED_VALUE"""),"Cavalier")</f>
        <v>Cavalier</v>
      </c>
      <c r="B8" s="95" t="str">
        <f>IFERROR(__xludf.DUMMYFUNCTION("""COMPUTED_VALUE"""),"Dragon Rider")</f>
        <v>Dragon Rider</v>
      </c>
      <c r="C8" s="95" t="str">
        <f>IFERROR(__xludf.DUMMYFUNCTION("""COMPUTED_VALUE"""),"Rank 3 in all elements (Excluding Zen and Acoustic)")</f>
        <v>Rank 3 in all elements (Excluding Zen and Acoustic)</v>
      </c>
      <c r="D8" s="95"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8" s="95" t="str">
        <f>IFERROR(__xludf.DUMMYFUNCTION("""COMPUTED_VALUE"""),"When fighting alongside a companion which is draconic you and your companion gain X4 damage to all spells of the Dragon's Corresponding element")</f>
        <v>When fighting alongside a companion which is draconic you and your companion gain X4 damage to all spells of the Dragon's Corresponding element</v>
      </c>
      <c r="F8" s="9" t="str">
        <f>IFERROR(__xludf.DUMMYFUNCTION("""COMPUTED_VALUE"""),"Hatching the egg of a draconic creature takes 1d50 time instead of 1d100")</f>
        <v>Hatching the egg of a draconic creature takes 1d50 time instead of 1d100</v>
      </c>
      <c r="G8" s="9" t="str">
        <f>IFERROR(__xludf.DUMMYFUNCTION("""COMPUTED_VALUE"""),"you gain access to the Dragon's Breath Natural Power")</f>
        <v>you gain access to the Dragon's Breath Natural Power</v>
      </c>
      <c r="H8" s="1"/>
      <c r="I8" s="1"/>
      <c r="J8" s="1"/>
      <c r="K8" s="1"/>
      <c r="L8" s="1"/>
      <c r="M8" s="1"/>
      <c r="N8" s="1"/>
      <c r="O8" s="1"/>
      <c r="P8" s="1"/>
      <c r="Q8" s="1"/>
      <c r="R8" s="1"/>
      <c r="S8" s="1"/>
      <c r="T8" s="1"/>
      <c r="U8" s="1"/>
      <c r="V8" s="1"/>
      <c r="W8" s="1">
        <f>IFERROR(__xludf.DUMMYFUNCTION("""COMPUTED_VALUE"""),3.0)</f>
        <v>3</v>
      </c>
      <c r="X8" s="1">
        <f>IFERROR(__xludf.DUMMYFUNCTION("""COMPUTED_VALUE"""),3.0)</f>
        <v>3</v>
      </c>
      <c r="Y8" s="1">
        <f>IFERROR(__xludf.DUMMYFUNCTION("""COMPUTED_VALUE"""),3.0)</f>
        <v>3</v>
      </c>
      <c r="Z8" s="1">
        <f>IFERROR(__xludf.DUMMYFUNCTION("""COMPUTED_VALUE"""),3.0)</f>
        <v>3</v>
      </c>
      <c r="AA8" s="1">
        <f>IFERROR(__xludf.DUMMYFUNCTION("""COMPUTED_VALUE"""),3.0)</f>
        <v>3</v>
      </c>
      <c r="AB8" s="1">
        <f>IFERROR(__xludf.DUMMYFUNCTION("""COMPUTED_VALUE"""),3.0)</f>
        <v>3</v>
      </c>
      <c r="AC8" s="1">
        <f>IFERROR(__xludf.DUMMYFUNCTION("""COMPUTED_VALUE"""),3.0)</f>
        <v>3</v>
      </c>
      <c r="AD8" s="1">
        <f>IFERROR(__xludf.DUMMYFUNCTION("""COMPUTED_VALUE"""),3.0)</f>
        <v>3</v>
      </c>
      <c r="AE8" s="1">
        <f>IFERROR(__xludf.DUMMYFUNCTION("""COMPUTED_VALUE"""),3.0)</f>
        <v>3</v>
      </c>
      <c r="AF8" s="1">
        <f>IFERROR(__xludf.DUMMYFUNCTION("""COMPUTED_VALUE"""),3.0)</f>
        <v>3</v>
      </c>
      <c r="AG8" s="1">
        <f>IFERROR(__xludf.DUMMYFUNCTION("""COMPUTED_VALUE"""),3.0)</f>
        <v>3</v>
      </c>
      <c r="AH8" s="1">
        <f>IFERROR(__xludf.DUMMYFUNCTION("""COMPUTED_VALUE"""),3.0)</f>
        <v>3</v>
      </c>
      <c r="AI8" s="1">
        <f>IFERROR(__xludf.DUMMYFUNCTION("""COMPUTED_VALUE"""),3.0)</f>
        <v>3</v>
      </c>
      <c r="AJ8" s="1">
        <f>IFERROR(__xludf.DUMMYFUNCTION("""COMPUTED_VALUE"""),3.0)</f>
        <v>3</v>
      </c>
      <c r="AK8" s="1">
        <f>IFERROR(__xludf.DUMMYFUNCTION("""COMPUTED_VALUE"""),3.0)</f>
        <v>3</v>
      </c>
      <c r="AL8" s="1">
        <f>IFERROR(__xludf.DUMMYFUNCTION("""COMPUTED_VALUE"""),3.0)</f>
        <v>3</v>
      </c>
      <c r="AM8" s="1">
        <f>IFERROR(__xludf.DUMMYFUNCTION("""COMPUTED_VALUE"""),3.0)</f>
        <v>3</v>
      </c>
      <c r="AN8" s="1">
        <f>IFERROR(__xludf.DUMMYFUNCTION("""COMPUTED_VALUE"""),3.0)</f>
        <v>3</v>
      </c>
      <c r="AO8" s="1"/>
      <c r="AP8" s="1"/>
      <c r="AQ8" s="1">
        <f>IFERROR(__xludf.DUMMYFUNCTION("""COMPUTED_VALUE"""),3.0)</f>
        <v>3</v>
      </c>
      <c r="AR8" s="1"/>
      <c r="AS8" s="1"/>
    </row>
    <row r="9">
      <c r="A9" s="95" t="str">
        <f>IFERROR(__xludf.DUMMYFUNCTION("""COMPUTED_VALUE"""),"Cavalier")</f>
        <v>Cavalier</v>
      </c>
      <c r="B9" s="95" t="str">
        <f>IFERROR(__xludf.DUMMYFUNCTION("""COMPUTED_VALUE"""),"Beast Master")</f>
        <v>Beast Master</v>
      </c>
      <c r="C9" s="95" t="str">
        <f>IFERROR(__xludf.DUMMYFUNCTION("""COMPUTED_VALUE"""),"Rank 3 in all elements (Excluding Zen and Acoustic)")</f>
        <v>Rank 3 in all elements (Excluding Zen and Acoustic)</v>
      </c>
      <c r="D9" s="95"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9" s="95" t="str">
        <f>IFERROR(__xludf.DUMMYFUNCTION("""COMPUTED_VALUE"""),"When fighting alongside a companion which is beastial you and your companion gain X4 Weapon, Blood, and Natural attack damage")</f>
        <v>When fighting alongside a companion which is beastial you and your companion gain X4 Weapon, Blood, and Natural attack damage</v>
      </c>
      <c r="F9" s="9" t="str">
        <f>IFERROR(__xludf.DUMMYFUNCTION("""COMPUTED_VALUE"""),"when attacking an enemy who is currently bleeding you can tap into your beastial instincts to double the roll of any hit or miss attacks targetting the bleeding enemy")</f>
        <v>when attacking an enemy who is currently bleeding you can tap into your beastial instincts to double the roll of any hit or miss attacks targetting the bleeding enemy</v>
      </c>
      <c r="G9" s="9" t="str">
        <f>IFERROR(__xludf.DUMMYFUNCTION("""COMPUTED_VALUE"""),"Hatching the egg of a Beastial creature takes 1d50 time instead of 1d100")</f>
        <v>Hatching the egg of a Beastial creature takes 1d50 time instead of 1d100</v>
      </c>
      <c r="H9" s="1"/>
      <c r="I9" s="1"/>
      <c r="J9" s="1"/>
      <c r="K9" s="1"/>
      <c r="L9" s="1"/>
      <c r="M9" s="1"/>
      <c r="N9" s="1"/>
      <c r="O9" s="1"/>
      <c r="P9" s="1"/>
      <c r="Q9" s="1"/>
      <c r="R9" s="1"/>
      <c r="S9" s="1"/>
      <c r="T9" s="1"/>
      <c r="U9" s="1"/>
      <c r="V9" s="1"/>
      <c r="W9" s="1">
        <f>IFERROR(__xludf.DUMMYFUNCTION("""COMPUTED_VALUE"""),3.0)</f>
        <v>3</v>
      </c>
      <c r="X9" s="1">
        <f>IFERROR(__xludf.DUMMYFUNCTION("""COMPUTED_VALUE"""),3.0)</f>
        <v>3</v>
      </c>
      <c r="Y9" s="1">
        <f>IFERROR(__xludf.DUMMYFUNCTION("""COMPUTED_VALUE"""),3.0)</f>
        <v>3</v>
      </c>
      <c r="Z9" s="1">
        <f>IFERROR(__xludf.DUMMYFUNCTION("""COMPUTED_VALUE"""),3.0)</f>
        <v>3</v>
      </c>
      <c r="AA9" s="1">
        <f>IFERROR(__xludf.DUMMYFUNCTION("""COMPUTED_VALUE"""),3.0)</f>
        <v>3</v>
      </c>
      <c r="AB9" s="1">
        <f>IFERROR(__xludf.DUMMYFUNCTION("""COMPUTED_VALUE"""),3.0)</f>
        <v>3</v>
      </c>
      <c r="AC9" s="1">
        <f>IFERROR(__xludf.DUMMYFUNCTION("""COMPUTED_VALUE"""),3.0)</f>
        <v>3</v>
      </c>
      <c r="AD9" s="1">
        <f>IFERROR(__xludf.DUMMYFUNCTION("""COMPUTED_VALUE"""),3.0)</f>
        <v>3</v>
      </c>
      <c r="AE9" s="1">
        <f>IFERROR(__xludf.DUMMYFUNCTION("""COMPUTED_VALUE"""),3.0)</f>
        <v>3</v>
      </c>
      <c r="AF9" s="1">
        <f>IFERROR(__xludf.DUMMYFUNCTION("""COMPUTED_VALUE"""),3.0)</f>
        <v>3</v>
      </c>
      <c r="AG9" s="1">
        <f>IFERROR(__xludf.DUMMYFUNCTION("""COMPUTED_VALUE"""),3.0)</f>
        <v>3</v>
      </c>
      <c r="AH9" s="1">
        <f>IFERROR(__xludf.DUMMYFUNCTION("""COMPUTED_VALUE"""),3.0)</f>
        <v>3</v>
      </c>
      <c r="AI9" s="1">
        <f>IFERROR(__xludf.DUMMYFUNCTION("""COMPUTED_VALUE"""),3.0)</f>
        <v>3</v>
      </c>
      <c r="AJ9" s="1">
        <f>IFERROR(__xludf.DUMMYFUNCTION("""COMPUTED_VALUE"""),3.0)</f>
        <v>3</v>
      </c>
      <c r="AK9" s="1">
        <f>IFERROR(__xludf.DUMMYFUNCTION("""COMPUTED_VALUE"""),3.0)</f>
        <v>3</v>
      </c>
      <c r="AL9" s="1">
        <f>IFERROR(__xludf.DUMMYFUNCTION("""COMPUTED_VALUE"""),3.0)</f>
        <v>3</v>
      </c>
      <c r="AM9" s="1">
        <f>IFERROR(__xludf.DUMMYFUNCTION("""COMPUTED_VALUE"""),3.0)</f>
        <v>3</v>
      </c>
      <c r="AN9" s="1">
        <f>IFERROR(__xludf.DUMMYFUNCTION("""COMPUTED_VALUE"""),3.0)</f>
        <v>3</v>
      </c>
      <c r="AO9" s="1"/>
      <c r="AP9" s="1"/>
      <c r="AQ9" s="1">
        <f>IFERROR(__xludf.DUMMYFUNCTION("""COMPUTED_VALUE"""),3.0)</f>
        <v>3</v>
      </c>
      <c r="AR9" s="1"/>
      <c r="AS9" s="1"/>
    </row>
    <row r="10">
      <c r="A10" s="95" t="str">
        <f>IFERROR(__xludf.DUMMYFUNCTION("""COMPUTED_VALUE"""),"Cavalier")</f>
        <v>Cavalier</v>
      </c>
      <c r="B10" s="95" t="str">
        <f>IFERROR(__xludf.DUMMYFUNCTION("""COMPUTED_VALUE"""),"Blood Bound")</f>
        <v>Blood Bound</v>
      </c>
      <c r="C10" s="95" t="str">
        <f>IFERROR(__xludf.DUMMYFUNCTION("""COMPUTED_VALUE"""),"Rank 3 in all elements (Excluding Zen and Acoustic)")</f>
        <v>Rank 3 in all elements (Excluding Zen and Acoustic)</v>
      </c>
      <c r="D10" s="95"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0" s="95" t="str">
        <f>IFERROR(__xludf.DUMMYFUNCTION("""COMPUTED_VALUE"""),"When fighting alongside a demon or devil companion you and your companion gain X4 Chaos, Voodoo, and Dark damage")</f>
        <v>When fighting alongside a demon or devil companion you and your companion gain X4 Chaos, Voodoo, and Dark damage</v>
      </c>
      <c r="F10" s="9" t="str">
        <f>IFERROR(__xludf.DUMMYFUNCTION("""COMPUTED_VALUE"""),"You may choose to use your health as the sp cost for your companions spells, doing so will increase the damage by X4 ")</f>
        <v>You may choose to use your health as the sp cost for your companions spells, doing so will increase the damage by X4 </v>
      </c>
      <c r="G10" s="9" t="str">
        <f>IFERROR(__xludf.DUMMYFUNCTION("""COMPUTED_VALUE"""),"Hatching the egg of a Demonic creature takes 1d50 time instead of 1d100")</f>
        <v>Hatching the egg of a Demonic creature takes 1d50 time instead of 1d100</v>
      </c>
      <c r="H10" s="1"/>
      <c r="I10" s="1"/>
      <c r="J10" s="1"/>
      <c r="K10" s="1"/>
      <c r="L10" s="1"/>
      <c r="M10" s="1"/>
      <c r="N10" s="1"/>
      <c r="O10" s="1"/>
      <c r="P10" s="1"/>
      <c r="Q10" s="1"/>
      <c r="R10" s="1"/>
      <c r="S10" s="1"/>
      <c r="T10" s="1"/>
      <c r="U10" s="1"/>
      <c r="V10" s="1"/>
      <c r="W10" s="1">
        <f>IFERROR(__xludf.DUMMYFUNCTION("""COMPUTED_VALUE"""),3.0)</f>
        <v>3</v>
      </c>
      <c r="X10" s="1">
        <f>IFERROR(__xludf.DUMMYFUNCTION("""COMPUTED_VALUE"""),3.0)</f>
        <v>3</v>
      </c>
      <c r="Y10" s="1">
        <f>IFERROR(__xludf.DUMMYFUNCTION("""COMPUTED_VALUE"""),3.0)</f>
        <v>3</v>
      </c>
      <c r="Z10" s="1">
        <f>IFERROR(__xludf.DUMMYFUNCTION("""COMPUTED_VALUE"""),3.0)</f>
        <v>3</v>
      </c>
      <c r="AA10" s="1">
        <f>IFERROR(__xludf.DUMMYFUNCTION("""COMPUTED_VALUE"""),3.0)</f>
        <v>3</v>
      </c>
      <c r="AB10" s="1">
        <f>IFERROR(__xludf.DUMMYFUNCTION("""COMPUTED_VALUE"""),3.0)</f>
        <v>3</v>
      </c>
      <c r="AC10" s="1">
        <f>IFERROR(__xludf.DUMMYFUNCTION("""COMPUTED_VALUE"""),3.0)</f>
        <v>3</v>
      </c>
      <c r="AD10" s="1">
        <f>IFERROR(__xludf.DUMMYFUNCTION("""COMPUTED_VALUE"""),3.0)</f>
        <v>3</v>
      </c>
      <c r="AE10" s="1">
        <f>IFERROR(__xludf.DUMMYFUNCTION("""COMPUTED_VALUE"""),3.0)</f>
        <v>3</v>
      </c>
      <c r="AF10" s="1">
        <f>IFERROR(__xludf.DUMMYFUNCTION("""COMPUTED_VALUE"""),3.0)</f>
        <v>3</v>
      </c>
      <c r="AG10" s="1">
        <f>IFERROR(__xludf.DUMMYFUNCTION("""COMPUTED_VALUE"""),3.0)</f>
        <v>3</v>
      </c>
      <c r="AH10" s="1">
        <f>IFERROR(__xludf.DUMMYFUNCTION("""COMPUTED_VALUE"""),3.0)</f>
        <v>3</v>
      </c>
      <c r="AI10" s="1">
        <f>IFERROR(__xludf.DUMMYFUNCTION("""COMPUTED_VALUE"""),3.0)</f>
        <v>3</v>
      </c>
      <c r="AJ10" s="1">
        <f>IFERROR(__xludf.DUMMYFUNCTION("""COMPUTED_VALUE"""),3.0)</f>
        <v>3</v>
      </c>
      <c r="AK10" s="1">
        <f>IFERROR(__xludf.DUMMYFUNCTION("""COMPUTED_VALUE"""),3.0)</f>
        <v>3</v>
      </c>
      <c r="AL10" s="1">
        <f>IFERROR(__xludf.DUMMYFUNCTION("""COMPUTED_VALUE"""),3.0)</f>
        <v>3</v>
      </c>
      <c r="AM10" s="1">
        <f>IFERROR(__xludf.DUMMYFUNCTION("""COMPUTED_VALUE"""),3.0)</f>
        <v>3</v>
      </c>
      <c r="AN10" s="1">
        <f>IFERROR(__xludf.DUMMYFUNCTION("""COMPUTED_VALUE"""),3.0)</f>
        <v>3</v>
      </c>
      <c r="AO10" s="1"/>
      <c r="AP10" s="1"/>
      <c r="AQ10" s="1">
        <f>IFERROR(__xludf.DUMMYFUNCTION("""COMPUTED_VALUE"""),3.0)</f>
        <v>3</v>
      </c>
      <c r="AR10" s="1"/>
      <c r="AS10" s="1"/>
    </row>
    <row r="11">
      <c r="A11" s="95" t="str">
        <f>IFERROR(__xludf.DUMMYFUNCTION("""COMPUTED_VALUE"""),"Cavalier")</f>
        <v>Cavalier</v>
      </c>
      <c r="B11" s="95" t="str">
        <f>IFERROR(__xludf.DUMMYFUNCTION("""COMPUTED_VALUE"""),"Heavenly Herald")</f>
        <v>Heavenly Herald</v>
      </c>
      <c r="C11" s="95" t="str">
        <f>IFERROR(__xludf.DUMMYFUNCTION("""COMPUTED_VALUE"""),"Rank 3 in all elements (Excluding Zen and Acoustic)")</f>
        <v>Rank 3 in all elements (Excluding Zen and Acoustic)</v>
      </c>
      <c r="D11" s="95"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1" s="95" t="str">
        <f>IFERROR(__xludf.DUMMYFUNCTION("""COMPUTED_VALUE"""),"When fighting alongside a heavenly entity companion and your companion you gain X4 Light and Order damage")</f>
        <v>When fighting alongside a heavenly entity companion and your companion you gain X4 Light and Order damage</v>
      </c>
      <c r="F11" s="9" t="str">
        <f>IFERROR(__xludf.DUMMYFUNCTION("""COMPUTED_VALUE"""),"You may choose to convert all of your defense into damage for a power or weapon attack, doing so will set your defense to 0 for 3 rounds")</f>
        <v>You may choose to convert all of your defense into damage for a power or weapon attack, doing so will set your defense to 0 for 3 rounds</v>
      </c>
      <c r="G11" s="9" t="str">
        <f>IFERROR(__xludf.DUMMYFUNCTION("""COMPUTED_VALUE"""),"Hatching the egg of a Heavenly creature takes 1d50 time instead of 1d100")</f>
        <v>Hatching the egg of a Heavenly creature takes 1d50 time instead of 1d100</v>
      </c>
      <c r="H11" s="1"/>
      <c r="I11" s="1"/>
      <c r="J11" s="1"/>
      <c r="K11" s="1"/>
      <c r="L11" s="1"/>
      <c r="M11" s="1"/>
      <c r="N11" s="1"/>
      <c r="O11" s="1"/>
      <c r="P11" s="1"/>
      <c r="Q11" s="1"/>
      <c r="R11" s="1"/>
      <c r="S11" s="1"/>
      <c r="T11" s="1"/>
      <c r="U11" s="1"/>
      <c r="V11" s="1"/>
      <c r="W11" s="1">
        <f>IFERROR(__xludf.DUMMYFUNCTION("""COMPUTED_VALUE"""),3.0)</f>
        <v>3</v>
      </c>
      <c r="X11" s="1">
        <f>IFERROR(__xludf.DUMMYFUNCTION("""COMPUTED_VALUE"""),3.0)</f>
        <v>3</v>
      </c>
      <c r="Y11" s="1">
        <f>IFERROR(__xludf.DUMMYFUNCTION("""COMPUTED_VALUE"""),3.0)</f>
        <v>3</v>
      </c>
      <c r="Z11" s="1">
        <f>IFERROR(__xludf.DUMMYFUNCTION("""COMPUTED_VALUE"""),3.0)</f>
        <v>3</v>
      </c>
      <c r="AA11" s="1">
        <f>IFERROR(__xludf.DUMMYFUNCTION("""COMPUTED_VALUE"""),3.0)</f>
        <v>3</v>
      </c>
      <c r="AB11" s="1">
        <f>IFERROR(__xludf.DUMMYFUNCTION("""COMPUTED_VALUE"""),3.0)</f>
        <v>3</v>
      </c>
      <c r="AC11" s="1">
        <f>IFERROR(__xludf.DUMMYFUNCTION("""COMPUTED_VALUE"""),3.0)</f>
        <v>3</v>
      </c>
      <c r="AD11" s="1">
        <f>IFERROR(__xludf.DUMMYFUNCTION("""COMPUTED_VALUE"""),3.0)</f>
        <v>3</v>
      </c>
      <c r="AE11" s="1">
        <f>IFERROR(__xludf.DUMMYFUNCTION("""COMPUTED_VALUE"""),3.0)</f>
        <v>3</v>
      </c>
      <c r="AF11" s="1">
        <f>IFERROR(__xludf.DUMMYFUNCTION("""COMPUTED_VALUE"""),3.0)</f>
        <v>3</v>
      </c>
      <c r="AG11" s="1">
        <f>IFERROR(__xludf.DUMMYFUNCTION("""COMPUTED_VALUE"""),3.0)</f>
        <v>3</v>
      </c>
      <c r="AH11" s="1">
        <f>IFERROR(__xludf.DUMMYFUNCTION("""COMPUTED_VALUE"""),3.0)</f>
        <v>3</v>
      </c>
      <c r="AI11" s="1">
        <f>IFERROR(__xludf.DUMMYFUNCTION("""COMPUTED_VALUE"""),3.0)</f>
        <v>3</v>
      </c>
      <c r="AJ11" s="1">
        <f>IFERROR(__xludf.DUMMYFUNCTION("""COMPUTED_VALUE"""),3.0)</f>
        <v>3</v>
      </c>
      <c r="AK11" s="1">
        <f>IFERROR(__xludf.DUMMYFUNCTION("""COMPUTED_VALUE"""),3.0)</f>
        <v>3</v>
      </c>
      <c r="AL11" s="1">
        <f>IFERROR(__xludf.DUMMYFUNCTION("""COMPUTED_VALUE"""),3.0)</f>
        <v>3</v>
      </c>
      <c r="AM11" s="1">
        <f>IFERROR(__xludf.DUMMYFUNCTION("""COMPUTED_VALUE"""),3.0)</f>
        <v>3</v>
      </c>
      <c r="AN11" s="1">
        <f>IFERROR(__xludf.DUMMYFUNCTION("""COMPUTED_VALUE"""),3.0)</f>
        <v>3</v>
      </c>
      <c r="AO11" s="1"/>
      <c r="AP11" s="1"/>
      <c r="AQ11" s="1">
        <f>IFERROR(__xludf.DUMMYFUNCTION("""COMPUTED_VALUE"""),3.0)</f>
        <v>3</v>
      </c>
      <c r="AR11" s="1"/>
      <c r="AS11" s="1"/>
    </row>
    <row r="12">
      <c r="A12" s="95" t="str">
        <f>IFERROR(__xludf.DUMMYFUNCTION("""COMPUTED_VALUE"""),"Cultist")</f>
        <v>Cultist</v>
      </c>
      <c r="B12" s="95" t="str">
        <f>IFERROR(__xludf.DUMMYFUNCTION("""COMPUTED_VALUE"""),"Disciple of Darkness")</f>
        <v>Disciple of Darkness</v>
      </c>
      <c r="C12" s="1" t="str">
        <f>IFERROR(__xludf.DUMMYFUNCTION("""COMPUTED_VALUE"""),"Rank 9 Chaos, Dark, Voodoo, Blood")</f>
        <v>Rank 9 Chaos, Dark, Voodoo, Blood</v>
      </c>
      <c r="D12" s="95" t="str">
        <f>IFERROR(__xludf.DUMMYFUNCTION("""COMPUTED_VALUE"""),"Immune to instant death.")</f>
        <v>Immune to instant death.</v>
      </c>
      <c r="E12" s="95" t="str">
        <f>IFERROR(__xludf.DUMMYFUNCTION("""COMPUTED_VALUE"""),"25% Chance all enemies instantly die at the begining of battle.")</f>
        <v>25% Chance all enemies instantly die at the begining of battle.</v>
      </c>
      <c r="F12" s="9"/>
      <c r="G12" s="9"/>
      <c r="H12" s="1"/>
      <c r="I12" s="1"/>
      <c r="J12" s="1"/>
      <c r="K12" s="1"/>
      <c r="L12" s="1"/>
      <c r="M12" s="1"/>
      <c r="N12" s="1"/>
      <c r="O12" s="1"/>
      <c r="P12" s="1"/>
      <c r="Q12" s="1"/>
      <c r="R12" s="1"/>
      <c r="S12" s="1"/>
      <c r="T12" s="1"/>
      <c r="U12" s="1"/>
      <c r="V12" s="1">
        <f>IFERROR(__xludf.DUMMYFUNCTION("""COMPUTED_VALUE"""),0.0)</f>
        <v>0</v>
      </c>
      <c r="W12" s="1"/>
      <c r="X12" s="1"/>
      <c r="Y12" s="1"/>
      <c r="Z12" s="1"/>
      <c r="AA12" s="1"/>
      <c r="AB12" s="1">
        <f>IFERROR(__xludf.DUMMYFUNCTION("""COMPUTED_VALUE"""),9.0)</f>
        <v>9</v>
      </c>
      <c r="AC12" s="1"/>
      <c r="AD12" s="1"/>
      <c r="AE12" s="1">
        <f>IFERROR(__xludf.DUMMYFUNCTION("""COMPUTED_VALUE"""),9.0)</f>
        <v>9</v>
      </c>
      <c r="AF12" s="1"/>
      <c r="AG12" s="1"/>
      <c r="AH12" s="1"/>
      <c r="AI12" s="1"/>
      <c r="AJ12" s="1"/>
      <c r="AK12" s="1"/>
      <c r="AL12" s="1">
        <f>IFERROR(__xludf.DUMMYFUNCTION("""COMPUTED_VALUE"""),9.0)</f>
        <v>9</v>
      </c>
      <c r="AM12" s="1">
        <f>IFERROR(__xludf.DUMMYFUNCTION("""COMPUTED_VALUE"""),9.0)</f>
        <v>9</v>
      </c>
      <c r="AN12" s="1"/>
      <c r="AO12" s="1"/>
      <c r="AP12" s="1"/>
      <c r="AQ12" s="1"/>
      <c r="AR12" s="1"/>
      <c r="AS12" s="1"/>
    </row>
    <row r="13">
      <c r="A13" s="95" t="str">
        <f>IFERROR(__xludf.DUMMYFUNCTION("""COMPUTED_VALUE"""),"Cultist")</f>
        <v>Cultist</v>
      </c>
      <c r="B13" s="95" t="str">
        <f>IFERROR(__xludf.DUMMYFUNCTION("""COMPUTED_VALUE"""),"Elemental Cultist")</f>
        <v>Elemental Cultist</v>
      </c>
      <c r="C13" s="95" t="str">
        <f>IFERROR(__xludf.DUMMYFUNCTION("""COMPUTED_VALUE"""),"Rank 9 Chaos, Dark, Fire, Water, Earth.")</f>
        <v>Rank 9 Chaos, Dark, Fire, Water, Earth.</v>
      </c>
      <c r="D13" s="95" t="str">
        <f>IFERROR(__xludf.DUMMYFUNCTION("""COMPUTED_VALUE"""),"Immune to instant death.")</f>
        <v>Immune to instant death.</v>
      </c>
      <c r="E13" s="95" t="str">
        <f>IFERROR(__xludf.DUMMYFUNCTION("""COMPUTED_VALUE"""),"X2 Spell damage for self.")</f>
        <v>X2 Spell damage for self.</v>
      </c>
      <c r="F13" s="9"/>
      <c r="G13" s="9"/>
      <c r="H13" s="1"/>
      <c r="I13" s="1"/>
      <c r="J13" s="1"/>
      <c r="K13" s="1"/>
      <c r="L13" s="1"/>
      <c r="M13" s="1"/>
      <c r="N13" s="1"/>
      <c r="O13" s="1"/>
      <c r="P13" s="1"/>
      <c r="Q13" s="1"/>
      <c r="R13" s="1"/>
      <c r="S13" s="1"/>
      <c r="T13" s="1"/>
      <c r="U13" s="1"/>
      <c r="V13" s="1">
        <f>IFERROR(__xludf.DUMMYFUNCTION("""COMPUTED_VALUE"""),0.0)</f>
        <v>0</v>
      </c>
      <c r="W13" s="1">
        <f>IFERROR(__xludf.DUMMYFUNCTION("""COMPUTED_VALUE"""),9.0)</f>
        <v>9</v>
      </c>
      <c r="X13" s="1">
        <f>IFERROR(__xludf.DUMMYFUNCTION("""COMPUTED_VALUE"""),9.0)</f>
        <v>9</v>
      </c>
      <c r="Y13" s="1"/>
      <c r="Z13" s="1">
        <f>IFERROR(__xludf.DUMMYFUNCTION("""COMPUTED_VALUE"""),9.0)</f>
        <v>9</v>
      </c>
      <c r="AA13" s="1"/>
      <c r="AB13" s="1">
        <f>IFERROR(__xludf.DUMMYFUNCTION("""COMPUTED_VALUE"""),9.0)</f>
        <v>9</v>
      </c>
      <c r="AC13" s="1"/>
      <c r="AD13" s="1"/>
      <c r="AE13" s="1">
        <f>IFERROR(__xludf.DUMMYFUNCTION("""COMPUTED_VALUE"""),9.0)</f>
        <v>9</v>
      </c>
      <c r="AF13" s="1"/>
      <c r="AG13" s="1"/>
      <c r="AH13" s="1"/>
      <c r="AI13" s="1"/>
      <c r="AJ13" s="1"/>
      <c r="AK13" s="1"/>
      <c r="AL13" s="1"/>
      <c r="AM13" s="1"/>
      <c r="AN13" s="1"/>
      <c r="AO13" s="1"/>
      <c r="AP13" s="1"/>
      <c r="AQ13" s="1"/>
      <c r="AR13" s="1"/>
      <c r="AS13" s="1"/>
    </row>
    <row r="14">
      <c r="A14" s="95" t="str">
        <f>IFERROR(__xludf.DUMMYFUNCTION("""COMPUTED_VALUE"""),"Cultist")</f>
        <v>Cultist</v>
      </c>
      <c r="B14" s="95" t="str">
        <f>IFERROR(__xludf.DUMMYFUNCTION("""COMPUTED_VALUE"""),"Necromancer")</f>
        <v>Necromancer</v>
      </c>
      <c r="C14" s="95" t="str">
        <f>IFERROR(__xludf.DUMMYFUNCTION("""COMPUTED_VALUE"""),"Rank 9 Chaos, Dark, Voodoo, Blood")</f>
        <v>Rank 9 Chaos, Dark, Voodoo, Blood</v>
      </c>
      <c r="D14" s="95" t="str">
        <f>IFERROR(__xludf.DUMMYFUNCTION("""COMPUTED_VALUE"""),"Restricted Class: (Must unlock the Abstara Expansion to use this class)
50% Chance a party member revives when they die. Unaffected by bonuses.")</f>
        <v>Restricted Class: (Must unlock the Abstara Expansion to use this class)
50% Chance a party member revives when they die. Unaffected by bonuses.</v>
      </c>
      <c r="E14" s="9" t="str">
        <f>IFERROR(__xludf.DUMMYFUNCTION("""COMPUTED_VALUE"""),"When attacking with a Hit/Miss type attack that is Dark, Chaos, Voodoo, or Blood you may add your mobility bonus while attacking.")</f>
        <v>When attacking with a Hit/Miss type attack that is Dark, Chaos, Voodoo, or Blood you may add your mobility bonus while attacking.</v>
      </c>
      <c r="F14" s="9" t="str">
        <f>IFERROR(__xludf.DUMMYFUNCTION("""COMPUTED_VALUE"""),"Immune to  Instant Death")</f>
        <v>Immune to  Instant Death</v>
      </c>
      <c r="G14" s="9" t="str">
        <f>IFERROR(__xludf.DUMMYFUNCTION("""COMPUTED_VALUE"""),"50% chance to come back to life after death once per battle, This ability is unaffected by percentage bonuses.")</f>
        <v>50% chance to come back to life after death once per battle, This ability is unaffected by percentage bonuses.</v>
      </c>
      <c r="H14" s="1"/>
      <c r="I14" s="1"/>
      <c r="J14" s="1"/>
      <c r="K14" s="1"/>
      <c r="L14" s="1"/>
      <c r="M14" s="1"/>
      <c r="N14" s="1"/>
      <c r="O14" s="1"/>
      <c r="P14" s="1"/>
      <c r="Q14" s="1"/>
      <c r="R14" s="1"/>
      <c r="S14" s="1"/>
      <c r="T14" s="1"/>
      <c r="U14" s="1"/>
      <c r="V14" s="1">
        <f>IFERROR(__xludf.DUMMYFUNCTION("""COMPUTED_VALUE"""),0.0)</f>
        <v>0</v>
      </c>
      <c r="W14" s="1"/>
      <c r="X14" s="1"/>
      <c r="Y14" s="1"/>
      <c r="Z14" s="1"/>
      <c r="AA14" s="1"/>
      <c r="AB14" s="1">
        <f>IFERROR(__xludf.DUMMYFUNCTION("""COMPUTED_VALUE"""),9.0)</f>
        <v>9</v>
      </c>
      <c r="AC14" s="1"/>
      <c r="AD14" s="1"/>
      <c r="AE14" s="1">
        <f>IFERROR(__xludf.DUMMYFUNCTION("""COMPUTED_VALUE"""),9.0)</f>
        <v>9</v>
      </c>
      <c r="AF14" s="1"/>
      <c r="AG14" s="1"/>
      <c r="AH14" s="1"/>
      <c r="AI14" s="1"/>
      <c r="AJ14" s="1"/>
      <c r="AK14" s="1"/>
      <c r="AL14" s="1">
        <f>IFERROR(__xludf.DUMMYFUNCTION("""COMPUTED_VALUE"""),9.0)</f>
        <v>9</v>
      </c>
      <c r="AM14" s="1">
        <f>IFERROR(__xludf.DUMMYFUNCTION("""COMPUTED_VALUE"""),9.0)</f>
        <v>9</v>
      </c>
      <c r="AN14" s="1"/>
      <c r="AO14" s="1"/>
      <c r="AP14" s="1"/>
      <c r="AQ14" s="1"/>
      <c r="AR14" s="1"/>
      <c r="AS14" s="1"/>
    </row>
    <row r="15">
      <c r="A15" s="95" t="str">
        <f>IFERROR(__xludf.DUMMYFUNCTION("""COMPUTED_VALUE"""),"Druid")</f>
        <v>Druid</v>
      </c>
      <c r="B15" s="95" t="str">
        <f>IFERROR(__xludf.DUMMYFUNCTION("""COMPUTED_VALUE"""),"High Druid")</f>
        <v>High Druid</v>
      </c>
      <c r="C15" s="95" t="str">
        <f>IFERROR(__xludf.DUMMYFUNCTION("""COMPUTED_VALUE"""),"Rank 9 Ranged, Water, Light, Order, Earth")</f>
        <v>Rank 9 Ranged, Water, Light, Order, Earth</v>
      </c>
      <c r="D15" s="95" t="str">
        <f>IFERROR(__xludf.DUMMYFUNCTION("""COMPUTED_VALUE"""),"Your companions/pets get 1 additional action on their turn during battle..")</f>
        <v>Your companions/pets get 1 additional action on their turn during battle..</v>
      </c>
      <c r="E15" s="9" t="str">
        <f>IFERROR(__xludf.DUMMYFUNCTION("""COMPUTED_VALUE"""),"+5 Can be added to your Charisma rolls while taming..")</f>
        <v>+5 Can be added to your Charisma rolls while taming..</v>
      </c>
      <c r="F15" s="9" t="str">
        <f>IFERROR(__xludf.DUMMYFUNCTION("""COMPUTED_VALUE"""),"If a companion/pet under your control would die, it does not die once per battle.")</f>
        <v>If a companion/pet under your control would die, it does not die once per battle.</v>
      </c>
      <c r="G15" s="9" t="str">
        <f>IFERROR(__xludf.DUMMYFUNCTION("""COMPUTED_VALUE"""),"The Shrine town service will cost nothing for you.")</f>
        <v>The Shrine town service will cost nothing for you.</v>
      </c>
      <c r="H15" s="1"/>
      <c r="I15" s="1"/>
      <c r="J15" s="1"/>
      <c r="K15" s="1"/>
      <c r="L15" s="1"/>
      <c r="M15" s="1"/>
      <c r="N15" s="1"/>
      <c r="O15" s="1"/>
      <c r="P15" s="1"/>
      <c r="Q15" s="1"/>
      <c r="R15" s="1"/>
      <c r="S15" s="1"/>
      <c r="T15" s="1"/>
      <c r="U15" s="1"/>
      <c r="V15" s="1">
        <f>IFERROR(__xludf.DUMMYFUNCTION("""COMPUTED_VALUE"""),0.0)</f>
        <v>0</v>
      </c>
      <c r="W15" s="1"/>
      <c r="X15" s="1">
        <f>IFERROR(__xludf.DUMMYFUNCTION("""COMPUTED_VALUE"""),9.0)</f>
        <v>9</v>
      </c>
      <c r="Y15" s="1"/>
      <c r="Z15" s="1">
        <f>IFERROR(__xludf.DUMMYFUNCTION("""COMPUTED_VALUE"""),9.0)</f>
        <v>9</v>
      </c>
      <c r="AA15" s="1">
        <f>IFERROR(__xludf.DUMMYFUNCTION("""COMPUTED_VALUE"""),9.0)</f>
        <v>9</v>
      </c>
      <c r="AB15" s="1"/>
      <c r="AC15" s="1"/>
      <c r="AD15" s="1">
        <f>IFERROR(__xludf.DUMMYFUNCTION("""COMPUTED_VALUE"""),9.0)</f>
        <v>9</v>
      </c>
      <c r="AE15" s="1"/>
      <c r="AF15" s="1"/>
      <c r="AG15" s="1"/>
      <c r="AH15" s="1"/>
      <c r="AI15" s="1">
        <f>IFERROR(__xludf.DUMMYFUNCTION("""COMPUTED_VALUE"""),9.0)</f>
        <v>9</v>
      </c>
      <c r="AJ15" s="1"/>
      <c r="AK15" s="1"/>
      <c r="AL15" s="1"/>
      <c r="AM15" s="1"/>
      <c r="AN15" s="1"/>
      <c r="AO15" s="1"/>
      <c r="AP15" s="1"/>
      <c r="AQ15" s="1"/>
      <c r="AR15" s="1"/>
      <c r="AS15" s="1"/>
    </row>
    <row r="16">
      <c r="A16" s="95" t="str">
        <f>IFERROR(__xludf.DUMMYFUNCTION("""COMPUTED_VALUE"""),"Gunslinger")</f>
        <v>Gunslinger</v>
      </c>
      <c r="B16" s="95" t="str">
        <f>IFERROR(__xludf.DUMMYFUNCTION("""COMPUTED_VALUE"""),"Dead Eye")</f>
        <v>Dead Eye</v>
      </c>
      <c r="C16" s="95" t="str">
        <f>IFERROR(__xludf.DUMMYFUNCTION("""COMPUTED_VALUE"""),"Rank 9 Ranged, Physical, Melee")</f>
        <v>Rank 9 Ranged, Physical, Melee</v>
      </c>
      <c r="D16" s="95" t="str">
        <f>IFERROR(__xludf.DUMMYFUNCTION("""COMPUTED_VALUE"""),"X6 damage with Firearms.")</f>
        <v>X6 damage with Firearms.</v>
      </c>
      <c r="E16" s="9" t="str">
        <f>IFERROR(__xludf.DUMMYFUNCTION("""COMPUTED_VALUE"""),"Firearms ignore defense for the user.")</f>
        <v>Firearms ignore defense for the user.</v>
      </c>
      <c r="F16" s="9" t="str">
        <f>IFERROR(__xludf.DUMMYFUNCTION("""COMPUTED_VALUE"""),"+5 Mobility")</f>
        <v>+5 Mobility</v>
      </c>
      <c r="G16" s="9" t="str">
        <f>IFERROR(__xludf.DUMMYFUNCTION("""COMPUTED_VALUE"""),"Can use mobility when attacking with a Firearm")</f>
        <v>Can use mobility when attacking with a Firearm</v>
      </c>
      <c r="H16" s="1"/>
      <c r="I16" s="1"/>
      <c r="J16" s="1"/>
      <c r="K16" s="1"/>
      <c r="L16" s="1"/>
      <c r="M16" s="1"/>
      <c r="N16" s="1"/>
      <c r="O16" s="1"/>
      <c r="P16" s="1">
        <f>IFERROR(__xludf.DUMMYFUNCTION("""COMPUTED_VALUE"""),5.0)</f>
        <v>5</v>
      </c>
      <c r="Q16" s="1"/>
      <c r="R16" s="1"/>
      <c r="S16" s="1"/>
      <c r="T16" s="1"/>
      <c r="U16" s="1"/>
      <c r="V16" s="1"/>
      <c r="W16" s="1"/>
      <c r="X16" s="1"/>
      <c r="Y16" s="1"/>
      <c r="Z16" s="1"/>
      <c r="AA16" s="1"/>
      <c r="AB16" s="1"/>
      <c r="AC16" s="1"/>
      <c r="AD16" s="1"/>
      <c r="AE16" s="1"/>
      <c r="AF16" s="1"/>
      <c r="AG16" s="1">
        <f>IFERROR(__xludf.DUMMYFUNCTION("""COMPUTED_VALUE"""),9.0)</f>
        <v>9</v>
      </c>
      <c r="AH16" s="1">
        <f>IFERROR(__xludf.DUMMYFUNCTION("""COMPUTED_VALUE"""),9.0)</f>
        <v>9</v>
      </c>
      <c r="AI16" s="1">
        <f>IFERROR(__xludf.DUMMYFUNCTION("""COMPUTED_VALUE"""),9.0)</f>
        <v>9</v>
      </c>
      <c r="AJ16" s="1"/>
      <c r="AK16" s="1"/>
      <c r="AL16" s="1"/>
      <c r="AM16" s="1"/>
      <c r="AN16" s="1"/>
      <c r="AO16" s="1"/>
      <c r="AP16" s="1"/>
      <c r="AQ16" s="1"/>
      <c r="AR16" s="1"/>
      <c r="AS16" s="1"/>
    </row>
    <row r="17">
      <c r="A17" s="95" t="str">
        <f>IFERROR(__xludf.DUMMYFUNCTION("""COMPUTED_VALUE"""),"Hunter")</f>
        <v>Hunter</v>
      </c>
      <c r="B17" s="95" t="str">
        <f>IFERROR(__xludf.DUMMYFUNCTION("""COMPUTED_VALUE"""),"Hunting Specialist")</f>
        <v>Hunting Specialist</v>
      </c>
      <c r="C17" s="95" t="str">
        <f>IFERROR(__xludf.DUMMYFUNCTION("""COMPUTED_VALUE"""),"Rank 9 Nature, Physical, Ranged, Melee")</f>
        <v>Rank 9 Nature, Physical, Ranged, Melee</v>
      </c>
      <c r="D17" s="95" t="str">
        <f>IFERROR(__xludf.DUMMYFUNCTION("""COMPUTED_VALUE"""),"Gets an extra loot roll each battle.")</f>
        <v>Gets an extra loot roll each battle.</v>
      </c>
      <c r="E17" s="9" t="str">
        <f>IFERROR(__xludf.DUMMYFUNCTION("""COMPUTED_VALUE"""),"Starts with the Head-Chef Proficiency")</f>
        <v>Starts with the Head-Chef Proficiency</v>
      </c>
      <c r="F17" s="9" t="str">
        <f>IFERROR(__xludf.DUMMYFUNCTION("""COMPUTED_VALUE"""),"+10 Wisdom ")</f>
        <v>+10 Wisdom </v>
      </c>
      <c r="G17" s="9" t="str">
        <f>IFERROR(__xludf.DUMMYFUNCTION("""COMPUTED_VALUE"""),"20% Chance to disable traps during days of travel or in a dungeon.")</f>
        <v>20% Chance to disable traps during days of travel or in a dungeon.</v>
      </c>
      <c r="H17" s="1"/>
      <c r="I17" s="1"/>
      <c r="J17" s="1"/>
      <c r="K17" s="1"/>
      <c r="L17" s="1">
        <f>IFERROR(__xludf.DUMMYFUNCTION("""COMPUTED_VALUE"""),10.0)</f>
        <v>10</v>
      </c>
      <c r="M17" s="1"/>
      <c r="N17" s="1"/>
      <c r="O17" s="1"/>
      <c r="P17" s="1"/>
      <c r="Q17" s="1"/>
      <c r="R17" s="1"/>
      <c r="S17" s="1"/>
      <c r="T17" s="1"/>
      <c r="U17" s="1"/>
      <c r="V17" s="1">
        <f>IFERROR(__xludf.DUMMYFUNCTION("""COMPUTED_VALUE"""),0.0)</f>
        <v>0</v>
      </c>
      <c r="W17" s="1"/>
      <c r="X17" s="1"/>
      <c r="Y17" s="1"/>
      <c r="Z17" s="1"/>
      <c r="AA17" s="1"/>
      <c r="AB17" s="1"/>
      <c r="AC17" s="1"/>
      <c r="AD17" s="1"/>
      <c r="AE17" s="1"/>
      <c r="AF17" s="1">
        <f>IFERROR(__xludf.DUMMYFUNCTION("""COMPUTED_VALUE"""),9.0)</f>
        <v>9</v>
      </c>
      <c r="AG17" s="1">
        <f>IFERROR(__xludf.DUMMYFUNCTION("""COMPUTED_VALUE"""),9.0)</f>
        <v>9</v>
      </c>
      <c r="AH17" s="1">
        <f>IFERROR(__xludf.DUMMYFUNCTION("""COMPUTED_VALUE"""),9.0)</f>
        <v>9</v>
      </c>
      <c r="AI17" s="1">
        <f>IFERROR(__xludf.DUMMYFUNCTION("""COMPUTED_VALUE"""),9.0)</f>
        <v>9</v>
      </c>
      <c r="AJ17" s="1"/>
      <c r="AK17" s="1"/>
      <c r="AL17" s="1"/>
      <c r="AM17" s="1"/>
      <c r="AN17" s="1"/>
      <c r="AO17" s="1"/>
      <c r="AP17" s="1"/>
      <c r="AQ17" s="1"/>
      <c r="AR17" s="1"/>
      <c r="AS17" s="1"/>
    </row>
    <row r="18">
      <c r="A18" s="95" t="str">
        <f>IFERROR(__xludf.DUMMYFUNCTION("""COMPUTED_VALUE"""),"Jack of all Trades")</f>
        <v>Jack of all Trades</v>
      </c>
      <c r="B18" s="95" t="str">
        <f>IFERROR(__xludf.DUMMYFUNCTION("""COMPUTED_VALUE"""),"Master of all Trades")</f>
        <v>Master of all Trades</v>
      </c>
      <c r="C18" s="95" t="str">
        <f>IFERROR(__xludf.DUMMYFUNCTION("""COMPUTED_VALUE"""),"Rank 9 in all elements. (Excluding Acoustic)")</f>
        <v>Rank 9 in all elements. (Excluding Acoustic)</v>
      </c>
      <c r="D18" s="95" t="str">
        <f>IFERROR(__xludf.DUMMYFUNCTION("""COMPUTED_VALUE"""),"Gains the following roll bonuses:
+2 to Forging rolls.
+2 to enchanting rolls.
+2 to alchemy rolls.
+2 to cooking rolls.
+2 to your d20 rolls when attempting to arrest a target.
+2 to your breeding rolls.
+2 to your crafting rolls.
Double the seed"&amp;"s gathered from farming.
Double the ore obtianed while mining.
Get 2 of the same herb you obtianed while looking for herbs.
Get 2 of the same fish you caught while fishing.")</f>
        <v>Gains the following roll bonuses:
+2 to Forging rolls.
+2 to enchanting rolls.
+2 to alchemy rolls.
+2 to cooking rolls.
+2 to your d20 rolls when attempting to arrest a target.
+2 to your breeding rolls.
+2 to your crafting rolls.
Double the seeds gathered from farming.
Double the ore obtianed while mining.
Get 2 of the same herb you obtianed while looking for herbs.
Get 2 of the same fish you caught while fishing.</v>
      </c>
      <c r="E18" s="9"/>
      <c r="F18" s="9"/>
      <c r="G18" s="9"/>
      <c r="H18" s="1"/>
      <c r="I18" s="1"/>
      <c r="J18" s="1"/>
      <c r="K18" s="1"/>
      <c r="L18" s="1"/>
      <c r="M18" s="1"/>
      <c r="N18" s="1"/>
      <c r="O18" s="1"/>
      <c r="P18" s="1"/>
      <c r="Q18" s="1"/>
      <c r="R18" s="1"/>
      <c r="S18" s="1"/>
      <c r="T18" s="1"/>
      <c r="U18" s="1"/>
      <c r="V18" s="1"/>
      <c r="W18" s="1">
        <f>IFERROR(__xludf.DUMMYFUNCTION("""COMPUTED_VALUE"""),9.0)</f>
        <v>9</v>
      </c>
      <c r="X18" s="1">
        <f>IFERROR(__xludf.DUMMYFUNCTION("""COMPUTED_VALUE"""),9.0)</f>
        <v>9</v>
      </c>
      <c r="Y18" s="1">
        <f>IFERROR(__xludf.DUMMYFUNCTION("""COMPUTED_VALUE"""),9.0)</f>
        <v>9</v>
      </c>
      <c r="Z18" s="1">
        <f>IFERROR(__xludf.DUMMYFUNCTION("""COMPUTED_VALUE"""),9.0)</f>
        <v>9</v>
      </c>
      <c r="AA18" s="1">
        <f>IFERROR(__xludf.DUMMYFUNCTION("""COMPUTED_VALUE"""),9.0)</f>
        <v>9</v>
      </c>
      <c r="AB18" s="1">
        <f>IFERROR(__xludf.DUMMYFUNCTION("""COMPUTED_VALUE"""),9.0)</f>
        <v>9</v>
      </c>
      <c r="AC18" s="1">
        <f>IFERROR(__xludf.DUMMYFUNCTION("""COMPUTED_VALUE"""),9.0)</f>
        <v>9</v>
      </c>
      <c r="AD18" s="1">
        <f>IFERROR(__xludf.DUMMYFUNCTION("""COMPUTED_VALUE"""),9.0)</f>
        <v>9</v>
      </c>
      <c r="AE18" s="1">
        <f>IFERROR(__xludf.DUMMYFUNCTION("""COMPUTED_VALUE"""),9.0)</f>
        <v>9</v>
      </c>
      <c r="AF18" s="1">
        <f>IFERROR(__xludf.DUMMYFUNCTION("""COMPUTED_VALUE"""),9.0)</f>
        <v>9</v>
      </c>
      <c r="AG18" s="1">
        <f>IFERROR(__xludf.DUMMYFUNCTION("""COMPUTED_VALUE"""),9.0)</f>
        <v>9</v>
      </c>
      <c r="AH18" s="1">
        <f>IFERROR(__xludf.DUMMYFUNCTION("""COMPUTED_VALUE"""),9.0)</f>
        <v>9</v>
      </c>
      <c r="AI18" s="1">
        <f>IFERROR(__xludf.DUMMYFUNCTION("""COMPUTED_VALUE"""),9.0)</f>
        <v>9</v>
      </c>
      <c r="AJ18" s="1">
        <f>IFERROR(__xludf.DUMMYFUNCTION("""COMPUTED_VALUE"""),9.0)</f>
        <v>9</v>
      </c>
      <c r="AK18" s="1">
        <f>IFERROR(__xludf.DUMMYFUNCTION("""COMPUTED_VALUE"""),9.0)</f>
        <v>9</v>
      </c>
      <c r="AL18" s="1">
        <f>IFERROR(__xludf.DUMMYFUNCTION("""COMPUTED_VALUE"""),9.0)</f>
        <v>9</v>
      </c>
      <c r="AM18" s="1">
        <f>IFERROR(__xludf.DUMMYFUNCTION("""COMPUTED_VALUE"""),9.0)</f>
        <v>9</v>
      </c>
      <c r="AN18" s="1">
        <f>IFERROR(__xludf.DUMMYFUNCTION("""COMPUTED_VALUE"""),9.0)</f>
        <v>9</v>
      </c>
      <c r="AO18" s="1"/>
      <c r="AP18" s="1"/>
      <c r="AQ18" s="1">
        <f>IFERROR(__xludf.DUMMYFUNCTION("""COMPUTED_VALUE"""),9.0)</f>
        <v>9</v>
      </c>
      <c r="AR18" s="1"/>
      <c r="AS18" s="1"/>
    </row>
    <row r="19">
      <c r="A19" s="95" t="str">
        <f>IFERROR(__xludf.DUMMYFUNCTION("""COMPUTED_VALUE"""),"Knight")</f>
        <v>Knight</v>
      </c>
      <c r="B19" s="95" t="str">
        <f>IFERROR(__xludf.DUMMYFUNCTION("""COMPUTED_VALUE"""),"Elemental Knight")</f>
        <v>Elemental Knight</v>
      </c>
      <c r="C19" s="95" t="str">
        <f>IFERROR(__xludf.DUMMYFUNCTION("""COMPUTED_VALUE"""),"Rank 9 Fire, Water, Storm, Earth, Nature, Order, Light")</f>
        <v>Rank 9 Fire, Water, Storm, Earth, Nature, Order, Light</v>
      </c>
      <c r="D19" s="95" t="str">
        <f>IFERROR(__xludf.DUMMYFUNCTION("""COMPUTED_VALUE"""),"Double the elemental damage of your weapons.")</f>
        <v>Double the elemental damage of your weapons.</v>
      </c>
      <c r="E19" s="9" t="str">
        <f>IFERROR(__xludf.DUMMYFUNCTION("""COMPUTED_VALUE"""),"X4 to Spell damage for self and allies at all times (rp/combat)")</f>
        <v>X4 to Spell damage for self and allies at all times (rp/combat)</v>
      </c>
      <c r="F19" s="9"/>
      <c r="G19" s="9"/>
      <c r="H19" s="1"/>
      <c r="I19" s="1"/>
      <c r="J19" s="1"/>
      <c r="K19" s="1"/>
      <c r="L19" s="1"/>
      <c r="M19" s="1"/>
      <c r="N19" s="1"/>
      <c r="O19" s="1"/>
      <c r="P19" s="1"/>
      <c r="Q19" s="1"/>
      <c r="R19" s="1"/>
      <c r="S19" s="1"/>
      <c r="T19" s="1"/>
      <c r="U19" s="1"/>
      <c r="V19" s="1">
        <f>IFERROR(__xludf.DUMMYFUNCTION("""COMPUTED_VALUE"""),0.0)</f>
        <v>0</v>
      </c>
      <c r="W19" s="1">
        <f>IFERROR(__xludf.DUMMYFUNCTION("""COMPUTED_VALUE"""),9.0)</f>
        <v>9</v>
      </c>
      <c r="X19" s="1">
        <f>IFERROR(__xludf.DUMMYFUNCTION("""COMPUTED_VALUE"""),9.0)</f>
        <v>9</v>
      </c>
      <c r="Y19" s="1">
        <f>IFERROR(__xludf.DUMMYFUNCTION("""COMPUTED_VALUE"""),9.0)</f>
        <v>9</v>
      </c>
      <c r="Z19" s="1">
        <f>IFERROR(__xludf.DUMMYFUNCTION("""COMPUTED_VALUE"""),9.0)</f>
        <v>9</v>
      </c>
      <c r="AA19" s="1">
        <f>IFERROR(__xludf.DUMMYFUNCTION("""COMPUTED_VALUE"""),9.0)</f>
        <v>9</v>
      </c>
      <c r="AB19" s="1"/>
      <c r="AC19" s="1"/>
      <c r="AD19" s="1">
        <f>IFERROR(__xludf.DUMMYFUNCTION("""COMPUTED_VALUE"""),9.0)</f>
        <v>9</v>
      </c>
      <c r="AE19" s="1"/>
      <c r="AF19" s="1">
        <f>IFERROR(__xludf.DUMMYFUNCTION("""COMPUTED_VALUE"""),9.0)</f>
        <v>9</v>
      </c>
      <c r="AG19" s="1"/>
      <c r="AH19" s="1"/>
      <c r="AI19" s="1"/>
      <c r="AJ19" s="1"/>
      <c r="AK19" s="1"/>
      <c r="AL19" s="1"/>
      <c r="AM19" s="1"/>
      <c r="AN19" s="1"/>
      <c r="AO19" s="1"/>
      <c r="AP19" s="1"/>
      <c r="AQ19" s="1"/>
      <c r="AR19" s="1"/>
      <c r="AS19" s="1"/>
    </row>
    <row r="20">
      <c r="A20" s="95" t="str">
        <f>IFERROR(__xludf.DUMMYFUNCTION("""COMPUTED_VALUE"""),"Knight")</f>
        <v>Knight</v>
      </c>
      <c r="B20" s="95" t="str">
        <f>IFERROR(__xludf.DUMMYFUNCTION("""COMPUTED_VALUE"""),"Defensive Knight")</f>
        <v>Defensive Knight</v>
      </c>
      <c r="C20" s="95" t="str">
        <f>IFERROR(__xludf.DUMMYFUNCTION("""COMPUTED_VALUE"""),"Rank 9 Melee, Physical, Ranged, Order, Light")</f>
        <v>Rank 9 Melee, Physical, Ranged, Order, Light</v>
      </c>
      <c r="D20" s="95" t="str">
        <f>IFERROR(__xludf.DUMMYFUNCTION("""COMPUTED_VALUE"""),"Self-Fortify: Double the base defense of your equipped armor.")</f>
        <v>Self-Fortify: Double the base defense of your equipped armor.</v>
      </c>
      <c r="E20" s="95" t="str">
        <f>IFERROR(__xludf.DUMMYFUNCTION("""COMPUTED_VALUE"""),"X4 Defense for self and allies at all times (rp/combat)")</f>
        <v>X4 Defense for self and allies at all times (rp/combat)</v>
      </c>
      <c r="F20" s="9" t="str">
        <f>IFERROR(__xludf.DUMMYFUNCTION("""COMPUTED_VALUE"""),"You can deal damage with shields. Damage is equal to the DEF and Elemental DEF of the shield. The shield also counts as a weapon for the purposes of any abilities.")</f>
        <v>You can deal damage with shields. Damage is equal to the DEF and Elemental DEF of the shield. The shield also counts as a weapon for the purposes of any abilities.</v>
      </c>
      <c r="G20" s="9"/>
      <c r="H20" s="1"/>
      <c r="I20" s="1"/>
      <c r="J20" s="1"/>
      <c r="K20" s="1"/>
      <c r="L20" s="1"/>
      <c r="M20" s="1"/>
      <c r="N20" s="1"/>
      <c r="O20" s="1"/>
      <c r="P20" s="1"/>
      <c r="Q20" s="1"/>
      <c r="R20" s="1"/>
      <c r="S20" s="1"/>
      <c r="T20" s="1"/>
      <c r="U20" s="1"/>
      <c r="V20" s="1">
        <f>IFERROR(__xludf.DUMMYFUNCTION("""COMPUTED_VALUE"""),0.0)</f>
        <v>0</v>
      </c>
      <c r="W20" s="1"/>
      <c r="X20" s="1"/>
      <c r="Y20" s="1"/>
      <c r="Z20" s="1"/>
      <c r="AA20" s="1">
        <f>IFERROR(__xludf.DUMMYFUNCTION("""COMPUTED_VALUE"""),9.0)</f>
        <v>9</v>
      </c>
      <c r="AB20" s="1"/>
      <c r="AC20" s="1"/>
      <c r="AD20" s="1">
        <f>IFERROR(__xludf.DUMMYFUNCTION("""COMPUTED_VALUE"""),9.0)</f>
        <v>9</v>
      </c>
      <c r="AE20" s="1"/>
      <c r="AF20" s="1"/>
      <c r="AG20" s="1">
        <f>IFERROR(__xludf.DUMMYFUNCTION("""COMPUTED_VALUE"""),9.0)</f>
        <v>9</v>
      </c>
      <c r="AH20" s="1">
        <f>IFERROR(__xludf.DUMMYFUNCTION("""COMPUTED_VALUE"""),9.0)</f>
        <v>9</v>
      </c>
      <c r="AI20" s="1">
        <f>IFERROR(__xludf.DUMMYFUNCTION("""COMPUTED_VALUE"""),9.0)</f>
        <v>9</v>
      </c>
      <c r="AJ20" s="1"/>
      <c r="AK20" s="1"/>
      <c r="AL20" s="1"/>
      <c r="AM20" s="1"/>
      <c r="AN20" s="1"/>
      <c r="AO20" s="1"/>
      <c r="AP20" s="1"/>
      <c r="AQ20" s="1"/>
      <c r="AR20" s="1"/>
      <c r="AS20" s="1"/>
    </row>
    <row r="21">
      <c r="A21" s="95" t="str">
        <f>IFERROR(__xludf.DUMMYFUNCTION("""COMPUTED_VALUE"""),"Knight")</f>
        <v>Knight</v>
      </c>
      <c r="B21" s="95" t="str">
        <f>IFERROR(__xludf.DUMMYFUNCTION("""COMPUTED_VALUE"""),"Offensive Knight")</f>
        <v>Offensive Knight</v>
      </c>
      <c r="C21" s="95" t="str">
        <f>IFERROR(__xludf.DUMMYFUNCTION("""COMPUTED_VALUE"""),"Rank 9 Melee, Physical, Ranged, Order, Light")</f>
        <v>Rank 9 Melee, Physical, Ranged, Order, Light</v>
      </c>
      <c r="D21" s="95" t="str">
        <f>IFERROR(__xludf.DUMMYFUNCTION("""COMPUTED_VALUE"""),"Double the base damage of your weapons.")</f>
        <v>Double the base damage of your weapons.</v>
      </c>
      <c r="E21" s="95" t="str">
        <f>IFERROR(__xludf.DUMMYFUNCTION("""COMPUTED_VALUE"""),"X4 Weapon damage for self and allies at all times (rp/combat)")</f>
        <v>X4 Weapon damage for self and allies at all times (rp/combat)</v>
      </c>
      <c r="F21" s="95"/>
      <c r="G21" s="95"/>
      <c r="H21" s="1"/>
      <c r="I21" s="1"/>
      <c r="J21" s="1"/>
      <c r="K21" s="1"/>
      <c r="L21" s="1"/>
      <c r="M21" s="1"/>
      <c r="N21" s="1"/>
      <c r="O21" s="1"/>
      <c r="P21" s="1"/>
      <c r="Q21" s="1"/>
      <c r="R21" s="1"/>
      <c r="S21" s="1"/>
      <c r="T21" s="1"/>
      <c r="U21" s="1"/>
      <c r="V21" s="1">
        <f>IFERROR(__xludf.DUMMYFUNCTION("""COMPUTED_VALUE"""),0.0)</f>
        <v>0</v>
      </c>
      <c r="W21" s="1"/>
      <c r="X21" s="1"/>
      <c r="Y21" s="1"/>
      <c r="Z21" s="1"/>
      <c r="AA21" s="1">
        <f>IFERROR(__xludf.DUMMYFUNCTION("""COMPUTED_VALUE"""),9.0)</f>
        <v>9</v>
      </c>
      <c r="AB21" s="1"/>
      <c r="AC21" s="1"/>
      <c r="AD21" s="1">
        <f>IFERROR(__xludf.DUMMYFUNCTION("""COMPUTED_VALUE"""),9.0)</f>
        <v>9</v>
      </c>
      <c r="AE21" s="1"/>
      <c r="AF21" s="1"/>
      <c r="AG21" s="1">
        <f>IFERROR(__xludf.DUMMYFUNCTION("""COMPUTED_VALUE"""),9.0)</f>
        <v>9</v>
      </c>
      <c r="AH21" s="1">
        <f>IFERROR(__xludf.DUMMYFUNCTION("""COMPUTED_VALUE"""),9.0)</f>
        <v>9</v>
      </c>
      <c r="AI21" s="1">
        <f>IFERROR(__xludf.DUMMYFUNCTION("""COMPUTED_VALUE"""),9.0)</f>
        <v>9</v>
      </c>
      <c r="AJ21" s="1"/>
      <c r="AK21" s="1"/>
      <c r="AL21" s="1"/>
      <c r="AM21" s="1"/>
      <c r="AN21" s="1"/>
      <c r="AO21" s="1"/>
      <c r="AP21" s="1"/>
      <c r="AQ21" s="1"/>
      <c r="AR21" s="1"/>
      <c r="AS21" s="1"/>
    </row>
    <row r="22">
      <c r="A22" s="95" t="str">
        <f>IFERROR(__xludf.DUMMYFUNCTION("""COMPUTED_VALUE"""),"Knight")</f>
        <v>Knight</v>
      </c>
      <c r="B22" s="95" t="str">
        <f>IFERROR(__xludf.DUMMYFUNCTION("""COMPUTED_VALUE"""),"Warden")</f>
        <v>Warden</v>
      </c>
      <c r="C22" s="95" t="str">
        <f>IFERROR(__xludf.DUMMYFUNCTION("""COMPUTED_VALUE"""),"Rank 9 Melee, Physical, Ranged, Twilight, Stasis")</f>
        <v>Rank 9 Melee, Physical, Ranged, Twilight, Stasis</v>
      </c>
      <c r="D22" s="95" t="str">
        <f>IFERROR(__xludf.DUMMYFUNCTION("""COMPUTED_VALUE"""),"Immune to Order and Chaos Damage.")</f>
        <v>Immune to Order and Chaos Damage.</v>
      </c>
      <c r="E22" s="95" t="str">
        <f>IFERROR(__xludf.DUMMYFUNCTION("""COMPUTED_VALUE"""),"X2 to Spell and Weapon Damage.")</f>
        <v>X2 to Spell and Weapon Damage.</v>
      </c>
      <c r="F22" s="95" t="str">
        <f>IFERROR(__xludf.DUMMYFUNCTION("""COMPUTED_VALUE"""),"You cannot be jailed.")</f>
        <v>You cannot be jailed.</v>
      </c>
      <c r="G22" s="9" t="str">
        <f>IFERROR(__xludf.DUMMYFUNCTION("""COMPUTED_VALUE"""),"50% chance a party member does not get jailed when they recieve jail time. Unaffected by bonuses.")</f>
        <v>50% chance a party member does not get jailed when they recieve jail time. Unaffected by bonuses.</v>
      </c>
      <c r="H22" s="1"/>
      <c r="I22" s="1"/>
      <c r="J22" s="1"/>
      <c r="K22" s="1"/>
      <c r="L22" s="1"/>
      <c r="M22" s="1"/>
      <c r="N22" s="1"/>
      <c r="O22" s="1"/>
      <c r="P22" s="1"/>
      <c r="Q22" s="1"/>
      <c r="R22" s="1"/>
      <c r="S22" s="1"/>
      <c r="T22" s="1"/>
      <c r="U22" s="1"/>
      <c r="V22" s="1">
        <f>IFERROR(__xludf.DUMMYFUNCTION("""COMPUTED_VALUE"""),0.0)</f>
        <v>0</v>
      </c>
      <c r="W22" s="1"/>
      <c r="X22" s="1"/>
      <c r="Y22" s="1"/>
      <c r="Z22" s="1"/>
      <c r="AA22" s="1"/>
      <c r="AB22" s="1"/>
      <c r="AC22" s="1"/>
      <c r="AD22" s="1"/>
      <c r="AE22" s="1"/>
      <c r="AF22" s="1"/>
      <c r="AG22" s="1">
        <f>IFERROR(__xludf.DUMMYFUNCTION("""COMPUTED_VALUE"""),9.0)</f>
        <v>9</v>
      </c>
      <c r="AH22" s="1">
        <f>IFERROR(__xludf.DUMMYFUNCTION("""COMPUTED_VALUE"""),9.0)</f>
        <v>9</v>
      </c>
      <c r="AI22" s="1">
        <f>IFERROR(__xludf.DUMMYFUNCTION("""COMPUTED_VALUE"""),9.0)</f>
        <v>9</v>
      </c>
      <c r="AJ22" s="1">
        <f>IFERROR(__xludf.DUMMYFUNCTION("""COMPUTED_VALUE"""),9.0)</f>
        <v>9</v>
      </c>
      <c r="AK22" s="1">
        <f>IFERROR(__xludf.DUMMYFUNCTION("""COMPUTED_VALUE"""),9.0)</f>
        <v>9</v>
      </c>
      <c r="AL22" s="1"/>
      <c r="AM22" s="1"/>
      <c r="AN22" s="1"/>
      <c r="AO22" s="1"/>
      <c r="AP22" s="1"/>
      <c r="AQ22" s="1"/>
      <c r="AR22" s="1"/>
      <c r="AS22" s="1"/>
    </row>
    <row r="23">
      <c r="A23" s="95" t="str">
        <f>IFERROR(__xludf.DUMMYFUNCTION("""COMPUTED_VALUE"""),"Knight")</f>
        <v>Knight</v>
      </c>
      <c r="B23" s="95" t="str">
        <f>IFERROR(__xludf.DUMMYFUNCTION("""COMPUTED_VALUE"""),"Dark Knight")</f>
        <v>Dark Knight</v>
      </c>
      <c r="C23" s="95" t="str">
        <f>IFERROR(__xludf.DUMMYFUNCTION("""COMPUTED_VALUE"""),"Rank 9 Dark, Physical, Ranged, Melee")</f>
        <v>Rank 9 Dark, Physical, Ranged, Melee</v>
      </c>
      <c r="D23" s="95" t="str">
        <f>IFERROR(__xludf.DUMMYFUNCTION("""COMPUTED_VALUE"""),"20% chance of not having to battle a non corrupt guard. Unaffected by bonuses.")</f>
        <v>20% chance of not having to battle a non corrupt guard. Unaffected by bonuses.</v>
      </c>
      <c r="E23" s="9" t="str">
        <f>IFERROR(__xludf.DUMMYFUNCTION("""COMPUTED_VALUE"""),"X2 to Spell and Weapon Damage
Dark Immune")</f>
        <v>X2 to Spell and Weapon Damage
Dark Immune</v>
      </c>
      <c r="F23" s="9" t="str">
        <f>IFERROR(__xludf.DUMMYFUNCTION("""COMPUTED_VALUE"""),"+10 Intimidation")</f>
        <v>+10 Intimidation</v>
      </c>
      <c r="G23" s="9" t="str">
        <f>IFERROR(__xludf.DUMMYFUNCTION("""COMPUTED_VALUE"""),"If you attack with a weapon that deals, Dark, Chaos, or Voodoo damage you can add mobility to that attack roll.")</f>
        <v>If you attack with a weapon that deals, Dark, Chaos, or Voodoo damage you can add mobility to that attack roll.</v>
      </c>
      <c r="H23" s="1"/>
      <c r="I23" s="1"/>
      <c r="J23" s="1"/>
      <c r="K23" s="1"/>
      <c r="L23" s="1"/>
      <c r="M23" s="1"/>
      <c r="N23" s="1"/>
      <c r="O23" s="1">
        <f>IFERROR(__xludf.DUMMYFUNCTION("""COMPUTED_VALUE"""),10.0)</f>
        <v>10</v>
      </c>
      <c r="P23" s="1"/>
      <c r="Q23" s="1"/>
      <c r="R23" s="1"/>
      <c r="S23" s="1"/>
      <c r="T23" s="1"/>
      <c r="U23" s="1"/>
      <c r="V23" s="1">
        <f>IFERROR(__xludf.DUMMYFUNCTION("""COMPUTED_VALUE"""),0.0)</f>
        <v>0</v>
      </c>
      <c r="W23" s="1"/>
      <c r="X23" s="1"/>
      <c r="Y23" s="1"/>
      <c r="Z23" s="1"/>
      <c r="AA23" s="1"/>
      <c r="AB23" s="1">
        <f>IFERROR(__xludf.DUMMYFUNCTION("""COMPUTED_VALUE"""),9.0)</f>
        <v>9</v>
      </c>
      <c r="AC23" s="1"/>
      <c r="AD23" s="1"/>
      <c r="AE23" s="1"/>
      <c r="AF23" s="1"/>
      <c r="AG23" s="1">
        <f>IFERROR(__xludf.DUMMYFUNCTION("""COMPUTED_VALUE"""),9.0)</f>
        <v>9</v>
      </c>
      <c r="AH23" s="1">
        <f>IFERROR(__xludf.DUMMYFUNCTION("""COMPUTED_VALUE"""),9.0)</f>
        <v>9</v>
      </c>
      <c r="AI23" s="1">
        <f>IFERROR(__xludf.DUMMYFUNCTION("""COMPUTED_VALUE"""),9.0)</f>
        <v>9</v>
      </c>
      <c r="AJ23" s="1"/>
      <c r="AK23" s="1"/>
      <c r="AL23" s="1"/>
      <c r="AM23" s="1"/>
      <c r="AN23" s="1"/>
      <c r="AO23" s="1"/>
      <c r="AP23" s="1"/>
      <c r="AQ23" s="1"/>
      <c r="AR23" s="1"/>
      <c r="AS23" s="1"/>
    </row>
    <row r="24">
      <c r="A24" s="95" t="str">
        <f>IFERROR(__xludf.DUMMYFUNCTION("""COMPUTED_VALUE"""),"Mage")</f>
        <v>Mage</v>
      </c>
      <c r="B24" s="95" t="str">
        <f>IFERROR(__xludf.DUMMYFUNCTION("""COMPUTED_VALUE"""),"Grand Mage")</f>
        <v>Grand Mage</v>
      </c>
      <c r="C24" s="95" t="str">
        <f>IFERROR(__xludf.DUMMYFUNCTION("""COMPUTED_VALUE"""),"Rank 9 in all Elements (excluding Zen and Acoustic)")</f>
        <v>Rank 9 in all Elements (excluding Zen and Acoustic)</v>
      </c>
      <c r="D24" s="95" t="str">
        <f>IFERROR(__xludf.DUMMYFUNCTION("""COMPUTED_VALUE"""),"Half the SP costs of all Spells.")</f>
        <v>Half the SP costs of all Spells.</v>
      </c>
      <c r="E24" s="9"/>
      <c r="F24" s="9" t="str">
        <f>IFERROR(__xludf.DUMMYFUNCTION("""COMPUTED_VALUE"""),"15% Chance of preventing 1 enemy from negating a spell effect.")</f>
        <v>15% Chance of preventing 1 enemy from negating a spell effect.</v>
      </c>
      <c r="G24" s="9"/>
      <c r="H24" s="1"/>
      <c r="I24" s="1"/>
      <c r="J24" s="1"/>
      <c r="K24" s="1"/>
      <c r="L24" s="1"/>
      <c r="M24" s="1"/>
      <c r="N24" s="1"/>
      <c r="O24" s="1"/>
      <c r="P24" s="1"/>
      <c r="Q24" s="1"/>
      <c r="R24" s="1"/>
      <c r="S24" s="1"/>
      <c r="T24" s="1"/>
      <c r="U24" s="1"/>
      <c r="V24" s="1">
        <f>IFERROR(__xludf.DUMMYFUNCTION("""COMPUTED_VALUE"""),0.0)</f>
        <v>0</v>
      </c>
      <c r="W24" s="1">
        <f>IFERROR(__xludf.DUMMYFUNCTION("""COMPUTED_VALUE"""),9.0)</f>
        <v>9</v>
      </c>
      <c r="X24" s="1">
        <f>IFERROR(__xludf.DUMMYFUNCTION("""COMPUTED_VALUE"""),9.0)</f>
        <v>9</v>
      </c>
      <c r="Y24" s="1">
        <f>IFERROR(__xludf.DUMMYFUNCTION("""COMPUTED_VALUE"""),9.0)</f>
        <v>9</v>
      </c>
      <c r="Z24" s="1">
        <f>IFERROR(__xludf.DUMMYFUNCTION("""COMPUTED_VALUE"""),9.0)</f>
        <v>9</v>
      </c>
      <c r="AA24" s="1">
        <f>IFERROR(__xludf.DUMMYFUNCTION("""COMPUTED_VALUE"""),9.0)</f>
        <v>9</v>
      </c>
      <c r="AB24" s="1">
        <f>IFERROR(__xludf.DUMMYFUNCTION("""COMPUTED_VALUE"""),9.0)</f>
        <v>9</v>
      </c>
      <c r="AC24" s="1">
        <f>IFERROR(__xludf.DUMMYFUNCTION("""COMPUTED_VALUE"""),9.0)</f>
        <v>9</v>
      </c>
      <c r="AD24" s="1">
        <f>IFERROR(__xludf.DUMMYFUNCTION("""COMPUTED_VALUE"""),9.0)</f>
        <v>9</v>
      </c>
      <c r="AE24" s="1">
        <f>IFERROR(__xludf.DUMMYFUNCTION("""COMPUTED_VALUE"""),9.0)</f>
        <v>9</v>
      </c>
      <c r="AF24" s="1">
        <f>IFERROR(__xludf.DUMMYFUNCTION("""COMPUTED_VALUE"""),9.0)</f>
        <v>9</v>
      </c>
      <c r="AG24" s="1">
        <f>IFERROR(__xludf.DUMMYFUNCTION("""COMPUTED_VALUE"""),9.0)</f>
        <v>9</v>
      </c>
      <c r="AH24" s="1">
        <f>IFERROR(__xludf.DUMMYFUNCTION("""COMPUTED_VALUE"""),9.0)</f>
        <v>9</v>
      </c>
      <c r="AI24" s="1">
        <f>IFERROR(__xludf.DUMMYFUNCTION("""COMPUTED_VALUE"""),9.0)</f>
        <v>9</v>
      </c>
      <c r="AJ24" s="1">
        <f>IFERROR(__xludf.DUMMYFUNCTION("""COMPUTED_VALUE"""),9.0)</f>
        <v>9</v>
      </c>
      <c r="AK24" s="1">
        <f>IFERROR(__xludf.DUMMYFUNCTION("""COMPUTED_VALUE"""),9.0)</f>
        <v>9</v>
      </c>
      <c r="AL24" s="1">
        <f>IFERROR(__xludf.DUMMYFUNCTION("""COMPUTED_VALUE"""),9.0)</f>
        <v>9</v>
      </c>
      <c r="AM24" s="1">
        <f>IFERROR(__xludf.DUMMYFUNCTION("""COMPUTED_VALUE"""),9.0)</f>
        <v>9</v>
      </c>
      <c r="AN24" s="1">
        <f>IFERROR(__xludf.DUMMYFUNCTION("""COMPUTED_VALUE"""),9.0)</f>
        <v>9</v>
      </c>
      <c r="AO24" s="1"/>
      <c r="AP24" s="1"/>
      <c r="AQ24" s="1">
        <f>IFERROR(__xludf.DUMMYFUNCTION("""COMPUTED_VALUE"""),9.0)</f>
        <v>9</v>
      </c>
      <c r="AR24" s="1"/>
      <c r="AS24" s="1"/>
    </row>
    <row r="25">
      <c r="A25" s="95" t="str">
        <f>IFERROR(__xludf.DUMMYFUNCTION("""COMPUTED_VALUE"""),"Mage")</f>
        <v>Mage</v>
      </c>
      <c r="B25" s="95" t="str">
        <f>IFERROR(__xludf.DUMMYFUNCTION("""COMPUTED_VALUE"""),"Chrono Mage")</f>
        <v>Chrono Mage</v>
      </c>
      <c r="C25" s="95" t="str">
        <f>IFERROR(__xludf.DUMMYFUNCTION("""COMPUTED_VALUE"""),"Rank 9 in all Elements (excluding Zen and Acoustic)")</f>
        <v>Rank 9 in all Elements (excluding Zen and Acoustic)</v>
      </c>
      <c r="D25" s="95" t="str">
        <f>IFERROR(__xludf.DUMMYFUNCTION("""COMPUTED_VALUE"""),"Restricted Class: (Must unlock the Solreach Expansion to use this class)
Start with Rank 9 Time Spells.")</f>
        <v>Restricted Class: (Must unlock the Solreach Expansion to use this class)
Start with Rank 9 Time Spells.</v>
      </c>
      <c r="E25" s="95" t="str">
        <f>IFERROR(__xludf.DUMMYFUNCTION("""COMPUTED_VALUE"""),"Time spells cost half their normal SP cost.")</f>
        <v>Time spells cost half their normal SP cost.</v>
      </c>
      <c r="F25" s="9" t="str">
        <f>IFERROR(__xludf.DUMMYFUNCTION("""COMPUTED_VALUE"""),"Immune to Time")</f>
        <v>Immune to Time</v>
      </c>
      <c r="G25" s="9"/>
      <c r="H25" s="1"/>
      <c r="I25" s="1"/>
      <c r="J25" s="1"/>
      <c r="K25" s="1"/>
      <c r="L25" s="1"/>
      <c r="M25" s="1"/>
      <c r="N25" s="1"/>
      <c r="O25" s="1"/>
      <c r="P25" s="1"/>
      <c r="Q25" s="1"/>
      <c r="R25" s="1"/>
      <c r="S25" s="1"/>
      <c r="T25" s="1"/>
      <c r="U25" s="1"/>
      <c r="V25" s="1">
        <f>IFERROR(__xludf.DUMMYFUNCTION("""COMPUTED_VALUE"""),0.0)</f>
        <v>0</v>
      </c>
      <c r="W25" s="1">
        <f>IFERROR(__xludf.DUMMYFUNCTION("""COMPUTED_VALUE"""),9.0)</f>
        <v>9</v>
      </c>
      <c r="X25" s="1">
        <f>IFERROR(__xludf.DUMMYFUNCTION("""COMPUTED_VALUE"""),9.0)</f>
        <v>9</v>
      </c>
      <c r="Y25" s="1">
        <f>IFERROR(__xludf.DUMMYFUNCTION("""COMPUTED_VALUE"""),9.0)</f>
        <v>9</v>
      </c>
      <c r="Z25" s="1">
        <f>IFERROR(__xludf.DUMMYFUNCTION("""COMPUTED_VALUE"""),9.0)</f>
        <v>9</v>
      </c>
      <c r="AA25" s="1">
        <f>IFERROR(__xludf.DUMMYFUNCTION("""COMPUTED_VALUE"""),9.0)</f>
        <v>9</v>
      </c>
      <c r="AB25" s="1">
        <f>IFERROR(__xludf.DUMMYFUNCTION("""COMPUTED_VALUE"""),9.0)</f>
        <v>9</v>
      </c>
      <c r="AC25" s="1">
        <f>IFERROR(__xludf.DUMMYFUNCTION("""COMPUTED_VALUE"""),9.0)</f>
        <v>9</v>
      </c>
      <c r="AD25" s="1">
        <f>IFERROR(__xludf.DUMMYFUNCTION("""COMPUTED_VALUE"""),9.0)</f>
        <v>9</v>
      </c>
      <c r="AE25" s="1">
        <f>IFERROR(__xludf.DUMMYFUNCTION("""COMPUTED_VALUE"""),9.0)</f>
        <v>9</v>
      </c>
      <c r="AF25" s="1">
        <f>IFERROR(__xludf.DUMMYFUNCTION("""COMPUTED_VALUE"""),9.0)</f>
        <v>9</v>
      </c>
      <c r="AG25" s="1">
        <f>IFERROR(__xludf.DUMMYFUNCTION("""COMPUTED_VALUE"""),9.0)</f>
        <v>9</v>
      </c>
      <c r="AH25" s="1">
        <f>IFERROR(__xludf.DUMMYFUNCTION("""COMPUTED_VALUE"""),9.0)</f>
        <v>9</v>
      </c>
      <c r="AI25" s="1">
        <f>IFERROR(__xludf.DUMMYFUNCTION("""COMPUTED_VALUE"""),9.0)</f>
        <v>9</v>
      </c>
      <c r="AJ25" s="1">
        <f>IFERROR(__xludf.DUMMYFUNCTION("""COMPUTED_VALUE"""),9.0)</f>
        <v>9</v>
      </c>
      <c r="AK25" s="1">
        <f>IFERROR(__xludf.DUMMYFUNCTION("""COMPUTED_VALUE"""),9.0)</f>
        <v>9</v>
      </c>
      <c r="AL25" s="1">
        <f>IFERROR(__xludf.DUMMYFUNCTION("""COMPUTED_VALUE"""),9.0)</f>
        <v>9</v>
      </c>
      <c r="AM25" s="1">
        <f>IFERROR(__xludf.DUMMYFUNCTION("""COMPUTED_VALUE"""),9.0)</f>
        <v>9</v>
      </c>
      <c r="AN25" s="1">
        <f>IFERROR(__xludf.DUMMYFUNCTION("""COMPUTED_VALUE"""),9.0)</f>
        <v>9</v>
      </c>
      <c r="AO25" s="1"/>
      <c r="AP25" s="1">
        <f>IFERROR(__xludf.DUMMYFUNCTION("""COMPUTED_VALUE"""),1.0)</f>
        <v>1</v>
      </c>
      <c r="AQ25" s="1"/>
      <c r="AR25" s="1"/>
      <c r="AS25" s="1"/>
    </row>
    <row r="26">
      <c r="A26" s="95" t="str">
        <f>IFERROR(__xludf.DUMMYFUNCTION("""COMPUTED_VALUE"""),"Marauder ")</f>
        <v>Marauder </v>
      </c>
      <c r="B26" s="95" t="str">
        <f>IFERROR(__xludf.DUMMYFUNCTION("""COMPUTED_VALUE"""),"Master Marauder ")</f>
        <v>Master Marauder </v>
      </c>
      <c r="C26" s="95" t="str">
        <f>IFERROR(__xludf.DUMMYFUNCTION("""COMPUTED_VALUE"""),"Rank 9 Dark, Range, Melee, Physical")</f>
        <v>Rank 9 Dark, Range, Melee, Physical</v>
      </c>
      <c r="D26" s="95" t="str">
        <f>IFERROR(__xludf.DUMMYFUNCTION("""COMPUTED_VALUE"""),"Will automatically succeed when using the pickpocket, take, or confiscate power.")</f>
        <v>Will automatically succeed when using the pickpocket, take, or confiscate power.</v>
      </c>
      <c r="E26" s="9" t="str">
        <f>IFERROR(__xludf.DUMMYFUNCTION("""COMPUTED_VALUE"""),"Can automatically open any non magical door or chest without a key.")</f>
        <v>Can automatically open any non magical door or chest without a key.</v>
      </c>
      <c r="F26" s="9" t="str">
        <f>IFERROR(__xludf.DUMMYFUNCTION("""COMPUTED_VALUE"""),"50% Chance to negate being arrested (self only)")</f>
        <v>50% Chance to negate being arrested (self only)</v>
      </c>
      <c r="G26" s="9" t="str">
        <f>IFERROR(__xludf.DUMMYFUNCTION("""COMPUTED_VALUE"""),"You can use charisma to bribe a guard npc into removing your bounty. if you fail you must double that bounty. You may remove no more than 1 bounty per session.")</f>
        <v>You can use charisma to bribe a guard npc into removing your bounty. if you fail you must double that bounty. You may remove no more than 1 bounty per session.</v>
      </c>
      <c r="H26" s="1"/>
      <c r="I26" s="1"/>
      <c r="J26" s="1"/>
      <c r="K26" s="1"/>
      <c r="L26" s="1"/>
      <c r="M26" s="1"/>
      <c r="N26" s="1"/>
      <c r="O26" s="1"/>
      <c r="P26" s="1"/>
      <c r="Q26" s="1"/>
      <c r="R26" s="1"/>
      <c r="S26" s="1"/>
      <c r="T26" s="1"/>
      <c r="U26" s="1"/>
      <c r="V26" s="1">
        <f>IFERROR(__xludf.DUMMYFUNCTION("""COMPUTED_VALUE"""),0.0)</f>
        <v>0</v>
      </c>
      <c r="W26" s="1"/>
      <c r="X26" s="1"/>
      <c r="Y26" s="1"/>
      <c r="Z26" s="1"/>
      <c r="AA26" s="1"/>
      <c r="AB26" s="1">
        <f>IFERROR(__xludf.DUMMYFUNCTION("""COMPUTED_VALUE"""),9.0)</f>
        <v>9</v>
      </c>
      <c r="AC26" s="1"/>
      <c r="AD26" s="1"/>
      <c r="AE26" s="1"/>
      <c r="AF26" s="1"/>
      <c r="AG26" s="1">
        <f>IFERROR(__xludf.DUMMYFUNCTION("""COMPUTED_VALUE"""),9.0)</f>
        <v>9</v>
      </c>
      <c r="AH26" s="1">
        <f>IFERROR(__xludf.DUMMYFUNCTION("""COMPUTED_VALUE"""),9.0)</f>
        <v>9</v>
      </c>
      <c r="AI26" s="1">
        <f>IFERROR(__xludf.DUMMYFUNCTION("""COMPUTED_VALUE"""),9.0)</f>
        <v>9</v>
      </c>
      <c r="AJ26" s="1"/>
      <c r="AK26" s="1"/>
      <c r="AL26" s="1"/>
      <c r="AM26" s="1"/>
      <c r="AN26" s="1"/>
      <c r="AO26" s="1"/>
      <c r="AP26" s="1"/>
      <c r="AQ26" s="1"/>
      <c r="AR26" s="1"/>
      <c r="AS26" s="1"/>
    </row>
    <row r="27">
      <c r="A27" s="95" t="str">
        <f>IFERROR(__xludf.DUMMYFUNCTION("""COMPUTED_VALUE"""),"Merchant")</f>
        <v>Merchant</v>
      </c>
      <c r="B27" s="95" t="str">
        <f>IFERROR(__xludf.DUMMYFUNCTION("""COMPUTED_VALUE"""),"Traveling Merchant")</f>
        <v>Traveling Merchant</v>
      </c>
      <c r="C27" s="95" t="str">
        <f>IFERROR(__xludf.DUMMYFUNCTION("""COMPUTED_VALUE"""),"Rank 9 Ranged, Physical, Melee")</f>
        <v>Rank 9 Ranged, Physical, Melee</v>
      </c>
      <c r="D27" s="95" t="str">
        <f>IFERROR(__xludf.DUMMYFUNCTION("""COMPUTED_VALUE"""),"During travel, if more then half of the days of travel are bad you may deduct half of the bad days.")</f>
        <v>During travel, if more then half of the days of travel are bad you may deduct half of the bad days.</v>
      </c>
      <c r="E27" s="9" t="str">
        <f>IFERROR(__xludf.DUMMYFUNCTION("""COMPUTED_VALUE"""),"Double the amount of gilders and crafting materials you find from good days of travel.")</f>
        <v>Double the amount of gilders and crafting materials you find from good days of travel.</v>
      </c>
      <c r="F27" s="9" t="str">
        <f>IFERROR(__xludf.DUMMYFUNCTION("""COMPUTED_VALUE"""),"+5 Charisma")</f>
        <v>+5 Charisma</v>
      </c>
      <c r="G27" s="9" t="str">
        <f>IFERROR(__xludf.DUMMYFUNCTION("""COMPUTED_VALUE"""),"40% Chance to automatically succeed at haggling when you are selling something to a shop.")</f>
        <v>40% Chance to automatically succeed at haggling when you are selling something to a shop.</v>
      </c>
      <c r="H27" s="1"/>
      <c r="I27" s="1"/>
      <c r="J27" s="1"/>
      <c r="K27" s="1">
        <f>IFERROR(__xludf.DUMMYFUNCTION("""COMPUTED_VALUE"""),5.0)</f>
        <v>5</v>
      </c>
      <c r="L27" s="1"/>
      <c r="M27" s="1"/>
      <c r="N27" s="1"/>
      <c r="O27" s="1"/>
      <c r="P27" s="1"/>
      <c r="Q27" s="1"/>
      <c r="R27" s="1"/>
      <c r="S27" s="1"/>
      <c r="T27" s="1"/>
      <c r="U27" s="1"/>
      <c r="V27" s="1">
        <f>IFERROR(__xludf.DUMMYFUNCTION("""COMPUTED_VALUE"""),0.0)</f>
        <v>0</v>
      </c>
      <c r="W27" s="1"/>
      <c r="X27" s="1"/>
      <c r="Y27" s="1"/>
      <c r="Z27" s="1"/>
      <c r="AA27" s="1"/>
      <c r="AB27" s="1"/>
      <c r="AC27" s="1"/>
      <c r="AD27" s="1"/>
      <c r="AE27" s="1"/>
      <c r="AF27" s="1"/>
      <c r="AG27" s="1">
        <f>IFERROR(__xludf.DUMMYFUNCTION("""COMPUTED_VALUE"""),9.0)</f>
        <v>9</v>
      </c>
      <c r="AH27" s="1">
        <f>IFERROR(__xludf.DUMMYFUNCTION("""COMPUTED_VALUE"""),9.0)</f>
        <v>9</v>
      </c>
      <c r="AI27" s="1">
        <f>IFERROR(__xludf.DUMMYFUNCTION("""COMPUTED_VALUE"""),9.0)</f>
        <v>9</v>
      </c>
      <c r="AJ27" s="1"/>
      <c r="AK27" s="1"/>
      <c r="AL27" s="1"/>
      <c r="AM27" s="1"/>
      <c r="AN27" s="1"/>
      <c r="AO27" s="1"/>
      <c r="AP27" s="1"/>
      <c r="AQ27" s="1"/>
      <c r="AR27" s="1"/>
      <c r="AS27" s="1"/>
    </row>
    <row r="28">
      <c r="A28" s="95" t="str">
        <f>IFERROR(__xludf.DUMMYFUNCTION("""COMPUTED_VALUE"""),"Monk")</f>
        <v>Monk</v>
      </c>
      <c r="B28" s="95" t="str">
        <f>IFERROR(__xludf.DUMMYFUNCTION("""COMPUTED_VALUE"""),"Grand Abbot")</f>
        <v>Grand Abbot</v>
      </c>
      <c r="C28" s="95" t="str">
        <f>IFERROR(__xludf.DUMMYFUNCTION("""COMPUTED_VALUE"""),"Rank 9 in all elements (excluding Acoustic)")</f>
        <v>Rank 9 in all elements (excluding Acoustic)</v>
      </c>
      <c r="D28" s="95" t="str">
        <f>IFERROR(__xludf.DUMMYFUNCTION("""COMPUTED_VALUE"""),"+5 to wisdom")</f>
        <v>+5 to wisdom</v>
      </c>
      <c r="E28" s="95" t="str">
        <f>IFERROR(__xludf.DUMMYFUNCTION("""COMPUTED_VALUE"""),"Will meditate each round in battle, Every round you gain an additional 1000 accuracy, and attack and your evasion will go up additionally by 1 max 10.")</f>
        <v>Will meditate each round in battle, Every round you gain an additional 1000 accuracy, and attack and your evasion will go up additionally by 1 max 10.</v>
      </c>
      <c r="F28" s="9"/>
      <c r="G28" s="9"/>
      <c r="H28" s="1"/>
      <c r="I28" s="1"/>
      <c r="J28" s="1"/>
      <c r="K28" s="1"/>
      <c r="L28" s="1">
        <f>IFERROR(__xludf.DUMMYFUNCTION("""COMPUTED_VALUE"""),5.0)</f>
        <v>5</v>
      </c>
      <c r="M28" s="1"/>
      <c r="N28" s="1"/>
      <c r="O28" s="1"/>
      <c r="P28" s="1"/>
      <c r="Q28" s="1"/>
      <c r="R28" s="1"/>
      <c r="S28" s="1"/>
      <c r="T28" s="1"/>
      <c r="U28" s="1"/>
      <c r="V28" s="1">
        <f>IFERROR(__xludf.DUMMYFUNCTION("""COMPUTED_VALUE"""),0.0)</f>
        <v>0</v>
      </c>
      <c r="W28" s="1">
        <f>IFERROR(__xludf.DUMMYFUNCTION("""COMPUTED_VALUE"""),9.0)</f>
        <v>9</v>
      </c>
      <c r="X28" s="1">
        <f>IFERROR(__xludf.DUMMYFUNCTION("""COMPUTED_VALUE"""),9.0)</f>
        <v>9</v>
      </c>
      <c r="Y28" s="1">
        <f>IFERROR(__xludf.DUMMYFUNCTION("""COMPUTED_VALUE"""),9.0)</f>
        <v>9</v>
      </c>
      <c r="Z28" s="1">
        <f>IFERROR(__xludf.DUMMYFUNCTION("""COMPUTED_VALUE"""),9.0)</f>
        <v>9</v>
      </c>
      <c r="AA28" s="1">
        <f>IFERROR(__xludf.DUMMYFUNCTION("""COMPUTED_VALUE"""),9.0)</f>
        <v>9</v>
      </c>
      <c r="AB28" s="1">
        <f>IFERROR(__xludf.DUMMYFUNCTION("""COMPUTED_VALUE"""),9.0)</f>
        <v>9</v>
      </c>
      <c r="AC28" s="1">
        <f>IFERROR(__xludf.DUMMYFUNCTION("""COMPUTED_VALUE"""),9.0)</f>
        <v>9</v>
      </c>
      <c r="AD28" s="1">
        <f>IFERROR(__xludf.DUMMYFUNCTION("""COMPUTED_VALUE"""),9.0)</f>
        <v>9</v>
      </c>
      <c r="AE28" s="1">
        <f>IFERROR(__xludf.DUMMYFUNCTION("""COMPUTED_VALUE"""),9.0)</f>
        <v>9</v>
      </c>
      <c r="AF28" s="1">
        <f>IFERROR(__xludf.DUMMYFUNCTION("""COMPUTED_VALUE"""),9.0)</f>
        <v>9</v>
      </c>
      <c r="AG28" s="1">
        <f>IFERROR(__xludf.DUMMYFUNCTION("""COMPUTED_VALUE"""),9.0)</f>
        <v>9</v>
      </c>
      <c r="AH28" s="1">
        <f>IFERROR(__xludf.DUMMYFUNCTION("""COMPUTED_VALUE"""),9.0)</f>
        <v>9</v>
      </c>
      <c r="AI28" s="1">
        <f>IFERROR(__xludf.DUMMYFUNCTION("""COMPUTED_VALUE"""),9.0)</f>
        <v>9</v>
      </c>
      <c r="AJ28" s="1">
        <f>IFERROR(__xludf.DUMMYFUNCTION("""COMPUTED_VALUE"""),9.0)</f>
        <v>9</v>
      </c>
      <c r="AK28" s="1">
        <f>IFERROR(__xludf.DUMMYFUNCTION("""COMPUTED_VALUE"""),9.0)</f>
        <v>9</v>
      </c>
      <c r="AL28" s="1">
        <f>IFERROR(__xludf.DUMMYFUNCTION("""COMPUTED_VALUE"""),9.0)</f>
        <v>9</v>
      </c>
      <c r="AM28" s="1">
        <f>IFERROR(__xludf.DUMMYFUNCTION("""COMPUTED_VALUE"""),9.0)</f>
        <v>9</v>
      </c>
      <c r="AN28" s="1">
        <f>IFERROR(__xludf.DUMMYFUNCTION("""COMPUTED_VALUE"""),9.0)</f>
        <v>9</v>
      </c>
      <c r="AO28" s="1">
        <f>IFERROR(__xludf.DUMMYFUNCTION("""COMPUTED_VALUE"""),9.0)</f>
        <v>9</v>
      </c>
      <c r="AP28" s="1"/>
      <c r="AQ28" s="1">
        <f>IFERROR(__xludf.DUMMYFUNCTION("""COMPUTED_VALUE"""),9.0)</f>
        <v>9</v>
      </c>
      <c r="AR28" s="1"/>
      <c r="AS28" s="1"/>
    </row>
    <row r="29">
      <c r="A29" s="95" t="str">
        <f>IFERROR(__xludf.DUMMYFUNCTION("""COMPUTED_VALUE"""),"Ninja")</f>
        <v>Ninja</v>
      </c>
      <c r="B29" s="95" t="str">
        <f>IFERROR(__xludf.DUMMYFUNCTION("""COMPUTED_VALUE"""),"Sensei of Dark Arts")</f>
        <v>Sensei of Dark Arts</v>
      </c>
      <c r="C29" s="95" t="str">
        <f>IFERROR(__xludf.DUMMYFUNCTION("""COMPUTED_VALUE"""),"Rank 9 Dark, Chaos, Voodoo, Zen, Physical, Melee, Ranged")</f>
        <v>Rank 9 Dark, Chaos, Voodoo, Zen, Physical, Melee, Ranged</v>
      </c>
      <c r="D29" s="95" t="str">
        <f>IFERROR(__xludf.DUMMYFUNCTION("""COMPUTED_VALUE"""),"Immunity to dark, chaos, and voodoo.")</f>
        <v>Immunity to dark, chaos, and voodoo.</v>
      </c>
      <c r="E29" s="95" t="str">
        <f>IFERROR(__xludf.DUMMYFUNCTION("""COMPUTED_VALUE"""),"+5 to mobility and evasion.")</f>
        <v>+5 to mobility and evasion.</v>
      </c>
      <c r="F29" s="95" t="str">
        <f>IFERROR(__xludf.DUMMYFUNCTION("""COMPUTED_VALUE"""),"Anytime you hide away or conceal yourself before attacking either by an item effect or spell effect you will deal x4 damage as soon as you attack.")</f>
        <v>Anytime you hide away or conceal yourself before attacking either by an item effect or spell effect you will deal x4 damage as soon as you attack.</v>
      </c>
      <c r="G29" s="9"/>
      <c r="H29" s="1"/>
      <c r="I29" s="1"/>
      <c r="J29" s="1"/>
      <c r="K29" s="1"/>
      <c r="L29" s="1"/>
      <c r="M29" s="1"/>
      <c r="N29" s="1">
        <f>IFERROR(__xludf.DUMMYFUNCTION("""COMPUTED_VALUE"""),5.0)</f>
        <v>5</v>
      </c>
      <c r="O29" s="1"/>
      <c r="P29" s="1">
        <f>IFERROR(__xludf.DUMMYFUNCTION("""COMPUTED_VALUE"""),5.0)</f>
        <v>5</v>
      </c>
      <c r="Q29" s="1"/>
      <c r="R29" s="1"/>
      <c r="S29" s="1"/>
      <c r="T29" s="1"/>
      <c r="U29" s="1"/>
      <c r="V29" s="1">
        <f>IFERROR(__xludf.DUMMYFUNCTION("""COMPUTED_VALUE"""),0.0)</f>
        <v>0</v>
      </c>
      <c r="W29" s="1"/>
      <c r="X29" s="1"/>
      <c r="Y29" s="1"/>
      <c r="Z29" s="1"/>
      <c r="AA29" s="1"/>
      <c r="AB29" s="1">
        <f>IFERROR(__xludf.DUMMYFUNCTION("""COMPUTED_VALUE"""),9.0)</f>
        <v>9</v>
      </c>
      <c r="AC29" s="1"/>
      <c r="AD29" s="1"/>
      <c r="AE29" s="1">
        <f>IFERROR(__xludf.DUMMYFUNCTION("""COMPUTED_VALUE"""),9.0)</f>
        <v>9</v>
      </c>
      <c r="AF29" s="1"/>
      <c r="AG29" s="1">
        <f>IFERROR(__xludf.DUMMYFUNCTION("""COMPUTED_VALUE"""),9.0)</f>
        <v>9</v>
      </c>
      <c r="AH29" s="1">
        <f>IFERROR(__xludf.DUMMYFUNCTION("""COMPUTED_VALUE"""),9.0)</f>
        <v>9</v>
      </c>
      <c r="AI29" s="1">
        <f>IFERROR(__xludf.DUMMYFUNCTION("""COMPUTED_VALUE"""),9.0)</f>
        <v>9</v>
      </c>
      <c r="AJ29" s="1"/>
      <c r="AK29" s="1"/>
      <c r="AL29" s="1">
        <f>IFERROR(__xludf.DUMMYFUNCTION("""COMPUTED_VALUE"""),9.0)</f>
        <v>9</v>
      </c>
      <c r="AM29" s="1"/>
      <c r="AN29" s="1"/>
      <c r="AO29" s="1">
        <f>IFERROR(__xludf.DUMMYFUNCTION("""COMPUTED_VALUE"""),9.0)</f>
        <v>9</v>
      </c>
      <c r="AP29" s="1"/>
      <c r="AQ29" s="1"/>
      <c r="AR29" s="1"/>
      <c r="AS29" s="1"/>
    </row>
    <row r="30">
      <c r="A30" s="95" t="str">
        <f>IFERROR(__xludf.DUMMYFUNCTION("""COMPUTED_VALUE"""),"Ninja")</f>
        <v>Ninja</v>
      </c>
      <c r="B30" s="95" t="str">
        <f>IFERROR(__xludf.DUMMYFUNCTION("""COMPUTED_VALUE"""),"Assassin")</f>
        <v>Assassin</v>
      </c>
      <c r="C30" s="95" t="str">
        <f>IFERROR(__xludf.DUMMYFUNCTION("""COMPUTED_VALUE"""),"Rank 9 Dark, Chaos, Voodoo, Zen, Blood, Melee, Physical, Ranged")</f>
        <v>Rank 9 Dark, Chaos, Voodoo, Zen, Blood, Melee, Physical, Ranged</v>
      </c>
      <c r="D30" s="95" t="str">
        <f>IFERROR(__xludf.DUMMYFUNCTION("""COMPUTED_VALUE"""),"Immune to instant death.")</f>
        <v>Immune to instant death.</v>
      </c>
      <c r="E30" s="9" t="str">
        <f>IFERROR(__xludf.DUMMYFUNCTION("""COMPUTED_VALUE"""),"Immunity to dark.")</f>
        <v>Immunity to dark.</v>
      </c>
      <c r="F30" s="9" t="str">
        <f>IFERROR(__xludf.DUMMYFUNCTION("""COMPUTED_VALUE"""),"+5 to mobility and evasion.")</f>
        <v>+5 to mobility and evasion.</v>
      </c>
      <c r="G30" s="9"/>
      <c r="H30" s="1"/>
      <c r="I30" s="1"/>
      <c r="J30" s="1"/>
      <c r="K30" s="1"/>
      <c r="L30" s="1"/>
      <c r="M30" s="1"/>
      <c r="N30" s="1">
        <f>IFERROR(__xludf.DUMMYFUNCTION("""COMPUTED_VALUE"""),5.0)</f>
        <v>5</v>
      </c>
      <c r="O30" s="1"/>
      <c r="P30" s="1">
        <f>IFERROR(__xludf.DUMMYFUNCTION("""COMPUTED_VALUE"""),5.0)</f>
        <v>5</v>
      </c>
      <c r="Q30" s="1"/>
      <c r="R30" s="1"/>
      <c r="S30" s="1"/>
      <c r="T30" s="1"/>
      <c r="U30" s="1"/>
      <c r="V30" s="1">
        <f>IFERROR(__xludf.DUMMYFUNCTION("""COMPUTED_VALUE"""),0.0)</f>
        <v>0</v>
      </c>
      <c r="W30" s="1"/>
      <c r="X30" s="1"/>
      <c r="Y30" s="1"/>
      <c r="Z30" s="1"/>
      <c r="AA30" s="1"/>
      <c r="AB30" s="1">
        <f>IFERROR(__xludf.DUMMYFUNCTION("""COMPUTED_VALUE"""),9.0)</f>
        <v>9</v>
      </c>
      <c r="AC30" s="1"/>
      <c r="AD30" s="1"/>
      <c r="AE30" s="1">
        <f>IFERROR(__xludf.DUMMYFUNCTION("""COMPUTED_VALUE"""),9.0)</f>
        <v>9</v>
      </c>
      <c r="AF30" s="1"/>
      <c r="AG30" s="1">
        <f>IFERROR(__xludf.DUMMYFUNCTION("""COMPUTED_VALUE"""),9.0)</f>
        <v>9</v>
      </c>
      <c r="AH30" s="1">
        <f>IFERROR(__xludf.DUMMYFUNCTION("""COMPUTED_VALUE"""),9.0)</f>
        <v>9</v>
      </c>
      <c r="AI30" s="1">
        <f>IFERROR(__xludf.DUMMYFUNCTION("""COMPUTED_VALUE"""),9.0)</f>
        <v>9</v>
      </c>
      <c r="AJ30" s="1"/>
      <c r="AK30" s="1"/>
      <c r="AL30" s="1">
        <f>IFERROR(__xludf.DUMMYFUNCTION("""COMPUTED_VALUE"""),9.0)</f>
        <v>9</v>
      </c>
      <c r="AM30" s="1"/>
      <c r="AN30" s="1"/>
      <c r="AO30" s="1">
        <f>IFERROR(__xludf.DUMMYFUNCTION("""COMPUTED_VALUE"""),9.0)</f>
        <v>9</v>
      </c>
      <c r="AP30" s="1"/>
      <c r="AQ30" s="1"/>
      <c r="AR30" s="1"/>
      <c r="AS30" s="1"/>
    </row>
    <row r="31">
      <c r="A31" s="95" t="str">
        <f>IFERROR(__xludf.DUMMYFUNCTION("""COMPUTED_VALUE"""),"Pirate")</f>
        <v>Pirate</v>
      </c>
      <c r="B31" s="95" t="str">
        <f>IFERROR(__xludf.DUMMYFUNCTION("""COMPUTED_VALUE"""),"Swashbuckler")</f>
        <v>Swashbuckler</v>
      </c>
      <c r="C31" s="95" t="str">
        <f>IFERROR(__xludf.DUMMYFUNCTION("""COMPUTED_VALUE"""),"Rank 9 Water and Melee")</f>
        <v>Rank 9 Water and Melee</v>
      </c>
      <c r="D31" s="95" t="str">
        <f>IFERROR(__xludf.DUMMYFUNCTION("""COMPUTED_VALUE"""),"X4 damage with swords.")</f>
        <v>X4 damage with swords.</v>
      </c>
      <c r="E31" s="95" t="str">
        <f>IFERROR(__xludf.DUMMYFUNCTION("""COMPUTED_VALUE"""),"X2 Gilders from loot drops, chests, and quests..")</f>
        <v>X2 Gilders from loot drops, chests, and quests..</v>
      </c>
      <c r="F31" s="9"/>
      <c r="G31" s="9"/>
      <c r="H31" s="1"/>
      <c r="I31" s="1"/>
      <c r="J31" s="1"/>
      <c r="K31" s="1"/>
      <c r="L31" s="1"/>
      <c r="M31" s="1"/>
      <c r="N31" s="1"/>
      <c r="O31" s="1"/>
      <c r="P31" s="1"/>
      <c r="Q31" s="1"/>
      <c r="R31" s="1"/>
      <c r="S31" s="1"/>
      <c r="T31" s="1"/>
      <c r="U31" s="1"/>
      <c r="V31" s="1">
        <f>IFERROR(__xludf.DUMMYFUNCTION("""COMPUTED_VALUE"""),0.0)</f>
        <v>0</v>
      </c>
      <c r="W31" s="1"/>
      <c r="X31" s="1">
        <f>IFERROR(__xludf.DUMMYFUNCTION("""COMPUTED_VALUE"""),9.0)</f>
        <v>9</v>
      </c>
      <c r="Y31" s="1"/>
      <c r="Z31" s="1"/>
      <c r="AA31" s="1"/>
      <c r="AB31" s="1"/>
      <c r="AC31" s="1"/>
      <c r="AD31" s="1"/>
      <c r="AE31" s="1"/>
      <c r="AF31" s="1"/>
      <c r="AG31" s="1"/>
      <c r="AH31" s="1">
        <f>IFERROR(__xludf.DUMMYFUNCTION("""COMPUTED_VALUE"""),9.0)</f>
        <v>9</v>
      </c>
      <c r="AI31" s="1"/>
      <c r="AJ31" s="1"/>
      <c r="AK31" s="1"/>
      <c r="AL31" s="1"/>
      <c r="AM31" s="1"/>
      <c r="AN31" s="1"/>
      <c r="AO31" s="1"/>
      <c r="AP31" s="1"/>
      <c r="AQ31" s="1"/>
      <c r="AR31" s="1"/>
      <c r="AS31" s="1"/>
    </row>
    <row r="32">
      <c r="A32" s="95" t="str">
        <f>IFERROR(__xludf.DUMMYFUNCTION("""COMPUTED_VALUE"""),"Pirate")</f>
        <v>Pirate</v>
      </c>
      <c r="B32" s="95" t="str">
        <f>IFERROR(__xludf.DUMMYFUNCTION("""COMPUTED_VALUE"""),"Buccaneer")</f>
        <v>Buccaneer</v>
      </c>
      <c r="C32" s="95" t="str">
        <f>IFERROR(__xludf.DUMMYFUNCTION("""COMPUTED_VALUE"""),"Rang 9 Water and Ranged")</f>
        <v>Rang 9 Water and Ranged</v>
      </c>
      <c r="D32" s="95" t="str">
        <f>IFERROR(__xludf.DUMMYFUNCTION("""COMPUTED_VALUE"""),"X4 damage with guns and bows")</f>
        <v>X4 damage with guns and bows</v>
      </c>
      <c r="E32" s="95" t="str">
        <f>IFERROR(__xludf.DUMMYFUNCTION("""COMPUTED_VALUE"""),"X2 Gilders from loot drops, chests, and quests..")</f>
        <v>X2 Gilders from loot drops, chests, and quests..</v>
      </c>
      <c r="F32" s="9"/>
      <c r="G32" s="9"/>
      <c r="H32" s="1"/>
      <c r="I32" s="1"/>
      <c r="J32" s="1"/>
      <c r="K32" s="1"/>
      <c r="L32" s="1"/>
      <c r="M32" s="1"/>
      <c r="N32" s="1"/>
      <c r="O32" s="1"/>
      <c r="P32" s="1"/>
      <c r="Q32" s="1"/>
      <c r="R32" s="1"/>
      <c r="S32" s="1"/>
      <c r="T32" s="1"/>
      <c r="U32" s="1"/>
      <c r="V32" s="1">
        <f>IFERROR(__xludf.DUMMYFUNCTION("""COMPUTED_VALUE"""),0.0)</f>
        <v>0</v>
      </c>
      <c r="W32" s="1"/>
      <c r="X32" s="1">
        <f>IFERROR(__xludf.DUMMYFUNCTION("""COMPUTED_VALUE"""),9.0)</f>
        <v>9</v>
      </c>
      <c r="Y32" s="1"/>
      <c r="Z32" s="1"/>
      <c r="AA32" s="1"/>
      <c r="AB32" s="1"/>
      <c r="AC32" s="1"/>
      <c r="AD32" s="1"/>
      <c r="AE32" s="1"/>
      <c r="AF32" s="1"/>
      <c r="AG32" s="1"/>
      <c r="AH32" s="1"/>
      <c r="AI32" s="1">
        <f>IFERROR(__xludf.DUMMYFUNCTION("""COMPUTED_VALUE"""),9.0)</f>
        <v>9</v>
      </c>
      <c r="AJ32" s="1"/>
      <c r="AK32" s="1"/>
      <c r="AL32" s="1"/>
      <c r="AM32" s="1"/>
      <c r="AN32" s="1"/>
      <c r="AO32" s="1"/>
      <c r="AP32" s="1"/>
      <c r="AQ32" s="1"/>
      <c r="AR32" s="1"/>
      <c r="AS32" s="1"/>
    </row>
    <row r="33">
      <c r="A33" s="95" t="str">
        <f>IFERROR(__xludf.DUMMYFUNCTION("""COMPUTED_VALUE"""),"Priest")</f>
        <v>Priest</v>
      </c>
      <c r="B33" s="95" t="str">
        <f>IFERROR(__xludf.DUMMYFUNCTION("""COMPUTED_VALUE"""),"Apostle of Light")</f>
        <v>Apostle of Light</v>
      </c>
      <c r="C33" s="95" t="str">
        <f>IFERROR(__xludf.DUMMYFUNCTION("""COMPUTED_VALUE"""),"Rank 9 Order, Light, Nature")</f>
        <v>Rank 9 Order, Light, Nature</v>
      </c>
      <c r="D33" s="95" t="str">
        <f>IFERROR(__xludf.DUMMYFUNCTION("""COMPUTED_VALUE"""),"Immune to Possession
50% chance to stop a possession of one target.")</f>
        <v>Immune to Possession
50% chance to stop a possession of one target.</v>
      </c>
      <c r="E33" s="95" t="str">
        <f>IFERROR(__xludf.DUMMYFUNCTION("""COMPUTED_VALUE"""),"Curse Immune
Disease Immune")</f>
        <v>Curse Immune
Disease Immune</v>
      </c>
      <c r="F33" s="9" t="str">
        <f>IFERROR(__xludf.DUMMYFUNCTION("""COMPUTED_VALUE"""),"X4 additional Light Damage
X4 additional Order Damage")</f>
        <v>X4 additional Light Damage
X4 additional Order Damage</v>
      </c>
      <c r="G33" s="9" t="str">
        <f>IFERROR(__xludf.DUMMYFUNCTION("""COMPUTED_VALUE"""),"50% chance to stop a curse affecting one target.
50% chance to stop a disease affecting one target.")</f>
        <v>50% chance to stop a curse affecting one target.
50% chance to stop a disease affecting one target.</v>
      </c>
      <c r="H33" s="1"/>
      <c r="I33" s="1"/>
      <c r="J33" s="1"/>
      <c r="K33" s="1"/>
      <c r="L33" s="1"/>
      <c r="M33" s="1"/>
      <c r="N33" s="1"/>
      <c r="O33" s="1"/>
      <c r="P33" s="1"/>
      <c r="Q33" s="1"/>
      <c r="R33" s="1"/>
      <c r="S33" s="1"/>
      <c r="T33" s="1"/>
      <c r="U33" s="1"/>
      <c r="V33" s="1">
        <f>IFERROR(__xludf.DUMMYFUNCTION("""COMPUTED_VALUE"""),0.0)</f>
        <v>0</v>
      </c>
      <c r="W33" s="1"/>
      <c r="X33" s="1"/>
      <c r="Y33" s="1"/>
      <c r="Z33" s="1"/>
      <c r="AA33" s="1">
        <f>IFERROR(__xludf.DUMMYFUNCTION("""COMPUTED_VALUE"""),9.0)</f>
        <v>9</v>
      </c>
      <c r="AB33" s="1"/>
      <c r="AC33" s="1"/>
      <c r="AD33" s="1">
        <f>IFERROR(__xludf.DUMMYFUNCTION("""COMPUTED_VALUE"""),9.0)</f>
        <v>9</v>
      </c>
      <c r="AE33" s="1"/>
      <c r="AF33" s="1">
        <f>IFERROR(__xludf.DUMMYFUNCTION("""COMPUTED_VALUE"""),9.0)</f>
        <v>9</v>
      </c>
      <c r="AG33" s="1"/>
      <c r="AH33" s="1"/>
      <c r="AI33" s="1"/>
      <c r="AJ33" s="1"/>
      <c r="AK33" s="1"/>
      <c r="AL33" s="1"/>
      <c r="AM33" s="1"/>
      <c r="AN33" s="1"/>
      <c r="AO33" s="1"/>
      <c r="AP33" s="1"/>
      <c r="AQ33" s="1"/>
      <c r="AR33" s="1"/>
      <c r="AS33" s="1"/>
    </row>
    <row r="34">
      <c r="A34" s="95" t="str">
        <f>IFERROR(__xludf.DUMMYFUNCTION("""COMPUTED_VALUE"""),"Priest")</f>
        <v>Priest</v>
      </c>
      <c r="B34" s="95" t="str">
        <f>IFERROR(__xludf.DUMMYFUNCTION("""COMPUTED_VALUE"""),"Cleric")</f>
        <v>Cleric</v>
      </c>
      <c r="C34" s="95" t="str">
        <f>IFERROR(__xludf.DUMMYFUNCTION("""COMPUTED_VALUE"""),"Rank 9 Nature and Light, Order")</f>
        <v>Rank 9 Nature and Light, Order</v>
      </c>
      <c r="D34" s="95" t="str">
        <f>IFERROR(__xludf.DUMMYFUNCTION("""COMPUTED_VALUE"""),"X4 additional Light and Nature Damage.
Gain X4 the amount of HP from getting healed or Give X4 the amount of HP when healing a target.")</f>
        <v>X4 additional Light and Nature Damage.
Gain X4 the amount of HP from getting healed or Give X4 the amount of HP when healing a target.</v>
      </c>
      <c r="E34" s="95" t="str">
        <f>IFERROR(__xludf.DUMMYFUNCTION("""COMPUTED_VALUE"""),"Curse Immune
Disease Immune")</f>
        <v>Curse Immune
Disease Immune</v>
      </c>
      <c r="F34" s="9" t="str">
        <f>IFERROR(__xludf.DUMMYFUNCTION("""COMPUTED_VALUE"""),"Immune to Dark
Immune to Light")</f>
        <v>Immune to Dark
Immune to Light</v>
      </c>
      <c r="G34" s="9" t="str">
        <f>IFERROR(__xludf.DUMMYFUNCTION("""COMPUTED_VALUE"""),"Immune to Blindness.
50% chance to stop the Blindness status effect from affecting one target.")</f>
        <v>Immune to Blindness.
50% chance to stop the Blindness status effect from affecting one target.</v>
      </c>
      <c r="H34" s="1"/>
      <c r="I34" s="1"/>
      <c r="J34" s="1"/>
      <c r="K34" s="1"/>
      <c r="L34" s="1"/>
      <c r="M34" s="1"/>
      <c r="N34" s="1"/>
      <c r="O34" s="1"/>
      <c r="P34" s="1"/>
      <c r="Q34" s="1"/>
      <c r="R34" s="1"/>
      <c r="S34" s="1"/>
      <c r="T34" s="1"/>
      <c r="U34" s="1"/>
      <c r="V34" s="1">
        <f>IFERROR(__xludf.DUMMYFUNCTION("""COMPUTED_VALUE"""),0.0)</f>
        <v>0</v>
      </c>
      <c r="W34" s="1"/>
      <c r="X34" s="1"/>
      <c r="Y34" s="1"/>
      <c r="Z34" s="1"/>
      <c r="AA34" s="1">
        <f>IFERROR(__xludf.DUMMYFUNCTION("""COMPUTED_VALUE"""),9.0)</f>
        <v>9</v>
      </c>
      <c r="AB34" s="1"/>
      <c r="AC34" s="1"/>
      <c r="AD34" s="1">
        <f>IFERROR(__xludf.DUMMYFUNCTION("""COMPUTED_VALUE"""),9.0)</f>
        <v>9</v>
      </c>
      <c r="AE34" s="1"/>
      <c r="AF34" s="1">
        <f>IFERROR(__xludf.DUMMYFUNCTION("""COMPUTED_VALUE"""),9.0)</f>
        <v>9</v>
      </c>
      <c r="AG34" s="1"/>
      <c r="AH34" s="1"/>
      <c r="AI34" s="1"/>
      <c r="AJ34" s="1"/>
      <c r="AK34" s="1"/>
      <c r="AL34" s="1"/>
      <c r="AM34" s="1"/>
      <c r="AN34" s="1"/>
      <c r="AO34" s="1"/>
      <c r="AP34" s="1"/>
      <c r="AQ34" s="1"/>
      <c r="AR34" s="1"/>
      <c r="AS34" s="1"/>
    </row>
    <row r="35">
      <c r="A35" s="95" t="str">
        <f>IFERROR(__xludf.DUMMYFUNCTION("""COMPUTED_VALUE"""),"Priest")</f>
        <v>Priest</v>
      </c>
      <c r="B35" s="95" t="str">
        <f>IFERROR(__xludf.DUMMYFUNCTION("""COMPUTED_VALUE"""),"Acolyte of The Shattered Moon")</f>
        <v>Acolyte of The Shattered Moon</v>
      </c>
      <c r="C35" s="95" t="str">
        <f>IFERROR(__xludf.DUMMYFUNCTION("""COMPUTED_VALUE"""),"Rank 9 Order, Light, Dark, Astral")</f>
        <v>Rank 9 Order, Light, Dark, Astral</v>
      </c>
      <c r="D35" s="95" t="str">
        <f>IFERROR(__xludf.DUMMYFUNCTION("""COMPUTED_VALUE"""),"TBD")</f>
        <v>TBD</v>
      </c>
      <c r="E35" s="95" t="str">
        <f>IFERROR(__xludf.DUMMYFUNCTION("""COMPUTED_VALUE"""),"Moonlight Sonata: TBD")</f>
        <v>Moonlight Sonata: TBD</v>
      </c>
      <c r="F35" s="9"/>
      <c r="G35" s="9"/>
      <c r="H35" s="1"/>
      <c r="I35" s="1"/>
      <c r="J35" s="1"/>
      <c r="K35" s="1"/>
      <c r="L35" s="1"/>
      <c r="M35" s="1"/>
      <c r="N35" s="1"/>
      <c r="O35" s="1"/>
      <c r="P35" s="1"/>
      <c r="Q35" s="1"/>
      <c r="R35" s="1"/>
      <c r="S35" s="1"/>
      <c r="T35" s="1"/>
      <c r="U35" s="1"/>
      <c r="V35" s="1">
        <f>IFERROR(__xludf.DUMMYFUNCTION("""COMPUTED_VALUE"""),0.0)</f>
        <v>0</v>
      </c>
      <c r="W35" s="1"/>
      <c r="X35" s="1"/>
      <c r="Y35" s="1"/>
      <c r="Z35" s="1"/>
      <c r="AA35" s="1">
        <f>IFERROR(__xludf.DUMMYFUNCTION("""COMPUTED_VALUE"""),9.0)</f>
        <v>9</v>
      </c>
      <c r="AB35" s="1"/>
      <c r="AC35" s="1"/>
      <c r="AD35" s="1">
        <f>IFERROR(__xludf.DUMMYFUNCTION("""COMPUTED_VALUE"""),9.0)</f>
        <v>9</v>
      </c>
      <c r="AE35" s="1"/>
      <c r="AF35" s="1"/>
      <c r="AG35" s="1"/>
      <c r="AH35" s="1"/>
      <c r="AI35" s="1"/>
      <c r="AJ35" s="1"/>
      <c r="AK35" s="1"/>
      <c r="AL35" s="1"/>
      <c r="AM35" s="1"/>
      <c r="AN35" s="1"/>
      <c r="AO35" s="1"/>
      <c r="AP35" s="1"/>
      <c r="AQ35" s="1">
        <f>IFERROR(__xludf.DUMMYFUNCTION("""COMPUTED_VALUE"""),9.0)</f>
        <v>9</v>
      </c>
      <c r="AR35" s="1"/>
      <c r="AS35" s="1"/>
    </row>
    <row r="36">
      <c r="A36" s="95" t="str">
        <f>IFERROR(__xludf.DUMMYFUNCTION("""COMPUTED_VALUE"""),"Reaper")</f>
        <v>Reaper</v>
      </c>
      <c r="B36" s="95" t="str">
        <f>IFERROR(__xludf.DUMMYFUNCTION("""COMPUTED_VALUE"""),"Shadow Walker")</f>
        <v>Shadow Walker</v>
      </c>
      <c r="C36" s="95" t="str">
        <f>IFERROR(__xludf.DUMMYFUNCTION("""COMPUTED_VALUE"""),"Rank 9 Dark, Spirit and Chaos powers")</f>
        <v>Rank 9 Dark, Spirit and Chaos powers</v>
      </c>
      <c r="D36" s="95" t="str">
        <f>IFERROR(__xludf.DUMMYFUNCTION("""COMPUTED_VALUE"""),"Immune to Natural Attacks, Cannot be immune to Spell Attacks., +5 to evasion")</f>
        <v>Immune to Natural Attacks, Cannot be immune to Spell Attacks., +5 to evasion</v>
      </c>
      <c r="E36" s="95" t="str">
        <f>IFERROR(__xludf.DUMMYFUNCTION("""COMPUTED_VALUE"""),"Immune to instant death.")</f>
        <v>Immune to instant death.</v>
      </c>
      <c r="F36" s="95" t="str">
        <f>IFERROR(__xludf.DUMMYFUNCTION("""COMPUTED_VALUE"""),"Immune to possesion.")</f>
        <v>Immune to possesion.</v>
      </c>
      <c r="G36" s="9"/>
      <c r="H36" s="1"/>
      <c r="I36" s="1"/>
      <c r="J36" s="1"/>
      <c r="K36" s="1"/>
      <c r="L36" s="1"/>
      <c r="M36" s="1"/>
      <c r="N36" s="1">
        <f>IFERROR(__xludf.DUMMYFUNCTION("""COMPUTED_VALUE"""),5.0)</f>
        <v>5</v>
      </c>
      <c r="O36" s="1"/>
      <c r="P36" s="1"/>
      <c r="Q36" s="1"/>
      <c r="R36" s="1"/>
      <c r="S36" s="1"/>
      <c r="T36" s="1"/>
      <c r="U36" s="1"/>
      <c r="V36" s="1">
        <f>IFERROR(__xludf.DUMMYFUNCTION("""COMPUTED_VALUE"""),0.0)</f>
        <v>0</v>
      </c>
      <c r="W36" s="1"/>
      <c r="X36" s="1"/>
      <c r="Y36" s="1"/>
      <c r="Z36" s="1"/>
      <c r="AA36" s="1"/>
      <c r="AB36" s="1">
        <f>IFERROR(__xludf.DUMMYFUNCTION("""COMPUTED_VALUE"""),9.0)</f>
        <v>9</v>
      </c>
      <c r="AC36" s="1">
        <f>IFERROR(__xludf.DUMMYFUNCTION("""COMPUTED_VALUE"""),9.0)</f>
        <v>9</v>
      </c>
      <c r="AD36" s="1"/>
      <c r="AE36" s="1">
        <f>IFERROR(__xludf.DUMMYFUNCTION("""COMPUTED_VALUE"""),9.0)</f>
        <v>9</v>
      </c>
      <c r="AF36" s="1"/>
      <c r="AG36" s="1"/>
      <c r="AH36" s="1"/>
      <c r="AI36" s="1"/>
      <c r="AJ36" s="1"/>
      <c r="AK36" s="1"/>
      <c r="AL36" s="1"/>
      <c r="AM36" s="1"/>
      <c r="AN36" s="1"/>
      <c r="AO36" s="1"/>
      <c r="AP36" s="1"/>
      <c r="AQ36" s="1"/>
      <c r="AR36" s="1"/>
      <c r="AS36" s="1"/>
    </row>
    <row r="37">
      <c r="A37" s="95" t="str">
        <f>IFERROR(__xludf.DUMMYFUNCTION("""COMPUTED_VALUE"""),"Reaper")</f>
        <v>Reaper</v>
      </c>
      <c r="B37" s="95" t="str">
        <f>IFERROR(__xludf.DUMMYFUNCTION("""COMPUTED_VALUE"""),"Grim Reaper")</f>
        <v>Grim Reaper</v>
      </c>
      <c r="C37" s="95" t="str">
        <f>IFERROR(__xludf.DUMMYFUNCTION("""COMPUTED_VALUE"""),"Rank 9 Dark, Spirit, Melee, Ranged, and Physical")</f>
        <v>Rank 9 Dark, Spirit, Melee, Ranged, and Physical</v>
      </c>
      <c r="D37" s="95" t="str">
        <f>IFERROR(__xludf.DUMMYFUNCTION("""COMPUTED_VALUE"""),"All Dark, and Spirit Weapons/Spells, do X4 additional damage.")</f>
        <v>All Dark, and Spirit Weapons/Spells, do X4 additional damage.</v>
      </c>
      <c r="E37" s="95" t="str">
        <f>IFERROR(__xludf.DUMMYFUNCTION("""COMPUTED_VALUE"""),"Immune to instant death.")</f>
        <v>Immune to instant death.</v>
      </c>
      <c r="F37" s="9" t="str">
        <f>IFERROR(__xludf.DUMMYFUNCTION("""COMPUTED_VALUE"""),"Immune to possesion.")</f>
        <v>Immune to possesion.</v>
      </c>
      <c r="G37" s="9" t="str">
        <f>IFERROR(__xludf.DUMMYFUNCTION("""COMPUTED_VALUE"""),"Add mobility when attacking with a scythe.")</f>
        <v>Add mobility when attacking with a scythe.</v>
      </c>
      <c r="H37" s="1"/>
      <c r="I37" s="1"/>
      <c r="J37" s="1"/>
      <c r="K37" s="1"/>
      <c r="L37" s="1"/>
      <c r="M37" s="1"/>
      <c r="N37" s="1"/>
      <c r="O37" s="1"/>
      <c r="P37" s="1"/>
      <c r="Q37" s="1"/>
      <c r="R37" s="1"/>
      <c r="S37" s="1"/>
      <c r="T37" s="1"/>
      <c r="U37" s="1"/>
      <c r="V37" s="1">
        <f>IFERROR(__xludf.DUMMYFUNCTION("""COMPUTED_VALUE"""),0.0)</f>
        <v>0</v>
      </c>
      <c r="W37" s="1"/>
      <c r="X37" s="1"/>
      <c r="Y37" s="1"/>
      <c r="Z37" s="1"/>
      <c r="AA37" s="1"/>
      <c r="AB37" s="1">
        <f>IFERROR(__xludf.DUMMYFUNCTION("""COMPUTED_VALUE"""),9.0)</f>
        <v>9</v>
      </c>
      <c r="AC37" s="1">
        <f>IFERROR(__xludf.DUMMYFUNCTION("""COMPUTED_VALUE"""),9.0)</f>
        <v>9</v>
      </c>
      <c r="AD37" s="1"/>
      <c r="AE37" s="1"/>
      <c r="AF37" s="1"/>
      <c r="AG37" s="1">
        <f>IFERROR(__xludf.DUMMYFUNCTION("""COMPUTED_VALUE"""),9.0)</f>
        <v>9</v>
      </c>
      <c r="AH37" s="1">
        <f>IFERROR(__xludf.DUMMYFUNCTION("""COMPUTED_VALUE"""),9.0)</f>
        <v>9</v>
      </c>
      <c r="AI37" s="1">
        <f>IFERROR(__xludf.DUMMYFUNCTION("""COMPUTED_VALUE"""),9.0)</f>
        <v>9</v>
      </c>
      <c r="AJ37" s="1"/>
      <c r="AK37" s="1"/>
      <c r="AL37" s="1"/>
      <c r="AM37" s="1"/>
      <c r="AN37" s="1"/>
      <c r="AO37" s="1"/>
      <c r="AP37" s="1"/>
      <c r="AQ37" s="1"/>
      <c r="AR37" s="1"/>
      <c r="AS37" s="1"/>
    </row>
    <row r="38">
      <c r="A38" s="95" t="str">
        <f>IFERROR(__xludf.DUMMYFUNCTION("""COMPUTED_VALUE"""),"Samurai")</f>
        <v>Samurai</v>
      </c>
      <c r="B38" s="95" t="str">
        <f>IFERROR(__xludf.DUMMYFUNCTION("""COMPUTED_VALUE"""),"Cursed Samurai")</f>
        <v>Cursed Samurai</v>
      </c>
      <c r="C38" s="95" t="str">
        <f>IFERROR(__xludf.DUMMYFUNCTION("""COMPUTED_VALUE"""),"Rank 9 Melee, Physical, Ranged")</f>
        <v>Rank 9 Melee, Physical, Ranged</v>
      </c>
      <c r="D38" s="95" t="str">
        <f>IFERROR(__xludf.DUMMYFUNCTION("""COMPUTED_VALUE"""),"You deal *X additional damage where X is equal to the amount of curses you are afflicted by.")</f>
        <v>You deal *X additional damage where X is equal to the amount of curses you are afflicted by.</v>
      </c>
      <c r="E38" s="95" t="str">
        <f>IFERROR(__xludf.DUMMYFUNCTION("""COMPUTED_VALUE"""),"At the start of battle roll a d4, Curse that many enemies weapons making it so any damage they deal with that weapon deals half the damage back to self and they cannot unequip it.")</f>
        <v>At the start of battle roll a d4, Curse that many enemies weapons making it so any damage they deal with that weapon deals half the damage back to self and they cannot unequip it.</v>
      </c>
      <c r="F38" s="9" t="str">
        <f>IFERROR(__xludf.DUMMYFUNCTION("""COMPUTED_VALUE"""),"When you are cursed you gain X4 additional defense")</f>
        <v>When you are cursed you gain X4 additional defense</v>
      </c>
      <c r="G38" s="9" t="str">
        <f>IFERROR(__xludf.DUMMYFUNCTION("""COMPUTED_VALUE"""),"When you are cursed you gain +5 Mobility and Evasion.")</f>
        <v>When you are cursed you gain +5 Mobility and Evasion.</v>
      </c>
      <c r="H38" s="1"/>
      <c r="I38" s="1"/>
      <c r="J38" s="1"/>
      <c r="K38" s="1"/>
      <c r="L38" s="1"/>
      <c r="M38" s="1"/>
      <c r="N38" s="1"/>
      <c r="O38" s="1"/>
      <c r="P38" s="1"/>
      <c r="Q38" s="1"/>
      <c r="R38" s="1"/>
      <c r="S38" s="1"/>
      <c r="T38" s="1"/>
      <c r="U38" s="1"/>
      <c r="V38" s="1">
        <f>IFERROR(__xludf.DUMMYFUNCTION("""COMPUTED_VALUE"""),0.0)</f>
        <v>0</v>
      </c>
      <c r="W38" s="1"/>
      <c r="X38" s="1"/>
      <c r="Y38" s="1">
        <f>IFERROR(__xludf.DUMMYFUNCTION("""COMPUTED_VALUE"""),9.0)</f>
        <v>9</v>
      </c>
      <c r="Z38" s="1"/>
      <c r="AA38" s="1"/>
      <c r="AB38" s="1"/>
      <c r="AC38" s="1"/>
      <c r="AD38" s="1">
        <f>IFERROR(__xludf.DUMMYFUNCTION("""COMPUTED_VALUE"""),9.0)</f>
        <v>9</v>
      </c>
      <c r="AE38" s="1"/>
      <c r="AF38" s="1"/>
      <c r="AG38" s="1">
        <f>IFERROR(__xludf.DUMMYFUNCTION("""COMPUTED_VALUE"""),9.0)</f>
        <v>9</v>
      </c>
      <c r="AH38" s="1">
        <f>IFERROR(__xludf.DUMMYFUNCTION("""COMPUTED_VALUE"""),9.0)</f>
        <v>9</v>
      </c>
      <c r="AI38" s="1"/>
      <c r="AJ38" s="1"/>
      <c r="AK38" s="1"/>
      <c r="AL38" s="1"/>
      <c r="AM38" s="1"/>
      <c r="AN38" s="1"/>
      <c r="AO38" s="1">
        <f>IFERROR(__xludf.DUMMYFUNCTION("""COMPUTED_VALUE"""),9.0)</f>
        <v>9</v>
      </c>
      <c r="AP38" s="1"/>
      <c r="AQ38" s="1"/>
      <c r="AR38" s="1"/>
      <c r="AS38" s="1"/>
    </row>
    <row r="39">
      <c r="A39" s="95" t="str">
        <f>IFERROR(__xludf.DUMMYFUNCTION("""COMPUTED_VALUE"""),"Shaman")</f>
        <v>Shaman</v>
      </c>
      <c r="B39" s="95" t="str">
        <f>IFERROR(__xludf.DUMMYFUNCTION("""COMPUTED_VALUE"""),"Master Shaman")</f>
        <v>Master Shaman</v>
      </c>
      <c r="C39" s="95" t="str">
        <f>IFERROR(__xludf.DUMMYFUNCTION("""COMPUTED_VALUE"""),"Rank 9 Nature, Order
Rank 6 Spirit, Chaos")</f>
        <v>Rank 9 Nature, Order
Rank 6 Spirit, Chaos</v>
      </c>
      <c r="D39" s="95" t="str">
        <f>IFERROR(__xludf.DUMMYFUNCTION("""COMPUTED_VALUE"""),"Can communicate with Spirit like enemies, Has a 50% chance to not take damage from spirit type enemies, can use charisma on your turn in battle to prevent a spirit type enemy from attacking.")</f>
        <v>Can communicate with Spirit like enemies, Has a 50% chance to not take damage from spirit type enemies, can use charisma on your turn in battle to prevent a spirit type enemy from attacking.</v>
      </c>
      <c r="E39" s="9" t="str">
        <f>IFERROR(__xludf.DUMMYFUNCTION("""COMPUTED_VALUE"""),"Gain access to the ""Spirit Summoning Power""")</f>
        <v>Gain access to the "Spirit Summoning Power"</v>
      </c>
      <c r="F39" s="9" t="str">
        <f>IFERROR(__xludf.DUMMYFUNCTION("""COMPUTED_VALUE"""),"When fighting alongside a Spirit companion or party member you and the spirit deal X4 damage")</f>
        <v>When fighting alongside a Spirit companion or party member you and the spirit deal X4 damage</v>
      </c>
      <c r="G39" s="9"/>
      <c r="H39" s="1"/>
      <c r="I39" s="1"/>
      <c r="J39" s="1"/>
      <c r="K39" s="1"/>
      <c r="L39" s="1"/>
      <c r="M39" s="1"/>
      <c r="N39" s="1"/>
      <c r="O39" s="1"/>
      <c r="P39" s="1"/>
      <c r="Q39" s="1"/>
      <c r="R39" s="1"/>
      <c r="S39" s="1"/>
      <c r="T39" s="1"/>
      <c r="U39" s="1"/>
      <c r="V39" s="1">
        <f>IFERROR(__xludf.DUMMYFUNCTION("""COMPUTED_VALUE"""),0.0)</f>
        <v>0</v>
      </c>
      <c r="W39" s="1"/>
      <c r="X39" s="1"/>
      <c r="Y39" s="1"/>
      <c r="Z39" s="1"/>
      <c r="AA39" s="1"/>
      <c r="AB39" s="1"/>
      <c r="AC39" s="1">
        <f>IFERROR(__xludf.DUMMYFUNCTION("""COMPUTED_VALUE"""),6.0)</f>
        <v>6</v>
      </c>
      <c r="AD39" s="1">
        <f>IFERROR(__xludf.DUMMYFUNCTION("""COMPUTED_VALUE"""),9.0)</f>
        <v>9</v>
      </c>
      <c r="AE39" s="1">
        <f>IFERROR(__xludf.DUMMYFUNCTION("""COMPUTED_VALUE"""),6.0)</f>
        <v>6</v>
      </c>
      <c r="AF39" s="1">
        <f>IFERROR(__xludf.DUMMYFUNCTION("""COMPUTED_VALUE"""),9.0)</f>
        <v>9</v>
      </c>
      <c r="AG39" s="1"/>
      <c r="AH39" s="1"/>
      <c r="AI39" s="1"/>
      <c r="AJ39" s="1"/>
      <c r="AK39" s="1"/>
      <c r="AL39" s="1"/>
      <c r="AM39" s="1"/>
      <c r="AN39" s="1"/>
      <c r="AO39" s="1"/>
      <c r="AP39" s="1"/>
      <c r="AQ39" s="1"/>
      <c r="AR39" s="1"/>
      <c r="AS39" s="1"/>
    </row>
    <row r="40">
      <c r="A40" s="95" t="str">
        <f>IFERROR(__xludf.DUMMYFUNCTION("""COMPUTED_VALUE"""),"Sorcerer")</f>
        <v>Sorcerer</v>
      </c>
      <c r="B40" s="95" t="str">
        <f>IFERROR(__xludf.DUMMYFUNCTION("""COMPUTED_VALUE"""),"Master Sorcerer")</f>
        <v>Master Sorcerer</v>
      </c>
      <c r="C40" s="95" t="str">
        <f>IFERROR(__xludf.DUMMYFUNCTION("""COMPUTED_VALUE"""),"Rank 9 in all Elements (excluding Zen and Acoustic)")</f>
        <v>Rank 9 in all Elements (excluding Zen and Acoustic)</v>
      </c>
      <c r="D40" s="95" t="str">
        <f>IFERROR(__xludf.DUMMYFUNCTION("""COMPUTED_VALUE"""),"25% chance to be unaffected by spells casted by enemies.")</f>
        <v>25% chance to be unaffected by spells casted by enemies.</v>
      </c>
      <c r="E40" s="95" t="str">
        <f>IFERROR(__xludf.DUMMYFUNCTION("""COMPUTED_VALUE"""),"Immune to Spell damage, Cannot resist or be immune to Weapon damage.")</f>
        <v>Immune to Spell damage, Cannot resist or be immune to Weapon damage.</v>
      </c>
      <c r="F40" s="95"/>
      <c r="G40" s="9"/>
      <c r="H40" s="1"/>
      <c r="I40" s="1"/>
      <c r="J40" s="1"/>
      <c r="K40" s="1"/>
      <c r="L40" s="1"/>
      <c r="M40" s="1"/>
      <c r="N40" s="1"/>
      <c r="O40" s="1"/>
      <c r="P40" s="1"/>
      <c r="Q40" s="1"/>
      <c r="R40" s="1"/>
      <c r="S40" s="1"/>
      <c r="T40" s="1"/>
      <c r="U40" s="1"/>
      <c r="V40" s="1">
        <f>IFERROR(__xludf.DUMMYFUNCTION("""COMPUTED_VALUE"""),0.0)</f>
        <v>0</v>
      </c>
      <c r="W40" s="1">
        <f>IFERROR(__xludf.DUMMYFUNCTION("""COMPUTED_VALUE"""),9.0)</f>
        <v>9</v>
      </c>
      <c r="X40" s="1">
        <f>IFERROR(__xludf.DUMMYFUNCTION("""COMPUTED_VALUE"""),9.0)</f>
        <v>9</v>
      </c>
      <c r="Y40" s="1">
        <f>IFERROR(__xludf.DUMMYFUNCTION("""COMPUTED_VALUE"""),9.0)</f>
        <v>9</v>
      </c>
      <c r="Z40" s="1">
        <f>IFERROR(__xludf.DUMMYFUNCTION("""COMPUTED_VALUE"""),9.0)</f>
        <v>9</v>
      </c>
      <c r="AA40" s="1">
        <f>IFERROR(__xludf.DUMMYFUNCTION("""COMPUTED_VALUE"""),9.0)</f>
        <v>9</v>
      </c>
      <c r="AB40" s="1">
        <f>IFERROR(__xludf.DUMMYFUNCTION("""COMPUTED_VALUE"""),9.0)</f>
        <v>9</v>
      </c>
      <c r="AC40" s="1">
        <f>IFERROR(__xludf.DUMMYFUNCTION("""COMPUTED_VALUE"""),9.0)</f>
        <v>9</v>
      </c>
      <c r="AD40" s="1">
        <f>IFERROR(__xludf.DUMMYFUNCTION("""COMPUTED_VALUE"""),9.0)</f>
        <v>9</v>
      </c>
      <c r="AE40" s="1">
        <f>IFERROR(__xludf.DUMMYFUNCTION("""COMPUTED_VALUE"""),9.0)</f>
        <v>9</v>
      </c>
      <c r="AF40" s="1">
        <f>IFERROR(__xludf.DUMMYFUNCTION("""COMPUTED_VALUE"""),9.0)</f>
        <v>9</v>
      </c>
      <c r="AG40" s="1">
        <f>IFERROR(__xludf.DUMMYFUNCTION("""COMPUTED_VALUE"""),9.0)</f>
        <v>9</v>
      </c>
      <c r="AH40" s="1">
        <f>IFERROR(__xludf.DUMMYFUNCTION("""COMPUTED_VALUE"""),9.0)</f>
        <v>9</v>
      </c>
      <c r="AI40" s="1">
        <f>IFERROR(__xludf.DUMMYFUNCTION("""COMPUTED_VALUE"""),9.0)</f>
        <v>9</v>
      </c>
      <c r="AJ40" s="1">
        <f>IFERROR(__xludf.DUMMYFUNCTION("""COMPUTED_VALUE"""),9.0)</f>
        <v>9</v>
      </c>
      <c r="AK40" s="1">
        <f>IFERROR(__xludf.DUMMYFUNCTION("""COMPUTED_VALUE"""),9.0)</f>
        <v>9</v>
      </c>
      <c r="AL40" s="1">
        <f>IFERROR(__xludf.DUMMYFUNCTION("""COMPUTED_VALUE"""),9.0)</f>
        <v>9</v>
      </c>
      <c r="AM40" s="1">
        <f>IFERROR(__xludf.DUMMYFUNCTION("""COMPUTED_VALUE"""),9.0)</f>
        <v>9</v>
      </c>
      <c r="AN40" s="1">
        <f>IFERROR(__xludf.DUMMYFUNCTION("""COMPUTED_VALUE"""),9.0)</f>
        <v>9</v>
      </c>
      <c r="AO40" s="1"/>
      <c r="AP40" s="1"/>
      <c r="AQ40" s="1">
        <f>IFERROR(__xludf.DUMMYFUNCTION("""COMPUTED_VALUE"""),9.0)</f>
        <v>9</v>
      </c>
      <c r="AR40" s="1"/>
      <c r="AS40" s="1"/>
    </row>
    <row r="41">
      <c r="A41" s="95" t="str">
        <f>IFERROR(__xludf.DUMMYFUNCTION("""COMPUTED_VALUE"""),"Viking")</f>
        <v>Viking</v>
      </c>
      <c r="B41" s="95" t="str">
        <f>IFERROR(__xludf.DUMMYFUNCTION("""COMPUTED_VALUE"""),"Warlord")</f>
        <v>Warlord</v>
      </c>
      <c r="C41" s="95" t="str">
        <f>IFERROR(__xludf.DUMMYFUNCTION("""COMPUTED_VALUE"""),"Rank 9 Nature, Melee, and Physical")</f>
        <v>Rank 9 Nature, Melee, and Physical</v>
      </c>
      <c r="D41" s="95" t="str">
        <f>IFERROR(__xludf.DUMMYFUNCTION("""COMPUTED_VALUE"""),"40% chance to take no damage from weapon attacks.")</f>
        <v>40% chance to take no damage from weapon attacks.</v>
      </c>
      <c r="E41" s="95" t="str">
        <f>IFERROR(__xludf.DUMMYFUNCTION("""COMPUTED_VALUE"""),"Gains 10 charisma when trying to persuade a guard.")</f>
        <v>Gains 10 charisma when trying to persuade a guard.</v>
      </c>
      <c r="F41" s="95"/>
      <c r="G41" s="95"/>
      <c r="H41" s="1"/>
      <c r="I41" s="1"/>
      <c r="J41" s="1"/>
      <c r="K41" s="1"/>
      <c r="L41" s="1"/>
      <c r="M41" s="1"/>
      <c r="N41" s="1"/>
      <c r="O41" s="1"/>
      <c r="P41" s="1"/>
      <c r="Q41" s="1"/>
      <c r="R41" s="1"/>
      <c r="S41" s="1"/>
      <c r="T41" s="1"/>
      <c r="U41" s="1"/>
      <c r="V41" s="1">
        <f>IFERROR(__xludf.DUMMYFUNCTION("""COMPUTED_VALUE"""),0.0)</f>
        <v>0</v>
      </c>
      <c r="W41" s="1"/>
      <c r="X41" s="1"/>
      <c r="Y41" s="1"/>
      <c r="Z41" s="1"/>
      <c r="AA41" s="1"/>
      <c r="AB41" s="1"/>
      <c r="AC41" s="1"/>
      <c r="AD41" s="1"/>
      <c r="AE41" s="1"/>
      <c r="AF41" s="1">
        <f>IFERROR(__xludf.DUMMYFUNCTION("""COMPUTED_VALUE"""),9.0)</f>
        <v>9</v>
      </c>
      <c r="AG41" s="1">
        <f>IFERROR(__xludf.DUMMYFUNCTION("""COMPUTED_VALUE"""),9.0)</f>
        <v>9</v>
      </c>
      <c r="AH41" s="1">
        <f>IFERROR(__xludf.DUMMYFUNCTION("""COMPUTED_VALUE"""),9.0)</f>
        <v>9</v>
      </c>
      <c r="AI41" s="1"/>
      <c r="AJ41" s="1"/>
      <c r="AK41" s="1"/>
      <c r="AL41" s="1"/>
      <c r="AM41" s="1"/>
      <c r="AN41" s="1"/>
      <c r="AO41" s="1"/>
      <c r="AP41" s="1"/>
      <c r="AQ41" s="1"/>
      <c r="AR41" s="1"/>
      <c r="AS41" s="1"/>
    </row>
    <row r="42">
      <c r="A42" s="95" t="str">
        <f>IFERROR(__xludf.DUMMYFUNCTION("""COMPUTED_VALUE"""),"Viking")</f>
        <v>Viking</v>
      </c>
      <c r="B42" s="95" t="str">
        <f>IFERROR(__xludf.DUMMYFUNCTION("""COMPUTED_VALUE"""),"Warlock")</f>
        <v>Warlock</v>
      </c>
      <c r="C42" s="95" t="str">
        <f>IFERROR(__xludf.DUMMYFUNCTION("""COMPUTED_VALUE"""),"Rank 9 Dark, Melee, and Physical")</f>
        <v>Rank 9 Dark, Melee, and Physical</v>
      </c>
      <c r="D42" s="95" t="str">
        <f>IFERROR(__xludf.DUMMYFUNCTION("""COMPUTED_VALUE"""),"Immune to Dark and Chaos.")</f>
        <v>Immune to Dark and Chaos.</v>
      </c>
      <c r="E42" s="95" t="str">
        <f>IFERROR(__xludf.DUMMYFUNCTION("""COMPUTED_VALUE"""),"Immunity to instant death.")</f>
        <v>Immunity to instant death.</v>
      </c>
      <c r="F42" s="9" t="str">
        <f>IFERROR(__xludf.DUMMYFUNCTION("""COMPUTED_VALUE"""),"50% Chance to Parry a weapon attack that is targeting you.")</f>
        <v>50% Chance to Parry a weapon attack that is targeting you.</v>
      </c>
      <c r="G42" s="9"/>
      <c r="H42" s="1"/>
      <c r="I42" s="1"/>
      <c r="J42" s="1"/>
      <c r="K42" s="1"/>
      <c r="L42" s="1"/>
      <c r="M42" s="1"/>
      <c r="N42" s="1"/>
      <c r="O42" s="1"/>
      <c r="P42" s="1"/>
      <c r="Q42" s="1"/>
      <c r="R42" s="1"/>
      <c r="S42" s="1"/>
      <c r="T42" s="1"/>
      <c r="U42" s="1"/>
      <c r="V42" s="1">
        <f>IFERROR(__xludf.DUMMYFUNCTION("""COMPUTED_VALUE"""),0.0)</f>
        <v>0</v>
      </c>
      <c r="W42" s="1"/>
      <c r="X42" s="1"/>
      <c r="Y42" s="1"/>
      <c r="Z42" s="1"/>
      <c r="AA42" s="1"/>
      <c r="AB42" s="1">
        <f>IFERROR(__xludf.DUMMYFUNCTION("""COMPUTED_VALUE"""),9.0)</f>
        <v>9</v>
      </c>
      <c r="AC42" s="1"/>
      <c r="AD42" s="1"/>
      <c r="AE42" s="1"/>
      <c r="AF42" s="1"/>
      <c r="AG42" s="1">
        <f>IFERROR(__xludf.DUMMYFUNCTION("""COMPUTED_VALUE"""),9.0)</f>
        <v>9</v>
      </c>
      <c r="AH42" s="1">
        <f>IFERROR(__xludf.DUMMYFUNCTION("""COMPUTED_VALUE"""),9.0)</f>
        <v>9</v>
      </c>
      <c r="AI42" s="1"/>
      <c r="AJ42" s="1"/>
      <c r="AK42" s="1"/>
      <c r="AL42" s="1"/>
      <c r="AM42" s="1"/>
      <c r="AN42" s="1"/>
      <c r="AO42" s="1"/>
      <c r="AP42" s="1"/>
      <c r="AQ42" s="1"/>
      <c r="AR42" s="1"/>
      <c r="AS42" s="1"/>
    </row>
    <row r="43">
      <c r="A43" s="95" t="str">
        <f>IFERROR(__xludf.DUMMYFUNCTION("""COMPUTED_VALUE"""),"Warrior")</f>
        <v>Warrior</v>
      </c>
      <c r="B43" s="95" t="str">
        <f>IFERROR(__xludf.DUMMYFUNCTION("""COMPUTED_VALUE"""),"Soldier")</f>
        <v>Soldier</v>
      </c>
      <c r="C43" s="95" t="str">
        <f>IFERROR(__xludf.DUMMYFUNCTION("""COMPUTED_VALUE"""),"Rank 9 Melee, Physical, Ranged")</f>
        <v>Rank 9 Melee, Physical, Ranged</v>
      </c>
      <c r="D43" s="95" t="str">
        <f>IFERROR(__xludf.DUMMYFUNCTION("""COMPUTED_VALUE"""),"X2 damage to weapons.")</f>
        <v>X2 damage to weapons.</v>
      </c>
      <c r="E43" s="95" t="str">
        <f>IFERROR(__xludf.DUMMYFUNCTION("""COMPUTED_VALUE"""),"X2 defense")</f>
        <v>X2 defense</v>
      </c>
      <c r="F43" s="9" t="str">
        <f>IFERROR(__xludf.DUMMYFUNCTION("""COMPUTED_VALUE"""),"Can use mobility when attacking with a weapon and dodging a Hit/Miss weapon attack.")</f>
        <v>Can use mobility when attacking with a weapon and dodging a Hit/Miss weapon attack.</v>
      </c>
      <c r="G43" s="9"/>
      <c r="H43" s="1"/>
      <c r="I43" s="1"/>
      <c r="J43" s="1"/>
      <c r="K43" s="1"/>
      <c r="L43" s="1"/>
      <c r="M43" s="1"/>
      <c r="N43" s="1"/>
      <c r="O43" s="1"/>
      <c r="P43" s="1"/>
      <c r="Q43" s="1"/>
      <c r="R43" s="1"/>
      <c r="S43" s="1"/>
      <c r="T43" s="1"/>
      <c r="U43" s="1"/>
      <c r="V43" s="1">
        <f>IFERROR(__xludf.DUMMYFUNCTION("""COMPUTED_VALUE"""),0.0)</f>
        <v>0</v>
      </c>
      <c r="W43" s="1"/>
      <c r="X43" s="1"/>
      <c r="Y43" s="1"/>
      <c r="Z43" s="1"/>
      <c r="AA43" s="1"/>
      <c r="AB43" s="1"/>
      <c r="AC43" s="1"/>
      <c r="AD43" s="1"/>
      <c r="AE43" s="1"/>
      <c r="AF43" s="1"/>
      <c r="AG43" s="1">
        <f>IFERROR(__xludf.DUMMYFUNCTION("""COMPUTED_VALUE"""),9.0)</f>
        <v>9</v>
      </c>
      <c r="AH43" s="1">
        <f>IFERROR(__xludf.DUMMYFUNCTION("""COMPUTED_VALUE"""),9.0)</f>
        <v>9</v>
      </c>
      <c r="AI43" s="1">
        <f>IFERROR(__xludf.DUMMYFUNCTION("""COMPUTED_VALUE"""),9.0)</f>
        <v>9</v>
      </c>
      <c r="AJ43" s="1"/>
      <c r="AK43" s="1"/>
      <c r="AL43" s="1"/>
      <c r="AM43" s="1"/>
      <c r="AN43" s="1"/>
      <c r="AO43" s="1"/>
      <c r="AP43" s="1"/>
      <c r="AQ43" s="1"/>
      <c r="AR43" s="1"/>
      <c r="AS43" s="1"/>
    </row>
    <row r="44">
      <c r="A44" s="9" t="str">
        <f>IFERROR(__xludf.DUMMYFUNCTION("""COMPUTED_VALUE"""),"WeaponMaster")</f>
        <v>WeaponMaster</v>
      </c>
      <c r="B44" s="9" t="str">
        <f>IFERROR(__xludf.DUMMYFUNCTION("""COMPUTED_VALUE"""),"Weapon Purist")</f>
        <v>Weapon Purist</v>
      </c>
      <c r="C44" s="9" t="str">
        <f>IFERROR(__xludf.DUMMYFUNCTION("""COMPUTED_VALUE"""),"Rank 9 Physical, Ranged, Melee")</f>
        <v>Rank 9 Physical, Ranged, Melee</v>
      </c>
      <c r="D44" s="1" t="str">
        <f>IFERROR(__xludf.DUMMYFUNCTION("""COMPUTED_VALUE"""),"Add mobility when attacking with a weapon.")</f>
        <v>Add mobility when attacking with a weapon.</v>
      </c>
      <c r="E44" s="9" t="str">
        <f>IFERROR(__xludf.DUMMYFUNCTION("""COMPUTED_VALUE"""),"X4 damage to all weapons for the user.")</f>
        <v>X4 damage to all weapons for the user.</v>
      </c>
      <c r="F44" s="9" t="str">
        <f>IFERROR(__xludf.DUMMYFUNCTION("""COMPUTED_VALUE"""),"Immune to Weapon damage, Cannot resist or be immune to Spell Attacks.")</f>
        <v>Immune to Weapon damage, Cannot resist or be immune to Spell Attacks.</v>
      </c>
      <c r="G44" s="9"/>
      <c r="H44" s="1"/>
      <c r="I44" s="1"/>
      <c r="J44" s="1"/>
      <c r="K44" s="1"/>
      <c r="L44" s="1"/>
      <c r="M44" s="1"/>
      <c r="N44" s="1"/>
      <c r="O44" s="1"/>
      <c r="P44" s="1"/>
      <c r="Q44" s="1"/>
      <c r="R44" s="1"/>
      <c r="S44" s="1"/>
      <c r="T44" s="1"/>
      <c r="U44" s="1"/>
      <c r="V44" s="1">
        <f>IFERROR(__xludf.DUMMYFUNCTION("""COMPUTED_VALUE"""),0.0)</f>
        <v>0</v>
      </c>
      <c r="W44" s="1"/>
      <c r="X44" s="1"/>
      <c r="Y44" s="1"/>
      <c r="Z44" s="1"/>
      <c r="AA44" s="1"/>
      <c r="AB44" s="1"/>
      <c r="AC44" s="1"/>
      <c r="AD44" s="1"/>
      <c r="AE44" s="1"/>
      <c r="AF44" s="1"/>
      <c r="AG44" s="1">
        <f>IFERROR(__xludf.DUMMYFUNCTION("""COMPUTED_VALUE"""),9.0)</f>
        <v>9</v>
      </c>
      <c r="AH44" s="1">
        <f>IFERROR(__xludf.DUMMYFUNCTION("""COMPUTED_VALUE"""),9.0)</f>
        <v>9</v>
      </c>
      <c r="AI44" s="1">
        <f>IFERROR(__xludf.DUMMYFUNCTION("""COMPUTED_VALUE"""),9.0)</f>
        <v>9</v>
      </c>
      <c r="AJ44" s="1"/>
      <c r="AK44" s="1"/>
      <c r="AL44" s="1"/>
      <c r="AM44" s="1"/>
      <c r="AN44" s="1"/>
      <c r="AO44" s="1"/>
      <c r="AP44" s="1"/>
      <c r="AQ44" s="1"/>
      <c r="AR44" s="1"/>
      <c r="AS44" s="1"/>
    </row>
    <row r="45">
      <c r="A45" s="9" t="str">
        <f>IFERROR(__xludf.DUMMYFUNCTION("""COMPUTED_VALUE"""),"Witch")</f>
        <v>Witch</v>
      </c>
      <c r="B45" s="9" t="str">
        <f>IFERROR(__xludf.DUMMYFUNCTION("""COMPUTED_VALUE"""),"Hag")</f>
        <v>Hag</v>
      </c>
      <c r="C45" s="9" t="str">
        <f>IFERROR(__xludf.DUMMYFUNCTION("""COMPUTED_VALUE"""),"Rank 9 in all Elements (excluding Zen and Acoustic)")</f>
        <v>Rank 9 in all Elements (excluding Zen and Acoustic)</v>
      </c>
      <c r="D45" s="9" t="str">
        <f>IFERROR(__xludf.DUMMYFUNCTION("""COMPUTED_VALUE"""),"Potions have double their normal effectiveness.")</f>
        <v>Potions have double their normal effectiveness.</v>
      </c>
      <c r="E45" s="9" t="str">
        <f>IFERROR(__xludf.DUMMYFUNCTION("""COMPUTED_VALUE"""),"Immune to enemy status effects.")</f>
        <v>Immune to enemy status effects.</v>
      </c>
      <c r="F45" s="9" t="str">
        <f>IFERROR(__xludf.DUMMYFUNCTION("""COMPUTED_VALUE"""),"Herbs have double their normal effectiveness.")</f>
        <v>Herbs have double their normal effectiveness.</v>
      </c>
      <c r="G45" s="9"/>
      <c r="H45" s="1"/>
      <c r="I45" s="1"/>
      <c r="J45" s="1"/>
      <c r="K45" s="1"/>
      <c r="L45" s="1"/>
      <c r="M45" s="1"/>
      <c r="N45" s="1"/>
      <c r="O45" s="1"/>
      <c r="P45" s="1"/>
      <c r="Q45" s="1"/>
      <c r="R45" s="1"/>
      <c r="S45" s="1"/>
      <c r="T45" s="1"/>
      <c r="U45" s="1"/>
      <c r="V45" s="1">
        <f>IFERROR(__xludf.DUMMYFUNCTION("""COMPUTED_VALUE"""),0.0)</f>
        <v>0</v>
      </c>
      <c r="W45" s="1">
        <f>IFERROR(__xludf.DUMMYFUNCTION("""COMPUTED_VALUE"""),9.0)</f>
        <v>9</v>
      </c>
      <c r="X45" s="1">
        <f>IFERROR(__xludf.DUMMYFUNCTION("""COMPUTED_VALUE"""),9.0)</f>
        <v>9</v>
      </c>
      <c r="Y45" s="1">
        <f>IFERROR(__xludf.DUMMYFUNCTION("""COMPUTED_VALUE"""),9.0)</f>
        <v>9</v>
      </c>
      <c r="Z45" s="1">
        <f>IFERROR(__xludf.DUMMYFUNCTION("""COMPUTED_VALUE"""),9.0)</f>
        <v>9</v>
      </c>
      <c r="AA45" s="1">
        <f>IFERROR(__xludf.DUMMYFUNCTION("""COMPUTED_VALUE"""),9.0)</f>
        <v>9</v>
      </c>
      <c r="AB45" s="1">
        <f>IFERROR(__xludf.DUMMYFUNCTION("""COMPUTED_VALUE"""),9.0)</f>
        <v>9</v>
      </c>
      <c r="AC45" s="1">
        <f>IFERROR(__xludf.DUMMYFUNCTION("""COMPUTED_VALUE"""),9.0)</f>
        <v>9</v>
      </c>
      <c r="AD45" s="1">
        <f>IFERROR(__xludf.DUMMYFUNCTION("""COMPUTED_VALUE"""),9.0)</f>
        <v>9</v>
      </c>
      <c r="AE45" s="1">
        <f>IFERROR(__xludf.DUMMYFUNCTION("""COMPUTED_VALUE"""),9.0)</f>
        <v>9</v>
      </c>
      <c r="AF45" s="1">
        <f>IFERROR(__xludf.DUMMYFUNCTION("""COMPUTED_VALUE"""),9.0)</f>
        <v>9</v>
      </c>
      <c r="AG45" s="1">
        <f>IFERROR(__xludf.DUMMYFUNCTION("""COMPUTED_VALUE"""),9.0)</f>
        <v>9</v>
      </c>
      <c r="AH45" s="1">
        <f>IFERROR(__xludf.DUMMYFUNCTION("""COMPUTED_VALUE"""),9.0)</f>
        <v>9</v>
      </c>
      <c r="AI45" s="1">
        <f>IFERROR(__xludf.DUMMYFUNCTION("""COMPUTED_VALUE"""),9.0)</f>
        <v>9</v>
      </c>
      <c r="AJ45" s="1">
        <f>IFERROR(__xludf.DUMMYFUNCTION("""COMPUTED_VALUE"""),9.0)</f>
        <v>9</v>
      </c>
      <c r="AK45" s="1">
        <f>IFERROR(__xludf.DUMMYFUNCTION("""COMPUTED_VALUE"""),9.0)</f>
        <v>9</v>
      </c>
      <c r="AL45" s="1">
        <f>IFERROR(__xludf.DUMMYFUNCTION("""COMPUTED_VALUE"""),9.0)</f>
        <v>9</v>
      </c>
      <c r="AM45" s="1">
        <f>IFERROR(__xludf.DUMMYFUNCTION("""COMPUTED_VALUE"""),9.0)</f>
        <v>9</v>
      </c>
      <c r="AN45" s="1">
        <f>IFERROR(__xludf.DUMMYFUNCTION("""COMPUTED_VALUE"""),9.0)</f>
        <v>9</v>
      </c>
      <c r="AO45" s="1"/>
      <c r="AP45" s="1"/>
      <c r="AQ45" s="1">
        <f>IFERROR(__xludf.DUMMYFUNCTION("""COMPUTED_VALUE"""),9.0)</f>
        <v>9</v>
      </c>
      <c r="AR45" s="1"/>
      <c r="AS45" s="1"/>
    </row>
    <row r="46">
      <c r="A46" s="9" t="str">
        <f>IFERROR(__xludf.DUMMYFUNCTION("""COMPUTED_VALUE"""),"Wizard")</f>
        <v>Wizard</v>
      </c>
      <c r="B46" s="9" t="str">
        <f>IFERROR(__xludf.DUMMYFUNCTION("""COMPUTED_VALUE"""),"Elemental Wizard")</f>
        <v>Elemental Wizard</v>
      </c>
      <c r="C46" s="9" t="str">
        <f>IFERROR(__xludf.DUMMYFUNCTION("""COMPUTED_VALUE"""),"Rank 9 in all Elements (excluding Zen and Acoustic)")</f>
        <v>Rank 9 in all Elements (excluding Zen and Acoustic)</v>
      </c>
      <c r="D46" s="9" t="str">
        <f>IFERROR(__xludf.DUMMYFUNCTION("""COMPUTED_VALUE"""),"X4 to spell damage for the user.")</f>
        <v>X4 to spell damage for the user.</v>
      </c>
      <c r="E46" s="9" t="str">
        <f>IFERROR(__xludf.DUMMYFUNCTION("""COMPUTED_VALUE"""),"Immune to Fire, Water, Nature, Storm, and Earth Damage.")</f>
        <v>Immune to Fire, Water, Nature, Storm, and Earth Damage.</v>
      </c>
      <c r="F46" s="9" t="str">
        <f>IFERROR(__xludf.DUMMYFUNCTION("""COMPUTED_VALUE"""),"Can use mobility when using a Hit/Miss Spell attack.")</f>
        <v>Can use mobility when using a Hit/Miss Spell attack.</v>
      </c>
      <c r="G46" s="9"/>
      <c r="H46" s="1"/>
      <c r="I46" s="1"/>
      <c r="J46" s="1"/>
      <c r="K46" s="1"/>
      <c r="L46" s="1"/>
      <c r="M46" s="1"/>
      <c r="N46" s="1"/>
      <c r="O46" s="1"/>
      <c r="P46" s="1"/>
      <c r="Q46" s="1"/>
      <c r="R46" s="1"/>
      <c r="S46" s="1"/>
      <c r="T46" s="1"/>
      <c r="U46" s="1"/>
      <c r="V46" s="1">
        <f>IFERROR(__xludf.DUMMYFUNCTION("""COMPUTED_VALUE"""),0.0)</f>
        <v>0</v>
      </c>
      <c r="W46" s="1">
        <f>IFERROR(__xludf.DUMMYFUNCTION("""COMPUTED_VALUE"""),9.0)</f>
        <v>9</v>
      </c>
      <c r="X46" s="1">
        <f>IFERROR(__xludf.DUMMYFUNCTION("""COMPUTED_VALUE"""),9.0)</f>
        <v>9</v>
      </c>
      <c r="Y46" s="1">
        <f>IFERROR(__xludf.DUMMYFUNCTION("""COMPUTED_VALUE"""),9.0)</f>
        <v>9</v>
      </c>
      <c r="Z46" s="1">
        <f>IFERROR(__xludf.DUMMYFUNCTION("""COMPUTED_VALUE"""),9.0)</f>
        <v>9</v>
      </c>
      <c r="AA46" s="1">
        <f>IFERROR(__xludf.DUMMYFUNCTION("""COMPUTED_VALUE"""),9.0)</f>
        <v>9</v>
      </c>
      <c r="AB46" s="1">
        <f>IFERROR(__xludf.DUMMYFUNCTION("""COMPUTED_VALUE"""),9.0)</f>
        <v>9</v>
      </c>
      <c r="AC46" s="1">
        <f>IFERROR(__xludf.DUMMYFUNCTION("""COMPUTED_VALUE"""),9.0)</f>
        <v>9</v>
      </c>
      <c r="AD46" s="1">
        <f>IFERROR(__xludf.DUMMYFUNCTION("""COMPUTED_VALUE"""),9.0)</f>
        <v>9</v>
      </c>
      <c r="AE46" s="1">
        <f>IFERROR(__xludf.DUMMYFUNCTION("""COMPUTED_VALUE"""),9.0)</f>
        <v>9</v>
      </c>
      <c r="AF46" s="1">
        <f>IFERROR(__xludf.DUMMYFUNCTION("""COMPUTED_VALUE"""),9.0)</f>
        <v>9</v>
      </c>
      <c r="AG46" s="1">
        <f>IFERROR(__xludf.DUMMYFUNCTION("""COMPUTED_VALUE"""),9.0)</f>
        <v>9</v>
      </c>
      <c r="AH46" s="1">
        <f>IFERROR(__xludf.DUMMYFUNCTION("""COMPUTED_VALUE"""),9.0)</f>
        <v>9</v>
      </c>
      <c r="AI46" s="1">
        <f>IFERROR(__xludf.DUMMYFUNCTION("""COMPUTED_VALUE"""),9.0)</f>
        <v>9</v>
      </c>
      <c r="AJ46" s="1">
        <f>IFERROR(__xludf.DUMMYFUNCTION("""COMPUTED_VALUE"""),9.0)</f>
        <v>9</v>
      </c>
      <c r="AK46" s="1">
        <f>IFERROR(__xludf.DUMMYFUNCTION("""COMPUTED_VALUE"""),9.0)</f>
        <v>9</v>
      </c>
      <c r="AL46" s="1">
        <f>IFERROR(__xludf.DUMMYFUNCTION("""COMPUTED_VALUE"""),9.0)</f>
        <v>9</v>
      </c>
      <c r="AM46" s="1">
        <f>IFERROR(__xludf.DUMMYFUNCTION("""COMPUTED_VALUE"""),9.0)</f>
        <v>9</v>
      </c>
      <c r="AN46" s="1">
        <f>IFERROR(__xludf.DUMMYFUNCTION("""COMPUTED_VALUE"""),9.0)</f>
        <v>9</v>
      </c>
      <c r="AO46" s="1"/>
      <c r="AP46" s="1"/>
      <c r="AQ46" s="1">
        <f>IFERROR(__xludf.DUMMYFUNCTION("""COMPUTED_VALUE"""),9.0)</f>
        <v>9</v>
      </c>
      <c r="AR46" s="1"/>
      <c r="AS46" s="1"/>
    </row>
    <row r="47">
      <c r="A47" s="9"/>
      <c r="B47" s="9"/>
      <c r="C47" s="9"/>
      <c r="D47" s="9"/>
      <c r="E47" s="9"/>
      <c r="F47" s="9"/>
      <c r="G47" s="9"/>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row>
    <row r="48">
      <c r="A48" s="9"/>
      <c r="B48" s="9"/>
      <c r="C48" s="9"/>
      <c r="D48" s="9"/>
      <c r="E48" s="9"/>
      <c r="F48" s="9"/>
      <c r="G48" s="9"/>
      <c r="H48" s="1"/>
      <c r="I48" s="1"/>
      <c r="J48" s="1"/>
      <c r="K48" s="1"/>
      <c r="L48" s="1"/>
      <c r="M48" s="1"/>
      <c r="N48" s="1"/>
      <c r="O48" s="1"/>
      <c r="P48" s="1"/>
      <c r="Q48" s="1"/>
      <c r="R48" s="1"/>
      <c r="S48" s="1"/>
      <c r="T48" s="1"/>
      <c r="U48" s="1"/>
      <c r="V48" s="1">
        <f>IFERROR(__xludf.DUMMYFUNCTION("""COMPUTED_VALUE"""),0.0)</f>
        <v>0</v>
      </c>
      <c r="W48" s="1"/>
      <c r="X48" s="1"/>
      <c r="Y48" s="1"/>
      <c r="Z48" s="1"/>
      <c r="AA48" s="1"/>
      <c r="AB48" s="1"/>
      <c r="AC48" s="1">
        <f>IFERROR(__xludf.DUMMYFUNCTION("""COMPUTED_VALUE"""),9.0)</f>
        <v>9</v>
      </c>
      <c r="AD48" s="1"/>
      <c r="AE48" s="1"/>
      <c r="AF48" s="1"/>
      <c r="AG48" s="1"/>
      <c r="AH48" s="1"/>
      <c r="AI48" s="1"/>
      <c r="AJ48" s="1"/>
      <c r="AK48" s="1"/>
      <c r="AL48" s="1"/>
      <c r="AM48" s="1"/>
      <c r="AN48" s="1"/>
      <c r="AO48" s="1"/>
      <c r="AP48" s="1"/>
      <c r="AQ48" s="1">
        <f>IFERROR(__xludf.DUMMYFUNCTION("""COMPUTED_VALUE"""),9.0)</f>
        <v>9</v>
      </c>
      <c r="AR48" s="1"/>
      <c r="AS48" s="1"/>
    </row>
    <row r="49">
      <c r="A49" s="9"/>
      <c r="B49" s="9"/>
      <c r="C49" s="9"/>
      <c r="D49" s="9"/>
      <c r="E49" s="9"/>
      <c r="F49" s="9"/>
      <c r="G49" s="9"/>
      <c r="H49" s="1"/>
      <c r="I49" s="1"/>
      <c r="J49" s="1"/>
      <c r="K49" s="1"/>
      <c r="L49" s="1"/>
      <c r="M49" s="1"/>
      <c r="N49" s="1"/>
      <c r="O49" s="1"/>
      <c r="P49" s="1"/>
      <c r="Q49" s="1"/>
      <c r="R49" s="1"/>
      <c r="S49" s="1"/>
      <c r="T49" s="1"/>
      <c r="U49" s="1"/>
      <c r="V49" s="1">
        <f>IFERROR(__xludf.DUMMYFUNCTION("""COMPUTED_VALUE"""),0.0)</f>
        <v>0</v>
      </c>
      <c r="W49" s="1"/>
      <c r="X49" s="1"/>
      <c r="Y49" s="1"/>
      <c r="Z49" s="1"/>
      <c r="AA49" s="1"/>
      <c r="AB49" s="1"/>
      <c r="AC49" s="1">
        <f>IFERROR(__xludf.DUMMYFUNCTION("""COMPUTED_VALUE"""),9.0)</f>
        <v>9</v>
      </c>
      <c r="AD49" s="1"/>
      <c r="AE49" s="1"/>
      <c r="AF49" s="1"/>
      <c r="AG49" s="1"/>
      <c r="AH49" s="1"/>
      <c r="AI49" s="1"/>
      <c r="AJ49" s="1"/>
      <c r="AK49" s="1"/>
      <c r="AL49" s="1"/>
      <c r="AM49" s="1"/>
      <c r="AN49" s="1"/>
      <c r="AO49" s="1"/>
      <c r="AP49" s="1"/>
      <c r="AQ49" s="1"/>
      <c r="AR49" s="1">
        <f>IFERROR(__xludf.DUMMYFUNCTION("""COMPUTED_VALUE"""),6.0)</f>
        <v>6</v>
      </c>
      <c r="AS49" s="1"/>
    </row>
    <row r="50">
      <c r="A50" s="9"/>
      <c r="B50" s="9"/>
      <c r="C50" s="9"/>
      <c r="D50" s="9"/>
      <c r="E50" s="9"/>
      <c r="F50" s="9"/>
      <c r="G50" s="9"/>
      <c r="H50" s="1"/>
      <c r="I50" s="1"/>
      <c r="J50" s="1"/>
      <c r="K50" s="1"/>
      <c r="L50" s="1"/>
      <c r="M50" s="1"/>
      <c r="N50" s="1"/>
      <c r="O50" s="1"/>
      <c r="P50" s="1"/>
      <c r="Q50" s="1"/>
      <c r="R50" s="1"/>
      <c r="S50" s="1"/>
      <c r="T50" s="1"/>
      <c r="U50" s="1"/>
      <c r="V50" s="1"/>
      <c r="W50" s="1">
        <f>IFERROR(__xludf.DUMMYFUNCTION("""COMPUTED_VALUE"""),9.0)</f>
        <v>9</v>
      </c>
      <c r="X50" s="1">
        <f>IFERROR(__xludf.DUMMYFUNCTION("""COMPUTED_VALUE"""),9.0)</f>
        <v>9</v>
      </c>
      <c r="Y50" s="1">
        <f>IFERROR(__xludf.DUMMYFUNCTION("""COMPUTED_VALUE"""),9.0)</f>
        <v>9</v>
      </c>
      <c r="Z50" s="1">
        <f>IFERROR(__xludf.DUMMYFUNCTION("""COMPUTED_VALUE"""),9.0)</f>
        <v>9</v>
      </c>
      <c r="AA50" s="1"/>
      <c r="AB50" s="1"/>
      <c r="AC50" s="1">
        <f>IFERROR(__xludf.DUMMYFUNCTION("""COMPUTED_VALUE"""),9.0)</f>
        <v>9</v>
      </c>
      <c r="AD50" s="1"/>
      <c r="AE50" s="1"/>
      <c r="AF50" s="1">
        <f>IFERROR(__xludf.DUMMYFUNCTION("""COMPUTED_VALUE"""),9.0)</f>
        <v>9</v>
      </c>
      <c r="AG50" s="1"/>
      <c r="AH50" s="1"/>
      <c r="AI50" s="1"/>
      <c r="AJ50" s="1"/>
      <c r="AK50" s="1"/>
      <c r="AL50" s="1"/>
      <c r="AM50" s="1"/>
      <c r="AN50" s="1"/>
      <c r="AO50" s="1"/>
      <c r="AP50" s="1"/>
      <c r="AQ50" s="1"/>
      <c r="AR50" s="1"/>
      <c r="AS50" s="1"/>
    </row>
    <row r="51">
      <c r="A51" s="9"/>
      <c r="B51" s="9"/>
      <c r="C51" s="9"/>
      <c r="D51" s="9"/>
      <c r="E51" s="9"/>
      <c r="F51" s="9"/>
      <c r="G51" s="9"/>
      <c r="H51" s="1"/>
      <c r="I51" s="1"/>
      <c r="J51" s="1"/>
      <c r="K51" s="1"/>
      <c r="L51" s="1"/>
      <c r="M51" s="1"/>
      <c r="N51" s="1"/>
      <c r="O51" s="1"/>
      <c r="P51" s="1"/>
      <c r="Q51" s="1"/>
      <c r="R51" s="1"/>
      <c r="S51" s="1"/>
      <c r="T51" s="1"/>
      <c r="U51" s="1"/>
      <c r="V51" s="1"/>
      <c r="W51" s="1"/>
      <c r="X51" s="1"/>
      <c r="Y51" s="1"/>
      <c r="Z51" s="1"/>
      <c r="AA51" s="1"/>
      <c r="AB51" s="1">
        <f>IFERROR(__xludf.DUMMYFUNCTION("""COMPUTED_VALUE"""),9.0)</f>
        <v>9</v>
      </c>
      <c r="AC51" s="1">
        <f>IFERROR(__xludf.DUMMYFUNCTION("""COMPUTED_VALUE"""),9.0)</f>
        <v>9</v>
      </c>
      <c r="AD51" s="1"/>
      <c r="AE51" s="1">
        <f>IFERROR(__xludf.DUMMYFUNCTION("""COMPUTED_VALUE"""),9.0)</f>
        <v>9</v>
      </c>
      <c r="AF51" s="1"/>
      <c r="AG51" s="1"/>
      <c r="AH51" s="1"/>
      <c r="AI51" s="1"/>
      <c r="AJ51" s="1"/>
      <c r="AK51" s="1"/>
      <c r="AL51" s="1">
        <f>IFERROR(__xludf.DUMMYFUNCTION("""COMPUTED_VALUE"""),9.0)</f>
        <v>9</v>
      </c>
      <c r="AM51" s="1"/>
      <c r="AN51" s="1"/>
      <c r="AO51" s="1"/>
      <c r="AP51" s="1"/>
      <c r="AQ51" s="1"/>
      <c r="AR51" s="1"/>
      <c r="AS51" s="1"/>
    </row>
    <row r="52">
      <c r="A52" s="9"/>
      <c r="B52" s="9"/>
      <c r="C52" s="9"/>
      <c r="D52" s="9"/>
      <c r="E52" s="9"/>
      <c r="F52" s="9"/>
      <c r="G52" s="9"/>
      <c r="H52" s="1"/>
      <c r="I52" s="1"/>
      <c r="J52" s="1"/>
      <c r="K52" s="1"/>
      <c r="L52" s="1"/>
      <c r="M52" s="1"/>
      <c r="N52" s="1"/>
      <c r="O52" s="1"/>
      <c r="P52" s="1"/>
      <c r="Q52" s="1"/>
      <c r="R52" s="1"/>
      <c r="S52" s="1"/>
      <c r="T52" s="1"/>
      <c r="U52" s="1"/>
      <c r="V52" s="1">
        <f>IFERROR(__xludf.DUMMYFUNCTION("""COMPUTED_VALUE"""),0.0)</f>
        <v>0</v>
      </c>
      <c r="W52" s="1"/>
      <c r="X52" s="1"/>
      <c r="Y52" s="1"/>
      <c r="Z52" s="1"/>
      <c r="AA52" s="1"/>
      <c r="AB52" s="1"/>
      <c r="AC52" s="1"/>
      <c r="AD52" s="1">
        <f>IFERROR(__xludf.DUMMYFUNCTION("""COMPUTED_VALUE"""),9.0)</f>
        <v>9</v>
      </c>
      <c r="AE52" s="1"/>
      <c r="AF52" s="1">
        <f>IFERROR(__xludf.DUMMYFUNCTION("""COMPUTED_VALUE"""),9.0)</f>
        <v>9</v>
      </c>
      <c r="AG52" s="1">
        <f>IFERROR(__xludf.DUMMYFUNCTION("""COMPUTED_VALUE"""),9.0)</f>
        <v>9</v>
      </c>
      <c r="AH52" s="1">
        <f>IFERROR(__xludf.DUMMYFUNCTION("""COMPUTED_VALUE"""),9.0)</f>
        <v>9</v>
      </c>
      <c r="AI52" s="1"/>
      <c r="AJ52" s="1"/>
      <c r="AK52" s="1"/>
      <c r="AL52" s="1"/>
      <c r="AM52" s="1"/>
      <c r="AN52" s="1"/>
      <c r="AO52" s="1">
        <f>IFERROR(__xludf.DUMMYFUNCTION("""COMPUTED_VALUE"""),9.0)</f>
        <v>9</v>
      </c>
      <c r="AP52" s="1"/>
      <c r="AQ52" s="1"/>
      <c r="AR52" s="1"/>
      <c r="AS52" s="1"/>
    </row>
    <row r="53">
      <c r="A53" s="9"/>
      <c r="B53" s="9"/>
      <c r="C53" s="9"/>
      <c r="D53" s="9"/>
      <c r="E53" s="9"/>
      <c r="F53" s="9"/>
      <c r="G53" s="9"/>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row>
    <row r="54">
      <c r="A54" s="9"/>
      <c r="B54" s="9"/>
      <c r="C54" s="9"/>
      <c r="D54" s="9"/>
      <c r="E54" s="9"/>
      <c r="F54" s="9"/>
      <c r="G54" s="9"/>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row>
    <row r="55">
      <c r="A55" s="9"/>
      <c r="B55" s="9"/>
      <c r="C55" s="9"/>
      <c r="D55" s="9"/>
      <c r="E55" s="9"/>
      <c r="F55" s="9"/>
      <c r="G55" s="9"/>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row>
    <row r="56">
      <c r="A56" s="9"/>
      <c r="B56" s="9"/>
      <c r="C56" s="9"/>
      <c r="D56" s="9"/>
      <c r="E56" s="9"/>
      <c r="F56" s="9"/>
      <c r="G56" s="9"/>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row>
    <row r="57">
      <c r="A57" s="9"/>
      <c r="B57" s="9"/>
      <c r="C57" s="9"/>
      <c r="D57" s="9"/>
      <c r="E57" s="9"/>
      <c r="F57" s="9"/>
      <c r="G57" s="9"/>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row>
    <row r="58">
      <c r="A58" s="9"/>
      <c r="B58" s="9"/>
      <c r="C58" s="9"/>
      <c r="D58" s="9"/>
      <c r="E58" s="9"/>
      <c r="F58" s="9"/>
      <c r="G58" s="9"/>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row>
    <row r="59">
      <c r="A59" s="9"/>
      <c r="B59" s="9"/>
      <c r="C59" s="9"/>
      <c r="D59" s="9"/>
      <c r="E59" s="9"/>
      <c r="F59" s="9"/>
      <c r="G59" s="9"/>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row>
    <row r="60">
      <c r="A60" s="9"/>
      <c r="B60" s="9"/>
      <c r="C60" s="9"/>
      <c r="D60" s="9"/>
      <c r="E60" s="9"/>
      <c r="F60" s="9"/>
      <c r="G60" s="9"/>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row>
    <row r="61">
      <c r="A61" s="9"/>
      <c r="B61" s="9"/>
      <c r="C61" s="9"/>
      <c r="D61" s="9"/>
      <c r="E61" s="9"/>
      <c r="F61" s="9"/>
      <c r="G61" s="9"/>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row>
    <row r="62">
      <c r="A62" s="9"/>
      <c r="B62" s="9"/>
      <c r="C62" s="9"/>
      <c r="D62" s="9"/>
      <c r="E62" s="9"/>
      <c r="F62" s="9"/>
      <c r="G62" s="9"/>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row>
    <row r="63">
      <c r="A63" s="9"/>
      <c r="B63" s="9"/>
      <c r="C63" s="9"/>
      <c r="D63" s="9"/>
      <c r="E63" s="9"/>
      <c r="F63" s="9"/>
      <c r="G63" s="9"/>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row>
    <row r="64">
      <c r="A64" s="9"/>
      <c r="B64" s="9"/>
      <c r="C64" s="9"/>
      <c r="D64" s="9"/>
      <c r="E64" s="9"/>
      <c r="F64" s="9"/>
      <c r="G64" s="9"/>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row>
    <row r="65">
      <c r="A65" s="9"/>
      <c r="B65" s="9"/>
      <c r="C65" s="9"/>
      <c r="D65" s="9"/>
      <c r="E65" s="9"/>
      <c r="F65" s="9"/>
      <c r="G65" s="9"/>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row>
    <row r="66">
      <c r="A66" s="9"/>
      <c r="B66" s="9"/>
      <c r="C66" s="9"/>
      <c r="D66" s="9"/>
      <c r="E66" s="9"/>
      <c r="F66" s="9"/>
      <c r="G66" s="9"/>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row>
    <row r="67">
      <c r="A67" s="9"/>
      <c r="B67" s="9"/>
      <c r="C67" s="9"/>
      <c r="D67" s="9"/>
      <c r="E67" s="9"/>
      <c r="F67" s="9"/>
      <c r="G67" s="9"/>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row>
    <row r="68">
      <c r="A68" s="9"/>
      <c r="B68" s="9"/>
      <c r="C68" s="9"/>
      <c r="D68" s="9"/>
      <c r="E68" s="9"/>
      <c r="F68" s="9"/>
      <c r="G68" s="9"/>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row>
    <row r="69">
      <c r="A69" s="9"/>
      <c r="B69" s="9"/>
      <c r="C69" s="9"/>
      <c r="D69" s="9"/>
      <c r="E69" s="9"/>
      <c r="F69" s="9"/>
      <c r="G69" s="9"/>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row>
    <row r="70">
      <c r="A70" s="9"/>
      <c r="B70" s="9"/>
      <c r="C70" s="9"/>
      <c r="D70" s="9"/>
      <c r="E70" s="9"/>
      <c r="F70" s="9"/>
      <c r="G70" s="9"/>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row>
    <row r="71">
      <c r="A71" s="9"/>
      <c r="B71" s="9"/>
      <c r="C71" s="9"/>
      <c r="D71" s="9"/>
      <c r="E71" s="9"/>
      <c r="F71" s="9"/>
      <c r="G71" s="9"/>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row>
    <row r="72">
      <c r="A72" s="9"/>
      <c r="B72" s="9"/>
      <c r="C72" s="9"/>
      <c r="D72" s="9"/>
      <c r="E72" s="9"/>
      <c r="F72" s="9"/>
      <c r="G72" s="9"/>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row>
    <row r="73">
      <c r="A73" s="9"/>
      <c r="B73" s="9"/>
      <c r="C73" s="9"/>
      <c r="D73" s="9"/>
      <c r="E73" s="9"/>
      <c r="F73" s="9"/>
      <c r="G73" s="9"/>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row>
    <row r="74">
      <c r="A74" s="9"/>
      <c r="B74" s="9"/>
      <c r="C74" s="9"/>
      <c r="D74" s="9"/>
      <c r="E74" s="9"/>
      <c r="F74" s="9"/>
      <c r="G74" s="9"/>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row>
    <row r="75">
      <c r="A75" s="9"/>
      <c r="B75" s="9"/>
      <c r="C75" s="9"/>
      <c r="D75" s="9"/>
      <c r="E75" s="9"/>
      <c r="F75" s="9"/>
      <c r="G75" s="9"/>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row>
    <row r="76">
      <c r="A76" s="9"/>
      <c r="B76" s="9"/>
      <c r="C76" s="9"/>
      <c r="D76" s="9"/>
      <c r="E76" s="9"/>
      <c r="F76" s="9"/>
      <c r="G76" s="9"/>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row>
    <row r="77">
      <c r="A77" s="9"/>
      <c r="B77" s="9"/>
      <c r="C77" s="9"/>
      <c r="D77" s="9"/>
      <c r="E77" s="9"/>
      <c r="F77" s="9"/>
      <c r="G77" s="9"/>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row>
    <row r="78">
      <c r="A78" s="9"/>
      <c r="B78" s="9"/>
      <c r="C78" s="9"/>
      <c r="D78" s="9"/>
      <c r="E78" s="9"/>
      <c r="F78" s="9"/>
      <c r="G78" s="9"/>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row>
    <row r="79">
      <c r="A79" s="9"/>
      <c r="B79" s="9"/>
      <c r="C79" s="9"/>
      <c r="D79" s="9"/>
      <c r="E79" s="9"/>
      <c r="F79" s="9"/>
      <c r="G79" s="9"/>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row>
    <row r="80">
      <c r="A80" s="9"/>
      <c r="B80" s="9"/>
      <c r="C80" s="9"/>
      <c r="D80" s="9"/>
      <c r="E80" s="9"/>
      <c r="F80" s="9"/>
      <c r="G80" s="9"/>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row>
    <row r="81">
      <c r="A81" s="9"/>
      <c r="B81" s="9"/>
      <c r="C81" s="9"/>
      <c r="D81" s="9"/>
      <c r="E81" s="9"/>
      <c r="F81" s="9"/>
      <c r="G81" s="9"/>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row>
    <row r="82">
      <c r="A82" s="9"/>
      <c r="B82" s="9"/>
      <c r="C82" s="9"/>
      <c r="D82" s="9"/>
      <c r="E82" s="9"/>
      <c r="F82" s="9"/>
      <c r="G82" s="9"/>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row>
    <row r="83">
      <c r="A83" s="9"/>
      <c r="B83" s="9"/>
      <c r="C83" s="9"/>
      <c r="D83" s="9"/>
      <c r="E83" s="9"/>
      <c r="F83" s="9"/>
      <c r="G83" s="9"/>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row>
    <row r="84">
      <c r="A84" s="9"/>
      <c r="B84" s="9"/>
      <c r="C84" s="9"/>
      <c r="D84" s="9"/>
      <c r="E84" s="9"/>
      <c r="F84" s="9"/>
      <c r="G84" s="9"/>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row>
    <row r="85">
      <c r="A85" s="9"/>
      <c r="B85" s="9"/>
      <c r="C85" s="9"/>
      <c r="D85" s="9"/>
      <c r="E85" s="9"/>
      <c r="F85" s="9"/>
      <c r="G85" s="9"/>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row>
    <row r="86">
      <c r="A86" s="9"/>
      <c r="B86" s="9"/>
      <c r="C86" s="9"/>
      <c r="D86" s="9"/>
      <c r="E86" s="9"/>
      <c r="F86" s="9"/>
      <c r="G86" s="9"/>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row>
    <row r="87">
      <c r="A87" s="9"/>
      <c r="B87" s="9"/>
      <c r="C87" s="9"/>
      <c r="D87" s="9"/>
      <c r="E87" s="9"/>
      <c r="F87" s="9"/>
      <c r="G87" s="9"/>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row>
    <row r="88">
      <c r="A88" s="9"/>
      <c r="B88" s="9"/>
      <c r="C88" s="9"/>
      <c r="D88" s="9"/>
      <c r="E88" s="9"/>
      <c r="F88" s="9"/>
      <c r="G88" s="9"/>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row>
    <row r="89">
      <c r="A89" s="9"/>
      <c r="B89" s="9"/>
      <c r="C89" s="9"/>
      <c r="D89" s="9"/>
      <c r="E89" s="9"/>
      <c r="F89" s="9"/>
      <c r="G89" s="9"/>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row>
    <row r="90">
      <c r="A90" s="9"/>
      <c r="B90" s="9"/>
      <c r="C90" s="9"/>
      <c r="D90" s="9"/>
      <c r="E90" s="9"/>
      <c r="F90" s="9"/>
      <c r="G90" s="9"/>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row>
    <row r="91">
      <c r="A91" s="9"/>
      <c r="B91" s="9"/>
      <c r="C91" s="9"/>
      <c r="D91" s="9"/>
      <c r="E91" s="9"/>
      <c r="F91" s="9"/>
      <c r="G91" s="9"/>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row>
    <row r="92">
      <c r="A92" s="9"/>
      <c r="B92" s="9"/>
      <c r="C92" s="9"/>
      <c r="D92" s="9"/>
      <c r="E92" s="9"/>
      <c r="F92" s="9"/>
      <c r="G92" s="9"/>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row>
    <row r="93">
      <c r="A93" s="9"/>
      <c r="B93" s="9"/>
      <c r="C93" s="9"/>
      <c r="D93" s="9"/>
      <c r="E93" s="9"/>
      <c r="F93" s="9"/>
      <c r="G93" s="9"/>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row>
    <row r="94">
      <c r="A94" s="9"/>
      <c r="B94" s="9"/>
      <c r="C94" s="9"/>
      <c r="D94" s="9"/>
      <c r="E94" s="9"/>
      <c r="F94" s="9"/>
      <c r="G94" s="9"/>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row>
    <row r="95">
      <c r="A95" s="9"/>
      <c r="B95" s="9"/>
      <c r="C95" s="9"/>
      <c r="D95" s="9"/>
      <c r="E95" s="9"/>
      <c r="F95" s="9"/>
      <c r="G95" s="9"/>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row>
    <row r="96">
      <c r="A96" s="9"/>
      <c r="B96" s="9"/>
      <c r="C96" s="9"/>
      <c r="D96" s="9"/>
      <c r="E96" s="9"/>
      <c r="F96" s="9"/>
      <c r="G96" s="9"/>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row>
    <row r="97">
      <c r="A97" s="9"/>
      <c r="B97" s="9"/>
      <c r="C97" s="9"/>
      <c r="D97" s="9"/>
      <c r="E97" s="9"/>
      <c r="F97" s="9"/>
      <c r="G97" s="9"/>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row>
    <row r="98">
      <c r="A98" s="9"/>
      <c r="B98" s="9"/>
      <c r="C98" s="9"/>
      <c r="D98" s="9"/>
      <c r="E98" s="9"/>
      <c r="F98" s="9"/>
      <c r="G98" s="9"/>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row>
    <row r="99">
      <c r="A99" s="9"/>
      <c r="B99" s="9"/>
      <c r="C99" s="9"/>
      <c r="D99" s="9"/>
      <c r="E99" s="9"/>
      <c r="F99" s="9"/>
      <c r="G99" s="9"/>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row>
    <row r="100">
      <c r="A100" s="9"/>
      <c r="B100" s="9"/>
      <c r="C100" s="9"/>
      <c r="D100" s="9"/>
      <c r="E100" s="9"/>
      <c r="F100" s="9"/>
      <c r="G100" s="9"/>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row>
    <row r="101">
      <c r="A101" s="9"/>
      <c r="B101" s="9"/>
      <c r="C101" s="9"/>
      <c r="D101" s="9"/>
      <c r="E101" s="9"/>
      <c r="F101" s="9"/>
      <c r="G101" s="9"/>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row>
    <row r="102">
      <c r="A102" s="9"/>
      <c r="B102" s="9"/>
      <c r="C102" s="9"/>
      <c r="D102" s="9"/>
      <c r="E102" s="9"/>
      <c r="F102" s="9"/>
      <c r="G102" s="9"/>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row>
    <row r="103">
      <c r="A103" s="9"/>
      <c r="B103" s="9"/>
      <c r="C103" s="9"/>
      <c r="D103" s="9"/>
      <c r="E103" s="9"/>
      <c r="F103" s="9"/>
      <c r="G103" s="9"/>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row>
    <row r="104">
      <c r="A104" s="9"/>
      <c r="B104" s="9"/>
      <c r="C104" s="9"/>
      <c r="D104" s="9"/>
      <c r="E104" s="9"/>
      <c r="F104" s="9"/>
      <c r="G104" s="9"/>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row>
    <row r="105">
      <c r="A105" s="9"/>
      <c r="B105" s="9"/>
      <c r="C105" s="9"/>
      <c r="D105" s="9"/>
      <c r="E105" s="9"/>
      <c r="F105" s="9"/>
      <c r="G105" s="9"/>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row>
    <row r="106">
      <c r="A106" s="9"/>
      <c r="B106" s="9"/>
      <c r="C106" s="9"/>
      <c r="D106" s="9"/>
      <c r="E106" s="9"/>
      <c r="F106" s="9"/>
      <c r="G106" s="9"/>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row>
    <row r="107">
      <c r="A107" s="9"/>
      <c r="B107" s="9"/>
      <c r="C107" s="9"/>
      <c r="D107" s="9"/>
      <c r="E107" s="9"/>
      <c r="F107" s="9"/>
      <c r="G107" s="9"/>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row>
    <row r="108">
      <c r="A108" s="9"/>
      <c r="B108" s="9"/>
      <c r="C108" s="9"/>
      <c r="D108" s="9"/>
      <c r="E108" s="9"/>
      <c r="F108" s="9"/>
      <c r="G108" s="9"/>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row>
    <row r="109">
      <c r="A109" s="9"/>
      <c r="B109" s="9"/>
      <c r="C109" s="9"/>
      <c r="D109" s="9"/>
      <c r="E109" s="9"/>
      <c r="F109" s="9"/>
      <c r="G109" s="9"/>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row>
    <row r="110">
      <c r="A110" s="9"/>
      <c r="B110" s="9"/>
      <c r="C110" s="9"/>
      <c r="D110" s="9"/>
      <c r="E110" s="9"/>
      <c r="F110" s="9"/>
      <c r="G110" s="9"/>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row>
    <row r="111">
      <c r="A111" s="9"/>
      <c r="B111" s="9"/>
      <c r="C111" s="9"/>
      <c r="D111" s="9"/>
      <c r="E111" s="9"/>
      <c r="F111" s="9"/>
      <c r="G111" s="9"/>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row>
    <row r="112">
      <c r="A112" s="9"/>
      <c r="B112" s="9"/>
      <c r="C112" s="9"/>
      <c r="D112" s="9"/>
      <c r="E112" s="9"/>
      <c r="F112" s="9"/>
      <c r="G112" s="9"/>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row>
    <row r="113">
      <c r="A113" s="9"/>
      <c r="B113" s="9"/>
      <c r="C113" s="9"/>
      <c r="D113" s="9"/>
      <c r="E113" s="9"/>
      <c r="F113" s="9"/>
      <c r="G113" s="9"/>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row>
    <row r="114">
      <c r="A114" s="9"/>
      <c r="B114" s="9"/>
      <c r="C114" s="9"/>
      <c r="D114" s="9"/>
      <c r="E114" s="9"/>
      <c r="F114" s="9"/>
      <c r="G114" s="9"/>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row>
    <row r="115">
      <c r="A115" s="9"/>
      <c r="B115" s="9"/>
      <c r="C115" s="9"/>
      <c r="D115" s="9"/>
      <c r="E115" s="9"/>
      <c r="F115" s="9"/>
      <c r="G115" s="9"/>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row>
    <row r="116">
      <c r="A116" s="9"/>
      <c r="B116" s="9"/>
      <c r="C116" s="9"/>
      <c r="D116" s="9"/>
      <c r="E116" s="9"/>
      <c r="F116" s="9"/>
      <c r="G116" s="9"/>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row>
    <row r="117">
      <c r="A117" s="9"/>
      <c r="B117" s="9"/>
      <c r="C117" s="9"/>
      <c r="D117" s="9"/>
      <c r="E117" s="9"/>
      <c r="F117" s="9"/>
      <c r="G117" s="9"/>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row>
    <row r="118">
      <c r="A118" s="9"/>
      <c r="B118" s="9"/>
      <c r="C118" s="9"/>
      <c r="D118" s="9"/>
      <c r="E118" s="9"/>
      <c r="F118" s="9"/>
      <c r="G118" s="9"/>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row>
    <row r="119">
      <c r="A119" s="9"/>
      <c r="B119" s="9"/>
      <c r="C119" s="9"/>
      <c r="D119" s="9"/>
      <c r="E119" s="9"/>
      <c r="F119" s="9"/>
      <c r="G119" s="9"/>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row>
    <row r="120">
      <c r="A120" s="9"/>
      <c r="B120" s="9"/>
      <c r="C120" s="9"/>
      <c r="D120" s="9"/>
      <c r="E120" s="9"/>
      <c r="F120" s="9"/>
      <c r="G120" s="9"/>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row>
    <row r="121">
      <c r="A121" s="9"/>
      <c r="B121" s="9"/>
      <c r="C121" s="9"/>
      <c r="D121" s="9"/>
      <c r="E121" s="9"/>
      <c r="F121" s="9"/>
      <c r="G121" s="9"/>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row>
    <row r="122">
      <c r="A122" s="9"/>
      <c r="B122" s="9"/>
      <c r="C122" s="9"/>
      <c r="D122" s="9"/>
      <c r="E122" s="9"/>
      <c r="F122" s="9"/>
      <c r="G122" s="9"/>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row>
    <row r="123">
      <c r="A123" s="9"/>
      <c r="B123" s="9"/>
      <c r="C123" s="9"/>
      <c r="D123" s="9"/>
      <c r="E123" s="9"/>
      <c r="F123" s="9"/>
      <c r="G123" s="9"/>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row>
    <row r="124">
      <c r="A124" s="9"/>
      <c r="B124" s="9"/>
      <c r="C124" s="9"/>
      <c r="D124" s="9"/>
      <c r="E124" s="9"/>
      <c r="F124" s="9"/>
      <c r="G124" s="9"/>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row>
    <row r="125">
      <c r="A125" s="9"/>
      <c r="B125" s="9"/>
      <c r="C125" s="9"/>
      <c r="D125" s="9"/>
      <c r="E125" s="9"/>
      <c r="F125" s="9"/>
      <c r="G125" s="9"/>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row>
    <row r="126">
      <c r="A126" s="9"/>
      <c r="B126" s="9"/>
      <c r="C126" s="9"/>
      <c r="D126" s="9"/>
      <c r="E126" s="9"/>
      <c r="F126" s="9"/>
      <c r="G126" s="9"/>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row>
    <row r="127">
      <c r="A127" s="9"/>
      <c r="B127" s="9"/>
      <c r="C127" s="9"/>
      <c r="D127" s="9"/>
      <c r="E127" s="9"/>
      <c r="F127" s="9"/>
      <c r="G127" s="9"/>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row>
    <row r="128">
      <c r="A128" s="9"/>
      <c r="B128" s="9"/>
      <c r="C128" s="9"/>
      <c r="D128" s="9"/>
      <c r="E128" s="9"/>
      <c r="F128" s="9"/>
      <c r="G128" s="9"/>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row>
    <row r="129">
      <c r="A129" s="9"/>
      <c r="B129" s="9"/>
      <c r="C129" s="9"/>
      <c r="D129" s="9"/>
      <c r="E129" s="9"/>
      <c r="F129" s="9"/>
      <c r="G129" s="9"/>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row>
    <row r="130">
      <c r="A130" s="9"/>
      <c r="B130" s="9"/>
      <c r="C130" s="9"/>
      <c r="D130" s="9"/>
      <c r="E130" s="9"/>
      <c r="F130" s="9"/>
      <c r="G130" s="9"/>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row>
    <row r="131">
      <c r="A131" s="9"/>
      <c r="B131" s="9"/>
      <c r="C131" s="9"/>
      <c r="D131" s="9"/>
      <c r="E131" s="9"/>
      <c r="F131" s="9"/>
      <c r="G131" s="9"/>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row>
    <row r="132">
      <c r="A132" s="9"/>
      <c r="B132" s="9"/>
      <c r="C132" s="9"/>
      <c r="D132" s="9"/>
      <c r="E132" s="9"/>
      <c r="F132" s="9"/>
      <c r="G132" s="9"/>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row>
    <row r="133">
      <c r="A133" s="9"/>
      <c r="B133" s="9"/>
      <c r="C133" s="9"/>
      <c r="D133" s="9"/>
      <c r="E133" s="9"/>
      <c r="F133" s="9"/>
      <c r="G133" s="9"/>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row>
    <row r="134">
      <c r="A134" s="9"/>
      <c r="B134" s="9"/>
      <c r="C134" s="9"/>
      <c r="D134" s="9"/>
      <c r="E134" s="9"/>
      <c r="F134" s="9"/>
      <c r="G134" s="9"/>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row>
    <row r="135">
      <c r="A135" s="9"/>
      <c r="B135" s="9"/>
      <c r="C135" s="9"/>
      <c r="D135" s="9"/>
      <c r="E135" s="9"/>
      <c r="F135" s="9"/>
      <c r="G135" s="9"/>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row>
    <row r="136">
      <c r="A136" s="9"/>
      <c r="B136" s="9"/>
      <c r="C136" s="9"/>
      <c r="D136" s="9"/>
      <c r="E136" s="9"/>
      <c r="F136" s="9"/>
      <c r="G136" s="9"/>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row>
    <row r="137">
      <c r="A137" s="9"/>
      <c r="B137" s="9"/>
      <c r="C137" s="9"/>
      <c r="D137" s="9"/>
      <c r="E137" s="9"/>
      <c r="F137" s="9"/>
      <c r="G137" s="9"/>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row>
    <row r="138">
      <c r="A138" s="9"/>
      <c r="B138" s="9"/>
      <c r="C138" s="9"/>
      <c r="D138" s="9"/>
      <c r="E138" s="9"/>
      <c r="F138" s="9"/>
      <c r="G138" s="9"/>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row>
    <row r="139">
      <c r="A139" s="9"/>
      <c r="B139" s="9"/>
      <c r="C139" s="9"/>
      <c r="D139" s="9"/>
      <c r="E139" s="9"/>
      <c r="F139" s="9"/>
      <c r="G139" s="9"/>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row>
    <row r="140">
      <c r="A140" s="9"/>
      <c r="B140" s="9"/>
      <c r="C140" s="9"/>
      <c r="D140" s="9"/>
      <c r="E140" s="9"/>
      <c r="F140" s="9"/>
      <c r="G140" s="9"/>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row>
    <row r="141">
      <c r="A141" s="9"/>
      <c r="B141" s="9"/>
      <c r="C141" s="9"/>
      <c r="D141" s="9"/>
      <c r="E141" s="9"/>
      <c r="F141" s="9"/>
      <c r="G141" s="9"/>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row>
    <row r="142">
      <c r="A142" s="9"/>
      <c r="B142" s="9"/>
      <c r="C142" s="9"/>
      <c r="D142" s="9"/>
      <c r="E142" s="9"/>
      <c r="F142" s="9"/>
      <c r="G142" s="9"/>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row>
    <row r="143">
      <c r="A143" s="9"/>
      <c r="B143" s="9"/>
      <c r="C143" s="9"/>
      <c r="D143" s="9"/>
      <c r="E143" s="9"/>
      <c r="F143" s="9"/>
      <c r="G143" s="9"/>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row>
    <row r="144">
      <c r="A144" s="9"/>
      <c r="B144" s="9"/>
      <c r="C144" s="9"/>
      <c r="D144" s="9"/>
      <c r="E144" s="9"/>
      <c r="F144" s="9"/>
      <c r="G144" s="9"/>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row>
    <row r="145">
      <c r="A145" s="9"/>
      <c r="B145" s="9"/>
      <c r="C145" s="9"/>
      <c r="D145" s="9"/>
      <c r="E145" s="9"/>
      <c r="F145" s="9"/>
      <c r="G145" s="9"/>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row>
    <row r="146">
      <c r="A146" s="9"/>
      <c r="B146" s="9"/>
      <c r="C146" s="9"/>
      <c r="D146" s="9"/>
      <c r="E146" s="9"/>
      <c r="F146" s="9"/>
      <c r="G146" s="9"/>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row>
    <row r="147">
      <c r="A147" s="9"/>
      <c r="B147" s="9"/>
      <c r="C147" s="9"/>
      <c r="D147" s="9"/>
      <c r="E147" s="9"/>
      <c r="F147" s="9"/>
      <c r="G147" s="9"/>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row>
    <row r="148">
      <c r="A148" s="9"/>
      <c r="B148" s="9"/>
      <c r="C148" s="9"/>
      <c r="D148" s="9"/>
      <c r="E148" s="9"/>
      <c r="F148" s="9"/>
      <c r="G148" s="9"/>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row>
    <row r="149">
      <c r="A149" s="9"/>
      <c r="B149" s="9"/>
      <c r="C149" s="9"/>
      <c r="D149" s="9"/>
      <c r="E149" s="9"/>
      <c r="F149" s="9"/>
      <c r="G149" s="9"/>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row>
    <row r="150">
      <c r="A150" s="9"/>
      <c r="B150" s="9"/>
      <c r="C150" s="9"/>
      <c r="D150" s="9"/>
      <c r="E150" s="9"/>
      <c r="F150" s="9"/>
      <c r="G150" s="9"/>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row>
    <row r="151">
      <c r="A151" s="9"/>
      <c r="B151" s="9"/>
      <c r="C151" s="9"/>
      <c r="D151" s="9"/>
      <c r="E151" s="9"/>
      <c r="F151" s="9"/>
      <c r="G151" s="9"/>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row>
    <row r="152">
      <c r="A152" s="9"/>
      <c r="B152" s="9"/>
      <c r="C152" s="9"/>
      <c r="D152" s="9"/>
      <c r="E152" s="9"/>
      <c r="F152" s="9"/>
      <c r="G152" s="9"/>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row>
    <row r="153">
      <c r="A153" s="9"/>
      <c r="B153" s="9"/>
      <c r="C153" s="9"/>
      <c r="D153" s="9"/>
      <c r="E153" s="9"/>
      <c r="F153" s="9"/>
      <c r="G153" s="9"/>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row>
    <row r="154">
      <c r="A154" s="9"/>
      <c r="B154" s="9"/>
      <c r="C154" s="9"/>
      <c r="D154" s="9"/>
      <c r="E154" s="9"/>
      <c r="F154" s="9"/>
      <c r="G154" s="9"/>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row>
    <row r="155">
      <c r="A155" s="9"/>
      <c r="B155" s="9"/>
      <c r="C155" s="9"/>
      <c r="D155" s="9"/>
      <c r="E155" s="9"/>
      <c r="F155" s="9"/>
      <c r="G155" s="9"/>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row>
    <row r="156">
      <c r="A156" s="9"/>
      <c r="B156" s="9"/>
      <c r="C156" s="9"/>
      <c r="D156" s="9"/>
      <c r="E156" s="9"/>
      <c r="F156" s="9"/>
      <c r="G156" s="9"/>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row>
    <row r="157">
      <c r="A157" s="9"/>
      <c r="B157" s="9"/>
      <c r="C157" s="9"/>
      <c r="D157" s="9"/>
      <c r="E157" s="9"/>
      <c r="F157" s="9"/>
      <c r="G157" s="9"/>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row>
    <row r="158">
      <c r="A158" s="9"/>
      <c r="B158" s="9"/>
      <c r="C158" s="9"/>
      <c r="D158" s="9"/>
      <c r="E158" s="9"/>
      <c r="F158" s="9"/>
      <c r="G158" s="9"/>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row>
    <row r="159">
      <c r="A159" s="9"/>
      <c r="B159" s="9"/>
      <c r="C159" s="9"/>
      <c r="D159" s="9"/>
      <c r="E159" s="9"/>
      <c r="F159" s="9"/>
      <c r="G159" s="9"/>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row>
    <row r="160">
      <c r="A160" s="9"/>
      <c r="B160" s="9"/>
      <c r="C160" s="9"/>
      <c r="D160" s="9"/>
      <c r="E160" s="9"/>
      <c r="F160" s="9"/>
      <c r="G160" s="9"/>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row>
    <row r="161">
      <c r="A161" s="9"/>
      <c r="B161" s="9"/>
      <c r="C161" s="9"/>
      <c r="D161" s="9"/>
      <c r="E161" s="9"/>
      <c r="F161" s="9"/>
      <c r="G161" s="9"/>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row>
    <row r="162">
      <c r="A162" s="9"/>
      <c r="B162" s="9"/>
      <c r="C162" s="9"/>
      <c r="D162" s="9"/>
      <c r="E162" s="9"/>
      <c r="F162" s="9"/>
      <c r="G162" s="9"/>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row>
    <row r="163">
      <c r="A163" s="9"/>
      <c r="B163" s="9"/>
      <c r="C163" s="9"/>
      <c r="D163" s="9"/>
      <c r="E163" s="9"/>
      <c r="F163" s="9"/>
      <c r="G163" s="9"/>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row>
    <row r="164">
      <c r="A164" s="9"/>
      <c r="B164" s="9"/>
      <c r="C164" s="9"/>
      <c r="D164" s="9"/>
      <c r="E164" s="9"/>
      <c r="F164" s="9"/>
      <c r="G164" s="9"/>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row>
    <row r="165">
      <c r="A165" s="9"/>
      <c r="B165" s="9"/>
      <c r="C165" s="9"/>
      <c r="D165" s="9"/>
      <c r="E165" s="9"/>
      <c r="F165" s="9"/>
      <c r="G165" s="9"/>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row>
    <row r="166">
      <c r="A166" s="9"/>
      <c r="B166" s="9"/>
      <c r="C166" s="9"/>
      <c r="D166" s="9"/>
      <c r="E166" s="9"/>
      <c r="F166" s="9"/>
      <c r="G166" s="9"/>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row>
    <row r="167">
      <c r="A167" s="9"/>
      <c r="B167" s="9"/>
      <c r="C167" s="9"/>
      <c r="D167" s="9"/>
      <c r="E167" s="9"/>
      <c r="F167" s="9"/>
      <c r="G167" s="9"/>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row>
    <row r="168">
      <c r="A168" s="9"/>
      <c r="B168" s="9"/>
      <c r="C168" s="9"/>
      <c r="D168" s="9"/>
      <c r="E168" s="9"/>
      <c r="F168" s="9"/>
      <c r="G168" s="9"/>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row>
    <row r="169">
      <c r="A169" s="9"/>
      <c r="B169" s="9"/>
      <c r="C169" s="9"/>
      <c r="D169" s="9"/>
      <c r="E169" s="9"/>
      <c r="F169" s="9"/>
      <c r="G169" s="9"/>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row>
    <row r="170">
      <c r="A170" s="9"/>
      <c r="B170" s="9"/>
      <c r="C170" s="9"/>
      <c r="D170" s="9"/>
      <c r="E170" s="9"/>
      <c r="F170" s="9"/>
      <c r="G170" s="9"/>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row>
    <row r="171">
      <c r="A171" s="9"/>
      <c r="B171" s="9"/>
      <c r="C171" s="9"/>
      <c r="D171" s="9"/>
      <c r="E171" s="9"/>
      <c r="F171" s="9"/>
      <c r="G171" s="9"/>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row>
    <row r="172">
      <c r="A172" s="9"/>
      <c r="B172" s="9"/>
      <c r="C172" s="9"/>
      <c r="D172" s="9"/>
      <c r="E172" s="9"/>
      <c r="F172" s="9"/>
      <c r="G172" s="9"/>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row>
    <row r="173">
      <c r="A173" s="9"/>
      <c r="B173" s="9"/>
      <c r="C173" s="9"/>
      <c r="D173" s="9"/>
      <c r="E173" s="9"/>
      <c r="F173" s="9"/>
      <c r="G173" s="9"/>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row>
    <row r="174">
      <c r="A174" s="9"/>
      <c r="B174" s="9"/>
      <c r="C174" s="9"/>
      <c r="D174" s="9"/>
      <c r="E174" s="9"/>
      <c r="F174" s="9"/>
      <c r="G174" s="9"/>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row>
    <row r="175">
      <c r="A175" s="9"/>
      <c r="B175" s="9"/>
      <c r="C175" s="9"/>
      <c r="D175" s="9"/>
      <c r="E175" s="9"/>
      <c r="F175" s="9"/>
      <c r="G175" s="9"/>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row>
    <row r="176">
      <c r="A176" s="9"/>
      <c r="B176" s="9"/>
      <c r="C176" s="9"/>
      <c r="D176" s="9"/>
      <c r="E176" s="9"/>
      <c r="F176" s="9"/>
      <c r="G176" s="9"/>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row>
    <row r="177">
      <c r="A177" s="9"/>
      <c r="B177" s="9"/>
      <c r="C177" s="9"/>
      <c r="D177" s="9"/>
      <c r="E177" s="9"/>
      <c r="F177" s="9"/>
      <c r="G177" s="9"/>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row>
    <row r="178">
      <c r="A178" s="9"/>
      <c r="B178" s="9"/>
      <c r="C178" s="9"/>
      <c r="D178" s="9"/>
      <c r="E178" s="9"/>
      <c r="F178" s="9"/>
      <c r="G178" s="9"/>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row>
    <row r="179">
      <c r="A179" s="9"/>
      <c r="B179" s="9"/>
      <c r="C179" s="9"/>
      <c r="D179" s="9"/>
      <c r="E179" s="9"/>
      <c r="F179" s="9"/>
      <c r="G179" s="9"/>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row>
    <row r="180">
      <c r="A180" s="9"/>
      <c r="B180" s="9"/>
      <c r="C180" s="9"/>
      <c r="D180" s="9"/>
      <c r="E180" s="9"/>
      <c r="F180" s="9"/>
      <c r="G180" s="9"/>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row>
    <row r="181">
      <c r="A181" s="9"/>
      <c r="B181" s="9"/>
      <c r="C181" s="9"/>
      <c r="D181" s="9"/>
      <c r="E181" s="9"/>
      <c r="F181" s="9"/>
      <c r="G181" s="9"/>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row>
    <row r="182">
      <c r="A182" s="9"/>
      <c r="B182" s="9"/>
      <c r="C182" s="9"/>
      <c r="D182" s="9"/>
      <c r="E182" s="9"/>
      <c r="F182" s="9"/>
      <c r="G182" s="9"/>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row>
    <row r="183">
      <c r="A183" s="9"/>
      <c r="B183" s="9"/>
      <c r="C183" s="9"/>
      <c r="D183" s="9"/>
      <c r="E183" s="9"/>
      <c r="F183" s="9"/>
      <c r="G183" s="9"/>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row>
    <row r="184">
      <c r="A184" s="9"/>
      <c r="B184" s="9"/>
      <c r="C184" s="9"/>
      <c r="D184" s="9"/>
      <c r="E184" s="9"/>
      <c r="F184" s="9"/>
      <c r="G184" s="9"/>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row>
    <row r="185">
      <c r="A185" s="9"/>
      <c r="B185" s="9"/>
      <c r="C185" s="9"/>
      <c r="D185" s="9"/>
      <c r="E185" s="9"/>
      <c r="F185" s="9"/>
      <c r="G185" s="9"/>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row>
    <row r="186">
      <c r="A186" s="9"/>
      <c r="B186" s="9"/>
      <c r="C186" s="9"/>
      <c r="D186" s="9"/>
      <c r="E186" s="9"/>
      <c r="F186" s="9"/>
      <c r="G186" s="9"/>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row>
    <row r="187">
      <c r="A187" s="9"/>
      <c r="B187" s="9"/>
      <c r="C187" s="9"/>
      <c r="D187" s="9"/>
      <c r="E187" s="9"/>
      <c r="F187" s="9"/>
      <c r="G187" s="9"/>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row>
    <row r="188">
      <c r="A188" s="9"/>
      <c r="B188" s="9"/>
      <c r="C188" s="9"/>
      <c r="D188" s="9"/>
      <c r="E188" s="9"/>
      <c r="F188" s="9"/>
      <c r="G188" s="9"/>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row>
    <row r="189">
      <c r="A189" s="9"/>
      <c r="B189" s="9"/>
      <c r="C189" s="9"/>
      <c r="D189" s="9"/>
      <c r="E189" s="9"/>
      <c r="F189" s="9"/>
      <c r="G189" s="9"/>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row>
    <row r="190">
      <c r="A190" s="9"/>
      <c r="B190" s="9"/>
      <c r="C190" s="9"/>
      <c r="D190" s="9"/>
      <c r="E190" s="9"/>
      <c r="F190" s="9"/>
      <c r="G190" s="9"/>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row>
    <row r="191">
      <c r="A191" s="9"/>
      <c r="B191" s="9"/>
      <c r="C191" s="9"/>
      <c r="D191" s="9"/>
      <c r="E191" s="9"/>
      <c r="F191" s="9"/>
      <c r="G191" s="9"/>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row>
    <row r="192">
      <c r="A192" s="9"/>
      <c r="B192" s="9"/>
      <c r="C192" s="9"/>
      <c r="D192" s="9"/>
      <c r="E192" s="9"/>
      <c r="F192" s="9"/>
      <c r="G192" s="9"/>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row>
    <row r="193">
      <c r="A193" s="9"/>
      <c r="B193" s="9"/>
      <c r="C193" s="9"/>
      <c r="D193" s="9"/>
      <c r="E193" s="9"/>
      <c r="F193" s="9"/>
      <c r="G193" s="9"/>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row>
    <row r="194">
      <c r="A194" s="9"/>
      <c r="B194" s="9"/>
      <c r="C194" s="9"/>
      <c r="D194" s="9"/>
      <c r="E194" s="9"/>
      <c r="F194" s="9"/>
      <c r="G194" s="9"/>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row>
    <row r="195">
      <c r="A195" s="9"/>
      <c r="B195" s="9"/>
      <c r="C195" s="9"/>
      <c r="D195" s="9"/>
      <c r="E195" s="9"/>
      <c r="F195" s="9"/>
      <c r="G195" s="9"/>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row>
    <row r="196">
      <c r="A196" s="9"/>
      <c r="B196" s="9"/>
      <c r="C196" s="9"/>
      <c r="D196" s="9"/>
      <c r="E196" s="9"/>
      <c r="F196" s="9"/>
      <c r="G196" s="9"/>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row>
    <row r="197">
      <c r="A197" s="9"/>
      <c r="B197" s="9"/>
      <c r="C197" s="9"/>
      <c r="D197" s="9"/>
      <c r="E197" s="9"/>
      <c r="F197" s="9"/>
      <c r="G197" s="9"/>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row>
    <row r="198">
      <c r="A198" s="9"/>
      <c r="B198" s="9"/>
      <c r="C198" s="9"/>
      <c r="D198" s="9"/>
      <c r="E198" s="9"/>
      <c r="F198" s="9"/>
      <c r="G198" s="9"/>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row>
    <row r="199">
      <c r="A199" s="9"/>
      <c r="B199" s="9"/>
      <c r="C199" s="9"/>
      <c r="D199" s="9"/>
      <c r="E199" s="9"/>
      <c r="F199" s="9"/>
      <c r="G199" s="9"/>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row>
    <row r="200">
      <c r="A200" s="9"/>
      <c r="B200" s="9"/>
      <c r="C200" s="9"/>
      <c r="D200" s="9"/>
      <c r="E200" s="9"/>
      <c r="F200" s="9"/>
      <c r="G200" s="9"/>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row>
    <row r="201">
      <c r="A201" s="9"/>
      <c r="B201" s="9"/>
      <c r="C201" s="9"/>
      <c r="D201" s="9"/>
      <c r="E201" s="9"/>
      <c r="F201" s="9"/>
      <c r="G201" s="9"/>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row>
    <row r="202">
      <c r="A202" s="9"/>
      <c r="B202" s="9"/>
      <c r="C202" s="9"/>
      <c r="D202" s="9"/>
      <c r="E202" s="9"/>
      <c r="F202" s="9"/>
      <c r="G202" s="9"/>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row>
    <row r="203">
      <c r="A203" s="9"/>
      <c r="B203" s="9"/>
      <c r="C203" s="9"/>
      <c r="D203" s="9"/>
      <c r="E203" s="9"/>
      <c r="F203" s="9"/>
      <c r="G203" s="9"/>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row>
    <row r="204">
      <c r="A204" s="9"/>
      <c r="B204" s="9"/>
      <c r="C204" s="9"/>
      <c r="D204" s="9"/>
      <c r="E204" s="9"/>
      <c r="F204" s="9"/>
      <c r="G204" s="9"/>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row>
    <row r="205">
      <c r="A205" s="9"/>
      <c r="B205" s="9"/>
      <c r="C205" s="9"/>
      <c r="D205" s="9"/>
      <c r="E205" s="9"/>
      <c r="F205" s="9"/>
      <c r="G205" s="9"/>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row>
    <row r="206">
      <c r="A206" s="9"/>
      <c r="B206" s="9"/>
      <c r="C206" s="9"/>
      <c r="D206" s="9"/>
      <c r="E206" s="9"/>
      <c r="F206" s="9"/>
      <c r="G206" s="9"/>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row>
    <row r="207">
      <c r="A207" s="9"/>
      <c r="B207" s="9"/>
      <c r="C207" s="9"/>
      <c r="D207" s="9"/>
      <c r="E207" s="9"/>
      <c r="F207" s="9"/>
      <c r="G207" s="9"/>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row>
    <row r="208">
      <c r="A208" s="9"/>
      <c r="B208" s="9"/>
      <c r="C208" s="9"/>
      <c r="D208" s="9"/>
      <c r="E208" s="9"/>
      <c r="F208" s="9"/>
      <c r="G208" s="9"/>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row>
    <row r="209">
      <c r="A209" s="9"/>
      <c r="B209" s="9"/>
      <c r="C209" s="9"/>
      <c r="D209" s="9"/>
      <c r="E209" s="9"/>
      <c r="F209" s="9"/>
      <c r="G209" s="9"/>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row>
    <row r="210">
      <c r="A210" s="9"/>
      <c r="B210" s="9"/>
      <c r="C210" s="9"/>
      <c r="D210" s="9"/>
      <c r="E210" s="9"/>
      <c r="F210" s="9"/>
      <c r="G210" s="9"/>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row>
    <row r="211">
      <c r="A211" s="9"/>
      <c r="B211" s="9"/>
      <c r="C211" s="9"/>
      <c r="D211" s="9"/>
      <c r="E211" s="9"/>
      <c r="F211" s="9"/>
      <c r="G211" s="9"/>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row>
    <row r="212">
      <c r="A212" s="9"/>
      <c r="B212" s="9"/>
      <c r="C212" s="9"/>
      <c r="D212" s="9"/>
      <c r="E212" s="9"/>
      <c r="F212" s="9"/>
      <c r="G212" s="9"/>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row>
    <row r="213">
      <c r="A213" s="9"/>
      <c r="B213" s="9"/>
      <c r="C213" s="9"/>
      <c r="D213" s="9"/>
      <c r="E213" s="9"/>
      <c r="F213" s="9"/>
      <c r="G213" s="9"/>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row>
    <row r="214">
      <c r="A214" s="9"/>
      <c r="B214" s="9"/>
      <c r="C214" s="9"/>
      <c r="D214" s="9"/>
      <c r="E214" s="9"/>
      <c r="F214" s="9"/>
      <c r="G214" s="9"/>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row>
    <row r="215">
      <c r="A215" s="9"/>
      <c r="B215" s="9"/>
      <c r="C215" s="9"/>
      <c r="D215" s="9"/>
      <c r="E215" s="9"/>
      <c r="F215" s="9"/>
      <c r="G215" s="9"/>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row>
    <row r="216">
      <c r="A216" s="9"/>
      <c r="B216" s="9"/>
      <c r="C216" s="9"/>
      <c r="D216" s="9"/>
      <c r="E216" s="9"/>
      <c r="F216" s="9"/>
      <c r="G216" s="9"/>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row>
    <row r="217">
      <c r="A217" s="9"/>
      <c r="B217" s="9"/>
      <c r="C217" s="9"/>
      <c r="D217" s="9"/>
      <c r="E217" s="9"/>
      <c r="F217" s="9"/>
      <c r="G217" s="9"/>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row>
    <row r="218">
      <c r="A218" s="9"/>
      <c r="B218" s="9"/>
      <c r="C218" s="9"/>
      <c r="D218" s="9"/>
      <c r="E218" s="9"/>
      <c r="F218" s="9"/>
      <c r="G218" s="9"/>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row>
    <row r="219">
      <c r="A219" s="9"/>
      <c r="B219" s="9"/>
      <c r="C219" s="9"/>
      <c r="D219" s="9"/>
      <c r="E219" s="9"/>
      <c r="F219" s="9"/>
      <c r="G219" s="9"/>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row>
    <row r="220">
      <c r="A220" s="9"/>
      <c r="B220" s="9"/>
      <c r="C220" s="9"/>
      <c r="D220" s="9"/>
      <c r="E220" s="9"/>
      <c r="F220" s="9"/>
      <c r="G220" s="9"/>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row>
    <row r="221">
      <c r="A221" s="9"/>
      <c r="B221" s="9"/>
      <c r="C221" s="9"/>
      <c r="D221" s="9"/>
      <c r="E221" s="9"/>
      <c r="F221" s="9"/>
      <c r="G221" s="9"/>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row>
    <row r="222">
      <c r="A222" s="9"/>
      <c r="B222" s="9"/>
      <c r="C222" s="9"/>
      <c r="D222" s="9"/>
      <c r="E222" s="9"/>
      <c r="F222" s="9"/>
      <c r="G222" s="9"/>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row>
    <row r="223">
      <c r="A223" s="9"/>
      <c r="B223" s="9"/>
      <c r="C223" s="9"/>
      <c r="D223" s="9"/>
      <c r="E223" s="9"/>
      <c r="F223" s="9"/>
      <c r="G223" s="9"/>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row>
    <row r="224">
      <c r="A224" s="9"/>
      <c r="B224" s="9"/>
      <c r="C224" s="9"/>
      <c r="D224" s="9"/>
      <c r="E224" s="9"/>
      <c r="F224" s="9"/>
      <c r="G224" s="9"/>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row>
    <row r="225">
      <c r="A225" s="9"/>
      <c r="B225" s="9"/>
      <c r="C225" s="9"/>
      <c r="D225" s="9"/>
      <c r="E225" s="9"/>
      <c r="F225" s="9"/>
      <c r="G225" s="9"/>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row>
    <row r="226">
      <c r="A226" s="9"/>
      <c r="B226" s="9"/>
      <c r="C226" s="9"/>
      <c r="D226" s="9"/>
      <c r="E226" s="9"/>
      <c r="F226" s="9"/>
      <c r="G226" s="9"/>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row>
    <row r="227">
      <c r="A227" s="9"/>
      <c r="B227" s="9"/>
      <c r="C227" s="9"/>
      <c r="D227" s="9"/>
      <c r="E227" s="9"/>
      <c r="F227" s="9"/>
      <c r="G227" s="9"/>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row>
    <row r="228">
      <c r="A228" s="9"/>
      <c r="B228" s="9"/>
      <c r="C228" s="9"/>
      <c r="D228" s="9"/>
      <c r="E228" s="9"/>
      <c r="F228" s="9"/>
      <c r="G228" s="9"/>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row>
    <row r="229">
      <c r="A229" s="9"/>
      <c r="B229" s="9"/>
      <c r="C229" s="9"/>
      <c r="D229" s="9"/>
      <c r="E229" s="9"/>
      <c r="F229" s="9"/>
      <c r="G229" s="9"/>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row>
    <row r="230">
      <c r="A230" s="9"/>
      <c r="B230" s="9"/>
      <c r="C230" s="9"/>
      <c r="D230" s="9"/>
      <c r="E230" s="9"/>
      <c r="F230" s="9"/>
      <c r="G230" s="9"/>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row>
    <row r="231">
      <c r="A231" s="9"/>
      <c r="B231" s="9"/>
      <c r="C231" s="9"/>
      <c r="D231" s="9"/>
      <c r="E231" s="9"/>
      <c r="F231" s="9"/>
      <c r="G231" s="9"/>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row>
    <row r="232">
      <c r="A232" s="9"/>
      <c r="B232" s="9"/>
      <c r="C232" s="9"/>
      <c r="D232" s="9"/>
      <c r="E232" s="9"/>
      <c r="F232" s="9"/>
      <c r="G232" s="9"/>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row>
    <row r="233">
      <c r="A233" s="9"/>
      <c r="B233" s="9"/>
      <c r="C233" s="9"/>
      <c r="D233" s="9"/>
      <c r="E233" s="9"/>
      <c r="F233" s="9"/>
      <c r="G233" s="9"/>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row>
    <row r="234">
      <c r="A234" s="9"/>
      <c r="B234" s="9"/>
      <c r="C234" s="9"/>
      <c r="D234" s="9"/>
      <c r="E234" s="9"/>
      <c r="F234" s="9"/>
      <c r="G234" s="9"/>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row>
    <row r="235">
      <c r="A235" s="9"/>
      <c r="B235" s="9"/>
      <c r="C235" s="9"/>
      <c r="D235" s="9"/>
      <c r="E235" s="9"/>
      <c r="F235" s="9"/>
      <c r="G235" s="9"/>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row>
    <row r="236">
      <c r="A236" s="9"/>
      <c r="B236" s="9"/>
      <c r="C236" s="9"/>
      <c r="D236" s="9"/>
      <c r="E236" s="9"/>
      <c r="F236" s="9"/>
      <c r="G236" s="9"/>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row>
    <row r="237">
      <c r="A237" s="9"/>
      <c r="B237" s="9"/>
      <c r="C237" s="9"/>
      <c r="D237" s="9"/>
      <c r="E237" s="9"/>
      <c r="F237" s="9"/>
      <c r="G237" s="9"/>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row>
    <row r="238">
      <c r="A238" s="9"/>
      <c r="B238" s="9"/>
      <c r="C238" s="9"/>
      <c r="D238" s="9"/>
      <c r="E238" s="9"/>
      <c r="F238" s="9"/>
      <c r="G238" s="9"/>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row>
    <row r="239">
      <c r="A239" s="9"/>
      <c r="B239" s="9"/>
      <c r="C239" s="9"/>
      <c r="D239" s="9"/>
      <c r="E239" s="9"/>
      <c r="F239" s="9"/>
      <c r="G239" s="9"/>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row>
    <row r="240">
      <c r="A240" s="9"/>
      <c r="B240" s="9"/>
      <c r="C240" s="9"/>
      <c r="D240" s="9"/>
      <c r="E240" s="9"/>
      <c r="F240" s="9"/>
      <c r="G240" s="9"/>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row>
    <row r="241">
      <c r="A241" s="9"/>
      <c r="B241" s="9"/>
      <c r="C241" s="9"/>
      <c r="D241" s="9"/>
      <c r="E241" s="9"/>
      <c r="F241" s="9"/>
      <c r="G241" s="9"/>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row>
    <row r="242">
      <c r="A242" s="9"/>
      <c r="B242" s="9"/>
      <c r="C242" s="9"/>
      <c r="D242" s="9"/>
      <c r="E242" s="9"/>
      <c r="F242" s="9"/>
      <c r="G242" s="9"/>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row>
    <row r="243">
      <c r="A243" s="9"/>
      <c r="B243" s="9"/>
      <c r="C243" s="9"/>
      <c r="D243" s="9"/>
      <c r="E243" s="9"/>
      <c r="F243" s="9"/>
      <c r="G243" s="9"/>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row>
    <row r="244">
      <c r="A244" s="9"/>
      <c r="B244" s="9"/>
      <c r="C244" s="9"/>
      <c r="D244" s="9"/>
      <c r="E244" s="9"/>
      <c r="F244" s="9"/>
      <c r="G244" s="9"/>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row>
    <row r="245">
      <c r="A245" s="9"/>
      <c r="B245" s="9"/>
      <c r="C245" s="9"/>
      <c r="D245" s="9"/>
      <c r="E245" s="9"/>
      <c r="F245" s="9"/>
      <c r="G245" s="9"/>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row>
    <row r="246">
      <c r="A246" s="9"/>
      <c r="B246" s="9"/>
      <c r="C246" s="9"/>
      <c r="D246" s="9"/>
      <c r="E246" s="9"/>
      <c r="F246" s="9"/>
      <c r="G246" s="9"/>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row>
    <row r="247">
      <c r="A247" s="9"/>
      <c r="B247" s="9"/>
      <c r="C247" s="9"/>
      <c r="D247" s="9"/>
      <c r="E247" s="9"/>
      <c r="F247" s="9"/>
      <c r="G247" s="9"/>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row>
    <row r="248">
      <c r="A248" s="9"/>
      <c r="B248" s="9"/>
      <c r="C248" s="9"/>
      <c r="D248" s="9"/>
      <c r="E248" s="9"/>
      <c r="F248" s="9"/>
      <c r="G248" s="9"/>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row>
    <row r="249">
      <c r="A249" s="9"/>
      <c r="B249" s="9"/>
      <c r="C249" s="9"/>
      <c r="D249" s="9"/>
      <c r="E249" s="9"/>
      <c r="F249" s="9"/>
      <c r="G249" s="9"/>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row>
    <row r="250">
      <c r="A250" s="9"/>
      <c r="B250" s="9"/>
      <c r="C250" s="9"/>
      <c r="D250" s="9"/>
      <c r="E250" s="9"/>
      <c r="F250" s="9"/>
      <c r="G250" s="9"/>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row>
    <row r="251">
      <c r="A251" s="9"/>
      <c r="B251" s="9"/>
      <c r="C251" s="9"/>
      <c r="D251" s="9"/>
      <c r="E251" s="9"/>
      <c r="F251" s="9"/>
      <c r="G251" s="9"/>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row>
    <row r="252">
      <c r="A252" s="9"/>
      <c r="B252" s="9"/>
      <c r="C252" s="9"/>
      <c r="D252" s="9"/>
      <c r="E252" s="9"/>
      <c r="F252" s="9"/>
      <c r="G252" s="9"/>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row>
    <row r="253">
      <c r="A253" s="9"/>
      <c r="B253" s="9"/>
      <c r="C253" s="9"/>
      <c r="D253" s="9"/>
      <c r="E253" s="9"/>
      <c r="F253" s="9"/>
      <c r="G253" s="9"/>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row>
    <row r="254">
      <c r="A254" s="9"/>
      <c r="B254" s="9"/>
      <c r="C254" s="9"/>
      <c r="D254" s="9"/>
      <c r="E254" s="9"/>
      <c r="F254" s="9"/>
      <c r="G254" s="9"/>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row>
    <row r="255">
      <c r="A255" s="9"/>
      <c r="B255" s="9"/>
      <c r="C255" s="9"/>
      <c r="D255" s="9"/>
      <c r="E255" s="9"/>
      <c r="F255" s="9"/>
      <c r="G255" s="9"/>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row>
    <row r="256">
      <c r="A256" s="9"/>
      <c r="B256" s="9"/>
      <c r="C256" s="9"/>
      <c r="D256" s="9"/>
      <c r="E256" s="9"/>
      <c r="F256" s="9"/>
      <c r="G256" s="9"/>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row>
    <row r="257">
      <c r="A257" s="9"/>
      <c r="B257" s="9"/>
      <c r="C257" s="9"/>
      <c r="D257" s="9"/>
      <c r="E257" s="9"/>
      <c r="F257" s="9"/>
      <c r="G257" s="9"/>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row>
    <row r="258">
      <c r="A258" s="9"/>
      <c r="B258" s="9"/>
      <c r="C258" s="9"/>
      <c r="D258" s="9"/>
      <c r="E258" s="9"/>
      <c r="F258" s="9"/>
      <c r="G258" s="9"/>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row>
    <row r="259">
      <c r="A259" s="9"/>
      <c r="B259" s="9"/>
      <c r="C259" s="9"/>
      <c r="D259" s="9"/>
      <c r="E259" s="9"/>
      <c r="F259" s="9"/>
      <c r="G259" s="9"/>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row>
    <row r="260">
      <c r="A260" s="9"/>
      <c r="B260" s="9"/>
      <c r="C260" s="9"/>
      <c r="D260" s="9"/>
      <c r="E260" s="9"/>
      <c r="F260" s="9"/>
      <c r="G260" s="9"/>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row>
    <row r="261">
      <c r="A261" s="9"/>
      <c r="B261" s="9"/>
      <c r="C261" s="9"/>
      <c r="D261" s="9"/>
      <c r="E261" s="9"/>
      <c r="F261" s="9"/>
      <c r="G261" s="9"/>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row>
    <row r="262">
      <c r="A262" s="9"/>
      <c r="B262" s="9"/>
      <c r="C262" s="9"/>
      <c r="D262" s="9"/>
      <c r="E262" s="9"/>
      <c r="F262" s="9"/>
      <c r="G262" s="9"/>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row>
    <row r="263">
      <c r="A263" s="9"/>
      <c r="B263" s="9"/>
      <c r="C263" s="9"/>
      <c r="D263" s="9"/>
      <c r="E263" s="9"/>
      <c r="F263" s="9"/>
      <c r="G263" s="9"/>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row>
    <row r="264">
      <c r="A264" s="9"/>
      <c r="B264" s="9"/>
      <c r="C264" s="9"/>
      <c r="D264" s="9"/>
      <c r="E264" s="9"/>
      <c r="F264" s="9"/>
      <c r="G264" s="9"/>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row>
    <row r="265">
      <c r="A265" s="9"/>
      <c r="B265" s="9"/>
      <c r="C265" s="9"/>
      <c r="D265" s="9"/>
      <c r="E265" s="9"/>
      <c r="F265" s="9"/>
      <c r="G265" s="9"/>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row>
    <row r="266">
      <c r="A266" s="9"/>
      <c r="B266" s="9"/>
      <c r="C266" s="9"/>
      <c r="D266" s="9"/>
      <c r="E266" s="9"/>
      <c r="F266" s="9"/>
      <c r="G266" s="9"/>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row>
    <row r="267">
      <c r="A267" s="9"/>
      <c r="B267" s="9"/>
      <c r="C267" s="9"/>
      <c r="D267" s="9"/>
      <c r="E267" s="9"/>
      <c r="F267" s="9"/>
      <c r="G267" s="9"/>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row>
    <row r="268">
      <c r="A268" s="9"/>
      <c r="B268" s="9"/>
      <c r="C268" s="9"/>
      <c r="D268" s="9"/>
      <c r="E268" s="9"/>
      <c r="F268" s="9"/>
      <c r="G268" s="9"/>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row>
    <row r="269">
      <c r="A269" s="9"/>
      <c r="B269" s="9"/>
      <c r="C269" s="9"/>
      <c r="D269" s="9"/>
      <c r="E269" s="9"/>
      <c r="F269" s="9"/>
      <c r="G269" s="9"/>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row>
    <row r="270">
      <c r="A270" s="9"/>
      <c r="B270" s="9"/>
      <c r="C270" s="9"/>
      <c r="D270" s="9"/>
      <c r="E270" s="9"/>
      <c r="F270" s="9"/>
      <c r="G270" s="9"/>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row>
    <row r="271">
      <c r="A271" s="9"/>
      <c r="B271" s="9"/>
      <c r="C271" s="9"/>
      <c r="D271" s="9"/>
      <c r="E271" s="9"/>
      <c r="F271" s="9"/>
      <c r="G271" s="9"/>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row>
    <row r="272">
      <c r="A272" s="9"/>
      <c r="B272" s="9"/>
      <c r="C272" s="9"/>
      <c r="D272" s="9"/>
      <c r="E272" s="9"/>
      <c r="F272" s="9"/>
      <c r="G272" s="9"/>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row>
    <row r="273">
      <c r="A273" s="9"/>
      <c r="B273" s="9"/>
      <c r="C273" s="9"/>
      <c r="D273" s="9"/>
      <c r="E273" s="9"/>
      <c r="F273" s="9"/>
      <c r="G273" s="9"/>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row>
    <row r="274">
      <c r="A274" s="9"/>
      <c r="B274" s="9"/>
      <c r="C274" s="9"/>
      <c r="D274" s="9"/>
      <c r="E274" s="9"/>
      <c r="F274" s="9"/>
      <c r="G274" s="9"/>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row>
    <row r="275">
      <c r="A275" s="9"/>
      <c r="B275" s="9"/>
      <c r="C275" s="9"/>
      <c r="D275" s="9"/>
      <c r="E275" s="9"/>
      <c r="F275" s="9"/>
      <c r="G275" s="9"/>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row>
    <row r="276">
      <c r="A276" s="9"/>
      <c r="B276" s="9"/>
      <c r="C276" s="9"/>
      <c r="D276" s="9"/>
      <c r="E276" s="9"/>
      <c r="F276" s="9"/>
      <c r="G276" s="9"/>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row>
    <row r="277">
      <c r="A277" s="9"/>
      <c r="B277" s="9"/>
      <c r="C277" s="9"/>
      <c r="D277" s="9"/>
      <c r="E277" s="9"/>
      <c r="F277" s="9"/>
      <c r="G277" s="9"/>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row>
    <row r="278">
      <c r="A278" s="9"/>
      <c r="B278" s="9"/>
      <c r="C278" s="9"/>
      <c r="D278" s="9"/>
      <c r="E278" s="9"/>
      <c r="F278" s="9"/>
      <c r="G278" s="9"/>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row>
    <row r="279">
      <c r="A279" s="9"/>
      <c r="B279" s="9"/>
      <c r="C279" s="9"/>
      <c r="D279" s="9"/>
      <c r="E279" s="9"/>
      <c r="F279" s="9"/>
      <c r="G279" s="9"/>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row>
    <row r="280">
      <c r="A280" s="9"/>
      <c r="B280" s="9"/>
      <c r="C280" s="9"/>
      <c r="D280" s="9"/>
      <c r="E280" s="9"/>
      <c r="F280" s="9"/>
      <c r="G280" s="9"/>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row>
    <row r="281">
      <c r="A281" s="9"/>
      <c r="B281" s="9"/>
      <c r="C281" s="9"/>
      <c r="D281" s="9"/>
      <c r="E281" s="9"/>
      <c r="F281" s="9"/>
      <c r="G281" s="9"/>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row>
    <row r="282">
      <c r="A282" s="9"/>
      <c r="B282" s="9"/>
      <c r="C282" s="9"/>
      <c r="D282" s="9"/>
      <c r="E282" s="9"/>
      <c r="F282" s="9"/>
      <c r="G282" s="9"/>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row>
    <row r="283">
      <c r="A283" s="9"/>
      <c r="B283" s="9"/>
      <c r="C283" s="9"/>
      <c r="D283" s="9"/>
      <c r="E283" s="9"/>
      <c r="F283" s="9"/>
      <c r="G283" s="9"/>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row>
    <row r="284">
      <c r="A284" s="9"/>
      <c r="B284" s="9"/>
      <c r="C284" s="9"/>
      <c r="D284" s="9"/>
      <c r="E284" s="9"/>
      <c r="F284" s="9"/>
      <c r="G284" s="9"/>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row>
    <row r="285">
      <c r="A285" s="9"/>
      <c r="B285" s="9"/>
      <c r="C285" s="9"/>
      <c r="D285" s="9"/>
      <c r="E285" s="9"/>
      <c r="F285" s="9"/>
      <c r="G285" s="9"/>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row>
    <row r="286">
      <c r="A286" s="9"/>
      <c r="B286" s="9"/>
      <c r="C286" s="9"/>
      <c r="D286" s="9"/>
      <c r="E286" s="9"/>
      <c r="F286" s="9"/>
      <c r="G286" s="9"/>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row>
    <row r="287">
      <c r="A287" s="9"/>
      <c r="B287" s="9"/>
      <c r="C287" s="9"/>
      <c r="D287" s="9"/>
      <c r="E287" s="9"/>
      <c r="F287" s="9"/>
      <c r="G287" s="9"/>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row>
    <row r="288">
      <c r="A288" s="9"/>
      <c r="B288" s="9"/>
      <c r="C288" s="9"/>
      <c r="D288" s="9"/>
      <c r="E288" s="9"/>
      <c r="F288" s="9"/>
      <c r="G288" s="9"/>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row>
    <row r="289">
      <c r="A289" s="9"/>
      <c r="B289" s="9"/>
      <c r="C289" s="9"/>
      <c r="D289" s="9"/>
      <c r="E289" s="9"/>
      <c r="F289" s="9"/>
      <c r="G289" s="9"/>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row>
    <row r="290">
      <c r="A290" s="9"/>
      <c r="B290" s="9"/>
      <c r="C290" s="9"/>
      <c r="D290" s="9"/>
      <c r="E290" s="9"/>
      <c r="F290" s="9"/>
      <c r="G290" s="9"/>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row>
    <row r="291">
      <c r="A291" s="9"/>
      <c r="B291" s="9"/>
      <c r="C291" s="9"/>
      <c r="D291" s="9"/>
      <c r="E291" s="9"/>
      <c r="F291" s="9"/>
      <c r="G291" s="9"/>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row>
    <row r="292">
      <c r="A292" s="9"/>
      <c r="B292" s="9"/>
      <c r="C292" s="9"/>
      <c r="D292" s="9"/>
      <c r="E292" s="9"/>
      <c r="F292" s="9"/>
      <c r="G292" s="9"/>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row>
    <row r="293">
      <c r="A293" s="9"/>
      <c r="B293" s="9"/>
      <c r="C293" s="9"/>
      <c r="D293" s="9"/>
      <c r="E293" s="9"/>
      <c r="F293" s="9"/>
      <c r="G293" s="9"/>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row>
    <row r="294">
      <c r="A294" s="9"/>
      <c r="B294" s="9"/>
      <c r="C294" s="9"/>
      <c r="D294" s="9"/>
      <c r="E294" s="9"/>
      <c r="F294" s="9"/>
      <c r="G294" s="9"/>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row>
    <row r="295">
      <c r="A295" s="9"/>
      <c r="B295" s="9"/>
      <c r="C295" s="9"/>
      <c r="D295" s="9"/>
      <c r="E295" s="9"/>
      <c r="F295" s="9"/>
      <c r="G295" s="9"/>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row>
    <row r="296">
      <c r="A296" s="9"/>
      <c r="B296" s="9"/>
      <c r="C296" s="9"/>
      <c r="D296" s="9"/>
      <c r="E296" s="9"/>
      <c r="F296" s="9"/>
      <c r="G296" s="9"/>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row>
    <row r="297">
      <c r="A297" s="9"/>
      <c r="B297" s="9"/>
      <c r="C297" s="9"/>
      <c r="D297" s="9"/>
      <c r="E297" s="9"/>
      <c r="F297" s="9"/>
      <c r="G297" s="9"/>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row>
    <row r="298">
      <c r="A298" s="9"/>
      <c r="B298" s="9"/>
      <c r="C298" s="9"/>
      <c r="D298" s="9"/>
      <c r="E298" s="9"/>
      <c r="F298" s="9"/>
      <c r="G298" s="9"/>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row>
    <row r="299">
      <c r="A299" s="9"/>
      <c r="B299" s="9"/>
      <c r="C299" s="9"/>
      <c r="D299" s="9"/>
      <c r="E299" s="9"/>
      <c r="F299" s="9"/>
      <c r="G299" s="9"/>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row>
    <row r="300">
      <c r="A300" s="9"/>
      <c r="B300" s="9"/>
      <c r="C300" s="9"/>
      <c r="D300" s="9"/>
      <c r="E300" s="9"/>
      <c r="F300" s="9"/>
      <c r="G300" s="9"/>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row>
    <row r="301">
      <c r="A301" s="9"/>
      <c r="B301" s="9"/>
      <c r="C301" s="9"/>
      <c r="D301" s="9"/>
      <c r="E301" s="9"/>
      <c r="F301" s="9"/>
      <c r="G301" s="9"/>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row>
    <row r="302">
      <c r="A302" s="9"/>
      <c r="B302" s="9"/>
      <c r="C302" s="9"/>
      <c r="D302" s="9"/>
      <c r="E302" s="9"/>
      <c r="F302" s="9"/>
      <c r="G302" s="9"/>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row>
    <row r="303">
      <c r="A303" s="9"/>
      <c r="B303" s="9"/>
      <c r="C303" s="9"/>
      <c r="D303" s="9"/>
      <c r="E303" s="9"/>
      <c r="F303" s="9"/>
      <c r="G303" s="9"/>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row>
    <row r="304">
      <c r="A304" s="9"/>
      <c r="B304" s="9"/>
      <c r="C304" s="9"/>
      <c r="D304" s="9"/>
      <c r="E304" s="9"/>
      <c r="F304" s="9"/>
      <c r="G304" s="9"/>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row>
    <row r="305">
      <c r="A305" s="9"/>
      <c r="B305" s="9"/>
      <c r="C305" s="9"/>
      <c r="D305" s="9"/>
      <c r="E305" s="9"/>
      <c r="F305" s="9"/>
      <c r="G305" s="9"/>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row>
    <row r="306">
      <c r="A306" s="9"/>
      <c r="B306" s="9"/>
      <c r="C306" s="9"/>
      <c r="D306" s="9"/>
      <c r="E306" s="9"/>
      <c r="F306" s="9"/>
      <c r="G306" s="9"/>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row>
    <row r="307">
      <c r="A307" s="9"/>
      <c r="B307" s="9"/>
      <c r="C307" s="9"/>
      <c r="D307" s="9"/>
      <c r="E307" s="9"/>
      <c r="F307" s="9"/>
      <c r="G307" s="9"/>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row>
    <row r="308">
      <c r="A308" s="9"/>
      <c r="B308" s="9"/>
      <c r="C308" s="9"/>
      <c r="D308" s="9"/>
      <c r="E308" s="9"/>
      <c r="F308" s="9"/>
      <c r="G308" s="9"/>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row>
    <row r="309">
      <c r="A309" s="9"/>
      <c r="B309" s="9"/>
      <c r="C309" s="9"/>
      <c r="D309" s="9"/>
      <c r="E309" s="9"/>
      <c r="F309" s="9"/>
      <c r="G309" s="9"/>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row>
    <row r="310">
      <c r="A310" s="9"/>
      <c r="B310" s="9"/>
      <c r="C310" s="9"/>
      <c r="D310" s="9"/>
      <c r="E310" s="9"/>
      <c r="F310" s="9"/>
      <c r="G310" s="9"/>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row>
    <row r="311">
      <c r="A311" s="9"/>
      <c r="B311" s="9"/>
      <c r="C311" s="9"/>
      <c r="D311" s="9"/>
      <c r="E311" s="9"/>
      <c r="F311" s="9"/>
      <c r="G311" s="9"/>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row>
    <row r="312">
      <c r="A312" s="9"/>
      <c r="B312" s="9"/>
      <c r="C312" s="9"/>
      <c r="D312" s="9"/>
      <c r="E312" s="9"/>
      <c r="F312" s="9"/>
      <c r="G312" s="9"/>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row>
    <row r="313">
      <c r="A313" s="9"/>
      <c r="B313" s="9"/>
      <c r="C313" s="9"/>
      <c r="D313" s="9"/>
      <c r="E313" s="9"/>
      <c r="F313" s="9"/>
      <c r="G313" s="9"/>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row>
    <row r="314">
      <c r="A314" s="9"/>
      <c r="B314" s="9"/>
      <c r="C314" s="9"/>
      <c r="D314" s="9"/>
      <c r="E314" s="9"/>
      <c r="F314" s="9"/>
      <c r="G314" s="9"/>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row>
    <row r="315">
      <c r="A315" s="9"/>
      <c r="B315" s="9"/>
      <c r="C315" s="9"/>
      <c r="D315" s="9"/>
      <c r="E315" s="9"/>
      <c r="F315" s="9"/>
      <c r="G315" s="9"/>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row>
    <row r="316">
      <c r="A316" s="9"/>
      <c r="B316" s="9"/>
      <c r="C316" s="9"/>
      <c r="D316" s="9"/>
      <c r="E316" s="9"/>
      <c r="F316" s="9"/>
      <c r="G316" s="9"/>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row>
    <row r="317">
      <c r="A317" s="9"/>
      <c r="B317" s="9"/>
      <c r="C317" s="9"/>
      <c r="D317" s="9"/>
      <c r="E317" s="9"/>
      <c r="F317" s="9"/>
      <c r="G317" s="9"/>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row>
    <row r="318">
      <c r="A318" s="9"/>
      <c r="B318" s="9"/>
      <c r="C318" s="9"/>
      <c r="D318" s="9"/>
      <c r="E318" s="9"/>
      <c r="F318" s="9"/>
      <c r="G318" s="9"/>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row>
    <row r="319">
      <c r="A319" s="9"/>
      <c r="B319" s="9"/>
      <c r="C319" s="9"/>
      <c r="D319" s="9"/>
      <c r="E319" s="9"/>
      <c r="F319" s="9"/>
      <c r="G319" s="9"/>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row>
    <row r="320">
      <c r="A320" s="9"/>
      <c r="B320" s="9"/>
      <c r="C320" s="9"/>
      <c r="D320" s="9"/>
      <c r="E320" s="9"/>
      <c r="F320" s="9"/>
      <c r="G320" s="9"/>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row>
    <row r="321">
      <c r="A321" s="9"/>
      <c r="B321" s="9"/>
      <c r="C321" s="9"/>
      <c r="D321" s="9"/>
      <c r="E321" s="9"/>
      <c r="F321" s="9"/>
      <c r="G321" s="9"/>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row>
    <row r="322">
      <c r="A322" s="9"/>
      <c r="B322" s="9"/>
      <c r="C322" s="9"/>
      <c r="D322" s="9"/>
      <c r="E322" s="9"/>
      <c r="F322" s="9"/>
      <c r="G322" s="9"/>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row>
    <row r="323">
      <c r="A323" s="9"/>
      <c r="B323" s="9"/>
      <c r="C323" s="9"/>
      <c r="D323" s="9"/>
      <c r="E323" s="9"/>
      <c r="F323" s="9"/>
      <c r="G323" s="9"/>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row>
    <row r="324">
      <c r="A324" s="9"/>
      <c r="B324" s="9"/>
      <c r="C324" s="9"/>
      <c r="D324" s="9"/>
      <c r="E324" s="9"/>
      <c r="F324" s="9"/>
      <c r="G324" s="9"/>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row>
    <row r="325">
      <c r="A325" s="9"/>
      <c r="B325" s="9"/>
      <c r="C325" s="9"/>
      <c r="D325" s="9"/>
      <c r="E325" s="9"/>
      <c r="F325" s="9"/>
      <c r="G325" s="9"/>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row>
    <row r="326">
      <c r="A326" s="9"/>
      <c r="B326" s="9"/>
      <c r="C326" s="9"/>
      <c r="D326" s="9"/>
      <c r="E326" s="9"/>
      <c r="F326" s="9"/>
      <c r="G326" s="9"/>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row>
    <row r="327">
      <c r="A327" s="9"/>
      <c r="B327" s="9"/>
      <c r="C327" s="9"/>
      <c r="D327" s="9"/>
      <c r="E327" s="9"/>
      <c r="F327" s="9"/>
      <c r="G327" s="9"/>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row>
    <row r="328">
      <c r="A328" s="9"/>
      <c r="B328" s="9"/>
      <c r="C328" s="9"/>
      <c r="D328" s="9"/>
      <c r="E328" s="9"/>
      <c r="F328" s="9"/>
      <c r="G328" s="9"/>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row>
    <row r="329">
      <c r="A329" s="9"/>
      <c r="B329" s="9"/>
      <c r="C329" s="9"/>
      <c r="D329" s="9"/>
      <c r="E329" s="9"/>
      <c r="F329" s="9"/>
      <c r="G329" s="9"/>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row>
    <row r="330">
      <c r="A330" s="9"/>
      <c r="B330" s="9"/>
      <c r="C330" s="9"/>
      <c r="D330" s="9"/>
      <c r="E330" s="9"/>
      <c r="F330" s="9"/>
      <c r="G330" s="9"/>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row>
    <row r="331">
      <c r="A331" s="9"/>
      <c r="B331" s="9"/>
      <c r="C331" s="9"/>
      <c r="D331" s="9"/>
      <c r="E331" s="9"/>
      <c r="F331" s="9"/>
      <c r="G331" s="9"/>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row>
    <row r="332">
      <c r="A332" s="9"/>
      <c r="B332" s="9"/>
      <c r="C332" s="9"/>
      <c r="D332" s="9"/>
      <c r="E332" s="9"/>
      <c r="F332" s="9"/>
      <c r="G332" s="9"/>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row>
    <row r="333">
      <c r="A333" s="9"/>
      <c r="B333" s="9"/>
      <c r="C333" s="9"/>
      <c r="D333" s="9"/>
      <c r="E333" s="9"/>
      <c r="F333" s="9"/>
      <c r="G333" s="9"/>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row>
    <row r="334">
      <c r="A334" s="9"/>
      <c r="B334" s="9"/>
      <c r="C334" s="9"/>
      <c r="D334" s="9"/>
      <c r="E334" s="9"/>
      <c r="F334" s="9"/>
      <c r="G334" s="9"/>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row>
    <row r="335">
      <c r="A335" s="9"/>
      <c r="B335" s="9"/>
      <c r="C335" s="9"/>
      <c r="D335" s="9"/>
      <c r="E335" s="9"/>
      <c r="F335" s="9"/>
      <c r="G335" s="9"/>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row>
    <row r="336">
      <c r="A336" s="9"/>
      <c r="B336" s="9"/>
      <c r="C336" s="9"/>
      <c r="D336" s="9"/>
      <c r="E336" s="9"/>
      <c r="F336" s="9"/>
      <c r="G336" s="9"/>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row>
    <row r="337">
      <c r="A337" s="9"/>
      <c r="B337" s="9"/>
      <c r="C337" s="9"/>
      <c r="D337" s="9"/>
      <c r="E337" s="9"/>
      <c r="F337" s="9"/>
      <c r="G337" s="9"/>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row>
    <row r="338">
      <c r="A338" s="9"/>
      <c r="B338" s="9"/>
      <c r="C338" s="9"/>
      <c r="D338" s="9"/>
      <c r="E338" s="9"/>
      <c r="F338" s="9"/>
      <c r="G338" s="9"/>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row>
    <row r="339">
      <c r="A339" s="9"/>
      <c r="B339" s="9"/>
      <c r="C339" s="9"/>
      <c r="D339" s="9"/>
      <c r="E339" s="9"/>
      <c r="F339" s="9"/>
      <c r="G339" s="9"/>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row>
    <row r="340">
      <c r="A340" s="9"/>
      <c r="B340" s="9"/>
      <c r="C340" s="9"/>
      <c r="D340" s="9"/>
      <c r="E340" s="9"/>
      <c r="F340" s="9"/>
      <c r="G340" s="9"/>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row>
    <row r="341">
      <c r="A341" s="9"/>
      <c r="B341" s="9"/>
      <c r="C341" s="9"/>
      <c r="D341" s="9"/>
      <c r="E341" s="9"/>
      <c r="F341" s="9"/>
      <c r="G341" s="9"/>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row>
    <row r="342">
      <c r="A342" s="9"/>
      <c r="B342" s="9"/>
      <c r="C342" s="9"/>
      <c r="D342" s="9"/>
      <c r="E342" s="9"/>
      <c r="F342" s="9"/>
      <c r="G342" s="9"/>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row>
    <row r="343">
      <c r="A343" s="9"/>
      <c r="B343" s="9"/>
      <c r="C343" s="9"/>
      <c r="D343" s="9"/>
      <c r="E343" s="9"/>
      <c r="F343" s="9"/>
      <c r="G343" s="9"/>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row>
    <row r="344">
      <c r="A344" s="9"/>
      <c r="B344" s="9"/>
      <c r="C344" s="9"/>
      <c r="D344" s="9"/>
      <c r="E344" s="9"/>
      <c r="F344" s="9"/>
      <c r="G344" s="9"/>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row>
    <row r="345">
      <c r="A345" s="9"/>
      <c r="B345" s="9"/>
      <c r="C345" s="9"/>
      <c r="D345" s="9"/>
      <c r="E345" s="9"/>
      <c r="F345" s="9"/>
      <c r="G345" s="9"/>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row>
    <row r="346">
      <c r="A346" s="9"/>
      <c r="B346" s="9"/>
      <c r="C346" s="9"/>
      <c r="D346" s="9"/>
      <c r="E346" s="9"/>
      <c r="F346" s="9"/>
      <c r="G346" s="9"/>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row>
    <row r="347">
      <c r="A347" s="9"/>
      <c r="B347" s="9"/>
      <c r="C347" s="9"/>
      <c r="D347" s="9"/>
      <c r="E347" s="9"/>
      <c r="F347" s="9"/>
      <c r="G347" s="9"/>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row>
    <row r="348">
      <c r="A348" s="9"/>
      <c r="B348" s="9"/>
      <c r="C348" s="9"/>
      <c r="D348" s="9"/>
      <c r="E348" s="9"/>
      <c r="F348" s="9"/>
      <c r="G348" s="9"/>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row>
    <row r="349">
      <c r="A349" s="9"/>
      <c r="B349" s="9"/>
      <c r="C349" s="9"/>
      <c r="D349" s="9"/>
      <c r="E349" s="9"/>
      <c r="F349" s="9"/>
      <c r="G349" s="9"/>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row>
    <row r="350">
      <c r="A350" s="9"/>
      <c r="B350" s="9"/>
      <c r="C350" s="9"/>
      <c r="D350" s="9"/>
      <c r="E350" s="9"/>
      <c r="F350" s="9"/>
      <c r="G350" s="9"/>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row>
    <row r="351">
      <c r="A351" s="9"/>
      <c r="B351" s="9"/>
      <c r="C351" s="9"/>
      <c r="D351" s="9"/>
      <c r="E351" s="9"/>
      <c r="F351" s="9"/>
      <c r="G351" s="9"/>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row>
    <row r="352">
      <c r="A352" s="9"/>
      <c r="B352" s="9"/>
      <c r="C352" s="9"/>
      <c r="D352" s="9"/>
      <c r="E352" s="9"/>
      <c r="F352" s="9"/>
      <c r="G352" s="9"/>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row>
    <row r="353">
      <c r="A353" s="9"/>
      <c r="B353" s="9"/>
      <c r="C353" s="9"/>
      <c r="D353" s="9"/>
      <c r="E353" s="9"/>
      <c r="F353" s="9"/>
      <c r="G353" s="9"/>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row>
    <row r="354">
      <c r="A354" s="9"/>
      <c r="B354" s="9"/>
      <c r="C354" s="9"/>
      <c r="D354" s="9"/>
      <c r="E354" s="9"/>
      <c r="F354" s="9"/>
      <c r="G354" s="9"/>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row>
    <row r="355">
      <c r="A355" s="9"/>
      <c r="B355" s="9"/>
      <c r="C355" s="9"/>
      <c r="D355" s="9"/>
      <c r="E355" s="9"/>
      <c r="F355" s="9"/>
      <c r="G355" s="9"/>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row>
    <row r="356">
      <c r="A356" s="9"/>
      <c r="B356" s="9"/>
      <c r="C356" s="9"/>
      <c r="D356" s="9"/>
      <c r="E356" s="9"/>
      <c r="F356" s="9"/>
      <c r="G356" s="9"/>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row>
    <row r="357">
      <c r="A357" s="9"/>
      <c r="B357" s="9"/>
      <c r="C357" s="9"/>
      <c r="D357" s="9"/>
      <c r="E357" s="9"/>
      <c r="F357" s="9"/>
      <c r="G357" s="9"/>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row>
    <row r="358">
      <c r="A358" s="9"/>
      <c r="B358" s="9"/>
      <c r="C358" s="9"/>
      <c r="D358" s="9"/>
      <c r="E358" s="9"/>
      <c r="F358" s="9"/>
      <c r="G358" s="9"/>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row>
    <row r="359">
      <c r="A359" s="9"/>
      <c r="B359" s="9"/>
      <c r="C359" s="9"/>
      <c r="D359" s="9"/>
      <c r="E359" s="9"/>
      <c r="F359" s="9"/>
      <c r="G359" s="9"/>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row>
    <row r="360">
      <c r="A360" s="9"/>
      <c r="B360" s="9"/>
      <c r="C360" s="9"/>
      <c r="D360" s="9"/>
      <c r="E360" s="9"/>
      <c r="F360" s="9"/>
      <c r="G360" s="9"/>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row>
    <row r="361">
      <c r="A361" s="9"/>
      <c r="B361" s="9"/>
      <c r="C361" s="9"/>
      <c r="D361" s="9"/>
      <c r="E361" s="9"/>
      <c r="F361" s="9"/>
      <c r="G361" s="9"/>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row>
    <row r="362">
      <c r="A362" s="9"/>
      <c r="B362" s="9"/>
      <c r="C362" s="9"/>
      <c r="D362" s="9"/>
      <c r="E362" s="9"/>
      <c r="F362" s="9"/>
      <c r="G362" s="9"/>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row>
    <row r="363">
      <c r="A363" s="9"/>
      <c r="B363" s="9"/>
      <c r="C363" s="9"/>
      <c r="D363" s="9"/>
      <c r="E363" s="9"/>
      <c r="F363" s="9"/>
      <c r="G363" s="9"/>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row>
    <row r="364">
      <c r="A364" s="9"/>
      <c r="B364" s="9"/>
      <c r="C364" s="9"/>
      <c r="D364" s="9"/>
      <c r="E364" s="9"/>
      <c r="F364" s="9"/>
      <c r="G364" s="9"/>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row>
    <row r="365">
      <c r="A365" s="9"/>
      <c r="B365" s="9"/>
      <c r="C365" s="9"/>
      <c r="D365" s="9"/>
      <c r="E365" s="9"/>
      <c r="F365" s="9"/>
      <c r="G365" s="9"/>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row>
    <row r="366">
      <c r="A366" s="9"/>
      <c r="B366" s="9"/>
      <c r="C366" s="9"/>
      <c r="D366" s="9"/>
      <c r="E366" s="9"/>
      <c r="F366" s="9"/>
      <c r="G366" s="9"/>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row>
    <row r="367">
      <c r="A367" s="9"/>
      <c r="B367" s="9"/>
      <c r="C367" s="9"/>
      <c r="D367" s="9"/>
      <c r="E367" s="9"/>
      <c r="F367" s="9"/>
      <c r="G367" s="9"/>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row>
    <row r="368">
      <c r="A368" s="9"/>
      <c r="B368" s="9"/>
      <c r="C368" s="9"/>
      <c r="D368" s="9"/>
      <c r="E368" s="9"/>
      <c r="F368" s="9"/>
      <c r="G368" s="9"/>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row>
    <row r="369">
      <c r="A369" s="9"/>
      <c r="B369" s="9"/>
      <c r="C369" s="9"/>
      <c r="D369" s="9"/>
      <c r="E369" s="9"/>
      <c r="F369" s="9"/>
      <c r="G369" s="9"/>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row>
    <row r="370">
      <c r="A370" s="9"/>
      <c r="B370" s="9"/>
      <c r="C370" s="9"/>
      <c r="D370" s="9"/>
      <c r="E370" s="9"/>
      <c r="F370" s="9"/>
      <c r="G370" s="9"/>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row>
    <row r="371">
      <c r="A371" s="9"/>
      <c r="B371" s="9"/>
      <c r="C371" s="9"/>
      <c r="D371" s="9"/>
      <c r="E371" s="9"/>
      <c r="F371" s="9"/>
      <c r="G371" s="9"/>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row>
    <row r="372">
      <c r="A372" s="9"/>
      <c r="B372" s="9"/>
      <c r="C372" s="9"/>
      <c r="D372" s="9"/>
      <c r="E372" s="9"/>
      <c r="F372" s="9"/>
      <c r="G372" s="9"/>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row>
    <row r="373">
      <c r="A373" s="9"/>
      <c r="B373" s="9"/>
      <c r="C373" s="9"/>
      <c r="D373" s="9"/>
      <c r="E373" s="9"/>
      <c r="F373" s="9"/>
      <c r="G373" s="9"/>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row>
    <row r="374">
      <c r="A374" s="9"/>
      <c r="B374" s="9"/>
      <c r="C374" s="9"/>
      <c r="D374" s="9"/>
      <c r="E374" s="9"/>
      <c r="F374" s="9"/>
      <c r="G374" s="9"/>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row>
    <row r="375">
      <c r="A375" s="9"/>
      <c r="B375" s="9"/>
      <c r="C375" s="9"/>
      <c r="D375" s="9"/>
      <c r="E375" s="9"/>
      <c r="F375" s="9"/>
      <c r="G375" s="9"/>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row>
    <row r="376">
      <c r="A376" s="9"/>
      <c r="B376" s="9"/>
      <c r="C376" s="9"/>
      <c r="D376" s="9"/>
      <c r="E376" s="9"/>
      <c r="F376" s="9"/>
      <c r="G376" s="9"/>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row>
    <row r="377">
      <c r="A377" s="9"/>
      <c r="B377" s="9"/>
      <c r="C377" s="9"/>
      <c r="D377" s="9"/>
      <c r="E377" s="9"/>
      <c r="F377" s="9"/>
      <c r="G377" s="9"/>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row>
    <row r="378">
      <c r="A378" s="9"/>
      <c r="B378" s="9"/>
      <c r="C378" s="9"/>
      <c r="D378" s="9"/>
      <c r="E378" s="9"/>
      <c r="F378" s="9"/>
      <c r="G378" s="9"/>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row>
    <row r="379">
      <c r="A379" s="9"/>
      <c r="B379" s="9"/>
      <c r="C379" s="9"/>
      <c r="D379" s="9"/>
      <c r="E379" s="9"/>
      <c r="F379" s="9"/>
      <c r="G379" s="9"/>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row>
    <row r="380">
      <c r="A380" s="9"/>
      <c r="B380" s="9"/>
      <c r="C380" s="9"/>
      <c r="D380" s="9"/>
      <c r="E380" s="9"/>
      <c r="F380" s="9"/>
      <c r="G380" s="9"/>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row>
    <row r="381">
      <c r="A381" s="9"/>
      <c r="B381" s="9"/>
      <c r="C381" s="9"/>
      <c r="D381" s="9"/>
      <c r="E381" s="9"/>
      <c r="F381" s="9"/>
      <c r="G381" s="9"/>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row>
    <row r="382">
      <c r="A382" s="9"/>
      <c r="B382" s="9"/>
      <c r="C382" s="9"/>
      <c r="D382" s="9"/>
      <c r="E382" s="9"/>
      <c r="F382" s="9"/>
      <c r="G382" s="9"/>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row>
    <row r="383">
      <c r="A383" s="9"/>
      <c r="B383" s="9"/>
      <c r="C383" s="9"/>
      <c r="D383" s="9"/>
      <c r="E383" s="9"/>
      <c r="F383" s="9"/>
      <c r="G383" s="9"/>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row>
    <row r="384">
      <c r="A384" s="9"/>
      <c r="B384" s="9"/>
      <c r="C384" s="9"/>
      <c r="D384" s="9"/>
      <c r="E384" s="9"/>
      <c r="F384" s="9"/>
      <c r="G384" s="9"/>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row>
    <row r="385">
      <c r="A385" s="9"/>
      <c r="B385" s="9"/>
      <c r="C385" s="9"/>
      <c r="D385" s="9"/>
      <c r="E385" s="9"/>
      <c r="F385" s="9"/>
      <c r="G385" s="9"/>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row>
    <row r="386">
      <c r="A386" s="9"/>
      <c r="B386" s="9"/>
      <c r="C386" s="9"/>
      <c r="D386" s="9"/>
      <c r="E386" s="9"/>
      <c r="F386" s="9"/>
      <c r="G386" s="9"/>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row>
    <row r="387">
      <c r="A387" s="9"/>
      <c r="B387" s="9"/>
      <c r="C387" s="9"/>
      <c r="D387" s="9"/>
      <c r="E387" s="9"/>
      <c r="F387" s="9"/>
      <c r="G387" s="9"/>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row>
    <row r="388">
      <c r="A388" s="9"/>
      <c r="B388" s="9"/>
      <c r="C388" s="9"/>
      <c r="D388" s="9"/>
      <c r="E388" s="9"/>
      <c r="F388" s="9"/>
      <c r="G388" s="9"/>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row>
    <row r="389">
      <c r="A389" s="9"/>
      <c r="B389" s="9"/>
      <c r="C389" s="9"/>
      <c r="D389" s="9"/>
      <c r="E389" s="9"/>
      <c r="F389" s="9"/>
      <c r="G389" s="9"/>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row>
    <row r="390">
      <c r="A390" s="9"/>
      <c r="B390" s="9"/>
      <c r="C390" s="9"/>
      <c r="D390" s="9"/>
      <c r="E390" s="9"/>
      <c r="F390" s="9"/>
      <c r="G390" s="9"/>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row>
    <row r="391">
      <c r="A391" s="9"/>
      <c r="B391" s="9"/>
      <c r="C391" s="9"/>
      <c r="D391" s="9"/>
      <c r="E391" s="9"/>
      <c r="F391" s="9"/>
      <c r="G391" s="9"/>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row>
    <row r="392">
      <c r="A392" s="9"/>
      <c r="B392" s="9"/>
      <c r="C392" s="9"/>
      <c r="D392" s="9"/>
      <c r="E392" s="9"/>
      <c r="F392" s="9"/>
      <c r="G392" s="9"/>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row>
    <row r="393">
      <c r="A393" s="9"/>
      <c r="B393" s="9"/>
      <c r="C393" s="9"/>
      <c r="D393" s="9"/>
      <c r="E393" s="9"/>
      <c r="F393" s="9"/>
      <c r="G393" s="9"/>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row>
    <row r="394">
      <c r="A394" s="9"/>
      <c r="B394" s="9"/>
      <c r="C394" s="9"/>
      <c r="D394" s="9"/>
      <c r="E394" s="9"/>
      <c r="F394" s="9"/>
      <c r="G394" s="9"/>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row>
    <row r="395">
      <c r="A395" s="9"/>
      <c r="B395" s="9"/>
      <c r="C395" s="9"/>
      <c r="D395" s="9"/>
      <c r="E395" s="9"/>
      <c r="F395" s="9"/>
      <c r="G395" s="9"/>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row>
    <row r="396">
      <c r="A396" s="9"/>
      <c r="B396" s="9"/>
      <c r="C396" s="9"/>
      <c r="D396" s="9"/>
      <c r="E396" s="9"/>
      <c r="F396" s="9"/>
      <c r="G396" s="9"/>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row>
    <row r="397">
      <c r="A397" s="9"/>
      <c r="B397" s="9"/>
      <c r="C397" s="9"/>
      <c r="D397" s="9"/>
      <c r="E397" s="9"/>
      <c r="F397" s="9"/>
      <c r="G397" s="9"/>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row>
    <row r="398">
      <c r="A398" s="9"/>
      <c r="B398" s="9"/>
      <c r="C398" s="9"/>
      <c r="D398" s="9"/>
      <c r="E398" s="9"/>
      <c r="F398" s="9"/>
      <c r="G398" s="9"/>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row>
    <row r="399">
      <c r="A399" s="9"/>
      <c r="B399" s="9"/>
      <c r="C399" s="9"/>
      <c r="D399" s="9"/>
      <c r="E399" s="9"/>
      <c r="F399" s="9"/>
      <c r="G399" s="9"/>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row>
    <row r="400">
      <c r="A400" s="9"/>
      <c r="B400" s="9"/>
      <c r="C400" s="9"/>
      <c r="D400" s="9"/>
      <c r="E400" s="9"/>
      <c r="F400" s="9"/>
      <c r="G400" s="9"/>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row>
    <row r="401">
      <c r="A401" s="9"/>
      <c r="B401" s="9"/>
      <c r="C401" s="9"/>
      <c r="D401" s="9"/>
      <c r="E401" s="9"/>
      <c r="F401" s="9"/>
      <c r="G401" s="9"/>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row>
    <row r="402">
      <c r="A402" s="9"/>
      <c r="B402" s="9"/>
      <c r="C402" s="9"/>
      <c r="D402" s="9"/>
      <c r="E402" s="9"/>
      <c r="F402" s="9"/>
      <c r="G402" s="9"/>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row>
    <row r="403">
      <c r="A403" s="9"/>
      <c r="B403" s="9"/>
      <c r="C403" s="9"/>
      <c r="D403" s="9"/>
      <c r="E403" s="9"/>
      <c r="F403" s="9"/>
      <c r="G403" s="9"/>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row>
    <row r="404">
      <c r="A404" s="9"/>
      <c r="B404" s="9"/>
      <c r="C404" s="9"/>
      <c r="D404" s="9"/>
      <c r="E404" s="9"/>
      <c r="F404" s="9"/>
      <c r="G404" s="9"/>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row>
    <row r="405">
      <c r="A405" s="9"/>
      <c r="B405" s="9"/>
      <c r="C405" s="9"/>
      <c r="D405" s="9"/>
      <c r="E405" s="9"/>
      <c r="F405" s="9"/>
      <c r="G405" s="9"/>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row>
    <row r="406">
      <c r="A406" s="9"/>
      <c r="B406" s="9"/>
      <c r="C406" s="9"/>
      <c r="D406" s="9"/>
      <c r="E406" s="9"/>
      <c r="F406" s="9"/>
      <c r="G406" s="9"/>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row>
    <row r="407">
      <c r="A407" s="9"/>
      <c r="B407" s="9"/>
      <c r="C407" s="9"/>
      <c r="D407" s="9"/>
      <c r="E407" s="9"/>
      <c r="F407" s="9"/>
      <c r="G407" s="9"/>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row>
    <row r="408">
      <c r="A408" s="9"/>
      <c r="B408" s="9"/>
      <c r="C408" s="9"/>
      <c r="D408" s="9"/>
      <c r="E408" s="9"/>
      <c r="F408" s="9"/>
      <c r="G408" s="9"/>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row>
    <row r="409">
      <c r="A409" s="9"/>
      <c r="B409" s="9"/>
      <c r="C409" s="9"/>
      <c r="D409" s="9"/>
      <c r="E409" s="9"/>
      <c r="F409" s="9"/>
      <c r="G409" s="9"/>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row>
    <row r="410">
      <c r="A410" s="9"/>
      <c r="B410" s="9"/>
      <c r="C410" s="9"/>
      <c r="D410" s="9"/>
      <c r="E410" s="9"/>
      <c r="F410" s="9"/>
      <c r="G410" s="9"/>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row>
    <row r="411">
      <c r="A411" s="9"/>
      <c r="B411" s="9"/>
      <c r="C411" s="9"/>
      <c r="D411" s="9"/>
      <c r="E411" s="9"/>
      <c r="F411" s="9"/>
      <c r="G411" s="9"/>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row>
    <row r="412">
      <c r="A412" s="9"/>
      <c r="B412" s="9"/>
      <c r="C412" s="9"/>
      <c r="D412" s="9"/>
      <c r="E412" s="9"/>
      <c r="F412" s="9"/>
      <c r="G412" s="9"/>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row>
    <row r="413">
      <c r="A413" s="9"/>
      <c r="B413" s="9"/>
      <c r="C413" s="9"/>
      <c r="D413" s="9"/>
      <c r="E413" s="9"/>
      <c r="F413" s="9"/>
      <c r="G413" s="9"/>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row>
    <row r="414">
      <c r="A414" s="9"/>
      <c r="B414" s="9"/>
      <c r="C414" s="9"/>
      <c r="D414" s="9"/>
      <c r="E414" s="9"/>
      <c r="F414" s="9"/>
      <c r="G414" s="9"/>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row>
    <row r="415">
      <c r="A415" s="9"/>
      <c r="B415" s="9"/>
      <c r="C415" s="9"/>
      <c r="D415" s="9"/>
      <c r="E415" s="9"/>
      <c r="F415" s="9"/>
      <c r="G415" s="9"/>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row>
    <row r="416">
      <c r="A416" s="9"/>
      <c r="B416" s="9"/>
      <c r="C416" s="9"/>
      <c r="D416" s="9"/>
      <c r="E416" s="9"/>
      <c r="F416" s="9"/>
      <c r="G416" s="9"/>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row>
    <row r="417">
      <c r="A417" s="9"/>
      <c r="B417" s="9"/>
      <c r="C417" s="9"/>
      <c r="D417" s="9"/>
      <c r="E417" s="9"/>
      <c r="F417" s="9"/>
      <c r="G417" s="9"/>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row>
    <row r="418">
      <c r="A418" s="9"/>
      <c r="B418" s="9"/>
      <c r="C418" s="9"/>
      <c r="D418" s="9"/>
      <c r="E418" s="9"/>
      <c r="F418" s="9"/>
      <c r="G418" s="9"/>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row>
    <row r="419">
      <c r="A419" s="9"/>
      <c r="B419" s="9"/>
      <c r="C419" s="9"/>
      <c r="D419" s="9"/>
      <c r="E419" s="9"/>
      <c r="F419" s="9"/>
      <c r="G419" s="9"/>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row>
    <row r="420">
      <c r="A420" s="9"/>
      <c r="B420" s="9"/>
      <c r="C420" s="9"/>
      <c r="D420" s="9"/>
      <c r="E420" s="9"/>
      <c r="F420" s="9"/>
      <c r="G420" s="9"/>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row>
    <row r="421">
      <c r="A421" s="9"/>
      <c r="B421" s="9"/>
      <c r="C421" s="9"/>
      <c r="D421" s="9"/>
      <c r="E421" s="9"/>
      <c r="F421" s="9"/>
      <c r="G421" s="9"/>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row>
    <row r="422">
      <c r="A422" s="9"/>
      <c r="B422" s="9"/>
      <c r="C422" s="9"/>
      <c r="D422" s="9"/>
      <c r="E422" s="9"/>
      <c r="F422" s="9"/>
      <c r="G422" s="9"/>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row>
    <row r="423">
      <c r="A423" s="9"/>
      <c r="B423" s="9"/>
      <c r="C423" s="9"/>
      <c r="D423" s="9"/>
      <c r="E423" s="9"/>
      <c r="F423" s="9"/>
      <c r="G423" s="9"/>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row>
    <row r="424">
      <c r="A424" s="9"/>
      <c r="B424" s="9"/>
      <c r="C424" s="9"/>
      <c r="D424" s="9"/>
      <c r="E424" s="9"/>
      <c r="F424" s="9"/>
      <c r="G424" s="9"/>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row>
    <row r="425">
      <c r="A425" s="9"/>
      <c r="B425" s="9"/>
      <c r="C425" s="9"/>
      <c r="D425" s="9"/>
      <c r="E425" s="9"/>
      <c r="F425" s="9"/>
      <c r="G425" s="9"/>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row>
    <row r="426">
      <c r="A426" s="9"/>
      <c r="B426" s="9"/>
      <c r="C426" s="9"/>
      <c r="D426" s="9"/>
      <c r="E426" s="9"/>
      <c r="F426" s="9"/>
      <c r="G426" s="9"/>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row>
    <row r="427">
      <c r="A427" s="9"/>
      <c r="B427" s="9"/>
      <c r="C427" s="9"/>
      <c r="D427" s="9"/>
      <c r="E427" s="9"/>
      <c r="F427" s="9"/>
      <c r="G427" s="9"/>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row>
    <row r="428">
      <c r="A428" s="9"/>
      <c r="B428" s="9"/>
      <c r="C428" s="9"/>
      <c r="D428" s="9"/>
      <c r="E428" s="9"/>
      <c r="F428" s="9"/>
      <c r="G428" s="9"/>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row>
    <row r="429">
      <c r="A429" s="9"/>
      <c r="B429" s="9"/>
      <c r="C429" s="9"/>
      <c r="D429" s="9"/>
      <c r="E429" s="9"/>
      <c r="F429" s="9"/>
      <c r="G429" s="9"/>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row>
    <row r="430">
      <c r="A430" s="9"/>
      <c r="B430" s="9"/>
      <c r="C430" s="9"/>
      <c r="D430" s="9"/>
      <c r="E430" s="9"/>
      <c r="F430" s="9"/>
      <c r="G430" s="9"/>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row>
    <row r="431">
      <c r="A431" s="9"/>
      <c r="B431" s="9"/>
      <c r="C431" s="9"/>
      <c r="D431" s="9"/>
      <c r="E431" s="9"/>
      <c r="F431" s="9"/>
      <c r="G431" s="9"/>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row>
    <row r="432">
      <c r="A432" s="9"/>
      <c r="B432" s="9"/>
      <c r="C432" s="9"/>
      <c r="D432" s="9"/>
      <c r="E432" s="9"/>
      <c r="F432" s="9"/>
      <c r="G432" s="9"/>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row>
    <row r="433">
      <c r="A433" s="9"/>
      <c r="B433" s="9"/>
      <c r="C433" s="9"/>
      <c r="D433" s="9"/>
      <c r="E433" s="9"/>
      <c r="F433" s="9"/>
      <c r="G433" s="9"/>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row>
    <row r="434">
      <c r="A434" s="9"/>
      <c r="B434" s="9"/>
      <c r="C434" s="9"/>
      <c r="D434" s="9"/>
      <c r="E434" s="9"/>
      <c r="F434" s="9"/>
      <c r="G434" s="9"/>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row>
    <row r="435">
      <c r="A435" s="9"/>
      <c r="B435" s="9"/>
      <c r="C435" s="9"/>
      <c r="D435" s="9"/>
      <c r="E435" s="9"/>
      <c r="F435" s="9"/>
      <c r="G435" s="9"/>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row>
    <row r="436">
      <c r="A436" s="9"/>
      <c r="B436" s="9"/>
      <c r="C436" s="9"/>
      <c r="D436" s="9"/>
      <c r="E436" s="9"/>
      <c r="F436" s="9"/>
      <c r="G436" s="9"/>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row>
    <row r="437">
      <c r="A437" s="9"/>
      <c r="B437" s="9"/>
      <c r="C437" s="9"/>
      <c r="D437" s="9"/>
      <c r="E437" s="9"/>
      <c r="F437" s="9"/>
      <c r="G437" s="9"/>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row>
    <row r="438">
      <c r="A438" s="9"/>
      <c r="B438" s="9"/>
      <c r="C438" s="9"/>
      <c r="D438" s="9"/>
      <c r="E438" s="9"/>
      <c r="F438" s="9"/>
      <c r="G438" s="9"/>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row>
    <row r="439">
      <c r="A439" s="9"/>
      <c r="B439" s="9"/>
      <c r="C439" s="9"/>
      <c r="D439" s="9"/>
      <c r="E439" s="9"/>
      <c r="F439" s="9"/>
      <c r="G439" s="9"/>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row>
    <row r="440">
      <c r="A440" s="9"/>
      <c r="B440" s="9"/>
      <c r="C440" s="9"/>
      <c r="D440" s="9"/>
      <c r="E440" s="9"/>
      <c r="F440" s="9"/>
      <c r="G440" s="9"/>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row>
    <row r="441">
      <c r="A441" s="9"/>
      <c r="B441" s="9"/>
      <c r="C441" s="9"/>
      <c r="D441" s="9"/>
      <c r="E441" s="9"/>
      <c r="F441" s="9"/>
      <c r="G441" s="9"/>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row>
    <row r="442">
      <c r="A442" s="9"/>
      <c r="B442" s="9"/>
      <c r="C442" s="9"/>
      <c r="D442" s="9"/>
      <c r="E442" s="9"/>
      <c r="F442" s="9"/>
      <c r="G442" s="9"/>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row>
    <row r="443">
      <c r="A443" s="9"/>
      <c r="B443" s="9"/>
      <c r="C443" s="9"/>
      <c r="D443" s="9"/>
      <c r="E443" s="9"/>
      <c r="F443" s="9"/>
      <c r="G443" s="9"/>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row>
    <row r="444">
      <c r="A444" s="9"/>
      <c r="B444" s="9"/>
      <c r="C444" s="9"/>
      <c r="D444" s="9"/>
      <c r="E444" s="9"/>
      <c r="F444" s="9"/>
      <c r="G444" s="9"/>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row>
    <row r="445">
      <c r="A445" s="9"/>
      <c r="B445" s="9"/>
      <c r="C445" s="9"/>
      <c r="D445" s="9"/>
      <c r="E445" s="9"/>
      <c r="F445" s="9"/>
      <c r="G445" s="9"/>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row>
    <row r="446">
      <c r="A446" s="9"/>
      <c r="B446" s="9"/>
      <c r="C446" s="9"/>
      <c r="D446" s="9"/>
      <c r="E446" s="9"/>
      <c r="F446" s="9"/>
      <c r="G446" s="9"/>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row>
    <row r="447">
      <c r="A447" s="9"/>
      <c r="B447" s="9"/>
      <c r="C447" s="9"/>
      <c r="D447" s="9"/>
      <c r="E447" s="9"/>
      <c r="F447" s="9"/>
      <c r="G447" s="9"/>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row>
    <row r="448">
      <c r="A448" s="9"/>
      <c r="B448" s="9"/>
      <c r="C448" s="9"/>
      <c r="D448" s="9"/>
      <c r="E448" s="9"/>
      <c r="F448" s="9"/>
      <c r="G448" s="9"/>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row>
    <row r="449">
      <c r="A449" s="9"/>
      <c r="B449" s="9"/>
      <c r="C449" s="9"/>
      <c r="D449" s="9"/>
      <c r="E449" s="9"/>
      <c r="F449" s="9"/>
      <c r="G449" s="9"/>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row>
    <row r="450">
      <c r="A450" s="9"/>
      <c r="B450" s="9"/>
      <c r="C450" s="9"/>
      <c r="D450" s="9"/>
      <c r="E450" s="9"/>
      <c r="F450" s="9"/>
      <c r="G450" s="9"/>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row>
    <row r="451">
      <c r="A451" s="9"/>
      <c r="B451" s="9"/>
      <c r="C451" s="9"/>
      <c r="D451" s="9"/>
      <c r="E451" s="9"/>
      <c r="F451" s="9"/>
      <c r="G451" s="9"/>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row>
    <row r="452">
      <c r="A452" s="9"/>
      <c r="B452" s="9"/>
      <c r="C452" s="9"/>
      <c r="D452" s="9"/>
      <c r="E452" s="9"/>
      <c r="F452" s="9"/>
      <c r="G452" s="9"/>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row>
    <row r="453">
      <c r="A453" s="9"/>
      <c r="B453" s="9"/>
      <c r="C453" s="9"/>
      <c r="D453" s="9"/>
      <c r="E453" s="9"/>
      <c r="F453" s="9"/>
      <c r="G453" s="9"/>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row>
    <row r="454">
      <c r="A454" s="9"/>
      <c r="B454" s="9"/>
      <c r="C454" s="9"/>
      <c r="D454" s="9"/>
      <c r="E454" s="9"/>
      <c r="F454" s="9"/>
      <c r="G454" s="9"/>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row>
    <row r="455">
      <c r="A455" s="9"/>
      <c r="B455" s="9"/>
      <c r="C455" s="9"/>
      <c r="D455" s="9"/>
      <c r="E455" s="9"/>
      <c r="F455" s="9"/>
      <c r="G455" s="9"/>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row>
    <row r="456">
      <c r="A456" s="9"/>
      <c r="B456" s="9"/>
      <c r="C456" s="9"/>
      <c r="D456" s="9"/>
      <c r="E456" s="9"/>
      <c r="F456" s="9"/>
      <c r="G456" s="9"/>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row>
    <row r="457">
      <c r="A457" s="9"/>
      <c r="B457" s="9"/>
      <c r="C457" s="9"/>
      <c r="D457" s="9"/>
      <c r="E457" s="9"/>
      <c r="F457" s="9"/>
      <c r="G457" s="9"/>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row>
    <row r="458">
      <c r="A458" s="9"/>
      <c r="B458" s="9"/>
      <c r="C458" s="9"/>
      <c r="D458" s="9"/>
      <c r="E458" s="9"/>
      <c r="F458" s="9"/>
      <c r="G458" s="9"/>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row>
    <row r="459">
      <c r="A459" s="9"/>
      <c r="B459" s="9"/>
      <c r="C459" s="9"/>
      <c r="D459" s="9"/>
      <c r="E459" s="9"/>
      <c r="F459" s="9"/>
      <c r="G459" s="9"/>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row>
    <row r="460">
      <c r="A460" s="9"/>
      <c r="B460" s="9"/>
      <c r="C460" s="9"/>
      <c r="D460" s="9"/>
      <c r="E460" s="9"/>
      <c r="F460" s="9"/>
      <c r="G460" s="9"/>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row>
    <row r="461">
      <c r="A461" s="9"/>
      <c r="B461" s="9"/>
      <c r="C461" s="9"/>
      <c r="D461" s="9"/>
      <c r="E461" s="9"/>
      <c r="F461" s="9"/>
      <c r="G461" s="9"/>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row>
    <row r="462">
      <c r="A462" s="9"/>
      <c r="B462" s="9"/>
      <c r="C462" s="9"/>
      <c r="D462" s="9"/>
      <c r="E462" s="9"/>
      <c r="F462" s="9"/>
      <c r="G462" s="9"/>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row>
    <row r="463">
      <c r="A463" s="9"/>
      <c r="B463" s="9"/>
      <c r="C463" s="9"/>
      <c r="D463" s="9"/>
      <c r="E463" s="9"/>
      <c r="F463" s="9"/>
      <c r="G463" s="9"/>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row>
    <row r="464">
      <c r="A464" s="9"/>
      <c r="B464" s="9"/>
      <c r="C464" s="9"/>
      <c r="D464" s="9"/>
      <c r="E464" s="9"/>
      <c r="F464" s="9"/>
      <c r="G464" s="9"/>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row>
    <row r="465">
      <c r="A465" s="9"/>
      <c r="B465" s="9"/>
      <c r="C465" s="9"/>
      <c r="D465" s="9"/>
      <c r="E465" s="9"/>
      <c r="F465" s="9"/>
      <c r="G465" s="9"/>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row>
    <row r="466">
      <c r="A466" s="9"/>
      <c r="B466" s="9"/>
      <c r="C466" s="9"/>
      <c r="D466" s="9"/>
      <c r="E466" s="9"/>
      <c r="F466" s="9"/>
      <c r="G466" s="9"/>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row>
    <row r="467">
      <c r="A467" s="9"/>
      <c r="B467" s="9"/>
      <c r="C467" s="9"/>
      <c r="D467" s="9"/>
      <c r="E467" s="9"/>
      <c r="F467" s="9"/>
      <c r="G467" s="9"/>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row>
    <row r="468">
      <c r="A468" s="9"/>
      <c r="B468" s="9"/>
      <c r="C468" s="9"/>
      <c r="D468" s="9"/>
      <c r="E468" s="9"/>
      <c r="F468" s="9"/>
      <c r="G468" s="9"/>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row>
    <row r="469">
      <c r="A469" s="9"/>
      <c r="B469" s="9"/>
      <c r="C469" s="9"/>
      <c r="D469" s="9"/>
      <c r="E469" s="9"/>
      <c r="F469" s="9"/>
      <c r="G469" s="9"/>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row>
    <row r="470">
      <c r="A470" s="9"/>
      <c r="B470" s="9"/>
      <c r="C470" s="9"/>
      <c r="D470" s="9"/>
      <c r="E470" s="9"/>
      <c r="F470" s="9"/>
      <c r="G470" s="9"/>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row>
    <row r="471">
      <c r="A471" s="9"/>
      <c r="B471" s="9"/>
      <c r="C471" s="9"/>
      <c r="D471" s="9"/>
      <c r="E471" s="9"/>
      <c r="F471" s="9"/>
      <c r="G471" s="9"/>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row>
    <row r="472">
      <c r="A472" s="9"/>
      <c r="B472" s="9"/>
      <c r="C472" s="9"/>
      <c r="D472" s="9"/>
      <c r="E472" s="9"/>
      <c r="F472" s="9"/>
      <c r="G472" s="9"/>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row>
    <row r="473">
      <c r="A473" s="9"/>
      <c r="B473" s="9"/>
      <c r="C473" s="9"/>
      <c r="D473" s="9"/>
      <c r="E473" s="9"/>
      <c r="F473" s="9"/>
      <c r="G473" s="9"/>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row>
    <row r="474">
      <c r="A474" s="9"/>
      <c r="B474" s="9"/>
      <c r="C474" s="9"/>
      <c r="D474" s="9"/>
      <c r="E474" s="9"/>
      <c r="F474" s="9"/>
      <c r="G474" s="9"/>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row>
    <row r="475">
      <c r="A475" s="9"/>
      <c r="B475" s="9"/>
      <c r="C475" s="9"/>
      <c r="D475" s="9"/>
      <c r="E475" s="9"/>
      <c r="F475" s="9"/>
      <c r="G475" s="9"/>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row>
    <row r="476">
      <c r="A476" s="9"/>
      <c r="B476" s="9"/>
      <c r="C476" s="9"/>
      <c r="D476" s="9"/>
      <c r="E476" s="9"/>
      <c r="F476" s="9"/>
      <c r="G476" s="9"/>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row>
    <row r="477">
      <c r="A477" s="9"/>
      <c r="B477" s="9"/>
      <c r="C477" s="9"/>
      <c r="D477" s="9"/>
      <c r="E477" s="9"/>
      <c r="F477" s="9"/>
      <c r="G477" s="9"/>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row>
    <row r="478">
      <c r="A478" s="9"/>
      <c r="B478" s="9"/>
      <c r="C478" s="9"/>
      <c r="D478" s="9"/>
      <c r="E478" s="9"/>
      <c r="F478" s="9"/>
      <c r="G478" s="9"/>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row>
    <row r="479">
      <c r="A479" s="9"/>
      <c r="B479" s="9"/>
      <c r="C479" s="9"/>
      <c r="D479" s="9"/>
      <c r="E479" s="9"/>
      <c r="F479" s="9"/>
      <c r="G479" s="9"/>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row>
    <row r="480">
      <c r="A480" s="9"/>
      <c r="B480" s="9"/>
      <c r="C480" s="9"/>
      <c r="D480" s="9"/>
      <c r="E480" s="9"/>
      <c r="F480" s="9"/>
      <c r="G480" s="9"/>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row>
    <row r="481">
      <c r="A481" s="9"/>
      <c r="B481" s="9"/>
      <c r="C481" s="9"/>
      <c r="D481" s="9"/>
      <c r="E481" s="9"/>
      <c r="F481" s="9"/>
      <c r="G481" s="9"/>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row>
    <row r="482">
      <c r="A482" s="9"/>
      <c r="B482" s="9"/>
      <c r="C482" s="9"/>
      <c r="D482" s="9"/>
      <c r="E482" s="9"/>
      <c r="F482" s="9"/>
      <c r="G482" s="9"/>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row>
    <row r="483">
      <c r="A483" s="9"/>
      <c r="B483" s="9"/>
      <c r="C483" s="9"/>
      <c r="D483" s="9"/>
      <c r="E483" s="9"/>
      <c r="F483" s="9"/>
      <c r="G483" s="9"/>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row>
    <row r="484">
      <c r="A484" s="9"/>
      <c r="B484" s="9"/>
      <c r="C484" s="9"/>
      <c r="D484" s="9"/>
      <c r="E484" s="9"/>
      <c r="F484" s="9"/>
      <c r="G484" s="9"/>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row>
    <row r="485">
      <c r="A485" s="9"/>
      <c r="B485" s="9"/>
      <c r="C485" s="9"/>
      <c r="D485" s="9"/>
      <c r="E485" s="9"/>
      <c r="F485" s="9"/>
      <c r="G485" s="9"/>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row>
    <row r="486">
      <c r="A486" s="9"/>
      <c r="B486" s="9"/>
      <c r="C486" s="9"/>
      <c r="D486" s="9"/>
      <c r="E486" s="9"/>
      <c r="F486" s="9"/>
      <c r="G486" s="9"/>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row>
    <row r="487">
      <c r="A487" s="9"/>
      <c r="B487" s="9"/>
      <c r="C487" s="9"/>
      <c r="D487" s="9"/>
      <c r="E487" s="9"/>
      <c r="F487" s="9"/>
      <c r="G487" s="9"/>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row>
    <row r="488">
      <c r="A488" s="9"/>
      <c r="B488" s="9"/>
      <c r="C488" s="9"/>
      <c r="D488" s="9"/>
      <c r="E488" s="9"/>
      <c r="F488" s="9"/>
      <c r="G488" s="9"/>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row>
    <row r="489">
      <c r="A489" s="9"/>
      <c r="B489" s="9"/>
      <c r="C489" s="9"/>
      <c r="D489" s="9"/>
      <c r="E489" s="9"/>
      <c r="F489" s="9"/>
      <c r="G489" s="9"/>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row>
    <row r="490">
      <c r="A490" s="9"/>
      <c r="B490" s="9"/>
      <c r="C490" s="9"/>
      <c r="D490" s="9"/>
      <c r="E490" s="9"/>
      <c r="F490" s="9"/>
      <c r="G490" s="9"/>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row>
    <row r="491">
      <c r="A491" s="9"/>
      <c r="B491" s="9"/>
      <c r="C491" s="9"/>
      <c r="D491" s="9"/>
      <c r="E491" s="9"/>
      <c r="F491" s="9"/>
      <c r="G491" s="9"/>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row>
    <row r="492">
      <c r="A492" s="9"/>
      <c r="B492" s="9"/>
      <c r="C492" s="9"/>
      <c r="D492" s="9"/>
      <c r="E492" s="9"/>
      <c r="F492" s="9"/>
      <c r="G492" s="9"/>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row>
    <row r="493">
      <c r="A493" s="9"/>
      <c r="B493" s="9"/>
      <c r="C493" s="9"/>
      <c r="D493" s="9"/>
      <c r="E493" s="9"/>
      <c r="F493" s="9"/>
      <c r="G493" s="9"/>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row>
    <row r="494">
      <c r="A494" s="9"/>
      <c r="B494" s="9"/>
      <c r="C494" s="9"/>
      <c r="D494" s="9"/>
      <c r="E494" s="9"/>
      <c r="F494" s="9"/>
      <c r="G494" s="9"/>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row>
    <row r="495">
      <c r="A495" s="9"/>
      <c r="B495" s="9"/>
      <c r="C495" s="9"/>
      <c r="D495" s="9"/>
      <c r="E495" s="9"/>
      <c r="F495" s="9"/>
      <c r="G495" s="9"/>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row>
    <row r="496">
      <c r="A496" s="9"/>
      <c r="B496" s="9"/>
      <c r="C496" s="9"/>
      <c r="D496" s="9"/>
      <c r="E496" s="9"/>
      <c r="F496" s="9"/>
      <c r="G496" s="9"/>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row>
    <row r="497">
      <c r="A497" s="9"/>
      <c r="B497" s="9"/>
      <c r="C497" s="9"/>
      <c r="D497" s="9"/>
      <c r="E497" s="9"/>
      <c r="F497" s="9"/>
      <c r="G497" s="9"/>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row>
    <row r="498">
      <c r="A498" s="9"/>
      <c r="B498" s="9"/>
      <c r="C498" s="9"/>
      <c r="D498" s="9"/>
      <c r="E498" s="9"/>
      <c r="F498" s="9"/>
      <c r="G498" s="9"/>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row>
    <row r="499">
      <c r="A499" s="9"/>
      <c r="B499" s="9"/>
      <c r="C499" s="9"/>
      <c r="D499" s="9"/>
      <c r="E499" s="9"/>
      <c r="F499" s="9"/>
      <c r="G499" s="9"/>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row>
    <row r="500">
      <c r="A500" s="9"/>
      <c r="B500" s="9"/>
      <c r="C500" s="9"/>
      <c r="D500" s="9"/>
      <c r="E500" s="9"/>
      <c r="F500" s="9"/>
      <c r="G500" s="9"/>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row>
    <row r="501">
      <c r="A501" s="9"/>
      <c r="B501" s="9"/>
      <c r="C501" s="9"/>
      <c r="D501" s="9"/>
      <c r="E501" s="9"/>
      <c r="F501" s="9"/>
      <c r="G501" s="9"/>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row>
    <row r="502">
      <c r="A502" s="9"/>
      <c r="B502" s="9"/>
      <c r="C502" s="9"/>
      <c r="D502" s="9"/>
      <c r="E502" s="9"/>
      <c r="F502" s="9"/>
      <c r="G502" s="9"/>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row>
    <row r="503">
      <c r="A503" s="9"/>
      <c r="B503" s="9"/>
      <c r="C503" s="9"/>
      <c r="D503" s="9"/>
      <c r="E503" s="9"/>
      <c r="F503" s="9"/>
      <c r="G503" s="9"/>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row>
    <row r="504">
      <c r="A504" s="9"/>
      <c r="B504" s="9"/>
      <c r="C504" s="9"/>
      <c r="D504" s="9"/>
      <c r="E504" s="9"/>
      <c r="F504" s="9"/>
      <c r="G504" s="9"/>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row>
    <row r="505">
      <c r="A505" s="9"/>
      <c r="B505" s="9"/>
      <c r="C505" s="9"/>
      <c r="D505" s="9"/>
      <c r="E505" s="9"/>
      <c r="F505" s="9"/>
      <c r="G505" s="9"/>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row>
    <row r="506">
      <c r="A506" s="9"/>
      <c r="B506" s="9"/>
      <c r="C506" s="9"/>
      <c r="D506" s="9"/>
      <c r="E506" s="9"/>
      <c r="F506" s="9"/>
      <c r="G506" s="9"/>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row>
    <row r="507">
      <c r="A507" s="9"/>
      <c r="B507" s="9"/>
      <c r="C507" s="9"/>
      <c r="D507" s="9"/>
      <c r="E507" s="9"/>
      <c r="F507" s="9"/>
      <c r="G507" s="9"/>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row>
    <row r="508">
      <c r="A508" s="9"/>
      <c r="B508" s="9"/>
      <c r="C508" s="9"/>
      <c r="D508" s="9"/>
      <c r="E508" s="9"/>
      <c r="F508" s="9"/>
      <c r="G508" s="9"/>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row>
    <row r="509">
      <c r="A509" s="9"/>
      <c r="B509" s="9"/>
      <c r="C509" s="9"/>
      <c r="D509" s="9"/>
      <c r="E509" s="9"/>
      <c r="F509" s="9"/>
      <c r="G509" s="9"/>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row>
    <row r="510">
      <c r="A510" s="9"/>
      <c r="B510" s="9"/>
      <c r="C510" s="9"/>
      <c r="D510" s="9"/>
      <c r="E510" s="9"/>
      <c r="F510" s="9"/>
      <c r="G510" s="9"/>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row>
    <row r="511">
      <c r="A511" s="9"/>
      <c r="B511" s="9"/>
      <c r="C511" s="9"/>
      <c r="D511" s="9"/>
      <c r="E511" s="9"/>
      <c r="F511" s="9"/>
      <c r="G511" s="9"/>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row>
    <row r="512">
      <c r="A512" s="9"/>
      <c r="B512" s="9"/>
      <c r="C512" s="9"/>
      <c r="D512" s="9"/>
      <c r="E512" s="9"/>
      <c r="F512" s="9"/>
      <c r="G512" s="9"/>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row>
    <row r="513">
      <c r="A513" s="9"/>
      <c r="B513" s="9"/>
      <c r="C513" s="9"/>
      <c r="D513" s="9"/>
      <c r="E513" s="9"/>
      <c r="F513" s="9"/>
      <c r="G513" s="9"/>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row>
    <row r="514">
      <c r="A514" s="9"/>
      <c r="B514" s="9"/>
      <c r="C514" s="9"/>
      <c r="D514" s="9"/>
      <c r="E514" s="9"/>
      <c r="F514" s="9"/>
      <c r="G514" s="9"/>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row>
    <row r="515">
      <c r="A515" s="9"/>
      <c r="B515" s="9"/>
      <c r="C515" s="9"/>
      <c r="D515" s="9"/>
      <c r="E515" s="9"/>
      <c r="F515" s="9"/>
      <c r="G515" s="9"/>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row>
    <row r="516">
      <c r="A516" s="9"/>
      <c r="B516" s="9"/>
      <c r="C516" s="9"/>
      <c r="D516" s="9"/>
      <c r="E516" s="9"/>
      <c r="F516" s="9"/>
      <c r="G516" s="9"/>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row>
    <row r="517">
      <c r="A517" s="9"/>
      <c r="B517" s="9"/>
      <c r="C517" s="9"/>
      <c r="D517" s="9"/>
      <c r="E517" s="9"/>
      <c r="F517" s="9"/>
      <c r="G517" s="9"/>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row>
    <row r="518">
      <c r="A518" s="9"/>
      <c r="B518" s="9"/>
      <c r="C518" s="9"/>
      <c r="D518" s="9"/>
      <c r="E518" s="9"/>
      <c r="F518" s="9"/>
      <c r="G518" s="9"/>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row>
    <row r="519">
      <c r="A519" s="9"/>
      <c r="B519" s="9"/>
      <c r="C519" s="9"/>
      <c r="D519" s="9"/>
      <c r="E519" s="9"/>
      <c r="F519" s="9"/>
      <c r="G519" s="9"/>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row>
    <row r="520">
      <c r="A520" s="9"/>
      <c r="B520" s="9"/>
      <c r="C520" s="9"/>
      <c r="D520" s="9"/>
      <c r="E520" s="9"/>
      <c r="F520" s="9"/>
      <c r="G520" s="9"/>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row>
    <row r="521">
      <c r="A521" s="9"/>
      <c r="B521" s="9"/>
      <c r="C521" s="9"/>
      <c r="D521" s="9"/>
      <c r="E521" s="9"/>
      <c r="F521" s="9"/>
      <c r="G521" s="9"/>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row>
    <row r="522">
      <c r="A522" s="9"/>
      <c r="B522" s="9"/>
      <c r="C522" s="9"/>
      <c r="D522" s="9"/>
      <c r="E522" s="9"/>
      <c r="F522" s="9"/>
      <c r="G522" s="9"/>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row>
    <row r="523">
      <c r="A523" s="9"/>
      <c r="B523" s="9"/>
      <c r="C523" s="9"/>
      <c r="D523" s="9"/>
      <c r="E523" s="9"/>
      <c r="F523" s="9"/>
      <c r="G523" s="9"/>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row>
    <row r="524">
      <c r="A524" s="9"/>
      <c r="B524" s="9"/>
      <c r="C524" s="9"/>
      <c r="D524" s="9"/>
      <c r="E524" s="9"/>
      <c r="F524" s="9"/>
      <c r="G524" s="9"/>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row>
    <row r="525">
      <c r="A525" s="9"/>
      <c r="B525" s="9"/>
      <c r="C525" s="9"/>
      <c r="D525" s="9"/>
      <c r="E525" s="9"/>
      <c r="F525" s="9"/>
      <c r="G525" s="9"/>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row>
    <row r="526">
      <c r="A526" s="9"/>
      <c r="B526" s="9"/>
      <c r="C526" s="9"/>
      <c r="D526" s="9"/>
      <c r="E526" s="9"/>
      <c r="F526" s="9"/>
      <c r="G526" s="9"/>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row>
    <row r="527">
      <c r="A527" s="9"/>
      <c r="B527" s="9"/>
      <c r="C527" s="9"/>
      <c r="D527" s="9"/>
      <c r="E527" s="9"/>
      <c r="F527" s="9"/>
      <c r="G527" s="9"/>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row>
    <row r="528">
      <c r="A528" s="9"/>
      <c r="B528" s="9"/>
      <c r="C528" s="9"/>
      <c r="D528" s="9"/>
      <c r="E528" s="9"/>
      <c r="F528" s="9"/>
      <c r="G528" s="9"/>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row>
    <row r="529">
      <c r="A529" s="9"/>
      <c r="B529" s="9"/>
      <c r="C529" s="9"/>
      <c r="D529" s="9"/>
      <c r="E529" s="9"/>
      <c r="F529" s="9"/>
      <c r="G529" s="9"/>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row>
    <row r="530">
      <c r="A530" s="9"/>
      <c r="B530" s="9"/>
      <c r="C530" s="9"/>
      <c r="D530" s="9"/>
      <c r="E530" s="9"/>
      <c r="F530" s="9"/>
      <c r="G530" s="9"/>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row>
    <row r="531">
      <c r="A531" s="9"/>
      <c r="B531" s="9"/>
      <c r="C531" s="9"/>
      <c r="D531" s="9"/>
      <c r="E531" s="9"/>
      <c r="F531" s="9"/>
      <c r="G531" s="9"/>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row>
    <row r="532">
      <c r="A532" s="9"/>
      <c r="B532" s="9"/>
      <c r="C532" s="9"/>
      <c r="D532" s="9"/>
      <c r="E532" s="9"/>
      <c r="F532" s="9"/>
      <c r="G532" s="9"/>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row>
    <row r="533">
      <c r="A533" s="9"/>
      <c r="B533" s="9"/>
      <c r="C533" s="9"/>
      <c r="D533" s="9"/>
      <c r="E533" s="9"/>
      <c r="F533" s="9"/>
      <c r="G533" s="9"/>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row>
    <row r="534">
      <c r="A534" s="9"/>
      <c r="B534" s="9"/>
      <c r="C534" s="9"/>
      <c r="D534" s="9"/>
      <c r="E534" s="9"/>
      <c r="F534" s="9"/>
      <c r="G534" s="9"/>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row>
    <row r="535">
      <c r="A535" s="9"/>
      <c r="B535" s="9"/>
      <c r="C535" s="9"/>
      <c r="D535" s="9"/>
      <c r="E535" s="9"/>
      <c r="F535" s="9"/>
      <c r="G535" s="9"/>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row>
    <row r="536">
      <c r="A536" s="9"/>
      <c r="B536" s="9"/>
      <c r="C536" s="9"/>
      <c r="D536" s="9"/>
      <c r="E536" s="9"/>
      <c r="F536" s="9"/>
      <c r="G536" s="9"/>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row>
    <row r="537">
      <c r="A537" s="9"/>
      <c r="B537" s="9"/>
      <c r="C537" s="9"/>
      <c r="D537" s="9"/>
      <c r="E537" s="9"/>
      <c r="F537" s="9"/>
      <c r="G537" s="9"/>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row>
    <row r="538">
      <c r="A538" s="9"/>
      <c r="B538" s="9"/>
      <c r="C538" s="9"/>
      <c r="D538" s="9"/>
      <c r="E538" s="9"/>
      <c r="F538" s="9"/>
      <c r="G538" s="9"/>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row>
    <row r="539">
      <c r="A539" s="9"/>
      <c r="B539" s="9"/>
      <c r="C539" s="9"/>
      <c r="D539" s="9"/>
      <c r="E539" s="9"/>
      <c r="F539" s="9"/>
      <c r="G539" s="9"/>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row>
    <row r="540">
      <c r="A540" s="9"/>
      <c r="B540" s="9"/>
      <c r="C540" s="9"/>
      <c r="D540" s="9"/>
      <c r="E540" s="9"/>
      <c r="F540" s="9"/>
      <c r="G540" s="9"/>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row>
    <row r="541">
      <c r="A541" s="9"/>
      <c r="B541" s="9"/>
      <c r="C541" s="9"/>
      <c r="D541" s="9"/>
      <c r="E541" s="9"/>
      <c r="F541" s="9"/>
      <c r="G541" s="9"/>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row>
    <row r="542">
      <c r="A542" s="9"/>
      <c r="B542" s="9"/>
      <c r="C542" s="9"/>
      <c r="D542" s="9"/>
      <c r="E542" s="9"/>
      <c r="F542" s="9"/>
      <c r="G542" s="9"/>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row>
    <row r="543">
      <c r="A543" s="9"/>
      <c r="B543" s="9"/>
      <c r="C543" s="9"/>
      <c r="D543" s="9"/>
      <c r="E543" s="9"/>
      <c r="F543" s="9"/>
      <c r="G543" s="9"/>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row>
    <row r="544">
      <c r="A544" s="9"/>
      <c r="B544" s="9"/>
      <c r="C544" s="9"/>
      <c r="D544" s="9"/>
      <c r="E544" s="9"/>
      <c r="F544" s="9"/>
      <c r="G544" s="9"/>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row>
    <row r="545">
      <c r="A545" s="9"/>
      <c r="B545" s="9"/>
      <c r="C545" s="9"/>
      <c r="D545" s="9"/>
      <c r="E545" s="9"/>
      <c r="F545" s="9"/>
      <c r="G545" s="9"/>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row>
    <row r="546">
      <c r="A546" s="9"/>
      <c r="B546" s="9"/>
      <c r="C546" s="9"/>
      <c r="D546" s="9"/>
      <c r="E546" s="9"/>
      <c r="F546" s="9"/>
      <c r="G546" s="9"/>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row>
    <row r="547">
      <c r="A547" s="9"/>
      <c r="B547" s="9"/>
      <c r="C547" s="9"/>
      <c r="D547" s="9"/>
      <c r="E547" s="9"/>
      <c r="F547" s="9"/>
      <c r="G547" s="9"/>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row>
    <row r="548">
      <c r="A548" s="9"/>
      <c r="B548" s="9"/>
      <c r="C548" s="9"/>
      <c r="D548" s="9"/>
      <c r="E548" s="9"/>
      <c r="F548" s="9"/>
      <c r="G548" s="9"/>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row>
    <row r="549">
      <c r="A549" s="9"/>
      <c r="B549" s="9"/>
      <c r="C549" s="9"/>
      <c r="D549" s="9"/>
      <c r="E549" s="9"/>
      <c r="F549" s="9"/>
      <c r="G549" s="9"/>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row>
    <row r="550">
      <c r="A550" s="9"/>
      <c r="B550" s="9"/>
      <c r="C550" s="9"/>
      <c r="D550" s="9"/>
      <c r="E550" s="9"/>
      <c r="F550" s="9"/>
      <c r="G550" s="9"/>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row>
    <row r="551">
      <c r="A551" s="9"/>
      <c r="B551" s="9"/>
      <c r="C551" s="9"/>
      <c r="D551" s="9"/>
      <c r="E551" s="9"/>
      <c r="F551" s="9"/>
      <c r="G551" s="9"/>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row>
    <row r="552">
      <c r="A552" s="9"/>
      <c r="B552" s="9"/>
      <c r="C552" s="9"/>
      <c r="D552" s="9"/>
      <c r="E552" s="9"/>
      <c r="F552" s="9"/>
      <c r="G552" s="9"/>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row>
    <row r="553">
      <c r="A553" s="9"/>
      <c r="B553" s="9"/>
      <c r="C553" s="9"/>
      <c r="D553" s="9"/>
      <c r="E553" s="9"/>
      <c r="F553" s="9"/>
      <c r="G553" s="9"/>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row>
    <row r="554">
      <c r="A554" s="9"/>
      <c r="B554" s="9"/>
      <c r="C554" s="9"/>
      <c r="D554" s="9"/>
      <c r="E554" s="9"/>
      <c r="F554" s="9"/>
      <c r="G554" s="9"/>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row>
    <row r="555">
      <c r="A555" s="9"/>
      <c r="B555" s="9"/>
      <c r="C555" s="9"/>
      <c r="D555" s="9"/>
      <c r="E555" s="9"/>
      <c r="F555" s="9"/>
      <c r="G555" s="9"/>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row>
    <row r="556">
      <c r="A556" s="9"/>
      <c r="B556" s="9"/>
      <c r="C556" s="9"/>
      <c r="D556" s="9"/>
      <c r="E556" s="9"/>
      <c r="F556" s="9"/>
      <c r="G556" s="9"/>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row>
    <row r="557">
      <c r="A557" s="9"/>
      <c r="B557" s="9"/>
      <c r="C557" s="9"/>
      <c r="D557" s="9"/>
      <c r="E557" s="9"/>
      <c r="F557" s="9"/>
      <c r="G557" s="9"/>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row>
    <row r="558">
      <c r="A558" s="9"/>
      <c r="B558" s="9"/>
      <c r="C558" s="9"/>
      <c r="D558" s="9"/>
      <c r="E558" s="9"/>
      <c r="F558" s="9"/>
      <c r="G558" s="9"/>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row>
    <row r="559">
      <c r="A559" s="9"/>
      <c r="B559" s="9"/>
      <c r="C559" s="9"/>
      <c r="D559" s="9"/>
      <c r="E559" s="9"/>
      <c r="F559" s="9"/>
      <c r="G559" s="9"/>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row>
    <row r="560">
      <c r="A560" s="9"/>
      <c r="B560" s="9"/>
      <c r="C560" s="9"/>
      <c r="D560" s="9"/>
      <c r="E560" s="9"/>
      <c r="F560" s="9"/>
      <c r="G560" s="9"/>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row>
    <row r="561">
      <c r="A561" s="9"/>
      <c r="B561" s="9"/>
      <c r="C561" s="9"/>
      <c r="D561" s="9"/>
      <c r="E561" s="9"/>
      <c r="F561" s="9"/>
      <c r="G561" s="9"/>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row>
    <row r="562">
      <c r="A562" s="9"/>
      <c r="B562" s="9"/>
      <c r="C562" s="9"/>
      <c r="D562" s="9"/>
      <c r="E562" s="9"/>
      <c r="F562" s="9"/>
      <c r="G562" s="9"/>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row>
    <row r="563">
      <c r="A563" s="9"/>
      <c r="B563" s="9"/>
      <c r="C563" s="9"/>
      <c r="D563" s="9"/>
      <c r="E563" s="9"/>
      <c r="F563" s="9"/>
      <c r="G563" s="9"/>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row>
    <row r="564">
      <c r="A564" s="9"/>
      <c r="B564" s="9"/>
      <c r="C564" s="9"/>
      <c r="D564" s="9"/>
      <c r="E564" s="9"/>
      <c r="F564" s="9"/>
      <c r="G564" s="9"/>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row>
    <row r="565">
      <c r="A565" s="9"/>
      <c r="B565" s="9"/>
      <c r="C565" s="9"/>
      <c r="D565" s="9"/>
      <c r="E565" s="9"/>
      <c r="F565" s="9"/>
      <c r="G565" s="9"/>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row>
    <row r="566">
      <c r="A566" s="9"/>
      <c r="B566" s="9"/>
      <c r="C566" s="9"/>
      <c r="D566" s="9"/>
      <c r="E566" s="9"/>
      <c r="F566" s="9"/>
      <c r="G566" s="9"/>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row>
    <row r="567">
      <c r="A567" s="9"/>
      <c r="B567" s="9"/>
      <c r="C567" s="9"/>
      <c r="D567" s="9"/>
      <c r="E567" s="9"/>
      <c r="F567" s="9"/>
      <c r="G567" s="9"/>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row>
    <row r="568">
      <c r="A568" s="9"/>
      <c r="B568" s="9"/>
      <c r="C568" s="9"/>
      <c r="D568" s="9"/>
      <c r="E568" s="9"/>
      <c r="F568" s="9"/>
      <c r="G568" s="9"/>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row>
    <row r="569">
      <c r="A569" s="9"/>
      <c r="B569" s="9"/>
      <c r="C569" s="9"/>
      <c r="D569" s="9"/>
      <c r="E569" s="9"/>
      <c r="F569" s="9"/>
      <c r="G569" s="9"/>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row>
    <row r="570">
      <c r="A570" s="9"/>
      <c r="B570" s="9"/>
      <c r="C570" s="9"/>
      <c r="D570" s="9"/>
      <c r="E570" s="9"/>
      <c r="F570" s="9"/>
      <c r="G570" s="9"/>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row>
    <row r="571">
      <c r="A571" s="9"/>
      <c r="B571" s="9"/>
      <c r="C571" s="9"/>
      <c r="D571" s="9"/>
      <c r="E571" s="9"/>
      <c r="F571" s="9"/>
      <c r="G571" s="9"/>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row>
    <row r="572">
      <c r="A572" s="9"/>
      <c r="B572" s="9"/>
      <c r="C572" s="9"/>
      <c r="D572" s="9"/>
      <c r="E572" s="9"/>
      <c r="F572" s="9"/>
      <c r="G572" s="9"/>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row>
    <row r="573">
      <c r="A573" s="9"/>
      <c r="B573" s="9"/>
      <c r="C573" s="9"/>
      <c r="D573" s="9"/>
      <c r="E573" s="9"/>
      <c r="F573" s="9"/>
      <c r="G573" s="9"/>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row>
    <row r="574">
      <c r="A574" s="9"/>
      <c r="B574" s="9"/>
      <c r="C574" s="9"/>
      <c r="D574" s="9"/>
      <c r="E574" s="9"/>
      <c r="F574" s="9"/>
      <c r="G574" s="9"/>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row>
    <row r="575">
      <c r="A575" s="9"/>
      <c r="B575" s="9"/>
      <c r="C575" s="9"/>
      <c r="D575" s="9"/>
      <c r="E575" s="9"/>
      <c r="F575" s="9"/>
      <c r="G575" s="9"/>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row>
    <row r="576">
      <c r="A576" s="9"/>
      <c r="B576" s="9"/>
      <c r="C576" s="9"/>
      <c r="D576" s="9"/>
      <c r="E576" s="9"/>
      <c r="F576" s="9"/>
      <c r="G576" s="9"/>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row>
    <row r="577">
      <c r="A577" s="9"/>
      <c r="B577" s="9"/>
      <c r="C577" s="9"/>
      <c r="D577" s="9"/>
      <c r="E577" s="9"/>
      <c r="F577" s="9"/>
      <c r="G577" s="9"/>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row>
    <row r="578">
      <c r="A578" s="9"/>
      <c r="B578" s="9"/>
      <c r="C578" s="9"/>
      <c r="D578" s="9"/>
      <c r="E578" s="9"/>
      <c r="F578" s="9"/>
      <c r="G578" s="9"/>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row>
    <row r="579">
      <c r="A579" s="9"/>
      <c r="B579" s="9"/>
      <c r="C579" s="9"/>
      <c r="D579" s="9"/>
      <c r="E579" s="9"/>
      <c r="F579" s="9"/>
      <c r="G579" s="9"/>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row>
    <row r="580">
      <c r="A580" s="9"/>
      <c r="B580" s="9"/>
      <c r="C580" s="9"/>
      <c r="D580" s="9"/>
      <c r="E580" s="9"/>
      <c r="F580" s="9"/>
      <c r="G580" s="9"/>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row>
    <row r="581">
      <c r="A581" s="9"/>
      <c r="B581" s="9"/>
      <c r="C581" s="9"/>
      <c r="D581" s="9"/>
      <c r="E581" s="9"/>
      <c r="F581" s="9"/>
      <c r="G581" s="9"/>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row>
    <row r="582">
      <c r="A582" s="9"/>
      <c r="B582" s="9"/>
      <c r="C582" s="9"/>
      <c r="D582" s="9"/>
      <c r="E582" s="9"/>
      <c r="F582" s="9"/>
      <c r="G582" s="9"/>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row>
    <row r="583">
      <c r="A583" s="9"/>
      <c r="B583" s="9"/>
      <c r="C583" s="9"/>
      <c r="D583" s="9"/>
      <c r="E583" s="9"/>
      <c r="F583" s="9"/>
      <c r="G583" s="9"/>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row>
    <row r="584">
      <c r="A584" s="9"/>
      <c r="B584" s="9"/>
      <c r="C584" s="9"/>
      <c r="D584" s="9"/>
      <c r="E584" s="9"/>
      <c r="F584" s="9"/>
      <c r="G584" s="9"/>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row>
    <row r="585">
      <c r="A585" s="9"/>
      <c r="B585" s="9"/>
      <c r="C585" s="9"/>
      <c r="D585" s="9"/>
      <c r="E585" s="9"/>
      <c r="F585" s="9"/>
      <c r="G585" s="9"/>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row>
    <row r="586">
      <c r="A586" s="9"/>
      <c r="B586" s="9"/>
      <c r="C586" s="9"/>
      <c r="D586" s="9"/>
      <c r="E586" s="9"/>
      <c r="F586" s="9"/>
      <c r="G586" s="9"/>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row>
    <row r="587">
      <c r="A587" s="9"/>
      <c r="B587" s="9"/>
      <c r="C587" s="9"/>
      <c r="D587" s="9"/>
      <c r="E587" s="9"/>
      <c r="F587" s="9"/>
      <c r="G587" s="9"/>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row>
    <row r="588">
      <c r="A588" s="9"/>
      <c r="B588" s="9"/>
      <c r="C588" s="9"/>
      <c r="D588" s="9"/>
      <c r="E588" s="9"/>
      <c r="F588" s="9"/>
      <c r="G588" s="9"/>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row>
    <row r="589">
      <c r="A589" s="9"/>
      <c r="B589" s="9"/>
      <c r="C589" s="9"/>
      <c r="D589" s="9"/>
      <c r="E589" s="9"/>
      <c r="F589" s="9"/>
      <c r="G589" s="9"/>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row>
    <row r="590">
      <c r="A590" s="9"/>
      <c r="B590" s="9"/>
      <c r="C590" s="9"/>
      <c r="D590" s="9"/>
      <c r="E590" s="9"/>
      <c r="F590" s="9"/>
      <c r="G590" s="9"/>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row>
    <row r="591">
      <c r="A591" s="9"/>
      <c r="B591" s="9"/>
      <c r="C591" s="9"/>
      <c r="D591" s="9"/>
      <c r="E591" s="9"/>
      <c r="F591" s="9"/>
      <c r="G591" s="9"/>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row>
    <row r="592">
      <c r="A592" s="9"/>
      <c r="B592" s="9"/>
      <c r="C592" s="9"/>
      <c r="D592" s="9"/>
      <c r="E592" s="9"/>
      <c r="F592" s="9"/>
      <c r="G592" s="9"/>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row>
    <row r="593">
      <c r="A593" s="9"/>
      <c r="B593" s="9"/>
      <c r="C593" s="9"/>
      <c r="D593" s="9"/>
      <c r="E593" s="9"/>
      <c r="F593" s="9"/>
      <c r="G593" s="9"/>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row>
    <row r="594">
      <c r="A594" s="9"/>
      <c r="B594" s="9"/>
      <c r="C594" s="9"/>
      <c r="D594" s="9"/>
      <c r="E594" s="9"/>
      <c r="F594" s="9"/>
      <c r="G594" s="9"/>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row>
    <row r="595">
      <c r="A595" s="9"/>
      <c r="B595" s="9"/>
      <c r="C595" s="9"/>
      <c r="D595" s="9"/>
      <c r="E595" s="9"/>
      <c r="F595" s="9"/>
      <c r="G595" s="9"/>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row>
    <row r="596">
      <c r="A596" s="9"/>
      <c r="B596" s="9"/>
      <c r="C596" s="9"/>
      <c r="D596" s="9"/>
      <c r="E596" s="9"/>
      <c r="F596" s="9"/>
      <c r="G596" s="9"/>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row>
    <row r="597">
      <c r="A597" s="9"/>
      <c r="B597" s="9"/>
      <c r="C597" s="9"/>
      <c r="D597" s="9"/>
      <c r="E597" s="9"/>
      <c r="F597" s="9"/>
      <c r="G597" s="9"/>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row>
    <row r="598">
      <c r="A598" s="9"/>
      <c r="B598" s="9"/>
      <c r="C598" s="9"/>
      <c r="D598" s="9"/>
      <c r="E598" s="9"/>
      <c r="F598" s="9"/>
      <c r="G598" s="9"/>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row>
    <row r="599">
      <c r="A599" s="9"/>
      <c r="B599" s="9"/>
      <c r="C599" s="9"/>
      <c r="D599" s="9"/>
      <c r="E599" s="9"/>
      <c r="F599" s="9"/>
      <c r="G599" s="9"/>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row>
    <row r="600">
      <c r="A600" s="9"/>
      <c r="B600" s="9"/>
      <c r="C600" s="9"/>
      <c r="D600" s="9"/>
      <c r="E600" s="9"/>
      <c r="F600" s="9"/>
      <c r="G600" s="9"/>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row>
    <row r="601">
      <c r="A601" s="9"/>
      <c r="B601" s="9"/>
      <c r="C601" s="9"/>
      <c r="D601" s="9"/>
      <c r="E601" s="9"/>
      <c r="F601" s="9"/>
      <c r="G601" s="9"/>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row>
    <row r="602">
      <c r="A602" s="9"/>
      <c r="B602" s="9"/>
      <c r="C602" s="9"/>
      <c r="D602" s="9"/>
      <c r="E602" s="9"/>
      <c r="F602" s="9"/>
      <c r="G602" s="9"/>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row>
    <row r="603">
      <c r="A603" s="9"/>
      <c r="B603" s="9"/>
      <c r="C603" s="9"/>
      <c r="D603" s="9"/>
      <c r="E603" s="9"/>
      <c r="F603" s="9"/>
      <c r="G603" s="9"/>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row>
    <row r="604">
      <c r="A604" s="9"/>
      <c r="B604" s="9"/>
      <c r="C604" s="9"/>
      <c r="D604" s="9"/>
      <c r="E604" s="9"/>
      <c r="F604" s="9"/>
      <c r="G604" s="9"/>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row>
    <row r="605">
      <c r="A605" s="9"/>
      <c r="B605" s="9"/>
      <c r="C605" s="9"/>
      <c r="D605" s="9"/>
      <c r="E605" s="9"/>
      <c r="F605" s="9"/>
      <c r="G605" s="9"/>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row>
    <row r="606">
      <c r="A606" s="9"/>
      <c r="B606" s="9"/>
      <c r="C606" s="9"/>
      <c r="D606" s="9"/>
      <c r="E606" s="9"/>
      <c r="F606" s="9"/>
      <c r="G606" s="9"/>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row>
    <row r="607">
      <c r="A607" s="9"/>
      <c r="B607" s="9"/>
      <c r="C607" s="9"/>
      <c r="D607" s="9"/>
      <c r="E607" s="9"/>
      <c r="F607" s="9"/>
      <c r="G607" s="9"/>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row>
    <row r="608">
      <c r="A608" s="9"/>
      <c r="B608" s="9"/>
      <c r="C608" s="9"/>
      <c r="D608" s="9"/>
      <c r="E608" s="9"/>
      <c r="F608" s="9"/>
      <c r="G608" s="9"/>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row>
    <row r="609">
      <c r="A609" s="9"/>
      <c r="B609" s="9"/>
      <c r="C609" s="9"/>
      <c r="D609" s="9"/>
      <c r="E609" s="9"/>
      <c r="F609" s="9"/>
      <c r="G609" s="9"/>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row>
    <row r="610">
      <c r="A610" s="9"/>
      <c r="B610" s="9"/>
      <c r="C610" s="9"/>
      <c r="D610" s="9"/>
      <c r="E610" s="9"/>
      <c r="F610" s="9"/>
      <c r="G610" s="9"/>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row>
    <row r="611">
      <c r="A611" s="9"/>
      <c r="B611" s="9"/>
      <c r="C611" s="9"/>
      <c r="D611" s="9"/>
      <c r="E611" s="9"/>
      <c r="F611" s="9"/>
      <c r="G611" s="9"/>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row>
    <row r="612">
      <c r="A612" s="9"/>
      <c r="B612" s="9"/>
      <c r="C612" s="9"/>
      <c r="D612" s="9"/>
      <c r="E612" s="9"/>
      <c r="F612" s="9"/>
      <c r="G612" s="9"/>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row>
    <row r="613">
      <c r="A613" s="9"/>
      <c r="B613" s="9"/>
      <c r="C613" s="9"/>
      <c r="D613" s="9"/>
      <c r="E613" s="9"/>
      <c r="F613" s="9"/>
      <c r="G613" s="9"/>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row>
    <row r="614">
      <c r="A614" s="9"/>
      <c r="B614" s="9"/>
      <c r="C614" s="9"/>
      <c r="D614" s="9"/>
      <c r="E614" s="9"/>
      <c r="F614" s="9"/>
      <c r="G614" s="9"/>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row>
    <row r="615">
      <c r="A615" s="9"/>
      <c r="B615" s="9"/>
      <c r="C615" s="9"/>
      <c r="D615" s="9"/>
      <c r="E615" s="9"/>
      <c r="F615" s="9"/>
      <c r="G615" s="9"/>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row>
    <row r="616">
      <c r="A616" s="9"/>
      <c r="B616" s="9"/>
      <c r="C616" s="9"/>
      <c r="D616" s="9"/>
      <c r="E616" s="9"/>
      <c r="F616" s="9"/>
      <c r="G616" s="9"/>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row>
    <row r="617">
      <c r="A617" s="9"/>
      <c r="B617" s="9"/>
      <c r="C617" s="9"/>
      <c r="D617" s="9"/>
      <c r="E617" s="9"/>
      <c r="F617" s="9"/>
      <c r="G617" s="9"/>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row>
    <row r="618">
      <c r="A618" s="9"/>
      <c r="B618" s="9"/>
      <c r="C618" s="9"/>
      <c r="D618" s="9"/>
      <c r="E618" s="9"/>
      <c r="F618" s="9"/>
      <c r="G618" s="9"/>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row>
    <row r="619">
      <c r="A619" s="9"/>
      <c r="B619" s="9"/>
      <c r="C619" s="9"/>
      <c r="D619" s="9"/>
      <c r="E619" s="9"/>
      <c r="F619" s="9"/>
      <c r="G619" s="9"/>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row>
    <row r="620">
      <c r="A620" s="9"/>
      <c r="B620" s="9"/>
      <c r="C620" s="9"/>
      <c r="D620" s="9"/>
      <c r="E620" s="9"/>
      <c r="F620" s="9"/>
      <c r="G620" s="9"/>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row>
    <row r="621">
      <c r="A621" s="9"/>
      <c r="B621" s="9"/>
      <c r="C621" s="9"/>
      <c r="D621" s="9"/>
      <c r="E621" s="9"/>
      <c r="F621" s="9"/>
      <c r="G621" s="9"/>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row>
    <row r="622">
      <c r="A622" s="9"/>
      <c r="B622" s="9"/>
      <c r="C622" s="9"/>
      <c r="D622" s="9"/>
      <c r="E622" s="9"/>
      <c r="F622" s="9"/>
      <c r="G622" s="9"/>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row>
    <row r="623">
      <c r="A623" s="9"/>
      <c r="B623" s="9"/>
      <c r="C623" s="9"/>
      <c r="D623" s="9"/>
      <c r="E623" s="9"/>
      <c r="F623" s="9"/>
      <c r="G623" s="9"/>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row>
    <row r="624">
      <c r="A624" s="9"/>
      <c r="B624" s="9"/>
      <c r="C624" s="9"/>
      <c r="D624" s="9"/>
      <c r="E624" s="9"/>
      <c r="F624" s="9"/>
      <c r="G624" s="9"/>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row>
    <row r="625">
      <c r="A625" s="9"/>
      <c r="B625" s="9"/>
      <c r="C625" s="9"/>
      <c r="D625" s="9"/>
      <c r="E625" s="9"/>
      <c r="F625" s="9"/>
      <c r="G625" s="9"/>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row>
    <row r="626">
      <c r="A626" s="9"/>
      <c r="B626" s="9"/>
      <c r="C626" s="9"/>
      <c r="D626" s="9"/>
      <c r="E626" s="9"/>
      <c r="F626" s="9"/>
      <c r="G626" s="9"/>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row>
    <row r="627">
      <c r="A627" s="9"/>
      <c r="B627" s="9"/>
      <c r="C627" s="9"/>
      <c r="D627" s="9"/>
      <c r="E627" s="9"/>
      <c r="F627" s="9"/>
      <c r="G627" s="9"/>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row>
    <row r="628">
      <c r="A628" s="9"/>
      <c r="B628" s="9"/>
      <c r="C628" s="9"/>
      <c r="D628" s="9"/>
      <c r="E628" s="9"/>
      <c r="F628" s="9"/>
      <c r="G628" s="9"/>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row>
    <row r="629">
      <c r="A629" s="9"/>
      <c r="B629" s="9"/>
      <c r="C629" s="9"/>
      <c r="D629" s="9"/>
      <c r="E629" s="9"/>
      <c r="F629" s="9"/>
      <c r="G629" s="9"/>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row>
    <row r="630">
      <c r="A630" s="9"/>
      <c r="B630" s="9"/>
      <c r="C630" s="9"/>
      <c r="D630" s="9"/>
      <c r="E630" s="9"/>
      <c r="F630" s="9"/>
      <c r="G630" s="9"/>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row>
    <row r="631">
      <c r="A631" s="9"/>
      <c r="B631" s="9"/>
      <c r="C631" s="9"/>
      <c r="D631" s="9"/>
      <c r="E631" s="9"/>
      <c r="F631" s="9"/>
      <c r="G631" s="9"/>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row>
    <row r="632">
      <c r="A632" s="9"/>
      <c r="B632" s="9"/>
      <c r="C632" s="9"/>
      <c r="D632" s="9"/>
      <c r="E632" s="9"/>
      <c r="F632" s="9"/>
      <c r="G632" s="9"/>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row>
    <row r="633">
      <c r="A633" s="9"/>
      <c r="B633" s="9"/>
      <c r="C633" s="9"/>
      <c r="D633" s="9"/>
      <c r="E633" s="9"/>
      <c r="F633" s="9"/>
      <c r="G633" s="9"/>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row>
    <row r="634">
      <c r="A634" s="9"/>
      <c r="B634" s="9"/>
      <c r="C634" s="9"/>
      <c r="D634" s="9"/>
      <c r="E634" s="9"/>
      <c r="F634" s="9"/>
      <c r="G634" s="9"/>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row>
    <row r="635">
      <c r="A635" s="9"/>
      <c r="B635" s="9"/>
      <c r="C635" s="9"/>
      <c r="D635" s="9"/>
      <c r="E635" s="9"/>
      <c r="F635" s="9"/>
      <c r="G635" s="9"/>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row>
    <row r="636">
      <c r="A636" s="9"/>
      <c r="B636" s="9"/>
      <c r="C636" s="9"/>
      <c r="D636" s="9"/>
      <c r="E636" s="9"/>
      <c r="F636" s="9"/>
      <c r="G636" s="9"/>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row>
    <row r="637">
      <c r="A637" s="9"/>
      <c r="B637" s="9"/>
      <c r="C637" s="9"/>
      <c r="D637" s="9"/>
      <c r="E637" s="9"/>
      <c r="F637" s="9"/>
      <c r="G637" s="9"/>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row>
    <row r="638">
      <c r="A638" s="9"/>
      <c r="B638" s="9"/>
      <c r="C638" s="9"/>
      <c r="D638" s="9"/>
      <c r="E638" s="9"/>
      <c r="F638" s="9"/>
      <c r="G638" s="9"/>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row>
    <row r="639">
      <c r="A639" s="9"/>
      <c r="B639" s="9"/>
      <c r="C639" s="9"/>
      <c r="D639" s="9"/>
      <c r="E639" s="9"/>
      <c r="F639" s="9"/>
      <c r="G639" s="9"/>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row>
    <row r="640">
      <c r="A640" s="9"/>
      <c r="B640" s="9"/>
      <c r="C640" s="9"/>
      <c r="D640" s="9"/>
      <c r="E640" s="9"/>
      <c r="F640" s="9"/>
      <c r="G640" s="9"/>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row>
    <row r="641">
      <c r="A641" s="9"/>
      <c r="B641" s="9"/>
      <c r="C641" s="9"/>
      <c r="D641" s="9"/>
      <c r="E641" s="9"/>
      <c r="F641" s="9"/>
      <c r="G641" s="9"/>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row>
    <row r="642">
      <c r="A642" s="9"/>
      <c r="B642" s="9"/>
      <c r="C642" s="9"/>
      <c r="D642" s="9"/>
      <c r="E642" s="9"/>
      <c r="F642" s="9"/>
      <c r="G642" s="9"/>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row>
    <row r="643">
      <c r="A643" s="9"/>
      <c r="B643" s="9"/>
      <c r="C643" s="9"/>
      <c r="D643" s="9"/>
      <c r="E643" s="9"/>
      <c r="F643" s="9"/>
      <c r="G643" s="9"/>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row>
    <row r="644">
      <c r="A644" s="9"/>
      <c r="B644" s="9"/>
      <c r="C644" s="9"/>
      <c r="D644" s="9"/>
      <c r="E644" s="9"/>
      <c r="F644" s="9"/>
      <c r="G644" s="9"/>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row>
    <row r="645">
      <c r="A645" s="9"/>
      <c r="B645" s="9"/>
      <c r="C645" s="9"/>
      <c r="D645" s="9"/>
      <c r="E645" s="9"/>
      <c r="F645" s="9"/>
      <c r="G645" s="9"/>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row>
    <row r="646">
      <c r="A646" s="9"/>
      <c r="B646" s="9"/>
      <c r="C646" s="9"/>
      <c r="D646" s="9"/>
      <c r="E646" s="9"/>
      <c r="F646" s="9"/>
      <c r="G646" s="9"/>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row>
    <row r="647">
      <c r="A647" s="9"/>
      <c r="B647" s="9"/>
      <c r="C647" s="9"/>
      <c r="D647" s="9"/>
      <c r="E647" s="9"/>
      <c r="F647" s="9"/>
      <c r="G647" s="9"/>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row>
    <row r="648">
      <c r="A648" s="9"/>
      <c r="B648" s="9"/>
      <c r="C648" s="9"/>
      <c r="D648" s="9"/>
      <c r="E648" s="9"/>
      <c r="F648" s="9"/>
      <c r="G648" s="9"/>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row>
    <row r="649">
      <c r="A649" s="9"/>
      <c r="B649" s="9"/>
      <c r="C649" s="9"/>
      <c r="D649" s="9"/>
      <c r="E649" s="9"/>
      <c r="F649" s="9"/>
      <c r="G649" s="9"/>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row>
    <row r="650">
      <c r="A650" s="9"/>
      <c r="B650" s="9"/>
      <c r="C650" s="9"/>
      <c r="D650" s="9"/>
      <c r="E650" s="9"/>
      <c r="F650" s="9"/>
      <c r="G650" s="9"/>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row>
    <row r="651">
      <c r="A651" s="9"/>
      <c r="B651" s="9"/>
      <c r="C651" s="9"/>
      <c r="D651" s="9"/>
      <c r="E651" s="9"/>
      <c r="F651" s="9"/>
      <c r="G651" s="9"/>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row>
    <row r="652">
      <c r="A652" s="9"/>
      <c r="B652" s="9"/>
      <c r="C652" s="9"/>
      <c r="D652" s="9"/>
      <c r="E652" s="9"/>
      <c r="F652" s="9"/>
      <c r="G652" s="9"/>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row>
    <row r="653">
      <c r="A653" s="9"/>
      <c r="B653" s="9"/>
      <c r="C653" s="9"/>
      <c r="D653" s="9"/>
      <c r="E653" s="9"/>
      <c r="F653" s="9"/>
      <c r="G653" s="9"/>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row>
    <row r="654">
      <c r="A654" s="9"/>
      <c r="B654" s="9"/>
      <c r="C654" s="9"/>
      <c r="D654" s="9"/>
      <c r="E654" s="9"/>
      <c r="F654" s="9"/>
      <c r="G654" s="9"/>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row>
    <row r="655">
      <c r="A655" s="9"/>
      <c r="B655" s="9"/>
      <c r="C655" s="9"/>
      <c r="D655" s="9"/>
      <c r="E655" s="9"/>
      <c r="F655" s="9"/>
      <c r="G655" s="9"/>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row>
    <row r="656">
      <c r="A656" s="9"/>
      <c r="B656" s="9"/>
      <c r="C656" s="9"/>
      <c r="D656" s="9"/>
      <c r="E656" s="9"/>
      <c r="F656" s="9"/>
      <c r="G656" s="9"/>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row>
    <row r="657">
      <c r="A657" s="9"/>
      <c r="B657" s="9"/>
      <c r="C657" s="9"/>
      <c r="D657" s="9"/>
      <c r="E657" s="9"/>
      <c r="F657" s="9"/>
      <c r="G657" s="9"/>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row>
    <row r="658">
      <c r="A658" s="9"/>
      <c r="B658" s="9"/>
      <c r="C658" s="9"/>
      <c r="D658" s="9"/>
      <c r="E658" s="9"/>
      <c r="F658" s="9"/>
      <c r="G658" s="9"/>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row>
    <row r="659">
      <c r="A659" s="9"/>
      <c r="B659" s="9"/>
      <c r="C659" s="9"/>
      <c r="D659" s="9"/>
      <c r="E659" s="9"/>
      <c r="F659" s="9"/>
      <c r="G659" s="9"/>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row>
    <row r="660">
      <c r="A660" s="9"/>
      <c r="B660" s="9"/>
      <c r="C660" s="9"/>
      <c r="D660" s="9"/>
      <c r="E660" s="9"/>
      <c r="F660" s="9"/>
      <c r="G660" s="9"/>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row>
    <row r="661">
      <c r="A661" s="9"/>
      <c r="B661" s="9"/>
      <c r="C661" s="9"/>
      <c r="D661" s="9"/>
      <c r="E661" s="9"/>
      <c r="F661" s="9"/>
      <c r="G661" s="9"/>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row>
    <row r="662">
      <c r="A662" s="9"/>
      <c r="B662" s="9"/>
      <c r="C662" s="9"/>
      <c r="D662" s="9"/>
      <c r="E662" s="9"/>
      <c r="F662" s="9"/>
      <c r="G662" s="9"/>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row>
    <row r="663">
      <c r="A663" s="9"/>
      <c r="B663" s="9"/>
      <c r="C663" s="9"/>
      <c r="D663" s="9"/>
      <c r="E663" s="9"/>
      <c r="F663" s="9"/>
      <c r="G663" s="9"/>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row>
    <row r="664">
      <c r="A664" s="9"/>
      <c r="B664" s="9"/>
      <c r="C664" s="9"/>
      <c r="D664" s="9"/>
      <c r="E664" s="9"/>
      <c r="F664" s="9"/>
      <c r="G664" s="9"/>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row>
    <row r="665">
      <c r="A665" s="9"/>
      <c r="B665" s="9"/>
      <c r="C665" s="9"/>
      <c r="D665" s="9"/>
      <c r="E665" s="9"/>
      <c r="F665" s="9"/>
      <c r="G665" s="9"/>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row>
    <row r="666">
      <c r="A666" s="9"/>
      <c r="B666" s="9"/>
      <c r="C666" s="9"/>
      <c r="D666" s="9"/>
      <c r="E666" s="9"/>
      <c r="F666" s="9"/>
      <c r="G666" s="9"/>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row>
    <row r="667">
      <c r="A667" s="9"/>
      <c r="B667" s="9"/>
      <c r="C667" s="9"/>
      <c r="D667" s="9"/>
      <c r="E667" s="9"/>
      <c r="F667" s="9"/>
      <c r="G667" s="9"/>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row>
    <row r="668">
      <c r="A668" s="9"/>
      <c r="B668" s="9"/>
      <c r="C668" s="9"/>
      <c r="D668" s="9"/>
      <c r="E668" s="9"/>
      <c r="F668" s="9"/>
      <c r="G668" s="9"/>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row>
    <row r="669">
      <c r="A669" s="9"/>
      <c r="B669" s="9"/>
      <c r="C669" s="9"/>
      <c r="D669" s="9"/>
      <c r="E669" s="9"/>
      <c r="F669" s="9"/>
      <c r="G669" s="9"/>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row>
    <row r="670">
      <c r="A670" s="9"/>
      <c r="B670" s="9"/>
      <c r="C670" s="9"/>
      <c r="D670" s="9"/>
      <c r="E670" s="9"/>
      <c r="F670" s="9"/>
      <c r="G670" s="9"/>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row>
    <row r="671">
      <c r="A671" s="9"/>
      <c r="B671" s="9"/>
      <c r="C671" s="9"/>
      <c r="D671" s="9"/>
      <c r="E671" s="9"/>
      <c r="F671" s="9"/>
      <c r="G671" s="9"/>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row>
    <row r="672">
      <c r="A672" s="9"/>
      <c r="B672" s="9"/>
      <c r="C672" s="9"/>
      <c r="D672" s="9"/>
      <c r="E672" s="9"/>
      <c r="F672" s="9"/>
      <c r="G672" s="9"/>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row>
    <row r="673">
      <c r="A673" s="9"/>
      <c r="B673" s="9"/>
      <c r="C673" s="9"/>
      <c r="D673" s="9"/>
      <c r="E673" s="9"/>
      <c r="F673" s="9"/>
      <c r="G673" s="9"/>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row>
    <row r="674">
      <c r="A674" s="9"/>
      <c r="B674" s="9"/>
      <c r="C674" s="9"/>
      <c r="D674" s="9"/>
      <c r="E674" s="9"/>
      <c r="F674" s="9"/>
      <c r="G674" s="9"/>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row>
    <row r="675">
      <c r="A675" s="9"/>
      <c r="B675" s="9"/>
      <c r="C675" s="9"/>
      <c r="D675" s="9"/>
      <c r="E675" s="9"/>
      <c r="F675" s="9"/>
      <c r="G675" s="9"/>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row>
    <row r="676">
      <c r="A676" s="9"/>
      <c r="B676" s="9"/>
      <c r="C676" s="9"/>
      <c r="D676" s="9"/>
      <c r="E676" s="9"/>
      <c r="F676" s="9"/>
      <c r="G676" s="9"/>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row>
    <row r="677">
      <c r="A677" s="9"/>
      <c r="B677" s="9"/>
      <c r="C677" s="9"/>
      <c r="D677" s="9"/>
      <c r="E677" s="9"/>
      <c r="F677" s="9"/>
      <c r="G677" s="9"/>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row>
    <row r="678">
      <c r="A678" s="9"/>
      <c r="B678" s="9"/>
      <c r="C678" s="9"/>
      <c r="D678" s="9"/>
      <c r="E678" s="9"/>
      <c r="F678" s="9"/>
      <c r="G678" s="9"/>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row>
    <row r="679">
      <c r="A679" s="9"/>
      <c r="B679" s="9"/>
      <c r="C679" s="9"/>
      <c r="D679" s="9"/>
      <c r="E679" s="9"/>
      <c r="F679" s="9"/>
      <c r="G679" s="9"/>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row>
    <row r="680">
      <c r="A680" s="9"/>
      <c r="B680" s="9"/>
      <c r="C680" s="9"/>
      <c r="D680" s="9"/>
      <c r="E680" s="9"/>
      <c r="F680" s="9"/>
      <c r="G680" s="9"/>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row>
    <row r="681">
      <c r="A681" s="9"/>
      <c r="B681" s="9"/>
      <c r="C681" s="9"/>
      <c r="D681" s="9"/>
      <c r="E681" s="9"/>
      <c r="F681" s="9"/>
      <c r="G681" s="9"/>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row>
    <row r="682">
      <c r="A682" s="9"/>
      <c r="B682" s="9"/>
      <c r="C682" s="9"/>
      <c r="D682" s="9"/>
      <c r="E682" s="9"/>
      <c r="F682" s="9"/>
      <c r="G682" s="9"/>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row>
    <row r="683">
      <c r="A683" s="9"/>
      <c r="B683" s="9"/>
      <c r="C683" s="9"/>
      <c r="D683" s="9"/>
      <c r="E683" s="9"/>
      <c r="F683" s="9"/>
      <c r="G683" s="9"/>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row>
    <row r="684">
      <c r="A684" s="9"/>
      <c r="B684" s="9"/>
      <c r="C684" s="9"/>
      <c r="D684" s="9"/>
      <c r="E684" s="9"/>
      <c r="F684" s="9"/>
      <c r="G684" s="9"/>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row>
    <row r="685">
      <c r="A685" s="9"/>
      <c r="B685" s="9"/>
      <c r="C685" s="9"/>
      <c r="D685" s="9"/>
      <c r="E685" s="9"/>
      <c r="F685" s="9"/>
      <c r="G685" s="9"/>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row>
    <row r="686">
      <c r="A686" s="9"/>
      <c r="B686" s="9"/>
      <c r="C686" s="9"/>
      <c r="D686" s="9"/>
      <c r="E686" s="9"/>
      <c r="F686" s="9"/>
      <c r="G686" s="9"/>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row>
    <row r="687">
      <c r="A687" s="9"/>
      <c r="B687" s="9"/>
      <c r="C687" s="9"/>
      <c r="D687" s="9"/>
      <c r="E687" s="9"/>
      <c r="F687" s="9"/>
      <c r="G687" s="9"/>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row>
    <row r="688">
      <c r="A688" s="9"/>
      <c r="B688" s="9"/>
      <c r="C688" s="9"/>
      <c r="D688" s="9"/>
      <c r="E688" s="9"/>
      <c r="F688" s="9"/>
      <c r="G688" s="9"/>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row>
    <row r="689">
      <c r="A689" s="9"/>
      <c r="B689" s="9"/>
      <c r="C689" s="9"/>
      <c r="D689" s="9"/>
      <c r="E689" s="9"/>
      <c r="F689" s="9"/>
      <c r="G689" s="9"/>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row>
    <row r="690">
      <c r="A690" s="9"/>
      <c r="B690" s="9"/>
      <c r="C690" s="9"/>
      <c r="D690" s="9"/>
      <c r="E690" s="9"/>
      <c r="F690" s="9"/>
      <c r="G690" s="9"/>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row>
    <row r="691">
      <c r="A691" s="9"/>
      <c r="B691" s="9"/>
      <c r="C691" s="9"/>
      <c r="D691" s="9"/>
      <c r="E691" s="9"/>
      <c r="F691" s="9"/>
      <c r="G691" s="9"/>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row>
    <row r="692">
      <c r="A692" s="9"/>
      <c r="B692" s="9"/>
      <c r="C692" s="9"/>
      <c r="D692" s="9"/>
      <c r="E692" s="9"/>
      <c r="F692" s="9"/>
      <c r="G692" s="9"/>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row>
    <row r="693">
      <c r="A693" s="9"/>
      <c r="B693" s="9"/>
      <c r="C693" s="9"/>
      <c r="D693" s="9"/>
      <c r="E693" s="9"/>
      <c r="F693" s="9"/>
      <c r="G693" s="9"/>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row>
    <row r="694">
      <c r="A694" s="9"/>
      <c r="B694" s="9"/>
      <c r="C694" s="9"/>
      <c r="D694" s="9"/>
      <c r="E694" s="9"/>
      <c r="F694" s="9"/>
      <c r="G694" s="9"/>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row>
    <row r="695">
      <c r="A695" s="9"/>
      <c r="B695" s="9"/>
      <c r="C695" s="9"/>
      <c r="D695" s="9"/>
      <c r="E695" s="9"/>
      <c r="F695" s="9"/>
      <c r="G695" s="9"/>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row>
    <row r="696">
      <c r="A696" s="9"/>
      <c r="B696" s="9"/>
      <c r="C696" s="9"/>
      <c r="D696" s="9"/>
      <c r="E696" s="9"/>
      <c r="F696" s="9"/>
      <c r="G696" s="9"/>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row>
    <row r="697">
      <c r="A697" s="9"/>
      <c r="B697" s="9"/>
      <c r="C697" s="9"/>
      <c r="D697" s="9"/>
      <c r="E697" s="9"/>
      <c r="F697" s="9"/>
      <c r="G697" s="9"/>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row>
    <row r="698">
      <c r="A698" s="9"/>
      <c r="B698" s="9"/>
      <c r="C698" s="9"/>
      <c r="D698" s="9"/>
      <c r="E698" s="9"/>
      <c r="F698" s="9"/>
      <c r="G698" s="9"/>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row>
    <row r="699">
      <c r="A699" s="9"/>
      <c r="B699" s="9"/>
      <c r="C699" s="9"/>
      <c r="D699" s="9"/>
      <c r="E699" s="9"/>
      <c r="F699" s="9"/>
      <c r="G699" s="9"/>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row>
    <row r="700">
      <c r="A700" s="9"/>
      <c r="B700" s="9"/>
      <c r="C700" s="9"/>
      <c r="D700" s="9"/>
      <c r="E700" s="9"/>
      <c r="F700" s="9"/>
      <c r="G700" s="9"/>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row>
    <row r="701">
      <c r="A701" s="9"/>
      <c r="B701" s="9"/>
      <c r="C701" s="9"/>
      <c r="D701" s="9"/>
      <c r="E701" s="9"/>
      <c r="F701" s="9"/>
      <c r="G701" s="9"/>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row>
    <row r="702">
      <c r="A702" s="9"/>
      <c r="B702" s="9"/>
      <c r="C702" s="9"/>
      <c r="D702" s="9"/>
      <c r="E702" s="9"/>
      <c r="F702" s="9"/>
      <c r="G702" s="9"/>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row>
    <row r="703">
      <c r="A703" s="9"/>
      <c r="B703" s="9"/>
      <c r="C703" s="9"/>
      <c r="D703" s="9"/>
      <c r="E703" s="9"/>
      <c r="F703" s="9"/>
      <c r="G703" s="9"/>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row>
    <row r="704">
      <c r="A704" s="9"/>
      <c r="B704" s="9"/>
      <c r="C704" s="9"/>
      <c r="D704" s="9"/>
      <c r="E704" s="9"/>
      <c r="F704" s="9"/>
      <c r="G704" s="9"/>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row>
    <row r="705">
      <c r="A705" s="9"/>
      <c r="B705" s="9"/>
      <c r="C705" s="9"/>
      <c r="D705" s="9"/>
      <c r="E705" s="9"/>
      <c r="F705" s="9"/>
      <c r="G705" s="9"/>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row>
    <row r="706">
      <c r="A706" s="9"/>
      <c r="B706" s="9"/>
      <c r="C706" s="9"/>
      <c r="D706" s="9"/>
      <c r="E706" s="9"/>
      <c r="F706" s="9"/>
      <c r="G706" s="9"/>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row>
    <row r="707">
      <c r="A707" s="9"/>
      <c r="B707" s="9"/>
      <c r="C707" s="9"/>
      <c r="D707" s="9"/>
      <c r="E707" s="9"/>
      <c r="F707" s="9"/>
      <c r="G707" s="9"/>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row>
    <row r="708">
      <c r="A708" s="9"/>
      <c r="B708" s="9"/>
      <c r="C708" s="9"/>
      <c r="D708" s="9"/>
      <c r="E708" s="9"/>
      <c r="F708" s="9"/>
      <c r="G708" s="9"/>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row>
    <row r="709">
      <c r="A709" s="9"/>
      <c r="B709" s="9"/>
      <c r="C709" s="9"/>
      <c r="D709" s="9"/>
      <c r="E709" s="9"/>
      <c r="F709" s="9"/>
      <c r="G709" s="9"/>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row>
    <row r="710">
      <c r="A710" s="9"/>
      <c r="B710" s="9"/>
      <c r="C710" s="9"/>
      <c r="D710" s="9"/>
      <c r="E710" s="9"/>
      <c r="F710" s="9"/>
      <c r="G710" s="9"/>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row>
    <row r="711">
      <c r="A711" s="9"/>
      <c r="B711" s="9"/>
      <c r="C711" s="9"/>
      <c r="D711" s="9"/>
      <c r="E711" s="9"/>
      <c r="F711" s="9"/>
      <c r="G711" s="9"/>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row>
    <row r="712">
      <c r="A712" s="9"/>
      <c r="B712" s="9"/>
      <c r="C712" s="9"/>
      <c r="D712" s="9"/>
      <c r="E712" s="9"/>
      <c r="F712" s="9"/>
      <c r="G712" s="9"/>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row>
    <row r="713">
      <c r="A713" s="9"/>
      <c r="B713" s="9"/>
      <c r="C713" s="9"/>
      <c r="D713" s="9"/>
      <c r="E713" s="9"/>
      <c r="F713" s="9"/>
      <c r="G713" s="9"/>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row>
    <row r="714">
      <c r="A714" s="9"/>
      <c r="B714" s="9"/>
      <c r="C714" s="9"/>
      <c r="D714" s="9"/>
      <c r="E714" s="9"/>
      <c r="F714" s="9"/>
      <c r="G714" s="9"/>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row>
    <row r="715">
      <c r="A715" s="9"/>
      <c r="B715" s="9"/>
      <c r="C715" s="9"/>
      <c r="D715" s="9"/>
      <c r="E715" s="9"/>
      <c r="F715" s="9"/>
      <c r="G715" s="9"/>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row>
    <row r="716">
      <c r="A716" s="9"/>
      <c r="B716" s="9"/>
      <c r="C716" s="9"/>
      <c r="D716" s="9"/>
      <c r="E716" s="9"/>
      <c r="F716" s="9"/>
      <c r="G716" s="9"/>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row>
    <row r="717">
      <c r="A717" s="9"/>
      <c r="B717" s="9"/>
      <c r="C717" s="9"/>
      <c r="D717" s="9"/>
      <c r="E717" s="9"/>
      <c r="F717" s="9"/>
      <c r="G717" s="9"/>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row>
    <row r="718">
      <c r="A718" s="9"/>
      <c r="B718" s="9"/>
      <c r="C718" s="9"/>
      <c r="D718" s="9"/>
      <c r="E718" s="9"/>
      <c r="F718" s="9"/>
      <c r="G718" s="9"/>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row>
    <row r="719">
      <c r="A719" s="9"/>
      <c r="B719" s="9"/>
      <c r="C719" s="9"/>
      <c r="D719" s="9"/>
      <c r="E719" s="9"/>
      <c r="F719" s="9"/>
      <c r="G719" s="9"/>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row>
    <row r="720">
      <c r="A720" s="9"/>
      <c r="B720" s="9"/>
      <c r="C720" s="9"/>
      <c r="D720" s="9"/>
      <c r="E720" s="9"/>
      <c r="F720" s="9"/>
      <c r="G720" s="9"/>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row>
    <row r="721">
      <c r="A721" s="9"/>
      <c r="B721" s="9"/>
      <c r="C721" s="9"/>
      <c r="D721" s="9"/>
      <c r="E721" s="9"/>
      <c r="F721" s="9"/>
      <c r="G721" s="9"/>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row>
    <row r="722">
      <c r="A722" s="9"/>
      <c r="B722" s="9"/>
      <c r="C722" s="9"/>
      <c r="D722" s="9"/>
      <c r="E722" s="9"/>
      <c r="F722" s="9"/>
      <c r="G722" s="9"/>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row>
    <row r="723">
      <c r="A723" s="9"/>
      <c r="B723" s="9"/>
      <c r="C723" s="9"/>
      <c r="D723" s="9"/>
      <c r="E723" s="9"/>
      <c r="F723" s="9"/>
      <c r="G723" s="9"/>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row>
    <row r="724">
      <c r="A724" s="9"/>
      <c r="B724" s="9"/>
      <c r="C724" s="9"/>
      <c r="D724" s="9"/>
      <c r="E724" s="9"/>
      <c r="F724" s="9"/>
      <c r="G724" s="9"/>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row>
    <row r="725">
      <c r="A725" s="9"/>
      <c r="B725" s="9"/>
      <c r="C725" s="9"/>
      <c r="D725" s="9"/>
      <c r="E725" s="9"/>
      <c r="F725" s="9"/>
      <c r="G725" s="9"/>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row>
    <row r="726">
      <c r="A726" s="9"/>
      <c r="B726" s="9"/>
      <c r="C726" s="9"/>
      <c r="D726" s="9"/>
      <c r="E726" s="9"/>
      <c r="F726" s="9"/>
      <c r="G726" s="9"/>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row>
    <row r="727">
      <c r="A727" s="9"/>
      <c r="B727" s="9"/>
      <c r="C727" s="9"/>
      <c r="D727" s="9"/>
      <c r="E727" s="9"/>
      <c r="F727" s="9"/>
      <c r="G727" s="9"/>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row>
    <row r="728">
      <c r="A728" s="9"/>
      <c r="B728" s="9"/>
      <c r="C728" s="9"/>
      <c r="D728" s="9"/>
      <c r="E728" s="9"/>
      <c r="F728" s="9"/>
      <c r="G728" s="9"/>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row>
    <row r="729">
      <c r="A729" s="9"/>
      <c r="B729" s="9"/>
      <c r="C729" s="9"/>
      <c r="D729" s="9"/>
      <c r="E729" s="9"/>
      <c r="F729" s="9"/>
      <c r="G729" s="9"/>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row>
    <row r="730">
      <c r="A730" s="9"/>
      <c r="B730" s="9"/>
      <c r="C730" s="9"/>
      <c r="D730" s="9"/>
      <c r="E730" s="9"/>
      <c r="F730" s="9"/>
      <c r="G730" s="9"/>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row>
    <row r="731">
      <c r="A731" s="9"/>
      <c r="B731" s="9"/>
      <c r="C731" s="9"/>
      <c r="D731" s="9"/>
      <c r="E731" s="9"/>
      <c r="F731" s="9"/>
      <c r="G731" s="9"/>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row>
    <row r="732">
      <c r="A732" s="9"/>
      <c r="B732" s="9"/>
      <c r="C732" s="9"/>
      <c r="D732" s="9"/>
      <c r="E732" s="9"/>
      <c r="F732" s="9"/>
      <c r="G732" s="9"/>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row>
    <row r="733">
      <c r="A733" s="9"/>
      <c r="B733" s="9"/>
      <c r="C733" s="9"/>
      <c r="D733" s="9"/>
      <c r="E733" s="9"/>
      <c r="F733" s="9"/>
      <c r="G733" s="9"/>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row>
    <row r="734">
      <c r="A734" s="9"/>
      <c r="B734" s="9"/>
      <c r="C734" s="9"/>
      <c r="D734" s="9"/>
      <c r="E734" s="9"/>
      <c r="F734" s="9"/>
      <c r="G734" s="9"/>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row>
    <row r="735">
      <c r="A735" s="9"/>
      <c r="B735" s="9"/>
      <c r="C735" s="9"/>
      <c r="D735" s="9"/>
      <c r="E735" s="9"/>
      <c r="F735" s="9"/>
      <c r="G735" s="9"/>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row>
    <row r="736">
      <c r="A736" s="9"/>
      <c r="B736" s="9"/>
      <c r="C736" s="9"/>
      <c r="D736" s="9"/>
      <c r="E736" s="9"/>
      <c r="F736" s="9"/>
      <c r="G736" s="9"/>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row>
    <row r="737">
      <c r="A737" s="9"/>
      <c r="B737" s="9"/>
      <c r="C737" s="9"/>
      <c r="D737" s="9"/>
      <c r="E737" s="9"/>
      <c r="F737" s="9"/>
      <c r="G737" s="9"/>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row>
    <row r="738">
      <c r="A738" s="9"/>
      <c r="B738" s="9"/>
      <c r="C738" s="9"/>
      <c r="D738" s="9"/>
      <c r="E738" s="9"/>
      <c r="F738" s="9"/>
      <c r="G738" s="9"/>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row>
    <row r="739">
      <c r="A739" s="9"/>
      <c r="B739" s="9"/>
      <c r="C739" s="9"/>
      <c r="D739" s="9"/>
      <c r="E739" s="9"/>
      <c r="F739" s="9"/>
      <c r="G739" s="9"/>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row>
    <row r="740">
      <c r="A740" s="9"/>
      <c r="B740" s="9"/>
      <c r="C740" s="9"/>
      <c r="D740" s="9"/>
      <c r="E740" s="9"/>
      <c r="F740" s="9"/>
      <c r="G740" s="9"/>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row>
    <row r="741">
      <c r="A741" s="9"/>
      <c r="B741" s="9"/>
      <c r="C741" s="9"/>
      <c r="D741" s="9"/>
      <c r="E741" s="9"/>
      <c r="F741" s="9"/>
      <c r="G741" s="9"/>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row>
    <row r="742">
      <c r="A742" s="9"/>
      <c r="B742" s="9"/>
      <c r="C742" s="9"/>
      <c r="D742" s="9"/>
      <c r="E742" s="9"/>
      <c r="F742" s="9"/>
      <c r="G742" s="9"/>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row>
    <row r="743">
      <c r="A743" s="9"/>
      <c r="B743" s="9"/>
      <c r="C743" s="9"/>
      <c r="D743" s="9"/>
      <c r="E743" s="9"/>
      <c r="F743" s="9"/>
      <c r="G743" s="9"/>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row>
    <row r="744">
      <c r="A744" s="9"/>
      <c r="B744" s="9"/>
      <c r="C744" s="9"/>
      <c r="D744" s="9"/>
      <c r="E744" s="9"/>
      <c r="F744" s="9"/>
      <c r="G744" s="9"/>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row>
    <row r="745">
      <c r="A745" s="9"/>
      <c r="B745" s="9"/>
      <c r="C745" s="9"/>
      <c r="D745" s="9"/>
      <c r="E745" s="9"/>
      <c r="F745" s="9"/>
      <c r="G745" s="9"/>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row>
    <row r="746">
      <c r="A746" s="9"/>
      <c r="B746" s="9"/>
      <c r="C746" s="9"/>
      <c r="D746" s="9"/>
      <c r="E746" s="9"/>
      <c r="F746" s="9"/>
      <c r="G746" s="9"/>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row>
    <row r="747">
      <c r="A747" s="9"/>
      <c r="B747" s="9"/>
      <c r="C747" s="9"/>
      <c r="D747" s="9"/>
      <c r="E747" s="9"/>
      <c r="F747" s="9"/>
      <c r="G747" s="9"/>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row>
    <row r="748">
      <c r="A748" s="9"/>
      <c r="B748" s="9"/>
      <c r="C748" s="9"/>
      <c r="D748" s="9"/>
      <c r="E748" s="9"/>
      <c r="F748" s="9"/>
      <c r="G748" s="9"/>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row>
    <row r="749">
      <c r="A749" s="9"/>
      <c r="B749" s="9"/>
      <c r="C749" s="9"/>
      <c r="D749" s="9"/>
      <c r="E749" s="9"/>
      <c r="F749" s="9"/>
      <c r="G749" s="9"/>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row>
    <row r="750">
      <c r="A750" s="9"/>
      <c r="B750" s="9"/>
      <c r="C750" s="9"/>
      <c r="D750" s="9"/>
      <c r="E750" s="9"/>
      <c r="F750" s="9"/>
      <c r="G750" s="9"/>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row>
    <row r="751">
      <c r="A751" s="9"/>
      <c r="B751" s="9"/>
      <c r="C751" s="9"/>
      <c r="D751" s="9"/>
      <c r="E751" s="9"/>
      <c r="F751" s="9"/>
      <c r="G751" s="9"/>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row>
    <row r="752">
      <c r="A752" s="9"/>
      <c r="B752" s="9"/>
      <c r="C752" s="9"/>
      <c r="D752" s="9"/>
      <c r="E752" s="9"/>
      <c r="F752" s="9"/>
      <c r="G752" s="9"/>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row>
    <row r="753">
      <c r="A753" s="9"/>
      <c r="B753" s="9"/>
      <c r="C753" s="9"/>
      <c r="D753" s="9"/>
      <c r="E753" s="9"/>
      <c r="F753" s="9"/>
      <c r="G753" s="9"/>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row>
    <row r="754">
      <c r="A754" s="9"/>
      <c r="B754" s="9"/>
      <c r="C754" s="9"/>
      <c r="D754" s="9"/>
      <c r="E754" s="9"/>
      <c r="F754" s="9"/>
      <c r="G754" s="9"/>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row>
    <row r="755">
      <c r="A755" s="9"/>
      <c r="B755" s="9"/>
      <c r="C755" s="9"/>
      <c r="D755" s="9"/>
      <c r="E755" s="9"/>
      <c r="F755" s="9"/>
      <c r="G755" s="9"/>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row>
    <row r="756">
      <c r="A756" s="9"/>
      <c r="B756" s="9"/>
      <c r="C756" s="9"/>
      <c r="D756" s="9"/>
      <c r="E756" s="9"/>
      <c r="F756" s="9"/>
      <c r="G756" s="9"/>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row>
    <row r="757">
      <c r="A757" s="9"/>
      <c r="B757" s="9"/>
      <c r="C757" s="9"/>
      <c r="D757" s="9"/>
      <c r="E757" s="9"/>
      <c r="F757" s="9"/>
      <c r="G757" s="9"/>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row>
    <row r="758">
      <c r="A758" s="9"/>
      <c r="B758" s="9"/>
      <c r="C758" s="9"/>
      <c r="D758" s="9"/>
      <c r="E758" s="9"/>
      <c r="F758" s="9"/>
      <c r="G758" s="9"/>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row>
    <row r="759">
      <c r="A759" s="9"/>
      <c r="B759" s="9"/>
      <c r="C759" s="9"/>
      <c r="D759" s="9"/>
      <c r="E759" s="9"/>
      <c r="F759" s="9"/>
      <c r="G759" s="9"/>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row>
    <row r="760">
      <c r="A760" s="9"/>
      <c r="B760" s="9"/>
      <c r="C760" s="9"/>
      <c r="D760" s="9"/>
      <c r="E760" s="9"/>
      <c r="F760" s="9"/>
      <c r="G760" s="9"/>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row>
    <row r="761">
      <c r="A761" s="9"/>
      <c r="B761" s="9"/>
      <c r="C761" s="9"/>
      <c r="D761" s="9"/>
      <c r="E761" s="9"/>
      <c r="F761" s="9"/>
      <c r="G761" s="9"/>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row>
    <row r="762">
      <c r="A762" s="9"/>
      <c r="B762" s="9"/>
      <c r="C762" s="9"/>
      <c r="D762" s="9"/>
      <c r="E762" s="9"/>
      <c r="F762" s="9"/>
      <c r="G762" s="9"/>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row>
    <row r="763">
      <c r="A763" s="9"/>
      <c r="B763" s="9"/>
      <c r="C763" s="9"/>
      <c r="D763" s="9"/>
      <c r="E763" s="9"/>
      <c r="F763" s="9"/>
      <c r="G763" s="9"/>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row>
    <row r="764">
      <c r="A764" s="9"/>
      <c r="B764" s="9"/>
      <c r="C764" s="9"/>
      <c r="D764" s="9"/>
      <c r="E764" s="9"/>
      <c r="F764" s="9"/>
      <c r="G764" s="9"/>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row>
    <row r="765">
      <c r="A765" s="9"/>
      <c r="B765" s="9"/>
      <c r="C765" s="9"/>
      <c r="D765" s="9"/>
      <c r="E765" s="9"/>
      <c r="F765" s="9"/>
      <c r="G765" s="9"/>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row>
    <row r="766">
      <c r="A766" s="9"/>
      <c r="B766" s="9"/>
      <c r="C766" s="9"/>
      <c r="D766" s="9"/>
      <c r="E766" s="9"/>
      <c r="F766" s="9"/>
      <c r="G766" s="9"/>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row>
    <row r="767">
      <c r="A767" s="9"/>
      <c r="B767" s="9"/>
      <c r="C767" s="9"/>
      <c r="D767" s="9"/>
      <c r="E767" s="9"/>
      <c r="F767" s="9"/>
      <c r="G767" s="9"/>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row>
    <row r="768">
      <c r="A768" s="9"/>
      <c r="B768" s="9"/>
      <c r="C768" s="9"/>
      <c r="D768" s="9"/>
      <c r="E768" s="9"/>
      <c r="F768" s="9"/>
      <c r="G768" s="9"/>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row>
    <row r="769">
      <c r="A769" s="9"/>
      <c r="B769" s="9"/>
      <c r="C769" s="9"/>
      <c r="D769" s="9"/>
      <c r="E769" s="9"/>
      <c r="F769" s="9"/>
      <c r="G769" s="9"/>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row>
    <row r="770">
      <c r="A770" s="9"/>
      <c r="B770" s="9"/>
      <c r="C770" s="9"/>
      <c r="D770" s="9"/>
      <c r="E770" s="9"/>
      <c r="F770" s="9"/>
      <c r="G770" s="9"/>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row>
    <row r="771">
      <c r="A771" s="9"/>
      <c r="B771" s="9"/>
      <c r="C771" s="9"/>
      <c r="D771" s="9"/>
      <c r="E771" s="9"/>
      <c r="F771" s="9"/>
      <c r="G771" s="9"/>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row>
    <row r="772">
      <c r="A772" s="9"/>
      <c r="B772" s="9"/>
      <c r="C772" s="9"/>
      <c r="D772" s="9"/>
      <c r="E772" s="9"/>
      <c r="F772" s="9"/>
      <c r="G772" s="9"/>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row>
    <row r="773">
      <c r="A773" s="9"/>
      <c r="B773" s="9"/>
      <c r="C773" s="9"/>
      <c r="D773" s="9"/>
      <c r="E773" s="9"/>
      <c r="F773" s="9"/>
      <c r="G773" s="9"/>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row>
    <row r="774">
      <c r="A774" s="9"/>
      <c r="B774" s="9"/>
      <c r="C774" s="9"/>
      <c r="D774" s="9"/>
      <c r="E774" s="9"/>
      <c r="F774" s="9"/>
      <c r="G774" s="9"/>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row>
    <row r="775">
      <c r="A775" s="9"/>
      <c r="B775" s="9"/>
      <c r="C775" s="9"/>
      <c r="D775" s="9"/>
      <c r="E775" s="9"/>
      <c r="F775" s="9"/>
      <c r="G775" s="9"/>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row>
    <row r="776">
      <c r="A776" s="9"/>
      <c r="B776" s="9"/>
      <c r="C776" s="9"/>
      <c r="D776" s="9"/>
      <c r="E776" s="9"/>
      <c r="F776" s="9"/>
      <c r="G776" s="9"/>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row>
    <row r="777">
      <c r="A777" s="9"/>
      <c r="B777" s="9"/>
      <c r="C777" s="9"/>
      <c r="D777" s="9"/>
      <c r="E777" s="9"/>
      <c r="F777" s="9"/>
      <c r="G777" s="9"/>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row>
    <row r="778">
      <c r="A778" s="9"/>
      <c r="B778" s="9"/>
      <c r="C778" s="9"/>
      <c r="D778" s="9"/>
      <c r="E778" s="9"/>
      <c r="F778" s="9"/>
      <c r="G778" s="9"/>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row>
    <row r="779">
      <c r="A779" s="9"/>
      <c r="B779" s="9"/>
      <c r="C779" s="9"/>
      <c r="D779" s="9"/>
      <c r="E779" s="9"/>
      <c r="F779" s="9"/>
      <c r="G779" s="9"/>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row>
    <row r="780">
      <c r="A780" s="9"/>
      <c r="B780" s="9"/>
      <c r="C780" s="9"/>
      <c r="D780" s="9"/>
      <c r="E780" s="9"/>
      <c r="F780" s="9"/>
      <c r="G780" s="9"/>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row>
    <row r="781">
      <c r="A781" s="9"/>
      <c r="B781" s="9"/>
      <c r="C781" s="9"/>
      <c r="D781" s="9"/>
      <c r="E781" s="9"/>
      <c r="F781" s="9"/>
      <c r="G781" s="9"/>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row>
    <row r="782">
      <c r="A782" s="9"/>
      <c r="B782" s="9"/>
      <c r="C782" s="9"/>
      <c r="D782" s="9"/>
      <c r="E782" s="9"/>
      <c r="F782" s="9"/>
      <c r="G782" s="9"/>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row>
    <row r="783">
      <c r="A783" s="9"/>
      <c r="B783" s="9"/>
      <c r="C783" s="9"/>
      <c r="D783" s="9"/>
      <c r="E783" s="9"/>
      <c r="F783" s="9"/>
      <c r="G783" s="9"/>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row>
    <row r="784">
      <c r="A784" s="9"/>
      <c r="B784" s="9"/>
      <c r="C784" s="9"/>
      <c r="D784" s="9"/>
      <c r="E784" s="9"/>
      <c r="F784" s="9"/>
      <c r="G784" s="9"/>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row>
    <row r="785">
      <c r="A785" s="9"/>
      <c r="B785" s="9"/>
      <c r="C785" s="9"/>
      <c r="D785" s="9"/>
      <c r="E785" s="9"/>
      <c r="F785" s="9"/>
      <c r="G785" s="9"/>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row>
    <row r="786">
      <c r="A786" s="9"/>
      <c r="B786" s="9"/>
      <c r="C786" s="9"/>
      <c r="D786" s="9"/>
      <c r="E786" s="9"/>
      <c r="F786" s="9"/>
      <c r="G786" s="9"/>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row>
    <row r="787">
      <c r="A787" s="9"/>
      <c r="B787" s="9"/>
      <c r="C787" s="9"/>
      <c r="D787" s="9"/>
      <c r="E787" s="9"/>
      <c r="F787" s="9"/>
      <c r="G787" s="9"/>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row>
    <row r="788">
      <c r="A788" s="9"/>
      <c r="B788" s="9"/>
      <c r="C788" s="9"/>
      <c r="D788" s="9"/>
      <c r="E788" s="9"/>
      <c r="F788" s="9"/>
      <c r="G788" s="9"/>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row>
    <row r="789">
      <c r="A789" s="9"/>
      <c r="B789" s="9"/>
      <c r="C789" s="9"/>
      <c r="D789" s="9"/>
      <c r="E789" s="9"/>
      <c r="F789" s="9"/>
      <c r="G789" s="9"/>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row>
    <row r="790">
      <c r="A790" s="9"/>
      <c r="B790" s="9"/>
      <c r="C790" s="9"/>
      <c r="D790" s="9"/>
      <c r="E790" s="9"/>
      <c r="F790" s="9"/>
      <c r="G790" s="9"/>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row>
    <row r="791">
      <c r="A791" s="9"/>
      <c r="B791" s="9"/>
      <c r="C791" s="9"/>
      <c r="D791" s="9"/>
      <c r="E791" s="9"/>
      <c r="F791" s="9"/>
      <c r="G791" s="9"/>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row>
    <row r="792">
      <c r="A792" s="9"/>
      <c r="B792" s="9"/>
      <c r="C792" s="9"/>
      <c r="D792" s="9"/>
      <c r="E792" s="9"/>
      <c r="F792" s="9"/>
      <c r="G792" s="9"/>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row>
    <row r="793">
      <c r="A793" s="9"/>
      <c r="B793" s="9"/>
      <c r="C793" s="9"/>
      <c r="D793" s="9"/>
      <c r="E793" s="9"/>
      <c r="F793" s="9"/>
      <c r="G793" s="9"/>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row>
    <row r="794">
      <c r="A794" s="9"/>
      <c r="B794" s="9"/>
      <c r="C794" s="9"/>
      <c r="D794" s="9"/>
      <c r="E794" s="9"/>
      <c r="F794" s="9"/>
      <c r="G794" s="9"/>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row>
    <row r="795">
      <c r="A795" s="9"/>
      <c r="B795" s="9"/>
      <c r="C795" s="9"/>
      <c r="D795" s="9"/>
      <c r="E795" s="9"/>
      <c r="F795" s="9"/>
      <c r="G795" s="9"/>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row>
    <row r="796">
      <c r="A796" s="9"/>
      <c r="B796" s="9"/>
      <c r="C796" s="9"/>
      <c r="D796" s="9"/>
      <c r="E796" s="9"/>
      <c r="F796" s="9"/>
      <c r="G796" s="9"/>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row>
    <row r="797">
      <c r="A797" s="9"/>
      <c r="B797" s="9"/>
      <c r="C797" s="9"/>
      <c r="D797" s="9"/>
      <c r="E797" s="9"/>
      <c r="F797" s="9"/>
      <c r="G797" s="9"/>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row>
    <row r="798">
      <c r="A798" s="9"/>
      <c r="B798" s="9"/>
      <c r="C798" s="9"/>
      <c r="D798" s="9"/>
      <c r="E798" s="9"/>
      <c r="F798" s="9"/>
      <c r="G798" s="9"/>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row>
    <row r="799">
      <c r="A799" s="9"/>
      <c r="B799" s="9"/>
      <c r="C799" s="9"/>
      <c r="D799" s="9"/>
      <c r="E799" s="9"/>
      <c r="F799" s="9"/>
      <c r="G799" s="9"/>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row>
    <row r="800">
      <c r="A800" s="9"/>
      <c r="B800" s="9"/>
      <c r="C800" s="9"/>
      <c r="D800" s="9"/>
      <c r="E800" s="9"/>
      <c r="F800" s="9"/>
      <c r="G800" s="9"/>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row>
    <row r="801">
      <c r="A801" s="9"/>
      <c r="B801" s="9"/>
      <c r="C801" s="9"/>
      <c r="D801" s="9"/>
      <c r="E801" s="9"/>
      <c r="F801" s="9"/>
      <c r="G801" s="9"/>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row>
    <row r="802">
      <c r="A802" s="9"/>
      <c r="B802" s="9"/>
      <c r="C802" s="9"/>
      <c r="D802" s="9"/>
      <c r="E802" s="9"/>
      <c r="F802" s="9"/>
      <c r="G802" s="9"/>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row>
    <row r="803">
      <c r="A803" s="9"/>
      <c r="B803" s="9"/>
      <c r="C803" s="9"/>
      <c r="D803" s="9"/>
      <c r="E803" s="9"/>
      <c r="F803" s="9"/>
      <c r="G803" s="9"/>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row>
    <row r="804">
      <c r="A804" s="9"/>
      <c r="B804" s="9"/>
      <c r="C804" s="9"/>
      <c r="D804" s="9"/>
      <c r="E804" s="9"/>
      <c r="F804" s="9"/>
      <c r="G804" s="9"/>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row>
    <row r="805">
      <c r="A805" s="9"/>
      <c r="B805" s="9"/>
      <c r="C805" s="9"/>
      <c r="D805" s="9"/>
      <c r="E805" s="9"/>
      <c r="F805" s="9"/>
      <c r="G805" s="9"/>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row>
    <row r="806">
      <c r="A806" s="9"/>
      <c r="B806" s="9"/>
      <c r="C806" s="9"/>
      <c r="D806" s="9"/>
      <c r="E806" s="9"/>
      <c r="F806" s="9"/>
      <c r="G806" s="9"/>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row>
    <row r="807">
      <c r="A807" s="9"/>
      <c r="B807" s="9"/>
      <c r="C807" s="9"/>
      <c r="D807" s="9"/>
      <c r="E807" s="9"/>
      <c r="F807" s="9"/>
      <c r="G807" s="9"/>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row>
    <row r="808">
      <c r="A808" s="9"/>
      <c r="B808" s="9"/>
      <c r="C808" s="9"/>
      <c r="D808" s="9"/>
      <c r="E808" s="9"/>
      <c r="F808" s="9"/>
      <c r="G808" s="9"/>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row>
    <row r="809">
      <c r="A809" s="9"/>
      <c r="B809" s="9"/>
      <c r="C809" s="9"/>
      <c r="D809" s="9"/>
      <c r="E809" s="9"/>
      <c r="F809" s="9"/>
      <c r="G809" s="9"/>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row>
    <row r="810">
      <c r="A810" s="9"/>
      <c r="B810" s="9"/>
      <c r="C810" s="9"/>
      <c r="D810" s="9"/>
      <c r="E810" s="9"/>
      <c r="F810" s="9"/>
      <c r="G810" s="9"/>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row>
    <row r="811">
      <c r="A811" s="9"/>
      <c r="B811" s="9"/>
      <c r="C811" s="9"/>
      <c r="D811" s="9"/>
      <c r="E811" s="9"/>
      <c r="F811" s="9"/>
      <c r="G811" s="9"/>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row>
    <row r="812">
      <c r="A812" s="9"/>
      <c r="B812" s="9"/>
      <c r="C812" s="9"/>
      <c r="D812" s="9"/>
      <c r="E812" s="9"/>
      <c r="F812" s="9"/>
      <c r="G812" s="9"/>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row>
    <row r="813">
      <c r="A813" s="9"/>
      <c r="B813" s="9"/>
      <c r="C813" s="9"/>
      <c r="D813" s="9"/>
      <c r="E813" s="9"/>
      <c r="F813" s="9"/>
      <c r="G813" s="9"/>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row>
    <row r="814">
      <c r="A814" s="9"/>
      <c r="B814" s="9"/>
      <c r="C814" s="9"/>
      <c r="D814" s="9"/>
      <c r="E814" s="9"/>
      <c r="F814" s="9"/>
      <c r="G814" s="9"/>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row>
    <row r="815">
      <c r="A815" s="9"/>
      <c r="B815" s="9"/>
      <c r="C815" s="9"/>
      <c r="D815" s="9"/>
      <c r="E815" s="9"/>
      <c r="F815" s="9"/>
      <c r="G815" s="9"/>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row>
    <row r="816">
      <c r="A816" s="9"/>
      <c r="B816" s="9"/>
      <c r="C816" s="9"/>
      <c r="D816" s="9"/>
      <c r="E816" s="9"/>
      <c r="F816" s="9"/>
      <c r="G816" s="9"/>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row>
    <row r="817">
      <c r="A817" s="9"/>
      <c r="B817" s="9"/>
      <c r="C817" s="9"/>
      <c r="D817" s="9"/>
      <c r="E817" s="9"/>
      <c r="F817" s="9"/>
      <c r="G817" s="9"/>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row>
    <row r="818">
      <c r="A818" s="9"/>
      <c r="B818" s="9"/>
      <c r="C818" s="9"/>
      <c r="D818" s="9"/>
      <c r="E818" s="9"/>
      <c r="F818" s="9"/>
      <c r="G818" s="9"/>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row>
    <row r="819">
      <c r="A819" s="9"/>
      <c r="B819" s="9"/>
      <c r="C819" s="9"/>
      <c r="D819" s="9"/>
      <c r="E819" s="9"/>
      <c r="F819" s="9"/>
      <c r="G819" s="9"/>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row>
    <row r="820">
      <c r="A820" s="9"/>
      <c r="B820" s="9"/>
      <c r="C820" s="9"/>
      <c r="D820" s="9"/>
      <c r="E820" s="9"/>
      <c r="F820" s="9"/>
      <c r="G820" s="9"/>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row>
    <row r="821">
      <c r="A821" s="9"/>
      <c r="B821" s="9"/>
      <c r="C821" s="9"/>
      <c r="D821" s="9"/>
      <c r="E821" s="9"/>
      <c r="F821" s="9"/>
      <c r="G821" s="9"/>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row>
    <row r="822">
      <c r="A822" s="9"/>
      <c r="B822" s="9"/>
      <c r="C822" s="9"/>
      <c r="D822" s="9"/>
      <c r="E822" s="9"/>
      <c r="F822" s="9"/>
      <c r="G822" s="9"/>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row>
    <row r="823">
      <c r="A823" s="9"/>
      <c r="B823" s="9"/>
      <c r="C823" s="9"/>
      <c r="D823" s="9"/>
      <c r="E823" s="9"/>
      <c r="F823" s="9"/>
      <c r="G823" s="9"/>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row>
    <row r="824">
      <c r="A824" s="9"/>
      <c r="B824" s="9"/>
      <c r="C824" s="9"/>
      <c r="D824" s="9"/>
      <c r="E824" s="9"/>
      <c r="F824" s="9"/>
      <c r="G824" s="9"/>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row>
    <row r="825">
      <c r="A825" s="9"/>
      <c r="B825" s="9"/>
      <c r="C825" s="9"/>
      <c r="D825" s="9"/>
      <c r="E825" s="9"/>
      <c r="F825" s="9"/>
      <c r="G825" s="9"/>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row>
    <row r="826">
      <c r="A826" s="9"/>
      <c r="B826" s="9"/>
      <c r="C826" s="9"/>
      <c r="D826" s="9"/>
      <c r="E826" s="9"/>
      <c r="F826" s="9"/>
      <c r="G826" s="9"/>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row>
    <row r="827">
      <c r="A827" s="9"/>
      <c r="B827" s="9"/>
      <c r="C827" s="9"/>
      <c r="D827" s="9"/>
      <c r="E827" s="9"/>
      <c r="F827" s="9"/>
      <c r="G827" s="9"/>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row>
    <row r="828">
      <c r="A828" s="9"/>
      <c r="B828" s="9"/>
      <c r="C828" s="9"/>
      <c r="D828" s="9"/>
      <c r="E828" s="9"/>
      <c r="F828" s="9"/>
      <c r="G828" s="9"/>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row>
    <row r="829">
      <c r="A829" s="9"/>
      <c r="B829" s="9"/>
      <c r="C829" s="9"/>
      <c r="D829" s="9"/>
      <c r="E829" s="9"/>
      <c r="F829" s="9"/>
      <c r="G829" s="9"/>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row>
    <row r="830">
      <c r="A830" s="9"/>
      <c r="B830" s="9"/>
      <c r="C830" s="9"/>
      <c r="D830" s="9"/>
      <c r="E830" s="9"/>
      <c r="F830" s="9"/>
      <c r="G830" s="9"/>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row>
    <row r="831">
      <c r="A831" s="9"/>
      <c r="B831" s="9"/>
      <c r="C831" s="9"/>
      <c r="D831" s="9"/>
      <c r="E831" s="9"/>
      <c r="F831" s="9"/>
      <c r="G831" s="9"/>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row>
    <row r="832">
      <c r="A832" s="9"/>
      <c r="B832" s="9"/>
      <c r="C832" s="9"/>
      <c r="D832" s="9"/>
      <c r="E832" s="9"/>
      <c r="F832" s="9"/>
      <c r="G832" s="9"/>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row>
    <row r="833">
      <c r="A833" s="9"/>
      <c r="B833" s="9"/>
      <c r="C833" s="9"/>
      <c r="D833" s="9"/>
      <c r="E833" s="9"/>
      <c r="F833" s="9"/>
      <c r="G833" s="9"/>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row>
    <row r="834">
      <c r="A834" s="9"/>
      <c r="B834" s="9"/>
      <c r="C834" s="9"/>
      <c r="D834" s="9"/>
      <c r="E834" s="9"/>
      <c r="F834" s="9"/>
      <c r="G834" s="9"/>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row>
    <row r="835">
      <c r="A835" s="9"/>
      <c r="B835" s="9"/>
      <c r="C835" s="9"/>
      <c r="D835" s="9"/>
      <c r="E835" s="9"/>
      <c r="F835" s="9"/>
      <c r="G835" s="9"/>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row>
    <row r="836">
      <c r="A836" s="9"/>
      <c r="B836" s="9"/>
      <c r="C836" s="9"/>
      <c r="D836" s="9"/>
      <c r="E836" s="9"/>
      <c r="F836" s="9"/>
      <c r="G836" s="9"/>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row>
    <row r="837">
      <c r="A837" s="9"/>
      <c r="B837" s="9"/>
      <c r="C837" s="9"/>
      <c r="D837" s="9"/>
      <c r="E837" s="9"/>
      <c r="F837" s="9"/>
      <c r="G837" s="9"/>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row>
    <row r="838">
      <c r="A838" s="9"/>
      <c r="B838" s="9"/>
      <c r="C838" s="9"/>
      <c r="D838" s="9"/>
      <c r="E838" s="9"/>
      <c r="F838" s="9"/>
      <c r="G838" s="9"/>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row>
    <row r="839">
      <c r="A839" s="9"/>
      <c r="B839" s="9"/>
      <c r="C839" s="9"/>
      <c r="D839" s="9"/>
      <c r="E839" s="9"/>
      <c r="F839" s="9"/>
      <c r="G839" s="9"/>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row>
    <row r="840">
      <c r="A840" s="9"/>
      <c r="B840" s="9"/>
      <c r="C840" s="9"/>
      <c r="D840" s="9"/>
      <c r="E840" s="9"/>
      <c r="F840" s="9"/>
      <c r="G840" s="9"/>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row>
    <row r="841">
      <c r="A841" s="9"/>
      <c r="B841" s="9"/>
      <c r="C841" s="9"/>
      <c r="D841" s="9"/>
      <c r="E841" s="9"/>
      <c r="F841" s="9"/>
      <c r="G841" s="9"/>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row>
    <row r="842">
      <c r="A842" s="9"/>
      <c r="B842" s="9"/>
      <c r="C842" s="9"/>
      <c r="D842" s="9"/>
      <c r="E842" s="9"/>
      <c r="F842" s="9"/>
      <c r="G842" s="9"/>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row>
    <row r="843">
      <c r="A843" s="9"/>
      <c r="B843" s="9"/>
      <c r="C843" s="9"/>
      <c r="D843" s="9"/>
      <c r="E843" s="9"/>
      <c r="F843" s="9"/>
      <c r="G843" s="9"/>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row>
    <row r="844">
      <c r="A844" s="9"/>
      <c r="B844" s="9"/>
      <c r="C844" s="9"/>
      <c r="D844" s="9"/>
      <c r="E844" s="9"/>
      <c r="F844" s="9"/>
      <c r="G844" s="9"/>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row>
    <row r="845">
      <c r="A845" s="9"/>
      <c r="B845" s="9"/>
      <c r="C845" s="9"/>
      <c r="D845" s="9"/>
      <c r="E845" s="9"/>
      <c r="F845" s="9"/>
      <c r="G845" s="9"/>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row>
    <row r="846">
      <c r="A846" s="9"/>
      <c r="B846" s="9"/>
      <c r="C846" s="9"/>
      <c r="D846" s="9"/>
      <c r="E846" s="9"/>
      <c r="F846" s="9"/>
      <c r="G846" s="9"/>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row>
    <row r="847">
      <c r="A847" s="9"/>
      <c r="B847" s="9"/>
      <c r="C847" s="9"/>
      <c r="D847" s="9"/>
      <c r="E847" s="9"/>
      <c r="F847" s="9"/>
      <c r="G847" s="9"/>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row>
    <row r="848">
      <c r="A848" s="9"/>
      <c r="B848" s="9"/>
      <c r="C848" s="9"/>
      <c r="D848" s="9"/>
      <c r="E848" s="9"/>
      <c r="F848" s="9"/>
      <c r="G848" s="9"/>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row>
    <row r="849">
      <c r="A849" s="9"/>
      <c r="B849" s="9"/>
      <c r="C849" s="9"/>
      <c r="D849" s="9"/>
      <c r="E849" s="9"/>
      <c r="F849" s="9"/>
      <c r="G849" s="9"/>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row>
    <row r="850">
      <c r="A850" s="9"/>
      <c r="B850" s="9"/>
      <c r="C850" s="9"/>
      <c r="D850" s="9"/>
      <c r="E850" s="9"/>
      <c r="F850" s="9"/>
      <c r="G850" s="9"/>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row>
    <row r="851">
      <c r="A851" s="9"/>
      <c r="B851" s="9"/>
      <c r="C851" s="9"/>
      <c r="D851" s="9"/>
      <c r="E851" s="9"/>
      <c r="F851" s="9"/>
      <c r="G851" s="9"/>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row>
    <row r="852">
      <c r="A852" s="9"/>
      <c r="B852" s="9"/>
      <c r="C852" s="9"/>
      <c r="D852" s="9"/>
      <c r="E852" s="9"/>
      <c r="F852" s="9"/>
      <c r="G852" s="9"/>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row>
    <row r="853">
      <c r="A853" s="9"/>
      <c r="B853" s="9"/>
      <c r="C853" s="9"/>
      <c r="D853" s="9"/>
      <c r="E853" s="9"/>
      <c r="F853" s="9"/>
      <c r="G853" s="9"/>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row>
    <row r="854">
      <c r="A854" s="9"/>
      <c r="B854" s="9"/>
      <c r="C854" s="9"/>
      <c r="D854" s="9"/>
      <c r="E854" s="9"/>
      <c r="F854" s="9"/>
      <c r="G854" s="9"/>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row>
    <row r="855">
      <c r="A855" s="9"/>
      <c r="B855" s="9"/>
      <c r="C855" s="9"/>
      <c r="D855" s="9"/>
      <c r="E855" s="9"/>
      <c r="F855" s="9"/>
      <c r="G855" s="9"/>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row>
    <row r="856">
      <c r="A856" s="9"/>
      <c r="B856" s="9"/>
      <c r="C856" s="9"/>
      <c r="D856" s="9"/>
      <c r="E856" s="9"/>
      <c r="F856" s="9"/>
      <c r="G856" s="9"/>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row>
    <row r="857">
      <c r="A857" s="9"/>
      <c r="B857" s="9"/>
      <c r="C857" s="9"/>
      <c r="D857" s="9"/>
      <c r="E857" s="9"/>
      <c r="F857" s="9"/>
      <c r="G857" s="9"/>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row>
    <row r="858">
      <c r="A858" s="9"/>
      <c r="B858" s="9"/>
      <c r="C858" s="9"/>
      <c r="D858" s="9"/>
      <c r="E858" s="9"/>
      <c r="F858" s="9"/>
      <c r="G858" s="9"/>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row>
    <row r="859">
      <c r="A859" s="9"/>
      <c r="B859" s="9"/>
      <c r="C859" s="9"/>
      <c r="D859" s="9"/>
      <c r="E859" s="9"/>
      <c r="F859" s="9"/>
      <c r="G859" s="9"/>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row>
    <row r="860">
      <c r="A860" s="9"/>
      <c r="B860" s="9"/>
      <c r="C860" s="9"/>
      <c r="D860" s="9"/>
      <c r="E860" s="9"/>
      <c r="F860" s="9"/>
      <c r="G860" s="9"/>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row>
    <row r="861">
      <c r="A861" s="9"/>
      <c r="B861" s="9"/>
      <c r="C861" s="9"/>
      <c r="D861" s="9"/>
      <c r="E861" s="9"/>
      <c r="F861" s="9"/>
      <c r="G861" s="9"/>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row>
    <row r="862">
      <c r="A862" s="9"/>
      <c r="B862" s="9"/>
      <c r="C862" s="9"/>
      <c r="D862" s="9"/>
      <c r="E862" s="9"/>
      <c r="F862" s="9"/>
      <c r="G862" s="9"/>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row>
    <row r="863">
      <c r="A863" s="9"/>
      <c r="B863" s="9"/>
      <c r="C863" s="9"/>
      <c r="D863" s="9"/>
      <c r="E863" s="9"/>
      <c r="F863" s="9"/>
      <c r="G863" s="9"/>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row>
    <row r="864">
      <c r="A864" s="9"/>
      <c r="B864" s="9"/>
      <c r="C864" s="9"/>
      <c r="D864" s="9"/>
      <c r="E864" s="9"/>
      <c r="F864" s="9"/>
      <c r="G864" s="9"/>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row>
    <row r="865">
      <c r="A865" s="9"/>
      <c r="B865" s="9"/>
      <c r="C865" s="9"/>
      <c r="D865" s="9"/>
      <c r="E865" s="9"/>
      <c r="F865" s="9"/>
      <c r="G865" s="9"/>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row>
    <row r="866">
      <c r="A866" s="9"/>
      <c r="B866" s="9"/>
      <c r="C866" s="9"/>
      <c r="D866" s="9"/>
      <c r="E866" s="9"/>
      <c r="F866" s="9"/>
      <c r="G866" s="9"/>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row>
    <row r="867">
      <c r="A867" s="9"/>
      <c r="B867" s="9"/>
      <c r="C867" s="9"/>
      <c r="D867" s="9"/>
      <c r="E867" s="9"/>
      <c r="F867" s="9"/>
      <c r="G867" s="9"/>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row>
    <row r="868">
      <c r="A868" s="9"/>
      <c r="B868" s="9"/>
      <c r="C868" s="9"/>
      <c r="D868" s="9"/>
      <c r="E868" s="9"/>
      <c r="F868" s="9"/>
      <c r="G868" s="9"/>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row>
    <row r="869">
      <c r="A869" s="9"/>
      <c r="B869" s="9"/>
      <c r="C869" s="9"/>
      <c r="D869" s="9"/>
      <c r="E869" s="9"/>
      <c r="F869" s="9"/>
      <c r="G869" s="9"/>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row>
    <row r="870">
      <c r="A870" s="9"/>
      <c r="B870" s="9"/>
      <c r="C870" s="9"/>
      <c r="D870" s="9"/>
      <c r="E870" s="9"/>
      <c r="F870" s="9"/>
      <c r="G870" s="9"/>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row>
    <row r="871">
      <c r="A871" s="9"/>
      <c r="B871" s="9"/>
      <c r="C871" s="9"/>
      <c r="D871" s="9"/>
      <c r="E871" s="9"/>
      <c r="F871" s="9"/>
      <c r="G871" s="9"/>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row>
    <row r="872">
      <c r="A872" s="9"/>
      <c r="B872" s="9"/>
      <c r="C872" s="9"/>
      <c r="D872" s="9"/>
      <c r="E872" s="9"/>
      <c r="F872" s="9"/>
      <c r="G872" s="9"/>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row>
    <row r="873">
      <c r="A873" s="9"/>
      <c r="B873" s="9"/>
      <c r="C873" s="9"/>
      <c r="D873" s="9"/>
      <c r="E873" s="9"/>
      <c r="F873" s="9"/>
      <c r="G873" s="9"/>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row>
    <row r="874">
      <c r="A874" s="9"/>
      <c r="B874" s="9"/>
      <c r="C874" s="9"/>
      <c r="D874" s="9"/>
      <c r="E874" s="9"/>
      <c r="F874" s="9"/>
      <c r="G874" s="9"/>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row>
    <row r="875">
      <c r="A875" s="9"/>
      <c r="B875" s="9"/>
      <c r="C875" s="9"/>
      <c r="D875" s="9"/>
      <c r="E875" s="9"/>
      <c r="F875" s="9"/>
      <c r="G875" s="9"/>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row>
    <row r="876">
      <c r="A876" s="9"/>
      <c r="B876" s="9"/>
      <c r="C876" s="9"/>
      <c r="D876" s="9"/>
      <c r="E876" s="9"/>
      <c r="F876" s="9"/>
      <c r="G876" s="9"/>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row>
    <row r="877">
      <c r="A877" s="9"/>
      <c r="B877" s="9"/>
      <c r="C877" s="9"/>
      <c r="D877" s="9"/>
      <c r="E877" s="9"/>
      <c r="F877" s="9"/>
      <c r="G877" s="9"/>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row>
    <row r="878">
      <c r="A878" s="9"/>
      <c r="B878" s="9"/>
      <c r="C878" s="9"/>
      <c r="D878" s="9"/>
      <c r="E878" s="9"/>
      <c r="F878" s="9"/>
      <c r="G878" s="9"/>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row>
    <row r="879">
      <c r="A879" s="9"/>
      <c r="B879" s="9"/>
      <c r="C879" s="9"/>
      <c r="D879" s="9"/>
      <c r="E879" s="9"/>
      <c r="F879" s="9"/>
      <c r="G879" s="9"/>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row>
    <row r="880">
      <c r="A880" s="9"/>
      <c r="B880" s="9"/>
      <c r="C880" s="9"/>
      <c r="D880" s="9"/>
      <c r="E880" s="9"/>
      <c r="F880" s="9"/>
      <c r="G880" s="9"/>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row>
    <row r="881">
      <c r="A881" s="9"/>
      <c r="B881" s="9"/>
      <c r="C881" s="9"/>
      <c r="D881" s="9"/>
      <c r="E881" s="9"/>
      <c r="F881" s="9"/>
      <c r="G881" s="9"/>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row>
    <row r="882">
      <c r="A882" s="9"/>
      <c r="B882" s="9"/>
      <c r="C882" s="9"/>
      <c r="D882" s="9"/>
      <c r="E882" s="9"/>
      <c r="F882" s="9"/>
      <c r="G882" s="9"/>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row>
    <row r="883">
      <c r="A883" s="9"/>
      <c r="B883" s="9"/>
      <c r="C883" s="9"/>
      <c r="D883" s="9"/>
      <c r="E883" s="9"/>
      <c r="F883" s="9"/>
      <c r="G883" s="9"/>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row>
    <row r="884">
      <c r="A884" s="9"/>
      <c r="B884" s="9"/>
      <c r="C884" s="9"/>
      <c r="D884" s="9"/>
      <c r="E884" s="9"/>
      <c r="F884" s="9"/>
      <c r="G884" s="9"/>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row>
    <row r="885">
      <c r="A885" s="9"/>
      <c r="B885" s="9"/>
      <c r="C885" s="9"/>
      <c r="D885" s="9"/>
      <c r="E885" s="9"/>
      <c r="F885" s="9"/>
      <c r="G885" s="9"/>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row>
    <row r="886">
      <c r="A886" s="9"/>
      <c r="B886" s="9"/>
      <c r="C886" s="9"/>
      <c r="D886" s="9"/>
      <c r="E886" s="9"/>
      <c r="F886" s="9"/>
      <c r="G886" s="9"/>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row>
    <row r="887">
      <c r="A887" s="9"/>
      <c r="B887" s="9"/>
      <c r="C887" s="9"/>
      <c r="D887" s="9"/>
      <c r="E887" s="9"/>
      <c r="F887" s="9"/>
      <c r="G887" s="9"/>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row>
    <row r="888">
      <c r="A888" s="9"/>
      <c r="B888" s="9"/>
      <c r="C888" s="9"/>
      <c r="D888" s="9"/>
      <c r="E888" s="9"/>
      <c r="F888" s="9"/>
      <c r="G888" s="9"/>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row>
    <row r="889">
      <c r="A889" s="9"/>
      <c r="B889" s="9"/>
      <c r="C889" s="9"/>
      <c r="D889" s="9"/>
      <c r="E889" s="9"/>
      <c r="F889" s="9"/>
      <c r="G889" s="9"/>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row>
    <row r="890">
      <c r="A890" s="9"/>
      <c r="B890" s="9"/>
      <c r="C890" s="9"/>
      <c r="D890" s="9"/>
      <c r="E890" s="9"/>
      <c r="F890" s="9"/>
      <c r="G890" s="9"/>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row>
    <row r="891">
      <c r="A891" s="9"/>
      <c r="B891" s="9"/>
      <c r="C891" s="9"/>
      <c r="D891" s="9"/>
      <c r="E891" s="9"/>
      <c r="F891" s="9"/>
      <c r="G891" s="9"/>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row>
    <row r="892">
      <c r="A892" s="9"/>
      <c r="B892" s="9"/>
      <c r="C892" s="9"/>
      <c r="D892" s="9"/>
      <c r="E892" s="9"/>
      <c r="F892" s="9"/>
      <c r="G892" s="9"/>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row>
    <row r="893">
      <c r="A893" s="9"/>
      <c r="B893" s="9"/>
      <c r="C893" s="9"/>
      <c r="D893" s="9"/>
      <c r="E893" s="9"/>
      <c r="F893" s="9"/>
      <c r="G893" s="9"/>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row>
    <row r="894">
      <c r="A894" s="9"/>
      <c r="B894" s="9"/>
      <c r="C894" s="9"/>
      <c r="D894" s="9"/>
      <c r="E894" s="9"/>
      <c r="F894" s="9"/>
      <c r="G894" s="9"/>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row>
    <row r="895">
      <c r="A895" s="9"/>
      <c r="B895" s="9"/>
      <c r="C895" s="9"/>
      <c r="D895" s="9"/>
      <c r="E895" s="9"/>
      <c r="F895" s="9"/>
      <c r="G895" s="9"/>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row>
    <row r="896">
      <c r="A896" s="9"/>
      <c r="B896" s="9"/>
      <c r="C896" s="9"/>
      <c r="D896" s="9"/>
      <c r="E896" s="9"/>
      <c r="F896" s="9"/>
      <c r="G896" s="9"/>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row>
    <row r="897">
      <c r="A897" s="9"/>
      <c r="B897" s="9"/>
      <c r="C897" s="9"/>
      <c r="D897" s="9"/>
      <c r="E897" s="9"/>
      <c r="F897" s="9"/>
      <c r="G897" s="9"/>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row>
    <row r="898">
      <c r="A898" s="9"/>
      <c r="B898" s="9"/>
      <c r="C898" s="9"/>
      <c r="D898" s="9"/>
      <c r="E898" s="9"/>
      <c r="F898" s="9"/>
      <c r="G898" s="9"/>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row>
    <row r="899">
      <c r="A899" s="9"/>
      <c r="B899" s="9"/>
      <c r="C899" s="9"/>
      <c r="D899" s="9"/>
      <c r="E899" s="9"/>
      <c r="F899" s="9"/>
      <c r="G899" s="9"/>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row>
    <row r="900">
      <c r="A900" s="9"/>
      <c r="B900" s="9"/>
      <c r="C900" s="9"/>
      <c r="D900" s="9"/>
      <c r="E900" s="9"/>
      <c r="F900" s="9"/>
      <c r="G900" s="9"/>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row>
    <row r="901">
      <c r="A901" s="9"/>
      <c r="B901" s="9"/>
      <c r="C901" s="9"/>
      <c r="D901" s="9"/>
      <c r="E901" s="9"/>
      <c r="F901" s="9"/>
      <c r="G901" s="9"/>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row>
    <row r="902">
      <c r="A902" s="9"/>
      <c r="B902" s="9"/>
      <c r="C902" s="9"/>
      <c r="D902" s="9"/>
      <c r="E902" s="9"/>
      <c r="F902" s="9"/>
      <c r="G902" s="9"/>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row>
    <row r="903">
      <c r="A903" s="9"/>
      <c r="B903" s="9"/>
      <c r="C903" s="9"/>
      <c r="D903" s="9"/>
      <c r="E903" s="9"/>
      <c r="F903" s="9"/>
      <c r="G903" s="9"/>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row>
    <row r="904">
      <c r="A904" s="9"/>
      <c r="B904" s="9"/>
      <c r="C904" s="9"/>
      <c r="D904" s="9"/>
      <c r="E904" s="9"/>
      <c r="F904" s="9"/>
      <c r="G904" s="9"/>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row>
    <row r="905">
      <c r="A905" s="9"/>
      <c r="B905" s="9"/>
      <c r="C905" s="9"/>
      <c r="D905" s="9"/>
      <c r="E905" s="9"/>
      <c r="F905" s="9"/>
      <c r="G905" s="9"/>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row>
    <row r="906">
      <c r="A906" s="9"/>
      <c r="B906" s="9"/>
      <c r="C906" s="9"/>
      <c r="D906" s="9"/>
      <c r="E906" s="9"/>
      <c r="F906" s="9"/>
      <c r="G906" s="9"/>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row>
    <row r="907">
      <c r="A907" s="9"/>
      <c r="B907" s="9"/>
      <c r="C907" s="9"/>
      <c r="D907" s="9"/>
      <c r="E907" s="9"/>
      <c r="F907" s="9"/>
      <c r="G907" s="9"/>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row>
    <row r="908">
      <c r="A908" s="9"/>
      <c r="B908" s="9"/>
      <c r="C908" s="9"/>
      <c r="D908" s="9"/>
      <c r="E908" s="9"/>
      <c r="F908" s="9"/>
      <c r="G908" s="9"/>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row>
    <row r="909">
      <c r="A909" s="9"/>
      <c r="B909" s="9"/>
      <c r="C909" s="9"/>
      <c r="D909" s="9"/>
      <c r="E909" s="9"/>
      <c r="F909" s="9"/>
      <c r="G909" s="9"/>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row>
    <row r="910">
      <c r="A910" s="9"/>
      <c r="B910" s="9"/>
      <c r="C910" s="9"/>
      <c r="D910" s="9"/>
      <c r="E910" s="9"/>
      <c r="F910" s="9"/>
      <c r="G910" s="9"/>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row>
    <row r="911">
      <c r="A911" s="9"/>
      <c r="B911" s="9"/>
      <c r="C911" s="9"/>
      <c r="D911" s="9"/>
      <c r="E911" s="9"/>
      <c r="F911" s="9"/>
      <c r="G911" s="9"/>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row>
    <row r="912">
      <c r="A912" s="9"/>
      <c r="B912" s="9"/>
      <c r="C912" s="9"/>
      <c r="D912" s="9"/>
      <c r="E912" s="9"/>
      <c r="F912" s="9"/>
      <c r="G912" s="9"/>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row>
    <row r="913">
      <c r="A913" s="9"/>
      <c r="B913" s="9"/>
      <c r="C913" s="9"/>
      <c r="D913" s="9"/>
      <c r="E913" s="9"/>
      <c r="F913" s="9"/>
      <c r="G913" s="9"/>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row>
    <row r="914">
      <c r="A914" s="9"/>
      <c r="B914" s="9"/>
      <c r="C914" s="9"/>
      <c r="D914" s="9"/>
      <c r="E914" s="9"/>
      <c r="F914" s="9"/>
      <c r="G914" s="9"/>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row>
    <row r="915">
      <c r="A915" s="9"/>
      <c r="B915" s="9"/>
      <c r="C915" s="9"/>
      <c r="D915" s="9"/>
      <c r="E915" s="9"/>
      <c r="F915" s="9"/>
      <c r="G915" s="9"/>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row>
    <row r="916">
      <c r="A916" s="9"/>
      <c r="B916" s="9"/>
      <c r="C916" s="9"/>
      <c r="D916" s="9"/>
      <c r="E916" s="9"/>
      <c r="F916" s="9"/>
      <c r="G916" s="9"/>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row>
    <row r="917">
      <c r="A917" s="9"/>
      <c r="B917" s="9"/>
      <c r="C917" s="9"/>
      <c r="D917" s="9"/>
      <c r="E917" s="9"/>
      <c r="F917" s="9"/>
      <c r="G917" s="9"/>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row>
    <row r="918">
      <c r="A918" s="9"/>
      <c r="B918" s="9"/>
      <c r="C918" s="9"/>
      <c r="D918" s="9"/>
      <c r="E918" s="9"/>
      <c r="F918" s="9"/>
      <c r="G918" s="9"/>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row>
    <row r="919">
      <c r="A919" s="9"/>
      <c r="B919" s="9"/>
      <c r="C919" s="9"/>
      <c r="D919" s="9"/>
      <c r="E919" s="9"/>
      <c r="F919" s="9"/>
      <c r="G919" s="9"/>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row>
    <row r="920">
      <c r="A920" s="9"/>
      <c r="B920" s="9"/>
      <c r="C920" s="9"/>
      <c r="D920" s="9"/>
      <c r="E920" s="9"/>
      <c r="F920" s="9"/>
      <c r="G920" s="9"/>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row>
    <row r="921">
      <c r="A921" s="9"/>
      <c r="B921" s="9"/>
      <c r="C921" s="9"/>
      <c r="D921" s="9"/>
      <c r="E921" s="9"/>
      <c r="F921" s="9"/>
      <c r="G921" s="9"/>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row>
    <row r="922">
      <c r="A922" s="9"/>
      <c r="B922" s="9"/>
      <c r="C922" s="9"/>
      <c r="D922" s="9"/>
      <c r="E922" s="9"/>
      <c r="F922" s="9"/>
      <c r="G922" s="9"/>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row>
    <row r="923">
      <c r="A923" s="9"/>
      <c r="B923" s="9"/>
      <c r="C923" s="9"/>
      <c r="D923" s="9"/>
      <c r="E923" s="9"/>
      <c r="F923" s="9"/>
      <c r="G923" s="9"/>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row>
    <row r="924">
      <c r="A924" s="9"/>
      <c r="B924" s="9"/>
      <c r="C924" s="9"/>
      <c r="D924" s="9"/>
      <c r="E924" s="9"/>
      <c r="F924" s="9"/>
      <c r="G924" s="9"/>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row>
    <row r="925">
      <c r="A925" s="9"/>
      <c r="B925" s="9"/>
      <c r="C925" s="9"/>
      <c r="D925" s="9"/>
      <c r="E925" s="9"/>
      <c r="F925" s="9"/>
      <c r="G925" s="9"/>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row>
    <row r="926">
      <c r="A926" s="9"/>
      <c r="B926" s="9"/>
      <c r="C926" s="9"/>
      <c r="D926" s="9"/>
      <c r="E926" s="9"/>
      <c r="F926" s="9"/>
      <c r="G926" s="9"/>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row>
    <row r="927">
      <c r="A927" s="9"/>
      <c r="B927" s="9"/>
      <c r="C927" s="9"/>
      <c r="D927" s="9"/>
      <c r="E927" s="9"/>
      <c r="F927" s="9"/>
      <c r="G927" s="9"/>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row>
    <row r="928">
      <c r="A928" s="9"/>
      <c r="B928" s="9"/>
      <c r="C928" s="9"/>
      <c r="D928" s="9"/>
      <c r="E928" s="9"/>
      <c r="F928" s="9"/>
      <c r="G928" s="9"/>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row>
    <row r="929">
      <c r="A929" s="9"/>
      <c r="B929" s="9"/>
      <c r="C929" s="9"/>
      <c r="D929" s="9"/>
      <c r="E929" s="9"/>
      <c r="F929" s="9"/>
      <c r="G929" s="9"/>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row>
    <row r="930">
      <c r="A930" s="9"/>
      <c r="B930" s="9"/>
      <c r="C930" s="9"/>
      <c r="D930" s="9"/>
      <c r="E930" s="9"/>
      <c r="F930" s="9"/>
      <c r="G930" s="9"/>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row>
    <row r="931">
      <c r="A931" s="9"/>
      <c r="B931" s="9"/>
      <c r="C931" s="9"/>
      <c r="D931" s="9"/>
      <c r="E931" s="9"/>
      <c r="F931" s="9"/>
      <c r="G931" s="9"/>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row>
    <row r="932">
      <c r="A932" s="9"/>
      <c r="B932" s="9"/>
      <c r="C932" s="9"/>
      <c r="D932" s="9"/>
      <c r="E932" s="9"/>
      <c r="F932" s="9"/>
      <c r="G932" s="9"/>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row>
    <row r="933">
      <c r="A933" s="9"/>
      <c r="B933" s="9"/>
      <c r="C933" s="9"/>
      <c r="D933" s="9"/>
      <c r="E933" s="9"/>
      <c r="F933" s="9"/>
      <c r="G933" s="9"/>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row>
    <row r="934">
      <c r="A934" s="9"/>
      <c r="B934" s="9"/>
      <c r="C934" s="9"/>
      <c r="D934" s="9"/>
      <c r="E934" s="9"/>
      <c r="F934" s="9"/>
      <c r="G934" s="9"/>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row>
    <row r="935">
      <c r="A935" s="9"/>
      <c r="B935" s="9"/>
      <c r="C935" s="9"/>
      <c r="D935" s="9"/>
      <c r="E935" s="9"/>
      <c r="F935" s="9"/>
      <c r="G935" s="9"/>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row>
    <row r="936">
      <c r="A936" s="9"/>
      <c r="B936" s="9"/>
      <c r="C936" s="9"/>
      <c r="D936" s="9"/>
      <c r="E936" s="9"/>
      <c r="F936" s="9"/>
      <c r="G936" s="9"/>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row>
    <row r="937">
      <c r="A937" s="9"/>
      <c r="B937" s="9"/>
      <c r="C937" s="9"/>
      <c r="D937" s="9"/>
      <c r="E937" s="9"/>
      <c r="F937" s="9"/>
      <c r="G937" s="9"/>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row>
    <row r="938">
      <c r="A938" s="9"/>
      <c r="B938" s="9"/>
      <c r="C938" s="9"/>
      <c r="D938" s="9"/>
      <c r="E938" s="9"/>
      <c r="F938" s="9"/>
      <c r="G938" s="9"/>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row>
    <row r="939">
      <c r="A939" s="9"/>
      <c r="B939" s="9"/>
      <c r="C939" s="9"/>
      <c r="D939" s="9"/>
      <c r="E939" s="9"/>
      <c r="F939" s="9"/>
      <c r="G939" s="9"/>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row>
    <row r="940">
      <c r="A940" s="9"/>
      <c r="B940" s="9"/>
      <c r="C940" s="9"/>
      <c r="D940" s="9"/>
      <c r="E940" s="9"/>
      <c r="F940" s="9"/>
      <c r="G940" s="9"/>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row>
    <row r="941">
      <c r="A941" s="9"/>
      <c r="B941" s="9"/>
      <c r="C941" s="9"/>
      <c r="D941" s="9"/>
      <c r="E941" s="9"/>
      <c r="F941" s="9"/>
      <c r="G941" s="9"/>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row>
    <row r="942">
      <c r="A942" s="9"/>
      <c r="B942" s="9"/>
      <c r="C942" s="9"/>
      <c r="D942" s="9"/>
      <c r="E942" s="9"/>
      <c r="F942" s="9"/>
      <c r="G942" s="9"/>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row>
    <row r="943">
      <c r="A943" s="9"/>
      <c r="B943" s="9"/>
      <c r="C943" s="9"/>
      <c r="D943" s="9"/>
      <c r="E943" s="9"/>
      <c r="F943" s="9"/>
      <c r="G943" s="9"/>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row>
    <row r="944">
      <c r="A944" s="9"/>
      <c r="B944" s="9"/>
      <c r="C944" s="9"/>
      <c r="D944" s="9"/>
      <c r="E944" s="9"/>
      <c r="F944" s="9"/>
      <c r="G944" s="9"/>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row>
    <row r="945">
      <c r="A945" s="9"/>
      <c r="B945" s="9"/>
      <c r="C945" s="9"/>
      <c r="D945" s="9"/>
      <c r="E945" s="9"/>
      <c r="F945" s="9"/>
      <c r="G945" s="9"/>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row>
    <row r="946">
      <c r="A946" s="9"/>
      <c r="B946" s="9"/>
      <c r="C946" s="9"/>
      <c r="D946" s="9"/>
      <c r="E946" s="9"/>
      <c r="F946" s="9"/>
      <c r="G946" s="9"/>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row>
    <row r="947">
      <c r="A947" s="9"/>
      <c r="B947" s="9"/>
      <c r="C947" s="9"/>
      <c r="D947" s="9"/>
      <c r="E947" s="9"/>
      <c r="F947" s="9"/>
      <c r="G947" s="9"/>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row>
    <row r="948">
      <c r="A948" s="9"/>
      <c r="B948" s="9"/>
      <c r="C948" s="9"/>
      <c r="D948" s="9"/>
      <c r="E948" s="9"/>
      <c r="F948" s="9"/>
      <c r="G948" s="9"/>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row>
    <row r="949">
      <c r="A949" s="9"/>
      <c r="B949" s="9"/>
      <c r="C949" s="9"/>
      <c r="D949" s="9"/>
      <c r="E949" s="9"/>
      <c r="F949" s="9"/>
      <c r="G949" s="9"/>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row>
    <row r="950">
      <c r="A950" s="9"/>
      <c r="B950" s="9"/>
      <c r="C950" s="9"/>
      <c r="D950" s="9"/>
      <c r="E950" s="9"/>
      <c r="F950" s="9"/>
      <c r="G950" s="9"/>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row>
    <row r="951">
      <c r="A951" s="9"/>
      <c r="B951" s="9"/>
      <c r="C951" s="9"/>
      <c r="D951" s="9"/>
      <c r="E951" s="9"/>
      <c r="F951" s="9"/>
      <c r="G951" s="9"/>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row>
    <row r="952">
      <c r="A952" s="9"/>
      <c r="B952" s="9"/>
      <c r="C952" s="9"/>
      <c r="D952" s="9"/>
      <c r="E952" s="9"/>
      <c r="F952" s="9"/>
      <c r="G952" s="9"/>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row>
    <row r="953">
      <c r="A953" s="9"/>
      <c r="B953" s="9"/>
      <c r="C953" s="9"/>
      <c r="D953" s="9"/>
      <c r="E953" s="9"/>
      <c r="F953" s="9"/>
      <c r="G953" s="9"/>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row>
    <row r="954">
      <c r="A954" s="9"/>
      <c r="B954" s="9"/>
      <c r="C954" s="9"/>
      <c r="D954" s="9"/>
      <c r="E954" s="9"/>
      <c r="F954" s="9"/>
      <c r="G954" s="9"/>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row>
    <row r="955">
      <c r="A955" s="9"/>
      <c r="B955" s="9"/>
      <c r="C955" s="9"/>
      <c r="D955" s="9"/>
      <c r="E955" s="9"/>
      <c r="F955" s="9"/>
      <c r="G955" s="9"/>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row>
    <row r="956">
      <c r="A956" s="9"/>
      <c r="B956" s="9"/>
      <c r="C956" s="9"/>
      <c r="D956" s="9"/>
      <c r="E956" s="9"/>
      <c r="F956" s="9"/>
      <c r="G956" s="9"/>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row>
    <row r="957">
      <c r="A957" s="9"/>
      <c r="B957" s="9"/>
      <c r="C957" s="9"/>
      <c r="D957" s="9"/>
      <c r="E957" s="9"/>
      <c r="F957" s="9"/>
      <c r="G957" s="9"/>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row>
    <row r="958">
      <c r="A958" s="9"/>
      <c r="B958" s="9"/>
      <c r="C958" s="9"/>
      <c r="D958" s="9"/>
      <c r="E958" s="9"/>
      <c r="F958" s="9"/>
      <c r="G958" s="9"/>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row>
    <row r="959">
      <c r="A959" s="9"/>
      <c r="B959" s="9"/>
      <c r="C959" s="9"/>
      <c r="D959" s="9"/>
      <c r="E959" s="9"/>
      <c r="F959" s="9"/>
      <c r="G959" s="9"/>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row>
    <row r="960">
      <c r="A960" s="9"/>
      <c r="B960" s="9"/>
      <c r="C960" s="9"/>
      <c r="D960" s="9"/>
      <c r="E960" s="9"/>
      <c r="F960" s="9"/>
      <c r="G960" s="9"/>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row>
    <row r="961">
      <c r="A961" s="9"/>
      <c r="B961" s="9"/>
      <c r="C961" s="9"/>
      <c r="D961" s="9"/>
      <c r="E961" s="9"/>
      <c r="F961" s="9"/>
      <c r="G961" s="9"/>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row>
    <row r="962">
      <c r="A962" s="9"/>
      <c r="B962" s="9"/>
      <c r="C962" s="9"/>
      <c r="D962" s="9"/>
      <c r="E962" s="9"/>
      <c r="F962" s="9"/>
      <c r="G962" s="9"/>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row>
    <row r="963">
      <c r="A963" s="9"/>
      <c r="B963" s="9"/>
      <c r="C963" s="9"/>
      <c r="D963" s="9"/>
      <c r="E963" s="9"/>
      <c r="F963" s="9"/>
      <c r="G963" s="9"/>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row>
    <row r="964">
      <c r="A964" s="9"/>
      <c r="B964" s="9"/>
      <c r="C964" s="9"/>
      <c r="D964" s="9"/>
      <c r="E964" s="9"/>
      <c r="F964" s="9"/>
      <c r="G964" s="9"/>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row>
    <row r="965">
      <c r="A965" s="9"/>
      <c r="B965" s="9"/>
      <c r="C965" s="9"/>
      <c r="D965" s="9"/>
      <c r="E965" s="9"/>
      <c r="F965" s="9"/>
      <c r="G965" s="9"/>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row>
    <row r="966">
      <c r="A966" s="9"/>
      <c r="B966" s="9"/>
      <c r="C966" s="9"/>
      <c r="D966" s="9"/>
      <c r="E966" s="9"/>
      <c r="F966" s="9"/>
      <c r="G966" s="9"/>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row>
    <row r="967">
      <c r="A967" s="9"/>
      <c r="B967" s="9"/>
      <c r="C967" s="9"/>
      <c r="D967" s="9"/>
      <c r="E967" s="9"/>
      <c r="F967" s="9"/>
      <c r="G967" s="9"/>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row>
    <row r="968">
      <c r="A968" s="9"/>
      <c r="B968" s="9"/>
      <c r="C968" s="9"/>
      <c r="D968" s="9"/>
      <c r="E968" s="9"/>
      <c r="F968" s="9"/>
      <c r="G968" s="9"/>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row>
    <row r="969">
      <c r="A969" s="9"/>
      <c r="B969" s="9"/>
      <c r="C969" s="9"/>
      <c r="D969" s="9"/>
      <c r="E969" s="9"/>
      <c r="F969" s="9"/>
      <c r="G969" s="9"/>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row>
    <row r="970">
      <c r="A970" s="9"/>
      <c r="B970" s="9"/>
      <c r="C970" s="9"/>
      <c r="D970" s="9"/>
      <c r="E970" s="9"/>
      <c r="F970" s="9"/>
      <c r="G970" s="9"/>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row>
    <row r="971">
      <c r="A971" s="9"/>
      <c r="B971" s="9"/>
      <c r="C971" s="9"/>
      <c r="D971" s="9"/>
      <c r="E971" s="9"/>
      <c r="F971" s="9"/>
      <c r="G971" s="9"/>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row>
    <row r="972">
      <c r="A972" s="9"/>
      <c r="B972" s="9"/>
      <c r="C972" s="9"/>
      <c r="D972" s="9"/>
      <c r="E972" s="9"/>
      <c r="F972" s="9"/>
      <c r="G972" s="9"/>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row>
    <row r="973">
      <c r="A973" s="9"/>
      <c r="B973" s="9"/>
      <c r="C973" s="9"/>
      <c r="D973" s="9"/>
      <c r="E973" s="9"/>
      <c r="F973" s="9"/>
      <c r="G973" s="9"/>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row>
    <row r="974">
      <c r="A974" s="9"/>
      <c r="B974" s="9"/>
      <c r="C974" s="9"/>
      <c r="D974" s="9"/>
      <c r="E974" s="9"/>
      <c r="F974" s="9"/>
      <c r="G974" s="9"/>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row>
    <row r="975">
      <c r="A975" s="9"/>
      <c r="B975" s="9"/>
      <c r="C975" s="9"/>
      <c r="D975" s="9"/>
      <c r="E975" s="9"/>
      <c r="F975" s="9"/>
      <c r="G975" s="9"/>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row>
    <row r="976">
      <c r="A976" s="9"/>
      <c r="B976" s="9"/>
      <c r="C976" s="9"/>
      <c r="D976" s="9"/>
      <c r="E976" s="9"/>
      <c r="F976" s="9"/>
      <c r="G976" s="9"/>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row>
    <row r="977">
      <c r="A977" s="9"/>
      <c r="B977" s="9"/>
      <c r="C977" s="9"/>
      <c r="D977" s="9"/>
      <c r="E977" s="9"/>
      <c r="F977" s="9"/>
      <c r="G977" s="9"/>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row>
    <row r="978">
      <c r="A978" s="9"/>
      <c r="B978" s="9"/>
      <c r="C978" s="9"/>
      <c r="D978" s="9"/>
      <c r="E978" s="9"/>
      <c r="F978" s="9"/>
      <c r="G978" s="9"/>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row>
    <row r="979">
      <c r="A979" s="9"/>
      <c r="B979" s="9"/>
      <c r="C979" s="9"/>
      <c r="D979" s="9"/>
      <c r="E979" s="9"/>
      <c r="F979" s="9"/>
      <c r="G979" s="9"/>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row>
    <row r="980">
      <c r="A980" s="9"/>
      <c r="B980" s="9"/>
      <c r="C980" s="9"/>
      <c r="D980" s="9"/>
      <c r="E980" s="9"/>
      <c r="F980" s="9"/>
      <c r="G980" s="9"/>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row>
    <row r="981">
      <c r="A981" s="9"/>
      <c r="B981" s="9"/>
      <c r="C981" s="9"/>
      <c r="D981" s="9"/>
      <c r="E981" s="9"/>
      <c r="F981" s="9"/>
      <c r="G981" s="9"/>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row>
    <row r="982">
      <c r="A982" s="9"/>
      <c r="B982" s="9"/>
      <c r="C982" s="9"/>
      <c r="D982" s="9"/>
      <c r="E982" s="9"/>
      <c r="F982" s="9"/>
      <c r="G982" s="9"/>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row>
    <row r="983">
      <c r="A983" s="9"/>
      <c r="B983" s="9"/>
      <c r="C983" s="9"/>
      <c r="D983" s="9"/>
      <c r="E983" s="9"/>
      <c r="F983" s="9"/>
      <c r="G983" s="9"/>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row>
    <row r="984">
      <c r="A984" s="9"/>
      <c r="B984" s="9"/>
      <c r="C984" s="9"/>
      <c r="D984" s="9"/>
      <c r="E984" s="9"/>
      <c r="F984" s="9"/>
      <c r="G984" s="9"/>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row>
    <row r="985">
      <c r="A985" s="9"/>
      <c r="B985" s="9"/>
      <c r="C985" s="9"/>
      <c r="D985" s="9"/>
      <c r="E985" s="9"/>
      <c r="F985" s="9"/>
      <c r="G985" s="9"/>
    </row>
    <row r="986">
      <c r="A986" s="9"/>
      <c r="B986" s="9"/>
      <c r="C986" s="9"/>
      <c r="D986" s="9"/>
      <c r="E986" s="9"/>
      <c r="F986" s="9"/>
      <c r="G986" s="9"/>
    </row>
    <row r="987">
      <c r="A987" s="9"/>
      <c r="B987" s="9"/>
      <c r="C987" s="9"/>
      <c r="D987" s="9"/>
      <c r="E987" s="9"/>
      <c r="F987" s="9"/>
      <c r="G987" s="9"/>
    </row>
    <row r="988">
      <c r="A988" s="9"/>
      <c r="B988" s="9"/>
      <c r="C988" s="9"/>
      <c r="D988" s="9"/>
      <c r="E988" s="9"/>
      <c r="F988" s="9"/>
      <c r="G988" s="9"/>
    </row>
    <row r="989">
      <c r="A989" s="9"/>
      <c r="B989" s="9"/>
      <c r="C989" s="9"/>
      <c r="D989" s="9"/>
      <c r="E989" s="9"/>
      <c r="F989" s="9"/>
      <c r="G989" s="9"/>
    </row>
    <row r="990">
      <c r="A990" s="9"/>
      <c r="B990" s="9"/>
      <c r="C990" s="9"/>
      <c r="D990" s="9"/>
      <c r="E990" s="9"/>
      <c r="F990" s="9"/>
      <c r="G990" s="9"/>
    </row>
    <row r="991">
      <c r="A991" s="9"/>
      <c r="B991" s="9"/>
      <c r="C991" s="9"/>
      <c r="D991" s="9"/>
      <c r="E991" s="9"/>
      <c r="F991" s="9"/>
      <c r="G991" s="9"/>
    </row>
    <row r="992">
      <c r="A992" s="9"/>
      <c r="B992" s="9"/>
      <c r="C992" s="9"/>
      <c r="D992" s="9"/>
      <c r="E992" s="9"/>
      <c r="F992" s="9"/>
      <c r="G992" s="9"/>
    </row>
    <row r="993">
      <c r="A993" s="9"/>
      <c r="B993" s="9"/>
      <c r="C993" s="9"/>
      <c r="D993" s="9"/>
      <c r="E993" s="9"/>
      <c r="F993" s="9"/>
      <c r="G993" s="9"/>
    </row>
    <row r="994">
      <c r="A994" s="9"/>
      <c r="B994" s="9"/>
      <c r="C994" s="9"/>
      <c r="D994" s="9"/>
      <c r="E994" s="9"/>
      <c r="F994" s="9"/>
      <c r="G994" s="9"/>
    </row>
    <row r="995">
      <c r="A995" s="9"/>
      <c r="B995" s="9"/>
      <c r="C995" s="9"/>
      <c r="D995" s="9"/>
      <c r="E995" s="9"/>
      <c r="F995" s="9"/>
      <c r="G995" s="9"/>
    </row>
    <row r="996">
      <c r="A996" s="9"/>
      <c r="B996" s="9"/>
      <c r="C996" s="9"/>
      <c r="D996" s="9"/>
      <c r="E996" s="9"/>
      <c r="F996" s="9"/>
      <c r="G996" s="9"/>
    </row>
    <row r="997">
      <c r="A997" s="9"/>
      <c r="B997" s="9"/>
      <c r="C997" s="9"/>
      <c r="D997" s="9"/>
      <c r="E997" s="9"/>
      <c r="F997" s="9"/>
      <c r="G997" s="9"/>
    </row>
    <row r="998">
      <c r="A998" s="9"/>
      <c r="B998" s="9"/>
      <c r="C998" s="9"/>
      <c r="D998" s="9"/>
      <c r="E998" s="9"/>
      <c r="F998" s="9"/>
      <c r="G998" s="9"/>
    </row>
    <row r="999">
      <c r="A999" s="9"/>
      <c r="B999" s="9"/>
      <c r="C999" s="9"/>
      <c r="D999" s="9"/>
      <c r="E999" s="9"/>
      <c r="F999" s="9"/>
      <c r="G999" s="9"/>
    </row>
    <row r="1000">
      <c r="A1000" s="9"/>
      <c r="B1000" s="9"/>
      <c r="C1000" s="9"/>
      <c r="D1000" s="9"/>
      <c r="E1000" s="9"/>
      <c r="F1000" s="9"/>
      <c r="G1000" s="9"/>
    </row>
  </sheetData>
  <conditionalFormatting sqref="W2:AR48">
    <cfRule type="notContainsBlanks" dxfId="0" priority="1">
      <formula>LEN(TRIM(W2))&gt;0</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2" max="2" width="39.63"/>
    <col customWidth="1" min="3" max="3" width="62.0"/>
  </cols>
  <sheetData>
    <row r="1">
      <c r="A1" s="1" t="str">
        <f>IFERROR(__xludf.DUMMYFUNCTION("IMPORTRANGE(""https://docs.google.com/spreadsheets/d/1HXoAI5UG3zq1UHqU5n7fPdbQk93qOha2VQb1r7iRi1o"",""Races!A:BJ"")"),"Name")</f>
        <v>Name</v>
      </c>
      <c r="B1" s="1" t="str">
        <f>IFERROR(__xludf.DUMMYFUNCTION("""COMPUTED_VALUE"""),"StatBonus")</f>
        <v>StatBonus</v>
      </c>
      <c r="C1" s="1" t="str">
        <f>IFERROR(__xludf.DUMMYFUNCTION("""COMPUTED_VALUE"""),"Ability")</f>
        <v>Ability</v>
      </c>
      <c r="D1" s="1" t="str">
        <f>IFERROR(__xludf.DUMMYFUNCTION("""COMPUTED_VALUE"""),"EntityType")</f>
        <v>EntityType</v>
      </c>
      <c r="E1" s="1" t="str">
        <f>IFERROR(__xludf.DUMMYFUNCTION("""COMPUTED_VALUE"""),"Attack")</f>
        <v>Attack</v>
      </c>
      <c r="F1" s="1" t="str">
        <f>IFERROR(__xludf.DUMMYFUNCTION("""COMPUTED_VALUE"""),"Defense")</f>
        <v>Defense</v>
      </c>
      <c r="G1" s="1" t="str">
        <f>IFERROR(__xludf.DUMMYFUNCTION("""COMPUTED_VALUE"""),"Accuracy")</f>
        <v>Accuracy</v>
      </c>
      <c r="H1" s="1" t="str">
        <f>IFERROR(__xludf.DUMMYFUNCTION("""COMPUTED_VALUE"""),"Charisma")</f>
        <v>Charisma</v>
      </c>
      <c r="I1" s="1" t="str">
        <f>IFERROR(__xludf.DUMMYFUNCTION("""COMPUTED_VALUE"""),"Wisdom")</f>
        <v>Wisdom</v>
      </c>
      <c r="J1" s="1" t="str">
        <f>IFERROR(__xludf.DUMMYFUNCTION("""COMPUTED_VALUE"""),"Constitution")</f>
        <v>Constitution</v>
      </c>
      <c r="K1" s="1" t="str">
        <f>IFERROR(__xludf.DUMMYFUNCTION("""COMPUTED_VALUE"""),"Evasion")</f>
        <v>Evasion</v>
      </c>
      <c r="L1" s="1" t="str">
        <f>IFERROR(__xludf.DUMMYFUNCTION("""COMPUTED_VALUE"""),"Intimidation")</f>
        <v>Intimidation</v>
      </c>
      <c r="M1" s="1" t="str">
        <f>IFERROR(__xludf.DUMMYFUNCTION("""COMPUTED_VALUE"""),"Mobility")</f>
        <v>Mobility</v>
      </c>
      <c r="N1" s="1" t="str">
        <f>IFERROR(__xludf.DUMMYFUNCTION("""COMPUTED_VALUE"""),"HP")</f>
        <v>HP</v>
      </c>
      <c r="O1" s="1" t="str">
        <f>IFERROR(__xludf.DUMMYFUNCTION("""COMPUTED_VALUE"""),"SP")</f>
        <v>SP</v>
      </c>
      <c r="P1" s="1" t="str">
        <f>IFERROR(__xludf.DUMMYFUNCTION("""COMPUTED_VALUE"""),"Hunger")</f>
        <v>Hunger</v>
      </c>
      <c r="Q1" s="1" t="str">
        <f>IFERROR(__xludf.DUMMYFUNCTION("""COMPUTED_VALUE"""),"Thirst")</f>
        <v>Thirst</v>
      </c>
      <c r="R1" s="1" t="str">
        <f>IFERROR(__xludf.DUMMYFUNCTION("""COMPUTED_VALUE"""),"Energy")</f>
        <v>Energy</v>
      </c>
      <c r="S1" s="74" t="str">
        <f>IFERROR(__xludf.DUMMYFUNCTION("""COMPUTED_VALUE"""),"Fire")</f>
        <v>Fire</v>
      </c>
      <c r="T1" s="75" t="str">
        <f>IFERROR(__xludf.DUMMYFUNCTION("""COMPUTED_VALUE"""),"Water")</f>
        <v>Water</v>
      </c>
      <c r="U1" s="76" t="str">
        <f>IFERROR(__xludf.DUMMYFUNCTION("""COMPUTED_VALUE"""),"Storm")</f>
        <v>Storm</v>
      </c>
      <c r="V1" s="77" t="str">
        <f>IFERROR(__xludf.DUMMYFUNCTION("""COMPUTED_VALUE"""),"Earth")</f>
        <v>Earth</v>
      </c>
      <c r="W1" s="78" t="str">
        <f>IFERROR(__xludf.DUMMYFUNCTION("""COMPUTED_VALUE"""),"Light")</f>
        <v>Light</v>
      </c>
      <c r="X1" s="79" t="str">
        <f>IFERROR(__xludf.DUMMYFUNCTION("""COMPUTED_VALUE"""),"Dark")</f>
        <v>Dark</v>
      </c>
      <c r="Y1" s="80" t="str">
        <f>IFERROR(__xludf.DUMMYFUNCTION("""COMPUTED_VALUE"""),"Spirit")</f>
        <v>Spirit</v>
      </c>
      <c r="Z1" s="81" t="str">
        <f>IFERROR(__xludf.DUMMYFUNCTION("""COMPUTED_VALUE"""),"Order")</f>
        <v>Order</v>
      </c>
      <c r="AA1" s="82" t="str">
        <f>IFERROR(__xludf.DUMMYFUNCTION("""COMPUTED_VALUE"""),"Chaos")</f>
        <v>Chaos</v>
      </c>
      <c r="AB1" s="83" t="str">
        <f>IFERROR(__xludf.DUMMYFUNCTION("""COMPUTED_VALUE"""),"Nature")</f>
        <v>Nature</v>
      </c>
      <c r="AC1" s="84" t="str">
        <f>IFERROR(__xludf.DUMMYFUNCTION("""COMPUTED_VALUE"""),"Physical")</f>
        <v>Physical</v>
      </c>
      <c r="AD1" s="84" t="str">
        <f>IFERROR(__xludf.DUMMYFUNCTION("""COMPUTED_VALUE"""),"Melee")</f>
        <v>Melee</v>
      </c>
      <c r="AE1" s="84" t="str">
        <f>IFERROR(__xludf.DUMMYFUNCTION("""COMPUTED_VALUE"""),"Ranged")</f>
        <v>Ranged</v>
      </c>
      <c r="AF1" s="85" t="str">
        <f>IFERROR(__xludf.DUMMYFUNCTION("""COMPUTED_VALUE"""),"Stasis")</f>
        <v>Stasis</v>
      </c>
      <c r="AG1" s="86" t="str">
        <f>IFERROR(__xludf.DUMMYFUNCTION("""COMPUTED_VALUE"""),"Twilight")</f>
        <v>Twilight</v>
      </c>
      <c r="AH1" s="87" t="str">
        <f>IFERROR(__xludf.DUMMYFUNCTION("""COMPUTED_VALUE"""),"Voodoo")</f>
        <v>Voodoo</v>
      </c>
      <c r="AI1" s="88" t="str">
        <f>IFERROR(__xludf.DUMMYFUNCTION("""COMPUTED_VALUE"""),"Blood")</f>
        <v>Blood</v>
      </c>
      <c r="AJ1" s="89" t="str">
        <f>IFERROR(__xludf.DUMMYFUNCTION("""COMPUTED_VALUE"""),"Delta")</f>
        <v>Delta</v>
      </c>
      <c r="AK1" s="90" t="str">
        <f>IFERROR(__xludf.DUMMYFUNCTION("""COMPUTED_VALUE"""),"Zen")</f>
        <v>Zen</v>
      </c>
      <c r="AL1" s="91" t="str">
        <f>IFERROR(__xludf.DUMMYFUNCTION("""COMPUTED_VALUE"""),"Time")</f>
        <v>Time</v>
      </c>
      <c r="AM1" s="92" t="str">
        <f>IFERROR(__xludf.DUMMYFUNCTION("""COMPUTED_VALUE"""),"Astral")</f>
        <v>Astral</v>
      </c>
      <c r="AN1" s="93" t="str">
        <f>IFERROR(__xludf.DUMMYFUNCTION("""COMPUTED_VALUE"""),"Celestial")</f>
        <v>Celestial</v>
      </c>
      <c r="AO1" s="94" t="str">
        <f>IFERROR(__xludf.DUMMYFUNCTION("""COMPUTED_VALUE"""),"Acoustic")</f>
        <v>Acoustic</v>
      </c>
      <c r="AP1" s="94"/>
      <c r="AQ1" s="94"/>
      <c r="AR1" s="94"/>
      <c r="AS1" s="94"/>
      <c r="AT1" s="94"/>
      <c r="AU1" s="94"/>
      <c r="AV1" s="94"/>
      <c r="AW1" s="94"/>
      <c r="AX1" s="94"/>
      <c r="AY1" s="94"/>
    </row>
    <row r="2">
      <c r="A2" s="1" t="str">
        <f>IFERROR(__xludf.DUMMYFUNCTION("""COMPUTED_VALUE"""),"Angel")</f>
        <v>Angel</v>
      </c>
      <c r="B2" s="1" t="str">
        <f>IFERROR(__xludf.DUMMYFUNCTION("""COMPUTED_VALUE"""),"+7 Charisma, +7 Constitution")</f>
        <v>+7 Charisma, +7 Constitution</v>
      </c>
      <c r="C2" s="1" t="str">
        <f>IFERROR(__xludf.DUMMYFUNCTION("""COMPUTED_VALUE"""),"Restricted Race: (Must unlock the Solreach Expansion to use this race)
X8 Light and Order Damage.
Immune to Light and Order.")</f>
        <v>Restricted Race: (Must unlock the Solreach Expansion to use this race)
X8 Light and Order Damage.
Immune to Light and Order.</v>
      </c>
      <c r="D2" s="7" t="str">
        <f>IFERROR(__xludf.DUMMYFUNCTION("""COMPUTED_VALUE"""),"Heavenly")</f>
        <v>Heavenly</v>
      </c>
      <c r="E2" s="1"/>
      <c r="F2" s="1"/>
      <c r="G2" s="1"/>
      <c r="H2" s="1">
        <f>IFERROR(__xludf.DUMMYFUNCTION("""COMPUTED_VALUE"""),4.0)</f>
        <v>4</v>
      </c>
      <c r="I2" s="1"/>
      <c r="J2" s="1">
        <f>IFERROR(__xludf.DUMMYFUNCTION("""COMPUTED_VALUE"""),1.0)</f>
        <v>1</v>
      </c>
      <c r="K2" s="1"/>
      <c r="L2" s="1"/>
      <c r="M2" s="1"/>
      <c r="N2" s="1"/>
      <c r="O2" s="1"/>
      <c r="P2" s="1"/>
      <c r="Q2" s="1"/>
      <c r="R2" s="1"/>
      <c r="S2" s="1"/>
      <c r="T2" s="1"/>
      <c r="U2" s="1"/>
      <c r="V2" s="1"/>
      <c r="W2" s="1">
        <f>IFERROR(__xludf.DUMMYFUNCTION("""COMPUTED_VALUE"""),1.0)</f>
        <v>1</v>
      </c>
      <c r="X2" s="1"/>
      <c r="Y2" s="1"/>
      <c r="Z2" s="1">
        <f>IFERROR(__xludf.DUMMYFUNCTION("""COMPUTED_VALUE"""),1.0)</f>
        <v>1</v>
      </c>
      <c r="AA2" s="1"/>
      <c r="AB2" s="1"/>
      <c r="AC2" s="1"/>
      <c r="AD2" s="1"/>
      <c r="AE2" s="1"/>
      <c r="AF2" s="1"/>
      <c r="AG2" s="1"/>
      <c r="AH2" s="1"/>
      <c r="AI2" s="1"/>
      <c r="AJ2" s="1"/>
      <c r="AK2" s="1"/>
      <c r="AL2" s="1"/>
      <c r="AM2" s="1"/>
      <c r="AN2" s="1"/>
      <c r="AO2" s="1"/>
      <c r="AP2" s="1"/>
      <c r="AQ2" s="1"/>
      <c r="AR2" s="1"/>
      <c r="AS2" s="1"/>
      <c r="AT2" s="1"/>
      <c r="AU2" s="1"/>
      <c r="AV2" s="1"/>
      <c r="AW2" s="1"/>
      <c r="AX2" s="1"/>
      <c r="AY2" s="1"/>
    </row>
    <row r="3">
      <c r="A3" s="1" t="str">
        <f>IFERROR(__xludf.DUMMYFUNCTION("""COMPUTED_VALUE"""),"Beastfolk")</f>
        <v>Beastfolk</v>
      </c>
      <c r="B3" s="1" t="str">
        <f>IFERROR(__xludf.DUMMYFUNCTION("""COMPUTED_VALUE"""),"+3 Mobility, +4 Constition, +3 Evasion")</f>
        <v>+3 Mobility, +4 Constition, +3 Evasion</v>
      </c>
      <c r="C3" s="1" t="str">
        <f>IFERROR(__xludf.DUMMYFUNCTION("""COMPUTED_VALUE"""),"Start with the ability Were-Form
Roll a d20 (unaffected by roll bonuses) at the beginning of battle and each of your turns, 10 or lower = Normal-Form, 11 or higher = Were-Form/Stay in Were-Form. 11 or higher - Your base stats are all doubled and your perk"&amp;"s get +5, 10 or lower = Return to normal, This ability lasts until the end of battle.
Dark vision")</f>
        <v>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D3" s="1" t="str">
        <f>IFERROR(__xludf.DUMMYFUNCTION("""COMPUTED_VALUE"""),"Humanoid")</f>
        <v>Humanoid</v>
      </c>
      <c r="E3" s="1"/>
      <c r="F3" s="1"/>
      <c r="G3" s="1"/>
      <c r="H3" s="1"/>
      <c r="I3" s="1"/>
      <c r="J3" s="1">
        <f>IFERROR(__xludf.DUMMYFUNCTION("""COMPUTED_VALUE"""),4.0)</f>
        <v>4</v>
      </c>
      <c r="K3" s="1">
        <f>IFERROR(__xludf.DUMMYFUNCTION("""COMPUTED_VALUE"""),3.0)</f>
        <v>3</v>
      </c>
      <c r="L3" s="1"/>
      <c r="M3" s="1">
        <f>IFERROR(__xludf.DUMMYFUNCTION("""COMPUTED_VALUE"""),3.0)</f>
        <v>3</v>
      </c>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c r="A4" s="1" t="str">
        <f>IFERROR(__xludf.DUMMYFUNCTION("""COMPUTED_VALUE"""),"Blood Elf")</f>
        <v>Blood Elf</v>
      </c>
      <c r="B4" s="1" t="str">
        <f>IFERROR(__xludf.DUMMYFUNCTION("""COMPUTED_VALUE"""),"+5 Charisma, +3 Wisdom")</f>
        <v>+5 Charisma, +3 Wisdom</v>
      </c>
      <c r="C4" s="1" t="str">
        <f>IFERROR(__xludf.DUMMYFUNCTION("""COMPUTED_VALUE"""),"Can use HP to pay an SP cost.
Half the HP costs for Blood Spells, and Half the SP costs for Dark, Chaos, and Voodoo Spells.")</f>
        <v>Can use HP to pay an SP cost.
Half the HP costs for Blood Spells, and Half the SP costs for Dark, Chaos, and Voodoo Spells.</v>
      </c>
      <c r="D4" s="1" t="str">
        <f>IFERROR(__xludf.DUMMYFUNCTION("""COMPUTED_VALUE"""),"Fae")</f>
        <v>Fae</v>
      </c>
      <c r="E4" s="1"/>
      <c r="F4" s="1"/>
      <c r="G4" s="1"/>
      <c r="H4" s="1">
        <f>IFERROR(__xludf.DUMMYFUNCTION("""COMPUTED_VALUE"""),5.0)</f>
        <v>5</v>
      </c>
      <c r="I4" s="1">
        <f>IFERROR(__xludf.DUMMYFUNCTION("""COMPUTED_VALUE"""),3.0)</f>
        <v>3</v>
      </c>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c r="A5" s="1" t="str">
        <f>IFERROR(__xludf.DUMMYFUNCTION("""COMPUTED_VALUE"""),"Celestial")</f>
        <v>Celestial</v>
      </c>
      <c r="B5" s="1" t="str">
        <f>IFERROR(__xludf.DUMMYFUNCTION("""COMPUTED_VALUE"""),"+7 Wisdom, +7 Charisma")</f>
        <v>+7 Wisdom, +7 Charisma</v>
      </c>
      <c r="C5" s="1" t="str">
        <f>IFERROR(__xludf.DUMMYFUNCTION("""COMPUTED_VALUE"""),"Restricted Race: (Must unlock the Solreach Expansion to use this race)
X8 Celestial Damage.
Immune to Celestial damage.")</f>
        <v>Restricted Race: (Must unlock the Solreach Expansion to use this race)
X8 Celestial Damage.
Immune to Celestial damage.</v>
      </c>
      <c r="D5" s="1" t="str">
        <f>IFERROR(__xludf.DUMMYFUNCTION("""COMPUTED_VALUE"""),"Heavenly")</f>
        <v>Heavenly</v>
      </c>
      <c r="E5" s="1"/>
      <c r="F5" s="1"/>
      <c r="G5" s="1"/>
      <c r="H5" s="1">
        <f>IFERROR(__xludf.DUMMYFUNCTION("""COMPUTED_VALUE"""),8.0)</f>
        <v>8</v>
      </c>
      <c r="I5" s="1">
        <f>IFERROR(__xludf.DUMMYFUNCTION("""COMPUTED_VALUE"""),8.0)</f>
        <v>8</v>
      </c>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f>IFERROR(__xludf.DUMMYFUNCTION("""COMPUTED_VALUE"""),3.0)</f>
        <v>3</v>
      </c>
      <c r="AO5" s="1"/>
      <c r="AP5" s="1"/>
      <c r="AQ5" s="1"/>
      <c r="AR5" s="1"/>
      <c r="AS5" s="1"/>
      <c r="AT5" s="1"/>
      <c r="AU5" s="1"/>
      <c r="AV5" s="1"/>
      <c r="AW5" s="1"/>
      <c r="AX5" s="1"/>
      <c r="AY5" s="1"/>
    </row>
    <row r="6">
      <c r="A6" s="1" t="str">
        <f>IFERROR(__xludf.DUMMYFUNCTION("""COMPUTED_VALUE"""),"DayWalker")</f>
        <v>DayWalker</v>
      </c>
      <c r="B6" s="1" t="str">
        <f>IFERROR(__xludf.DUMMYFUNCTION("""COMPUTED_VALUE"""),"+3 Mobility, +3 Evasion, +2 Constitution")</f>
        <v>+3 Mobility, +3 Evasion, +2 Constitution</v>
      </c>
      <c r="C6" s="1" t="str">
        <f>IFERROR(__xludf.DUMMYFUNCTION("""COMPUTED_VALUE"""),"Take half damage from Fire and Light.
Vulnerable 100 to water ")</f>
        <v>Take half damage from Fire and Light.
Vulnerable 100 to water </v>
      </c>
      <c r="D6" s="1" t="str">
        <f>IFERROR(__xludf.DUMMYFUNCTION("""COMPUTED_VALUE"""),"Undead")</f>
        <v>Undead</v>
      </c>
      <c r="E6" s="1"/>
      <c r="F6" s="1"/>
      <c r="G6" s="1"/>
      <c r="H6" s="1"/>
      <c r="I6" s="1"/>
      <c r="J6" s="1">
        <f>IFERROR(__xludf.DUMMYFUNCTION("""COMPUTED_VALUE"""),2.0)</f>
        <v>2</v>
      </c>
      <c r="K6" s="1">
        <f>IFERROR(__xludf.DUMMYFUNCTION("""COMPUTED_VALUE"""),3.0)</f>
        <v>3</v>
      </c>
      <c r="L6" s="1"/>
      <c r="M6" s="1">
        <f>IFERROR(__xludf.DUMMYFUNCTION("""COMPUTED_VALUE"""),3.0)</f>
        <v>3</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c r="A7" s="1" t="str">
        <f>IFERROR(__xludf.DUMMYFUNCTION("""COMPUTED_VALUE"""),"Demon")</f>
        <v>Demon</v>
      </c>
      <c r="B7" s="1" t="str">
        <f>IFERROR(__xludf.DUMMYFUNCTION("""COMPUTED_VALUE"""),"+12 Intimidation")</f>
        <v>+12 Intimidation</v>
      </c>
      <c r="C7" s="1" t="str">
        <f>IFERROR(__xludf.DUMMYFUNCTION("""COMPUTED_VALUE"""),"Restricted Race: (Must unlock the Abstara Expansion to use this race)
X2 Fire Damage.
Immune to Fire.
Has dark-vision. ")</f>
        <v>Restricted Race: (Must unlock the Abstara Expansion to use this race)
X2 Fire Damage.
Immune to Fire.
Has dark-vision. </v>
      </c>
      <c r="D7" s="1" t="str">
        <f>IFERROR(__xludf.DUMMYFUNCTION("""COMPUTED_VALUE"""),"Demonic")</f>
        <v>Demonic</v>
      </c>
      <c r="E7" s="1"/>
      <c r="F7" s="1"/>
      <c r="G7" s="1"/>
      <c r="H7" s="1"/>
      <c r="I7" s="1"/>
      <c r="J7" s="1"/>
      <c r="K7" s="1"/>
      <c r="L7" s="1">
        <f>IFERROR(__xludf.DUMMYFUNCTION("""COMPUTED_VALUE"""),12.0)</f>
        <v>12</v>
      </c>
      <c r="M7" s="1"/>
      <c r="N7" s="1"/>
      <c r="O7" s="1"/>
      <c r="P7" s="1"/>
      <c r="Q7" s="1"/>
      <c r="R7" s="1"/>
      <c r="S7" s="1">
        <f>IFERROR(__xludf.DUMMYFUNCTION("""COMPUTED_VALUE"""),1.0)</f>
        <v>1</v>
      </c>
      <c r="T7" s="1"/>
      <c r="U7" s="1"/>
      <c r="V7" s="1"/>
      <c r="W7" s="1"/>
      <c r="X7" s="1">
        <f>IFERROR(__xludf.DUMMYFUNCTION("""COMPUTED_VALUE"""),1.0)</f>
        <v>1</v>
      </c>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c r="A8" s="1" t="str">
        <f>IFERROR(__xludf.DUMMYFUNCTION("""COMPUTED_VALUE"""),"Devil")</f>
        <v>Devil</v>
      </c>
      <c r="B8" s="1" t="str">
        <f>IFERROR(__xludf.DUMMYFUNCTION("""COMPUTED_VALUE"""),"+6 Mobility +6 Wisdom")</f>
        <v>+6 Mobility +6 Wisdom</v>
      </c>
      <c r="C8" s="1" t="str">
        <f>IFERROR(__xludf.DUMMYFUNCTION("""COMPUTED_VALUE"""),"Restricted Race: (Must unlock the Abstara Expansion to use this race)
Can consume a Soul to Double your ATK, DEF, and ACC for 2 rounds
When using a Scythe you have a 25% chance to inflict an enemy with 30,000 Soulburn
Immune to Fire
Has dark-vision")</f>
        <v>Restricted Race: (Must unlock the Abstara Expansion to use this race)
Can consume a Soul to Double your ATK, DEF, and ACC for 2 rounds
When using a Scythe you have a 25% chance to inflict an enemy with 30,000 Soulburn
Immune to Fire
Has dark-vision</v>
      </c>
      <c r="D8" s="1" t="str">
        <f>IFERROR(__xludf.DUMMYFUNCTION("""COMPUTED_VALUE"""),"Demonic")</f>
        <v>Demonic</v>
      </c>
      <c r="E8" s="1"/>
      <c r="F8" s="1"/>
      <c r="G8" s="1"/>
      <c r="H8" s="1"/>
      <c r="I8" s="1">
        <f>IFERROR(__xludf.DUMMYFUNCTION("""COMPUTED_VALUE"""),6.0)</f>
        <v>6</v>
      </c>
      <c r="J8" s="1"/>
      <c r="K8" s="1"/>
      <c r="L8" s="1"/>
      <c r="M8" s="1">
        <f>IFERROR(__xludf.DUMMYFUNCTION("""COMPUTED_VALUE"""),6.0)</f>
        <v>6</v>
      </c>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c r="A9" s="1" t="str">
        <f>IFERROR(__xludf.DUMMYFUNCTION("""COMPUTED_VALUE"""),"Dragonian")</f>
        <v>Dragonian</v>
      </c>
      <c r="B9" s="1" t="str">
        <f>IFERROR(__xludf.DUMMYFUNCTION("""COMPUTED_VALUE"""),"+3 Mobility +3 Evasion +4 Wisdom")</f>
        <v>+3 Mobility +3 Evasion +4 Wisdom</v>
      </c>
      <c r="C9" s="1" t="str">
        <f>IFERROR(__xludf.DUMMYFUNCTION("""COMPUTED_VALUE"""),"Restricted Race: (Must complete the quest ""Reviving Thundertail Falls"" in Dragonscale Island Expansion to use this Race)
Gain the ""Dragon's Breath Power""
Flaming Aura - When you are attacked or killed the enemy will take Burn 10,000 per round.
Flame W"&amp;"ard - When ""Flaming Aura"" activates and the enemy is under the effect of Burn, You act under the effect of  Haste ∞, and the enemy acts under the effect of Rampage ∞ as long as you are still alive.   
X4 Fire and Natural Attack Damage.
Has dark-vision
I"&amp;"mmune to Fire and Chaos Damage.")</f>
        <v>Restricted Race: (Must complete the quest "Reviving Thundertail Falls" in Dragonscale Island Expansion to use this Race)
Gain the "Dragon's Breath Power"
Flaming Aura - When you are attacked or killed the enemy will take Burn 10,000 per round.
Flame Ward - When "Flaming Aura" activates and the enemy is under the effect of Burn, You act under the effect of  Haste ∞, and the enemy acts under the effect of Rampage ∞ as long as you are still alive.   
X4 Fire and Natural Attack Damage.
Has dark-vision
Immune to Fire and Chaos Damage.</v>
      </c>
      <c r="D9" s="1" t="str">
        <f>IFERROR(__xludf.DUMMYFUNCTION("""COMPUTED_VALUE"""),"Draconic")</f>
        <v>Draconic</v>
      </c>
      <c r="E9" s="1"/>
      <c r="F9" s="1"/>
      <c r="G9" s="1"/>
      <c r="H9" s="1"/>
      <c r="I9" s="1">
        <f>IFERROR(__xludf.DUMMYFUNCTION("""COMPUTED_VALUE"""),4.0)</f>
        <v>4</v>
      </c>
      <c r="J9" s="1"/>
      <c r="K9" s="1">
        <f>IFERROR(__xludf.DUMMYFUNCTION("""COMPUTED_VALUE"""),2.0)</f>
        <v>2</v>
      </c>
      <c r="L9" s="1"/>
      <c r="M9" s="1">
        <f>IFERROR(__xludf.DUMMYFUNCTION("""COMPUTED_VALUE"""),2.0)</f>
        <v>2</v>
      </c>
      <c r="N9" s="1"/>
      <c r="O9" s="1"/>
      <c r="P9" s="1"/>
      <c r="Q9" s="1"/>
      <c r="R9" s="1"/>
      <c r="S9" s="1">
        <f>IFERROR(__xludf.DUMMYFUNCTION("""COMPUTED_VALUE"""),1.0)</f>
        <v>1</v>
      </c>
      <c r="T9" s="1"/>
      <c r="U9" s="1"/>
      <c r="V9" s="1"/>
      <c r="W9" s="1"/>
      <c r="X9" s="1"/>
      <c r="Y9" s="1"/>
      <c r="Z9" s="1"/>
      <c r="AA9" s="1">
        <f>IFERROR(__xludf.DUMMYFUNCTION("""COMPUTED_VALUE"""),1.0)</f>
        <v>1</v>
      </c>
      <c r="AB9" s="1"/>
      <c r="AC9" s="1"/>
      <c r="AD9" s="1"/>
      <c r="AE9" s="1"/>
      <c r="AF9" s="1"/>
      <c r="AG9" s="1"/>
      <c r="AH9" s="1"/>
      <c r="AI9" s="1"/>
      <c r="AJ9" s="1"/>
      <c r="AK9" s="1"/>
      <c r="AL9" s="1"/>
      <c r="AM9" s="1"/>
      <c r="AN9" s="1"/>
      <c r="AO9" s="1"/>
      <c r="AP9" s="1"/>
      <c r="AQ9" s="1"/>
      <c r="AR9" s="1"/>
      <c r="AS9" s="1"/>
      <c r="AT9" s="1"/>
      <c r="AU9" s="1"/>
      <c r="AV9" s="1"/>
      <c r="AW9" s="1"/>
      <c r="AX9" s="1"/>
      <c r="AY9" s="1"/>
    </row>
    <row r="10">
      <c r="A10" s="1" t="str">
        <f>IFERROR(__xludf.DUMMYFUNCTION("""COMPUTED_VALUE"""),"Dryad")</f>
        <v>Dryad</v>
      </c>
      <c r="B10" s="1" t="str">
        <f>IFERROR(__xludf.DUMMYFUNCTION("""COMPUTED_VALUE"""),"+8 Constitution")</f>
        <v>+8 Constitution</v>
      </c>
      <c r="C10" s="1" t="str">
        <f>IFERROR(__xludf.DUMMYFUNCTION("""COMPUTED_VALUE"""),"Immune to water and nature.
Nature Spells Costs half the normal SP cost.
50 HP and SP per round in battle while in a woodland environment.")</f>
        <v>Immune to water and nature.
Nature Spells Costs half the normal SP cost.
50 HP and SP per round in battle while in a woodland environment.</v>
      </c>
      <c r="D10" s="1" t="str">
        <f>IFERROR(__xludf.DUMMYFUNCTION("""COMPUTED_VALUE"""),"Fae")</f>
        <v>Fae</v>
      </c>
      <c r="E10" s="1"/>
      <c r="F10" s="1"/>
      <c r="G10" s="1"/>
      <c r="H10" s="1"/>
      <c r="I10" s="1"/>
      <c r="J10" s="1">
        <f>IFERROR(__xludf.DUMMYFUNCTION("""COMPUTED_VALUE"""),8.0)</f>
        <v>8</v>
      </c>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c r="A11" s="1" t="str">
        <f>IFERROR(__xludf.DUMMYFUNCTION("""COMPUTED_VALUE"""),"Dwarf")</f>
        <v>Dwarf</v>
      </c>
      <c r="B11" s="1" t="str">
        <f>IFERROR(__xludf.DUMMYFUNCTION("""COMPUTED_VALUE"""),"+6 Constitution, +2 Wisdom, ")</f>
        <v>+6 Constitution, +2 Wisdom, </v>
      </c>
      <c r="C11" s="1" t="str">
        <f>IFERROR(__xludf.DUMMYFUNCTION("""COMPUTED_VALUE"""),"Starts with the ability Blacksmith
+5 to forging rolls.
Can roll a d40 when attacking with a forged weapon.
Has dark-vision")</f>
        <v>Starts with the ability Blacksmith
+5 to forging rolls.
Can roll a d40 when attacking with a forged weapon.
Has dark-vision</v>
      </c>
      <c r="D11" s="1" t="str">
        <f>IFERROR(__xludf.DUMMYFUNCTION("""COMPUTED_VALUE"""),"Humanoid")</f>
        <v>Humanoid</v>
      </c>
      <c r="E11" s="1"/>
      <c r="F11" s="1"/>
      <c r="G11" s="1"/>
      <c r="H11" s="1"/>
      <c r="I11" s="1">
        <f>IFERROR(__xludf.DUMMYFUNCTION("""COMPUTED_VALUE"""),2.0)</f>
        <v>2</v>
      </c>
      <c r="J11" s="1">
        <f>IFERROR(__xludf.DUMMYFUNCTION("""COMPUTED_VALUE"""),6.0)</f>
        <v>6</v>
      </c>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c r="A12" s="1" t="str">
        <f>IFERROR(__xludf.DUMMYFUNCTION("""COMPUTED_VALUE"""),"Frogonian")</f>
        <v>Frogonian</v>
      </c>
      <c r="B12" s="1" t="str">
        <f>IFERROR(__xludf.DUMMYFUNCTION("""COMPUTED_VALUE"""),"+5 Mobility, +5 Evasion")</f>
        <v>+5 Mobility, +5 Evasion</v>
      </c>
      <c r="C12" s="1" t="str">
        <f>IFERROR(__xludf.DUMMYFUNCTION("""COMPUTED_VALUE"""),"Restricted Race: (Must complete the quest ""TBD"" in Dragonscale Island Expansion to use this Race)
While being Concealed you act under the effects of Haste and Truesight.
Has dark-vision. ")</f>
        <v>Restricted Race: (Must complete the quest "TBD" in Dragonscale Island Expansion to use this Race)
While being Concealed you act under the effects of Haste and Truesight.
Has dark-vision. </v>
      </c>
      <c r="D12" s="1" t="str">
        <f>IFERROR(__xludf.DUMMYFUNCTION("""COMPUTED_VALUE"""),"Humanoid")</f>
        <v>Humanoid</v>
      </c>
      <c r="E12" s="1"/>
      <c r="F12" s="1"/>
      <c r="G12" s="1"/>
      <c r="H12" s="1"/>
      <c r="I12" s="1"/>
      <c r="J12" s="1"/>
      <c r="K12" s="1">
        <f>IFERROR(__xludf.DUMMYFUNCTION("""COMPUTED_VALUE"""),5.0)</f>
        <v>5</v>
      </c>
      <c r="L12" s="1"/>
      <c r="M12" s="1">
        <f>IFERROR(__xludf.DUMMYFUNCTION("""COMPUTED_VALUE"""),5.0)</f>
        <v>5</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c r="A13" s="1" t="str">
        <f>IFERROR(__xludf.DUMMYFUNCTION("""COMPUTED_VALUE"""),"Gargoyle")</f>
        <v>Gargoyle</v>
      </c>
      <c r="B13" s="1" t="str">
        <f>IFERROR(__xludf.DUMMYFUNCTION("""COMPUTED_VALUE"""),"+12 Constitution")</f>
        <v>+12 Constitution</v>
      </c>
      <c r="C13" s="1" t="str">
        <f>IFERROR(__xludf.DUMMYFUNCTION("""COMPUTED_VALUE"""),"Restricted Race: (Must unlock the Abstara Expansion to use this race)
Has dark-vision. 
This race has 2 forms, Hardened Form, and Normal Form.
Hardened Form: 50% chance to become hardened while it is day time during travel until the end of the current jou"&amp;"rney, while hardened you are completely unresponsive and you will gain X10 defense.
Normal Form: you have no penalties while it is night time.
When you are attacked with a natural/weapon attack their will be a 50% chance to turn the target attacking you t"&amp;"o stone making  them completely unresponsive until the end of battle. ")</f>
        <v>Restricted Race: (Must unlock the Abstara Expansion to use this race)
Has dark-vision. 
This race has 2 forms, Hardened Form, and Normal Form.
Hardened Form: 50% chance to become hardened while it is day time during travel until the end of the current journey, while hardened you are completely unresponsive and you will gain X10 defense.
Normal Form: you have no penalties while it is night time.
When you are attacked with a natural/weapon attack their will be a 50% chance to turn the target attacking you to stone making  them completely unresponsive until the end of battle. </v>
      </c>
      <c r="D13" s="1" t="str">
        <f>IFERROR(__xludf.DUMMYFUNCTION("""COMPUTED_VALUE"""),"Demonic")</f>
        <v>Demonic</v>
      </c>
      <c r="E13" s="1"/>
      <c r="F13" s="1"/>
      <c r="G13" s="1"/>
      <c r="H13" s="1"/>
      <c r="I13" s="1"/>
      <c r="J13" s="1">
        <f>IFERROR(__xludf.DUMMYFUNCTION("""COMPUTED_VALUE"""),12.0)</f>
        <v>12</v>
      </c>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c r="A14" s="1" t="str">
        <f>IFERROR(__xludf.DUMMYFUNCTION("""COMPUTED_VALUE"""),"Gnome")</f>
        <v>Gnome</v>
      </c>
      <c r="B14" s="1" t="str">
        <f>IFERROR(__xludf.DUMMYFUNCTION("""COMPUTED_VALUE"""),"+8 Wisdom, ")</f>
        <v>+8 Wisdom, </v>
      </c>
      <c r="C14" s="1" t="str">
        <f>IFERROR(__xludf.DUMMYFUNCTION("""COMPUTED_VALUE"""),"X2 Spell damage.
Immune to nature damage.")</f>
        <v>X2 Spell damage.
Immune to nature damage.</v>
      </c>
      <c r="D14" s="1" t="str">
        <f>IFERROR(__xludf.DUMMYFUNCTION("""COMPUTED_VALUE"""),"Fae")</f>
        <v>Fae</v>
      </c>
      <c r="E14" s="1"/>
      <c r="F14" s="1"/>
      <c r="G14" s="1"/>
      <c r="H14" s="1"/>
      <c r="I14" s="1">
        <f>IFERROR(__xludf.DUMMYFUNCTION("""COMPUTED_VALUE"""),8.0)</f>
        <v>8</v>
      </c>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c r="A15" s="1" t="str">
        <f>IFERROR(__xludf.DUMMYFUNCTION("""COMPUTED_VALUE"""),"Goblin")</f>
        <v>Goblin</v>
      </c>
      <c r="B15" s="1" t="str">
        <f>IFERROR(__xludf.DUMMYFUNCTION("""COMPUTED_VALUE"""),"+4 Con, +2 Mobility, +2 Evasion")</f>
        <v>+4 Con, +2 Mobility, +2 Evasion</v>
      </c>
      <c r="C15" s="1" t="str">
        <f>IFERROR(__xludf.DUMMYFUNCTION("""COMPUTED_VALUE"""),"Has dark-vision. 
Gets an extra loot roll each battle.")</f>
        <v>Has dark-vision. 
Gets an extra loot roll each battle.</v>
      </c>
      <c r="D15" s="1" t="str">
        <f>IFERROR(__xludf.DUMMYFUNCTION("""COMPUTED_VALUE"""),"Humanoid")</f>
        <v>Humanoid</v>
      </c>
      <c r="E15" s="1"/>
      <c r="F15" s="1"/>
      <c r="G15" s="1"/>
      <c r="H15" s="1"/>
      <c r="I15" s="1"/>
      <c r="J15" s="1">
        <f>IFERROR(__xludf.DUMMYFUNCTION("""COMPUTED_VALUE"""),4.0)</f>
        <v>4</v>
      </c>
      <c r="K15" s="1">
        <f>IFERROR(__xludf.DUMMYFUNCTION("""COMPUTED_VALUE"""),2.0)</f>
        <v>2</v>
      </c>
      <c r="L15" s="1"/>
      <c r="M15" s="1">
        <f>IFERROR(__xludf.DUMMYFUNCTION("""COMPUTED_VALUE"""),2.0)</f>
        <v>2</v>
      </c>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c r="A16" s="1" t="str">
        <f>IFERROR(__xludf.DUMMYFUNCTION("""COMPUTED_VALUE"""),"Halfling")</f>
        <v>Halfling</v>
      </c>
      <c r="B16" s="1" t="str">
        <f>IFERROR(__xludf.DUMMYFUNCTION("""COMPUTED_VALUE"""),"+3 Mobility, +3 Evasion, +2 Constitution")</f>
        <v>+3 Mobility, +3 Evasion, +2 Constitution</v>
      </c>
      <c r="C16" s="1" t="str">
        <f>IFERROR(__xludf.DUMMYFUNCTION("""COMPUTED_VALUE"""),"Has a 20% chance of any attack missing them")</f>
        <v>Has a 20% chance of any attack missing them</v>
      </c>
      <c r="D16" s="1" t="str">
        <f>IFERROR(__xludf.DUMMYFUNCTION("""COMPUTED_VALUE"""),"Humanoid")</f>
        <v>Humanoid</v>
      </c>
      <c r="E16" s="1"/>
      <c r="F16" s="1"/>
      <c r="G16" s="1"/>
      <c r="H16" s="1"/>
      <c r="I16" s="1"/>
      <c r="J16" s="1">
        <f>IFERROR(__xludf.DUMMYFUNCTION("""COMPUTED_VALUE"""),2.0)</f>
        <v>2</v>
      </c>
      <c r="K16" s="1">
        <f>IFERROR(__xludf.DUMMYFUNCTION("""COMPUTED_VALUE"""),3.0)</f>
        <v>3</v>
      </c>
      <c r="L16" s="1"/>
      <c r="M16" s="1">
        <f>IFERROR(__xludf.DUMMYFUNCTION("""COMPUTED_VALUE"""),3.0)</f>
        <v>3</v>
      </c>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c r="A17" s="1" t="str">
        <f>IFERROR(__xludf.DUMMYFUNCTION("""COMPUTED_VALUE"""),"Human")</f>
        <v>Human</v>
      </c>
      <c r="B17" s="1" t="str">
        <f>IFERROR(__xludf.DUMMYFUNCTION("""COMPUTED_VALUE"""),"+2 Mobility, +2 Evasion, +2 Charisma, +2 Wisdom, +1 Intimidation, +1 Con")</f>
        <v>+2 Mobility, +2 Evasion, +2 Charisma, +2 Wisdom, +1 Intimidation, +1 Con</v>
      </c>
      <c r="C17" s="1" t="str">
        <f>IFERROR(__xludf.DUMMYFUNCTION("""COMPUTED_VALUE"""),"Gains 2 points into each base stat when they level up instead of 1 (non perks)")</f>
        <v>Gains 2 points into each base stat when they level up instead of 1 (non perks)</v>
      </c>
      <c r="D17" s="1" t="str">
        <f>IFERROR(__xludf.DUMMYFUNCTION("""COMPUTED_VALUE"""),"Humanoid")</f>
        <v>Humanoid</v>
      </c>
      <c r="E17" s="1"/>
      <c r="F17" s="1"/>
      <c r="G17" s="1"/>
      <c r="H17" s="1">
        <f>IFERROR(__xludf.DUMMYFUNCTION("""COMPUTED_VALUE"""),2.0)</f>
        <v>2</v>
      </c>
      <c r="I17" s="1">
        <f>IFERROR(__xludf.DUMMYFUNCTION("""COMPUTED_VALUE"""),2.0)</f>
        <v>2</v>
      </c>
      <c r="J17" s="1">
        <f>IFERROR(__xludf.DUMMYFUNCTION("""COMPUTED_VALUE"""),1.0)</f>
        <v>1</v>
      </c>
      <c r="K17" s="1">
        <f>IFERROR(__xludf.DUMMYFUNCTION("""COMPUTED_VALUE"""),2.0)</f>
        <v>2</v>
      </c>
      <c r="L17" s="1">
        <f>IFERROR(__xludf.DUMMYFUNCTION("""COMPUTED_VALUE"""),1.0)</f>
        <v>1</v>
      </c>
      <c r="M17" s="1">
        <f>IFERROR(__xludf.DUMMYFUNCTION("""COMPUTED_VALUE"""),2.0)</f>
        <v>2</v>
      </c>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c r="A18" s="1" t="str">
        <f>IFERROR(__xludf.DUMMYFUNCTION("""COMPUTED_VALUE"""),"Jinn")</f>
        <v>Jinn</v>
      </c>
      <c r="B18" s="1" t="str">
        <f>IFERROR(__xludf.DUMMYFUNCTION("""COMPUTED_VALUE"""),"+14 Wisdom")</f>
        <v>+14 Wisdom</v>
      </c>
      <c r="C18" s="1" t="str">
        <f>IFERROR(__xludf.DUMMYFUNCTION("""COMPUTED_VALUE"""),"Restricted Race: (Must unlock the Solreach Expansion to use this race)
30% chance to be unaffected by spells.
X4 additional Spirit Damage
Bonding Souls: Allows you to link your soul with a party members soul increasing damage by times the amount of party "&amp;"members linked with")</f>
        <v>Restricted Race: (Must unlock the Solreach Expansion to use this race)
30% chance to be unaffected by spells.
X4 additional Spirit Damage
Bonding Souls: Allows you to link your soul with a party members soul increasing damage by times the amount of party members linked with</v>
      </c>
      <c r="D18" s="1" t="str">
        <f>IFERROR(__xludf.DUMMYFUNCTION("""COMPUTED_VALUE"""),"Spirit")</f>
        <v>Spirit</v>
      </c>
      <c r="E18" s="1"/>
      <c r="F18" s="1"/>
      <c r="G18" s="1"/>
      <c r="H18" s="1"/>
      <c r="I18" s="1">
        <f>IFERROR(__xludf.DUMMYFUNCTION("""COMPUTED_VALUE"""),14.0)</f>
        <v>14</v>
      </c>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c r="A19" s="1" t="str">
        <f>IFERROR(__xludf.DUMMYFUNCTION("""COMPUTED_VALUE"""),"Lizardfolk")</f>
        <v>Lizardfolk</v>
      </c>
      <c r="B19" s="1" t="str">
        <f>IFERROR(__xludf.DUMMYFUNCTION("""COMPUTED_VALUE"""),"+4 Con, +3 Mobility, +3 Evasion")</f>
        <v>+4 Con, +3 Mobility, +3 Evasion</v>
      </c>
      <c r="C19" s="1" t="str">
        <f>IFERROR(__xludf.DUMMYFUNCTION("""COMPUTED_VALUE"""),"Restricted Race: (Must complete the quest ""TBD"" in Dragonscale Island Expansion to use this Race)
Has dark-vision. 
Immune to Poison
Acidic Aura - When you are attacked or killed the enemy will take Poison 20,000 per round.
Acidic Ward - When ""Acidic A"&amp;"ura"" activates your HP and SP will be restored equal to 1.5% of the damage ""Acidic Aura"" deals to the enemy as long as you are still alive.")</f>
        <v>Restricted Race: (Must complete the quest "TBD" in Dragonscale Island Expansion to use this Race)
Has dark-vision. 
Immune to Poison
Acidic Aura - When you are attacked or killed the enemy will take Poison 20,000 per round.
Acidic Ward - When "Acidic Aura" activates your HP and SP will be restored equal to 1.5% of the damage "Acidic Aura" deals to the enemy as long as you are still alive.</v>
      </c>
      <c r="D19" s="1" t="str">
        <f>IFERROR(__xludf.DUMMYFUNCTION("""COMPUTED_VALUE"""),"Humanoid")</f>
        <v>Humanoid</v>
      </c>
      <c r="E19" s="1"/>
      <c r="F19" s="1"/>
      <c r="G19" s="1"/>
      <c r="H19" s="1"/>
      <c r="I19" s="1"/>
      <c r="J19" s="1">
        <f>IFERROR(__xludf.DUMMYFUNCTION("""COMPUTED_VALUE"""),4.0)</f>
        <v>4</v>
      </c>
      <c r="K19" s="1">
        <f>IFERROR(__xludf.DUMMYFUNCTION("""COMPUTED_VALUE"""),3.0)</f>
        <v>3</v>
      </c>
      <c r="L19" s="1"/>
      <c r="M19" s="1">
        <f>IFERROR(__xludf.DUMMYFUNCTION("""COMPUTED_VALUE"""),3.0)</f>
        <v>3</v>
      </c>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c r="A20" s="1" t="str">
        <f>IFERROR(__xludf.DUMMYFUNCTION("""COMPUTED_VALUE"""),"Mekanian")</f>
        <v>Mekanian</v>
      </c>
      <c r="B20" s="1" t="str">
        <f>IFERROR(__xludf.DUMMYFUNCTION("""COMPUTED_VALUE"""),"+5 Mobility, +3 Constitution,")</f>
        <v>+5 Mobility, +3 Constitution,</v>
      </c>
      <c r="C20" s="1" t="str">
        <f>IFERROR(__xludf.DUMMYFUNCTION("""COMPUTED_VALUE"""),"Has dark-vision. 
Immune to Poison.
Will not gain the “Undead or Spirit Ability” when choosing a class that has it.
Weapons deal X2 damage for the user.
Gain acess to the Natural Powers, Cooldown, Overcharge, and Recharge")</f>
        <v>Has dark-vision. 
Immune to Poison.
Will not gain the “Undead or Spirit Ability” when choosing a class that has it.
Weapons deal X2 damage for the user.
Gain acess to the Natural Powers, Cooldown, Overcharge, and Recharge</v>
      </c>
      <c r="D20" s="1" t="str">
        <f>IFERROR(__xludf.DUMMYFUNCTION("""COMPUTED_VALUE"""),"Construct")</f>
        <v>Construct</v>
      </c>
      <c r="E20" s="1"/>
      <c r="F20" s="1"/>
      <c r="G20" s="1"/>
      <c r="H20" s="1"/>
      <c r="I20" s="1"/>
      <c r="J20" s="1">
        <f>IFERROR(__xludf.DUMMYFUNCTION("""COMPUTED_VALUE"""),3.0)</f>
        <v>3</v>
      </c>
      <c r="K20" s="1"/>
      <c r="L20" s="1"/>
      <c r="M20" s="1">
        <f>IFERROR(__xludf.DUMMYFUNCTION("""COMPUTED_VALUE"""),5.0)</f>
        <v>5</v>
      </c>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c r="A21" s="1" t="str">
        <f>IFERROR(__xludf.DUMMYFUNCTION("""COMPUTED_VALUE"""),"Naga")</f>
        <v>Naga</v>
      </c>
      <c r="B21" s="1" t="str">
        <f>IFERROR(__xludf.DUMMYFUNCTION("""COMPUTED_VALUE"""),"+5 Mobility, +5 Wisdom")</f>
        <v>+5 Mobility, +5 Wisdom</v>
      </c>
      <c r="C21" s="1" t="str">
        <f>IFERROR(__xludf.DUMMYFUNCTION("""COMPUTED_VALUE"""),"Restricted Race: (Must complete the quest ""TBD"" in Dragonscale Island Expansion to use this Race)
Shedding Skin - Your defense becomes 0 for the rest of the round which fully restores your SP and HP, Can only be done once per battle.
When any enemy is P"&amp;"oisoned they act under the effects of Slowness ∞, and you act under the effects of Haste ∞ durng battle as long as you are still aliive.
Immune to Poison.
Has dark-vision. ")</f>
        <v>Restricted Race: (Must complete the quest "TBD" in Dragonscale Island Expansion to use this Race)
Shedding Skin - Your defense becomes 0 for the rest of the round which fully restores your SP and HP, Can only be done once per battle.
When any enemy is Poisoned they act under the effects of Slowness ∞, and you act under the effects of Haste ∞ durng battle as long as you are still aliive.
Immune to Poison.
Has dark-vision. </v>
      </c>
      <c r="D21" s="1" t="str">
        <f>IFERROR(__xludf.DUMMYFUNCTION("""COMPUTED_VALUE"""),"Humanoid")</f>
        <v>Humanoid</v>
      </c>
      <c r="E21" s="1"/>
      <c r="F21" s="1"/>
      <c r="G21" s="1"/>
      <c r="H21" s="1"/>
      <c r="I21" s="1">
        <f>IFERROR(__xludf.DUMMYFUNCTION("""COMPUTED_VALUE"""),5.0)</f>
        <v>5</v>
      </c>
      <c r="J21" s="1"/>
      <c r="K21" s="1"/>
      <c r="L21" s="1"/>
      <c r="M21" s="1">
        <f>IFERROR(__xludf.DUMMYFUNCTION("""COMPUTED_VALUE"""),5.0)</f>
        <v>5</v>
      </c>
      <c r="N21" s="1"/>
      <c r="O21" s="1"/>
      <c r="P21" s="1"/>
      <c r="Q21" s="1"/>
      <c r="R21" s="1"/>
      <c r="S21" s="1"/>
      <c r="T21" s="1"/>
      <c r="U21" s="1"/>
      <c r="V21" s="1">
        <f>IFERROR(__xludf.DUMMYFUNCTION("""COMPUTED_VALUE"""),1.0)</f>
        <v>1</v>
      </c>
      <c r="W21" s="1"/>
      <c r="X21" s="1"/>
      <c r="Y21" s="1"/>
      <c r="Z21" s="1"/>
      <c r="AA21" s="1"/>
      <c r="AB21" s="1">
        <f>IFERROR(__xludf.DUMMYFUNCTION("""COMPUTED_VALUE"""),1.0)</f>
        <v>1</v>
      </c>
      <c r="AC21" s="1"/>
      <c r="AD21" s="1"/>
      <c r="AE21" s="1"/>
      <c r="AF21" s="1"/>
      <c r="AG21" s="1"/>
      <c r="AH21" s="1"/>
      <c r="AI21" s="1"/>
      <c r="AJ21" s="1"/>
      <c r="AK21" s="1"/>
      <c r="AL21" s="1"/>
      <c r="AM21" s="1"/>
      <c r="AN21" s="1"/>
      <c r="AO21" s="1"/>
      <c r="AP21" s="1"/>
      <c r="AQ21" s="1"/>
      <c r="AR21" s="1"/>
      <c r="AS21" s="1"/>
      <c r="AT21" s="1"/>
      <c r="AU21" s="1"/>
      <c r="AV21" s="1"/>
      <c r="AW21" s="1"/>
      <c r="AX21" s="1"/>
      <c r="AY21" s="1"/>
    </row>
    <row r="22">
      <c r="A22" s="1" t="str">
        <f>IFERROR(__xludf.DUMMYFUNCTION("""COMPUTED_VALUE"""),"Night Elf")</f>
        <v>Night Elf</v>
      </c>
      <c r="B22" s="1" t="str">
        <f>IFERROR(__xludf.DUMMYFUNCTION("""COMPUTED_VALUE"""),"+3 Charisma, +3 Evasion, +2 Wisdom")</f>
        <v>+3 Charisma, +3 Evasion, +2 Wisdom</v>
      </c>
      <c r="C22" s="1" t="str">
        <f>IFERROR(__xludf.DUMMYFUNCTION("""COMPUTED_VALUE"""),"Has dark-vision. 
X2 damage dealt in a dark enviroment.")</f>
        <v>Has dark-vision. 
X2 damage dealt in a dark enviroment.</v>
      </c>
      <c r="D22" s="1" t="str">
        <f>IFERROR(__xludf.DUMMYFUNCTION("""COMPUTED_VALUE"""),"Fae")</f>
        <v>Fae</v>
      </c>
      <c r="E22" s="1"/>
      <c r="F22" s="1"/>
      <c r="G22" s="1"/>
      <c r="H22" s="1">
        <f>IFERROR(__xludf.DUMMYFUNCTION("""COMPUTED_VALUE"""),3.0)</f>
        <v>3</v>
      </c>
      <c r="I22" s="1">
        <f>IFERROR(__xludf.DUMMYFUNCTION("""COMPUTED_VALUE"""),2.0)</f>
        <v>2</v>
      </c>
      <c r="J22" s="1"/>
      <c r="K22" s="1">
        <f>IFERROR(__xludf.DUMMYFUNCTION("""COMPUTED_VALUE"""),3.0)</f>
        <v>3</v>
      </c>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c r="A23" s="1" t="str">
        <f>IFERROR(__xludf.DUMMYFUNCTION("""COMPUTED_VALUE"""),"Orc")</f>
        <v>Orc</v>
      </c>
      <c r="B23" s="1" t="str">
        <f>IFERROR(__xludf.DUMMYFUNCTION("""COMPUTED_VALUE"""),"+2 Mobility, +6 Constituion,")</f>
        <v>+2 Mobility, +6 Constituion,</v>
      </c>
      <c r="C23" s="1" t="str">
        <f>IFERROR(__xludf.DUMMYFUNCTION("""COMPUTED_VALUE"""),"Half the SP cost for Physical, Melee, and Ranged Spells.")</f>
        <v>Half the SP cost for Physical, Melee, and Ranged Spells.</v>
      </c>
      <c r="D23" s="1" t="str">
        <f>IFERROR(__xludf.DUMMYFUNCTION("""COMPUTED_VALUE"""),"Humanoid")</f>
        <v>Humanoid</v>
      </c>
      <c r="E23" s="1"/>
      <c r="F23" s="1"/>
      <c r="G23" s="1"/>
      <c r="H23" s="1"/>
      <c r="I23" s="1"/>
      <c r="J23" s="1">
        <f>IFERROR(__xludf.DUMMYFUNCTION("""COMPUTED_VALUE"""),6.0)</f>
        <v>6</v>
      </c>
      <c r="K23" s="1"/>
      <c r="L23" s="1"/>
      <c r="M23" s="1">
        <f>IFERROR(__xludf.DUMMYFUNCTION("""COMPUTED_VALUE"""),2.0)</f>
        <v>2</v>
      </c>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c r="A24" s="1" t="str">
        <f>IFERROR(__xludf.DUMMYFUNCTION("""COMPUTED_VALUE"""),"Poultrian")</f>
        <v>Poultrian</v>
      </c>
      <c r="B24" s="1" t="str">
        <f>IFERROR(__xludf.DUMMYFUNCTION("""COMPUTED_VALUE"""),"+4 Mobility +4 Evasion ")</f>
        <v>+4 Mobility +4 Evasion </v>
      </c>
      <c r="C24" s="1" t="str">
        <f>IFERROR(__xludf.DUMMYFUNCTION("""COMPUTED_VALUE"""),"Days to hatch eggs are reduced by half after rolling 
Starts with the Sub-Class Breeder
Has dark-vision. ")</f>
        <v>Days to hatch eggs are reduced by half after rolling 
Starts with the Sub-Class Breeder
Has dark-vision. </v>
      </c>
      <c r="D24" s="1" t="str">
        <f>IFERROR(__xludf.DUMMYFUNCTION("""COMPUTED_VALUE"""),"Humanoid")</f>
        <v>Humanoid</v>
      </c>
      <c r="E24" s="1"/>
      <c r="F24" s="1"/>
      <c r="G24" s="1"/>
      <c r="H24" s="1"/>
      <c r="I24" s="1"/>
      <c r="J24" s="1"/>
      <c r="K24" s="1">
        <f>IFERROR(__xludf.DUMMYFUNCTION("""COMPUTED_VALUE"""),4.0)</f>
        <v>4</v>
      </c>
      <c r="L24" s="1"/>
      <c r="M24" s="1">
        <f>IFERROR(__xludf.DUMMYFUNCTION("""COMPUTED_VALUE"""),4.0)</f>
        <v>4</v>
      </c>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c r="A25" s="1" t="str">
        <f>IFERROR(__xludf.DUMMYFUNCTION("""COMPUTED_VALUE"""),"Pure Elf")</f>
        <v>Pure Elf</v>
      </c>
      <c r="B25" s="1" t="str">
        <f>IFERROR(__xludf.DUMMYFUNCTION("""COMPUTED_VALUE"""),"+3 Charisma, +3 Wisdom, +2 Evasion")</f>
        <v>+3 Charisma, +3 Wisdom, +2 Evasion</v>
      </c>
      <c r="C25" s="1" t="str">
        <f>IFERROR(__xludf.DUMMYFUNCTION("""COMPUTED_VALUE"""),"25% chance to be unaffected by spells casted by enemies.")</f>
        <v>25% chance to be unaffected by spells casted by enemies.</v>
      </c>
      <c r="D25" s="1" t="str">
        <f>IFERROR(__xludf.DUMMYFUNCTION("""COMPUTED_VALUE"""),"Fae")</f>
        <v>Fae</v>
      </c>
      <c r="E25" s="1"/>
      <c r="F25" s="1"/>
      <c r="G25" s="1"/>
      <c r="H25" s="1">
        <f>IFERROR(__xludf.DUMMYFUNCTION("""COMPUTED_VALUE"""),3.0)</f>
        <v>3</v>
      </c>
      <c r="I25" s="1">
        <f>IFERROR(__xludf.DUMMYFUNCTION("""COMPUTED_VALUE"""),3.0)</f>
        <v>3</v>
      </c>
      <c r="J25" s="1"/>
      <c r="K25" s="1">
        <f>IFERROR(__xludf.DUMMYFUNCTION("""COMPUTED_VALUE"""),2.0)</f>
        <v>2</v>
      </c>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c r="A26" s="1" t="str">
        <f>IFERROR(__xludf.DUMMYFUNCTION("""COMPUTED_VALUE"""),"Shape Shifter")</f>
        <v>Shape Shifter</v>
      </c>
      <c r="B26" s="1" t="str">
        <f>IFERROR(__xludf.DUMMYFUNCTION("""COMPUTED_VALUE"""),"+14 Wisdom")</f>
        <v>+14 Wisdom</v>
      </c>
      <c r="C26" s="1" t="str">
        <f>IFERROR(__xludf.DUMMYFUNCTION("""COMPUTED_VALUE"""),"Restricted Race: (Must unlock the Solreach Expansion to use this race)
You may make a Fail/Succeed roll to transform into a enemy you currently see for 3 rounds or
You may make a Fail/Succeed roll to transform into a party member you currently see for 3 r"&amp;"ounds.
Your stats, abilities, spells/powers, and equipment become the same as the target you transformed into.")</f>
        <v>Restricted Race: (Must unlock the Solreach Expansion to use this race)
You may make a Fail/Succeed roll to transform into a enemy you currently see for 3 rounds or
You may make a Fail/Succeed roll to transform into a party member you currently see for 3 rounds.
Your stats, abilities, spells/powers, and equipment become the same as the target you transformed into.</v>
      </c>
      <c r="D26" s="1" t="str">
        <f>IFERROR(__xludf.DUMMYFUNCTION("""COMPUTED_VALUE"""),"Fae")</f>
        <v>Fae</v>
      </c>
      <c r="E26" s="1"/>
      <c r="F26" s="1"/>
      <c r="G26" s="1"/>
      <c r="H26" s="1"/>
      <c r="I26" s="1">
        <f>IFERROR(__xludf.DUMMYFUNCTION("""COMPUTED_VALUE"""),14.0)</f>
        <v>14</v>
      </c>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c r="A27" s="1" t="str">
        <f>IFERROR(__xludf.DUMMYFUNCTION("""COMPUTED_VALUE"""),"Specter")</f>
        <v>Specter</v>
      </c>
      <c r="B27" s="1" t="str">
        <f>IFERROR(__xludf.DUMMYFUNCTION("""COMPUTED_VALUE"""),"+6 Mobility, +6 Wisdom")</f>
        <v>+6 Mobility, +6 Wisdom</v>
      </c>
      <c r="C27" s="1" t="str">
        <f>IFERROR(__xludf.DUMMYFUNCTION("""COMPUTED_VALUE"""),"Restricted Race: (Must unlock the Abstara Expansion to use this race)
At the begining of the battle you may choose to roll a d20 if you get a 11 or higher you can posses one target.
Immune to instant death.
X4 Spirit Damage")</f>
        <v>Restricted Race: (Must unlock the Abstara Expansion to use this race)
At the begining of the battle you may choose to roll a d20 if you get a 11 or higher you can posses one target.
Immune to instant death.
X4 Spirit Damage</v>
      </c>
      <c r="D27" s="1" t="str">
        <f>IFERROR(__xludf.DUMMYFUNCTION("""COMPUTED_VALUE"""),"Spirit")</f>
        <v>Spirit</v>
      </c>
      <c r="E27" s="1"/>
      <c r="F27" s="1"/>
      <c r="G27" s="1"/>
      <c r="H27" s="1"/>
      <c r="I27" s="1">
        <f>IFERROR(__xludf.DUMMYFUNCTION("""COMPUTED_VALUE"""),6.0)</f>
        <v>6</v>
      </c>
      <c r="J27" s="1"/>
      <c r="K27" s="1"/>
      <c r="L27" s="1"/>
      <c r="M27" s="1">
        <f>IFERROR(__xludf.DUMMYFUNCTION("""COMPUTED_VALUE"""),6.0)</f>
        <v>6</v>
      </c>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c r="A28" s="1" t="str">
        <f>IFERROR(__xludf.DUMMYFUNCTION("""COMPUTED_VALUE"""),"Triton/Mermaid")</f>
        <v>Triton/Mermaid</v>
      </c>
      <c r="B28" s="1" t="str">
        <f>IFERROR(__xludf.DUMMYFUNCTION("""COMPUTED_VALUE"""),"+4 Constitution +4 Wisdom")</f>
        <v>+4 Constitution +4 Wisdom</v>
      </c>
      <c r="C28" s="1" t="str">
        <f>IFERROR(__xludf.DUMMYFUNCTION("""COMPUTED_VALUE"""),"Roll 2 d20’s and combine the total while in water.
Has dark-vision. 
Immune to water.
Half the SP cost for Water Spells.
Starts with Sub-Class Fisherman")</f>
        <v>Roll 2 d20’s and combine the total while in water.
Has dark-vision. 
Immune to water.
Half the SP cost for Water Spells.
Starts with Sub-Class Fisherman</v>
      </c>
      <c r="D28" s="1" t="str">
        <f>IFERROR(__xludf.DUMMYFUNCTION("""COMPUTED_VALUE"""),"Fae")</f>
        <v>Fae</v>
      </c>
      <c r="E28" s="1"/>
      <c r="F28" s="1"/>
      <c r="G28" s="1"/>
      <c r="H28" s="1"/>
      <c r="I28" s="1">
        <f>IFERROR(__xludf.DUMMYFUNCTION("""COMPUTED_VALUE"""),4.0)</f>
        <v>4</v>
      </c>
      <c r="J28" s="1">
        <f>IFERROR(__xludf.DUMMYFUNCTION("""COMPUTED_VALUE"""),4.0)</f>
        <v>4</v>
      </c>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c r="A29" s="1" t="str">
        <f>IFERROR(__xludf.DUMMYFUNCTION("""COMPUTED_VALUE"""),"Troll")</f>
        <v>Troll</v>
      </c>
      <c r="B29" s="1" t="str">
        <f>IFERROR(__xludf.DUMMYFUNCTION("""COMPUTED_VALUE"""),"+10 Constitution -2 Wisdom")</f>
        <v>+10 Constitution -2 Wisdom</v>
      </c>
      <c r="C29" s="1" t="str">
        <f>IFERROR(__xludf.DUMMYFUNCTION("""COMPUTED_VALUE"""),"Has dark-vision. 
Can turn SP into HP or HP into SP.")</f>
        <v>Has dark-vision. 
Can turn SP into HP or HP into SP.</v>
      </c>
      <c r="D29" s="1" t="str">
        <f>IFERROR(__xludf.DUMMYFUNCTION("""COMPUTED_VALUE"""),"Humanoid")</f>
        <v>Humanoid</v>
      </c>
      <c r="E29" s="1"/>
      <c r="F29" s="1"/>
      <c r="G29" s="1"/>
      <c r="H29" s="1"/>
      <c r="I29" s="1">
        <f>IFERROR(__xludf.DUMMYFUNCTION("""COMPUTED_VALUE"""),-2.0)</f>
        <v>-2</v>
      </c>
      <c r="J29" s="1">
        <f>IFERROR(__xludf.DUMMYFUNCTION("""COMPUTED_VALUE"""),10.0)</f>
        <v>10</v>
      </c>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c r="A30" s="1" t="str">
        <f>IFERROR(__xludf.DUMMYFUNCTION("""COMPUTED_VALUE"""),"Vampire")</f>
        <v>Vampire</v>
      </c>
      <c r="B30" s="1" t="str">
        <f>IFERROR(__xludf.DUMMYFUNCTION("""COMPUTED_VALUE"""),"+4 Wisdom +4 Constitution")</f>
        <v>+4 Wisdom +4 Constitution</v>
      </c>
      <c r="C30" s="1" t="str">
        <f>IFERROR(__xludf.DUMMYFUNCTION("""COMPUTED_VALUE"""),"Has dark-vision.  
Any attack gives you HP back equal to half the damage you caused.")</f>
        <v>Has dark-vision.  
Any attack gives you HP back equal to half the damage you caused.</v>
      </c>
      <c r="D30" s="1" t="str">
        <f>IFERROR(__xludf.DUMMYFUNCTION("""COMPUTED_VALUE"""),"Undead")</f>
        <v>Undead</v>
      </c>
      <c r="E30" s="1"/>
      <c r="F30" s="1"/>
      <c r="G30" s="1"/>
      <c r="H30" s="1"/>
      <c r="I30" s="1">
        <f>IFERROR(__xludf.DUMMYFUNCTION("""COMPUTED_VALUE"""),4.0)</f>
        <v>4</v>
      </c>
      <c r="J30" s="1">
        <f>IFERROR(__xludf.DUMMYFUNCTION("""COMPUTED_VALUE"""),4.0)</f>
        <v>4</v>
      </c>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c r="A31" s="1" t="str">
        <f>IFERROR(__xludf.DUMMYFUNCTION("""COMPUTED_VALUE"""),"Wraith")</f>
        <v>Wraith</v>
      </c>
      <c r="B31" s="1" t="str">
        <f>IFERROR(__xludf.DUMMYFUNCTION("""COMPUTED_VALUE"""),"+4 Constitution +4 Wisdom")</f>
        <v>+4 Constitution +4 Wisdom</v>
      </c>
      <c r="C31" s="1" t="str">
        <f>IFERROR(__xludf.DUMMYFUNCTION("""COMPUTED_VALUE"""),"Immune to Chaos, Voodoo, Dark, and Instant Death
X4 Spirit Damage")</f>
        <v>Immune to Chaos, Voodoo, Dark, and Instant Death
X4 Spirit Damage</v>
      </c>
      <c r="D31" s="1" t="str">
        <f>IFERROR(__xludf.DUMMYFUNCTION("""COMPUTED_VALUE"""),"Spirit")</f>
        <v>Spirit</v>
      </c>
      <c r="E31" s="1"/>
      <c r="F31" s="1"/>
      <c r="G31" s="1"/>
      <c r="H31" s="1"/>
      <c r="I31" s="1">
        <f>IFERROR(__xludf.DUMMYFUNCTION("""COMPUTED_VALUE"""),4.0)</f>
        <v>4</v>
      </c>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conditionalFormatting sqref="D2:AY22">
    <cfRule type="notContainsBlanks" dxfId="0" priority="1">
      <formula>LEN(TRIM(D2))&gt;0</formula>
    </cfRule>
  </conditionalFormatting>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tr">
        <f>IFERROR(__xludf.DUMMYFUNCTION("IMPORTRANGE(""https://docs.google.com/spreadsheets/d/1HXoAI5UG3zq1UHqU5n7fPdbQk93qOha2VQb1r7iRi1o"",""MoneyRates!A:BJ"")"),"Gilder")</f>
        <v>Gilder</v>
      </c>
      <c r="B1" s="1">
        <f>IFERROR(__xludf.DUMMYFUNCTION("""COMPUTED_VALUE"""),1.0)</f>
        <v>1</v>
      </c>
      <c r="C1" s="1"/>
      <c r="D1" s="1"/>
      <c r="E1" s="1"/>
      <c r="F1" s="1"/>
      <c r="G1" s="1"/>
      <c r="H1" s="1"/>
      <c r="I1" s="1"/>
      <c r="J1" s="1"/>
      <c r="K1" s="1"/>
      <c r="L1" s="1"/>
      <c r="M1" s="1"/>
      <c r="N1" s="1"/>
      <c r="O1" s="1"/>
      <c r="P1" s="1"/>
      <c r="Q1" s="1"/>
      <c r="R1" s="1"/>
      <c r="S1" s="1"/>
      <c r="T1" s="1"/>
      <c r="U1" s="1"/>
      <c r="V1" s="1"/>
      <c r="W1" s="1"/>
      <c r="X1" s="1"/>
      <c r="Y1" s="1"/>
      <c r="Z1" s="1"/>
    </row>
    <row r="2">
      <c r="A2" s="1" t="str">
        <f>IFERROR(__xludf.DUMMYFUNCTION("""COMPUTED_VALUE"""),"SeaCoin")</f>
        <v>SeaCoin</v>
      </c>
      <c r="B2" s="1">
        <f>IFERROR(__xludf.DUMMYFUNCTION("""COMPUTED_VALUE"""),1.0)</f>
        <v>1</v>
      </c>
      <c r="C2" s="1"/>
      <c r="D2" s="1"/>
      <c r="E2" s="1"/>
      <c r="F2" s="1"/>
      <c r="G2" s="1"/>
      <c r="H2" s="1"/>
      <c r="I2" s="1"/>
      <c r="J2" s="1"/>
      <c r="K2" s="1"/>
      <c r="L2" s="1"/>
      <c r="M2" s="1"/>
      <c r="N2" s="1"/>
      <c r="O2" s="1"/>
      <c r="P2" s="1"/>
      <c r="Q2" s="1"/>
      <c r="R2" s="1"/>
      <c r="S2" s="1"/>
      <c r="T2" s="1"/>
      <c r="U2" s="1"/>
      <c r="V2" s="1"/>
      <c r="W2" s="1"/>
      <c r="X2" s="1"/>
      <c r="Y2" s="1"/>
      <c r="Z2" s="1"/>
    </row>
    <row r="3">
      <c r="A3" s="1" t="str">
        <f>IFERROR(__xludf.DUMMYFUNCTION("""COMPUTED_VALUE"""),"Crystal")</f>
        <v>Crystal</v>
      </c>
      <c r="B3" s="1">
        <f>IFERROR(__xludf.DUMMYFUNCTION("""COMPUTED_VALUE"""),1.0)</f>
        <v>1</v>
      </c>
      <c r="C3" s="1"/>
      <c r="D3" s="1"/>
      <c r="E3" s="1"/>
      <c r="F3" s="1"/>
      <c r="G3" s="1"/>
      <c r="H3" s="1"/>
      <c r="I3" s="1"/>
      <c r="J3" s="1"/>
      <c r="K3" s="1"/>
      <c r="L3" s="1"/>
      <c r="M3" s="1"/>
      <c r="N3" s="1"/>
      <c r="O3" s="1"/>
      <c r="P3" s="1"/>
      <c r="Q3" s="1"/>
      <c r="R3" s="1"/>
      <c r="S3" s="1"/>
      <c r="T3" s="1"/>
      <c r="U3" s="1"/>
      <c r="V3" s="1"/>
      <c r="W3" s="1"/>
      <c r="X3" s="1"/>
      <c r="Y3" s="1"/>
      <c r="Z3" s="1"/>
    </row>
    <row r="4">
      <c r="A4" s="1" t="str">
        <f>IFERROR(__xludf.DUMMYFUNCTION("""COMPUTED_VALUE"""),"Frost")</f>
        <v>Frost</v>
      </c>
      <c r="B4" s="1">
        <f>IFERROR(__xludf.DUMMYFUNCTION("""COMPUTED_VALUE"""),1.0)</f>
        <v>1</v>
      </c>
      <c r="C4" s="1"/>
      <c r="D4" s="1"/>
      <c r="E4" s="1"/>
      <c r="F4" s="1"/>
      <c r="G4" s="1"/>
      <c r="H4" s="1"/>
      <c r="I4" s="1"/>
      <c r="J4" s="1"/>
      <c r="K4" s="1"/>
      <c r="L4" s="1"/>
      <c r="M4" s="1"/>
      <c r="N4" s="1"/>
      <c r="O4" s="1"/>
      <c r="P4" s="1"/>
      <c r="Q4" s="1"/>
      <c r="R4" s="1"/>
      <c r="S4" s="1"/>
      <c r="T4" s="1"/>
      <c r="U4" s="1"/>
      <c r="V4" s="1"/>
      <c r="W4" s="1"/>
      <c r="X4" s="1"/>
      <c r="Y4" s="1"/>
      <c r="Z4" s="1"/>
    </row>
    <row r="5">
      <c r="A5" s="1" t="str">
        <f>IFERROR(__xludf.DUMMYFUNCTION("""COMPUTED_VALUE"""),"UndeadCoin")</f>
        <v>UndeadCoin</v>
      </c>
      <c r="B5" s="1">
        <f>IFERROR(__xludf.DUMMYFUNCTION("""COMPUTED_VALUE"""),1.0)</f>
        <v>1</v>
      </c>
      <c r="C5" s="1"/>
      <c r="D5" s="1"/>
      <c r="E5" s="1"/>
      <c r="F5" s="1"/>
      <c r="G5" s="1"/>
      <c r="H5" s="1"/>
      <c r="I5" s="1"/>
      <c r="J5" s="1"/>
      <c r="K5" s="1"/>
      <c r="L5" s="1"/>
      <c r="M5" s="1"/>
      <c r="N5" s="1"/>
      <c r="O5" s="1"/>
      <c r="P5" s="1"/>
      <c r="Q5" s="1"/>
      <c r="R5" s="1"/>
      <c r="S5" s="1"/>
      <c r="T5" s="1"/>
      <c r="U5" s="1"/>
      <c r="V5" s="1"/>
      <c r="W5" s="1"/>
      <c r="X5" s="1"/>
      <c r="Y5" s="1"/>
      <c r="Z5" s="1"/>
    </row>
    <row r="6">
      <c r="A6" s="1" t="str">
        <f>IFERROR(__xludf.DUMMYFUNCTION("""COMPUTED_VALUE"""),"Halloween")</f>
        <v>Halloween</v>
      </c>
      <c r="B6" s="1">
        <f>IFERROR(__xludf.DUMMYFUNCTION("""COMPUTED_VALUE"""),1.0)</f>
        <v>1</v>
      </c>
      <c r="C6" s="1"/>
      <c r="D6" s="1"/>
      <c r="E6" s="1"/>
      <c r="F6" s="1"/>
      <c r="G6" s="1"/>
      <c r="H6" s="1"/>
      <c r="I6" s="1"/>
      <c r="J6" s="1"/>
      <c r="K6" s="1"/>
      <c r="L6" s="1"/>
      <c r="M6" s="1"/>
      <c r="N6" s="1"/>
      <c r="O6" s="1"/>
      <c r="P6" s="1"/>
      <c r="Q6" s="1"/>
      <c r="R6" s="1"/>
      <c r="S6" s="1"/>
      <c r="T6" s="1"/>
      <c r="U6" s="1"/>
      <c r="V6" s="1"/>
      <c r="W6" s="1"/>
      <c r="X6" s="1"/>
      <c r="Y6" s="1"/>
      <c r="Z6" s="1"/>
    </row>
    <row r="7">
      <c r="A7" s="1" t="str">
        <f>IFERROR(__xludf.DUMMYFUNCTION("""COMPUTED_VALUE"""),"Soul")</f>
        <v>Soul</v>
      </c>
      <c r="B7" s="1">
        <f>IFERROR(__xludf.DUMMYFUNCTION("""COMPUTED_VALUE"""),1.0)</f>
        <v>1</v>
      </c>
      <c r="C7" s="1"/>
      <c r="D7" s="1"/>
      <c r="E7" s="1"/>
      <c r="F7" s="1"/>
      <c r="G7" s="1"/>
      <c r="H7" s="1"/>
      <c r="I7" s="1"/>
      <c r="J7" s="1"/>
      <c r="K7" s="1"/>
      <c r="L7" s="1"/>
      <c r="M7" s="1"/>
      <c r="N7" s="1"/>
      <c r="O7" s="1"/>
      <c r="P7" s="1"/>
      <c r="Q7" s="1"/>
      <c r="R7" s="1"/>
      <c r="S7" s="1"/>
      <c r="T7" s="1"/>
      <c r="U7" s="1"/>
      <c r="V7" s="1"/>
      <c r="W7" s="1"/>
      <c r="X7" s="1"/>
      <c r="Y7" s="1"/>
      <c r="Z7" s="1"/>
    </row>
    <row r="8">
      <c r="A8" s="1"/>
      <c r="B8" s="1"/>
      <c r="C8" s="1"/>
      <c r="D8" s="1"/>
      <c r="E8" s="1"/>
      <c r="F8" s="1"/>
      <c r="G8" s="1"/>
      <c r="H8" s="1"/>
      <c r="I8" s="1"/>
      <c r="J8" s="1"/>
      <c r="K8" s="1"/>
      <c r="L8" s="1"/>
      <c r="M8" s="1"/>
      <c r="N8" s="1"/>
      <c r="O8" s="1"/>
      <c r="P8" s="1"/>
      <c r="Q8" s="1"/>
      <c r="R8" s="1"/>
      <c r="S8" s="1"/>
      <c r="T8" s="1"/>
      <c r="U8" s="1"/>
      <c r="V8" s="1"/>
      <c r="W8" s="1"/>
      <c r="X8" s="1"/>
      <c r="Y8" s="1"/>
      <c r="Z8" s="1"/>
    </row>
    <row r="9">
      <c r="A9" s="1"/>
      <c r="B9" s="1"/>
      <c r="C9" s="1"/>
      <c r="D9" s="1"/>
      <c r="E9" s="1"/>
      <c r="F9" s="1"/>
      <c r="G9" s="1"/>
      <c r="H9" s="1"/>
      <c r="I9" s="1"/>
      <c r="J9" s="1"/>
      <c r="K9" s="1"/>
      <c r="L9" s="1"/>
      <c r="M9" s="1"/>
      <c r="N9" s="1"/>
      <c r="O9" s="1"/>
      <c r="P9" s="1"/>
      <c r="Q9" s="1"/>
      <c r="R9" s="1"/>
      <c r="S9" s="1"/>
      <c r="T9" s="1"/>
      <c r="U9" s="1"/>
      <c r="V9" s="1"/>
      <c r="W9" s="1"/>
      <c r="X9" s="1"/>
      <c r="Y9" s="1"/>
      <c r="Z9" s="1"/>
    </row>
    <row r="10">
      <c r="A10" s="1"/>
      <c r="B10" s="1"/>
      <c r="C10" s="1"/>
      <c r="D10" s="1"/>
      <c r="E10" s="1"/>
      <c r="F10" s="1"/>
      <c r="G10" s="1"/>
      <c r="H10" s="1"/>
      <c r="I10" s="1"/>
      <c r="J10" s="1"/>
      <c r="K10" s="1"/>
      <c r="L10" s="1"/>
      <c r="M10" s="1"/>
      <c r="N10" s="1"/>
      <c r="O10" s="1"/>
      <c r="P10" s="1"/>
      <c r="Q10" s="1"/>
      <c r="R10" s="1"/>
      <c r="S10" s="1"/>
      <c r="T10" s="1"/>
      <c r="U10" s="1"/>
      <c r="V10" s="1"/>
      <c r="W10" s="1"/>
      <c r="X10" s="1"/>
      <c r="Y10" s="1"/>
      <c r="Z10" s="1"/>
    </row>
    <row r="11">
      <c r="A11" s="1"/>
      <c r="B11" s="1"/>
      <c r="C11" s="1"/>
      <c r="D11" s="1"/>
      <c r="E11" s="1"/>
      <c r="F11" s="1"/>
      <c r="G11" s="1"/>
      <c r="H11" s="1"/>
      <c r="I11" s="1"/>
      <c r="J11" s="1"/>
      <c r="K11" s="1"/>
      <c r="L11" s="1"/>
      <c r="M11" s="1"/>
      <c r="N11" s="1"/>
      <c r="O11" s="1"/>
      <c r="P11" s="1"/>
      <c r="Q11" s="1"/>
      <c r="R11" s="1"/>
      <c r="S11" s="1"/>
      <c r="T11" s="1"/>
      <c r="U11" s="1"/>
      <c r="V11" s="1"/>
      <c r="W11" s="1"/>
      <c r="X11" s="1"/>
      <c r="Y11" s="1"/>
      <c r="Z11" s="1"/>
    </row>
    <row r="12">
      <c r="A12" s="1"/>
      <c r="B12" s="1"/>
      <c r="C12" s="1"/>
      <c r="D12" s="1"/>
      <c r="E12" s="1"/>
      <c r="F12" s="1"/>
      <c r="G12" s="1"/>
      <c r="H12" s="1"/>
      <c r="I12" s="1"/>
      <c r="J12" s="1"/>
      <c r="K12" s="1"/>
      <c r="L12" s="1"/>
      <c r="M12" s="1"/>
      <c r="N12" s="1"/>
      <c r="O12" s="1"/>
      <c r="P12" s="1"/>
      <c r="Q12" s="1"/>
      <c r="R12" s="1"/>
      <c r="S12" s="1"/>
      <c r="T12" s="1"/>
      <c r="U12" s="1"/>
      <c r="V12" s="1"/>
      <c r="W12" s="1"/>
      <c r="X12" s="1"/>
      <c r="Y12" s="1"/>
      <c r="Z12" s="1"/>
    </row>
    <row r="13">
      <c r="A13" s="1"/>
      <c r="B13" s="1"/>
      <c r="C13" s="1"/>
      <c r="D13" s="1"/>
      <c r="E13" s="1"/>
      <c r="F13" s="1"/>
      <c r="G13" s="1"/>
      <c r="H13" s="1"/>
      <c r="I13" s="1"/>
      <c r="J13" s="1"/>
      <c r="K13" s="1"/>
      <c r="L13" s="1"/>
      <c r="M13" s="1"/>
      <c r="N13" s="1"/>
      <c r="O13" s="1"/>
      <c r="P13" s="1"/>
      <c r="Q13" s="1"/>
      <c r="R13" s="1"/>
      <c r="S13" s="1"/>
      <c r="T13" s="1"/>
      <c r="U13" s="1"/>
      <c r="V13" s="1"/>
      <c r="W13" s="1"/>
      <c r="X13" s="1"/>
      <c r="Y13" s="1"/>
      <c r="Z13" s="1"/>
    </row>
    <row r="14">
      <c r="A14" s="1"/>
      <c r="B14" s="1"/>
      <c r="C14" s="1"/>
      <c r="D14" s="1"/>
      <c r="E14" s="1"/>
      <c r="F14" s="1"/>
      <c r="G14" s="1"/>
      <c r="H14" s="1"/>
      <c r="I14" s="1"/>
      <c r="J14" s="1"/>
      <c r="K14" s="1"/>
      <c r="L14" s="1"/>
      <c r="M14" s="1"/>
      <c r="N14" s="1"/>
      <c r="O14" s="1"/>
      <c r="P14" s="1"/>
      <c r="Q14" s="1"/>
      <c r="R14" s="1"/>
      <c r="S14" s="1"/>
      <c r="T14" s="1"/>
      <c r="U14" s="1"/>
      <c r="V14" s="1"/>
      <c r="W14" s="1"/>
      <c r="X14" s="1"/>
      <c r="Y14" s="1"/>
      <c r="Z14" s="1"/>
    </row>
    <row r="15">
      <c r="A15" s="1"/>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3.13"/>
  </cols>
  <sheetData>
    <row r="1">
      <c r="A1" s="100" t="str">
        <f>IFERROR(__xludf.DUMMYFUNCTION("IMPORTRANGE(""https://docs.google.com/spreadsheets/d/1HXoAI5UG3zq1UHqU5n7fPdbQk93qOha2VQb1r7iRi1o"",""AstrologicalSigns!A:BJ"")"),"Sign")</f>
        <v>Sign</v>
      </c>
      <c r="B1" s="100" t="str">
        <f>IFERROR(__xludf.DUMMYFUNCTION("""COMPUTED_VALUE"""),"Ability")</f>
        <v>Ability</v>
      </c>
      <c r="C1" s="100" t="str">
        <f>IFERROR(__xludf.DUMMYFUNCTION("""COMPUTED_VALUE"""),"Description")</f>
        <v>Description</v>
      </c>
      <c r="D1" s="1"/>
      <c r="E1" s="1"/>
      <c r="F1" s="1"/>
      <c r="G1" s="1"/>
      <c r="H1" s="1"/>
      <c r="I1" s="1"/>
      <c r="J1" s="1"/>
      <c r="K1" s="1"/>
      <c r="L1" s="1"/>
      <c r="M1" s="1"/>
      <c r="N1" s="1"/>
      <c r="O1" s="1"/>
      <c r="P1" s="1"/>
      <c r="Q1" s="1"/>
      <c r="R1" s="1"/>
      <c r="S1" s="1"/>
      <c r="T1" s="1"/>
      <c r="U1" s="1"/>
      <c r="V1" s="1"/>
      <c r="W1" s="1"/>
      <c r="X1" s="1"/>
      <c r="Y1" s="1"/>
      <c r="Z1" s="1"/>
    </row>
    <row r="2">
      <c r="A2" s="32" t="str">
        <f>IFERROR(__xludf.DUMMYFUNCTION("""COMPUTED_VALUE"""),"Aries")</f>
        <v>Aries</v>
      </c>
      <c r="B2" s="32" t="str">
        <f>IFERROR(__xludf.DUMMYFUNCTION("""COMPUTED_VALUE"""),"Full Speed")</f>
        <v>Full Speed</v>
      </c>
      <c r="C2" s="32" t="str">
        <f>IFERROR(__xludf.DUMMYFUNCTION("""COMPUTED_VALUE"""),"At the start of each battle, 50% chance to act twice on the first round of a battle.")</f>
        <v>At the start of each battle, 50% chance to act twice on the first round of a battle.</v>
      </c>
      <c r="D2" s="1"/>
      <c r="E2" s="1"/>
      <c r="F2" s="1"/>
      <c r="G2" s="1"/>
      <c r="H2" s="1"/>
      <c r="I2" s="1"/>
      <c r="J2" s="1"/>
      <c r="K2" s="1"/>
      <c r="L2" s="1"/>
      <c r="M2" s="1"/>
      <c r="N2" s="1"/>
      <c r="O2" s="1"/>
      <c r="P2" s="1"/>
      <c r="Q2" s="1"/>
      <c r="R2" s="1"/>
      <c r="S2" s="1"/>
      <c r="T2" s="1"/>
      <c r="U2" s="1"/>
      <c r="V2" s="1"/>
      <c r="W2" s="1"/>
      <c r="X2" s="1"/>
      <c r="Y2" s="1"/>
      <c r="Z2" s="1"/>
    </row>
    <row r="3">
      <c r="A3" s="32" t="str">
        <f>IFERROR(__xludf.DUMMYFUNCTION("""COMPUTED_VALUE"""),"Taurus")</f>
        <v>Taurus</v>
      </c>
      <c r="B3" s="32" t="str">
        <f>IFERROR(__xludf.DUMMYFUNCTION("""COMPUTED_VALUE"""),"The Bull")</f>
        <v>The Bull</v>
      </c>
      <c r="C3" s="32" t="str">
        <f>IFERROR(__xludf.DUMMYFUNCTION("""COMPUTED_VALUE"""),"During each of your turns in battle, you get 1 additional weapon attack as long as you attacked with a weapon.")</f>
        <v>During each of your turns in battle, you get 1 additional weapon attack as long as you attacked with a weapon.</v>
      </c>
      <c r="D3" s="1"/>
      <c r="E3" s="1"/>
      <c r="F3" s="1"/>
      <c r="G3" s="1"/>
      <c r="H3" s="1"/>
      <c r="I3" s="1"/>
      <c r="J3" s="1"/>
      <c r="K3" s="1"/>
      <c r="L3" s="1"/>
      <c r="M3" s="1"/>
      <c r="N3" s="1"/>
      <c r="O3" s="1"/>
      <c r="P3" s="1"/>
      <c r="Q3" s="1"/>
      <c r="R3" s="1"/>
      <c r="S3" s="1"/>
      <c r="T3" s="1"/>
      <c r="U3" s="1"/>
      <c r="V3" s="1"/>
      <c r="W3" s="1"/>
      <c r="X3" s="1"/>
      <c r="Y3" s="1"/>
      <c r="Z3" s="1"/>
    </row>
    <row r="4">
      <c r="A4" s="32" t="str">
        <f>IFERROR(__xludf.DUMMYFUNCTION("""COMPUTED_VALUE"""),"Gemini")</f>
        <v>Gemini</v>
      </c>
      <c r="B4" s="32" t="str">
        <f>IFERROR(__xludf.DUMMYFUNCTION("""COMPUTED_VALUE"""),"Summon Twin")</f>
        <v>Summon Twin</v>
      </c>
      <c r="C4" s="32" t="str">
        <f>IFERROR(__xludf.DUMMYFUNCTION("""COMPUTED_VALUE"""),"Summons a controllable clone of the user. 200 SP. Can only be done once per battle.")</f>
        <v>Summons a controllable clone of the user. 200 SP. Can only be done once per battle.</v>
      </c>
      <c r="D4" s="1"/>
      <c r="E4" s="1"/>
      <c r="F4" s="1"/>
      <c r="G4" s="1"/>
      <c r="H4" s="1"/>
      <c r="I4" s="1"/>
      <c r="J4" s="1"/>
      <c r="K4" s="1"/>
      <c r="L4" s="1"/>
      <c r="M4" s="1"/>
      <c r="N4" s="1"/>
      <c r="O4" s="1"/>
      <c r="P4" s="1"/>
      <c r="Q4" s="1"/>
      <c r="R4" s="1"/>
      <c r="S4" s="1"/>
      <c r="T4" s="1"/>
      <c r="U4" s="1"/>
      <c r="V4" s="1"/>
      <c r="W4" s="1"/>
      <c r="X4" s="1"/>
      <c r="Y4" s="1"/>
      <c r="Z4" s="1"/>
    </row>
    <row r="5">
      <c r="A5" s="32" t="str">
        <f>IFERROR(__xludf.DUMMYFUNCTION("""COMPUTED_VALUE"""),"Cancer")</f>
        <v>Cancer</v>
      </c>
      <c r="B5" s="32" t="str">
        <f>IFERROR(__xludf.DUMMYFUNCTION("""COMPUTED_VALUE"""),"Unrelenting Grip")</f>
        <v>Unrelenting Grip</v>
      </c>
      <c r="C5" s="32" t="str">
        <f>IFERROR(__xludf.DUMMYFUNCTION("""COMPUTED_VALUE"""),"Grab 1 target. Both the user and the target are incapable of performing their turn order and  become completely unresponsive, any damage or effect to one affects both of them. Hit/Miss.")</f>
        <v>Grab 1 target. Both the user and the target are incapable of performing their turn order and  become completely unresponsive, any damage or effect to one affects both of them. Hit/Miss.</v>
      </c>
      <c r="D5" s="1"/>
      <c r="E5" s="1"/>
      <c r="F5" s="1"/>
      <c r="G5" s="1"/>
      <c r="H5" s="1"/>
      <c r="I5" s="1"/>
      <c r="J5" s="1"/>
      <c r="K5" s="1"/>
      <c r="L5" s="1"/>
      <c r="M5" s="1"/>
      <c r="N5" s="1"/>
      <c r="O5" s="1"/>
      <c r="P5" s="1"/>
      <c r="Q5" s="1"/>
      <c r="R5" s="1"/>
      <c r="S5" s="1"/>
      <c r="T5" s="1"/>
      <c r="U5" s="1"/>
      <c r="V5" s="1"/>
      <c r="W5" s="1"/>
      <c r="X5" s="1"/>
      <c r="Y5" s="1"/>
      <c r="Z5" s="1"/>
    </row>
    <row r="6">
      <c r="A6" s="32" t="str">
        <f>IFERROR(__xludf.DUMMYFUNCTION("""COMPUTED_VALUE"""),"Leo")</f>
        <v>Leo</v>
      </c>
      <c r="B6" s="32" t="str">
        <f>IFERROR(__xludf.DUMMYFUNCTION("""COMPUTED_VALUE"""),"King’s Collection")</f>
        <v>King’s Collection</v>
      </c>
      <c r="C6" s="32" t="str">
        <f>IFERROR(__xludf.DUMMYFUNCTION("""COMPUTED_VALUE"""),"Gets an extra loot roll each battle.")</f>
        <v>Gets an extra loot roll each battle.</v>
      </c>
      <c r="D6" s="1"/>
      <c r="E6" s="1"/>
      <c r="F6" s="1"/>
      <c r="G6" s="1"/>
      <c r="H6" s="1"/>
      <c r="I6" s="1"/>
      <c r="J6" s="1"/>
      <c r="K6" s="1"/>
      <c r="L6" s="1"/>
      <c r="M6" s="1"/>
      <c r="N6" s="1"/>
      <c r="O6" s="1"/>
      <c r="P6" s="1"/>
      <c r="Q6" s="1"/>
      <c r="R6" s="1"/>
      <c r="S6" s="1"/>
      <c r="T6" s="1"/>
      <c r="U6" s="1"/>
      <c r="V6" s="1"/>
      <c r="W6" s="1"/>
      <c r="X6" s="1"/>
      <c r="Y6" s="1"/>
      <c r="Z6" s="1"/>
    </row>
    <row r="7">
      <c r="A7" s="32" t="str">
        <f>IFERROR(__xludf.DUMMYFUNCTION("""COMPUTED_VALUE"""),"Virgo")</f>
        <v>Virgo</v>
      </c>
      <c r="B7" s="32" t="str">
        <f>IFERROR(__xludf.DUMMYFUNCTION("""COMPUTED_VALUE"""),"Maiden’s Blessing")</f>
        <v>Maiden’s Blessing</v>
      </c>
      <c r="C7" s="32" t="str">
        <f>IFERROR(__xludf.DUMMYFUNCTION("""COMPUTED_VALUE"""),"If your current SP is full, then non-damaging spells the user casts cost no SP.")</f>
        <v>If your current SP is full, then non-damaging spells the user casts cost no SP.</v>
      </c>
      <c r="D7" s="1"/>
      <c r="E7" s="1"/>
      <c r="F7" s="1"/>
      <c r="G7" s="1"/>
      <c r="H7" s="1"/>
      <c r="I7" s="1"/>
      <c r="J7" s="1"/>
      <c r="K7" s="1"/>
      <c r="L7" s="1"/>
      <c r="M7" s="1"/>
      <c r="N7" s="1"/>
      <c r="O7" s="1"/>
      <c r="P7" s="1"/>
      <c r="Q7" s="1"/>
      <c r="R7" s="1"/>
      <c r="S7" s="1"/>
      <c r="T7" s="1"/>
      <c r="U7" s="1"/>
      <c r="V7" s="1"/>
      <c r="W7" s="1"/>
      <c r="X7" s="1"/>
      <c r="Y7" s="1"/>
      <c r="Z7" s="1"/>
    </row>
    <row r="8">
      <c r="A8" s="32" t="str">
        <f>IFERROR(__xludf.DUMMYFUNCTION("""COMPUTED_VALUE"""),"Libra")</f>
        <v>Libra</v>
      </c>
      <c r="B8" s="32" t="str">
        <f>IFERROR(__xludf.DUMMYFUNCTION("""COMPUTED_VALUE"""),"Balance")</f>
        <v>Balance</v>
      </c>
      <c r="C8" s="32" t="str">
        <f>IFERROR(__xludf.DUMMYFUNCTION("""COMPUTED_VALUE"""),"At the start of each battle, Half the SP/HP cost of spells for the user.")</f>
        <v>At the start of each battle, Half the SP/HP cost of spells for the user.</v>
      </c>
      <c r="D8" s="1"/>
      <c r="E8" s="1"/>
      <c r="F8" s="1"/>
      <c r="G8" s="1"/>
      <c r="H8" s="1"/>
      <c r="I8" s="1"/>
      <c r="J8" s="1"/>
      <c r="K8" s="1"/>
      <c r="L8" s="1"/>
      <c r="M8" s="1"/>
      <c r="N8" s="1"/>
      <c r="O8" s="1"/>
      <c r="P8" s="1"/>
      <c r="Q8" s="1"/>
      <c r="R8" s="1"/>
      <c r="S8" s="1"/>
      <c r="T8" s="1"/>
      <c r="U8" s="1"/>
      <c r="V8" s="1"/>
      <c r="W8" s="1"/>
      <c r="X8" s="1"/>
      <c r="Y8" s="1"/>
      <c r="Z8" s="1"/>
    </row>
    <row r="9">
      <c r="A9" s="32" t="str">
        <f>IFERROR(__xludf.DUMMYFUNCTION("""COMPUTED_VALUE"""),"Scorpio")</f>
        <v>Scorpio</v>
      </c>
      <c r="B9" s="32" t="str">
        <f>IFERROR(__xludf.DUMMYFUNCTION("""COMPUTED_VALUE"""),"Poison Sting")</f>
        <v>Poison Sting</v>
      </c>
      <c r="C9" s="32" t="str">
        <f>IFERROR(__xludf.DUMMYFUNCTION("""COMPUTED_VALUE"""),"When you are attacked or killed, the enemy that attacked or killed you will take Poison 1000 per turn.")</f>
        <v>When you are attacked or killed, the enemy that attacked or killed you will take Poison 1000 per turn.</v>
      </c>
      <c r="D9" s="1"/>
      <c r="E9" s="1"/>
      <c r="F9" s="1"/>
      <c r="G9" s="1"/>
      <c r="H9" s="1"/>
      <c r="I9" s="1"/>
      <c r="J9" s="1"/>
      <c r="K9" s="1"/>
      <c r="L9" s="1"/>
      <c r="M9" s="1"/>
      <c r="N9" s="1"/>
      <c r="O9" s="1"/>
      <c r="P9" s="1"/>
      <c r="Q9" s="1"/>
      <c r="R9" s="1"/>
      <c r="S9" s="1"/>
      <c r="T9" s="1"/>
      <c r="U9" s="1"/>
      <c r="V9" s="1"/>
      <c r="W9" s="1"/>
      <c r="X9" s="1"/>
      <c r="Y9" s="1"/>
      <c r="Z9" s="1"/>
    </row>
    <row r="10">
      <c r="A10" s="32" t="str">
        <f>IFERROR(__xludf.DUMMYFUNCTION("""COMPUTED_VALUE"""),"Sagittarius")</f>
        <v>Sagittarius</v>
      </c>
      <c r="B10" s="32" t="str">
        <f>IFERROR(__xludf.DUMMYFUNCTION("""COMPUTED_VALUE"""),"Archer’s Experience")</f>
        <v>Archer’s Experience</v>
      </c>
      <c r="C10" s="32" t="str">
        <f>IFERROR(__xludf.DUMMYFUNCTION("""COMPUTED_VALUE"""),"X4 damage towards ranged non-spell attacks.")</f>
        <v>X4 damage towards ranged non-spell attacks.</v>
      </c>
      <c r="D10" s="1"/>
      <c r="E10" s="1"/>
      <c r="F10" s="1"/>
      <c r="G10" s="1"/>
      <c r="H10" s="1"/>
      <c r="I10" s="1"/>
      <c r="J10" s="1"/>
      <c r="K10" s="1"/>
      <c r="L10" s="1"/>
      <c r="M10" s="1"/>
      <c r="N10" s="1"/>
      <c r="O10" s="1"/>
      <c r="P10" s="1"/>
      <c r="Q10" s="1"/>
      <c r="R10" s="1"/>
      <c r="S10" s="1"/>
      <c r="T10" s="1"/>
      <c r="U10" s="1"/>
      <c r="V10" s="1"/>
      <c r="W10" s="1"/>
      <c r="X10" s="1"/>
      <c r="Y10" s="1"/>
      <c r="Z10" s="1"/>
    </row>
    <row r="11">
      <c r="A11" s="32" t="str">
        <f>IFERROR(__xludf.DUMMYFUNCTION("""COMPUTED_VALUE"""),"Capricorn")</f>
        <v>Capricorn</v>
      </c>
      <c r="B11" s="32" t="str">
        <f>IFERROR(__xludf.DUMMYFUNCTION("""COMPUTED_VALUE"""),"Magic Enhancement")</f>
        <v>Magic Enhancement</v>
      </c>
      <c r="C11" s="32" t="str">
        <f>IFERROR(__xludf.DUMMYFUNCTION("""COMPUTED_VALUE"""),"X2 Spell Damage.")</f>
        <v>X2 Spell Damage.</v>
      </c>
      <c r="D11" s="1"/>
      <c r="E11" s="1"/>
      <c r="F11" s="1"/>
      <c r="G11" s="1"/>
      <c r="H11" s="1"/>
      <c r="I11" s="1"/>
      <c r="J11" s="1"/>
      <c r="K11" s="1"/>
      <c r="L11" s="1"/>
      <c r="M11" s="1"/>
      <c r="N11" s="1"/>
      <c r="O11" s="1"/>
      <c r="P11" s="1"/>
      <c r="Q11" s="1"/>
      <c r="R11" s="1"/>
      <c r="S11" s="1"/>
      <c r="T11" s="1"/>
      <c r="U11" s="1"/>
      <c r="V11" s="1"/>
      <c r="W11" s="1"/>
      <c r="X11" s="1"/>
      <c r="Y11" s="1"/>
      <c r="Z11" s="1"/>
    </row>
    <row r="12">
      <c r="A12" s="32" t="str">
        <f>IFERROR(__xludf.DUMMYFUNCTION("""COMPUTED_VALUE"""),"Aquarius")</f>
        <v>Aquarius</v>
      </c>
      <c r="B12" s="32" t="str">
        <f>IFERROR(__xludf.DUMMYFUNCTION("""COMPUTED_VALUE"""),"Child of Water")</f>
        <v>Child of Water</v>
      </c>
      <c r="C12" s="32" t="str">
        <f>IFERROR(__xludf.DUMMYFUNCTION("""COMPUTED_VALUE"""),"X4 Water Damage, Immune to Water.")</f>
        <v>X4 Water Damage, Immune to Water.</v>
      </c>
      <c r="D12" s="1"/>
      <c r="E12" s="1"/>
      <c r="F12" s="1"/>
      <c r="G12" s="1"/>
      <c r="H12" s="1"/>
      <c r="I12" s="1"/>
      <c r="J12" s="1"/>
      <c r="K12" s="1"/>
      <c r="L12" s="1"/>
      <c r="M12" s="1"/>
      <c r="N12" s="1"/>
      <c r="O12" s="1"/>
      <c r="P12" s="1"/>
      <c r="Q12" s="1"/>
      <c r="R12" s="1"/>
      <c r="S12" s="1"/>
      <c r="T12" s="1"/>
      <c r="U12" s="1"/>
      <c r="V12" s="1"/>
      <c r="W12" s="1"/>
      <c r="X12" s="1"/>
      <c r="Y12" s="1"/>
      <c r="Z12" s="1"/>
    </row>
    <row r="13">
      <c r="A13" s="32" t="str">
        <f>IFERROR(__xludf.DUMMYFUNCTION("""COMPUTED_VALUE"""),"Pisces")</f>
        <v>Pisces</v>
      </c>
      <c r="B13" s="32" t="str">
        <f>IFERROR(__xludf.DUMMYFUNCTION("""COMPUTED_VALUE"""),"Fate’s Hands")</f>
        <v>Fate’s Hands</v>
      </c>
      <c r="C13" s="32" t="str">
        <f>IFERROR(__xludf.DUMMYFUNCTION("""COMPUTED_VALUE"""),"At the beginning of battle, roll a d20. If the result is odd, all attacks done by Pisces deal 2X damage for the battle. If it is even, all Pisces take ½ damage for the battle. This effect stacks.")</f>
        <v>At the beginning of battle, roll a d20. If the result is odd, all attacks done by Pisces deal 2X damage for the battle. If it is even, all Pisces take ½ damage for the battle. This effect stacks.</v>
      </c>
      <c r="D13" s="1"/>
      <c r="E13" s="1"/>
      <c r="F13" s="1"/>
      <c r="G13" s="1"/>
      <c r="H13" s="1"/>
      <c r="I13" s="1"/>
      <c r="J13" s="1"/>
      <c r="K13" s="1"/>
      <c r="L13" s="1"/>
      <c r="M13" s="1"/>
      <c r="N13" s="1"/>
      <c r="O13" s="1"/>
      <c r="P13" s="1"/>
      <c r="Q13" s="1"/>
      <c r="R13" s="1"/>
      <c r="S13" s="1"/>
      <c r="T13" s="1"/>
      <c r="U13" s="1"/>
      <c r="V13" s="1"/>
      <c r="W13" s="1"/>
      <c r="X13" s="1"/>
      <c r="Y13" s="1"/>
      <c r="Z13" s="1"/>
    </row>
    <row r="14">
      <c r="A14" s="32" t="str">
        <f>IFERROR(__xludf.DUMMYFUNCTION("""COMPUTED_VALUE"""),"Custos")</f>
        <v>Custos</v>
      </c>
      <c r="B14" s="32" t="str">
        <f>IFERROR(__xludf.DUMMYFUNCTION("""COMPUTED_VALUE"""),"The Celestial Guardian")</f>
        <v>The Celestial Guardian</v>
      </c>
      <c r="C14" s="32" t="str">
        <f>IFERROR(__xludf.DUMMYFUNCTION("""COMPUTED_VALUE"""),"50% chance to not take any damage for the first round of a battle ")</f>
        <v>50% chance to not take any damage for the first round of a battle </v>
      </c>
      <c r="D14" s="1"/>
      <c r="E14" s="1"/>
      <c r="F14" s="1"/>
      <c r="G14" s="1"/>
      <c r="H14" s="1"/>
      <c r="I14" s="1"/>
      <c r="J14" s="1"/>
      <c r="K14" s="1"/>
      <c r="L14" s="1"/>
      <c r="M14" s="1"/>
      <c r="N14" s="1"/>
      <c r="O14" s="1"/>
      <c r="P14" s="1"/>
      <c r="Q14" s="1"/>
      <c r="R14" s="1"/>
      <c r="S14" s="1"/>
      <c r="T14" s="1"/>
      <c r="U14" s="1"/>
      <c r="V14" s="1"/>
      <c r="W14" s="1"/>
      <c r="X14" s="1"/>
      <c r="Y14" s="1"/>
      <c r="Z14" s="1"/>
    </row>
    <row r="15">
      <c r="A15" s="1" t="str">
        <f>IFERROR(__xludf.DUMMYFUNCTION("""COMPUTED_VALUE"""),"Serpens")</f>
        <v>Serpens</v>
      </c>
      <c r="B15" s="1" t="str">
        <f>IFERROR(__xludf.DUMMYFUNCTION("""COMPUTED_VALUE"""),"The Silver Serpent")</f>
        <v>The Silver Serpent</v>
      </c>
      <c r="C15" s="1" t="str">
        <f>IFERROR(__xludf.DUMMYFUNCTION("""COMPUTED_VALUE"""),"+5 Wisom when engaging a trap or puzzle in battle/rp.")</f>
        <v>+5 Wisom when engaging a trap or puzzle in battle/rp.</v>
      </c>
      <c r="D15" s="1"/>
      <c r="E15" s="1"/>
      <c r="F15" s="1"/>
      <c r="G15" s="1"/>
      <c r="H15" s="1"/>
      <c r="I15" s="1"/>
      <c r="J15" s="1"/>
      <c r="K15" s="1"/>
      <c r="L15" s="1"/>
      <c r="M15" s="1"/>
      <c r="N15" s="1"/>
      <c r="O15" s="1"/>
      <c r="P15" s="1"/>
      <c r="Q15" s="1"/>
      <c r="R15" s="1"/>
      <c r="S15" s="1"/>
      <c r="T15" s="1"/>
      <c r="U15" s="1"/>
      <c r="V15" s="1"/>
      <c r="W15" s="1"/>
      <c r="X15" s="1"/>
      <c r="Y15" s="1"/>
      <c r="Z15" s="1"/>
    </row>
    <row r="16">
      <c r="A16" s="1" t="str">
        <f>IFERROR(__xludf.DUMMYFUNCTION("""COMPUTED_VALUE"""),"Malleator")</f>
        <v>Malleator</v>
      </c>
      <c r="B16" s="1" t="str">
        <f>IFERROR(__xludf.DUMMYFUNCTION("""COMPUTED_VALUE"""),"The Fiery Forge")</f>
        <v>The Fiery Forge</v>
      </c>
      <c r="C16" s="1" t="str">
        <f>IFERROR(__xludf.DUMMYFUNCTION("""COMPUTED_VALUE"""),"You need an additional failed roll to break an item while forging.")</f>
        <v>You need an additional failed roll to break an item while forging.</v>
      </c>
      <c r="D16" s="1"/>
      <c r="E16" s="1"/>
      <c r="F16" s="1"/>
      <c r="G16" s="1"/>
      <c r="H16" s="1"/>
      <c r="I16" s="1"/>
      <c r="J16" s="1"/>
      <c r="K16" s="1"/>
      <c r="L16" s="1"/>
      <c r="M16" s="1"/>
      <c r="N16" s="1"/>
      <c r="O16" s="1"/>
      <c r="P16" s="1"/>
      <c r="Q16" s="1"/>
      <c r="R16" s="1"/>
      <c r="S16" s="1"/>
      <c r="T16" s="1"/>
      <c r="U16" s="1"/>
      <c r="V16" s="1"/>
      <c r="W16" s="1"/>
      <c r="X16" s="1"/>
      <c r="Y16" s="1"/>
      <c r="Z16" s="1"/>
    </row>
    <row r="17">
      <c r="A17" s="1" t="str">
        <f>IFERROR(__xludf.DUMMYFUNCTION("""COMPUTED_VALUE"""),"Lupus")</f>
        <v>Lupus</v>
      </c>
      <c r="B17" s="1" t="str">
        <f>IFERROR(__xludf.DUMMYFUNCTION("""COMPUTED_VALUE"""),"The Spectral Wolf")</f>
        <v>The Spectral Wolf</v>
      </c>
      <c r="C17" s="1" t="str">
        <f>IFERROR(__xludf.DUMMYFUNCTION("""COMPUTED_VALUE"""),"At the beginning of battle, roll a d20. If the result is odd, all Lupus gain +5 Intimidation for the battle. If it is even, all Lupus gain +5 Charisma for the battle. This effect stacks.")</f>
        <v>At the beginning of battle, roll a d20. If the result is odd, all Lupus gain +5 Intimidation for the battle. If it is even, all Lupus gain +5 Charisma for the battle. This effect stacks.</v>
      </c>
      <c r="D17" s="1"/>
      <c r="E17" s="1"/>
      <c r="F17" s="1"/>
      <c r="G17" s="1"/>
      <c r="H17" s="1"/>
      <c r="I17" s="1"/>
      <c r="J17" s="1"/>
      <c r="K17" s="1"/>
      <c r="L17" s="1"/>
      <c r="M17" s="1"/>
      <c r="N17" s="1"/>
      <c r="O17" s="1"/>
      <c r="P17" s="1"/>
      <c r="Q17" s="1"/>
      <c r="R17" s="1"/>
      <c r="S17" s="1"/>
      <c r="T17" s="1"/>
      <c r="U17" s="1"/>
      <c r="V17" s="1"/>
      <c r="W17" s="1"/>
      <c r="X17" s="1"/>
      <c r="Y17" s="1"/>
      <c r="Z17" s="1"/>
    </row>
    <row r="18">
      <c r="A18" s="1" t="str">
        <f>IFERROR(__xludf.DUMMYFUNCTION("""COMPUTED_VALUE"""),"Scriptus")</f>
        <v>Scriptus</v>
      </c>
      <c r="B18" s="1" t="str">
        <f>IFERROR(__xludf.DUMMYFUNCTION("""COMPUTED_VALUE"""),"The Starry Scribe")</f>
        <v>The Starry Scribe</v>
      </c>
      <c r="C18" s="1" t="str">
        <f>IFERROR(__xludf.DUMMYFUNCTION("""COMPUTED_VALUE"""),"If your current SP is full, damaging spells the user casts cost no SP.")</f>
        <v>If your current SP is full, damaging spells the user casts cost no SP.</v>
      </c>
      <c r="D18" s="1"/>
      <c r="E18" s="1"/>
      <c r="F18" s="1"/>
      <c r="G18" s="1"/>
      <c r="H18" s="1"/>
      <c r="I18" s="1"/>
      <c r="J18" s="1"/>
      <c r="K18" s="1"/>
      <c r="L18" s="1"/>
      <c r="M18" s="1"/>
      <c r="N18" s="1"/>
      <c r="O18" s="1"/>
      <c r="P18" s="1"/>
      <c r="Q18" s="1"/>
      <c r="R18" s="1"/>
      <c r="S18" s="1"/>
      <c r="T18" s="1"/>
      <c r="U18" s="1"/>
      <c r="V18" s="1"/>
      <c r="W18" s="1"/>
      <c r="X18" s="1"/>
      <c r="Y18" s="1"/>
      <c r="Z18" s="1"/>
    </row>
    <row r="19">
      <c r="A19" s="1" t="str">
        <f>IFERROR(__xludf.DUMMYFUNCTION("""COMPUTED_VALUE"""),"Arboreas")</f>
        <v>Arboreas</v>
      </c>
      <c r="B19" s="1" t="str">
        <f>IFERROR(__xludf.DUMMYFUNCTION("""COMPUTED_VALUE"""),"The Whispering Trees")</f>
        <v>The Whispering Trees</v>
      </c>
      <c r="C19" s="1" t="str">
        <f>IFERROR(__xludf.DUMMYFUNCTION("""COMPUTED_VALUE"""),"X4 Nature Damage, Immune to Nature.")</f>
        <v>X4 Nature Damage, Immune to Nature.</v>
      </c>
      <c r="D19" s="1"/>
      <c r="E19" s="1"/>
      <c r="F19" s="1"/>
      <c r="G19" s="1"/>
      <c r="H19" s="1"/>
      <c r="I19" s="1"/>
      <c r="J19" s="1"/>
      <c r="K19" s="1"/>
      <c r="L19" s="1"/>
      <c r="M19" s="1"/>
      <c r="N19" s="1"/>
      <c r="O19" s="1"/>
      <c r="P19" s="1"/>
      <c r="Q19" s="1"/>
      <c r="R19" s="1"/>
      <c r="S19" s="1"/>
      <c r="T19" s="1"/>
      <c r="U19" s="1"/>
      <c r="V19" s="1"/>
      <c r="W19" s="1"/>
      <c r="X19" s="1"/>
      <c r="Y19" s="1"/>
      <c r="Z19" s="1"/>
    </row>
    <row r="20">
      <c r="A20" s="1" t="str">
        <f>IFERROR(__xludf.DUMMYFUNCTION("""COMPUTED_VALUE"""),"Aranea")</f>
        <v>Aranea</v>
      </c>
      <c r="B20" s="1" t="str">
        <f>IFERROR(__xludf.DUMMYFUNCTION("""COMPUTED_VALUE"""),"The Cosmic Weaver")</f>
        <v>The Cosmic Weaver</v>
      </c>
      <c r="C20" s="1" t="str">
        <f>IFERROR(__xludf.DUMMYFUNCTION("""COMPUTED_VALUE"""),"Allows the user to reroll one failed Fail/Succeed roll per battle/rp action.")</f>
        <v>Allows the user to reroll one failed Fail/Succeed roll per battle/rp action.</v>
      </c>
      <c r="D20" s="1"/>
      <c r="E20" s="1"/>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01" t="str">
        <f>IFERROR(__xludf.DUMMYFUNCTION("IMPORTRANGE(""https://docs.google.com/spreadsheets/d/1HXoAI5UG3zq1UHqU5n7fPdbQk93qOha2VQb1r7iRi1o"",""TownsArea!A:BJ"")"),"Name")</f>
        <v>Name</v>
      </c>
      <c r="B1" s="101" t="str">
        <f>IFERROR(__xludf.DUMMYFUNCTION("""COMPUTED_VALUE"""),"Description")</f>
        <v>Description</v>
      </c>
      <c r="C1" s="1" t="str">
        <f>IFERROR(__xludf.DUMMYFUNCTION("""COMPUTED_VALUE"""),"World")</f>
        <v>World</v>
      </c>
      <c r="D1" s="1" t="str">
        <f>IFERROR(__xludf.DUMMYFUNCTION("""COMPUTED_VALUE"""),"Link to Town Market/Bank")</f>
        <v>Link to Town Market/Bank</v>
      </c>
      <c r="E1" s="1" t="str">
        <f>IFERROR(__xludf.DUMMYFUNCTION("""COMPUTED_VALUE"""),"Bank Vault")</f>
        <v>Bank Vault</v>
      </c>
      <c r="F1" s="1" t="str">
        <f>IFERROR(__xludf.DUMMYFUNCTION("""COMPUTED_VALUE"""),"Bank Currency Type")</f>
        <v>Bank Currency Type</v>
      </c>
      <c r="G1" s="1"/>
      <c r="H1" s="1"/>
      <c r="I1" s="1"/>
      <c r="J1" s="1"/>
      <c r="K1" s="1"/>
      <c r="L1" s="1"/>
      <c r="M1" s="1"/>
      <c r="N1" s="1"/>
      <c r="O1" s="1"/>
      <c r="P1" s="1"/>
      <c r="Q1" s="1"/>
      <c r="R1" s="1"/>
      <c r="S1" s="1"/>
      <c r="T1" s="1"/>
      <c r="U1" s="1"/>
      <c r="V1" s="1"/>
      <c r="W1" s="1"/>
      <c r="X1" s="1"/>
      <c r="Y1" s="1"/>
      <c r="Z1" s="1"/>
    </row>
    <row r="2">
      <c r="A2" s="1" t="str">
        <f>IFERROR(__xludf.DUMMYFUNCTION("""COMPUTED_VALUE"""),"Blackhorn")</f>
        <v>Blackhorn</v>
      </c>
      <c r="B2" s="1" t="str">
        <f>IFERROR(__xludf.DUMMYFUNCTION("""COMPUTED_VALUE"""),"A city of undead protected by a ward that makes any non undead creature leave their body and become a soul if they pass through the ward. Once a soul you have a limited ammount of time to make your way back to your body before you get trapped in the city "&amp;"for eternity.")</f>
        <v>A city of undead protected by a ward that makes any non undead creature leave their body and become a soul if they pass through the ward. Once a soul you have a limited ammount of time to make your way back to your body before you get trapped in the city for eternity.</v>
      </c>
      <c r="C2" s="1" t="str">
        <f>IFERROR(__xludf.DUMMYFUNCTION("""COMPUTED_VALUE"""),"Land of Spira")</f>
        <v>Land of Spira</v>
      </c>
      <c r="D2" s="1"/>
      <c r="E2" s="102">
        <f>IFERROR(__xludf.DUMMYFUNCTION("""COMPUTED_VALUE"""),1.05E9)</f>
        <v>1050000000</v>
      </c>
      <c r="F2" s="1" t="str">
        <f>IFERROR(__xludf.DUMMYFUNCTION("""COMPUTED_VALUE"""),"Gilder")</f>
        <v>Gilder</v>
      </c>
      <c r="G2" s="1"/>
      <c r="H2" s="1"/>
      <c r="I2" s="1"/>
      <c r="J2" s="1"/>
      <c r="K2" s="1"/>
      <c r="L2" s="1"/>
      <c r="M2" s="1"/>
      <c r="N2" s="1"/>
      <c r="O2" s="1"/>
      <c r="P2" s="1"/>
      <c r="Q2" s="1"/>
      <c r="R2" s="1"/>
      <c r="S2" s="1"/>
      <c r="T2" s="1"/>
      <c r="U2" s="1"/>
      <c r="V2" s="1"/>
      <c r="W2" s="1"/>
      <c r="X2" s="1"/>
      <c r="Y2" s="1"/>
      <c r="Z2" s="1"/>
    </row>
    <row r="3">
      <c r="A3" s="1" t="str">
        <f>IFERROR(__xludf.DUMMYFUNCTION("""COMPUTED_VALUE"""),"Chaotic Seas")</f>
        <v>Chaotic Seas</v>
      </c>
      <c r="B3" s="1" t="str">
        <f>IFERROR(__xludf.DUMMYFUNCTION("""COMPUTED_VALUE"""),"A deadly patch of waters within the Land Of Spira that captains are feared to even travel near. Its said that you may be able to find a sacred tower lying within the Chaotic Seas if you are even able to survive its deadly current.")</f>
        <v>A deadly patch of waters within the Land Of Spira that captains are feared to even travel near. Its said that you may be able to find a sacred tower lying within the Chaotic Seas if you are even able to survive its deadly current.</v>
      </c>
      <c r="C3" s="1" t="str">
        <f>IFERROR(__xludf.DUMMYFUNCTION("""COMPUTED_VALUE"""),"Land of Spira")</f>
        <v>Land of Spira</v>
      </c>
      <c r="D3" s="1"/>
      <c r="E3" s="102">
        <f>IFERROR(__xludf.DUMMYFUNCTION("""COMPUTED_VALUE"""),1.0E9)</f>
        <v>1000000000</v>
      </c>
      <c r="F3" s="1" t="str">
        <f>IFERROR(__xludf.DUMMYFUNCTION("""COMPUTED_VALUE"""),"Gilder")</f>
        <v>Gilder</v>
      </c>
      <c r="G3" s="1"/>
      <c r="H3" s="1"/>
      <c r="I3" s="1"/>
      <c r="J3" s="1"/>
      <c r="K3" s="1"/>
      <c r="L3" s="1"/>
      <c r="M3" s="1"/>
      <c r="N3" s="1"/>
      <c r="O3" s="1"/>
      <c r="P3" s="1"/>
      <c r="Q3" s="1"/>
      <c r="R3" s="1"/>
      <c r="S3" s="1"/>
      <c r="T3" s="1"/>
      <c r="U3" s="1"/>
      <c r="V3" s="1"/>
      <c r="W3" s="1"/>
      <c r="X3" s="1"/>
      <c r="Y3" s="1"/>
      <c r="Z3" s="1"/>
    </row>
    <row r="4">
      <c r="A4" s="1" t="str">
        <f>IFERROR(__xludf.DUMMYFUNCTION("""COMPUTED_VALUE"""),"Civille")</f>
        <v>Civille</v>
      </c>
      <c r="B4" s="1" t="str">
        <f>IFERROR(__xludf.DUMMYFUNCTION("""COMPUTED_VALUE"""),"One of the oldest and most popular cities of spira famous for the amount of people that travel in and out of the city.")</f>
        <v>One of the oldest and most popular cities of spira famous for the amount of people that travel in and out of the city.</v>
      </c>
      <c r="C4" s="1" t="str">
        <f>IFERROR(__xludf.DUMMYFUNCTION("""COMPUTED_VALUE"""),"Land of Spira")</f>
        <v>Land of Spira</v>
      </c>
      <c r="D4" s="1"/>
      <c r="E4" s="102">
        <f>IFERROR(__xludf.DUMMYFUNCTION("""COMPUTED_VALUE"""),1.00401E9)</f>
        <v>1004010000</v>
      </c>
      <c r="F4" s="1" t="str">
        <f>IFERROR(__xludf.DUMMYFUNCTION("""COMPUTED_VALUE"""),"Gilder")</f>
        <v>Gilder</v>
      </c>
      <c r="G4" s="1"/>
      <c r="H4" s="1"/>
      <c r="I4" s="1"/>
      <c r="J4" s="1"/>
      <c r="K4" s="1"/>
      <c r="L4" s="1"/>
      <c r="M4" s="1"/>
      <c r="N4" s="1"/>
      <c r="O4" s="1"/>
      <c r="P4" s="1"/>
      <c r="Q4" s="1"/>
      <c r="R4" s="1"/>
      <c r="S4" s="1"/>
      <c r="T4" s="1"/>
      <c r="U4" s="1"/>
      <c r="V4" s="1"/>
      <c r="W4" s="1"/>
      <c r="X4" s="1"/>
      <c r="Y4" s="1"/>
      <c r="Z4" s="1"/>
    </row>
    <row r="5">
      <c r="A5" s="1" t="str">
        <f>IFERROR(__xludf.DUMMYFUNCTION("""COMPUTED_VALUE"""),"Crystal Cave")</f>
        <v>Crystal Cave</v>
      </c>
      <c r="B5" s="1" t="str">
        <f>IFERROR(__xludf.DUMMYFUNCTION("""COMPUTED_VALUE"""),"A cavern city made of gemstones and mostly crystals. Home to The Crystal King and undead Citizens.")</f>
        <v>A cavern city made of gemstones and mostly crystals. Home to The Crystal King and undead Citizens.</v>
      </c>
      <c r="C5" s="1" t="str">
        <f>IFERROR(__xludf.DUMMYFUNCTION("""COMPUTED_VALUE"""),"Land of Spira")</f>
        <v>Land of Spira</v>
      </c>
      <c r="D5" s="1"/>
      <c r="E5" s="102">
        <f>IFERROR(__xludf.DUMMYFUNCTION("""COMPUTED_VALUE"""),1.0E9)</f>
        <v>1000000000</v>
      </c>
      <c r="F5" s="1" t="str">
        <f>IFERROR(__xludf.DUMMYFUNCTION("""COMPUTED_VALUE"""),"Gilder")</f>
        <v>Gilder</v>
      </c>
      <c r="G5" s="1"/>
      <c r="H5" s="1"/>
      <c r="I5" s="1"/>
      <c r="J5" s="1"/>
      <c r="K5" s="1"/>
      <c r="L5" s="1"/>
      <c r="M5" s="1"/>
      <c r="N5" s="1"/>
      <c r="O5" s="1"/>
      <c r="P5" s="1"/>
      <c r="Q5" s="1"/>
      <c r="R5" s="1"/>
      <c r="S5" s="1"/>
      <c r="T5" s="1"/>
      <c r="U5" s="1"/>
      <c r="V5" s="1"/>
      <c r="W5" s="1"/>
      <c r="X5" s="1"/>
      <c r="Y5" s="1"/>
      <c r="Z5" s="1"/>
    </row>
    <row r="6">
      <c r="A6" s="1" t="str">
        <f>IFERROR(__xludf.DUMMYFUNCTION("""COMPUTED_VALUE"""),"Cursed Iceland")</f>
        <v>Cursed Iceland</v>
      </c>
      <c r="B6" s="1" t="str">
        <f>IFERROR(__xludf.DUMMYFUNCTION("""COMPUTED_VALUE"""),"A cursed area that is said to freeze you permanantly if you step on the wrong path of ice, 10% chance of permanant death.")</f>
        <v>A cursed area that is said to freeze you permanantly if you step on the wrong path of ice, 10% chance of permanant death.</v>
      </c>
      <c r="C6" s="1" t="str">
        <f>IFERROR(__xludf.DUMMYFUNCTION("""COMPUTED_VALUE"""),"Land of Spira")</f>
        <v>Land of Spira</v>
      </c>
      <c r="D6" s="1"/>
      <c r="E6" s="102">
        <f>IFERROR(__xludf.DUMMYFUNCTION("""COMPUTED_VALUE"""),1.0E9)</f>
        <v>1000000000</v>
      </c>
      <c r="F6" s="1" t="str">
        <f>IFERROR(__xludf.DUMMYFUNCTION("""COMPUTED_VALUE"""),"Gilder")</f>
        <v>Gilder</v>
      </c>
      <c r="G6" s="1"/>
      <c r="H6" s="1"/>
      <c r="I6" s="1"/>
      <c r="J6" s="1"/>
      <c r="K6" s="1"/>
      <c r="L6" s="1"/>
      <c r="M6" s="1"/>
      <c r="N6" s="1"/>
      <c r="O6" s="1"/>
      <c r="P6" s="1"/>
      <c r="Q6" s="1"/>
      <c r="R6" s="1"/>
      <c r="S6" s="1"/>
      <c r="T6" s="1"/>
      <c r="U6" s="1"/>
      <c r="V6" s="1"/>
      <c r="W6" s="1"/>
      <c r="X6" s="1"/>
      <c r="Y6" s="1"/>
      <c r="Z6" s="1"/>
    </row>
    <row r="7">
      <c r="A7" s="1" t="str">
        <f>IFERROR(__xludf.DUMMYFUNCTION("""COMPUTED_VALUE"""),"Dead Forest")</f>
        <v>Dead Forest</v>
      </c>
      <c r="B7" s="1" t="str">
        <f>IFERROR(__xludf.DUMMYFUNCTION("""COMPUTED_VALUE"""),"A forest of dead trees surrounded by undead and a hidden city beneath the forest.")</f>
        <v>A forest of dead trees surrounded by undead and a hidden city beneath the forest.</v>
      </c>
      <c r="C7" s="1" t="str">
        <f>IFERROR(__xludf.DUMMYFUNCTION("""COMPUTED_VALUE"""),"Land of Spira")</f>
        <v>Land of Spira</v>
      </c>
      <c r="D7" s="1"/>
      <c r="E7" s="102">
        <f>IFERROR(__xludf.DUMMYFUNCTION("""COMPUTED_VALUE"""),1.0E9)</f>
        <v>1000000000</v>
      </c>
      <c r="F7" s="1" t="str">
        <f>IFERROR(__xludf.DUMMYFUNCTION("""COMPUTED_VALUE"""),"Gilder")</f>
        <v>Gilder</v>
      </c>
      <c r="G7" s="1"/>
      <c r="H7" s="1"/>
      <c r="I7" s="1"/>
      <c r="J7" s="1"/>
      <c r="K7" s="1"/>
      <c r="L7" s="1"/>
      <c r="M7" s="1"/>
      <c r="N7" s="1"/>
      <c r="O7" s="1"/>
      <c r="P7" s="1"/>
      <c r="Q7" s="1"/>
      <c r="R7" s="1"/>
      <c r="S7" s="1"/>
      <c r="T7" s="1"/>
      <c r="U7" s="1"/>
      <c r="V7" s="1"/>
      <c r="W7" s="1"/>
      <c r="X7" s="1"/>
      <c r="Y7" s="1"/>
      <c r="Z7" s="1"/>
    </row>
    <row r="8">
      <c r="A8" s="1" t="str">
        <f>IFERROR(__xludf.DUMMYFUNCTION("""COMPUTED_VALUE"""),"Desert island")</f>
        <v>Desert island</v>
      </c>
      <c r="B8" s="1" t="str">
        <f>IFERROR(__xludf.DUMMYFUNCTION("""COMPUTED_VALUE"""),"Founded and Ruled by King Zorgod. A very powerful kingdom for its size that is protected by giant sand worms.")</f>
        <v>Founded and Ruled by King Zorgod. A very powerful kingdom for its size that is protected by giant sand worms.</v>
      </c>
      <c r="C8" s="1" t="str">
        <f>IFERROR(__xludf.DUMMYFUNCTION("""COMPUTED_VALUE"""),"Land of Spira")</f>
        <v>Land of Spira</v>
      </c>
      <c r="D8" s="1"/>
      <c r="E8" s="102">
        <f>IFERROR(__xludf.DUMMYFUNCTION("""COMPUTED_VALUE"""),1.0E9)</f>
        <v>1000000000</v>
      </c>
      <c r="F8" s="1" t="str">
        <f>IFERROR(__xludf.DUMMYFUNCTION("""COMPUTED_VALUE"""),"Gilder")</f>
        <v>Gilder</v>
      </c>
      <c r="G8" s="1"/>
      <c r="H8" s="1"/>
      <c r="I8" s="1"/>
      <c r="J8" s="1"/>
      <c r="K8" s="1"/>
      <c r="L8" s="1"/>
      <c r="M8" s="1"/>
      <c r="N8" s="1"/>
      <c r="O8" s="1"/>
      <c r="P8" s="1"/>
      <c r="Q8" s="1"/>
      <c r="R8" s="1"/>
      <c r="S8" s="1"/>
      <c r="T8" s="1"/>
      <c r="U8" s="1"/>
      <c r="V8" s="1"/>
      <c r="W8" s="1"/>
      <c r="X8" s="1"/>
      <c r="Y8" s="1"/>
      <c r="Z8" s="1"/>
    </row>
    <row r="9">
      <c r="A9" s="1" t="str">
        <f>IFERROR(__xludf.DUMMYFUNCTION("""COMPUTED_VALUE"""),"Docile Plains")</f>
        <v>Docile Plains</v>
      </c>
      <c r="B9" s="1" t="str">
        <f>IFERROR(__xludf.DUMMYFUNCTION("""COMPUTED_VALUE"""),"An area that is unknown by many, Whenever people have passed threw this area they have said it was calm and quiet and that nothing distubed them. When traveling threw this area a bad day of travel becomes good.")</f>
        <v>An area that is unknown by many, Whenever people have passed threw this area they have said it was calm and quiet and that nothing distubed them. When traveling threw this area a bad day of travel becomes good.</v>
      </c>
      <c r="C9" s="1" t="str">
        <f>IFERROR(__xludf.DUMMYFUNCTION("""COMPUTED_VALUE"""),"Land of Spira")</f>
        <v>Land of Spira</v>
      </c>
      <c r="D9" s="1"/>
      <c r="E9" s="102">
        <f>IFERROR(__xludf.DUMMYFUNCTION("""COMPUTED_VALUE"""),1.0E9)</f>
        <v>1000000000</v>
      </c>
      <c r="F9" s="1" t="str">
        <f>IFERROR(__xludf.DUMMYFUNCTION("""COMPUTED_VALUE"""),"Gilder")</f>
        <v>Gilder</v>
      </c>
      <c r="G9" s="1"/>
      <c r="H9" s="1"/>
      <c r="I9" s="1"/>
      <c r="J9" s="1"/>
      <c r="K9" s="1"/>
      <c r="L9" s="1"/>
      <c r="M9" s="1"/>
      <c r="N9" s="1"/>
      <c r="O9" s="1"/>
      <c r="P9" s="1"/>
      <c r="Q9" s="1"/>
      <c r="R9" s="1"/>
      <c r="S9" s="1"/>
      <c r="T9" s="1"/>
      <c r="U9" s="1"/>
      <c r="V9" s="1"/>
      <c r="W9" s="1"/>
      <c r="X9" s="1"/>
      <c r="Y9" s="1"/>
      <c r="Z9" s="1"/>
    </row>
    <row r="10">
      <c r="A10" s="1" t="str">
        <f>IFERROR(__xludf.DUMMYFUNCTION("""COMPUTED_VALUE"""),"Dryland Desert")</f>
        <v>Dryland Desert</v>
      </c>
      <c r="B10" s="1" t="str">
        <f>IFERROR(__xludf.DUMMYFUNCTION("""COMPUTED_VALUE"""),"The Largest Desert city located near the Dryland Messa known for its many markets and merchants in The Land Of Spira.")</f>
        <v>The Largest Desert city located near the Dryland Messa known for its many markets and merchants in The Land Of Spira.</v>
      </c>
      <c r="C10" s="1" t="str">
        <f>IFERROR(__xludf.DUMMYFUNCTION("""COMPUTED_VALUE"""),"Land of Spira")</f>
        <v>Land of Spira</v>
      </c>
      <c r="D10" s="1"/>
      <c r="E10" s="102">
        <f>IFERROR(__xludf.DUMMYFUNCTION("""COMPUTED_VALUE"""),1.0E9)</f>
        <v>1000000000</v>
      </c>
      <c r="F10" s="1" t="str">
        <f>IFERROR(__xludf.DUMMYFUNCTION("""COMPUTED_VALUE"""),"Gilder")</f>
        <v>Gilder</v>
      </c>
      <c r="G10" s="1"/>
      <c r="H10" s="1"/>
      <c r="I10" s="1"/>
      <c r="J10" s="1"/>
      <c r="K10" s="1"/>
      <c r="L10" s="1"/>
      <c r="M10" s="1"/>
      <c r="N10" s="1"/>
      <c r="O10" s="1"/>
      <c r="P10" s="1"/>
      <c r="Q10" s="1"/>
      <c r="R10" s="1"/>
      <c r="S10" s="1"/>
      <c r="T10" s="1"/>
      <c r="U10" s="1"/>
      <c r="V10" s="1"/>
      <c r="W10" s="1"/>
      <c r="X10" s="1"/>
      <c r="Y10" s="1"/>
      <c r="Z10" s="1"/>
    </row>
    <row r="11">
      <c r="A11" s="1" t="str">
        <f>IFERROR(__xludf.DUMMYFUNCTION("""COMPUTED_VALUE"""),"Dryland Mesa")</f>
        <v>Dryland Mesa</v>
      </c>
      <c r="B11" s="1" t="str">
        <f>IFERROR(__xludf.DUMMYFUNCTION("""COMPUTED_VALUE"""),"Centuries ago, when portals between dimensions cracked open, explorers and pioneers from different corners of Spira found themselves drawn to a vast, arid plateau. The convergence of ley lines and magical currents in this region created an unstable but po"&amp;"tent magical nexus. This nexus not only attracted settlers but also infused the land with an otherworldly aura, turning it into a place where reality and magic coexist in intriguing ways.
The first inhabitants, led by a charismatic adventurer named Syl"&amp;"as Emberwind, were enchanted by the untapped potential of the magical energies emanating from the mesa. Sylas, a skilled mage with a love for exploration, recognized the opportunity to create a haven where magic-users and non-magic folk could coexist harm"&amp;"oniously. With the help of earth and fire magic, he shaped the terrain, conjuring structures from the very rocks of the mesa to establish Dryland Mesa.
The town flourished as a melting pot of cultures, attracting spellcasters and gunslingers alike. The"&amp;" magical aura of the mesa influenced the development of peculiar enchantments, such as levitating boardwalks and self-watering crops that sustained the community in the arid environment. In this mystical wild west, saloons coexisted with arcane academies,"&amp;" and the local sheriff might be just as skilled with a wand as with a six-shooter.
As the town prospered, so did the interest of magical scholars and explorers seeking to unlock the secrets of the unique magical convergence. However, the potent energie"&amp;"s also drew the attention of mystical creatures and nefarious entities from the outskirts of Spira. The settlers had to learn to defend themselves not only against bandits but also against magical anomalies and creatures that slipped through the magical r"&amp;"ifts.
In the present day, Dryland Mesa stands as a testament to the resilience of its inhabitants. The streets are a lively blend of enchantment and grit, where cowboys and sorcerers share tales over enchanted beverages in saloons that never close. The"&amp;" mesa's magical aura continues to attract both dreamers and those seeking the untapped mysteries of the magical wild west. The town remains a beacon of adventure and danger, a place where the line between the mundane and the magical is as thin as the swir"&amp;"ling dust on its enchanting streets.")</f>
        <v>Centuries ago, when portals between dimensions cracked open, explorers and pioneers from different corners of Spira found themselves drawn to a vast, arid plateau. The convergence of ley lines and magical currents in this region created an unstable but potent magical nexus. This nexus not only attracted settlers but also infused the land with an otherworldly aura, turning it into a place where reality and magic coexist in intriguing ways.
The first inhabitants, led by a charismatic adventurer named Sylas Emberwind, were enchanted by the untapped potential of the magical energies emanating from the mesa. Sylas, a skilled mage with a love for exploration, recognized the opportunity to create a haven where magic-users and non-magic folk could coexist harmoniously. With the help of earth and fire magic, he shaped the terrain, conjuring structures from the very rocks of the mesa to establish Dryland Mesa.
The town flourished as a melting pot of cultures, attracting spellcasters and gunslingers alike. The magical aura of the mesa influenced the development of peculiar enchantments, such as levitating boardwalks and self-watering crops that sustained the community in the arid environment. In this mystical wild west, saloons coexisted with arcane academies, and the local sheriff might be just as skilled with a wand as with a six-shooter.
As the town prospered, so did the interest of magical scholars and explorers seeking to unlock the secrets of the unique magical convergence. However, the potent energies also drew the attention of mystical creatures and nefarious entities from the outskirts of Spira. The settlers had to learn to defend themselves not only against bandits but also against magical anomalies and creatures that slipped through the magical rifts.
In the present day, Dryland Mesa stands as a testament to the resilience of its inhabitants. The streets are a lively blend of enchantment and grit, where cowboys and sorcerers share tales over enchanted beverages in saloons that never close. The mesa's magical aura continues to attract both dreamers and those seeking the untapped mysteries of the magical wild west. The town remains a beacon of adventure and danger, a place where the line between the mundane and the magical is as thin as the swirling dust on its enchanting streets.</v>
      </c>
      <c r="C11" s="1" t="str">
        <f>IFERROR(__xludf.DUMMYFUNCTION("""COMPUTED_VALUE"""),"Land of Spira")</f>
        <v>Land of Spira</v>
      </c>
      <c r="D11" s="1"/>
      <c r="E11" s="102">
        <f>IFERROR(__xludf.DUMMYFUNCTION("""COMPUTED_VALUE"""),1.0E9)</f>
        <v>1000000000</v>
      </c>
      <c r="F11" s="1" t="str">
        <f>IFERROR(__xludf.DUMMYFUNCTION("""COMPUTED_VALUE"""),"Gilder")</f>
        <v>Gilder</v>
      </c>
      <c r="G11" s="1"/>
      <c r="H11" s="1"/>
      <c r="I11" s="1"/>
      <c r="J11" s="1"/>
      <c r="K11" s="1"/>
      <c r="L11" s="1"/>
      <c r="M11" s="1"/>
      <c r="N11" s="1"/>
      <c r="O11" s="1"/>
      <c r="P11" s="1"/>
      <c r="Q11" s="1"/>
      <c r="R11" s="1"/>
      <c r="S11" s="1"/>
      <c r="T11" s="1"/>
      <c r="U11" s="1"/>
      <c r="V11" s="1"/>
      <c r="W11" s="1"/>
      <c r="X11" s="1"/>
      <c r="Y11" s="1"/>
      <c r="Z11" s="1"/>
    </row>
    <row r="12">
      <c r="A12" s="1" t="str">
        <f>IFERROR(__xludf.DUMMYFUNCTION("""COMPUTED_VALUE"""),"Fertile Plains")</f>
        <v>Fertile Plains</v>
      </c>
      <c r="B12" s="1" t="str">
        <f>IFERROR(__xludf.DUMMYFUNCTION("""COMPUTED_VALUE"""),"A long patch of land connected to Zhenmay where farmers grow crops to supply Zhenmay with fresh fruits and vegatables.")</f>
        <v>A long patch of land connected to Zhenmay where farmers grow crops to supply Zhenmay with fresh fruits and vegatables.</v>
      </c>
      <c r="C12" s="1" t="str">
        <f>IFERROR(__xludf.DUMMYFUNCTION("""COMPUTED_VALUE"""),"Land of Spira")</f>
        <v>Land of Spira</v>
      </c>
      <c r="D12" s="1"/>
      <c r="E12" s="102">
        <f>IFERROR(__xludf.DUMMYFUNCTION("""COMPUTED_VALUE"""),1.03E9)</f>
        <v>1030000000</v>
      </c>
      <c r="F12" s="1" t="str">
        <f>IFERROR(__xludf.DUMMYFUNCTION("""COMPUTED_VALUE"""),"Gilder")</f>
        <v>Gilder</v>
      </c>
      <c r="G12" s="1"/>
      <c r="H12" s="1"/>
      <c r="I12" s="1"/>
      <c r="J12" s="1"/>
      <c r="K12" s="1"/>
      <c r="L12" s="1"/>
      <c r="M12" s="1"/>
      <c r="N12" s="1"/>
      <c r="O12" s="1"/>
      <c r="P12" s="1"/>
      <c r="Q12" s="1"/>
      <c r="R12" s="1"/>
      <c r="S12" s="1"/>
      <c r="T12" s="1"/>
      <c r="U12" s="1"/>
      <c r="V12" s="1"/>
      <c r="W12" s="1"/>
      <c r="X12" s="1"/>
      <c r="Y12" s="1"/>
      <c r="Z12" s="1"/>
    </row>
    <row r="13">
      <c r="A13" s="1" t="str">
        <f>IFERROR(__xludf.DUMMYFUNCTION("""COMPUTED_VALUE"""),"Fire Tiki Mountain")</f>
        <v>Fire Tiki Mountain</v>
      </c>
      <c r="B13" s="1" t="str">
        <f>IFERROR(__xludf.DUMMYFUNCTION("""COMPUTED_VALUE"""),"Fire Tiki Mountain is an active volcano which houses Fire Tiki Fortress. Natives say to never disturb the Fortress otherwise you will be cursed by the shamans that lie within it")</f>
        <v>Fire Tiki Mountain is an active volcano which houses Fire Tiki Fortress. Natives say to never disturb the Fortress otherwise you will be cursed by the shamans that lie within it</v>
      </c>
      <c r="C13" s="1" t="str">
        <f>IFERROR(__xludf.DUMMYFUNCTION("""COMPUTED_VALUE"""),"Land of Spira")</f>
        <v>Land of Spira</v>
      </c>
      <c r="D13" s="1"/>
      <c r="E13" s="102">
        <f>IFERROR(__xludf.DUMMYFUNCTION("""COMPUTED_VALUE"""),1.0E9)</f>
        <v>1000000000</v>
      </c>
      <c r="F13" s="1" t="str">
        <f>IFERROR(__xludf.DUMMYFUNCTION("""COMPUTED_VALUE"""),"Gilder")</f>
        <v>Gilder</v>
      </c>
      <c r="G13" s="1"/>
      <c r="H13" s="1"/>
      <c r="I13" s="1"/>
      <c r="J13" s="1"/>
      <c r="K13" s="1"/>
      <c r="L13" s="1"/>
      <c r="M13" s="1"/>
      <c r="N13" s="1"/>
      <c r="O13" s="1"/>
      <c r="P13" s="1"/>
      <c r="Q13" s="1"/>
      <c r="R13" s="1"/>
      <c r="S13" s="1"/>
      <c r="T13" s="1"/>
      <c r="U13" s="1"/>
      <c r="V13" s="1"/>
      <c r="W13" s="1"/>
      <c r="X13" s="1"/>
      <c r="Y13" s="1"/>
      <c r="Z13" s="1"/>
    </row>
    <row r="14">
      <c r="A14" s="1" t="str">
        <f>IFERROR(__xludf.DUMMYFUNCTION("""COMPUTED_VALUE"""),"Forest View")</f>
        <v>Forest View</v>
      </c>
      <c r="B14" s="1" t="str">
        <f>IFERROR(__xludf.DUMMYFUNCTION("""COMPUTED_VALUE"""),"A forest like city almost everyone wants to set on fire.")</f>
        <v>A forest like city almost everyone wants to set on fire.</v>
      </c>
      <c r="C14" s="1" t="str">
        <f>IFERROR(__xludf.DUMMYFUNCTION("""COMPUTED_VALUE"""),"Land of Spira")</f>
        <v>Land of Spira</v>
      </c>
      <c r="D14" s="1"/>
      <c r="E14" s="102">
        <f>IFERROR(__xludf.DUMMYFUNCTION("""COMPUTED_VALUE"""),1.0511E9)</f>
        <v>1051100000</v>
      </c>
      <c r="F14" s="1" t="str">
        <f>IFERROR(__xludf.DUMMYFUNCTION("""COMPUTED_VALUE"""),"Gilder")</f>
        <v>Gilder</v>
      </c>
      <c r="G14" s="1"/>
      <c r="H14" s="1"/>
      <c r="I14" s="1"/>
      <c r="J14" s="1"/>
      <c r="K14" s="1"/>
      <c r="L14" s="1"/>
      <c r="M14" s="1"/>
      <c r="N14" s="1"/>
      <c r="O14" s="1"/>
      <c r="P14" s="1"/>
      <c r="Q14" s="1"/>
      <c r="R14" s="1"/>
      <c r="S14" s="1"/>
      <c r="T14" s="1"/>
      <c r="U14" s="1"/>
      <c r="V14" s="1"/>
      <c r="W14" s="1"/>
      <c r="X14" s="1"/>
      <c r="Y14" s="1"/>
      <c r="Z14" s="1"/>
    </row>
    <row r="15">
      <c r="A15" s="1"/>
      <c r="B15" s="1"/>
      <c r="C15" s="1"/>
      <c r="D15" s="1"/>
      <c r="E15" s="1"/>
      <c r="F15" s="1" t="str">
        <f>IFERROR(__xludf.DUMMYFUNCTION("""COMPUTED_VALUE"""),"Gilder")</f>
        <v>Gilder</v>
      </c>
      <c r="G15" s="1"/>
      <c r="H15" s="1"/>
      <c r="I15" s="1"/>
      <c r="J15" s="1"/>
      <c r="K15" s="1"/>
      <c r="L15" s="1"/>
      <c r="M15" s="1"/>
      <c r="N15" s="1"/>
      <c r="O15" s="1"/>
      <c r="P15" s="1"/>
      <c r="Q15" s="1"/>
      <c r="R15" s="1"/>
      <c r="S15" s="1"/>
      <c r="T15" s="1"/>
      <c r="U15" s="1"/>
      <c r="V15" s="1"/>
      <c r="W15" s="1"/>
      <c r="X15" s="1"/>
      <c r="Y15" s="1"/>
      <c r="Z15" s="1"/>
    </row>
    <row r="16">
      <c r="A16" s="1" t="str">
        <f>IFERROR(__xludf.DUMMYFUNCTION("""COMPUTED_VALUE"""),"Foul Night Swamp")</f>
        <v>Foul Night Swamp</v>
      </c>
      <c r="B16" s="1" t="str">
        <f>IFERROR(__xludf.DUMMYFUNCTION("""COMPUTED_VALUE"""),"Boadreing Hallowtown, Wildwood, and Docile Plains, Is the Foul Night Swamp, Full of Darkness and Mystery.")</f>
        <v>Boadreing Hallowtown, Wildwood, and Docile Plains, Is the Foul Night Swamp, Full of Darkness and Mystery.</v>
      </c>
      <c r="C16" s="1" t="str">
        <f>IFERROR(__xludf.DUMMYFUNCTION("""COMPUTED_VALUE"""),"Land of Spira")</f>
        <v>Land of Spira</v>
      </c>
      <c r="D16" s="1"/>
      <c r="E16" s="102">
        <f>IFERROR(__xludf.DUMMYFUNCTION("""COMPUTED_VALUE"""),2.0235E9)</f>
        <v>2023500000</v>
      </c>
      <c r="F16" s="1" t="str">
        <f>IFERROR(__xludf.DUMMYFUNCTION("""COMPUTED_VALUE"""),"Gilder")</f>
        <v>Gilder</v>
      </c>
      <c r="G16" s="1"/>
      <c r="H16" s="1"/>
      <c r="I16" s="1"/>
      <c r="J16" s="1"/>
      <c r="K16" s="1"/>
      <c r="L16" s="1"/>
      <c r="M16" s="1"/>
      <c r="N16" s="1"/>
      <c r="O16" s="1"/>
      <c r="P16" s="1"/>
      <c r="Q16" s="1"/>
      <c r="R16" s="1"/>
      <c r="S16" s="1"/>
      <c r="T16" s="1"/>
      <c r="U16" s="1"/>
      <c r="V16" s="1"/>
      <c r="W16" s="1"/>
      <c r="X16" s="1"/>
      <c r="Y16" s="1"/>
      <c r="Z16" s="1"/>
    </row>
    <row r="17">
      <c r="A17" s="1" t="str">
        <f>IFERROR(__xludf.DUMMYFUNCTION("""COMPUTED_VALUE"""),"Northern Frozen Terrain")</f>
        <v>Northern Frozen Terrain</v>
      </c>
      <c r="B17" s="1" t="str">
        <f>IFERROR(__xludf.DUMMYFUNCTION("""COMPUTED_VALUE"""),"The Northern, Western, and Eastern frozen terrains were once seperate from The Land Of Spira, One day the Lord Of Spira went to the Northern frozen terrain with a treaty which was accepted by the king and queen of the frozen terrains to become one with th"&amp;"e land of spira.")</f>
        <v>The Northern, Western, and Eastern frozen terrains were once seperate from The Land Of Spira, One day the Lord Of Spira went to the Northern frozen terrain with a treaty which was accepted by the king and queen of the frozen terrains to become one with the land of spira.</v>
      </c>
      <c r="C17" s="1" t="str">
        <f>IFERROR(__xludf.DUMMYFUNCTION("""COMPUTED_VALUE"""),"Land of Spira")</f>
        <v>Land of Spira</v>
      </c>
      <c r="D17" s="1"/>
      <c r="E17" s="102">
        <f>IFERROR(__xludf.DUMMYFUNCTION("""COMPUTED_VALUE"""),1.0E9)</f>
        <v>1000000000</v>
      </c>
      <c r="F17" s="1" t="str">
        <f>IFERROR(__xludf.DUMMYFUNCTION("""COMPUTED_VALUE"""),"Gilder")</f>
        <v>Gilder</v>
      </c>
      <c r="G17" s="1"/>
      <c r="H17" s="1"/>
      <c r="I17" s="1"/>
      <c r="J17" s="1"/>
      <c r="K17" s="1"/>
      <c r="L17" s="1"/>
      <c r="M17" s="1"/>
      <c r="N17" s="1"/>
      <c r="O17" s="1"/>
      <c r="P17" s="1"/>
      <c r="Q17" s="1"/>
      <c r="R17" s="1"/>
      <c r="S17" s="1"/>
      <c r="T17" s="1"/>
      <c r="U17" s="1"/>
      <c r="V17" s="1"/>
      <c r="W17" s="1"/>
      <c r="X17" s="1"/>
      <c r="Y17" s="1"/>
      <c r="Z17" s="1"/>
    </row>
    <row r="18">
      <c r="A18" s="1" t="str">
        <f>IFERROR(__xludf.DUMMYFUNCTION("""COMPUTED_VALUE"""),"Eastern Frozen Terrain")</f>
        <v>Eastern Frozen Terrain</v>
      </c>
      <c r="B18" s="1" t="str">
        <f>IFERROR(__xludf.DUMMYFUNCTION("""COMPUTED_VALUE"""),"Ruled by The King and Queen of the Northern Frozen Terrain.")</f>
        <v>Ruled by The King and Queen of the Northern Frozen Terrain.</v>
      </c>
      <c r="C18" s="1" t="str">
        <f>IFERROR(__xludf.DUMMYFUNCTION("""COMPUTED_VALUE"""),"Land of Spira")</f>
        <v>Land of Spira</v>
      </c>
      <c r="D18" s="1"/>
      <c r="E18" s="102">
        <f>IFERROR(__xludf.DUMMYFUNCTION("""COMPUTED_VALUE"""),1.0E9)</f>
        <v>1000000000</v>
      </c>
      <c r="F18" s="1" t="str">
        <f>IFERROR(__xludf.DUMMYFUNCTION("""COMPUTED_VALUE"""),"Gilder")</f>
        <v>Gilder</v>
      </c>
      <c r="G18" s="1"/>
      <c r="H18" s="1"/>
      <c r="I18" s="1"/>
      <c r="J18" s="1"/>
      <c r="K18" s="1"/>
      <c r="L18" s="1"/>
      <c r="M18" s="1"/>
      <c r="N18" s="1"/>
      <c r="O18" s="1"/>
      <c r="P18" s="1"/>
      <c r="Q18" s="1"/>
      <c r="R18" s="1"/>
      <c r="S18" s="1"/>
      <c r="T18" s="1"/>
      <c r="U18" s="1"/>
      <c r="V18" s="1"/>
      <c r="W18" s="1"/>
      <c r="X18" s="1"/>
      <c r="Y18" s="1"/>
      <c r="Z18" s="1"/>
    </row>
    <row r="19">
      <c r="A19" s="1" t="str">
        <f>IFERROR(__xludf.DUMMYFUNCTION("""COMPUTED_VALUE"""),"Western Frozen Terrain")</f>
        <v>Western Frozen Terrain</v>
      </c>
      <c r="B19" s="1" t="str">
        <f>IFERROR(__xludf.DUMMYFUNCTION("""COMPUTED_VALUE"""),"Ruled by The King and Queen of the Northern Frozen Terrain.")</f>
        <v>Ruled by The King and Queen of the Northern Frozen Terrain.</v>
      </c>
      <c r="C19" s="1" t="str">
        <f>IFERROR(__xludf.DUMMYFUNCTION("""COMPUTED_VALUE"""),"Land of Spira")</f>
        <v>Land of Spira</v>
      </c>
      <c r="D19" s="1"/>
      <c r="E19" s="102">
        <f>IFERROR(__xludf.DUMMYFUNCTION("""COMPUTED_VALUE"""),1.0E9)</f>
        <v>1000000000</v>
      </c>
      <c r="F19" s="1" t="str">
        <f>IFERROR(__xludf.DUMMYFUNCTION("""COMPUTED_VALUE"""),"Gilder")</f>
        <v>Gilder</v>
      </c>
      <c r="G19" s="1"/>
      <c r="H19" s="1"/>
      <c r="I19" s="1"/>
      <c r="J19" s="1"/>
      <c r="K19" s="1"/>
      <c r="L19" s="1"/>
      <c r="M19" s="1"/>
      <c r="N19" s="1"/>
      <c r="O19" s="1"/>
      <c r="P19" s="1"/>
      <c r="Q19" s="1"/>
      <c r="R19" s="1"/>
      <c r="S19" s="1"/>
      <c r="T19" s="1"/>
      <c r="U19" s="1"/>
      <c r="V19" s="1"/>
      <c r="W19" s="1"/>
      <c r="X19" s="1"/>
      <c r="Y19" s="1"/>
      <c r="Z19" s="1"/>
    </row>
    <row r="20">
      <c r="A20" s="1" t="str">
        <f>IFERROR(__xludf.DUMMYFUNCTION("""COMPUTED_VALUE"""),"Frozen Forest (Southern Frozen Terrain)")</f>
        <v>Frozen Forest (Southern Frozen Terrain)</v>
      </c>
      <c r="B20" s="1" t="str">
        <f>IFERROR(__xludf.DUMMYFUNCTION("""COMPUTED_VALUE"""),"A mystical frozen forest with a small city in the center Ruled by the queen of the frozen forest.")</f>
        <v>A mystical frozen forest with a small city in the center Ruled by the queen of the frozen forest.</v>
      </c>
      <c r="C20" s="1" t="str">
        <f>IFERROR(__xludf.DUMMYFUNCTION("""COMPUTED_VALUE"""),"Land of Spira")</f>
        <v>Land of Spira</v>
      </c>
      <c r="D20" s="1"/>
      <c r="E20" s="102">
        <f>IFERROR(__xludf.DUMMYFUNCTION("""COMPUTED_VALUE"""),1.0E9)</f>
        <v>1000000000</v>
      </c>
      <c r="F20" s="1" t="str">
        <f>IFERROR(__xludf.DUMMYFUNCTION("""COMPUTED_VALUE"""),"Gilder")</f>
        <v>Gilder</v>
      </c>
      <c r="G20" s="1"/>
      <c r="H20" s="1"/>
      <c r="I20" s="1"/>
      <c r="J20" s="1"/>
      <c r="K20" s="1"/>
      <c r="L20" s="1"/>
      <c r="M20" s="1"/>
      <c r="N20" s="1"/>
      <c r="O20" s="1"/>
      <c r="P20" s="1"/>
      <c r="Q20" s="1"/>
      <c r="R20" s="1"/>
      <c r="S20" s="1"/>
      <c r="T20" s="1"/>
      <c r="U20" s="1"/>
      <c r="V20" s="1"/>
      <c r="W20" s="1"/>
      <c r="X20" s="1"/>
      <c r="Y20" s="1"/>
      <c r="Z20" s="1"/>
    </row>
    <row r="21">
      <c r="A21" s="1" t="str">
        <f>IFERROR(__xludf.DUMMYFUNCTION("""COMPUTED_VALUE"""),"Hallowtown ")</f>
        <v>Hallowtown </v>
      </c>
      <c r="B21" s="1" t="str">
        <f>IFERROR(__xludf.DUMMYFUNCTION("""COMPUTED_VALUE"""),"A small and creepy town where a lot of people travel to celebrate halloween. Its said a young fellow named Nick came up with the word ""Spooky"" here before the town was founded.")</f>
        <v>A small and creepy town where a lot of people travel to celebrate halloween. Its said a young fellow named Nick came up with the word "Spooky" here before the town was founded.</v>
      </c>
      <c r="C21" s="1" t="str">
        <f>IFERROR(__xludf.DUMMYFUNCTION("""COMPUTED_VALUE"""),"Land of Spira")</f>
        <v>Land of Spira</v>
      </c>
      <c r="D21" s="1"/>
      <c r="E21" s="102">
        <f>IFERROR(__xludf.DUMMYFUNCTION("""COMPUTED_VALUE"""),1.05001E9)</f>
        <v>1050010000</v>
      </c>
      <c r="F21" s="1" t="str">
        <f>IFERROR(__xludf.DUMMYFUNCTION("""COMPUTED_VALUE"""),"Gilder")</f>
        <v>Gilder</v>
      </c>
      <c r="G21" s="1"/>
      <c r="H21" s="1"/>
      <c r="I21" s="1"/>
      <c r="J21" s="1"/>
      <c r="K21" s="1"/>
      <c r="L21" s="1"/>
      <c r="M21" s="1"/>
      <c r="N21" s="1"/>
      <c r="O21" s="1"/>
      <c r="P21" s="1"/>
      <c r="Q21" s="1"/>
      <c r="R21" s="1"/>
      <c r="S21" s="1"/>
      <c r="T21" s="1"/>
      <c r="U21" s="1"/>
      <c r="V21" s="1"/>
      <c r="W21" s="1"/>
      <c r="X21" s="1"/>
      <c r="Y21" s="1"/>
      <c r="Z21" s="1"/>
    </row>
    <row r="22">
      <c r="A22" s="1" t="str">
        <f>IFERROR(__xludf.DUMMYFUNCTION("""COMPUTED_VALUE"""),"Heatmore Jungle")</f>
        <v>Heatmore Jungle</v>
      </c>
      <c r="B22" s="1" t="str">
        <f>IFERROR(__xludf.DUMMYFUNCTION("""COMPUTED_VALUE"""),"A jungle engulfed in flames containing Fire Tiki Mountain within it. ")</f>
        <v>A jungle engulfed in flames containing Fire Tiki Mountain within it. </v>
      </c>
      <c r="C22" s="1" t="str">
        <f>IFERROR(__xludf.DUMMYFUNCTION("""COMPUTED_VALUE"""),"Land of Spira")</f>
        <v>Land of Spira</v>
      </c>
      <c r="D22" s="1"/>
      <c r="E22" s="102">
        <f>IFERROR(__xludf.DUMMYFUNCTION("""COMPUTED_VALUE"""),1.0E9)</f>
        <v>1000000000</v>
      </c>
      <c r="F22" s="1" t="str">
        <f>IFERROR(__xludf.DUMMYFUNCTION("""COMPUTED_VALUE"""),"Gilder")</f>
        <v>Gilder</v>
      </c>
      <c r="G22" s="1"/>
      <c r="H22" s="1"/>
      <c r="I22" s="1"/>
      <c r="J22" s="1"/>
      <c r="K22" s="1"/>
      <c r="L22" s="1"/>
      <c r="M22" s="1"/>
      <c r="N22" s="1"/>
      <c r="O22" s="1"/>
      <c r="P22" s="1"/>
      <c r="Q22" s="1"/>
      <c r="R22" s="1"/>
      <c r="S22" s="1"/>
      <c r="T22" s="1"/>
      <c r="U22" s="1"/>
      <c r="V22" s="1"/>
      <c r="W22" s="1"/>
      <c r="X22" s="1"/>
      <c r="Y22" s="1"/>
      <c r="Z22" s="1"/>
    </row>
    <row r="23">
      <c r="A23" s="1" t="str">
        <f>IFERROR(__xludf.DUMMYFUNCTION("""COMPUTED_VALUE"""),"Jungle Of Miss Direction")</f>
        <v>Jungle Of Miss Direction</v>
      </c>
      <c r="B23" s="1" t="str">
        <f>IFERROR(__xludf.DUMMYFUNCTION("""COMPUTED_VALUE"""),"The Most Damgerous Jungle in the land of Spira, Not for its casualties but due to how many people went missing here. It's said that one person deleted there character sheet because they couldn't get out.")</f>
        <v>The Most Damgerous Jungle in the land of Spira, Not for its casualties but due to how many people went missing here. It's said that one person deleted there character sheet because they couldn't get out.</v>
      </c>
      <c r="C23" s="1" t="str">
        <f>IFERROR(__xludf.DUMMYFUNCTION("""COMPUTED_VALUE"""),"Land of Spira")</f>
        <v>Land of Spira</v>
      </c>
      <c r="D23" s="1"/>
      <c r="E23" s="102">
        <f>IFERROR(__xludf.DUMMYFUNCTION("""COMPUTED_VALUE"""),1.0E9)</f>
        <v>1000000000</v>
      </c>
      <c r="F23" s="1" t="str">
        <f>IFERROR(__xludf.DUMMYFUNCTION("""COMPUTED_VALUE"""),"Gilder")</f>
        <v>Gilder</v>
      </c>
      <c r="G23" s="1"/>
      <c r="H23" s="1"/>
      <c r="I23" s="1"/>
      <c r="J23" s="1"/>
      <c r="K23" s="1"/>
      <c r="L23" s="1"/>
      <c r="M23" s="1"/>
      <c r="N23" s="1"/>
      <c r="O23" s="1"/>
      <c r="P23" s="1"/>
      <c r="Q23" s="1"/>
      <c r="R23" s="1"/>
      <c r="S23" s="1"/>
      <c r="T23" s="1"/>
      <c r="U23" s="1"/>
      <c r="V23" s="1"/>
      <c r="W23" s="1"/>
      <c r="X23" s="1"/>
      <c r="Y23" s="1"/>
      <c r="Z23" s="1"/>
    </row>
    <row r="24">
      <c r="A24" s="1" t="str">
        <f>IFERROR(__xludf.DUMMYFUNCTION("""COMPUTED_VALUE"""),"Jungle Of Shadows")</f>
        <v>Jungle Of Shadows</v>
      </c>
      <c r="B24" s="1" t="str">
        <f>IFERROR(__xludf.DUMMYFUNCTION("""COMPUTED_VALUE"""),"A jungle that is said to have swallowed shipments of items as well as actual people that have never been found.")</f>
        <v>A jungle that is said to have swallowed shipments of items as well as actual people that have never been found.</v>
      </c>
      <c r="C24" s="1" t="str">
        <f>IFERROR(__xludf.DUMMYFUNCTION("""COMPUTED_VALUE"""),"Land of Spira")</f>
        <v>Land of Spira</v>
      </c>
      <c r="D24" s="1"/>
      <c r="E24" s="102">
        <f>IFERROR(__xludf.DUMMYFUNCTION("""COMPUTED_VALUE"""),1.0E9)</f>
        <v>1000000000</v>
      </c>
      <c r="F24" s="1" t="str">
        <f>IFERROR(__xludf.DUMMYFUNCTION("""COMPUTED_VALUE"""),"Gilder")</f>
        <v>Gilder</v>
      </c>
      <c r="G24" s="1"/>
      <c r="H24" s="1"/>
      <c r="I24" s="1"/>
      <c r="J24" s="1"/>
      <c r="K24" s="1"/>
      <c r="L24" s="1"/>
      <c r="M24" s="1"/>
      <c r="N24" s="1"/>
      <c r="O24" s="1"/>
      <c r="P24" s="1"/>
      <c r="Q24" s="1"/>
      <c r="R24" s="1"/>
      <c r="S24" s="1"/>
      <c r="T24" s="1"/>
      <c r="U24" s="1"/>
      <c r="V24" s="1"/>
      <c r="W24" s="1"/>
      <c r="X24" s="1"/>
      <c r="Y24" s="1"/>
      <c r="Z24" s="1"/>
    </row>
    <row r="25">
      <c r="A25" s="1" t="str">
        <f>IFERROR(__xludf.DUMMYFUNCTION("""COMPUTED_VALUE"""),"Lake Town")</f>
        <v>Lake Town</v>
      </c>
      <c r="B25" s="1" t="str">
        <f>IFERROR(__xludf.DUMMYFUNCTION("""COMPUTED_VALUE"""),"A fishemans town where people come to buy and sell all sorts of different fish.")</f>
        <v>A fishemans town where people come to buy and sell all sorts of different fish.</v>
      </c>
      <c r="C25" s="1" t="str">
        <f>IFERROR(__xludf.DUMMYFUNCTION("""COMPUTED_VALUE"""),"Land of Spira")</f>
        <v>Land of Spira</v>
      </c>
      <c r="D25" s="1"/>
      <c r="E25" s="102">
        <f>IFERROR(__xludf.DUMMYFUNCTION("""COMPUTED_VALUE"""),1.0012E9)</f>
        <v>1001200000</v>
      </c>
      <c r="F25" s="1" t="str">
        <f>IFERROR(__xludf.DUMMYFUNCTION("""COMPUTED_VALUE"""),"Gilder")</f>
        <v>Gilder</v>
      </c>
      <c r="G25" s="1"/>
      <c r="H25" s="1"/>
      <c r="I25" s="1"/>
      <c r="J25" s="1"/>
      <c r="K25" s="1"/>
      <c r="L25" s="1"/>
      <c r="M25" s="1"/>
      <c r="N25" s="1"/>
      <c r="O25" s="1"/>
      <c r="P25" s="1"/>
      <c r="Q25" s="1"/>
      <c r="R25" s="1"/>
      <c r="S25" s="1"/>
      <c r="T25" s="1"/>
      <c r="U25" s="1"/>
      <c r="V25" s="1"/>
      <c r="W25" s="1"/>
      <c r="X25" s="1"/>
      <c r="Y25" s="1"/>
      <c r="Z25" s="1"/>
    </row>
    <row r="26">
      <c r="A26" s="1" t="str">
        <f>IFERROR(__xludf.DUMMYFUNCTION("""COMPUTED_VALUE"""),"Mekana")</f>
        <v>Mekana</v>
      </c>
      <c r="B26" s="1" t="str">
        <f>IFERROR(__xludf.DUMMYFUNCTION("""COMPUTED_VALUE"""),"Home to the Mekanians and Their Creator, A Steampunk like city filled with futuristic contraptions.")</f>
        <v>Home to the Mekanians and Their Creator, A Steampunk like city filled with futuristic contraptions.</v>
      </c>
      <c r="C26" s="1" t="str">
        <f>IFERROR(__xludf.DUMMYFUNCTION("""COMPUTED_VALUE"""),"Land of Spira")</f>
        <v>Land of Spira</v>
      </c>
      <c r="D26" s="1"/>
      <c r="E26" s="102">
        <f>IFERROR(__xludf.DUMMYFUNCTION("""COMPUTED_VALUE"""),1.05657E9)</f>
        <v>1056570000</v>
      </c>
      <c r="F26" s="1" t="str">
        <f>IFERROR(__xludf.DUMMYFUNCTION("""COMPUTED_VALUE"""),"Gilder")</f>
        <v>Gilder</v>
      </c>
      <c r="G26" s="1"/>
      <c r="H26" s="1"/>
      <c r="I26" s="1"/>
      <c r="J26" s="1"/>
      <c r="K26" s="1"/>
      <c r="L26" s="1"/>
      <c r="M26" s="1"/>
      <c r="N26" s="1"/>
      <c r="O26" s="1"/>
      <c r="P26" s="1"/>
      <c r="Q26" s="1"/>
      <c r="R26" s="1"/>
      <c r="S26" s="1"/>
      <c r="T26" s="1"/>
      <c r="U26" s="1"/>
      <c r="V26" s="1"/>
      <c r="W26" s="1"/>
      <c r="X26" s="1"/>
      <c r="Y26" s="1"/>
      <c r="Z26" s="1"/>
    </row>
    <row r="27">
      <c r="A27" s="1" t="str">
        <f>IFERROR(__xludf.DUMMYFUNCTION("""COMPUTED_VALUE"""),"Mountains Of Peace And Harmony")</f>
        <v>Mountains Of Peace And Harmony</v>
      </c>
      <c r="B27" s="1" t="str">
        <f>IFERROR(__xludf.DUMMYFUNCTION("""COMPUTED_VALUE"""),"A peacful mountain range that rests between lake Town and Civille.")</f>
        <v>A peacful mountain range that rests between lake Town and Civille.</v>
      </c>
      <c r="C27" s="1" t="str">
        <f>IFERROR(__xludf.DUMMYFUNCTION("""COMPUTED_VALUE"""),"Land of Spira")</f>
        <v>Land of Spira</v>
      </c>
      <c r="D27" s="1"/>
      <c r="E27" s="102">
        <f>IFERROR(__xludf.DUMMYFUNCTION("""COMPUTED_VALUE"""),1.0E9)</f>
        <v>1000000000</v>
      </c>
      <c r="F27" s="1" t="str">
        <f>IFERROR(__xludf.DUMMYFUNCTION("""COMPUTED_VALUE"""),"Gilder")</f>
        <v>Gilder</v>
      </c>
      <c r="G27" s="1"/>
      <c r="H27" s="1"/>
      <c r="I27" s="1"/>
      <c r="J27" s="1"/>
      <c r="K27" s="1"/>
      <c r="L27" s="1"/>
      <c r="M27" s="1"/>
      <c r="N27" s="1"/>
      <c r="O27" s="1"/>
      <c r="P27" s="1"/>
      <c r="Q27" s="1"/>
      <c r="R27" s="1"/>
      <c r="S27" s="1"/>
      <c r="T27" s="1"/>
      <c r="U27" s="1"/>
      <c r="V27" s="1"/>
      <c r="W27" s="1"/>
      <c r="X27" s="1"/>
      <c r="Y27" s="1"/>
      <c r="Z27" s="1"/>
    </row>
    <row r="28">
      <c r="A28" s="1" t="str">
        <f>IFERROR(__xludf.DUMMYFUNCTION("""COMPUTED_VALUE"""),"Mt. Fury (Locked)")</f>
        <v>Mt. Fury (Locked)</v>
      </c>
      <c r="B28" s="1" t="str">
        <f>IFERROR(__xludf.DUMMYFUNCTION("""COMPUTED_VALUE"""),"The Ancient Volcano Of Spira where one of the most powerful spira guardians remain.  Do not wake the beast or you will suffer its tremendous flames of suffering.")</f>
        <v>The Ancient Volcano Of Spira where one of the most powerful spira guardians remain.  Do not wake the beast or you will suffer its tremendous flames of suffering.</v>
      </c>
      <c r="C28" s="1" t="str">
        <f>IFERROR(__xludf.DUMMYFUNCTION("""COMPUTED_VALUE"""),"Land of Spira")</f>
        <v>Land of Spira</v>
      </c>
      <c r="D28" s="1"/>
      <c r="E28" s="102">
        <f>IFERROR(__xludf.DUMMYFUNCTION("""COMPUTED_VALUE"""),1.0E9)</f>
        <v>1000000000</v>
      </c>
      <c r="F28" s="1" t="str">
        <f>IFERROR(__xludf.DUMMYFUNCTION("""COMPUTED_VALUE"""),"Gilder")</f>
        <v>Gilder</v>
      </c>
      <c r="G28" s="1"/>
      <c r="H28" s="1"/>
      <c r="I28" s="1"/>
      <c r="J28" s="1"/>
      <c r="K28" s="1"/>
      <c r="L28" s="1"/>
      <c r="M28" s="1"/>
      <c r="N28" s="1"/>
      <c r="O28" s="1"/>
      <c r="P28" s="1"/>
      <c r="Q28" s="1"/>
      <c r="R28" s="1"/>
      <c r="S28" s="1"/>
      <c r="T28" s="1"/>
      <c r="U28" s="1"/>
      <c r="V28" s="1"/>
      <c r="W28" s="1"/>
      <c r="X28" s="1"/>
      <c r="Y28" s="1"/>
      <c r="Z28" s="1"/>
    </row>
    <row r="29">
      <c r="A29" s="1" t="str">
        <f>IFERROR(__xludf.DUMMYFUNCTION("""COMPUTED_VALUE"""),"Pond City")</f>
        <v>Pond City</v>
      </c>
      <c r="B29" s="1" t="str">
        <f>IFERROR(__xludf.DUMMYFUNCTION("""COMPUTED_VALUE"""),"Long ago, in the heart of The Land of Spira, a mystical and serene place known as Pond City emerged from the mists of time. The city's origins are steeped in legend and myth, making it a captivating and enigmatic location for adventurers to explore.
Anci"&amp;"ent Waters and the Founding:
Pond City was founded by an ancient order of druids who revered the water element. They believed that the ponds that naturally formed in the area were sacred, imbued with the power to heal and rejuvenate. These druids, led by"&amp;" a wise and powerful archdruid named Elowen, were drawn to the tranquil energy of the land. Guided by dreams and visions, they built their city in harmony with the natural landscape, ensuring that no harm would come to the precious ponds they considered t"&amp;"he lifeblood of their community.
The Elixir of Eternal Youth:
Over the centuries, Pond City's reputation grew far and wide. Travelers, healers, and adventurers journeyed to the city to seek the wisdom of the druids and the legendary Elixir of Eternal Yo"&amp;"uth, which was rumored to be brewed from the waters of the sacred ponds. However, gaining access to this elixir was no simple task. It was said that only those who proved their worth through noble deeds and selfless acts would be granted a vial of this el"&amp;"ixir.
Rival Factions and Intrigue:
As Pond City's fame spread, it also attracted the attention of rival factions and covetous individuals who sought to control the city's resources for their own gain. The most formidable of these adversaries was the sec"&amp;"retive Shadow Syndicate, a group of rogues and spies who operated in the shadows, seeking to uncover the secrets of the elixir and use it to gain power and immortality.
The Druid Council:
To protect their city from external threats and internal strife, "&amp;"the druids established a governing body known as the Druid Council. Led by a circle of elder druids and presided over by Elowen's descendants, the council ensured the city's survival and the preservation of the sacred ponds. They maintained a delicate bal"&amp;"ance between the needs of the city's inhabitants and the sanctity of their natural surroundings.
Present-Day Pond City:
Pond City stands as a city of wonder and intrigue. Its cobblestone streets wind their way around lush ponds filled with bioluminescen"&amp;"t plants, and the ancient architecture still bears the marks of Elowen's druidic influence. The city is a hub of trade, culture, and mysticism, attracting all manner of visitors, from adventurers in search of the Elixir of Eternal Youth to scholars seekin"&amp;"g the wisdom of the druids.
However, Pond City's future is uncertain. The Shadow Syndicate's influence is growing, and tensions between factions within the city threaten to disrupt the delicate balance that has been maintained for centuries. As adventure"&amp;"rs, your players will find themselves in a city where secrets and intrigue abound, with the fate of Pond City and its sacred ponds hanging in the balance. Will they choose to protect the city's ancient traditions or exploit its mystical resources for thei"&amp;"r own gain? The choice is theirs to make as they embark on their journey through the enigmatic Pond City in The Land of Spira.")</f>
        <v>Long ago, in the heart of The Land of Spira, a mystical and serene place known as Pond City emerged from the mists of time. The city's origins are steeped in legend and myth, making it a captivating and enigmatic location for adventurers to explore.
Ancient Waters and the Founding:
Pond City was founded by an ancient order of druids who revered the water element. They believed that the ponds that naturally formed in the area were sacred, imbued with the power to heal and rejuvenate. These druids, led by a wise and powerful archdruid named Elowen, were drawn to the tranquil energy of the land. Guided by dreams and visions, they built their city in harmony with the natural landscape, ensuring that no harm would come to the precious ponds they considered the lifeblood of their community.
The Elixir of Eternal Youth:
Over the centuries, Pond City's reputation grew far and wide. Travelers, healers, and adventurers journeyed to the city to seek the wisdom of the druids and the legendary Elixir of Eternal Youth, which was rumored to be brewed from the waters of the sacred ponds. However, gaining access to this elixir was no simple task. It was said that only those who proved their worth through noble deeds and selfless acts would be granted a vial of this elixir.
Rival Factions and Intrigue:
As Pond City's fame spread, it also attracted the attention of rival factions and covetous individuals who sought to control the city's resources for their own gain. The most formidable of these adversaries was the secretive Shadow Syndicate, a group of rogues and spies who operated in the shadows, seeking to uncover the secrets of the elixir and use it to gain power and immortality.
The Druid Council:
To protect their city from external threats and internal strife, the druids established a governing body known as the Druid Council. Led by a circle of elder druids and presided over by Elowen's descendants, the council ensured the city's survival and the preservation of the sacred ponds. They maintained a delicate balance between the needs of the city's inhabitants and the sanctity of their natural surroundings.
Present-Day Pond City:
Pond City stands as a city of wonder and intrigue. Its cobblestone streets wind their way around lush ponds filled with bioluminescent plants, and the ancient architecture still bears the marks of Elowen's druidic influence. The city is a hub of trade, culture, and mysticism, attracting all manner of visitors, from adventurers in search of the Elixir of Eternal Youth to scholars seeking the wisdom of the druids.
However, Pond City's future is uncertain. The Shadow Syndicate's influence is growing, and tensions between factions within the city threaten to disrupt the delicate balance that has been maintained for centuries. As adventurers, your players will find themselves in a city where secrets and intrigue abound, with the fate of Pond City and its sacred ponds hanging in the balance. Will they choose to protect the city's ancient traditions or exploit its mystical resources for their own gain? The choice is theirs to make as they embark on their journey through the enigmatic Pond City in The Land of Spira.</v>
      </c>
      <c r="C29" s="1" t="str">
        <f>IFERROR(__xludf.DUMMYFUNCTION("""COMPUTED_VALUE"""),"Land of Spira")</f>
        <v>Land of Spira</v>
      </c>
      <c r="D29" s="1"/>
      <c r="E29" s="102">
        <f>IFERROR(__xludf.DUMMYFUNCTION("""COMPUTED_VALUE"""),1.0E9)</f>
        <v>1000000000</v>
      </c>
      <c r="F29" s="1" t="str">
        <f>IFERROR(__xludf.DUMMYFUNCTION("""COMPUTED_VALUE"""),"Gilder")</f>
        <v>Gilder</v>
      </c>
      <c r="G29" s="1"/>
      <c r="H29" s="1"/>
      <c r="I29" s="1"/>
      <c r="J29" s="1"/>
      <c r="K29" s="1"/>
      <c r="L29" s="1"/>
      <c r="M29" s="1"/>
      <c r="N29" s="1"/>
      <c r="O29" s="1"/>
      <c r="P29" s="1"/>
      <c r="Q29" s="1"/>
      <c r="R29" s="1"/>
      <c r="S29" s="1"/>
      <c r="T29" s="1"/>
      <c r="U29" s="1"/>
      <c r="V29" s="1"/>
      <c r="W29" s="1"/>
      <c r="X29" s="1"/>
      <c r="Y29" s="1"/>
      <c r="Z29" s="1"/>
    </row>
    <row r="30">
      <c r="A30" s="1" t="str">
        <f>IFERROR(__xludf.DUMMYFUNCTION("""COMPUTED_VALUE"""),"Port Fawn")</f>
        <v>Port Fawn</v>
      </c>
      <c r="B30" s="1" t="str">
        <f>IFERROR(__xludf.DUMMYFUNCTION("""COMPUTED_VALUE"""),"A harbor town south west of Forest View famous for the most imports and exports around the land of spira.")</f>
        <v>A harbor town south west of Forest View famous for the most imports and exports around the land of spira.</v>
      </c>
      <c r="C30" s="1" t="str">
        <f>IFERROR(__xludf.DUMMYFUNCTION("""COMPUTED_VALUE"""),"Land of Spira")</f>
        <v>Land of Spira</v>
      </c>
      <c r="D30" s="1"/>
      <c r="E30" s="102">
        <f>IFERROR(__xludf.DUMMYFUNCTION("""COMPUTED_VALUE"""),1.056375E9)</f>
        <v>1056375000</v>
      </c>
      <c r="F30" s="1" t="str">
        <f>IFERROR(__xludf.DUMMYFUNCTION("""COMPUTED_VALUE"""),"Gilder")</f>
        <v>Gilder</v>
      </c>
      <c r="G30" s="1"/>
      <c r="H30" s="1"/>
      <c r="I30" s="1"/>
      <c r="J30" s="1"/>
      <c r="K30" s="1"/>
      <c r="L30" s="1"/>
      <c r="M30" s="1"/>
      <c r="N30" s="1"/>
      <c r="O30" s="1"/>
      <c r="P30" s="1"/>
      <c r="Q30" s="1"/>
      <c r="R30" s="1"/>
      <c r="S30" s="1"/>
      <c r="T30" s="1"/>
      <c r="U30" s="1"/>
      <c r="V30" s="1"/>
      <c r="W30" s="1"/>
      <c r="X30" s="1"/>
      <c r="Y30" s="1"/>
      <c r="Z30" s="1"/>
    </row>
    <row r="31">
      <c r="A31" s="1" t="str">
        <f>IFERROR(__xludf.DUMMYFUNCTION("""COMPUTED_VALUE"""),"Royal Woodlands")</f>
        <v>Royal Woodlands</v>
      </c>
      <c r="B31" s="1"/>
      <c r="C31" s="1" t="str">
        <f>IFERROR(__xludf.DUMMYFUNCTION("""COMPUTED_VALUE"""),"Land of Spira")</f>
        <v>Land of Spira</v>
      </c>
      <c r="D31" s="1"/>
      <c r="E31" s="102">
        <f>IFERROR(__xludf.DUMMYFUNCTION("""COMPUTED_VALUE"""),1.0E9)</f>
        <v>1000000000</v>
      </c>
      <c r="F31" s="1" t="str">
        <f>IFERROR(__xludf.DUMMYFUNCTION("""COMPUTED_VALUE"""),"Gilder")</f>
        <v>Gilder</v>
      </c>
      <c r="G31" s="1"/>
      <c r="H31" s="1"/>
      <c r="I31" s="1"/>
      <c r="J31" s="1"/>
      <c r="K31" s="1"/>
      <c r="L31" s="1"/>
      <c r="M31" s="1"/>
      <c r="N31" s="1"/>
      <c r="O31" s="1"/>
      <c r="P31" s="1"/>
      <c r="Q31" s="1"/>
      <c r="R31" s="1"/>
      <c r="S31" s="1"/>
      <c r="T31" s="1"/>
      <c r="U31" s="1"/>
      <c r="V31" s="1"/>
      <c r="W31" s="1"/>
      <c r="X31" s="1"/>
      <c r="Y31" s="1"/>
      <c r="Z31" s="1"/>
    </row>
    <row r="32">
      <c r="A32" s="1" t="str">
        <f>IFERROR(__xludf.DUMMYFUNCTION("""COMPUTED_VALUE"""),"Ruins Of Mana")</f>
        <v>Ruins Of Mana</v>
      </c>
      <c r="B32" s="1" t="str">
        <f>IFERROR(__xludf.DUMMYFUNCTION("""COMPUTED_VALUE"""),"An ancient temple built 100 centuries ago, There is a very powerful aura of energy always coming from the temple though no one really knows where that energy lies within the temple.")</f>
        <v>An ancient temple built 100 centuries ago, There is a very powerful aura of energy always coming from the temple though no one really knows where that energy lies within the temple.</v>
      </c>
      <c r="C32" s="1" t="str">
        <f>IFERROR(__xludf.DUMMYFUNCTION("""COMPUTED_VALUE"""),"Land of Spira")</f>
        <v>Land of Spira</v>
      </c>
      <c r="D32" s="1"/>
      <c r="E32" s="102">
        <f>IFERROR(__xludf.DUMMYFUNCTION("""COMPUTED_VALUE"""),1.0E9)</f>
        <v>1000000000</v>
      </c>
      <c r="F32" s="1" t="str">
        <f>IFERROR(__xludf.DUMMYFUNCTION("""COMPUTED_VALUE"""),"Gilder")</f>
        <v>Gilder</v>
      </c>
      <c r="G32" s="1"/>
      <c r="H32" s="1"/>
      <c r="I32" s="1"/>
      <c r="J32" s="1"/>
      <c r="K32" s="1"/>
      <c r="L32" s="1"/>
      <c r="M32" s="1"/>
      <c r="N32" s="1"/>
      <c r="O32" s="1"/>
      <c r="P32" s="1"/>
      <c r="Q32" s="1"/>
      <c r="R32" s="1"/>
      <c r="S32" s="1"/>
      <c r="T32" s="1"/>
      <c r="U32" s="1"/>
      <c r="V32" s="1"/>
      <c r="W32" s="1"/>
      <c r="X32" s="1"/>
      <c r="Y32" s="1"/>
      <c r="Z32" s="1"/>
    </row>
    <row r="33">
      <c r="A33" s="1" t="str">
        <f>IFERROR(__xludf.DUMMYFUNCTION("""COMPUTED_VALUE"""),"Ship Graveyard")</f>
        <v>Ship Graveyard</v>
      </c>
      <c r="B33" s="1" t="str">
        <f>IFERROR(__xludf.DUMMYFUNCTION("""COMPUTED_VALUE"""),"The ocean of Spira's deepest creatures hunt here.")</f>
        <v>The ocean of Spira's deepest creatures hunt here.</v>
      </c>
      <c r="C33" s="1" t="str">
        <f>IFERROR(__xludf.DUMMYFUNCTION("""COMPUTED_VALUE"""),"Land of Spira")</f>
        <v>Land of Spira</v>
      </c>
      <c r="D33" s="1"/>
      <c r="E33" s="102">
        <f>IFERROR(__xludf.DUMMYFUNCTION("""COMPUTED_VALUE"""),1.0E9)</f>
        <v>1000000000</v>
      </c>
      <c r="F33" s="1" t="str">
        <f>IFERROR(__xludf.DUMMYFUNCTION("""COMPUTED_VALUE"""),"Gilder")</f>
        <v>Gilder</v>
      </c>
      <c r="G33" s="1"/>
      <c r="H33" s="1"/>
      <c r="I33" s="1"/>
      <c r="J33" s="1"/>
      <c r="K33" s="1"/>
      <c r="L33" s="1"/>
      <c r="M33" s="1"/>
      <c r="N33" s="1"/>
      <c r="O33" s="1"/>
      <c r="P33" s="1"/>
      <c r="Q33" s="1"/>
      <c r="R33" s="1"/>
      <c r="S33" s="1"/>
      <c r="T33" s="1"/>
      <c r="U33" s="1"/>
      <c r="V33" s="1"/>
      <c r="W33" s="1"/>
      <c r="X33" s="1"/>
      <c r="Y33" s="1"/>
      <c r="Z33" s="1"/>
    </row>
    <row r="34">
      <c r="A34" s="1" t="str">
        <f>IFERROR(__xludf.DUMMYFUNCTION("""COMPUTED_VALUE"""),"Silence Edge Point")</f>
        <v>Silence Edge Point</v>
      </c>
      <c r="B34" s="1" t="str">
        <f>IFERROR(__xludf.DUMMYFUNCTION("""COMPUTED_VALUE"""),"A dark rocky mountain like terrain. The Tower Of Chaos, Also known as Lord Dreadful's Tower can be found here.")</f>
        <v>A dark rocky mountain like terrain. The Tower Of Chaos, Also known as Lord Dreadful's Tower can be found here.</v>
      </c>
      <c r="C34" s="1" t="str">
        <f>IFERROR(__xludf.DUMMYFUNCTION("""COMPUTED_VALUE"""),"Land of Spira")</f>
        <v>Land of Spira</v>
      </c>
      <c r="D34" s="1"/>
      <c r="E34" s="102">
        <f>IFERROR(__xludf.DUMMYFUNCTION("""COMPUTED_VALUE"""),1.0E9)</f>
        <v>1000000000</v>
      </c>
      <c r="F34" s="1" t="str">
        <f>IFERROR(__xludf.DUMMYFUNCTION("""COMPUTED_VALUE"""),"Gilder")</f>
        <v>Gilder</v>
      </c>
      <c r="G34" s="1"/>
      <c r="H34" s="1"/>
      <c r="I34" s="1"/>
      <c r="J34" s="1"/>
      <c r="K34" s="1"/>
      <c r="L34" s="1"/>
      <c r="M34" s="1"/>
      <c r="N34" s="1"/>
      <c r="O34" s="1"/>
      <c r="P34" s="1"/>
      <c r="Q34" s="1"/>
      <c r="R34" s="1"/>
      <c r="S34" s="1"/>
      <c r="T34" s="1"/>
      <c r="U34" s="1"/>
      <c r="V34" s="1"/>
      <c r="W34" s="1"/>
      <c r="X34" s="1"/>
      <c r="Y34" s="1"/>
      <c r="Z34" s="1"/>
    </row>
    <row r="35">
      <c r="A35" s="1" t="str">
        <f>IFERROR(__xludf.DUMMYFUNCTION("""COMPUTED_VALUE"""),"Swampville")</f>
        <v>Swampville</v>
      </c>
      <c r="B35" s="1" t="str">
        <f>IFERROR(__xludf.DUMMYFUNCTION("""COMPUTED_VALUE"""),"A swamp like village. Home to the most evil Cults Of Spira.")</f>
        <v>A swamp like village. Home to the most evil Cults Of Spira.</v>
      </c>
      <c r="C35" s="1" t="str">
        <f>IFERROR(__xludf.DUMMYFUNCTION("""COMPUTED_VALUE"""),"Land of Spira")</f>
        <v>Land of Spira</v>
      </c>
      <c r="D35" s="1"/>
      <c r="E35" s="102">
        <f>IFERROR(__xludf.DUMMYFUNCTION("""COMPUTED_VALUE"""),1.01E9)</f>
        <v>1010000000</v>
      </c>
      <c r="F35" s="1" t="str">
        <f>IFERROR(__xludf.DUMMYFUNCTION("""COMPUTED_VALUE"""),"Gilder")</f>
        <v>Gilder</v>
      </c>
      <c r="G35" s="1"/>
      <c r="H35" s="1"/>
      <c r="I35" s="1"/>
      <c r="J35" s="1"/>
      <c r="K35" s="1"/>
      <c r="L35" s="1"/>
      <c r="M35" s="1"/>
      <c r="N35" s="1"/>
      <c r="O35" s="1"/>
      <c r="P35" s="1"/>
      <c r="Q35" s="1"/>
      <c r="R35" s="1"/>
      <c r="S35" s="1"/>
      <c r="T35" s="1"/>
      <c r="U35" s="1"/>
      <c r="V35" s="1"/>
      <c r="W35" s="1"/>
      <c r="X35" s="1"/>
      <c r="Y35" s="1"/>
      <c r="Z35" s="1"/>
    </row>
    <row r="36">
      <c r="A36" s="1" t="str">
        <f>IFERROR(__xludf.DUMMYFUNCTION("""COMPUTED_VALUE"""),"Temple Of Dawn")</f>
        <v>Temple Of Dawn</v>
      </c>
      <c r="B36" s="1" t="str">
        <f>IFERROR(__xludf.DUMMYFUNCTION("""COMPUTED_VALUE"""),"Its said that when the sun starts to rise the temple doors open.")</f>
        <v>Its said that when the sun starts to rise the temple doors open.</v>
      </c>
      <c r="C36" s="1" t="str">
        <f>IFERROR(__xludf.DUMMYFUNCTION("""COMPUTED_VALUE"""),"Land of Spira")</f>
        <v>Land of Spira</v>
      </c>
      <c r="D36" s="1"/>
      <c r="E36" s="102">
        <f>IFERROR(__xludf.DUMMYFUNCTION("""COMPUTED_VALUE"""),1.0E9)</f>
        <v>1000000000</v>
      </c>
      <c r="F36" s="1" t="str">
        <f>IFERROR(__xludf.DUMMYFUNCTION("""COMPUTED_VALUE"""),"Gilder")</f>
        <v>Gilder</v>
      </c>
      <c r="G36" s="1"/>
      <c r="H36" s="1"/>
      <c r="I36" s="1"/>
      <c r="J36" s="1"/>
      <c r="K36" s="1"/>
      <c r="L36" s="1"/>
      <c r="M36" s="1"/>
      <c r="N36" s="1"/>
      <c r="O36" s="1"/>
      <c r="P36" s="1"/>
      <c r="Q36" s="1"/>
      <c r="R36" s="1"/>
      <c r="S36" s="1"/>
      <c r="T36" s="1"/>
      <c r="U36" s="1"/>
      <c r="V36" s="1"/>
      <c r="W36" s="1"/>
      <c r="X36" s="1"/>
      <c r="Y36" s="1"/>
      <c r="Z36" s="1"/>
    </row>
    <row r="37">
      <c r="A37" s="1" t="str">
        <f>IFERROR(__xludf.DUMMYFUNCTION("""COMPUTED_VALUE"""),"Temple Of The Rising Sun")</f>
        <v>Temple Of The Rising Sun</v>
      </c>
      <c r="B37" s="1" t="str">
        <f>IFERROR(__xludf.DUMMYFUNCTION("""COMPUTED_VALUE"""),"Its said that when the sun fully rises the temple doors open.")</f>
        <v>Its said that when the sun fully rises the temple doors open.</v>
      </c>
      <c r="C37" s="1" t="str">
        <f>IFERROR(__xludf.DUMMYFUNCTION("""COMPUTED_VALUE"""),"Land of Spira")</f>
        <v>Land of Spira</v>
      </c>
      <c r="D37" s="1"/>
      <c r="E37" s="102">
        <f>IFERROR(__xludf.DUMMYFUNCTION("""COMPUTED_VALUE"""),1.0E9)</f>
        <v>1000000000</v>
      </c>
      <c r="F37" s="1" t="str">
        <f>IFERROR(__xludf.DUMMYFUNCTION("""COMPUTED_VALUE"""),"Gilder")</f>
        <v>Gilder</v>
      </c>
      <c r="G37" s="1"/>
      <c r="H37" s="1"/>
      <c r="I37" s="1"/>
      <c r="J37" s="1"/>
      <c r="K37" s="1"/>
      <c r="L37" s="1"/>
      <c r="M37" s="1"/>
      <c r="N37" s="1"/>
      <c r="O37" s="1"/>
      <c r="P37" s="1"/>
      <c r="Q37" s="1"/>
      <c r="R37" s="1"/>
      <c r="S37" s="1"/>
      <c r="T37" s="1"/>
      <c r="U37" s="1"/>
      <c r="V37" s="1"/>
      <c r="W37" s="1"/>
      <c r="X37" s="1"/>
      <c r="Y37" s="1"/>
      <c r="Z37" s="1"/>
    </row>
    <row r="38">
      <c r="A38" s="1" t="str">
        <f>IFERROR(__xludf.DUMMYFUNCTION("""COMPUTED_VALUE"""),"Temple Of The Rising Moon")</f>
        <v>Temple Of The Rising Moon</v>
      </c>
      <c r="B38" s="1" t="str">
        <f>IFERROR(__xludf.DUMMYFUNCTION("""COMPUTED_VALUE"""),"Its said that when the moon fully rises the temple doors open.")</f>
        <v>Its said that when the moon fully rises the temple doors open.</v>
      </c>
      <c r="C38" s="1" t="str">
        <f>IFERROR(__xludf.DUMMYFUNCTION("""COMPUTED_VALUE"""),"Land of Spira")</f>
        <v>Land of Spira</v>
      </c>
      <c r="D38" s="1"/>
      <c r="E38" s="102">
        <f>IFERROR(__xludf.DUMMYFUNCTION("""COMPUTED_VALUE"""),1.0E9)</f>
        <v>1000000000</v>
      </c>
      <c r="F38" s="1" t="str">
        <f>IFERROR(__xludf.DUMMYFUNCTION("""COMPUTED_VALUE"""),"Gilder")</f>
        <v>Gilder</v>
      </c>
      <c r="G38" s="1"/>
      <c r="H38" s="1"/>
      <c r="I38" s="1"/>
      <c r="J38" s="1"/>
      <c r="K38" s="1"/>
      <c r="L38" s="1"/>
      <c r="M38" s="1"/>
      <c r="N38" s="1"/>
      <c r="O38" s="1"/>
      <c r="P38" s="1"/>
      <c r="Q38" s="1"/>
      <c r="R38" s="1"/>
      <c r="S38" s="1"/>
      <c r="T38" s="1"/>
      <c r="U38" s="1"/>
      <c r="V38" s="1"/>
      <c r="W38" s="1"/>
      <c r="X38" s="1"/>
      <c r="Y38" s="1"/>
      <c r="Z38" s="1"/>
    </row>
    <row r="39">
      <c r="A39" s="1" t="str">
        <f>IFERROR(__xludf.DUMMYFUNCTION("""COMPUTED_VALUE"""),"Temple Of Dusk")</f>
        <v>Temple Of Dusk</v>
      </c>
      <c r="B39" s="1" t="str">
        <f>IFERROR(__xludf.DUMMYFUNCTION("""COMPUTED_VALUE"""),"Its said that when the sun starts to set the temple doors open.")</f>
        <v>Its said that when the sun starts to set the temple doors open.</v>
      </c>
      <c r="C39" s="1" t="str">
        <f>IFERROR(__xludf.DUMMYFUNCTION("""COMPUTED_VALUE"""),"Land of Spira")</f>
        <v>Land of Spira</v>
      </c>
      <c r="D39" s="1"/>
      <c r="E39" s="102">
        <f>IFERROR(__xludf.DUMMYFUNCTION("""COMPUTED_VALUE"""),1.0E9)</f>
        <v>1000000000</v>
      </c>
      <c r="F39" s="1" t="str">
        <f>IFERROR(__xludf.DUMMYFUNCTION("""COMPUTED_VALUE"""),"Gilder")</f>
        <v>Gilder</v>
      </c>
      <c r="G39" s="1"/>
      <c r="H39" s="1"/>
      <c r="I39" s="1"/>
      <c r="J39" s="1"/>
      <c r="K39" s="1"/>
      <c r="L39" s="1"/>
      <c r="M39" s="1"/>
      <c r="N39" s="1"/>
      <c r="O39" s="1"/>
      <c r="P39" s="1"/>
      <c r="Q39" s="1"/>
      <c r="R39" s="1"/>
      <c r="S39" s="1"/>
      <c r="T39" s="1"/>
      <c r="U39" s="1"/>
      <c r="V39" s="1"/>
      <c r="W39" s="1"/>
      <c r="X39" s="1"/>
      <c r="Y39" s="1"/>
      <c r="Z39" s="1"/>
    </row>
    <row r="40">
      <c r="A40" s="1" t="str">
        <f>IFERROR(__xludf.DUMMYFUNCTION("""COMPUTED_VALUE"""),"The Corrupt Forest")</f>
        <v>The Corrupt Forest</v>
      </c>
      <c r="B40" s="1" t="str">
        <f>IFERROR(__xludf.DUMMYFUNCTION("""COMPUTED_VALUE"""),"A corrupt forest that makes it so anyone who travels within the forest must die to get out.")</f>
        <v>A corrupt forest that makes it so anyone who travels within the forest must die to get out.</v>
      </c>
      <c r="C40" s="1" t="str">
        <f>IFERROR(__xludf.DUMMYFUNCTION("""COMPUTED_VALUE"""),"Land of Spira")</f>
        <v>Land of Spira</v>
      </c>
      <c r="D40" s="1"/>
      <c r="E40" s="102">
        <f>IFERROR(__xludf.DUMMYFUNCTION("""COMPUTED_VALUE"""),1.0E9)</f>
        <v>1000000000</v>
      </c>
      <c r="F40" s="1" t="str">
        <f>IFERROR(__xludf.DUMMYFUNCTION("""COMPUTED_VALUE"""),"Gilder")</f>
        <v>Gilder</v>
      </c>
      <c r="G40" s="1"/>
      <c r="H40" s="1"/>
      <c r="I40" s="1"/>
      <c r="J40" s="1"/>
      <c r="K40" s="1"/>
      <c r="L40" s="1"/>
      <c r="M40" s="1"/>
      <c r="N40" s="1"/>
      <c r="O40" s="1"/>
      <c r="P40" s="1"/>
      <c r="Q40" s="1"/>
      <c r="R40" s="1"/>
      <c r="S40" s="1"/>
      <c r="T40" s="1"/>
      <c r="U40" s="1"/>
      <c r="V40" s="1"/>
      <c r="W40" s="1"/>
      <c r="X40" s="1"/>
      <c r="Y40" s="1"/>
      <c r="Z40" s="1"/>
    </row>
    <row r="41">
      <c r="A41" s="1" t="str">
        <f>IFERROR(__xludf.DUMMYFUNCTION("""COMPUTED_VALUE"""),"The Hidden Forest Of Celeste")</f>
        <v>The Hidden Forest Of Celeste</v>
      </c>
      <c r="B41" s="1" t="str">
        <f>IFERROR(__xludf.DUMMYFUNCTION("""COMPUTED_VALUE"""),"A sacred, magical, and hidden forest cared for by gnomes where Celestials are born. You must have a specific magical key to gain entry here.")</f>
        <v>A sacred, magical, and hidden forest cared for by gnomes where Celestials are born. You must have a specific magical key to gain entry here.</v>
      </c>
      <c r="C41" s="1" t="str">
        <f>IFERROR(__xludf.DUMMYFUNCTION("""COMPUTED_VALUE"""),"Land of Spira")</f>
        <v>Land of Spira</v>
      </c>
      <c r="D41" s="1"/>
      <c r="E41" s="102">
        <f>IFERROR(__xludf.DUMMYFUNCTION("""COMPUTED_VALUE"""),1.0E9)</f>
        <v>1000000000</v>
      </c>
      <c r="F41" s="1" t="str">
        <f>IFERROR(__xludf.DUMMYFUNCTION("""COMPUTED_VALUE"""),"Gilder")</f>
        <v>Gilder</v>
      </c>
      <c r="G41" s="1"/>
      <c r="H41" s="1"/>
      <c r="I41" s="1"/>
      <c r="J41" s="1"/>
      <c r="K41" s="1"/>
      <c r="L41" s="1"/>
      <c r="M41" s="1"/>
      <c r="N41" s="1"/>
      <c r="O41" s="1"/>
      <c r="P41" s="1"/>
      <c r="Q41" s="1"/>
      <c r="R41" s="1"/>
      <c r="S41" s="1"/>
      <c r="T41" s="1"/>
      <c r="U41" s="1"/>
      <c r="V41" s="1"/>
      <c r="W41" s="1"/>
      <c r="X41" s="1"/>
      <c r="Y41" s="1"/>
      <c r="Z41" s="1"/>
    </row>
    <row r="42">
      <c r="A42" s="1" t="str">
        <f>IFERROR(__xludf.DUMMYFUNCTION("""COMPUTED_VALUE"""),"The Red Sands")</f>
        <v>The Red Sands</v>
      </c>
      <c r="B42" s="1" t="str">
        <f>IFERROR(__xludf.DUMMYFUNCTION("""COMPUTED_VALUE"""),"Home to The Kingdom of Royal Knights and The Lord of Spira. This is where all of the guards of spira get trained before they become an actual guard and get dispatched to other towns and areas.")</f>
        <v>Home to The Kingdom of Royal Knights and The Lord of Spira. This is where all of the guards of spira get trained before they become an actual guard and get dispatched to other towns and areas.</v>
      </c>
      <c r="C42" s="1" t="str">
        <f>IFERROR(__xludf.DUMMYFUNCTION("""COMPUTED_VALUE"""),"Land of Spira")</f>
        <v>Land of Spira</v>
      </c>
      <c r="D42" s="1"/>
      <c r="E42" s="102">
        <f>IFERROR(__xludf.DUMMYFUNCTION("""COMPUTED_VALUE"""),1.0025E9)</f>
        <v>1002500000</v>
      </c>
      <c r="F42" s="1" t="str">
        <f>IFERROR(__xludf.DUMMYFUNCTION("""COMPUTED_VALUE"""),"Gilder")</f>
        <v>Gilder</v>
      </c>
      <c r="G42" s="1"/>
      <c r="H42" s="1"/>
      <c r="I42" s="1"/>
      <c r="J42" s="1"/>
      <c r="K42" s="1"/>
      <c r="L42" s="1"/>
      <c r="M42" s="1"/>
      <c r="N42" s="1"/>
      <c r="O42" s="1"/>
      <c r="P42" s="1"/>
      <c r="Q42" s="1"/>
      <c r="R42" s="1"/>
      <c r="S42" s="1"/>
      <c r="T42" s="1"/>
      <c r="U42" s="1"/>
      <c r="V42" s="1"/>
      <c r="W42" s="1"/>
      <c r="X42" s="1"/>
      <c r="Y42" s="1"/>
      <c r="Z42" s="1"/>
    </row>
    <row r="43">
      <c r="A43" s="1" t="str">
        <f>IFERROR(__xludf.DUMMYFUNCTION("""COMPUTED_VALUE"""),"The Submerged City Of Tritonoch")</f>
        <v>The Submerged City Of Tritonoch</v>
      </c>
      <c r="B43" s="1" t="str">
        <f>IFERROR(__xludf.DUMMYFUNCTION("""COMPUTED_VALUE"""),"An ancient underwater city ruled by the Kraken himself. ")</f>
        <v>An ancient underwater city ruled by the Kraken himself. </v>
      </c>
      <c r="C43" s="1" t="str">
        <f>IFERROR(__xludf.DUMMYFUNCTION("""COMPUTED_VALUE"""),"Land of Spira")</f>
        <v>Land of Spira</v>
      </c>
      <c r="D43" s="1"/>
      <c r="E43" s="102">
        <f>IFERROR(__xludf.DUMMYFUNCTION("""COMPUTED_VALUE"""),1.0E9)</f>
        <v>1000000000</v>
      </c>
      <c r="F43" s="1" t="str">
        <f>IFERROR(__xludf.DUMMYFUNCTION("""COMPUTED_VALUE"""),"Gilder")</f>
        <v>Gilder</v>
      </c>
      <c r="G43" s="1"/>
      <c r="H43" s="1"/>
      <c r="I43" s="1"/>
      <c r="J43" s="1"/>
      <c r="K43" s="1"/>
      <c r="L43" s="1"/>
      <c r="M43" s="1"/>
      <c r="N43" s="1"/>
      <c r="O43" s="1"/>
      <c r="P43" s="1"/>
      <c r="Q43" s="1"/>
      <c r="R43" s="1"/>
      <c r="S43" s="1"/>
      <c r="T43" s="1"/>
      <c r="U43" s="1"/>
      <c r="V43" s="1"/>
      <c r="W43" s="1"/>
      <c r="X43" s="1"/>
      <c r="Y43" s="1"/>
      <c r="Z43" s="1"/>
    </row>
    <row r="44">
      <c r="A44" s="1" t="str">
        <f>IFERROR(__xludf.DUMMYFUNCTION("""COMPUTED_VALUE"""),"Tower Of Secret Mages")</f>
        <v>Tower Of Secret Mages</v>
      </c>
      <c r="B44" s="1" t="str">
        <f>IFERROR(__xludf.DUMMYFUNCTION("""COMPUTED_VALUE"""),"Home to the Mages Of Spira, You can find a mage of each element here and the Grand Mage at the very top.")</f>
        <v>Home to the Mages Of Spira, You can find a mage of each element here and the Grand Mage at the very top.</v>
      </c>
      <c r="C44" s="1" t="str">
        <f>IFERROR(__xludf.DUMMYFUNCTION("""COMPUTED_VALUE"""),"Land of Spira")</f>
        <v>Land of Spira</v>
      </c>
      <c r="D44" s="1"/>
      <c r="E44" s="102">
        <f>IFERROR(__xludf.DUMMYFUNCTION("""COMPUTED_VALUE"""),1.0E9)</f>
        <v>1000000000</v>
      </c>
      <c r="F44" s="1" t="str">
        <f>IFERROR(__xludf.DUMMYFUNCTION("""COMPUTED_VALUE"""),"Gilder")</f>
        <v>Gilder</v>
      </c>
      <c r="G44" s="1"/>
      <c r="H44" s="1"/>
      <c r="I44" s="1"/>
      <c r="J44" s="1"/>
      <c r="K44" s="1"/>
      <c r="L44" s="1"/>
      <c r="M44" s="1"/>
      <c r="N44" s="1"/>
      <c r="O44" s="1"/>
      <c r="P44" s="1"/>
      <c r="Q44" s="1"/>
      <c r="R44" s="1"/>
      <c r="S44" s="1"/>
      <c r="T44" s="1"/>
      <c r="U44" s="1"/>
      <c r="V44" s="1"/>
      <c r="W44" s="1"/>
      <c r="X44" s="1"/>
      <c r="Y44" s="1"/>
      <c r="Z44" s="1"/>
    </row>
    <row r="45">
      <c r="A45" s="1" t="str">
        <f>IFERROR(__xludf.DUMMYFUNCTION("""COMPUTED_VALUE"""),"WildWood")</f>
        <v>WildWood</v>
      </c>
      <c r="B45" s="1" t="str">
        <f>IFERROR(__xludf.DUMMYFUNCTION("""COMPUTED_VALUE"""),"Wildwood, One of the few towns in Spira where the Spirit of the Wild is kept alive via its shamanisitic rituals and simplistic way of living. Wildwood is located in the far western region of Spira near the Foul Night Swamp and Hallowtown it hosts a deep a"&amp;"nd wild forest that is inhabited by many magical and mundane beasts.
Wildwood holds importance for many different walks of people In the land of Spira for Shamans it is the place where they first learn to harness the power of the spirit, For Cavaliers it"&amp;" is both the homeland of many Cavaliers and the land where the art of Beast Mastery was first created. Hunters come here to prove themselves, and Druids to hone the magic of the WildWood.")</f>
        <v>Wildwood, One of the few towns in Spira where the Spirit of the Wild is kept alive via its shamanisitic rituals and simplistic way of living. Wildwood is located in the far western region of Spira near the Foul Night Swamp and Hallowtown it hosts a deep and wild forest that is inhabited by many magical and mundane beasts.
Wildwood holds importance for many different walks of people In the land of Spira for Shamans it is the place where they first learn to harness the power of the spirit, For Cavaliers it is both the homeland of many Cavaliers and the land where the art of Beast Mastery was first created. Hunters come here to prove themselves, and Druids to hone the magic of the WildWood.</v>
      </c>
      <c r="C45" s="1" t="str">
        <f>IFERROR(__xludf.DUMMYFUNCTION("""COMPUTED_VALUE"""),"Land of Spira")</f>
        <v>Land of Spira</v>
      </c>
      <c r="D45" s="1"/>
      <c r="E45" s="102">
        <f>IFERROR(__xludf.DUMMYFUNCTION("""COMPUTED_VALUE"""),2.3078E9)</f>
        <v>2307800000</v>
      </c>
      <c r="F45" s="1" t="str">
        <f>IFERROR(__xludf.DUMMYFUNCTION("""COMPUTED_VALUE"""),"Gilder")</f>
        <v>Gilder</v>
      </c>
      <c r="G45" s="1"/>
      <c r="H45" s="1"/>
      <c r="I45" s="1"/>
      <c r="J45" s="1"/>
      <c r="K45" s="1"/>
      <c r="L45" s="1"/>
      <c r="M45" s="1"/>
      <c r="N45" s="1"/>
      <c r="O45" s="1"/>
      <c r="P45" s="1"/>
      <c r="Q45" s="1"/>
      <c r="R45" s="1"/>
      <c r="S45" s="1"/>
      <c r="T45" s="1"/>
      <c r="U45" s="1"/>
      <c r="V45" s="1"/>
      <c r="W45" s="1"/>
      <c r="X45" s="1"/>
      <c r="Y45" s="1"/>
      <c r="Z45" s="1"/>
    </row>
    <row r="46">
      <c r="A46" s="1" t="str">
        <f>IFERROR(__xludf.DUMMYFUNCTION("""COMPUTED_VALUE"""),"The World Tree of Spira")</f>
        <v>The World Tree of Spira</v>
      </c>
      <c r="B46" s="1" t="str">
        <f>IFERROR(__xludf.DUMMYFUNCTION("""COMPUTED_VALUE"""),"Deep within the heart of Spira, a mystical and colossal entity known as The World Tree stands as the linchpin connecting The Land of Spira, Abstara, and Solreach. This ancient arboreal wonder, woven into existence by the enigmatic Phantom of Spira many ce"&amp;"nturies ago, is not merely a tree but a cosmic nexus that binds the fates of these three worlds.
Key Elements of The World Tree:
Creation by The Phantom of Spira:
In a time long forgotten, The Phantom of Spira, a mysterious and powerful entity, wove The"&amp;" World Tree into existence. Its roots delved deep into the essence of Spira, its branches reaching out to touch the realms of Abstara and Solreach.
Guardian Spirits and Ancients:
The World Tree is not just a physical entity but a spiritual conduit. Guard"&amp;"ian spirits and ancient beings reside within its sacred groves, serving as protectors and stewards of the delicate balance it maintains among the three interconnected worlds.
Ethereal Lifeforce Threads:
Energy threads, like luminescent veins, extend from"&amp;" The World Tree into each realm. These threads carry the vital lifeforce that sustains the lands, ensuring harmony and preventing the descent into chaos.
The Heartwood Nexus:
At the center of The World Tree lies the Heartwood Nexus, a focal point of unim"&amp;"aginable power. It is here that the balance between realms is delicately maintained, and disruptions to this nexus could have catastrophic consequences for Spira, Abstara, and Solreach.
Celestial Guardians:
Celestial beings, drawn to the transcendent aur"&amp;"a of The World Tree, act as ethereal guardians. Their purpose is to ward off any malevolent forces seeking to exploit or disrupt the delicate equilibrium woven into the fabric of these interconnected worlds.
Ceremonial Gatherings:
Periodically, represent"&amp;"atives from each realm gather beneath The World Tree for ceremonial occasions. These gatherings foster understanding, cooperation, and the exchange of wisdom, reinforcing the interconnectedness of the three worlds.
Potential Threats:
While The World Tre"&amp;"e serves as a bastion of harmony, it is not immune to external threats. Malevolent forces, both mortal and supernatural, seek to exploit its power for their own nefarious purposes. Disrupting the lifeforce threads or corrupting the Heartwood Nexus could p"&amp;"lunge the three realms into chaos, unleashing untold consequences.
Adventurers, guided by the call of destiny, may find themselves tasked with safeguarding The World Tree from these looming threats. The fate of Spira, Abstara, and Solreach rests in the b"&amp;"alance, and only those with the courage to protect the nexus can prevent the impending catastrophe.")</f>
        <v>Deep within the heart of Spira, a mystical and colossal entity known as The World Tree stands as the linchpin connecting The Land of Spira, Abstara, and Solreach. This ancient arboreal wonder, woven into existence by the enigmatic Phantom of Spira many centuries ago, is not merely a tree but a cosmic nexus that binds the fates of these three worlds.
Key Elements of The World Tree:
Creation by The Phantom of Spira:
In a time long forgotten, The Phantom of Spira, a mysterious and powerful entity, wove The World Tree into existence. Its roots delved deep into the essence of Spira, its branches reaching out to touch the realms of Abstara and Solreach.
Guardian Spirits and Ancients:
The World Tree is not just a physical entity but a spiritual conduit. Guardian spirits and ancient beings reside within its sacred groves, serving as protectors and stewards of the delicate balance it maintains among the three interconnected worlds.
Ethereal Lifeforce Threads:
Energy threads, like luminescent veins, extend from The World Tree into each realm. These threads carry the vital lifeforce that sustains the lands, ensuring harmony and preventing the descent into chaos.
The Heartwood Nexus:
At the center of The World Tree lies the Heartwood Nexus, a focal point of unimaginable power. It is here that the balance between realms is delicately maintained, and disruptions to this nexus could have catastrophic consequences for Spira, Abstara, and Solreach.
Celestial Guardians:
Celestial beings, drawn to the transcendent aura of The World Tree, act as ethereal guardians. Their purpose is to ward off any malevolent forces seeking to exploit or disrupt the delicate equilibrium woven into the fabric of these interconnected worlds.
Ceremonial Gatherings:
Periodically, representatives from each realm gather beneath The World Tree for ceremonial occasions. These gatherings foster understanding, cooperation, and the exchange of wisdom, reinforcing the interconnectedness of the three worlds.
Potential Threats:
While The World Tree serves as a bastion of harmony, it is not immune to external threats. Malevolent forces, both mortal and supernatural, seek to exploit its power for their own nefarious purposes. Disrupting the lifeforce threads or corrupting the Heartwood Nexus could plunge the three realms into chaos, unleashing untold consequences.
Adventurers, guided by the call of destiny, may find themselves tasked with safeguarding The World Tree from these looming threats. The fate of Spira, Abstara, and Solreach rests in the balance, and only those with the courage to protect the nexus can prevent the impending catastrophe.</v>
      </c>
      <c r="C46" s="1" t="str">
        <f>IFERROR(__xludf.DUMMYFUNCTION("""COMPUTED_VALUE"""),"Land of Spira")</f>
        <v>Land of Spira</v>
      </c>
      <c r="D46" s="1"/>
      <c r="E46" s="102">
        <f>IFERROR(__xludf.DUMMYFUNCTION("""COMPUTED_VALUE"""),1.1032E9)</f>
        <v>1103200000</v>
      </c>
      <c r="F46" s="1" t="str">
        <f>IFERROR(__xludf.DUMMYFUNCTION("""COMPUTED_VALUE"""),"Gilder")</f>
        <v>Gilder</v>
      </c>
      <c r="G46" s="1"/>
      <c r="H46" s="1"/>
      <c r="I46" s="1"/>
      <c r="J46" s="1"/>
      <c r="K46" s="1"/>
      <c r="L46" s="1"/>
      <c r="M46" s="1"/>
      <c r="N46" s="1"/>
      <c r="O46" s="1"/>
      <c r="P46" s="1"/>
      <c r="Q46" s="1"/>
      <c r="R46" s="1"/>
      <c r="S46" s="1"/>
      <c r="T46" s="1"/>
      <c r="U46" s="1"/>
      <c r="V46" s="1"/>
      <c r="W46" s="1"/>
      <c r="X46" s="1"/>
      <c r="Y46" s="1"/>
      <c r="Z46" s="1"/>
    </row>
    <row r="47">
      <c r="A47" s="1" t="str">
        <f>IFERROR(__xludf.DUMMYFUNCTION("""COMPUTED_VALUE"""),"Zhenmay")</f>
        <v>Zhenmay</v>
      </c>
      <c r="B47" s="1" t="str">
        <f>IFERROR(__xludf.DUMMYFUNCTION("""COMPUTED_VALUE"""),"In the heart of the vast and mystical Spira lies the serene and enigmatic realm of Zhenmay. This Asian-inspired empire is a testament to the harmonious coexistence of tradition, spirituality, and martial prowess. Ruled by a wise and just emperor, Zhenmay "&amp;"stands as a beacon of balance and tranquility.
The core philosophy of Zhenmay revolves around the concept of Chi, the life force that flows through every living being and the world itself. Monks, revered as the spiritual guardians of the land, dedicate t"&amp;"heir lives to understanding and manipulating this ethereal energy to restore balance whenever disharmony threatens.
Key Features of Zhenmay:
Imperial Palace of Tranquil Wisdom: At the heart of Zhenmay, the Imperial Palace stands as a testament to ar"&amp;"chitectural splendor and spiritual enlightenment. The emperor, known for his sagacity, resides here, guiding the destiny of the empire with wisdom and fairness.
Monasteries of Chi Mastery: Scattered across the picturesque landscapes, the monasteries ar"&amp;"e hubs of spiritual training. Monks undergo rigorous discipline, learning martial arts, meditation, and Chi manipulation to serve as the guardians of Zhenmay's equilibrium.
Bamboo Forests of Whispers: The Bamboo Forests, a symbol of flexibility and str"&amp;"ength, envelop many regions of Zhenmay. The soft rustling of bamboo leaves is said to convey the whispers of ancient wisdom, guiding those who listen towards enlightenment.
Dragon Peaks of Ascension: Towering mountain ranges, known as the Dragon Peaks,"&amp;" punctuate the horizon. Monastic retreats perch on these peaks, serving as both sanctuaries and training grounds for monks seeking to elevate their connection with Chi.
Lantern-Lit Waterways: Zhenmay's cities are connected by intricate waterways adorne"&amp;"d with lanterns that illuminate the path of travelers. These waterways are not just conduits for trade but also serve as metaphors for the interconnected flow of Chi through the empire.
Festivals of Equilibrium: Zhenmay celebrates annual festivals wher"&amp;"e citizens and monks come together to honor the balance of Chi. These festivals involve elaborate ceremonies, martial arts displays, and communal meditation, fostering a sense of unity among the people.")</f>
        <v>In the heart of the vast and mystical Spira lies the serene and enigmatic realm of Zhenmay. This Asian-inspired empire is a testament to the harmonious coexistence of tradition, spirituality, and martial prowess. Ruled by a wise and just emperor, Zhenmay stands as a beacon of balance and tranquility.
The core philosophy of Zhenmay revolves around the concept of Chi, the life force that flows through every living being and the world itself. Monks, revered as the spiritual guardians of the land, dedicate their lives to understanding and manipulating this ethereal energy to restore balance whenever disharmony threatens.
Key Features of Zhenmay:
Imperial Palace of Tranquil Wisdom: At the heart of Zhenmay, the Imperial Palace stands as a testament to architectural splendor and spiritual enlightenment. The emperor, known for his sagacity, resides here, guiding the destiny of the empire with wisdom and fairness.
Monasteries of Chi Mastery: Scattered across the picturesque landscapes, the monasteries are hubs of spiritual training. Monks undergo rigorous discipline, learning martial arts, meditation, and Chi manipulation to serve as the guardians of Zhenmay's equilibrium.
Bamboo Forests of Whispers: The Bamboo Forests, a symbol of flexibility and strength, envelop many regions of Zhenmay. The soft rustling of bamboo leaves is said to convey the whispers of ancient wisdom, guiding those who listen towards enlightenment.
Dragon Peaks of Ascension: Towering mountain ranges, known as the Dragon Peaks, punctuate the horizon. Monastic retreats perch on these peaks, serving as both sanctuaries and training grounds for monks seeking to elevate their connection with Chi.
Lantern-Lit Waterways: Zhenmay's cities are connected by intricate waterways adorned with lanterns that illuminate the path of travelers. These waterways are not just conduits for trade but also serve as metaphors for the interconnected flow of Chi through the empire.
Festivals of Equilibrium: Zhenmay celebrates annual festivals where citizens and monks come together to honor the balance of Chi. These festivals involve elaborate ceremonies, martial arts displays, and communal meditation, fostering a sense of unity among the people.</v>
      </c>
      <c r="C47" s="1" t="str">
        <f>IFERROR(__xludf.DUMMYFUNCTION("""COMPUTED_VALUE"""),"Land of Spira")</f>
        <v>Land of Spira</v>
      </c>
      <c r="D47" s="1"/>
      <c r="E47" s="102">
        <f>IFERROR(__xludf.DUMMYFUNCTION("""COMPUTED_VALUE"""),1.53E9)</f>
        <v>1530000000</v>
      </c>
      <c r="F47" s="1" t="str">
        <f>IFERROR(__xludf.DUMMYFUNCTION("""COMPUTED_VALUE"""),"Gilder")</f>
        <v>Gilder</v>
      </c>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t="str">
        <f>IFERROR(__xludf.DUMMYFUNCTION("""COMPUTED_VALUE"""),"Abyssville")</f>
        <v>Abyssville</v>
      </c>
      <c r="B49" s="1" t="str">
        <f>IFERROR(__xludf.DUMMYFUNCTION("""COMPUTED_VALUE"""),"This city is unlike any other, as it's nestled within the depths of a vast and foreboding abyss that stretches deep within the heart of the underworld. The origins of Abyssville are steeped in ancient legends and forgotten tales, revealing a rich history "&amp;"that dates back to the earliest days of Abstara's existence.
In the primordial times, when the world was still young and its surface teemed with vibrant life, the gods of Abstara looked upon their creation with both wonder and concern. They observed the "&amp;"rise and fall of civilizations, the weaving tapestry of mortal ambitions, and the ever-present cycle of light and darkness. Yet, beneath the earth's surface, hidden from the watchful eyes of the gods, another realm thrived – the abyss.
The abyss was a ch"&amp;"asm that defied reason, a seemingly endless void that twisted and wound its way through the very core of Abstara. This chasm was born from the tumultuous energies that had shaped the world in its infancy, a scar in the fabric of reality that led to places"&amp;" both miraculous and terrifying.
As eons passed, a group of intrepid explorers, driven by insatiable curiosity and the desire for adventure, descended into the abyss. Among them was a visionary named Valeria, a sage with a heart full of wonder and a mind"&amp;" overflowing with knowledge. She was accompanied by a motley crew of scholars, artisans, and warriors, each seeking to unravel the mysteries of the abyss.
Upon reaching its depths, they discovered something astonishing – a shimmering, otherworldly expans"&amp;"e unlike anything they had ever seen. This was the heart of the abyss, a realm where time danced to its own rhythm, and the boundaries between reality and the ethereal blurred. Here, they decided to create a haven, a sanctuary where those who felt a deep "&amp;"connection to the abyss could gather and forge their own destinies.
With determination and the guidance of Valeria, the explorers shaped the abyss itself, using its unique energies to craft a city that defied the conventions of both the surface and the u"&amp;"nderworld. Towers of iridescent crystal reached towards the unknown above, while intricate passages wound their way through the chasm's depths. The city's architecture was a fusion of the natural and the supernatural, reflecting the profound connection it"&amp;"s inhabitants shared with the abyss.
Over time, Abyssville flourished. The city became a hub of knowledge, where scholars and mages delved into the secrets of the abyss, artisans crafted wondrous works of art inspired by its energies, and adventurers sou"&amp;"ght to uncover the truth hidden within its depths. The citizens of Abyssville came from all walks of life, united by their reverence for the abyss and their desire to unlock its potential.
As generations passed, the city's legacy grew. Valeria, once a mo"&amp;"rtal explorer, became an enigmatic figure, said to possess insights into the very nature of the abyss itself. Her wisdom was sought by all who called Abyssville home, and her guidance helped the city navigate challenges and embrace its destiny.
However, "&amp;"like any place shaped by diverse perspectives, Abyssville was not without its tensions. Different factions emerged, each with their own interpretation of the abyss's purpose and potential. Some believed in harnessing its energies for the betterment of Abs"&amp;"tara's surface world, while others advocated for preserving its mysteries, fearing the consequences of meddling with forces beyond mortal comprehension.
And so, as the present era dawns, Abyssville stands at a crossroads. Its history is a testament to th"&amp;"e power of curiosity, determination, and the eternal quest for understanding. Its future remains uncertain, as its inhabitants must navigate the complexities of their own ambitions, the conflicts that arise from differing viewpoints, and the enigmatic dep"&amp;"ths of the abyss that both shelters and challenges them.")</f>
        <v>This city is unlike any other, as it's nestled within the depths of a vast and foreboding abyss that stretches deep within the heart of the underworld. The origins of Abyssville are steeped in ancient legends and forgotten tales, revealing a rich history that dates back to the earliest days of Abstara's existence.
In the primordial times, when the world was still young and its surface teemed with vibrant life, the gods of Abstara looked upon their creation with both wonder and concern. They observed the rise and fall of civilizations, the weaving tapestry of mortal ambitions, and the ever-present cycle of light and darkness. Yet, beneath the earth's surface, hidden from the watchful eyes of the gods, another realm thrived – the abyss.
The abyss was a chasm that defied reason, a seemingly endless void that twisted and wound its way through the very core of Abstara. This chasm was born from the tumultuous energies that had shaped the world in its infancy, a scar in the fabric of reality that led to places both miraculous and terrifying.
As eons passed, a group of intrepid explorers, driven by insatiable curiosity and the desire for adventure, descended into the abyss. Among them was a visionary named Valeria, a sage with a heart full of wonder and a mind overflowing with knowledge. She was accompanied by a motley crew of scholars, artisans, and warriors, each seeking to unravel the mysteries of the abyss.
Upon reaching its depths, they discovered something astonishing – a shimmering, otherworldly expanse unlike anything they had ever seen. This was the heart of the abyss, a realm where time danced to its own rhythm, and the boundaries between reality and the ethereal blurred. Here, they decided to create a haven, a sanctuary where those who felt a deep connection to the abyss could gather and forge their own destinies.
With determination and the guidance of Valeria, the explorers shaped the abyss itself, using its unique energies to craft a city that defied the conventions of both the surface and the underworld. Towers of iridescent crystal reached towards the unknown above, while intricate passages wound their way through the chasm's depths. The city's architecture was a fusion of the natural and the supernatural, reflecting the profound connection its inhabitants shared with the abyss.
Over time, Abyssville flourished. The city became a hub of knowledge, where scholars and mages delved into the secrets of the abyss, artisans crafted wondrous works of art inspired by its energies, and adventurers sought to uncover the truth hidden within its depths. The citizens of Abyssville came from all walks of life, united by their reverence for the abyss and their desire to unlock its potential.
As generations passed, the city's legacy grew. Valeria, once a mortal explorer, became an enigmatic figure, said to possess insights into the very nature of the abyss itself. Her wisdom was sought by all who called Abyssville home, and her guidance helped the city navigate challenges and embrace its destiny.
However, like any place shaped by diverse perspectives, Abyssville was not without its tensions. Different factions emerged, each with their own interpretation of the abyss's purpose and potential. Some believed in harnessing its energies for the betterment of Abstara's surface world, while others advocated for preserving its mysteries, fearing the consequences of meddling with forces beyond mortal comprehension.
And so, as the present era dawns, Abyssville stands at a crossroads. Its history is a testament to the power of curiosity, determination, and the eternal quest for understanding. Its future remains uncertain, as its inhabitants must navigate the complexities of their own ambitions, the conflicts that arise from differing viewpoints, and the enigmatic depths of the abyss that both shelters and challenges them.</v>
      </c>
      <c r="C49" s="1" t="str">
        <f>IFERROR(__xludf.DUMMYFUNCTION("""COMPUTED_VALUE"""),"Abstara")</f>
        <v>Abstara</v>
      </c>
      <c r="D49" s="1"/>
      <c r="E49" s="102">
        <f>IFERROR(__xludf.DUMMYFUNCTION("""COMPUTED_VALUE"""),1.0E9)</f>
        <v>1000000000</v>
      </c>
      <c r="F49" s="1" t="str">
        <f>IFERROR(__xludf.DUMMYFUNCTION("""COMPUTED_VALUE"""),"UndeadCoin")</f>
        <v>UndeadCoin</v>
      </c>
      <c r="G49" s="1"/>
      <c r="H49" s="1"/>
      <c r="I49" s="1"/>
      <c r="J49" s="1"/>
      <c r="K49" s="1"/>
      <c r="L49" s="1"/>
      <c r="M49" s="1"/>
      <c r="N49" s="1"/>
      <c r="O49" s="1"/>
      <c r="P49" s="1"/>
      <c r="Q49" s="1"/>
      <c r="R49" s="1"/>
      <c r="S49" s="1"/>
      <c r="T49" s="1"/>
      <c r="U49" s="1"/>
      <c r="V49" s="1"/>
      <c r="W49" s="1"/>
      <c r="X49" s="1"/>
      <c r="Y49" s="1"/>
      <c r="Z49" s="1"/>
    </row>
    <row r="50">
      <c r="A50" s="1" t="str">
        <f>IFERROR(__xludf.DUMMYFUNCTION("""COMPUTED_VALUE"""),"Chaotic Village of Suffering")</f>
        <v>Chaotic Village of Suffering</v>
      </c>
      <c r="B50" s="1" t="str">
        <f>IFERROR(__xludf.DUMMYFUNCTION("""COMPUTED_VALUE"""),"This village is a haunting testament to the malevolence of a cruel and powerful being whose dark ambitions cast a pall over its once-tranquil existence. The origins of this village are a tale of heartbreak, torment, and the struggle of tortured souls agai"&amp;"nst the grip of an insidious force.
Abstara was once a realm of balance, where the cosmic energies of creation and destruction intertwined harmoniously. Among the cosmic entities that watched over this realm, there existed a being known as Varkul, an eni"&amp;"gmatic and powerful entity who held dominion over the forces of suffering and pain. Varkul's insatiable hunger for power and dominance led him down a treacherous path, one that drove him to feed upon the agony of mortal souls.
In a remote corner of Absta"&amp;"ra, nestled within a valley that seemed untouched by time itself, lay a peaceful village named Eldenbrook. Its residents lived in harmony with the land, cherishing the simple joys of life and embracing the natural world around them. However, their tranqui"&amp;"l existence would soon be shattered by the arrival of Varkul.
Varkul descended upon Eldenbrook with a maelstrom of darkness and cruelty. Using his malevolent powers, he subjected the villagers to unimaginable tortures that twisted their minds and souls, "&amp;"weaving a tapestry of despair and suffering. The once-cheerful Eldenbrook became the Chaotic Village of Suffering, a place where agony was etched into every stone, and the very air was thick with the echoes of torment.
As the village's inhabitants endure"&amp;"d untold pain, their anguish became a wellspring of power for Varkul. He reveled in their misery, feeding on their suffering and growing stronger with every anguished cry. The villagers' spirits were broken, their hope extinguished, and they existed in a "&amp;"perpetual state of torment, trapped between the realms of the living and the dead.
Amidst the darkness, a glimmer of resistance emerged. A small group of villagers, their will to survive unbroken, banded together to oppose Varkul's reign of terror. Led b"&amp;"y a determined and courageous figure named Elysia, this group sought a way to free their village from the malevolent clutches of Varkul. With ancient lore and forbidden rituals, they forged a bond with spirits of light and hope, channeling their strength "&amp;"to confront the darkness that had consumed Eldenbrook.
In a climactic battle that spanned both the physical and metaphysical realms, Elysia and her allies faced off against Varkul. Their determination and sacrifice managed to weaken his grasp on the vill"&amp;"age, allowing the spirits of light to pierce through the darkness. With a final surge of power, the group managed to banish Varkul from Eldenbrook, severing his connection to the tortured souls and freeing them from their eternal suffering.
While the vil"&amp;"lage was saved from Varkul's grasp, the scars of its tormented past remained. Elysia and her companions chose to stay behind, becoming guardians of the village and its history. They ensured that the stories of the suffering endured would be remembered, se"&amp;"rving as a grim reminder of the darkness that had once tainted the land.
Today, the Chaotic Village of Suffering stands as a testament to the resilience of those who fought against cruelty and a reminder that even in the bleakest of times, hope can still"&amp;" shine. Its streets and buildings bear the marks of the horrors that transpired, a somber landscape that serves as both a memorial and a warning. The village's tortured history is woven into the very fabric of Abstara, a tale of darkness and redemption th"&amp;"at echoes through the ages.")</f>
        <v>This village is a haunting testament to the malevolence of a cruel and powerful being whose dark ambitions cast a pall over its once-tranquil existence. The origins of this village are a tale of heartbreak, torment, and the struggle of tortured souls against the grip of an insidious force.
Abstara was once a realm of balance, where the cosmic energies of creation and destruction intertwined harmoniously. Among the cosmic entities that watched over this realm, there existed a being known as Varkul, an enigmatic and powerful entity who held dominion over the forces of suffering and pain. Varkul's insatiable hunger for power and dominance led him down a treacherous path, one that drove him to feed upon the agony of mortal souls.
In a remote corner of Abstara, nestled within a valley that seemed untouched by time itself, lay a peaceful village named Eldenbrook. Its residents lived in harmony with the land, cherishing the simple joys of life and embracing the natural world around them. However, their tranquil existence would soon be shattered by the arrival of Varkul.
Varkul descended upon Eldenbrook with a maelstrom of darkness and cruelty. Using his malevolent powers, he subjected the villagers to unimaginable tortures that twisted their minds and souls, weaving a tapestry of despair and suffering. The once-cheerful Eldenbrook became the Chaotic Village of Suffering, a place where agony was etched into every stone, and the very air was thick with the echoes of torment.
As the village's inhabitants endured untold pain, their anguish became a wellspring of power for Varkul. He reveled in their misery, feeding on their suffering and growing stronger with every anguished cry. The villagers' spirits were broken, their hope extinguished, and they existed in a perpetual state of torment, trapped between the realms of the living and the dead.
Amidst the darkness, a glimmer of resistance emerged. A small group of villagers, their will to survive unbroken, banded together to oppose Varkul's reign of terror. Led by a determined and courageous figure named Elysia, this group sought a way to free their village from the malevolent clutches of Varkul. With ancient lore and forbidden rituals, they forged a bond with spirits of light and hope, channeling their strength to confront the darkness that had consumed Eldenbrook.
In a climactic battle that spanned both the physical and metaphysical realms, Elysia and her allies faced off against Varkul. Their determination and sacrifice managed to weaken his grasp on the village, allowing the spirits of light to pierce through the darkness. With a final surge of power, the group managed to banish Varkul from Eldenbrook, severing his connection to the tortured souls and freeing them from their eternal suffering.
While the village was saved from Varkul's grasp, the scars of its tormented past remained. Elysia and her companions chose to stay behind, becoming guardians of the village and its history. They ensured that the stories of the suffering endured would be remembered, serving as a grim reminder of the darkness that had once tainted the land.
Today, the Chaotic Village of Suffering stands as a testament to the resilience of those who fought against cruelty and a reminder that even in the bleakest of times, hope can still shine. Its streets and buildings bear the marks of the horrors that transpired, a somber landscape that serves as both a memorial and a warning. The village's tortured history is woven into the very fabric of Abstara, a tale of darkness and redemption that echoes through the ages.</v>
      </c>
      <c r="C50" s="1" t="str">
        <f>IFERROR(__xludf.DUMMYFUNCTION("""COMPUTED_VALUE"""),"Abstara")</f>
        <v>Abstara</v>
      </c>
      <c r="D50" s="1"/>
      <c r="E50" s="102">
        <f>IFERROR(__xludf.DUMMYFUNCTION("""COMPUTED_VALUE"""),1.0E9)</f>
        <v>1000000000</v>
      </c>
      <c r="F50" s="1" t="str">
        <f>IFERROR(__xludf.DUMMYFUNCTION("""COMPUTED_VALUE"""),"UndeadCoin")</f>
        <v>UndeadCoin</v>
      </c>
      <c r="G50" s="1"/>
      <c r="H50" s="1"/>
      <c r="I50" s="1"/>
      <c r="J50" s="1"/>
      <c r="K50" s="1"/>
      <c r="L50" s="1"/>
      <c r="M50" s="1"/>
      <c r="N50" s="1"/>
      <c r="O50" s="1"/>
      <c r="P50" s="1"/>
      <c r="Q50" s="1"/>
      <c r="R50" s="1"/>
      <c r="S50" s="1"/>
      <c r="T50" s="1"/>
      <c r="U50" s="1"/>
      <c r="V50" s="1"/>
      <c r="W50" s="1"/>
      <c r="X50" s="1"/>
      <c r="Y50" s="1"/>
      <c r="Z50" s="1"/>
    </row>
    <row r="51">
      <c r="A51" s="1" t="str">
        <f>IFERROR(__xludf.DUMMYFUNCTION("""COMPUTED_VALUE"""),"City of Flames")</f>
        <v>City of Flames</v>
      </c>
      <c r="B51" s="1" t="str">
        <f>IFERROR(__xludf.DUMMYFUNCTION("""COMPUTED_VALUE"""),"This sprawling metropolis, forged entirely from roaring fire and molten stone, stands as a stark testament to the dominion of the Demon King and Demon Queen, the malevolent rulers who hold the realm in their fiery grasp. The origins of the City of Flames "&amp;"are a tale of rebellion, power, and the unforgiving allure of darkness.
Long before the City of Flames came into existence, Abstara was a realm of diverse landscapes and cosmic energies. It was a realm of both creation and destruction, where the forces o"&amp;"f light and darkness waged an eternal struggle. Among the entities that emerged from the shadows of the abyss were the Demon King and Demon Queen, powerful beings who sought to claim Abstara as their domain.
These two demonic figures, whose names have be"&amp;"en lost to time, possessed immense power over the flames and shadows that danced through the realm. Their ambitions were fueled by a thirst for dominance and the desire to reshape Abstara in their image. With dark sorcery and relentless cunning, they rall"&amp;"ied legions of lesser demons to their cause, waging war against the celestial forces of light that sought to maintain the balance.
As their forces clashed in a cataclysmic battle that shook the very foundations of Abstara, the Demon King and Queen unveil"&amp;"ed a plan that would forever alter the course of the realm's history. Drawing upon their mastery over fire, they summoned forth an inferno of such intensity that it consumed entire landscapes, leaving naught but ash in its wake. From the flames, they cons"&amp;"tructed the City of Flames, a city-size conflagration that defied the laws of nature and reality.
The City of Flames became a manifestation of their dominion, a place where fire danced through the air like living beings and molten stone formed labyrinthi"&amp;"ne streets. The buildings themselves were forged from the very essence of heat, their architecture both awe-inspiring and terrifying. Amidst the towering inferno, the Demon King and Queen established their thrones, ruling with a malevolent authority that "&amp;"sent shivers through the hearts of even the bravest souls.
As time passed, the City of Flames grew, fueled not only by the demonic power of its rulers but also by the pain and suffering of those who dared to oppose them. The Demon King and Queen claimed "&amp;"countless souls, bending their wills and fanning the flames of chaos to new heights. The city's streets echoed with cries of torment and the eerie howling of the damned, creating a symphony of suffering that bore witness to the dark rulers' dominance.
In"&amp;" the present day, the City of Flames stands as a testament to the unchecked power of darkness and the enduring struggle between light and shadow. The inferno burns eternal, a stark reminder of the cost of rebellion and the seductive allure of power. The C"&amp;"ity of Flames serves as a chilling backdrop to the realm of Abstara, a place where the fiery dance of destruction and creation plays out, and the malevolent rulers who forged its existence continue to exert their infernal control over their realm of flame"&amp;"s and shadows.")</f>
        <v>This sprawling metropolis, forged entirely from roaring fire and molten stone, stands as a stark testament to the dominion of the Demon King and Demon Queen, the malevolent rulers who hold the realm in their fiery grasp. The origins of the City of Flames are a tale of rebellion, power, and the unforgiving allure of darkness.
Long before the City of Flames came into existence, Abstara was a realm of diverse landscapes and cosmic energies. It was a realm of both creation and destruction, where the forces of light and darkness waged an eternal struggle. Among the entities that emerged from the shadows of the abyss were the Demon King and Demon Queen, powerful beings who sought to claim Abstara as their domain.
These two demonic figures, whose names have been lost to time, possessed immense power over the flames and shadows that danced through the realm. Their ambitions were fueled by a thirst for dominance and the desire to reshape Abstara in their image. With dark sorcery and relentless cunning, they rallied legions of lesser demons to their cause, waging war against the celestial forces of light that sought to maintain the balance.
As their forces clashed in a cataclysmic battle that shook the very foundations of Abstara, the Demon King and Queen unveiled a plan that would forever alter the course of the realm's history. Drawing upon their mastery over fire, they summoned forth an inferno of such intensity that it consumed entire landscapes, leaving naught but ash in its wake. From the flames, they constructed the City of Flames, a city-size conflagration that defied the laws of nature and reality.
The City of Flames became a manifestation of their dominion, a place where fire danced through the air like living beings and molten stone formed labyrinthine streets. The buildings themselves were forged from the very essence of heat, their architecture both awe-inspiring and terrifying. Amidst the towering inferno, the Demon King and Queen established their thrones, ruling with a malevolent authority that sent shivers through the hearts of even the bravest souls.
As time passed, the City of Flames grew, fueled not only by the demonic power of its rulers but also by the pain and suffering of those who dared to oppose them. The Demon King and Queen claimed countless souls, bending their wills and fanning the flames of chaos to new heights. The city's streets echoed with cries of torment and the eerie howling of the damned, creating a symphony of suffering that bore witness to the dark rulers' dominance.
In the present day, the City of Flames stands as a testament to the unchecked power of darkness and the enduring struggle between light and shadow. The inferno burns eternal, a stark reminder of the cost of rebellion and the seductive allure of power. The City of Flames serves as a chilling backdrop to the realm of Abstara, a place where the fiery dance of destruction and creation plays out, and the malevolent rulers who forged its existence continue to exert their infernal control over their realm of flames and shadows.</v>
      </c>
      <c r="C51" s="1" t="str">
        <f>IFERROR(__xludf.DUMMYFUNCTION("""COMPUTED_VALUE"""),"Abstara")</f>
        <v>Abstara</v>
      </c>
      <c r="D51" s="1"/>
      <c r="E51" s="102">
        <f>IFERROR(__xludf.DUMMYFUNCTION("""COMPUTED_VALUE"""),1.0E9)</f>
        <v>1000000000</v>
      </c>
      <c r="F51" s="1" t="str">
        <f>IFERROR(__xludf.DUMMYFUNCTION("""COMPUTED_VALUE"""),"UndeadCoin")</f>
        <v>UndeadCoin</v>
      </c>
      <c r="G51" s="1"/>
      <c r="H51" s="1"/>
      <c r="I51" s="1"/>
      <c r="J51" s="1"/>
      <c r="K51" s="1"/>
      <c r="L51" s="1"/>
      <c r="M51" s="1"/>
      <c r="N51" s="1"/>
      <c r="O51" s="1"/>
      <c r="P51" s="1"/>
      <c r="Q51" s="1"/>
      <c r="R51" s="1"/>
      <c r="S51" s="1"/>
      <c r="T51" s="1"/>
      <c r="U51" s="1"/>
      <c r="V51" s="1"/>
      <c r="W51" s="1"/>
      <c r="X51" s="1"/>
      <c r="Y51" s="1"/>
      <c r="Z51" s="1"/>
    </row>
    <row r="52">
      <c r="A52" s="1" t="str">
        <f>IFERROR(__xludf.DUMMYFUNCTION("""COMPUTED_VALUE"""),"City of Undying")</f>
        <v>City of Undying</v>
      </c>
      <c r="B52" s="1" t="str">
        <f>IFERROR(__xludf.DUMMYFUNCTION("""COMPUTED_VALUE"""),"This enigmatic city, hidden within the heart of Abstara's abyssal depths, holds secrets that reach back to the dawn of creation and offer glimpses into a future yet to unfold.
Long before the City of Undying came into existence, Abstara was a realm teemi"&amp;"ng with cosmic energies, a crucible of creation and destruction where forces of light and darkness interplayed. Amidst this eternal dance, a being of unparalleled power emerged, known simply as the Eternal Sovereign. This entity, whose true form remained "&amp;"veiled in enigma, sought to create a bastion that transcended the limitations of time and mortality.
Drawing upon the very essence of Abstara itself, the Eternal Sovereign orchestrated the creation of the City of Undying. This city would stand as a testa"&amp;"ment to the ambition of defying the cycle of life and death. Its construction was a feat of magic, weaving threads of reality together with strands of the eternal. As the city took shape, its buildings rose like ethereal spires from the abyssal depths, fo"&amp;"rming a mesmerizing skyline that seemed to touch the very heavens.
The City of Undying became a realm where the boundaries of existence and non-existence blurred. Time flowed differently within its confines, its denizens existing in a state of perpetual "&amp;"twilight. Mortals who wandered into its realm found their lifespans prolonged, their aging slowed, and their connection to time itself altered. Yet, with this gift came a price – the city's inhabitants became bound to the City of Undying, unable to leave "&amp;"its ethereal embrace.
As the centuries passed, the Eternal Sovereign revealed themselves as a being that embodied the convergence of past, present, and future. They guided the inhabitants of the City of Undying, sharing visions of events yet to come and "&amp;"weaving together the threads of fate. The city became a place of knowledge and enlightenment, where scholars, mystics, and seekers of wisdom congregated to learn the secrets of time and eternity.
However, not all embraced the city's gifts willingly. Some"&amp;" sought to escape its ethereal grasp, believing that true existence lay beyond its boundaries. A group of these rebels, known as the Forsaken, discovered ancient texts that hinted at the city's origins and the consequences of defying the cosmic order. Dri"&amp;"ven by their desire for freedom, they attempted to tear down the city's enchantments and release its inhabitants from their eternal bonds.
In response to the Forsaken's rebellion, the Eternal Sovereign's power surged. A cataclysmic clash between the defe"&amp;"nders of the city and the rebels tore through the fabric of reality itself, causing ripples that resonated throughout Abstara. The Forsaken were defeated, their aspirations of liberation shattered, and the city's defenses fortified. The Eternal Sovereign,"&amp;" their true nature still veiled, emerged as both protector and arbiter of the city's fate.
In the present era, the City of Undying remains a realm of twilight and enigma. Its streets are alive with the hum of arcane energies and the whispers of the futur"&amp;"e. The inhabitants, forever bound to the city's embrace, continue to seek knowledge and purpose in a world where time bends to their very will. The City of Undying stands as a convergence of past and future, a nexus where the threads of destiny are woven "&amp;"and the eternal dance of existence unfolds in ways that defy comprehension.")</f>
        <v>This enigmatic city, hidden within the heart of Abstara's abyssal depths, holds secrets that reach back to the dawn of creation and offer glimpses into a future yet to unfold.
Long before the City of Undying came into existence, Abstara was a realm teeming with cosmic energies, a crucible of creation and destruction where forces of light and darkness interplayed. Amidst this eternal dance, a being of unparalleled power emerged, known simply as the Eternal Sovereign. This entity, whose true form remained veiled in enigma, sought to create a bastion that transcended the limitations of time and mortality.
Drawing upon the very essence of Abstara itself, the Eternal Sovereign orchestrated the creation of the City of Undying. This city would stand as a testament to the ambition of defying the cycle of life and death. Its construction was a feat of magic, weaving threads of reality together with strands of the eternal. As the city took shape, its buildings rose like ethereal spires from the abyssal depths, forming a mesmerizing skyline that seemed to touch the very heavens.
The City of Undying became a realm where the boundaries of existence and non-existence blurred. Time flowed differently within its confines, its denizens existing in a state of perpetual twilight. Mortals who wandered into its realm found their lifespans prolonged, their aging slowed, and their connection to time itself altered. Yet, with this gift came a price – the city's inhabitants became bound to the City of Undying, unable to leave its ethereal embrace.
As the centuries passed, the Eternal Sovereign revealed themselves as a being that embodied the convergence of past, present, and future. They guided the inhabitants of the City of Undying, sharing visions of events yet to come and weaving together the threads of fate. The city became a place of knowledge and enlightenment, where scholars, mystics, and seekers of wisdom congregated to learn the secrets of time and eternity.
However, not all embraced the city's gifts willingly. Some sought to escape its ethereal grasp, believing that true existence lay beyond its boundaries. A group of these rebels, known as the Forsaken, discovered ancient texts that hinted at the city's origins and the consequences of defying the cosmic order. Driven by their desire for freedom, they attempted to tear down the city's enchantments and release its inhabitants from their eternal bonds.
In response to the Forsaken's rebellion, the Eternal Sovereign's power surged. A cataclysmic clash between the defenders of the city and the rebels tore through the fabric of reality itself, causing ripples that resonated throughout Abstara. The Forsaken were defeated, their aspirations of liberation shattered, and the city's defenses fortified. The Eternal Sovereign, their true nature still veiled, emerged as both protector and arbiter of the city's fate.
In the present era, the City of Undying remains a realm of twilight and enigma. Its streets are alive with the hum of arcane energies and the whispers of the future. The inhabitants, forever bound to the city's embrace, continue to seek knowledge and purpose in a world where time bends to their very will. The City of Undying stands as a convergence of past and future, a nexus where the threads of destiny are woven and the eternal dance of existence unfolds in ways that defy comprehension.</v>
      </c>
      <c r="C52" s="1" t="str">
        <f>IFERROR(__xludf.DUMMYFUNCTION("""COMPUTED_VALUE"""),"Abstara")</f>
        <v>Abstara</v>
      </c>
      <c r="D52" s="1"/>
      <c r="E52" s="102">
        <f>IFERROR(__xludf.DUMMYFUNCTION("""COMPUTED_VALUE"""),1.0E9)</f>
        <v>1000000000</v>
      </c>
      <c r="F52" s="1" t="str">
        <f>IFERROR(__xludf.DUMMYFUNCTION("""COMPUTED_VALUE"""),"UndeadCoin")</f>
        <v>UndeadCoin</v>
      </c>
      <c r="G52" s="1"/>
      <c r="H52" s="1"/>
      <c r="I52" s="1"/>
      <c r="J52" s="1"/>
      <c r="K52" s="1"/>
      <c r="L52" s="1"/>
      <c r="M52" s="1"/>
      <c r="N52" s="1"/>
      <c r="O52" s="1"/>
      <c r="P52" s="1"/>
      <c r="Q52" s="1"/>
      <c r="R52" s="1"/>
      <c r="S52" s="1"/>
      <c r="T52" s="1"/>
      <c r="U52" s="1"/>
      <c r="V52" s="1"/>
      <c r="W52" s="1"/>
      <c r="X52" s="1"/>
      <c r="Y52" s="1"/>
      <c r="Z52" s="1"/>
    </row>
    <row r="53">
      <c r="A53" s="1" t="str">
        <f>IFERROR(__xludf.DUMMYFUNCTION("""COMPUTED_VALUE"""),"Ember Ocean")</f>
        <v>Ember Ocean</v>
      </c>
      <c r="B53" s="1" t="str">
        <f>IFERROR(__xludf.DUMMYFUNCTION("""COMPUTED_VALUE"""),"This ocean of molten lava, a tumultuous sea of heat and destruction, holds the tales of both creation and cataclysm. At its heart lies a guardian unlike any other – a massive volcanic clam that embodies the balance between the ocean's relentless fury and "&amp;"the calm depths beneath.
In the earliest epochs of Abstara's existence, the world was an ever-changing canvas of raw elements. The Ember Ocean was born from the confluence of intense volcanic activity and the primal forces that shaped the landscape. Molt"&amp;"en rock and fire surged forth, carving out a vast expanse of fiery seas that burned with the intensity of a star's heart. This ocean of lava was a reflection of the world's volatile nature, a testament to its capacity for both beauty and devastation.
As "&amp;"the ages passed, Abstara's denizens learned to harness the Ember Ocean's heat for their own purposes. Ancient civilizations found a way to channel its energy, forging weapons and artifacts of unparalleled power. Yet, in their hubris, they also awakened do"&amp;"rmant forces that resided within the depths of the fiery ocean. These forces, primordial spirits of flame and chaos, began to stir, threatening to unleash untold destruction upon the realm.
In response to this growing threat, an order of elemental guardi"&amp;"ans arose. Among them, a powerful volcanic clam known as Pyroshell emerged as the protector of the Ember Ocean. Created by the fusion of ancient magic and the ocean's fiery essence, Pyroshell embodied the very nature of the ocean it guarded. Its massive s"&amp;"hell was adorned with patterns reminiscent of molten rock, and its interior glowed with an inner fire that could rival the sun.
Pyroshell's presence within the Ember Ocean brought a semblance of balance. Its guardianship ensured that the elemental forces"&amp;" remained in check, preventing catastrophic eruptions that could have reshaped the world. The clam's wisdom was sought by scholars and adventurers alike, those who wished to tap into the ocean's power while respecting its volatile nature.
However, as the"&amp;" eons passed, the Ember Ocean also became a place of intrigue for those who sought to harness its raw energy for their own purposes. Among them was a faction of mages who believed they could harness the ocean's power to reshape the realm according to thei"&amp;"r desires. These mages, known as the Flamebound Cabal, saw Pyroshell as an obstacle standing between them and their ambitions.
In a cataclysmic confrontation that spanned both the physical and metaphysical realms, the Flamebound Cabal sought to overpower"&amp;" Pyroshell's guardianship and seize control of the Ember Ocean. The ensuing clash unleashed a storm of fire and destruction that threatened to engulf Abstara itself. Pyroshell, fueled by its determination to protect the realm, fought back with a fury that"&amp;" rivaled the very ocean it guarded.
Ultimately, Pyroshell prevailed, banishing the Flamebound Cabal and reasserting its control over the Ember Ocean. The clam's valiant stand left an indelible mark on the ocean's fiery depths, ensuring that its guardians"&amp;"hip would never be questioned again. Today, the Ember Ocean stands as a testament to the elemental forces that shape Abstara's destiny, its molten waves and searing heat a reminder of both creation and destruction. And at its heart, Pyroshell continues it"&amp;"s eternal vigil, a guardian of balance and a symbol of the ocean's untamed power.")</f>
        <v>This ocean of molten lava, a tumultuous sea of heat and destruction, holds the tales of both creation and cataclysm. At its heart lies a guardian unlike any other – a massive volcanic clam that embodies the balance between the ocean's relentless fury and the calm depths beneath.
In the earliest epochs of Abstara's existence, the world was an ever-changing canvas of raw elements. The Ember Ocean was born from the confluence of intense volcanic activity and the primal forces that shaped the landscape. Molten rock and fire surged forth, carving out a vast expanse of fiery seas that burned with the intensity of a star's heart. This ocean of lava was a reflection of the world's volatile nature, a testament to its capacity for both beauty and devastation.
As the ages passed, Abstara's denizens learned to harness the Ember Ocean's heat for their own purposes. Ancient civilizations found a way to channel its energy, forging weapons and artifacts of unparalleled power. Yet, in their hubris, they also awakened dormant forces that resided within the depths of the fiery ocean. These forces, primordial spirits of flame and chaos, began to stir, threatening to unleash untold destruction upon the realm.
In response to this growing threat, an order of elemental guardians arose. Among them, a powerful volcanic clam known as Pyroshell emerged as the protector of the Ember Ocean. Created by the fusion of ancient magic and the ocean's fiery essence, Pyroshell embodied the very nature of the ocean it guarded. Its massive shell was adorned with patterns reminiscent of molten rock, and its interior glowed with an inner fire that could rival the sun.
Pyroshell's presence within the Ember Ocean brought a semblance of balance. Its guardianship ensured that the elemental forces remained in check, preventing catastrophic eruptions that could have reshaped the world. The clam's wisdom was sought by scholars and adventurers alike, those who wished to tap into the ocean's power while respecting its volatile nature.
However, as the eons passed, the Ember Ocean also became a place of intrigue for those who sought to harness its raw energy for their own purposes. Among them was a faction of mages who believed they could harness the ocean's power to reshape the realm according to their desires. These mages, known as the Flamebound Cabal, saw Pyroshell as an obstacle standing between them and their ambitions.
In a cataclysmic confrontation that spanned both the physical and metaphysical realms, the Flamebound Cabal sought to overpower Pyroshell's guardianship and seize control of the Ember Ocean. The ensuing clash unleashed a storm of fire and destruction that threatened to engulf Abstara itself. Pyroshell, fueled by its determination to protect the realm, fought back with a fury that rivaled the very ocean it guarded.
Ultimately, Pyroshell prevailed, banishing the Flamebound Cabal and reasserting its control over the Ember Ocean. The clam's valiant stand left an indelible mark on the ocean's fiery depths, ensuring that its guardianship would never be questioned again. Today, the Ember Ocean stands as a testament to the elemental forces that shape Abstara's destiny, its molten waves and searing heat a reminder of both creation and destruction. And at its heart, Pyroshell continues its eternal vigil, a guardian of balance and a symbol of the ocean's untamed power.</v>
      </c>
      <c r="C53" s="1" t="str">
        <f>IFERROR(__xludf.DUMMYFUNCTION("""COMPUTED_VALUE"""),"Abstara")</f>
        <v>Abstara</v>
      </c>
      <c r="D53" s="1"/>
      <c r="E53" s="102">
        <f>IFERROR(__xludf.DUMMYFUNCTION("""COMPUTED_VALUE"""),1.0E9)</f>
        <v>1000000000</v>
      </c>
      <c r="F53" s="1" t="str">
        <f>IFERROR(__xludf.DUMMYFUNCTION("""COMPUTED_VALUE"""),"UndeadCoin")</f>
        <v>UndeadCoin</v>
      </c>
      <c r="G53" s="1"/>
      <c r="H53" s="1"/>
      <c r="I53" s="1"/>
      <c r="J53" s="1"/>
      <c r="K53" s="1"/>
      <c r="L53" s="1"/>
      <c r="M53" s="1"/>
      <c r="N53" s="1"/>
      <c r="O53" s="1"/>
      <c r="P53" s="1"/>
      <c r="Q53" s="1"/>
      <c r="R53" s="1"/>
      <c r="S53" s="1"/>
      <c r="T53" s="1"/>
      <c r="U53" s="1"/>
      <c r="V53" s="1"/>
      <c r="W53" s="1"/>
      <c r="X53" s="1"/>
      <c r="Y53" s="1"/>
      <c r="Z53" s="1"/>
    </row>
    <row r="54">
      <c r="A54" s="1" t="str">
        <f>IFERROR(__xludf.DUMMYFUNCTION("""COMPUTED_VALUE"""),"Feral Empire")</f>
        <v>Feral Empire</v>
      </c>
      <c r="B54" s="1" t="str">
        <f>IFERROR(__xludf.DUMMYFUNCTION("""COMPUTED_VALUE"""),"This forsaken town stands as a testament to the insatiable hunger of creatures that walk the line between human and monster – werewolves and vampires. The Feral Empire's origins are steeped in blood, power, and the tragic intersection of two predatory spe"&amp;"cies.
Once, Abstara was a realm teeming with life and balance, a realm where both light and darkness coexisted in harmony. However, within the shadows lurked creatures of the night who hungered for more than mere sustenance. Among them were the werewolve"&amp;"s and vampires, two distinct species that had long been at odds.
As time passed, the tension between these two species reached a boiling point. A powerful vampire lord named Vaelar sought to claim dominion over the land, driven by a thirst for power and "&amp;"the desire to subjugate all who opposed him. Opposing Vaelar's ambitions were the lycanthropes, a proud and ferocious pack of werewolves led by their alpha, Lyssandra.
The conflict between the vampire lord and the lycanthropic pack erupted into a war tha"&amp;"t ravaged the land. The Feral Empire, a once-prosperous town that lay at the crossroads of both species' territories, became the epicenter of the battle. The town's streets were stained with the blood of both werewolves and vampires, its buildings reduced"&amp;" to rubble in the chaos.
Amidst the devastation, Lyssandra and Vaelar engaged in a final, cataclysmic confrontation. The clash of their powers shattered the very fabric of reality, tearing open a rift that merged their two species in ways neither had ant"&amp;"icipated. The town of Feral Empire was forever altered, becoming a place where the boundaries between werewolves and vampires blurred, creating hybrids who shared attributes of both species.
In the aftermath of the battle, the remnants of the town's popu"&amp;"lace found themselves transformed – no longer fully human, nor entirely monstrous. The Feral Empire became a place of perpetual night, where the moon's pale light and the glow of vampire eyes illuminated the darkened streets. The hybrids, driven by their "&amp;"dual natures, struggled to coexist and find their place in this new reality.
The Feral Empire quickly became a realm of chaos and survival, where both werewolves and vampires prowled the streets in search of prey. The town became a haven for those who em"&amp;"braced their predatory instincts, and a nightmare for those who sought to escape its grasp. The line between predator and prey grew thin, as the inhabitants of the Feral Empire found themselves both captors and captives in a never-ending cycle of hunting "&amp;"and being hunted.
In the present era, the Feral Empire stands as a twisted reflection of the war that birthed it. Its darkened streets are haunted by the echoes of battle and the scent of blood, a reminder of the price paid for power and dominance. Werew"&amp;"olves and vampires alike roam its shadows, driven by primal urges and the endless struggle for dominance. The Feral Empire is a realm of constant danger, where alliances shift like the moon's phases and survival is an ever-elusive prize. And amidst the ch"&amp;"aos, Lyssandra and Vaelar's legacy lives on, forever shaping the destiny of the Feral Empire and its tormented inhabitants.")</f>
        <v>This forsaken town stands as a testament to the insatiable hunger of creatures that walk the line between human and monster – werewolves and vampires. The Feral Empire's origins are steeped in blood, power, and the tragic intersection of two predatory species.
Once, Abstara was a realm teeming with life and balance, a realm where both light and darkness coexisted in harmony. However, within the shadows lurked creatures of the night who hungered for more than mere sustenance. Among them were the werewolves and vampires, two distinct species that had long been at odds.
As time passed, the tension between these two species reached a boiling point. A powerful vampire lord named Vaelar sought to claim dominion over the land, driven by a thirst for power and the desire to subjugate all who opposed him. Opposing Vaelar's ambitions were the lycanthropes, a proud and ferocious pack of werewolves led by their alpha, Lyssandra.
The conflict between the vampire lord and the lycanthropic pack erupted into a war that ravaged the land. The Feral Empire, a once-prosperous town that lay at the crossroads of both species' territories, became the epicenter of the battle. The town's streets were stained with the blood of both werewolves and vampires, its buildings reduced to rubble in the chaos.
Amidst the devastation, Lyssandra and Vaelar engaged in a final, cataclysmic confrontation. The clash of their powers shattered the very fabric of reality, tearing open a rift that merged their two species in ways neither had anticipated. The town of Feral Empire was forever altered, becoming a place where the boundaries between werewolves and vampires blurred, creating hybrids who shared attributes of both species.
In the aftermath of the battle, the remnants of the town's populace found themselves transformed – no longer fully human, nor entirely monstrous. The Feral Empire became a place of perpetual night, where the moon's pale light and the glow of vampire eyes illuminated the darkened streets. The hybrids, driven by their dual natures, struggled to coexist and find their place in this new reality.
The Feral Empire quickly became a realm of chaos and survival, where both werewolves and vampires prowled the streets in search of prey. The town became a haven for those who embraced their predatory instincts, and a nightmare for those who sought to escape its grasp. The line between predator and prey grew thin, as the inhabitants of the Feral Empire found themselves both captors and captives in a never-ending cycle of hunting and being hunted.
In the present era, the Feral Empire stands as a twisted reflection of the war that birthed it. Its darkened streets are haunted by the echoes of battle and the scent of blood, a reminder of the price paid for power and dominance. Werewolves and vampires alike roam its shadows, driven by primal urges and the endless struggle for dominance. The Feral Empire is a realm of constant danger, where alliances shift like the moon's phases and survival is an ever-elusive prize. And amidst the chaos, Lyssandra and Vaelar's legacy lives on, forever shaping the destiny of the Feral Empire and its tormented inhabitants.</v>
      </c>
      <c r="C54" s="1" t="str">
        <f>IFERROR(__xludf.DUMMYFUNCTION("""COMPUTED_VALUE"""),"Abstara")</f>
        <v>Abstara</v>
      </c>
      <c r="D54" s="1"/>
      <c r="E54" s="102">
        <f>IFERROR(__xludf.DUMMYFUNCTION("""COMPUTED_VALUE"""),1.0E9)</f>
        <v>1000000000</v>
      </c>
      <c r="F54" s="1" t="str">
        <f>IFERROR(__xludf.DUMMYFUNCTION("""COMPUTED_VALUE"""),"UndeadCoin")</f>
        <v>UndeadCoin</v>
      </c>
      <c r="G54" s="1"/>
      <c r="H54" s="1"/>
      <c r="I54" s="1"/>
      <c r="J54" s="1"/>
      <c r="K54" s="1"/>
      <c r="L54" s="1"/>
      <c r="M54" s="1"/>
      <c r="N54" s="1"/>
      <c r="O54" s="1"/>
      <c r="P54" s="1"/>
      <c r="Q54" s="1"/>
      <c r="R54" s="1"/>
      <c r="S54" s="1"/>
      <c r="T54" s="1"/>
      <c r="U54" s="1"/>
      <c r="V54" s="1"/>
      <c r="W54" s="1"/>
      <c r="X54" s="1"/>
      <c r="Y54" s="1"/>
      <c r="Z54" s="1"/>
    </row>
    <row r="55">
      <c r="A55" s="1" t="str">
        <f>IFERROR(__xludf.DUMMYFUNCTION("""COMPUTED_VALUE"""),"Gargoyle Fortress")</f>
        <v>Gargoyle Fortress</v>
      </c>
      <c r="B55" s="1" t="str">
        <f>IFERROR(__xludf.DUMMYFUNCTION("""COMPUTED_VALUE"""),"This remarkable city, nestled amidst the clouds and borne upon the wings of stone, is a testament to the guardianship of a unique and ancient species – the gargoyles. The origins of the Gargoyle Fortress are steeped in alliance, valor, and a deep-rooted c"&amp;"onnection to the realm's mystical forces.
In the early epochs of Abstara's existence, the world was a place of untamed magic and myriad wonders. It was during this time that the gargoyles, mystical creatures sculpted from enchanted stone, emerged as both"&amp;" defenders of the land and stewards of its natural harmony. Gifted with the ability to soar through the skies on mighty wings and gifted with a deep attunement to the realm's energies, the gargoyles quickly established themselves as guardians of Abstara's"&amp;" beauty.
As Abstara's landscape shifted and evolved, the gargoyles found their purpose in protecting its many landscapes and inhabitants. Their keen eyes and fierce loyalty made them natural sentinels, ever watchful for signs of encroaching danger. Throu"&amp;"gh centuries of dedication, the gargoyles forged a strong alliance with the land's inhabitants, humans and creatures alike, forming a bond that transcended species.
However, the harmony was not to last. An epoch of darkness and turmoil arose as malevolen"&amp;"t forces sought to unravel the balance that the gargoyles and their allies had worked so diligently to maintain. A formidable threat known as the Obsidian Cabal, a group of sorcerers who sought to harness the realm's magic for their own power-hungry ambit"&amp;"ions, emerged to challenge the guardians of Abstara.
In response to the rising threat, the gargoyles and their allies rallied together to form the Gargoyle Fortress. The fortress was a marvel of magical architecture, suspended amidst the clouds and carve"&amp;"d from the very essence of the realm. Its towering spires and intricate stonework melded seamlessly with the natural beauty of the skies. Here, the guardians of the realm united their strengths, forging a stronghold that served as a beacon of hope against"&amp;" the encroaching darkness.
The ensuing conflict between the Obsidian Cabal and the guardians of the Gargoyle Fortress was a cataclysmic clash of magic and might. The skies became a battleground, with gargoyles swooping through the clouds, their stone for"&amp;"ms pulsating with energy as they defied gravity itself. Their allies, armed with ancient artifacts and unwavering resolve, stood side by side with the guardians, channeling the very essence of Abstara's magic to repel the dark sorcery of the Cabal.
In a "&amp;"climactic confrontation that spanned the realms of the physical and the metaphysical, the Gargoyle Fortress emerged victorious. With a final, resounding surge of magic, the Obsidian Cabal was vanquished, their dark ambitions thwarted. The gargoyles and th"&amp;"eir allies had defended Abstara's balance once more, and the Gargoyle Fortress stood as a symbol of their unity and strength.
In the present era, the Gargoyle Fortress remains a beacon of protection and alliance. Its soaring spires and vigilant gargoyles"&amp;" patrol the skies, their watchful eyes scanning the horizon for any sign of trouble. The city stands as a testament to the power of unity and the unbreakable bond between the creatures of Abstara and their mystical guardians. It serves as a reminder that "&amp;"even in the face of darkness, harmony and valor can prevail, and the skies can be a sanctuary watched over by the steadfast guardians of the Gargoyle Fortress.")</f>
        <v>This remarkable city, nestled amidst the clouds and borne upon the wings of stone, is a testament to the guardianship of a unique and ancient species – the gargoyles. The origins of the Gargoyle Fortress are steeped in alliance, valor, and a deep-rooted connection to the realm's mystical forces.
In the early epochs of Abstara's existence, the world was a place of untamed magic and myriad wonders. It was during this time that the gargoyles, mystical creatures sculpted from enchanted stone, emerged as both defenders of the land and stewards of its natural harmony. Gifted with the ability to soar through the skies on mighty wings and gifted with a deep attunement to the realm's energies, the gargoyles quickly established themselves as guardians of Abstara's beauty.
As Abstara's landscape shifted and evolved, the gargoyles found their purpose in protecting its many landscapes and inhabitants. Their keen eyes and fierce loyalty made them natural sentinels, ever watchful for signs of encroaching danger. Through centuries of dedication, the gargoyles forged a strong alliance with the land's inhabitants, humans and creatures alike, forming a bond that transcended species.
However, the harmony was not to last. An epoch of darkness and turmoil arose as malevolent forces sought to unravel the balance that the gargoyles and their allies had worked so diligently to maintain. A formidable threat known as the Obsidian Cabal, a group of sorcerers who sought to harness the realm's magic for their own power-hungry ambitions, emerged to challenge the guardians of Abstara.
In response to the rising threat, the gargoyles and their allies rallied together to form the Gargoyle Fortress. The fortress was a marvel of magical architecture, suspended amidst the clouds and carved from the very essence of the realm. Its towering spires and intricate stonework melded seamlessly with the natural beauty of the skies. Here, the guardians of the realm united their strengths, forging a stronghold that served as a beacon of hope against the encroaching darkness.
The ensuing conflict between the Obsidian Cabal and the guardians of the Gargoyle Fortress was a cataclysmic clash of magic and might. The skies became a battleground, with gargoyles swooping through the clouds, their stone forms pulsating with energy as they defied gravity itself. Their allies, armed with ancient artifacts and unwavering resolve, stood side by side with the guardians, channeling the very essence of Abstara's magic to repel the dark sorcery of the Cabal.
In a climactic confrontation that spanned the realms of the physical and the metaphysical, the Gargoyle Fortress emerged victorious. With a final, resounding surge of magic, the Obsidian Cabal was vanquished, their dark ambitions thwarted. The gargoyles and their allies had defended Abstara's balance once more, and the Gargoyle Fortress stood as a symbol of their unity and strength.
In the present era, the Gargoyle Fortress remains a beacon of protection and alliance. Its soaring spires and vigilant gargoyles patrol the skies, their watchful eyes scanning the horizon for any sign of trouble. The city stands as a testament to the power of unity and the unbreakable bond between the creatures of Abstara and their mystical guardians. It serves as a reminder that even in the face of darkness, harmony and valor can prevail, and the skies can be a sanctuary watched over by the steadfast guardians of the Gargoyle Fortress.</v>
      </c>
      <c r="C55" s="1" t="str">
        <f>IFERROR(__xludf.DUMMYFUNCTION("""COMPUTED_VALUE"""),"Abstara")</f>
        <v>Abstara</v>
      </c>
      <c r="D55" s="1"/>
      <c r="E55" s="102">
        <f>IFERROR(__xludf.DUMMYFUNCTION("""COMPUTED_VALUE"""),1.0E9)</f>
        <v>1000000000</v>
      </c>
      <c r="F55" s="1" t="str">
        <f>IFERROR(__xludf.DUMMYFUNCTION("""COMPUTED_VALUE"""),"UndeadCoin")</f>
        <v>UndeadCoin</v>
      </c>
      <c r="G55" s="1"/>
      <c r="H55" s="1"/>
      <c r="I55" s="1"/>
      <c r="J55" s="1"/>
      <c r="K55" s="1"/>
      <c r="L55" s="1"/>
      <c r="M55" s="1"/>
      <c r="N55" s="1"/>
      <c r="O55" s="1"/>
      <c r="P55" s="1"/>
      <c r="Q55" s="1"/>
      <c r="R55" s="1"/>
      <c r="S55" s="1"/>
      <c r="T55" s="1"/>
      <c r="U55" s="1"/>
      <c r="V55" s="1"/>
      <c r="W55" s="1"/>
      <c r="X55" s="1"/>
      <c r="Y55" s="1"/>
      <c r="Z55" s="1"/>
    </row>
    <row r="56">
      <c r="A56" s="1" t="str">
        <f>IFERROR(__xludf.DUMMYFUNCTION("""COMPUTED_VALUE"""),"Land of The Banished")</f>
        <v>Land of The Banished</v>
      </c>
      <c r="B56" s="1" t="str">
        <f>IFERROR(__xludf.DUMMYFUNCTION("""COMPUTED_VALUE"""),"This forsaken expanse, shrouded in an eternal twilight, stands as a realm of exile and retribution, ruled by a mysterious and enigmatic figure known only as the Keeper of the Banished. The origins of this grim land are a tale of justice, punishment, and t"&amp;"he delicate balance between power and consequence.
In Abstara's earliest days, when the world's creation was still a symphony of cosmic energies, a being known as the Keeper of the Banished emerged. Possessing an ancient and ancient wisdom that spanned c"&amp;"ountless lifetimes, the Keeper took on the mantle of overseeing the realms where the exiled and the condemned would find themselves – the Land of The Banished.
The Land of The Banished was not a realm of traditional landscapes, but rather an ethereal lan"&amp;"dscape shaped by the thoughts and emotions of its inhabitants. It was a place beyond the boundaries of the known world, where the exiled and those who transgressed against the cosmic balance were cast. Here, their fates were intertwined, their stories wov"&amp;"en into the very fabric of the land itself.
The Keeper's crypt, a soul-bound sanctum, served as the heart of the Land of The Banished. Within its hallowed chambers, the Keeper held the souls of those banished, preserved in crystalline vials that bore wit"&amp;"ness to their deeds and transgressions. A vile necklace, encrusted with these vials, hung heavy around the Keeper's neck, a visible symbol of his authority and the weight of judgment he carried.
Over the ages, the Land of The Banished became a realm of r"&amp;"eflection and redemption, a place where souls were offered the opportunity to seek absolution for their misdeeds. The exiled found themselves navigating the shifting landscapes, facing trials and challenges that tested their resolve and illuminated the pa"&amp;"ths they had taken in their past lives. Some embraced the opportunity to atone, while others remained trapped in cycles of darkness and despair.
Yet, not all were content with their exile. In the shadows of the Land of The Banished, whispers of rebellion"&amp;" began to stir. A group of exiled beings, united by a shared desire to escape the realm's clutches, sought to challenge the Keeper's dominion and break free from their eternal confinement. They sought the power of the crystalline vials, believing that by "&amp;"possessing them, they could reshape their fates and reclaim their place in the world.
The confrontation between the rebels and the Keeper was a clash of wills that echoed through the ethereal landscape. The rebels, driven by desperation and a longing for"&amp;" freedom, challenged the Keeper's authority, seeking to shatter the vials and rewrite their destinies. The Keeper, bound by his duty to maintain the balance, confronted the rebels with a resolve that stemmed from millennia of experience.
In a final confr"&amp;"ontation that spanned the boundaries of time and reality, the Keeper faced the rebels in the heart of the soul-bound crypt. The clash of their powers reverberated through the Land of The Banished, the very land itself echoing their struggles. Ultimately, "&amp;"the Keeper emerged victorious, preserving the delicate balance between justice and redemption.
In the present era, the Land of The Banished remains a realm of exile and reflection. Its shifting landscapes and crystalline vials hold the stories of souls b"&amp;"oth condemned and seeking absolution. The Keeper of the Banished stands as a sentinel of balance, ensuring that the scales of justice remain unwavering. And as the exiled navigate the trials of the realm, they come to understand the intricate dance of fat"&amp;"e, choice, and the eternal quest for redemption in the Land of The Banished.")</f>
        <v>This forsaken expanse, shrouded in an eternal twilight, stands as a realm of exile and retribution, ruled by a mysterious and enigmatic figure known only as the Keeper of the Banished. The origins of this grim land are a tale of justice, punishment, and the delicate balance between power and consequence.
In Abstara's earliest days, when the world's creation was still a symphony of cosmic energies, a being known as the Keeper of the Banished emerged. Possessing an ancient and ancient wisdom that spanned countless lifetimes, the Keeper took on the mantle of overseeing the realms where the exiled and the condemned would find themselves – the Land of The Banished.
The Land of The Banished was not a realm of traditional landscapes, but rather an ethereal landscape shaped by the thoughts and emotions of its inhabitants. It was a place beyond the boundaries of the known world, where the exiled and those who transgressed against the cosmic balance were cast. Here, their fates were intertwined, their stories woven into the very fabric of the land itself.
The Keeper's crypt, a soul-bound sanctum, served as the heart of the Land of The Banished. Within its hallowed chambers, the Keeper held the souls of those banished, preserved in crystalline vials that bore witness to their deeds and transgressions. A vile necklace, encrusted with these vials, hung heavy around the Keeper's neck, a visible symbol of his authority and the weight of judgment he carried.
Over the ages, the Land of The Banished became a realm of reflection and redemption, a place where souls were offered the opportunity to seek absolution for their misdeeds. The exiled found themselves navigating the shifting landscapes, facing trials and challenges that tested their resolve and illuminated the paths they had taken in their past lives. Some embraced the opportunity to atone, while others remained trapped in cycles of darkness and despair.
Yet, not all were content with their exile. In the shadows of the Land of The Banished, whispers of rebellion began to stir. A group of exiled beings, united by a shared desire to escape the realm's clutches, sought to challenge the Keeper's dominion and break free from their eternal confinement. They sought the power of the crystalline vials, believing that by possessing them, they could reshape their fates and reclaim their place in the world.
The confrontation between the rebels and the Keeper was a clash of wills that echoed through the ethereal landscape. The rebels, driven by desperation and a longing for freedom, challenged the Keeper's authority, seeking to shatter the vials and rewrite their destinies. The Keeper, bound by his duty to maintain the balance, confronted the rebels with a resolve that stemmed from millennia of experience.
In a final confrontation that spanned the boundaries of time and reality, the Keeper faced the rebels in the heart of the soul-bound crypt. The clash of their powers reverberated through the Land of The Banished, the very land itself echoing their struggles. Ultimately, the Keeper emerged victorious, preserving the delicate balance between justice and redemption.
In the present era, the Land of The Banished remains a realm of exile and reflection. Its shifting landscapes and crystalline vials hold the stories of souls both condemned and seeking absolution. The Keeper of the Banished stands as a sentinel of balance, ensuring that the scales of justice remain unwavering. And as the exiled navigate the trials of the realm, they come to understand the intricate dance of fate, choice, and the eternal quest for redemption in the Land of The Banished.</v>
      </c>
      <c r="C56" s="1" t="str">
        <f>IFERROR(__xludf.DUMMYFUNCTION("""COMPUTED_VALUE"""),"Abstara")</f>
        <v>Abstara</v>
      </c>
      <c r="D56" s="1"/>
      <c r="E56" s="102">
        <f>IFERROR(__xludf.DUMMYFUNCTION("""COMPUTED_VALUE"""),1.0E9)</f>
        <v>1000000000</v>
      </c>
      <c r="F56" s="1" t="str">
        <f>IFERROR(__xludf.DUMMYFUNCTION("""COMPUTED_VALUE"""),"UndeadCoin")</f>
        <v>UndeadCoin</v>
      </c>
      <c r="G56" s="1"/>
      <c r="H56" s="1"/>
      <c r="I56" s="1"/>
      <c r="J56" s="1"/>
      <c r="K56" s="1"/>
      <c r="L56" s="1"/>
      <c r="M56" s="1"/>
      <c r="N56" s="1"/>
      <c r="O56" s="1"/>
      <c r="P56" s="1"/>
      <c r="Q56" s="1"/>
      <c r="R56" s="1"/>
      <c r="S56" s="1"/>
      <c r="T56" s="1"/>
      <c r="U56" s="1"/>
      <c r="V56" s="1"/>
      <c r="W56" s="1"/>
      <c r="X56" s="1"/>
      <c r="Y56" s="1"/>
      <c r="Z56" s="1"/>
    </row>
    <row r="57">
      <c r="A57" s="1" t="str">
        <f>IFERROR(__xludf.DUMMYFUNCTION("""COMPUTED_VALUE"""),"Land of The Demons")</f>
        <v>Land of The Demons</v>
      </c>
      <c r="B57" s="1" t="str">
        <f>IFERROR(__xludf.DUMMYFUNCTION("""COMPUTED_VALUE"""),"This accursed realm, a cauldron of hatred and revenge, stands as a crucible for the world's most formidable demons and entities. The origins of this nightmarish domain are a tale of corruption, power, and the insidious allure of darkness.
Long before the"&amp;" Land of The Demons emerged, Abstara was a realm of delicate balance, where the interplay between light and darkness defined the world's nature. Yet, even in the earliest epochs, the seeds of malevolence were sown in the hearts of certain entities. Among "&amp;"these entities, the most ancient and formidable were the demons, creatures born from the darkest abyss of the realm.
Over time, these demons grew in power and malevolence, driven by an insatiable hunger for dominance and control. As their strength and nu"&amp;"mbers multiplied, they sought to break free from the constraints of Abstara's balance and create a realm where their dark desires could reign supreme. Their combined malice festered, forming a nexus of hatred that birthed the Land of The Demons – a realm "&amp;"where malevolent energies ran wild and unchecked.
The Land of The Demons became a twisted landscape, where the very land bore the scars of corruption and the air was thick with the stench of maleficence. Its skies were forever shrouded in darkness, and i"&amp;"ts inhabitants reveled in the endless cycle of hatred and revenge. The most powerful demons and entities from across Abstara were drawn to this realm, their power growing stronger in the presence of the dark energies that permeated the land.
As the Land "&amp;"of The Demons solidified its grip on existence, a powerful entity known as the Archdemon rose to dominance. This entity, a malevolent force beyond comprehension, wielded the collective power of the demons as its own. Its form was a shifting mass of darkne"&amp;"ss and despair, its eyes gleaming with an infernal intelligence that sought to consume all in its path.
Under the rule of the Archdemon, the Land of The Demons became a nightmarish realm of chaos and destruction. The realm's inhabitants – a legion of dem"&amp;"ons and entities fueled by hatred and revenge – waged war upon one another, their conflicts echoing through the land in a symphony of suffering. The very fabric of the realm was scarred by the battles, and the landscape itself seemed to writhe in agony.
"&amp;"As the ages passed, the Land of The Demons grew in power and notoriety. Its malevolent energies bled into the surrounding realms, corrupting the lands and souls nearby. Heroes and adventurers who dared to enter the realm rarely returned, their fates seale"&amp;"d by the insidious forces that gripped the land. The Land of The Demons became a place of legends and cautionary tales, a realm where even the bravest feared to tread.
In the present day, the Land of The Demons stands as a realm of unrelenting darkness, "&amp;"its skies forever cloaked in shadow, and its land tainted by the festering hatred that defines it. The Archdemon's dominance remains unchallenged, and the realm continues to be a beacon of malevolence in Abstara. Its existence serves as a reminder of the "&amp;"eternal struggle between light and darkness, and the depths to which even the most powerful entities can fall under the allure of revenge and power in the Land of The Demons.")</f>
        <v>This accursed realm, a cauldron of hatred and revenge, stands as a crucible for the world's most formidable demons and entities. The origins of this nightmarish domain are a tale of corruption, power, and the insidious allure of darkness.
Long before the Land of The Demons emerged, Abstara was a realm of delicate balance, where the interplay between light and darkness defined the world's nature. Yet, even in the earliest epochs, the seeds of malevolence were sown in the hearts of certain entities. Among these entities, the most ancient and formidable were the demons, creatures born from the darkest abyss of the realm.
Over time, these demons grew in power and malevolence, driven by an insatiable hunger for dominance and control. As their strength and numbers multiplied, they sought to break free from the constraints of Abstara's balance and create a realm where their dark desires could reign supreme. Their combined malice festered, forming a nexus of hatred that birthed the Land of The Demons – a realm where malevolent energies ran wild and unchecked.
The Land of The Demons became a twisted landscape, where the very land bore the scars of corruption and the air was thick with the stench of maleficence. Its skies were forever shrouded in darkness, and its inhabitants reveled in the endless cycle of hatred and revenge. The most powerful demons and entities from across Abstara were drawn to this realm, their power growing stronger in the presence of the dark energies that permeated the land.
As the Land of The Demons solidified its grip on existence, a powerful entity known as the Archdemon rose to dominance. This entity, a malevolent force beyond comprehension, wielded the collective power of the demons as its own. Its form was a shifting mass of darkness and despair, its eyes gleaming with an infernal intelligence that sought to consume all in its path.
Under the rule of the Archdemon, the Land of The Demons became a nightmarish realm of chaos and destruction. The realm's inhabitants – a legion of demons and entities fueled by hatred and revenge – waged war upon one another, their conflicts echoing through the land in a symphony of suffering. The very fabric of the realm was scarred by the battles, and the landscape itself seemed to writhe in agony.
As the ages passed, the Land of The Demons grew in power and notoriety. Its malevolent energies bled into the surrounding realms, corrupting the lands and souls nearby. Heroes and adventurers who dared to enter the realm rarely returned, their fates sealed by the insidious forces that gripped the land. The Land of The Demons became a place of legends and cautionary tales, a realm where even the bravest feared to tread.
In the present day, the Land of The Demons stands as a realm of unrelenting darkness, its skies forever cloaked in shadow, and its land tainted by the festering hatred that defines it. The Archdemon's dominance remains unchallenged, and the realm continues to be a beacon of malevolence in Abstara. Its existence serves as a reminder of the eternal struggle between light and darkness, and the depths to which even the most powerful entities can fall under the allure of revenge and power in the Land of The Demons.</v>
      </c>
      <c r="C57" s="1" t="str">
        <f>IFERROR(__xludf.DUMMYFUNCTION("""COMPUTED_VALUE"""),"Abstara")</f>
        <v>Abstara</v>
      </c>
      <c r="D57" s="1"/>
      <c r="E57" s="102">
        <f>IFERROR(__xludf.DUMMYFUNCTION("""COMPUTED_VALUE"""),1.0E9)</f>
        <v>1000000000</v>
      </c>
      <c r="F57" s="1" t="str">
        <f>IFERROR(__xludf.DUMMYFUNCTION("""COMPUTED_VALUE"""),"UndeadCoin")</f>
        <v>UndeadCoin</v>
      </c>
      <c r="G57" s="1"/>
      <c r="H57" s="1"/>
      <c r="I57" s="1"/>
      <c r="J57" s="1"/>
      <c r="K57" s="1"/>
      <c r="L57" s="1"/>
      <c r="M57" s="1"/>
      <c r="N57" s="1"/>
      <c r="O57" s="1"/>
      <c r="P57" s="1"/>
      <c r="Q57" s="1"/>
      <c r="R57" s="1"/>
      <c r="S57" s="1"/>
      <c r="T57" s="1"/>
      <c r="U57" s="1"/>
      <c r="V57" s="1"/>
      <c r="W57" s="1"/>
      <c r="X57" s="1"/>
      <c r="Y57" s="1"/>
      <c r="Z57" s="1"/>
    </row>
    <row r="58">
      <c r="A58" s="1" t="str">
        <f>IFERROR(__xludf.DUMMYFUNCTION("""COMPUTED_VALUE"""),"Satanic City")</f>
        <v>Satanic City</v>
      </c>
      <c r="B58" s="1" t="str">
        <f>IFERROR(__xludf.DUMMYFUNCTION("""COMPUTED_VALUE"""),"This sprawling metropolis, a testament to the infernal might that can shape worlds, serves as a haven for those who revere the malevolent deity known as Satan. The city's origins are woven from rebellion, worship, and the symbiotic relationship between po"&amp;"wer and servitude.
Before the Satanic City's rise, Abstara was a realm of both light and darkness, a cosmic tapestry where opposing forces vied for dominion. Amid this struggle, there emerged an entity known as Satan, a deity of shadow and power who cast"&amp;" an irresistible allure over those drawn to his infernal energies. Those who sought his favor were granted forbidden knowledge and otherworldly abilities, their loyalty solidified in blood oaths and unholy pacts.
As time passed, the faithful of Satan gat"&amp;"hered in secret, drawn to the deity's promises of power and dominion over both the physical and spiritual realms. These disciples, known as the Coven of Shadows, sought to create a city where their devotion to Satan could thrive without fear of persecutio"&amp;"n. Guided by dark rituals and infernal magic, they fashioned the Satanic City from the very essence of the abyss itself.
The city's architecture reflected the dark beauty of its inhabitants' souls. Towers and spires soared into the heavens, adorned with "&amp;"demonic sigils and motifs that celebrated their allegiance to Satan. The streets were lined with shadows that danced to an otherworldly rhythm, and the air was thick with the aura of malevolence that permeated the realm. The city's very foundation seemed "&amp;"to pulse with the heartbeat of the infernal.
At the heart of the Satanic City lay the Infernal Citadel, a fortress of obsidian and flame that housed Satan himself. Within its shadowed halls, the faithful gathered to pay homage to their deity and seek his"&amp;" counsel. The guardians of the city, known as the Abyssal Wardens, were sworn to protect the Infernal Citadel and its malevolent ruler at all costs. These guardians were chosen for their unwavering loyalty and mastery of infernal arts, their powers woven "&amp;"from the very energies that defined their patron deity.
However, the power of the Satanic City did not go unnoticed by the cosmic forces that watched over Abstara. A coalition of celestial beings and champions of light, known as the Radiant Covenant, sou"&amp;"ght to purge the city of its infernal influence. The ensuing conflict between the Coven of Shadows and the Radiant Covenant became a battle that spanned realms, as celestial and infernal energies clashed in a cataclysmic confrontation.
The struggle reach"&amp;"ed its zenith in a clash of cosmic proportions within the very heart of the Satanic City. The skies themselves seemed to crack as the powers of light and darkness collided, their energies creating an inferno that threatened to consume all. In a final conf"&amp;"rontation that tested the limits of reality, the Radiant Covenant's champions managed to weaken the Coven of Shadows' hold on the city, breaking the infernal bonds that anchored it to the abyss.
In the aftermath of the conflict, the Satanic City was fore"&amp;"ver changed. The Infernal Citadel crumbled, and the Coven of Shadows was scattered. The Radiant Covenant's victory left a lingering mark on the city, its inhabitants now forced to reckon with the consequences of their allegiance to darkness.
In the prese"&amp;"nt era, the Satanic City stands as a fractured realm, its architecture scarred by the battle that transpired. The Abyssal Wardens, once fierce defenders of Satan's domain, now find themselves wrestling with their loyalties as the city grapples with its id"&amp;"entity in the wake of defeat. The city's streets are haunted by the memories of the cosmic clash that reshaped its fate, and the darkness that once thrived has been tempered by the victorious forces of light.
The Satanic City remains a place of conflict "&amp;"and contradiction, where the echoes of the infernal past mingle with the uncertain future. Its inhabitants navigate a realm marked by the balance between light and darkness, caught in the interplay of cosmic forces that define Abstara's destiny. And as th"&amp;"ey seek to redefine their city's purpose and allegiance, the Satanic City becomes a story of redemption and transformation in the ever-evolving world of Abstara.")</f>
        <v>This sprawling metropolis, a testament to the infernal might that can shape worlds, serves as a haven for those who revere the malevolent deity known as Satan. The city's origins are woven from rebellion, worship, and the symbiotic relationship between power and servitude.
Before the Satanic City's rise, Abstara was a realm of both light and darkness, a cosmic tapestry where opposing forces vied for dominion. Amid this struggle, there emerged an entity known as Satan, a deity of shadow and power who cast an irresistible allure over those drawn to his infernal energies. Those who sought his favor were granted forbidden knowledge and otherworldly abilities, their loyalty solidified in blood oaths and unholy pacts.
As time passed, the faithful of Satan gathered in secret, drawn to the deity's promises of power and dominion over both the physical and spiritual realms. These disciples, known as the Coven of Shadows, sought to create a city where their devotion to Satan could thrive without fear of persecution. Guided by dark rituals and infernal magic, they fashioned the Satanic City from the very essence of the abyss itself.
The city's architecture reflected the dark beauty of its inhabitants' souls. Towers and spires soared into the heavens, adorned with demonic sigils and motifs that celebrated their allegiance to Satan. The streets were lined with shadows that danced to an otherworldly rhythm, and the air was thick with the aura of malevolence that permeated the realm. The city's very foundation seemed to pulse with the heartbeat of the infernal.
At the heart of the Satanic City lay the Infernal Citadel, a fortress of obsidian and flame that housed Satan himself. Within its shadowed halls, the faithful gathered to pay homage to their deity and seek his counsel. The guardians of the city, known as the Abyssal Wardens, were sworn to protect the Infernal Citadel and its malevolent ruler at all costs. These guardians were chosen for their unwavering loyalty and mastery of infernal arts, their powers woven from the very energies that defined their patron deity.
However, the power of the Satanic City did not go unnoticed by the cosmic forces that watched over Abstara. A coalition of celestial beings and champions of light, known as the Radiant Covenant, sought to purge the city of its infernal influence. The ensuing conflict between the Coven of Shadows and the Radiant Covenant became a battle that spanned realms, as celestial and infernal energies clashed in a cataclysmic confrontation.
The struggle reached its zenith in a clash of cosmic proportions within the very heart of the Satanic City. The skies themselves seemed to crack as the powers of light and darkness collided, their energies creating an inferno that threatened to consume all. In a final confrontation that tested the limits of reality, the Radiant Covenant's champions managed to weaken the Coven of Shadows' hold on the city, breaking the infernal bonds that anchored it to the abyss.
In the aftermath of the conflict, the Satanic City was forever changed. The Infernal Citadel crumbled, and the Coven of Shadows was scattered. The Radiant Covenant's victory left a lingering mark on the city, its inhabitants now forced to reckon with the consequences of their allegiance to darkness.
In the present era, the Satanic City stands as a fractured realm, its architecture scarred by the battle that transpired. The Abyssal Wardens, once fierce defenders of Satan's domain, now find themselves wrestling with their loyalties as the city grapples with its identity in the wake of defeat. The city's streets are haunted by the memories of the cosmic clash that reshaped its fate, and the darkness that once thrived has been tempered by the victorious forces of light.
The Satanic City remains a place of conflict and contradiction, where the echoes of the infernal past mingle with the uncertain future. Its inhabitants navigate a realm marked by the balance between light and darkness, caught in the interplay of cosmic forces that define Abstara's destiny. And as they seek to redefine their city's purpose and allegiance, the Satanic City becomes a story of redemption and transformation in the ever-evolving world of Abstara.</v>
      </c>
      <c r="C58" s="1" t="str">
        <f>IFERROR(__xludf.DUMMYFUNCTION("""COMPUTED_VALUE"""),"Abstara")</f>
        <v>Abstara</v>
      </c>
      <c r="D58" s="1"/>
      <c r="E58" s="102">
        <f>IFERROR(__xludf.DUMMYFUNCTION("""COMPUTED_VALUE"""),1.0E9)</f>
        <v>1000000000</v>
      </c>
      <c r="F58" s="1" t="str">
        <f>IFERROR(__xludf.DUMMYFUNCTION("""COMPUTED_VALUE"""),"UndeadCoin")</f>
        <v>UndeadCoin</v>
      </c>
      <c r="G58" s="1"/>
      <c r="H58" s="1"/>
      <c r="I58" s="1"/>
      <c r="J58" s="1"/>
      <c r="K58" s="1"/>
      <c r="L58" s="1"/>
      <c r="M58" s="1"/>
      <c r="N58" s="1"/>
      <c r="O58" s="1"/>
      <c r="P58" s="1"/>
      <c r="Q58" s="1"/>
      <c r="R58" s="1"/>
      <c r="S58" s="1"/>
      <c r="T58" s="1"/>
      <c r="U58" s="1"/>
      <c r="V58" s="1"/>
      <c r="W58" s="1"/>
      <c r="X58" s="1"/>
      <c r="Y58" s="1"/>
      <c r="Z58" s="1"/>
    </row>
    <row r="59">
      <c r="A59" s="1" t="str">
        <f>IFERROR(__xludf.DUMMYFUNCTION("""COMPUTED_VALUE"""),"Smoldering Ocean")</f>
        <v>Smoldering Ocean</v>
      </c>
      <c r="B59" s="1" t="str">
        <f>IFERROR(__xludf.DUMMYFUNCTION("""COMPUTED_VALUE"""),"This ocean of volcanic ash and molten lava stands as a testament to the raw power of the realm's primal forces. Guarding its depths is an ancient and formidable sea creature, a guardian shaped by the very elements it calls home. The origins of the Smolder"&amp;"ing Ocean are forged in cataclysm and rebirth, a tale of creation, destruction, and the relentless cycle of elemental forces.
Long before the Smoldering Ocean emerged, Abstara was a realm defined by the dance of elements – fire, water, earth, and air. Th"&amp;"e realm's primal energies collided in a symphony of creation and destruction, shaping its landscapes and inhabitants in a perpetual cycle of rebirth. Within the heart of Abstara's fiery core, the seeds of the Smoldering Ocean were sown, as the molten fire"&amp;"s of the realm's volcanic heart met the cool embrace of the cosmic waters.
The clash of these opposing forces gave birth to the Smoldering Ocean – a realm where volcanic ash and molten lava churned and roiled, creating a fiery expanse that defied convent"&amp;"ional notions of an ocean. The waves of this ocean were a dance of flame and ash, and its depths glowed with an inner light that could rival the sun. The Smoldering Ocean's tumultuous waters held the power to reshape the land and sky, and its existence wa"&amp;"s both a testament to elemental chaos and an embodiment of creation's raw power.
Amidst the fiery waves and ash-laden skies, an ancient sea creature known as Pyrothar emerged as the guardian of the Smoldering Ocean. Born from the fusion of the realm's vo"&amp;"lcanic heart and the cosmic waters, Pyrothar embodied the convergence of elements in its very form. Its scales gleamed with the fiery hues of molten rock, and its eyes shone like smoldering embers. Towering above the waves, Pyrothar's presence exuded both"&amp;" power and a timeless wisdom drawn from eons of existence.
Pyrothar's role as guardian was forged from a symbiotic bond with the Smoldering Ocean itself. The creature's elemental essence was woven into the very fabric of the ocean, its movements shaping "&amp;"the currents and tides. Pyrothar's influence extended beyond the ocean's shores, affecting the very geology of the realm and determining the fate of volcanic landscapes that stretched beyond the horizon.
In ages past, a cataclysmic event known as the Bla"&amp;"ze Tidalwave swept across Abstara. A collision of cosmic forces triggered an infernal cataclysm that unleashed a wave of fiery devastation, threatening to engulf the entire realm. In the midst of this cataclysm, Pyrothar emerged as a beacon of resistance,"&amp;" channeling its elemental might to quell the Blaze Tidalwave's fury. Its sacrifice left an indelible mark on the realm, transforming the Smoldering Ocean into a sea of eternal fire.
In the present era, the Smoldering Ocean remains a realm of fiery beauty"&amp;" and danger. Its volcanic ash and molten waves are a testament to the primal forces that define Abstara's nature, and the glowing depths hold secrets of creation and cataclysm. Pyrothar's legacy lives on, an ancient guardian still towering above the fiery"&amp;" waves, its presence a reminder of the realm's unyielding cycle of destruction and rebirth. The Smoldering Ocean stands as a realm where the elements themselves are the architects of destiny, and where the guardians of fire and water shape the world's des"&amp;"tiny in ways that challenge understanding and ignite the imagination.")</f>
        <v>This ocean of volcanic ash and molten lava stands as a testament to the raw power of the realm's primal forces. Guarding its depths is an ancient and formidable sea creature, a guardian shaped by the very elements it calls home. The origins of the Smoldering Ocean are forged in cataclysm and rebirth, a tale of creation, destruction, and the relentless cycle of elemental forces.
Long before the Smoldering Ocean emerged, Abstara was a realm defined by the dance of elements – fire, water, earth, and air. The realm's primal energies collided in a symphony of creation and destruction, shaping its landscapes and inhabitants in a perpetual cycle of rebirth. Within the heart of Abstara's fiery core, the seeds of the Smoldering Ocean were sown, as the molten fires of the realm's volcanic heart met the cool embrace of the cosmic waters.
The clash of these opposing forces gave birth to the Smoldering Ocean – a realm where volcanic ash and molten lava churned and roiled, creating a fiery expanse that defied conventional notions of an ocean. The waves of this ocean were a dance of flame and ash, and its depths glowed with an inner light that could rival the sun. The Smoldering Ocean's tumultuous waters held the power to reshape the land and sky, and its existence was both a testament to elemental chaos and an embodiment of creation's raw power.
Amidst the fiery waves and ash-laden skies, an ancient sea creature known as Pyrothar emerged as the guardian of the Smoldering Ocean. Born from the fusion of the realm's volcanic heart and the cosmic waters, Pyrothar embodied the convergence of elements in its very form. Its scales gleamed with the fiery hues of molten rock, and its eyes shone like smoldering embers. Towering above the waves, Pyrothar's presence exuded both power and a timeless wisdom drawn from eons of existence.
Pyrothar's role as guardian was forged from a symbiotic bond with the Smoldering Ocean itself. The creature's elemental essence was woven into the very fabric of the ocean, its movements shaping the currents and tides. Pyrothar's influence extended beyond the ocean's shores, affecting the very geology of the realm and determining the fate of volcanic landscapes that stretched beyond the horizon.
In ages past, a cataclysmic event known as the Blaze Tidalwave swept across Abstara. A collision of cosmic forces triggered an infernal cataclysm that unleashed a wave of fiery devastation, threatening to engulf the entire realm. In the midst of this cataclysm, Pyrothar emerged as a beacon of resistance, channeling its elemental might to quell the Blaze Tidalwave's fury. Its sacrifice left an indelible mark on the realm, transforming the Smoldering Ocean into a sea of eternal fire.
In the present era, the Smoldering Ocean remains a realm of fiery beauty and danger. Its volcanic ash and molten waves are a testament to the primal forces that define Abstara's nature, and the glowing depths hold secrets of creation and cataclysm. Pyrothar's legacy lives on, an ancient guardian still towering above the fiery waves, its presence a reminder of the realm's unyielding cycle of destruction and rebirth. The Smoldering Ocean stands as a realm where the elements themselves are the architects of destiny, and where the guardians of fire and water shape the world's destiny in ways that challenge understanding and ignite the imagination.</v>
      </c>
      <c r="C59" s="1" t="str">
        <f>IFERROR(__xludf.DUMMYFUNCTION("""COMPUTED_VALUE"""),"Abstara")</f>
        <v>Abstara</v>
      </c>
      <c r="D59" s="1"/>
      <c r="E59" s="102">
        <f>IFERROR(__xludf.DUMMYFUNCTION("""COMPUTED_VALUE"""),1.0E9)</f>
        <v>1000000000</v>
      </c>
      <c r="F59" s="1" t="str">
        <f>IFERROR(__xludf.DUMMYFUNCTION("""COMPUTED_VALUE"""),"UndeadCoin")</f>
        <v>UndeadCoin</v>
      </c>
      <c r="G59" s="1"/>
      <c r="H59" s="1"/>
      <c r="I59" s="1"/>
      <c r="J59" s="1"/>
      <c r="K59" s="1"/>
      <c r="L59" s="1"/>
      <c r="M59" s="1"/>
      <c r="N59" s="1"/>
      <c r="O59" s="1"/>
      <c r="P59" s="1"/>
      <c r="Q59" s="1"/>
      <c r="R59" s="1"/>
      <c r="S59" s="1"/>
      <c r="T59" s="1"/>
      <c r="U59" s="1"/>
      <c r="V59" s="1"/>
      <c r="W59" s="1"/>
      <c r="X59" s="1"/>
      <c r="Y59" s="1"/>
      <c r="Z59" s="1"/>
    </row>
    <row r="60">
      <c r="A60" s="1" t="str">
        <f>IFERROR(__xludf.DUMMYFUNCTION("""COMPUTED_VALUE"""),"Soul Empire")</f>
        <v>Soul Empire</v>
      </c>
      <c r="B60" s="1" t="str">
        <f>IFERROR(__xludf.DUMMYFUNCTION("""COMPUTED_VALUE"""),"This enigmatic city of lost souls stands as a testament to the fragility of existence and the persistence of identity beyond the confines of mortality. Ruled by a being known as the King of Souls, this empire is a realm of ethereal mystery and boundless p"&amp;"ower. The origins of the Soul Empire are woven from tragedy, dominion, and the complex interplay between the realms of the living and the dead.
Long before the Soul Empire came into existence, Abstara was a realm where the balance between life and death "&amp;"was as delicate as a spider's thread. The energies that flowed through the realm's veins gave rise to souls, each a unique fragment of consciousness shaped by the experiences of the living. But as time passed, a malaise began to seep into the very fabric "&amp;"of Abstara, leading to an imbalance between the realms of the living and the dead.
Amidst the growing unrest, a figure emerged with the power to command the souls that wandered the borderlands between life and death. This being, known as the King of Soul"&amp;"s, possessed an enigmatic form that seemed to shift between the ethereal and the corporeal. With an iron will and an insatiable desire for dominion, the King of Souls sought to establish a realm where the lost souls of Abstara could find purpose and ident"&amp;"ity once more.
Using his mastery over the souls, the King of Souls shaped the Soul Empire from the memories, emotions, and regrets of those who had passed beyond the veil of mortality. The city that emerged was a haunting landscape where spectral streets"&amp;" twisted and turned, its buildings forged from echoes of a time long gone. The souls that roamed its alleys retained their individuality, yet their forms were ephemeral, shifting between moments of clarity and distortion.
At the heart of the Soul Empire,"&amp;" the King of Souls ruled from a grand citadel, a manifestation of his dominion over the realm's essence. His presence was both unsettling and mesmerizing, his eyes aflame with the collective knowledge and experiences of the countless souls that he command"&amp;"ed. His power over the souls granted him dominion over their pasts, their regrets, and their desires, and he wielded them like threads in a cosmic tapestry.
Over time, the King of Souls' influence spread, and the Soul Empire became a realm that drew in s"&amp;"ouls seeking solace, redemption, or purpose. Yet, with the promise of a second chance came a heavy price – the King of Souls' dominion over their destinies. Many willingly submitted to his rule, trading their autonomy for a chance to rewrite their stories"&amp;". Others resisted, driven by a refusal to bend to his will.
The Soul Empire became a realm of dichotomy, where the living and the dead intermingled, and the boundaries between reality and the ethereal were blurred. The King of Souls' influence extended b"&amp;"eyond his realm, influencing the fate of souls that traversed Abstara's vast expanse. His power grew, fueled by the choices and emotions of the souls he commanded, until his dominion seemed all-encompassing.
In the present era, the Soul Empire remains a "&amp;"realm of mystery and paradox. Its spectral streets are populated by souls both willing and unwilling to bend to the King's rule, each carrying the weight of their past experiences. The King of Souls' citadel stands as a testament to his power, and his gaz"&amp;"e continues to pierce through the veils of existence, influencing the lives of those who traverse Abstara.
The Soul Empire serves as a realm of reflection and contemplation, a place where the boundaries of identity and destiny are tested. As the living a"&amp;"nd the dead cross paths within its twisted streets, the Soul Empire stands as a poignant reminder that even in the face of death, the echoes of life's choices and emotions persist. And as the King of Souls' dominion remains unchallenged, the realm serves "&amp;"as a haunting exploration of the profound connection between the realms of the living and the dead in the world of Abstara.")</f>
        <v>This enigmatic city of lost souls stands as a testament to the fragility of existence and the persistence of identity beyond the confines of mortality. Ruled by a being known as the King of Souls, this empire is a realm of ethereal mystery and boundless power. The origins of the Soul Empire are woven from tragedy, dominion, and the complex interplay between the realms of the living and the dead.
Long before the Soul Empire came into existence, Abstara was a realm where the balance between life and death was as delicate as a spider's thread. The energies that flowed through the realm's veins gave rise to souls, each a unique fragment of consciousness shaped by the experiences of the living. But as time passed, a malaise began to seep into the very fabric of Abstara, leading to an imbalance between the realms of the living and the dead.
Amidst the growing unrest, a figure emerged with the power to command the souls that wandered the borderlands between life and death. This being, known as the King of Souls, possessed an enigmatic form that seemed to shift between the ethereal and the corporeal. With an iron will and an insatiable desire for dominion, the King of Souls sought to establish a realm where the lost souls of Abstara could find purpose and identity once more.
Using his mastery over the souls, the King of Souls shaped the Soul Empire from the memories, emotions, and regrets of those who had passed beyond the veil of mortality. The city that emerged was a haunting landscape where spectral streets twisted and turned, its buildings forged from echoes of a time long gone. The souls that roamed its alleys retained their individuality, yet their forms were ephemeral, shifting between moments of clarity and distortion.
At the heart of the Soul Empire, the King of Souls ruled from a grand citadel, a manifestation of his dominion over the realm's essence. His presence was both unsettling and mesmerizing, his eyes aflame with the collective knowledge and experiences of the countless souls that he commanded. His power over the souls granted him dominion over their pasts, their regrets, and their desires, and he wielded them like threads in a cosmic tapestry.
Over time, the King of Souls' influence spread, and the Soul Empire became a realm that drew in souls seeking solace, redemption, or purpose. Yet, with the promise of a second chance came a heavy price – the King of Souls' dominion over their destinies. Many willingly submitted to his rule, trading their autonomy for a chance to rewrite their stories. Others resisted, driven by a refusal to bend to his will.
The Soul Empire became a realm of dichotomy, where the living and the dead intermingled, and the boundaries between reality and the ethereal were blurred. The King of Souls' influence extended beyond his realm, influencing the fate of souls that traversed Abstara's vast expanse. His power grew, fueled by the choices and emotions of the souls he commanded, until his dominion seemed all-encompassing.
In the present era, the Soul Empire remains a realm of mystery and paradox. Its spectral streets are populated by souls both willing and unwilling to bend to the King's rule, each carrying the weight of their past experiences. The King of Souls' citadel stands as a testament to his power, and his gaze continues to pierce through the veils of existence, influencing the lives of those who traverse Abstara.
The Soul Empire serves as a realm of reflection and contemplation, a place where the boundaries of identity and destiny are tested. As the living and the dead cross paths within its twisted streets, the Soul Empire stands as a poignant reminder that even in the face of death, the echoes of life's choices and emotions persist. And as the King of Souls' dominion remains unchallenged, the realm serves as a haunting exploration of the profound connection between the realms of the living and the dead in the world of Abstara.</v>
      </c>
      <c r="C60" s="1" t="str">
        <f>IFERROR(__xludf.DUMMYFUNCTION("""COMPUTED_VALUE"""),"Abstara")</f>
        <v>Abstara</v>
      </c>
      <c r="D60" s="1"/>
      <c r="E60" s="102">
        <f>IFERROR(__xludf.DUMMYFUNCTION("""COMPUTED_VALUE"""),1.0E9)</f>
        <v>1000000000</v>
      </c>
      <c r="F60" s="1" t="str">
        <f>IFERROR(__xludf.DUMMYFUNCTION("""COMPUTED_VALUE"""),"UndeadCoin")</f>
        <v>UndeadCoin</v>
      </c>
      <c r="G60" s="1"/>
      <c r="H60" s="1"/>
      <c r="I60" s="1"/>
      <c r="J60" s="1"/>
      <c r="K60" s="1"/>
      <c r="L60" s="1"/>
      <c r="M60" s="1"/>
      <c r="N60" s="1"/>
      <c r="O60" s="1"/>
      <c r="P60" s="1"/>
      <c r="Q60" s="1"/>
      <c r="R60" s="1"/>
      <c r="S60" s="1"/>
      <c r="T60" s="1"/>
      <c r="U60" s="1"/>
      <c r="V60" s="1"/>
      <c r="W60" s="1"/>
      <c r="X60" s="1"/>
      <c r="Y60" s="1"/>
      <c r="Z60" s="1"/>
    </row>
    <row r="61">
      <c r="A61" s="1" t="str">
        <f>IFERROR(__xludf.DUMMYFUNCTION("""COMPUTED_VALUE"""),"The Black Lake")</f>
        <v>The Black Lake</v>
      </c>
      <c r="B61" s="1" t="str">
        <f>IFERROR(__xludf.DUMMYFUNCTION("""COMPUTED_VALUE"""),"This lake, shrouded in darkness and secrets, is a place of whispers and legends, a place where those who venture too close risk becoming a part of its eerie history. Guarding its depths is the ancient and fearsome Black Serpent Dragon, a creature whose po"&amp;"wer mirrors the mysteries of the lake itself. The origins of The Black Lake are veiled in darkness, tragedy, and the insatiable allure of the unknown.
Long before The Black Lake emerged as a haunting presence, Abstara was a realm of diverse landscapes an"&amp;"d magical energies. Within this realm, there existed a place of unparalleled beauty, a lush valley that cradled a serene lake. This body of water was a source of life and tranquility, its crystalline waters reflecting the beauty of the world around it.
H"&amp;"owever, the lake's tranquility was shattered by a series of inexplicable events. Whispers of a malevolent force lurking beneath the surface began to circulate among the inhabitants of the nearby settlements. Strange disappearances were reported, with thos"&amp;"e who ventured too close to the lake vanishing without a trace. Fear and unease settled over the valley, and the once-beloved lake became a place of dread.
It wasn't until an intrepid group of adventurers ventured into the heart of the valley that the tr"&amp;"ue nature of The Black Lake was revealed. The adventurers, determined to uncover the source of the lake's curse, found themselves drawn to the water's edge. One by one, they succumbed to an irresistible compulsion and stepped into the inky depths of the l"&amp;"ake.
As each adventurer submerged into the water, their forms began to shift and distort, becoming eerie shadows that mirrored the lake's dark surface. Their consciousness seemed to merge with the very essence of the lake, their voices and identities sil"&amp;"enced. The valley echoed with the chilling sound of their fading cries, and the lake's true nature was laid bare.
The transformation of the adventurers marked the awakening of the Black Serpent Dragon, an ancient and malevolent entity that had slumbered "&amp;"beneath the lake's surface for untold eons. The dragon's form was a coiling mass of darkness and shadow, its eyes glinting with an intelligence born of an existence steeped in mystery. As the dragon stirred, its power spread throughout the lake, its influ"&amp;"ence seeping into the very fabric of the realm.
The Black Serpent Dragon assumed its role as guardian of The Black Lake, a creature of darkness that ensured the lake's curse endured. Its mere presence twisted reality, transforming those who dared to appr"&amp;"oach into shadows of their former selves. The lake became a reflection of the dragon's power, a realm of darkness and lost souls where those who ventured too close were forever lost to its depths.
In the present era, The Black Lake stands as a haunting r"&amp;"eminder of the consequences of curiosity and the allure of the unknown. Its dark waters and eerie whispers continue to draw the unwary, tempting them with the promise of secrets that lie beneath the surface. The Black Serpent Dragon's watchful eyes remain"&amp;" fixed upon the realm, a guardian of shadows that ensures the lake's dark legacy endures.
The Black Lake serves as a realm of caution and mystery, a place where the line between reality and illusion blurs and where the power of an ancient guardian shapes"&amp;" the fates of those who dare to venture too close. As shadows dance upon its surface and the echoes of long-lost cries linger in the air, The Black Lake stands as a haunting testament to the dangers of curiosity and the enduring power of the unknown in th"&amp;"e world of Abstara.")</f>
        <v>This lake, shrouded in darkness and secrets, is a place of whispers and legends, a place where those who venture too close risk becoming a part of its eerie history. Guarding its depths is the ancient and fearsome Black Serpent Dragon, a creature whose power mirrors the mysteries of the lake itself. The origins of The Black Lake are veiled in darkness, tragedy, and the insatiable allure of the unknown.
Long before The Black Lake emerged as a haunting presence, Abstara was a realm of diverse landscapes and magical energies. Within this realm, there existed a place of unparalleled beauty, a lush valley that cradled a serene lake. This body of water was a source of life and tranquility, its crystalline waters reflecting the beauty of the world around it.
However, the lake's tranquility was shattered by a series of inexplicable events. Whispers of a malevolent force lurking beneath the surface began to circulate among the inhabitants of the nearby settlements. Strange disappearances were reported, with those who ventured too close to the lake vanishing without a trace. Fear and unease settled over the valley, and the once-beloved lake became a place of dread.
It wasn't until an intrepid group of adventurers ventured into the heart of the valley that the true nature of The Black Lake was revealed. The adventurers, determined to uncover the source of the lake's curse, found themselves drawn to the water's edge. One by one, they succumbed to an irresistible compulsion and stepped into the inky depths of the lake.
As each adventurer submerged into the water, their forms began to shift and distort, becoming eerie shadows that mirrored the lake's dark surface. Their consciousness seemed to merge with the very essence of the lake, their voices and identities silenced. The valley echoed with the chilling sound of their fading cries, and the lake's true nature was laid bare.
The transformation of the adventurers marked the awakening of the Black Serpent Dragon, an ancient and malevolent entity that had slumbered beneath the lake's surface for untold eons. The dragon's form was a coiling mass of darkness and shadow, its eyes glinting with an intelligence born of an existence steeped in mystery. As the dragon stirred, its power spread throughout the lake, its influence seeping into the very fabric of the realm.
The Black Serpent Dragon assumed its role as guardian of The Black Lake, a creature of darkness that ensured the lake's curse endured. Its mere presence twisted reality, transforming those who dared to approach into shadows of their former selves. The lake became a reflection of the dragon's power, a realm of darkness and lost souls where those who ventured too close were forever lost to its depths.
In the present era, The Black Lake stands as a haunting reminder of the consequences of curiosity and the allure of the unknown. Its dark waters and eerie whispers continue to draw the unwary, tempting them with the promise of secrets that lie beneath the surface. The Black Serpent Dragon's watchful eyes remain fixed upon the realm, a guardian of shadows that ensures the lake's dark legacy endures.
The Black Lake serves as a realm of caution and mystery, a place where the line between reality and illusion blurs and where the power of an ancient guardian shapes the fates of those who dare to venture too close. As shadows dance upon its surface and the echoes of long-lost cries linger in the air, The Black Lake stands as a haunting testament to the dangers of curiosity and the enduring power of the unknown in the world of Abstara.</v>
      </c>
      <c r="C61" s="1" t="str">
        <f>IFERROR(__xludf.DUMMYFUNCTION("""COMPUTED_VALUE"""),"Abstara")</f>
        <v>Abstara</v>
      </c>
      <c r="D61" s="1"/>
      <c r="E61" s="102">
        <f>IFERROR(__xludf.DUMMYFUNCTION("""COMPUTED_VALUE"""),1.0E9)</f>
        <v>1000000000</v>
      </c>
      <c r="F61" s="1" t="str">
        <f>IFERROR(__xludf.DUMMYFUNCTION("""COMPUTED_VALUE"""),"UndeadCoin")</f>
        <v>UndeadCoin</v>
      </c>
      <c r="G61" s="1"/>
      <c r="H61" s="1"/>
      <c r="I61" s="1"/>
      <c r="J61" s="1"/>
      <c r="K61" s="1"/>
      <c r="L61" s="1"/>
      <c r="M61" s="1"/>
      <c r="N61" s="1"/>
      <c r="O61" s="1"/>
      <c r="P61" s="1"/>
      <c r="Q61" s="1"/>
      <c r="R61" s="1"/>
      <c r="S61" s="1"/>
      <c r="T61" s="1"/>
      <c r="U61" s="1"/>
      <c r="V61" s="1"/>
      <c r="W61" s="1"/>
      <c r="X61" s="1"/>
      <c r="Y61" s="1"/>
      <c r="Z61" s="1"/>
    </row>
    <row r="62">
      <c r="A62" s="1" t="str">
        <f>IFERROR(__xludf.DUMMYFUNCTION("""COMPUTED_VALUE"""),"The Inferno Lake")</f>
        <v>The Inferno Lake</v>
      </c>
      <c r="B62" s="1" t="str">
        <f>IFERROR(__xludf.DUMMYFUNCTION("""COMPUTED_VALUE"""),"This extraordinary body of molten lava, both a deadly arena and a place of elemental wonder, defies conventional notions of land and water. Within its fiery depths resides the enigmatic Volcanic Serpent, a creature whose nature mirrors the dualities of it"&amp;"s fiery domain. The origins of The Inferno Lake are forged in cataclysm, transformation, and the ceaseless dance of elemental forces.
Long before The Inferno Lake emerged as a blazing arena, Abstara was a realm where the elemental forces reigned supreme,"&amp;" shaping its landscapes and defining its inhabitants. The clash of these primal energies gave birth to a convergence of fire and earth, a place where molten lava flowed like rivers and fiery geysers erupted into the skies. Amidst this volcanic landscape, "&amp;"the foundation of The Inferno Lake was laid.
The birth of The Inferno Lake was a cataclysmic event that saw the convergence of multiple volcanic eruptions, a cosmic dance that shaped the molten landscape and gave birth to an arena unlike any other. The l"&amp;"ava's flow formed a churning basin that reflected the fiery glow of the skies, a body of liquid flame that seemed to defy the boundaries of conventional reality.
As the volcanic energies coalesced, the Volcanic Serpent emerged from the molten depths. Thi"&amp;"s creature, a living embodiment of the fire and lava that defined its home, bore the form of a serpentine being wreathed in flames. Its scales glowed with an inner fire, its eyes burning with an ancient intelligence that transcended the elements themselve"&amp;"s. The Volcanic Serpent's existence was an eternal dance of creation and destruction, mirroring the fiery realm in which it dwelled.
With its emergence, the Volcanic Serpent claimed its role as both guardian and master of The Inferno Lake. The creature's"&amp;" power over the molten fires allowed it to manipulate the arena's landscape, shaping the currents of lava and crafting platforms that defied the flames' intensity. It transformed the lake into an arena where daring warriors, adventurers, and beings from a"&amp;"cross Abstara could test their mettle in the crucible of elemental chaos.
Legends of The Inferno Lake and its guardian spread across the realm, drawing the bravest and the boldest to its shores. These warriors sought the ultimate challenge, their motivat"&amp;"ions ranging from the pursuit of glory to the desire for dominion over the flames themselves. As each contender stepped onto the arena's molten shores, the Volcanic Serpent watched with an unblinking gaze, ready to witness the dance of life and death that"&amp;" unfolded before its fiery eyes.
In the present era, The Inferno Lake remains an arena of elemental fury and challenge. Its fiery currents and shifting platforms provide a crucible where only the strongest and most adaptable can survive. The Volcanic Ser"&amp;"pent's watchful presence continues to draw the brave and the reckless, offering them a chance to test their skills and courage against the raw power of the elements.
The Inferno Lake stands as a realm of transformation and triumph, a place where the boun"&amp;"daries of reality blur amidst the flames and where warriors prove their mettle amidst the elemental chaos. As the molten currents continue to churn and the Volcanic Serpent's fiery gaze remains unyielding, The Inferno Lake becomes a story of power and pro"&amp;"wess, where the dance of fire and life unfolds in a blazing symphony within the world of Abstara.")</f>
        <v>This extraordinary body of molten lava, both a deadly arena and a place of elemental wonder, defies conventional notions of land and water. Within its fiery depths resides the enigmatic Volcanic Serpent, a creature whose nature mirrors the dualities of its fiery domain. The origins of The Inferno Lake are forged in cataclysm, transformation, and the ceaseless dance of elemental forces.
Long before The Inferno Lake emerged as a blazing arena, Abstara was a realm where the elemental forces reigned supreme, shaping its landscapes and defining its inhabitants. The clash of these primal energies gave birth to a convergence of fire and earth, a place where molten lava flowed like rivers and fiery geysers erupted into the skies. Amidst this volcanic landscape, the foundation of The Inferno Lake was laid.
The birth of The Inferno Lake was a cataclysmic event that saw the convergence of multiple volcanic eruptions, a cosmic dance that shaped the molten landscape and gave birth to an arena unlike any other. The lava's flow formed a churning basin that reflected the fiery glow of the skies, a body of liquid flame that seemed to defy the boundaries of conventional reality.
As the volcanic energies coalesced, the Volcanic Serpent emerged from the molten depths. This creature, a living embodiment of the fire and lava that defined its home, bore the form of a serpentine being wreathed in flames. Its scales glowed with an inner fire, its eyes burning with an ancient intelligence that transcended the elements themselves. The Volcanic Serpent's existence was an eternal dance of creation and destruction, mirroring the fiery realm in which it dwelled.
With its emergence, the Volcanic Serpent claimed its role as both guardian and master of The Inferno Lake. The creature's power over the molten fires allowed it to manipulate the arena's landscape, shaping the currents of lava and crafting platforms that defied the flames' intensity. It transformed the lake into an arena where daring warriors, adventurers, and beings from across Abstara could test their mettle in the crucible of elemental chaos.
Legends of The Inferno Lake and its guardian spread across the realm, drawing the bravest and the boldest to its shores. These warriors sought the ultimate challenge, their motivations ranging from the pursuit of glory to the desire for dominion over the flames themselves. As each contender stepped onto the arena's molten shores, the Volcanic Serpent watched with an unblinking gaze, ready to witness the dance of life and death that unfolded before its fiery eyes.
In the present era, The Inferno Lake remains an arena of elemental fury and challenge. Its fiery currents and shifting platforms provide a crucible where only the strongest and most adaptable can survive. The Volcanic Serpent's watchful presence continues to draw the brave and the reckless, offering them a chance to test their skills and courage against the raw power of the elements.
The Inferno Lake stands as a realm of transformation and triumph, a place where the boundaries of reality blur amidst the flames and where warriors prove their mettle amidst the elemental chaos. As the molten currents continue to churn and the Volcanic Serpent's fiery gaze remains unyielding, The Inferno Lake becomes a story of power and prowess, where the dance of fire and life unfolds in a blazing symphony within the world of Abstara.</v>
      </c>
      <c r="C62" s="1" t="str">
        <f>IFERROR(__xludf.DUMMYFUNCTION("""COMPUTED_VALUE"""),"Abstara")</f>
        <v>Abstara</v>
      </c>
      <c r="D62" s="1"/>
      <c r="E62" s="102">
        <f>IFERROR(__xludf.DUMMYFUNCTION("""COMPUTED_VALUE"""),1.0E9)</f>
        <v>1000000000</v>
      </c>
      <c r="F62" s="1" t="str">
        <f>IFERROR(__xludf.DUMMYFUNCTION("""COMPUTED_VALUE"""),"UndeadCoin")</f>
        <v>UndeadCoin</v>
      </c>
      <c r="G62" s="1"/>
      <c r="H62" s="1"/>
      <c r="I62" s="1"/>
      <c r="J62" s="1"/>
      <c r="K62" s="1"/>
      <c r="L62" s="1"/>
      <c r="M62" s="1"/>
      <c r="N62" s="1"/>
      <c r="O62" s="1"/>
      <c r="P62" s="1"/>
      <c r="Q62" s="1"/>
      <c r="R62" s="1"/>
      <c r="S62" s="1"/>
      <c r="T62" s="1"/>
      <c r="U62" s="1"/>
      <c r="V62" s="1"/>
      <c r="W62" s="1"/>
      <c r="X62" s="1"/>
      <c r="Y62" s="1"/>
      <c r="Z62" s="1"/>
    </row>
    <row r="63">
      <c r="A63" s="1" t="str">
        <f>IFERROR(__xludf.DUMMYFUNCTION("""COMPUTED_VALUE"""),"The Night Region")</f>
        <v>The Night Region</v>
      </c>
      <c r="B63" s="1" t="str">
        <f>IFERROR(__xludf.DUMMYFUNCTION("""COMPUTED_VALUE"""),"This mystic expanse, with its glowing mushroom villages and night-blooming flora, stands as a realm of beauty and intrigue, where the ordinary becomes extraordinary and the unknown beckons to those who dare to explore. The origins of The Night Region are "&amp;"woven from magic, natural wonder, and the boundless possibilities that lie within the shadows.
Long before The Night Region came into existence, Abstara was a realm where magic and nature intermingled, giving rise to landscapes both wondrous and diverse."&amp;" Amidst the realm's verdant expanses and ethereal forests, the foundation of The Night Region was laid through the convergence of energies and the stirring of ancient forces.
The Night Region's emergence was marked by a convergence of cosmic events, an a"&amp;"lignment of energies that birthed a realm of perpetual twilight. The sun's rays kissed the horizon in an eternal embrace, casting a soft and gentle light that illuminated the land without overpowering it. In this unique balance between day and night, the "&amp;"seeds of magic took root, giving rise to the glowing mushroom villages and night plants that would define The Night Region.
The villages that sprung forth were a testament to the harmony between the inhabitants and the natural world. The villagers, known"&amp;" as the Luminescent Folk, embraced the magic of their realm, cultivating the glowing mushrooms and harnessing their light for various purposes. The mushrooms' gentle glow provided illumination during the realm's twilight hours, casting an ethereal radianc"&amp;"e that transformed the Night Region into a realm of serene beauty.
Within the heart of The Night Region, a towering tree known as the Celestial Elder stood as both a guardian and a source of wisdom. Its gnarled branches reached towards the sky, its leave"&amp;"s shimmering with a brilliance that echoed the stars themselves. The Luminescent Folk held the Celestial Elder in reverence, seeking its guidance in matters both magical and mundane. The tree's roots were said to tap into the very essence of the realm, co"&amp;"nnecting it to the cosmic energies that shaped Abstara's nature.
Over the years, The Night Region gained a reputation as a place of rare herbs and mystical flora. Adventurers and scholars from across Abstara journeyed to its glowing landscapes, drawn by "&amp;"the promise of discovering herbs with unique properties and magical potential. The night-blooming plants that thrived within the realm's embrace held secrets that echoed through the realms, their properties holding the promise of powerful potions and ench"&amp;"antments.
In the present era, The Night Region remains a realm of enchantment and wonder, its glowing mushroom villages and night plants serving as a beacon for those who seek to uncover the mysteries of the natural world. The Luminescent Folk continue t"&amp;"o tend to their mushroom homes and the Celestial Elder, their connection to the realm's magic deepening with each passing year.
The Night Region stands as a realm of balance and beauty, where the twilight hours offer a canvas for both the ordinary and th"&amp;"e extraordinary to coexist. As adventurers explore its glowing landscapes and scholars unravel the secrets of its night-blooming flora, The Night Region becomes a story of magic, nature, and the delicate harmony that can be found within the realm's twilig"&amp;"ht embrace in the world of Abstara.")</f>
        <v>This mystic expanse, with its glowing mushroom villages and night-blooming flora, stands as a realm of beauty and intrigue, where the ordinary becomes extraordinary and the unknown beckons to those who dare to explore. The origins of The Night Region are woven from magic, natural wonder, and the boundless possibilities that lie within the shadows.
Long before The Night Region came into existence, Abstara was a realm where magic and nature intermingled, giving rise to landscapes both wondrous and diverse. Amidst the realm's verdant expanses and ethereal forests, the foundation of The Night Region was laid through the convergence of energies and the stirring of ancient forces.
The Night Region's emergence was marked by a convergence of cosmic events, an alignment of energies that birthed a realm of perpetual twilight. The sun's rays kissed the horizon in an eternal embrace, casting a soft and gentle light that illuminated the land without overpowering it. In this unique balance between day and night, the seeds of magic took root, giving rise to the glowing mushroom villages and night plants that would define The Night Region.
The villages that sprung forth were a testament to the harmony between the inhabitants and the natural world. The villagers, known as the Luminescent Folk, embraced the magic of their realm, cultivating the glowing mushrooms and harnessing their light for various purposes. The mushrooms' gentle glow provided illumination during the realm's twilight hours, casting an ethereal radiance that transformed the Night Region into a realm of serene beauty.
Within the heart of The Night Region, a towering tree known as the Celestial Elder stood as both a guardian and a source of wisdom. Its gnarled branches reached towards the sky, its leaves shimmering with a brilliance that echoed the stars themselves. The Luminescent Folk held the Celestial Elder in reverence, seeking its guidance in matters both magical and mundane. The tree's roots were said to tap into the very essence of the realm, connecting it to the cosmic energies that shaped Abstara's nature.
Over the years, The Night Region gained a reputation as a place of rare herbs and mystical flora. Adventurers and scholars from across Abstara journeyed to its glowing landscapes, drawn by the promise of discovering herbs with unique properties and magical potential. The night-blooming plants that thrived within the realm's embrace held secrets that echoed through the realms, their properties holding the promise of powerful potions and enchantments.
In the present era, The Night Region remains a realm of enchantment and wonder, its glowing mushroom villages and night plants serving as a beacon for those who seek to uncover the mysteries of the natural world. The Luminescent Folk continue to tend to their mushroom homes and the Celestial Elder, their connection to the realm's magic deepening with each passing year.
The Night Region stands as a realm of balance and beauty, where the twilight hours offer a canvas for both the ordinary and the extraordinary to coexist. As adventurers explore its glowing landscapes and scholars unravel the secrets of its night-blooming flora, The Night Region becomes a story of magic, nature, and the delicate harmony that can be found within the realm's twilight embrace in the world of Abstara.</v>
      </c>
      <c r="C63" s="1" t="str">
        <f>IFERROR(__xludf.DUMMYFUNCTION("""COMPUTED_VALUE"""),"Abstara")</f>
        <v>Abstara</v>
      </c>
      <c r="D63" s="1"/>
      <c r="E63" s="102">
        <f>IFERROR(__xludf.DUMMYFUNCTION("""COMPUTED_VALUE"""),1.0E9)</f>
        <v>1000000000</v>
      </c>
      <c r="F63" s="1" t="str">
        <f>IFERROR(__xludf.DUMMYFUNCTION("""COMPUTED_VALUE"""),"UndeadCoin")</f>
        <v>UndeadCoin</v>
      </c>
      <c r="G63" s="1"/>
      <c r="H63" s="1"/>
      <c r="I63" s="1"/>
      <c r="J63" s="1"/>
      <c r="K63" s="1"/>
      <c r="L63" s="1"/>
      <c r="M63" s="1"/>
      <c r="N63" s="1"/>
      <c r="O63" s="1"/>
      <c r="P63" s="1"/>
      <c r="Q63" s="1"/>
      <c r="R63" s="1"/>
      <c r="S63" s="1"/>
      <c r="T63" s="1"/>
      <c r="U63" s="1"/>
      <c r="V63" s="1"/>
      <c r="W63" s="1"/>
      <c r="X63" s="1"/>
      <c r="Y63" s="1"/>
      <c r="Z63" s="1"/>
    </row>
    <row r="64">
      <c r="A64" s="1" t="str">
        <f>IFERROR(__xludf.DUMMYFUNCTION("""COMPUTED_VALUE"""),"The Nightmare Realm")</f>
        <v>The Nightmare Realm</v>
      </c>
      <c r="B64" s="1"/>
      <c r="C64" s="1" t="str">
        <f>IFERROR(__xludf.DUMMYFUNCTION("""COMPUTED_VALUE"""),"Abstara")</f>
        <v>Abstara</v>
      </c>
      <c r="D64" s="1"/>
      <c r="E64" s="102">
        <f>IFERROR(__xludf.DUMMYFUNCTION("""COMPUTED_VALUE"""),1.0E9)</f>
        <v>1000000000</v>
      </c>
      <c r="F64" s="1" t="str">
        <f>IFERROR(__xludf.DUMMYFUNCTION("""COMPUTED_VALUE"""),"UndeadCoin")</f>
        <v>UndeadCoin</v>
      </c>
      <c r="G64" s="1"/>
      <c r="H64" s="1"/>
      <c r="I64" s="1"/>
      <c r="J64" s="1"/>
      <c r="K64" s="1"/>
      <c r="L64" s="1"/>
      <c r="M64" s="1"/>
      <c r="N64" s="1"/>
      <c r="O64" s="1"/>
      <c r="P64" s="1"/>
      <c r="Q64" s="1"/>
      <c r="R64" s="1"/>
      <c r="S64" s="1"/>
      <c r="T64" s="1"/>
      <c r="U64" s="1"/>
      <c r="V64" s="1"/>
      <c r="W64" s="1"/>
      <c r="X64" s="1"/>
      <c r="Y64" s="1"/>
      <c r="Z64" s="1"/>
    </row>
    <row r="65">
      <c r="A65" s="1"/>
      <c r="B65" s="1"/>
      <c r="C65" s="1"/>
      <c r="D65" s="1"/>
      <c r="E65" s="102">
        <f>IFERROR(__xludf.DUMMYFUNCTION("""COMPUTED_VALUE"""),1.0E9)</f>
        <v>1000000000</v>
      </c>
      <c r="F65" s="1"/>
      <c r="G65" s="1"/>
      <c r="H65" s="1"/>
      <c r="I65" s="1"/>
      <c r="J65" s="1"/>
      <c r="K65" s="1"/>
      <c r="L65" s="1"/>
      <c r="M65" s="1"/>
      <c r="N65" s="1"/>
      <c r="O65" s="1"/>
      <c r="P65" s="1"/>
      <c r="Q65" s="1"/>
      <c r="R65" s="1"/>
      <c r="S65" s="1"/>
      <c r="T65" s="1"/>
      <c r="U65" s="1"/>
      <c r="V65" s="1"/>
      <c r="W65" s="1"/>
      <c r="X65" s="1"/>
      <c r="Y65" s="1"/>
      <c r="Z65" s="1"/>
    </row>
    <row r="66">
      <c r="A66" s="1" t="str">
        <f>IFERROR(__xludf.DUMMYFUNCTION("""COMPUTED_VALUE"""),"Cathedral of the Forsaken")</f>
        <v>Cathedral of the Forsaken</v>
      </c>
      <c r="B66" s="1" t="str">
        <f>IFERROR(__xludf.DUMMYFUNCTION("""COMPUTED_VALUE"""),"This immense cathedral, once the stronghold of Satan's rule, now stands as a chilling testament to the dominance of an even more malevolent being, Lord Dreadful. The origins of the Cathedral are etched in the history of power struggles, treacherous ambiti"&amp;"on, and the inexorable rise of the darkest forces within the world of Abstara.
Long before the Cathedral of the Forsaken emerged as a symbol of subjugation, Abstara was a realm perpetually caught between the clashing tides of good and evil. In this realm"&amp;" of intricate moral and cosmic complexities, Satan, a figure of shadow and authority, rose to power as a ruler of darkness. His dominion was epitomized by the Cathedral, a darkly grand structure of imposing spires, arcane symbolism, and an aura of malevol"&amp;"ence that pervaded the very air.
The cathedral's halls reverberated with dark rituals and sinister worship, attracting followers who sought the forbidden knowledge and promises of supremacy offered by Satan's rule. The Cathedral of the Forsaken became a "&amp;"focal point of devotion and control, a place where dark magic intertwined with infernal devotion, shaping the destiny of the realm itself.
Yet, the tides of power are ever-shifting, and from the depths of darkness emerged an even more sinister force: Lor"&amp;"d Dreadful. This malevolent being, draped in shadows and malice, wielded an unimaginable darkness that eclipsed even Satan's influence. Lord Dreadful's thirst for dominion over Abstara led him to challenge Satan's rule, and with a catastrophic confrontati"&amp;"on, the Cathedral of the Forsaken became a battleground of cosmic proportions.
In a cataclysmic clash that shook the very foundations of the cathedral and echoed through the realm, Lord Dreadful's overwhelming power cast Satan into the shadows and sealed"&amp;" his fate in hiding. The cathedral, once a sanctuary for darkness, now fell under the sinister control of Lord Dreadful, whose rule carved new depths of malevolence and cruelty into its very essence.
Under Lord Dreadful's reign, the Cathedral of the Fors"&amp;"aken underwent a transformation that mirrored the depths of his maleficence. The once-imposing architecture twisted and contorted, with spires curving in unnatural angles and dark energies coursing through its very stone. The air grew heavier with dread, "&amp;"and the cathedral's chambers were imbued with a chilling aura that echoed the ruthlessness of Lord Dreadful's dominion.
In the present era, the Cathedral of the Forsaken remains a realm steeped in darkness and fear, a place where the echoes of treacherou"&amp;"s ambitions resonate through the air. The cathedral's halls, once a sanctuary for the devout, have now become a place of dread, haunted by Lord Dreadful's ruthless rule and the shadows of the past.
The Cathedral of the Forsaken stands as a realm of conqu"&amp;"est and malevolence, a testament to the ever-shifting balance of power within the world of Abstara. As Lord Dreadful's rule grows more entrenched and the cathedral's history continues to unfold, it becomes a story of the insidious allure of darkness and t"&amp;"he depths to which beings can descend in their quest for supremacy within the enigmatic realms of Abstara.")</f>
        <v>This immense cathedral, once the stronghold of Satan's rule, now stands as a chilling testament to the dominance of an even more malevolent being, Lord Dreadful. The origins of the Cathedral are etched in the history of power struggles, treacherous ambition, and the inexorable rise of the darkest forces within the world of Abstara.
Long before the Cathedral of the Forsaken emerged as a symbol of subjugation, Abstara was a realm perpetually caught between the clashing tides of good and evil. In this realm of intricate moral and cosmic complexities, Satan, a figure of shadow and authority, rose to power as a ruler of darkness. His dominion was epitomized by the Cathedral, a darkly grand structure of imposing spires, arcane symbolism, and an aura of malevolence that pervaded the very air.
The cathedral's halls reverberated with dark rituals and sinister worship, attracting followers who sought the forbidden knowledge and promises of supremacy offered by Satan's rule. The Cathedral of the Forsaken became a focal point of devotion and control, a place where dark magic intertwined with infernal devotion, shaping the destiny of the realm itself.
Yet, the tides of power are ever-shifting, and from the depths of darkness emerged an even more sinister force: Lord Dreadful. This malevolent being, draped in shadows and malice, wielded an unimaginable darkness that eclipsed even Satan's influence. Lord Dreadful's thirst for dominion over Abstara led him to challenge Satan's rule, and with a catastrophic confrontation, the Cathedral of the Forsaken became a battleground of cosmic proportions.
In a cataclysmic clash that shook the very foundations of the cathedral and echoed through the realm, Lord Dreadful's overwhelming power cast Satan into the shadows and sealed his fate in hiding. The cathedral, once a sanctuary for darkness, now fell under the sinister control of Lord Dreadful, whose rule carved new depths of malevolence and cruelty into its very essence.
Under Lord Dreadful's reign, the Cathedral of the Forsaken underwent a transformation that mirrored the depths of his maleficence. The once-imposing architecture twisted and contorted, with spires curving in unnatural angles and dark energies coursing through its very stone. The air grew heavier with dread, and the cathedral's chambers were imbued with a chilling aura that echoed the ruthlessness of Lord Dreadful's dominion.
In the present era, the Cathedral of the Forsaken remains a realm steeped in darkness and fear, a place where the echoes of treacherous ambitions resonate through the air. The cathedral's halls, once a sanctuary for the devout, have now become a place of dread, haunted by Lord Dreadful's ruthless rule and the shadows of the past.
The Cathedral of the Forsaken stands as a realm of conquest and malevolence, a testament to the ever-shifting balance of power within the world of Abstara. As Lord Dreadful's rule grows more entrenched and the cathedral's history continues to unfold, it becomes a story of the insidious allure of darkness and the depths to which beings can descend in their quest for supremacy within the enigmatic realms of Abstara.</v>
      </c>
      <c r="C66" s="1" t="str">
        <f>IFERROR(__xludf.DUMMYFUNCTION("""COMPUTED_VALUE"""),"Abstara")</f>
        <v>Abstara</v>
      </c>
      <c r="D66" s="1"/>
      <c r="E66" s="102">
        <f>IFERROR(__xludf.DUMMYFUNCTION("""COMPUTED_VALUE"""),1.0E9)</f>
        <v>1000000000</v>
      </c>
      <c r="F66" s="1" t="str">
        <f>IFERROR(__xludf.DUMMYFUNCTION("""COMPUTED_VALUE"""),"UndeadCoin")</f>
        <v>UndeadCoin</v>
      </c>
      <c r="G66" s="1"/>
      <c r="H66" s="1"/>
      <c r="I66" s="1"/>
      <c r="J66" s="1"/>
      <c r="K66" s="1"/>
      <c r="L66" s="1"/>
      <c r="M66" s="1"/>
      <c r="N66" s="1"/>
      <c r="O66" s="1"/>
      <c r="P66" s="1"/>
      <c r="Q66" s="1"/>
      <c r="R66" s="1"/>
      <c r="S66" s="1"/>
      <c r="T66" s="1"/>
      <c r="U66" s="1"/>
      <c r="V66" s="1"/>
      <c r="W66" s="1"/>
      <c r="X66" s="1"/>
      <c r="Y66" s="1"/>
      <c r="Z66" s="1"/>
    </row>
    <row r="67">
      <c r="A67" s="1" t="str">
        <f>IFERROR(__xludf.DUMMYFUNCTION("""COMPUTED_VALUE"""),"The Ancient City of Jinnlar (Currently Unavailable)")</f>
        <v>The Ancient City of Jinnlar (Currently Unavailable)</v>
      </c>
      <c r="B67" s="1" t="str">
        <f>IFERROR(__xludf.DUMMYFUNCTION("""COMPUTED_VALUE"""),"This sprawling metropolis, cloaked in the veils of ancient mysticism, stands as a monument to the boundless power and ethereal beauty of the jinn – supernatural beings of elemental magic. The origins of the Ancient City are woven from the threads of magic"&amp;", ancient alliances, and the enduring legacy of the jinn within the world of Abstara.
Long before the Ancient City of Jinnlar became a beacon of mystical power, Abstara was a realm where the forces of nature and magic converged, giving rise to diverse "&amp;"landscapes and sentient beings. Amidst this tapestry of existence, the jinn emerged as entities of unparalleled magic, embodying the essence of the elements – fire, air, earth, and water – that shaped the world.
The formation of the Ancient City was a "&amp;"tale of profound alliance between the jinn and the forces of magic that governed Abstara. Over time, the jinn formed intricate bonds with the elemental energies that permeated the realm, their power resonating with the very fabric of the cosmos. As these "&amp;"supernatural beings solidified their existence, they sought a place where they could coexist in harmony and wield their elemental magic to shape the world around them.
Guided by their affinity for magic and the elements, the jinn crafted the Ancient Ci"&amp;"ty of Jinnlar. The city's architecture was a marvel of otherworldly beauty, with towering spires that reached towards the skies and intricate mosaics that shimmered with the hues of fire, air, earth, and water. The very streets and buildings seemed to pul"&amp;"se with elemental energy, resonating with the unique magic of each jinn who called the city home.
Within the heart of the city lay the Palace of Elements, a majestic structure that stood as a tribute to the jinn's mastery over the elemental forces. The"&amp;" palace's chambers were adorned with relics of cosmic significance, each artifact attuned to a different aspect of magic and nature. The jinn's rule was marked by a delicate balance between power and reverence, as they used their magic to shape the land a"&amp;"nd foster an existence that respected the forces that gave them life.
For centuries, the Ancient City of Jinnlar thrived as a haven of magic and wonder, a place where the jinn's bond with the elements created a realm of unparalleled beauty. The city wa"&amp;"s a testament to the jinn's mastery over their innate abilities, and it drew visitors from across Abstara who sought to witness the manifestations of elemental magic that echoed through its streets.
In the present era, the Ancient City of Jinnlar remai"&amp;"ns a realm of timeless magic, its streets echoing with the whispers of ancient enchantments. The jinn who call the city home continue to wield their elemental power, shaping the realm in accordance with their will and reverence for the cosmic forces that "&amp;"bind them. Visitors and adventurers who seek to explore its wonders find themselves immersed in a realm where the boundaries between magic, nature, and reality blur.
The Ancient City of Jinnlar stands as a realm of elemental harmony and enduring enchan"&amp;"tment, a place where the jinn's mastery over magic and the elements is celebrated in every corner. As the jinn continue to shape their city and the realm at large, it becomes a story of magic's boundless potential, the alliance between supernatural beings"&amp;" and cosmic forces, and the legacy of the jinn within the mystical world of Abstara.")</f>
        <v>This sprawling metropolis, cloaked in the veils of ancient mysticism, stands as a monument to the boundless power and ethereal beauty of the jinn – supernatural beings of elemental magic. The origins of the Ancient City are woven from the threads of magic, ancient alliances, and the enduring legacy of the jinn within the world of Abstara.
Long before the Ancient City of Jinnlar became a beacon of mystical power, Abstara was a realm where the forces of nature and magic converged, giving rise to diverse landscapes and sentient beings. Amidst this tapestry of existence, the jinn emerged as entities of unparalleled magic, embodying the essence of the elements – fire, air, earth, and water – that shaped the world.
The formation of the Ancient City was a tale of profound alliance between the jinn and the forces of magic that governed Abstara. Over time, the jinn formed intricate bonds with the elemental energies that permeated the realm, their power resonating with the very fabric of the cosmos. As these supernatural beings solidified their existence, they sought a place where they could coexist in harmony and wield their elemental magic to shape the world around them.
Guided by their affinity for magic and the elements, the jinn crafted the Ancient City of Jinnlar. The city's architecture was a marvel of otherworldly beauty, with towering spires that reached towards the skies and intricate mosaics that shimmered with the hues of fire, air, earth, and water. The very streets and buildings seemed to pulse with elemental energy, resonating with the unique magic of each jinn who called the city home.
Within the heart of the city lay the Palace of Elements, a majestic structure that stood as a tribute to the jinn's mastery over the elemental forces. The palace's chambers were adorned with relics of cosmic significance, each artifact attuned to a different aspect of magic and nature. The jinn's rule was marked by a delicate balance between power and reverence, as they used their magic to shape the land and foster an existence that respected the forces that gave them life.
For centuries, the Ancient City of Jinnlar thrived as a haven of magic and wonder, a place where the jinn's bond with the elements created a realm of unparalleled beauty. The city was a testament to the jinn's mastery over their innate abilities, and it drew visitors from across Abstara who sought to witness the manifestations of elemental magic that echoed through its streets.
In the present era, the Ancient City of Jinnlar remains a realm of timeless magic, its streets echoing with the whispers of ancient enchantments. The jinn who call the city home continue to wield their elemental power, shaping the realm in accordance with their will and reverence for the cosmic forces that bind them. Visitors and adventurers who seek to explore its wonders find themselves immersed in a realm where the boundaries between magic, nature, and reality blur.
The Ancient City of Jinnlar stands as a realm of elemental harmony and enduring enchantment, a place where the jinn's mastery over magic and the elements is celebrated in every corner. As the jinn continue to shape their city and the realm at large, it becomes a story of magic's boundless potential, the alliance between supernatural beings and cosmic forces, and the legacy of the jinn within the mystical world of Abstara.</v>
      </c>
      <c r="C67" s="1" t="str">
        <f>IFERROR(__xludf.DUMMYFUNCTION("""COMPUTED_VALUE"""),"Abstara")</f>
        <v>Abstara</v>
      </c>
      <c r="D67" s="1"/>
      <c r="E67" s="102">
        <f>IFERROR(__xludf.DUMMYFUNCTION("""COMPUTED_VALUE"""),1.0E9)</f>
        <v>1000000000</v>
      </c>
      <c r="F67" s="1" t="str">
        <f>IFERROR(__xludf.DUMMYFUNCTION("""COMPUTED_VALUE"""),"UndeadCoin")</f>
        <v>UndeadCoin</v>
      </c>
      <c r="G67" s="1"/>
      <c r="H67" s="1"/>
      <c r="I67" s="1"/>
      <c r="J67" s="1"/>
      <c r="K67" s="1"/>
      <c r="L67" s="1"/>
      <c r="M67" s="1"/>
      <c r="N67" s="1"/>
      <c r="O67" s="1"/>
      <c r="P67" s="1"/>
      <c r="Q67" s="1"/>
      <c r="R67" s="1"/>
      <c r="S67" s="1"/>
      <c r="T67" s="1"/>
      <c r="U67" s="1"/>
      <c r="V67" s="1"/>
      <c r="W67" s="1"/>
      <c r="X67" s="1"/>
      <c r="Y67" s="1"/>
      <c r="Z67" s="1"/>
    </row>
    <row r="68">
      <c r="A68" s="1" t="str">
        <f>IFERROR(__xludf.DUMMYFUNCTION("""COMPUTED_VALUE"""),"Chaotic Old Village")</f>
        <v>Chaotic Old Village</v>
      </c>
      <c r="B68" s="1"/>
      <c r="C68" s="1" t="str">
        <f>IFERROR(__xludf.DUMMYFUNCTION("""COMPUTED_VALUE"""),"Land of The Forgotten")</f>
        <v>Land of The Forgotten</v>
      </c>
      <c r="D68" s="1"/>
      <c r="E68" s="102">
        <f>IFERROR(__xludf.DUMMYFUNCTION("""COMPUTED_VALUE"""),1.0E9)</f>
        <v>1000000000</v>
      </c>
      <c r="F68" s="1" t="str">
        <f>IFERROR(__xludf.DUMMYFUNCTION("""COMPUTED_VALUE"""),"Gilder")</f>
        <v>Gilder</v>
      </c>
      <c r="G68" s="1"/>
      <c r="H68" s="1"/>
      <c r="I68" s="1"/>
      <c r="J68" s="1"/>
      <c r="K68" s="1"/>
      <c r="L68" s="1"/>
      <c r="M68" s="1"/>
      <c r="N68" s="1"/>
      <c r="O68" s="1"/>
      <c r="P68" s="1"/>
      <c r="Q68" s="1"/>
      <c r="R68" s="1"/>
      <c r="S68" s="1"/>
      <c r="T68" s="1"/>
      <c r="U68" s="1"/>
      <c r="V68" s="1"/>
      <c r="W68" s="1"/>
      <c r="X68" s="1"/>
      <c r="Y68" s="1"/>
      <c r="Z68" s="1"/>
    </row>
    <row r="69">
      <c r="A69" s="1" t="str">
        <f>IFERROR(__xludf.DUMMYFUNCTION("""COMPUTED_VALUE"""),"Puppet Masters Cave")</f>
        <v>Puppet Masters Cave</v>
      </c>
      <c r="B69" s="1"/>
      <c r="C69" s="1" t="str">
        <f>IFERROR(__xludf.DUMMYFUNCTION("""COMPUTED_VALUE"""),"Land of The Forgotten")</f>
        <v>Land of The Forgotten</v>
      </c>
      <c r="D69" s="1"/>
      <c r="E69" s="102">
        <f>IFERROR(__xludf.DUMMYFUNCTION("""COMPUTED_VALUE"""),1.0E9)</f>
        <v>1000000000</v>
      </c>
      <c r="F69" s="1" t="str">
        <f>IFERROR(__xludf.DUMMYFUNCTION("""COMPUTED_VALUE"""),"Gilder")</f>
        <v>Gilder</v>
      </c>
      <c r="G69" s="1"/>
      <c r="H69" s="1"/>
      <c r="I69" s="1"/>
      <c r="J69" s="1"/>
      <c r="K69" s="1"/>
      <c r="L69" s="1"/>
      <c r="M69" s="1"/>
      <c r="N69" s="1"/>
      <c r="O69" s="1"/>
      <c r="P69" s="1"/>
      <c r="Q69" s="1"/>
      <c r="R69" s="1"/>
      <c r="S69" s="1"/>
      <c r="T69" s="1"/>
      <c r="U69" s="1"/>
      <c r="V69" s="1"/>
      <c r="W69" s="1"/>
      <c r="X69" s="1"/>
      <c r="Y69" s="1"/>
      <c r="Z69" s="1"/>
    </row>
    <row r="70">
      <c r="A70" s="1" t="str">
        <f>IFERROR(__xludf.DUMMYFUNCTION("""COMPUTED_VALUE"""),"Puppet Masters Hedge Maze")</f>
        <v>Puppet Masters Hedge Maze</v>
      </c>
      <c r="B70" s="1"/>
      <c r="C70" s="1" t="str">
        <f>IFERROR(__xludf.DUMMYFUNCTION("""COMPUTED_VALUE"""),"Land of The Forgotten")</f>
        <v>Land of The Forgotten</v>
      </c>
      <c r="D70" s="1"/>
      <c r="E70" s="102">
        <f>IFERROR(__xludf.DUMMYFUNCTION("""COMPUTED_VALUE"""),1.0E9)</f>
        <v>1000000000</v>
      </c>
      <c r="F70" s="1" t="str">
        <f>IFERROR(__xludf.DUMMYFUNCTION("""COMPUTED_VALUE"""),"Gilder")</f>
        <v>Gilder</v>
      </c>
      <c r="G70" s="1"/>
      <c r="H70" s="1"/>
      <c r="I70" s="1"/>
      <c r="J70" s="1"/>
      <c r="K70" s="1"/>
      <c r="L70" s="1"/>
      <c r="M70" s="1"/>
      <c r="N70" s="1"/>
      <c r="O70" s="1"/>
      <c r="P70" s="1"/>
      <c r="Q70" s="1"/>
      <c r="R70" s="1"/>
      <c r="S70" s="1"/>
      <c r="T70" s="1"/>
      <c r="U70" s="1"/>
      <c r="V70" s="1"/>
      <c r="W70" s="1"/>
      <c r="X70" s="1"/>
      <c r="Y70" s="1"/>
      <c r="Z70" s="1"/>
    </row>
    <row r="71">
      <c r="A71" s="1" t="str">
        <f>IFERROR(__xludf.DUMMYFUNCTION("""COMPUTED_VALUE"""),"SerpentScale Village")</f>
        <v>SerpentScale Village</v>
      </c>
      <c r="B71" s="1" t="str">
        <f>IFERROR(__xludf.DUMMYFUNCTION("""COMPUTED_VALUE"""),"SerpentScale Village was founded over a century ago by a group of adventurers seeking refuge from the dangers of the open sea. The adventurers had been sailing for months on end, searching for new lands and treasures, when they stumbled upon a small, shel"&amp;"tered bay nestled between towering cliffs.
The bay was home to a colony of sea serpents, creatures known for their ferocity and cunning. The adventurers initially feared for their lives, but as they observed the serpents from a distance, they realized th"&amp;"at the creatures were fiercely protective of their bay and the surrounding waters.
The adventurers struck a deal with the serpents: in exchange for safe harbor and protection from other sea monsters, they would respect the serpents' domain and not harm t"&amp;"hem or their offspring. Over time, the adventurers built a small village on the shore of the bay, using the serpents' scales and bones to create sturdy, weather-resistant homes and fortifications.
As the village grew, more and more adventurers flocked to"&amp;" SerpentScale, seeking refuge from the dangers of the sea and the chance to trade with the serpents for their valuable scales and venom. The village became a bustling hub of commerce, with merchants and sailors from all over the world passing through its "&amp;"gates.
Despite the village's prosperity, the serpents remained fiercely protective of their territory, patrolling the waters around the bay and attacking any ships that tried to enter without permission. The villagers learned to live with their fearsome "&amp;"neighbors, respecting their boundaries and taking care not to anger them.
Today, SerpentScale Village remains a thriving center of trade and commerce, closely guarded by the fearsome sea serpents that call it home. The villagers have learned to coexist w"&amp;"ith the serpents, understanding that their safety and prosperity depend on maintaining a delicate balance of respect and cooperation.")</f>
        <v>SerpentScale Village was founded over a century ago by a group of adventurers seeking refuge from the dangers of the open sea. The adventurers had been sailing for months on end, searching for new lands and treasures, when they stumbled upon a small, sheltered bay nestled between towering cliffs.
The bay was home to a colony of sea serpents, creatures known for their ferocity and cunning. The adventurers initially feared for their lives, but as they observed the serpents from a distance, they realized that the creatures were fiercely protective of their bay and the surrounding waters.
The adventurers struck a deal with the serpents: in exchange for safe harbor and protection from other sea monsters, they would respect the serpents' domain and not harm them or their offspring. Over time, the adventurers built a small village on the shore of the bay, using the serpents' scales and bones to create sturdy, weather-resistant homes and fortifications.
As the village grew, more and more adventurers flocked to SerpentScale, seeking refuge from the dangers of the sea and the chance to trade with the serpents for their valuable scales and venom. The village became a bustling hub of commerce, with merchants and sailors from all over the world passing through its gates.
Despite the village's prosperity, the serpents remained fiercely protective of their territory, patrolling the waters around the bay and attacking any ships that tried to enter without permission. The villagers learned to live with their fearsome neighbors, respecting their boundaries and taking care not to anger them.
Today, SerpentScale Village remains a thriving center of trade and commerce, closely guarded by the fearsome sea serpents that call it home. The villagers have learned to coexist with the serpents, understanding that their safety and prosperity depend on maintaining a delicate balance of respect and cooperation.</v>
      </c>
      <c r="C71" s="1" t="str">
        <f>IFERROR(__xludf.DUMMYFUNCTION("""COMPUTED_VALUE"""),"Dragonscale Island")</f>
        <v>Dragonscale Island</v>
      </c>
      <c r="D71" s="1"/>
      <c r="E71" s="102">
        <f>IFERROR(__xludf.DUMMYFUNCTION("""COMPUTED_VALUE"""),1.0E9)</f>
        <v>1000000000</v>
      </c>
      <c r="F71" s="1" t="str">
        <f>IFERROR(__xludf.DUMMYFUNCTION("""COMPUTED_VALUE"""),"Gilder")</f>
        <v>Gilder</v>
      </c>
      <c r="G71" s="1"/>
      <c r="H71" s="1"/>
      <c r="I71" s="1"/>
      <c r="J71" s="1"/>
      <c r="K71" s="1"/>
      <c r="L71" s="1"/>
      <c r="M71" s="1"/>
      <c r="N71" s="1"/>
      <c r="O71" s="1"/>
      <c r="P71" s="1"/>
      <c r="Q71" s="1"/>
      <c r="R71" s="1"/>
      <c r="S71" s="1"/>
      <c r="T71" s="1"/>
      <c r="U71" s="1"/>
      <c r="V71" s="1"/>
      <c r="W71" s="1"/>
      <c r="X71" s="1"/>
      <c r="Y71" s="1"/>
      <c r="Z71" s="1"/>
    </row>
    <row r="72">
      <c r="A72" s="1" t="str">
        <f>IFERROR(__xludf.DUMMYFUNCTION("""COMPUTED_VALUE"""),"Mouth of The Dragon")</f>
        <v>Mouth of The Dragon</v>
      </c>
      <c r="B72" s="1" t="str">
        <f>IFERROR(__xludf.DUMMYFUNCTION("""COMPUTED_VALUE"""),"Mouth of the Dragon is a region of the world known for its fiery and hostile terrain, marked by a cluster of active volcanoes that erupt regularly. The region is home to a variety of dangerous creatures, including fire elementals, magma beasts, and lava d"&amp;"ragons.
Long ago, the area was inhabited by a powerful dragon named Galthar. Galthar was a massive creature, with scales as black as obsidian and eyes that glowed with an otherworldly light. He was known throughout the land for his incredible strength an"&amp;"d his ability to control the very forces of nature.
Galthar was a proud and solitary creature, and he viewed the other races of the world with suspicion and disdain. He hoarded great treasures in his lair at the heart of the Mouth of the Dragon, protecte"&amp;"d by traps and spells of his own devising.
Despite his power, Galthar was eventually slain by a group of adventurers who sought to claim his treasures for themselves. The adventurers braved the fiery terrain of the Mouth of the Dragon, fighting their way"&amp;" through hordes of Galthar's minions and overcoming his deadly traps.
When they finally reached Galthar's lair, they engaged the dragon in a fierce battle that lasted for days. In the end, Galthar was defeated, but not before he unleashed a terrible curs"&amp;"e upon the land. The curse caused the volcanoes of the region to become even more active, spewing forth lava and ash that covered the land in a fiery blanket.
Today, the Mouth of the Dragon remains a dangerous and treacherous region, haunted by the legac"&amp;"y of Galthar and the curse he wrought. Adventurers still journey to the area in search of riches and adventure, but they do so at great risk, knowing that the fires of the land could consume them at any moment.")</f>
        <v>Mouth of the Dragon is a region of the world known for its fiery and hostile terrain, marked by a cluster of active volcanoes that erupt regularly. The region is home to a variety of dangerous creatures, including fire elementals, magma beasts, and lava dragons.
Long ago, the area was inhabited by a powerful dragon named Galthar. Galthar was a massive creature, with scales as black as obsidian and eyes that glowed with an otherworldly light. He was known throughout the land for his incredible strength and his ability to control the very forces of nature.
Galthar was a proud and solitary creature, and he viewed the other races of the world with suspicion and disdain. He hoarded great treasures in his lair at the heart of the Mouth of the Dragon, protected by traps and spells of his own devising.
Despite his power, Galthar was eventually slain by a group of adventurers who sought to claim his treasures for themselves. The adventurers braved the fiery terrain of the Mouth of the Dragon, fighting their way through hordes of Galthar's minions and overcoming his deadly traps.
When they finally reached Galthar's lair, they engaged the dragon in a fierce battle that lasted for days. In the end, Galthar was defeated, but not before he unleashed a terrible curse upon the land. The curse caused the volcanoes of the region to become even more active, spewing forth lava and ash that covered the land in a fiery blanket.
Today, the Mouth of the Dragon remains a dangerous and treacherous region, haunted by the legacy of Galthar and the curse he wrought. Adventurers still journey to the area in search of riches and adventure, but they do so at great risk, knowing that the fires of the land could consume them at any moment.</v>
      </c>
      <c r="C72" s="1" t="str">
        <f>IFERROR(__xludf.DUMMYFUNCTION("""COMPUTED_VALUE"""),"Dragonscale Island")</f>
        <v>Dragonscale Island</v>
      </c>
      <c r="D72" s="1"/>
      <c r="E72" s="102">
        <f>IFERROR(__xludf.DUMMYFUNCTION("""COMPUTED_VALUE"""),1.0E9)</f>
        <v>1000000000</v>
      </c>
      <c r="F72" s="1" t="str">
        <f>IFERROR(__xludf.DUMMYFUNCTION("""COMPUTED_VALUE"""),"Gilder")</f>
        <v>Gilder</v>
      </c>
      <c r="G72" s="1"/>
      <c r="H72" s="1"/>
      <c r="I72" s="1"/>
      <c r="J72" s="1"/>
      <c r="K72" s="1"/>
      <c r="L72" s="1"/>
      <c r="M72" s="1"/>
      <c r="N72" s="1"/>
      <c r="O72" s="1"/>
      <c r="P72" s="1"/>
      <c r="Q72" s="1"/>
      <c r="R72" s="1"/>
      <c r="S72" s="1"/>
      <c r="T72" s="1"/>
      <c r="U72" s="1"/>
      <c r="V72" s="1"/>
      <c r="W72" s="1"/>
      <c r="X72" s="1"/>
      <c r="Y72" s="1"/>
      <c r="Z72" s="1"/>
    </row>
    <row r="73">
      <c r="A73" s="1" t="str">
        <f>IFERROR(__xludf.DUMMYFUNCTION("""COMPUTED_VALUE"""),"Dragonscale Dungeon")</f>
        <v>Dragonscale Dungeon</v>
      </c>
      <c r="B73" s="1" t="str">
        <f>IFERROR(__xludf.DUMMYFUNCTION("""COMPUTED_VALUE"""),"DragonScale Dungeon is a towering fortress that looms over the landscape, its walls adorned with the scales of long-dead dragons. The dungeon was built centuries ago by an order of knights who sought to create a place where dangerous criminals could be in"&amp;"carcerated and punished.
Initially, the dungeon was well-managed and its inmates were treated humanely. However, over time, corruption set in, and the guards began to abuse their power, using the inmates for their own gain and ignoring their duty to main"&amp;"tain order.
Eventually, a group of inmates rebelled against their captors, seizing control of the lower levels of the dungeon and turning them into a lawless den of thieves and murderers. The guards, unable to retake control, sealed off the lower levels "&amp;"and abandoned the dungeon altogether, leaving the inmates to fend for themselves.
Over time, the lower levels of the dungeon became known as the Pits of Despair, a place where the worst criminals and outcasts of society were sent to rot away in darkness "&amp;"and filth. The Pits became a breeding ground for violence and corruption, with powerful gangs vying for control and the dragons that lurked within the depths preying upon the weak and defenseless.
Despite its dark reputation, DragonScale Dungeon remains "&amp;"a place of great interest for adventurers and treasure seekers, who brave its traps and monsters in search of valuable relics and ancient artifacts. However, those who venture too far into the Pits of Despair rarely return, swallowed up by the darkness an"&amp;"d the dangers that lurk within.")</f>
        <v>DragonScale Dungeon is a towering fortress that looms over the landscape, its walls adorned with the scales of long-dead dragons. The dungeon was built centuries ago by an order of knights who sought to create a place where dangerous criminals could be incarcerated and punished.
Initially, the dungeon was well-managed and its inmates were treated humanely. However, over time, corruption set in, and the guards began to abuse their power, using the inmates for their own gain and ignoring their duty to maintain order.
Eventually, a group of inmates rebelled against their captors, seizing control of the lower levels of the dungeon and turning them into a lawless den of thieves and murderers. The guards, unable to retake control, sealed off the lower levels and abandoned the dungeon altogether, leaving the inmates to fend for themselves.
Over time, the lower levels of the dungeon became known as the Pits of Despair, a place where the worst criminals and outcasts of society were sent to rot away in darkness and filth. The Pits became a breeding ground for violence and corruption, with powerful gangs vying for control and the dragons that lurked within the depths preying upon the weak and defenseless.
Despite its dark reputation, DragonScale Dungeon remains a place of great interest for adventurers and treasure seekers, who brave its traps and monsters in search of valuable relics and ancient artifacts. However, those who venture too far into the Pits of Despair rarely return, swallowed up by the darkness and the dangers that lurk within.</v>
      </c>
      <c r="C73" s="1" t="str">
        <f>IFERROR(__xludf.DUMMYFUNCTION("""COMPUTED_VALUE"""),"Dragonscale Island")</f>
        <v>Dragonscale Island</v>
      </c>
      <c r="D73" s="1"/>
      <c r="E73" s="102">
        <f>IFERROR(__xludf.DUMMYFUNCTION("""COMPUTED_VALUE"""),1.0E9)</f>
        <v>1000000000</v>
      </c>
      <c r="F73" s="1" t="str">
        <f>IFERROR(__xludf.DUMMYFUNCTION("""COMPUTED_VALUE"""),"Gilder")</f>
        <v>Gilder</v>
      </c>
      <c r="G73" s="1"/>
      <c r="H73" s="1"/>
      <c r="I73" s="1"/>
      <c r="J73" s="1"/>
      <c r="K73" s="1"/>
      <c r="L73" s="1"/>
      <c r="M73" s="1"/>
      <c r="N73" s="1"/>
      <c r="O73" s="1"/>
      <c r="P73" s="1"/>
      <c r="Q73" s="1"/>
      <c r="R73" s="1"/>
      <c r="S73" s="1"/>
      <c r="T73" s="1"/>
      <c r="U73" s="1"/>
      <c r="V73" s="1"/>
      <c r="W73" s="1"/>
      <c r="X73" s="1"/>
      <c r="Y73" s="1"/>
      <c r="Z73" s="1"/>
    </row>
    <row r="74">
      <c r="A74" s="1" t="str">
        <f>IFERROR(__xludf.DUMMYFUNCTION("""COMPUTED_VALUE"""),"Sweltering Salamander Swamp")</f>
        <v>Sweltering Salamander Swamp</v>
      </c>
      <c r="B74" s="1" t="str">
        <f>IFERROR(__xludf.DUMMYFUNCTION("""COMPUTED_VALUE"""),"Sweltering Salamander Swamp is a dense and humid region, with murky waters and twisting vines that make it difficult to navigate. The swamp is home to a variety of creatures, including alligators, snakes, and insects, but it is most notable for its lizard"&amp;" folk inhabitants, who have lived in the area for generations.
The lizard folk who call Sweltering Salamander Swamp home worship a giant salamander that they believe to be a powerful deity. They believe that the salamander controls the waters of the swam"&amp;"p and brings life to the land, and they have built a temple at the center of the swamp where they can pay homage to their god.
The temple is a towering structure made of wood and vines, with a massive statue of the salamander at its center. The lizard fo"&amp;"lk believe that the statue is a physical manifestation of their god, and they perform daily rituals and sacrifices to ensure that the salamander remains pleased with them.
Despite their reverence for the salamander, the lizard folk of Sweltering Salamand"&amp;"er Swamp are not entirely peaceful. They are fiercely territorial and will defend their land and their god against any intruders. Those who venture into the swamp without permission are likely to be met with hostility and violence, as the lizard folk view"&amp;" outsiders as a threat to their way of life.
However, for those who can gain the trust of the lizard folk, Sweltering Salamander Swamp can be a source of great knowledge and power. The lizard folk are skilled in the ways of the swamp and can offer valuab"&amp;"le guidance and resources to those who are willing to respect their culture and their beliefs.")</f>
        <v>Sweltering Salamander Swamp is a dense and humid region, with murky waters and twisting vines that make it difficult to navigate. The swamp is home to a variety of creatures, including alligators, snakes, and insects, but it is most notable for its lizard folk inhabitants, who have lived in the area for generations.
The lizard folk who call Sweltering Salamander Swamp home worship a giant salamander that they believe to be a powerful deity. They believe that the salamander controls the waters of the swamp and brings life to the land, and they have built a temple at the center of the swamp where they can pay homage to their god.
The temple is a towering structure made of wood and vines, with a massive statue of the salamander at its center. The lizard folk believe that the statue is a physical manifestation of their god, and they perform daily rituals and sacrifices to ensure that the salamander remains pleased with them.
Despite their reverence for the salamander, the lizard folk of Sweltering Salamander Swamp are not entirely peaceful. They are fiercely territorial and will defend their land and their god against any intruders. Those who venture into the swamp without permission are likely to be met with hostility and violence, as the lizard folk view outsiders as a threat to their way of life.
However, for those who can gain the trust of the lizard folk, Sweltering Salamander Swamp can be a source of great knowledge and power. The lizard folk are skilled in the ways of the swamp and can offer valuable guidance and resources to those who are willing to respect their culture and their beliefs.</v>
      </c>
      <c r="C74" s="1" t="str">
        <f>IFERROR(__xludf.DUMMYFUNCTION("""COMPUTED_VALUE"""),"Dragonscale Island")</f>
        <v>Dragonscale Island</v>
      </c>
      <c r="D74" s="1"/>
      <c r="E74" s="102">
        <f>IFERROR(__xludf.DUMMYFUNCTION("""COMPUTED_VALUE"""),1.0E9)</f>
        <v>1000000000</v>
      </c>
      <c r="F74" s="1" t="str">
        <f>IFERROR(__xludf.DUMMYFUNCTION("""COMPUTED_VALUE"""),"Gilder")</f>
        <v>Gilder</v>
      </c>
      <c r="G74" s="1"/>
      <c r="H74" s="1"/>
      <c r="I74" s="1"/>
      <c r="J74" s="1"/>
      <c r="K74" s="1"/>
      <c r="L74" s="1"/>
      <c r="M74" s="1"/>
      <c r="N74" s="1"/>
      <c r="O74" s="1"/>
      <c r="P74" s="1"/>
      <c r="Q74" s="1"/>
      <c r="R74" s="1"/>
      <c r="S74" s="1"/>
      <c r="T74" s="1"/>
      <c r="U74" s="1"/>
      <c r="V74" s="1"/>
      <c r="W74" s="1"/>
      <c r="X74" s="1"/>
      <c r="Y74" s="1"/>
      <c r="Z74" s="1"/>
    </row>
    <row r="75">
      <c r="A75" s="1" t="str">
        <f>IFERROR(__xludf.DUMMYFUNCTION("""COMPUTED_VALUE"""),"Gecko-Tail Passage")</f>
        <v>Gecko-Tail Passage</v>
      </c>
      <c r="B75" s="1" t="str">
        <f>IFERROR(__xludf.DUMMYFUNCTION("""COMPUTED_VALUE"""),"Gecko-Tail Passage is a treacherous rainforest passage that connects Dragon Tear Lake and Wyverntail Waterfalls. The area is known for its exotic wildlife, which includes geckos that emit steam, fiery toads that can shoot flames, and lava alligators that "&amp;"can swim through molten rock.
The passage was once used as a trade route by the local tribes who lived in the area, as it provided a shortcut between the two bodies of water. However, as the region became more dangerous, the passage fell into disuse, and"&amp;" it is now primarily used by adventurers and treasure seekers who are brave enough to navigate its hazards.
The steam geckos of Gecko-Tail Passage are particularly dangerous, as they can emit scalding hot steam from their bodies as a defense mechanism. T"&amp;"he fiery toads are no less dangerous, as they can shoot powerful bursts of flame at their prey. And the lava alligators are a constant threat to anyone who dares to enter the passage, as they can swim through molten rock and are virtually immune to fire.
"&amp;"
Despite the dangers, there are those who are drawn to Gecko-Tail Passage by the promise of adventure and treasure. The passage is rumored to contain valuable artifacts and magical treasures that have been lost for centuries, and many brave souls have ven"&amp;"tured into the rainforest in search of these riches.
For those who are able to navigate the hazards of Gecko-Tail Passage and emerge unscathed, the rewards can be great. However, the passage is not for the faint of heart, and many who have entered it hav"&amp;"e never returned.")</f>
        <v>Gecko-Tail Passage is a treacherous rainforest passage that connects Dragon Tear Lake and Wyverntail Waterfalls. The area is known for its exotic wildlife, which includes geckos that emit steam, fiery toads that can shoot flames, and lava alligators that can swim through molten rock.
The passage was once used as a trade route by the local tribes who lived in the area, as it provided a shortcut between the two bodies of water. However, as the region became more dangerous, the passage fell into disuse, and it is now primarily used by adventurers and treasure seekers who are brave enough to navigate its hazards.
The steam geckos of Gecko-Tail Passage are particularly dangerous, as they can emit scalding hot steam from their bodies as a defense mechanism. The fiery toads are no less dangerous, as they can shoot powerful bursts of flame at their prey. And the lava alligators are a constant threat to anyone who dares to enter the passage, as they can swim through molten rock and are virtually immune to fire.
Despite the dangers, there are those who are drawn to Gecko-Tail Passage by the promise of adventure and treasure. The passage is rumored to contain valuable artifacts and magical treasures that have been lost for centuries, and many brave souls have ventured into the rainforest in search of these riches.
For those who are able to navigate the hazards of Gecko-Tail Passage and emerge unscathed, the rewards can be great. However, the passage is not for the faint of heart, and many who have entered it have never returned.</v>
      </c>
      <c r="C75" s="1" t="str">
        <f>IFERROR(__xludf.DUMMYFUNCTION("""COMPUTED_VALUE"""),"Dragonscale Island")</f>
        <v>Dragonscale Island</v>
      </c>
      <c r="D75" s="1"/>
      <c r="E75" s="102">
        <f>IFERROR(__xludf.DUMMYFUNCTION("""COMPUTED_VALUE"""),1.0E9)</f>
        <v>1000000000</v>
      </c>
      <c r="F75" s="1" t="str">
        <f>IFERROR(__xludf.DUMMYFUNCTION("""COMPUTED_VALUE"""),"Gilder")</f>
        <v>Gilder</v>
      </c>
      <c r="G75" s="1"/>
      <c r="H75" s="1"/>
      <c r="I75" s="1"/>
      <c r="J75" s="1"/>
      <c r="K75" s="1"/>
      <c r="L75" s="1"/>
      <c r="M75" s="1"/>
      <c r="N75" s="1"/>
      <c r="O75" s="1"/>
      <c r="P75" s="1"/>
      <c r="Q75" s="1"/>
      <c r="R75" s="1"/>
      <c r="S75" s="1"/>
      <c r="T75" s="1"/>
      <c r="U75" s="1"/>
      <c r="V75" s="1"/>
      <c r="W75" s="1"/>
      <c r="X75" s="1"/>
      <c r="Y75" s="1"/>
      <c r="Z75" s="1"/>
    </row>
    <row r="76">
      <c r="A76" s="1" t="str">
        <f>IFERROR(__xludf.DUMMYFUNCTION("""COMPUTED_VALUE"""),"Wyverntail Waterfalls")</f>
        <v>Wyverntail Waterfalls</v>
      </c>
      <c r="B76" s="1" t="str">
        <f>IFERROR(__xludf.DUMMYFUNCTION("""COMPUTED_VALUE"""),"Wyverntail Waterfalls is a breathtaking region that encompasses a towering mountain, a vibrant green jungle, and a watchtower on the coast. The area is known for its stunning natural beauty and its abundance of exotic wildlife.
The mountain at the heart "&amp;"of Wyverntail Waterfalls is a towering peak that is home to many different creatures, including wyverns, giant birds, and mountain goats. The mountain is rich in minerals and other valuable resources, and it has been the subject of many expeditions by adv"&amp;"enturers seeking to uncover its secrets.
The vibrant green jungle that surrounds the mountain is home to a wide variety of flora and fauna. The trees are dense and lush, providing a habitat for monkeys, snakes, and other creatures. The jungle is also hom"&amp;"e to several hidden temples and ancient ruins, which are rumored to contain powerful artifacts and magical treasures.
At the coast, there is a watchtower that was built by the local kingdom to keep an eye on the sea and protect against invading ships. Th"&amp;"e watchtower is manned by skilled soldiers who are trained to defend against any threats that may come from the sea.
Despite its natural beauty, Wyverntail Waterfalls is a dangerous place, and many who venture into the region do not return. The creatures"&amp;" that live there are fierce and territorial, and there are many hidden dangers lurking in the jungle and the mountain.
For those who are brave enough to explore the region, however, there are many rewards to be found. The mountain contains valuable resou"&amp;"rces that can be mined, and the jungle is home to many rare plants and herbs that can be used for medicinal purposes. And for those who are skilled enough to uncover the secrets of the hidden temples and ancient ruins, there are magical treasures and powe"&amp;"rful artifacts waiting to be discovered.")</f>
        <v>Wyverntail Waterfalls is a breathtaking region that encompasses a towering mountain, a vibrant green jungle, and a watchtower on the coast. The area is known for its stunning natural beauty and its abundance of exotic wildlife.
The mountain at the heart of Wyverntail Waterfalls is a towering peak that is home to many different creatures, including wyverns, giant birds, and mountain goats. The mountain is rich in minerals and other valuable resources, and it has been the subject of many expeditions by adventurers seeking to uncover its secrets.
The vibrant green jungle that surrounds the mountain is home to a wide variety of flora and fauna. The trees are dense and lush, providing a habitat for monkeys, snakes, and other creatures. The jungle is also home to several hidden temples and ancient ruins, which are rumored to contain powerful artifacts and magical treasures.
At the coast, there is a watchtower that was built by the local kingdom to keep an eye on the sea and protect against invading ships. The watchtower is manned by skilled soldiers who are trained to defend against any threats that may come from the sea.
Despite its natural beauty, Wyverntail Waterfalls is a dangerous place, and many who venture into the region do not return. The creatures that live there are fierce and territorial, and there are many hidden dangers lurking in the jungle and the mountain.
For those who are brave enough to explore the region, however, there are many rewards to be found. The mountain contains valuable resources that can be mined, and the jungle is home to many rare plants and herbs that can be used for medicinal purposes. And for those who are skilled enough to uncover the secrets of the hidden temples and ancient ruins, there are magical treasures and powerful artifacts waiting to be discovered.</v>
      </c>
      <c r="C76" s="1" t="str">
        <f>IFERROR(__xludf.DUMMYFUNCTION("""COMPUTED_VALUE"""),"Dragonscale Island")</f>
        <v>Dragonscale Island</v>
      </c>
      <c r="D76" s="1"/>
      <c r="E76" s="102">
        <f>IFERROR(__xludf.DUMMYFUNCTION("""COMPUTED_VALUE"""),1.0E9)</f>
        <v>1000000000</v>
      </c>
      <c r="F76" s="1" t="str">
        <f>IFERROR(__xludf.DUMMYFUNCTION("""COMPUTED_VALUE"""),"Gilder")</f>
        <v>Gilder</v>
      </c>
      <c r="G76" s="1"/>
      <c r="H76" s="1"/>
      <c r="I76" s="1"/>
      <c r="J76" s="1"/>
      <c r="K76" s="1"/>
      <c r="L76" s="1"/>
      <c r="M76" s="1"/>
      <c r="N76" s="1"/>
      <c r="O76" s="1"/>
      <c r="P76" s="1"/>
      <c r="Q76" s="1"/>
      <c r="R76" s="1"/>
      <c r="S76" s="1"/>
      <c r="T76" s="1"/>
      <c r="U76" s="1"/>
      <c r="V76" s="1"/>
      <c r="W76" s="1"/>
      <c r="X76" s="1"/>
      <c r="Y76" s="1"/>
      <c r="Z76" s="1"/>
    </row>
    <row r="77">
      <c r="A77" s="1" t="str">
        <f>IFERROR(__xludf.DUMMYFUNCTION("""COMPUTED_VALUE"""),"Tortoise Shell Island")</f>
        <v>Tortoise Shell Island</v>
      </c>
      <c r="B77" s="1" t="str">
        <f>IFERROR(__xludf.DUMMYFUNCTION("""COMPUTED_VALUE"""),"Long ago, Tortoise Shell Island was a barren, uninhabitable place. It was an unforgiving landscape, with little vegetation and scarce resources. But that all changed when a group of explorers discovered a rare and powerful gemstone on the island. The gems"&amp;"tone was said to have magical properties, and it was highly sought after by people from all over the world.
The discovery of the gemstone attracted two rival tribes to the island, the Fire Tribe and the Water Tribe. The Fire Tribe was known for their fie"&amp;"rce warriors and their fiery temperaments, while the Water Tribe was known for their calm and peaceful nature. Despite their differences, the two tribes formed a close bond, as they recognized that they needed to work together to protect their valuable re"&amp;"source.
As the two tribes settled on the island, they began to build a mighty fortress to protect themselves and the gemstone from outsiders. The fortress was built at the center of the island, and it quickly became the heart of the community. The two tr"&amp;"ibes worked together to create a system of laws and governance, and they appointed a council of elders to maintain order and justice on the island.
Over time, the island became a vibrant and prosperous place. The gemstone brought wealth and prosperity to"&amp;" the tribes, and they used it to build homes, farms, and markets. The island was also surrounded by lush forests, which provided the tribes with an abundance of resources and wildlife.
Despite their successes, the two tribes still had their differences. "&amp;"They would often argue and bicker, and it seemed as though a war was always on the brink of breaking out. But the elders of the council always managed to find a way to keep the peace, and the fortress remained strong.
As the years went by, the gemstone b"&amp;"egan to lose its power. It was still valuable, but it no longer held the same magical properties that it once did. The tribes began to look beyond the gemstone and towards other ways of sustaining themselves. They formed new alliances with neighboring isl"&amp;"ands, and they continued to build and expand their community.
Today, Tortoise Shell Island remains a prosperous and peaceful place. The fortress still stands at the center of the island, serving as a reminder of the tribes' unity and strength. The forest"&amp;"s that surround the village are still vibrant and full of life, and the people who live on the island continue to thrive and prosper.")</f>
        <v>Long ago, Tortoise Shell Island was a barren, uninhabitable place. It was an unforgiving landscape, with little vegetation and scarce resources. But that all changed when a group of explorers discovered a rare and powerful gemstone on the island. The gemstone was said to have magical properties, and it was highly sought after by people from all over the world.
The discovery of the gemstone attracted two rival tribes to the island, the Fire Tribe and the Water Tribe. The Fire Tribe was known for their fierce warriors and their fiery temperaments, while the Water Tribe was known for their calm and peaceful nature. Despite their differences, the two tribes formed a close bond, as they recognized that they needed to work together to protect their valuable resource.
As the two tribes settled on the island, they began to build a mighty fortress to protect themselves and the gemstone from outsiders. The fortress was built at the center of the island, and it quickly became the heart of the community. The two tribes worked together to create a system of laws and governance, and they appointed a council of elders to maintain order and justice on the island.
Over time, the island became a vibrant and prosperous place. The gemstone brought wealth and prosperity to the tribes, and they used it to build homes, farms, and markets. The island was also surrounded by lush forests, which provided the tribes with an abundance of resources and wildlife.
Despite their successes, the two tribes still had their differences. They would often argue and bicker, and it seemed as though a war was always on the brink of breaking out. But the elders of the council always managed to find a way to keep the peace, and the fortress remained strong.
As the years went by, the gemstone began to lose its power. It was still valuable, but it no longer held the same magical properties that it once did. The tribes began to look beyond the gemstone and towards other ways of sustaining themselves. They formed new alliances with neighboring islands, and they continued to build and expand their community.
Today, Tortoise Shell Island remains a prosperous and peaceful place. The fortress still stands at the center of the island, serving as a reminder of the tribes' unity and strength. The forests that surround the village are still vibrant and full of life, and the people who live on the island continue to thrive and prosper.</v>
      </c>
      <c r="C77" s="1" t="str">
        <f>IFERROR(__xludf.DUMMYFUNCTION("""COMPUTED_VALUE"""),"Dragonscale Island")</f>
        <v>Dragonscale Island</v>
      </c>
      <c r="D77" s="1"/>
      <c r="E77" s="102">
        <f>IFERROR(__xludf.DUMMYFUNCTION("""COMPUTED_VALUE"""),1.1E9)</f>
        <v>1100000000</v>
      </c>
      <c r="F77" s="1" t="str">
        <f>IFERROR(__xludf.DUMMYFUNCTION("""COMPUTED_VALUE"""),"Gilder")</f>
        <v>Gilder</v>
      </c>
      <c r="G77" s="1"/>
      <c r="H77" s="1"/>
      <c r="I77" s="1"/>
      <c r="J77" s="1"/>
      <c r="K77" s="1"/>
      <c r="L77" s="1"/>
      <c r="M77" s="1"/>
      <c r="N77" s="1"/>
      <c r="O77" s="1"/>
      <c r="P77" s="1"/>
      <c r="Q77" s="1"/>
      <c r="R77" s="1"/>
      <c r="S77" s="1"/>
      <c r="T77" s="1"/>
      <c r="U77" s="1"/>
      <c r="V77" s="1"/>
      <c r="W77" s="1"/>
      <c r="X77" s="1"/>
      <c r="Y77" s="1"/>
      <c r="Z77" s="1"/>
    </row>
    <row r="78">
      <c r="A78" s="1" t="str">
        <f>IFERROR(__xludf.DUMMYFUNCTION("""COMPUTED_VALUE"""),"Komodo Caverns")</f>
        <v>Komodo Caverns</v>
      </c>
      <c r="B78" s="1" t="str">
        <f>IFERROR(__xludf.DUMMYFUNCTION("""COMPUTED_VALUE"""),"Long ago, the Komodo Caverns were discovered by a group of explorers who were searching for new sources of valuable minerals. The caverns were unlike anything they had ever seen before, with sprawling tunnels and vast chambers that stretched for miles und"&amp;"erground. The explorers were in awe of the natural beauty of the caves, but they soon discovered that they were not alone.
Deep within the caverns, they encountered a group of knights who were unlike any they had ever seen before. These knights were fier"&amp;"ce warriors, clad in armor made from the scales of Komodo dragons. They carried swords that glinted in the darkness, and their eyes glowed with an otherworldly light.
The knights were the guardians of the caverns, and they had been tasked with protecting"&amp;" the valuable minerals that lay within. They were sworn to secrecy, and they had never allowed anyone to enter the caverns before. But the explorers had stumbled upon their secret, and they knew that they had to act quickly to protect their treasure.
The"&amp;" knights chased the explorers deep into the caverns, using their knowledge of the tunnels to outmaneuver them at every turn. But the explorers were determined to claim the valuable minerals for themselves, and they fought fiercely against the knights.
Th"&amp;"e battle raged on for days, with neither side gaining the upper hand. But in the end, the knights emerged victorious. They managed to push the explorers back to the entrance of the caverns, and they sealed the entrance shut with a powerful spell.
From th"&amp;"at day forward, the Komodo Dragon Knights have guarded the caverns with all their might. They have trained rigorously, mastering the art of combat and learning to navigate the treacherous tunnels with ease. They have also become skilled miners, using thei"&amp;"r knowledge of the caverns to extract the valuable minerals that lie within.
Today, the Komodo Caverns are a place of legend, whispered about in hushed tones by adventurers and treasure-seekers. Some have tried to enter the caverns, hoping to claim the v"&amp;"aluable minerals for themselves, but none have ever returned. The knights remain vigilant, ready to defend their home and their treasure against all who would dare to challenge them.")</f>
        <v>Long ago, the Komodo Caverns were discovered by a group of explorers who were searching for new sources of valuable minerals. The caverns were unlike anything they had ever seen before, with sprawling tunnels and vast chambers that stretched for miles underground. The explorers were in awe of the natural beauty of the caves, but they soon discovered that they were not alone.
Deep within the caverns, they encountered a group of knights who were unlike any they had ever seen before. These knights were fierce warriors, clad in armor made from the scales of Komodo dragons. They carried swords that glinted in the darkness, and their eyes glowed with an otherworldly light.
The knights were the guardians of the caverns, and they had been tasked with protecting the valuable minerals that lay within. They were sworn to secrecy, and they had never allowed anyone to enter the caverns before. But the explorers had stumbled upon their secret, and they knew that they had to act quickly to protect their treasure.
The knights chased the explorers deep into the caverns, using their knowledge of the tunnels to outmaneuver them at every turn. But the explorers were determined to claim the valuable minerals for themselves, and they fought fiercely against the knights.
The battle raged on for days, with neither side gaining the upper hand. But in the end, the knights emerged victorious. They managed to push the explorers back to the entrance of the caverns, and they sealed the entrance shut with a powerful spell.
From that day forward, the Komodo Dragon Knights have guarded the caverns with all their might. They have trained rigorously, mastering the art of combat and learning to navigate the treacherous tunnels with ease. They have also become skilled miners, using their knowledge of the caverns to extract the valuable minerals that lie within.
Today, the Komodo Caverns are a place of legend, whispered about in hushed tones by adventurers and treasure-seekers. Some have tried to enter the caverns, hoping to claim the valuable minerals for themselves, but none have ever returned. The knights remain vigilant, ready to defend their home and their treasure against all who would dare to challenge them.</v>
      </c>
      <c r="C78" s="1" t="str">
        <f>IFERROR(__xludf.DUMMYFUNCTION("""COMPUTED_VALUE"""),"Dragonscale Island")</f>
        <v>Dragonscale Island</v>
      </c>
      <c r="D78" s="1"/>
      <c r="E78" s="102">
        <f>IFERROR(__xludf.DUMMYFUNCTION("""COMPUTED_VALUE"""),1.0E9)</f>
        <v>1000000000</v>
      </c>
      <c r="F78" s="1" t="str">
        <f>IFERROR(__xludf.DUMMYFUNCTION("""COMPUTED_VALUE"""),"Gilder")</f>
        <v>Gilder</v>
      </c>
      <c r="G78" s="1"/>
      <c r="H78" s="1"/>
      <c r="I78" s="1"/>
      <c r="J78" s="1"/>
      <c r="K78" s="1"/>
      <c r="L78" s="1"/>
      <c r="M78" s="1"/>
      <c r="N78" s="1"/>
      <c r="O78" s="1"/>
      <c r="P78" s="1"/>
      <c r="Q78" s="1"/>
      <c r="R78" s="1"/>
      <c r="S78" s="1"/>
      <c r="T78" s="1"/>
      <c r="U78" s="1"/>
      <c r="V78" s="1"/>
      <c r="W78" s="1"/>
      <c r="X78" s="1"/>
      <c r="Y78" s="1"/>
      <c r="Z78" s="1"/>
    </row>
    <row r="79">
      <c r="A79" s="1" t="str">
        <f>IFERROR(__xludf.DUMMYFUNCTION("""COMPUTED_VALUE"""),"DragonTear Lake (Eye of The Dragon)")</f>
        <v>DragonTear Lake (Eye of The Dragon)</v>
      </c>
      <c r="B79" s="1" t="str">
        <f>IFERROR(__xludf.DUMMYFUNCTION("""COMPUTED_VALUE"""),"DragonTear Lake, or the Eye of the Dragon as it is sometimes called, is a mysterious body of water that is shrouded in legends and rumors. According to local lore, the lake was formed by a powerful dragon that once inhabited the area. The creature was sai"&amp;"d to be so fearsome that it could breathe fire and ice, and its scales were as hard as steel. Many brave adventurers tried to slay the dragon and claim its hoard of treasure, but none were successful.
Eventually, a group of powerful mages and warriors ba"&amp;"nded together to defeat the dragon once and for all. They managed to slay the beast, but not before it let out one final roar that shook the ground and split the earth. From the spot where the dragon fell, a great lake sprung up, and it was said that the "&amp;"tears shed by the dragon as it died mixed with the water, giving it its unique properties.
However, as time passed, strange things began to happen around the lake. Travelers reported seeing ghostly figures walking along its shores, and some claimed that "&amp;"they could hear the dragon's roar echoing through the night. Fishermen who dared to cast their lines into the lake often came back with strange and twisted catches, and those who ventured into the water often reported feeling an ominous presence watching "&amp;"them from below.
Despite its dangers, many adventurers still flock to DragonTear Lake in search of treasure and adventure. Some even believe that the lake holds the key to unlocking ancient magic or hidden knowledge. But whether they will emerge from its"&amp;" depths unscathed, or if they will fall victim to the dragon's curse, remains to be seen.")</f>
        <v>DragonTear Lake, or the Eye of the Dragon as it is sometimes called, is a mysterious body of water that is shrouded in legends and rumors. According to local lore, the lake was formed by a powerful dragon that once inhabited the area. The creature was said to be so fearsome that it could breathe fire and ice, and its scales were as hard as steel. Many brave adventurers tried to slay the dragon and claim its hoard of treasure, but none were successful.
Eventually, a group of powerful mages and warriors banded together to defeat the dragon once and for all. They managed to slay the beast, but not before it let out one final roar that shook the ground and split the earth. From the spot where the dragon fell, a great lake sprung up, and it was said that the tears shed by the dragon as it died mixed with the water, giving it its unique properties.
However, as time passed, strange things began to happen around the lake. Travelers reported seeing ghostly figures walking along its shores, and some claimed that they could hear the dragon's roar echoing through the night. Fishermen who dared to cast their lines into the lake often came back with strange and twisted catches, and those who ventured into the water often reported feeling an ominous presence watching them from below.
Despite its dangers, many adventurers still flock to DragonTear Lake in search of treasure and adventure. Some even believe that the lake holds the key to unlocking ancient magic or hidden knowledge. But whether they will emerge from its depths unscathed, or if they will fall victim to the dragon's curse, remains to be seen.</v>
      </c>
      <c r="C79" s="1" t="str">
        <f>IFERROR(__xludf.DUMMYFUNCTION("""COMPUTED_VALUE"""),"Dragonscale Island")</f>
        <v>Dragonscale Island</v>
      </c>
      <c r="D79" s="1"/>
      <c r="E79" s="102">
        <f>IFERROR(__xludf.DUMMYFUNCTION("""COMPUTED_VALUE"""),1.0E9)</f>
        <v>1000000000</v>
      </c>
      <c r="F79" s="1" t="str">
        <f>IFERROR(__xludf.DUMMYFUNCTION("""COMPUTED_VALUE"""),"Gilder")</f>
        <v>Gilder</v>
      </c>
      <c r="G79" s="1"/>
      <c r="H79" s="1"/>
      <c r="I79" s="1"/>
      <c r="J79" s="1"/>
      <c r="K79" s="1"/>
      <c r="L79" s="1"/>
      <c r="M79" s="1"/>
      <c r="N79" s="1"/>
      <c r="O79" s="1"/>
      <c r="P79" s="1"/>
      <c r="Q79" s="1"/>
      <c r="R79" s="1"/>
      <c r="S79" s="1"/>
      <c r="T79" s="1"/>
      <c r="U79" s="1"/>
      <c r="V79" s="1"/>
      <c r="W79" s="1"/>
      <c r="X79" s="1"/>
      <c r="Y79" s="1"/>
      <c r="Z79" s="1"/>
    </row>
    <row r="80">
      <c r="A80" s="1" t="str">
        <f>IFERROR(__xludf.DUMMYFUNCTION("""COMPUTED_VALUE"""),"DragonScale Summit")</f>
        <v>DragonScale Summit</v>
      </c>
      <c r="B80" s="1" t="str">
        <f>IFERROR(__xludf.DUMMYFUNCTION("""COMPUTED_VALUE"""),"DragonScale Summit is a frozen fortress perched high atop a mountain peak that is said to be the home of the most powerful dragons and lizardkin in the land. The summit was built by Lord Dracus Dragonscale, the ruler of DragonScale Island, who was known t"&amp;"hroughout the land as a fierce warrior and a brilliant strategist.
As a young dragon, Dracus was forced to flee his home when a rival dragon clan took over his island. He vowed to one day return and reclaim his birthright, and after years of training and"&amp;" planning, he gathered a band of loyal followers and set out to retake the island. The battle was long and grueling, but in the end, Dracus emerged victorious, and he declared himself the new ruler of DragonScale Island.
With his power secured, Dracus se"&amp;"t out to build a fortress that would be impervious to any attack. He chose the highest peak in the region, a place where the winds were fierce and the snow never melted, and there he began construction on the DragonScale Summit. The fortress was made enti"&amp;"rely of ice and reinforced with magic, and its walls were so thick that no weapon could penetrate them.
Dracus soon became known as the Lord of DragonScale Summit, and his reputation as a powerful and just ruler spread throughout the land. Many dragons a"&amp;"nd lizardkin from all corners of the world came to swear fealty to him, and they pledged their loyalty to his cause.
Today, DragonScale Summit stands as a symbol of Dracus's power and might. It is said that he and his followers continue to dwell there, w"&amp;"atching over the land and waiting for any who would challenge their rule. Some adventurers have attempted to breach the fortress, but none have ever succeeded, and those who have tried are said to have met a terrible fate at the hands of Lord Dracus and h"&amp;"is dragon and lizardkin followers.")</f>
        <v>DragonScale Summit is a frozen fortress perched high atop a mountain peak that is said to be the home of the most powerful dragons and lizardkin in the land. The summit was built by Lord Dracus Dragonscale, the ruler of DragonScale Island, who was known throughout the land as a fierce warrior and a brilliant strategist.
As a young dragon, Dracus was forced to flee his home when a rival dragon clan took over his island. He vowed to one day return and reclaim his birthright, and after years of training and planning, he gathered a band of loyal followers and set out to retake the island. The battle was long and grueling, but in the end, Dracus emerged victorious, and he declared himself the new ruler of DragonScale Island.
With his power secured, Dracus set out to build a fortress that would be impervious to any attack. He chose the highest peak in the region, a place where the winds were fierce and the snow never melted, and there he began construction on the DragonScale Summit. The fortress was made entirely of ice and reinforced with magic, and its walls were so thick that no weapon could penetrate them.
Dracus soon became known as the Lord of DragonScale Summit, and his reputation as a powerful and just ruler spread throughout the land. Many dragons and lizardkin from all corners of the world came to swear fealty to him, and they pledged their loyalty to his cause.
Today, DragonScale Summit stands as a symbol of Dracus's power and might. It is said that he and his followers continue to dwell there, watching over the land and waiting for any who would challenge their rule. Some adventurers have attempted to breach the fortress, but none have ever succeeded, and those who have tried are said to have met a terrible fate at the hands of Lord Dracus and his dragon and lizardkin followers.</v>
      </c>
      <c r="C80" s="1" t="str">
        <f>IFERROR(__xludf.DUMMYFUNCTION("""COMPUTED_VALUE"""),"Dragonscale Island")</f>
        <v>Dragonscale Island</v>
      </c>
      <c r="D80" s="1"/>
      <c r="E80" s="102">
        <f>IFERROR(__xludf.DUMMYFUNCTION("""COMPUTED_VALUE"""),1.0E9)</f>
        <v>1000000000</v>
      </c>
      <c r="F80" s="1" t="str">
        <f>IFERROR(__xludf.DUMMYFUNCTION("""COMPUTED_VALUE"""),"Gilder")</f>
        <v>Gilder</v>
      </c>
      <c r="G80" s="1"/>
      <c r="H80" s="1"/>
      <c r="I80" s="1"/>
      <c r="J80" s="1"/>
      <c r="K80" s="1"/>
      <c r="L80" s="1"/>
      <c r="M80" s="1"/>
      <c r="N80" s="1"/>
      <c r="O80" s="1"/>
      <c r="P80" s="1"/>
      <c r="Q80" s="1"/>
      <c r="R80" s="1"/>
      <c r="S80" s="1"/>
      <c r="T80" s="1"/>
      <c r="U80" s="1"/>
      <c r="V80" s="1"/>
      <c r="W80" s="1"/>
      <c r="X80" s="1"/>
      <c r="Y80" s="1"/>
      <c r="Z80" s="1"/>
    </row>
    <row r="81">
      <c r="A81" s="1" t="str">
        <f>IFERROR(__xludf.DUMMYFUNCTION("""COMPUTED_VALUE"""),"DragonScale Vale")</f>
        <v>DragonScale Vale</v>
      </c>
      <c r="B81" s="1" t="str">
        <f>IFERROR(__xludf.DUMMYFUNCTION("""COMPUTED_VALUE"""),"DragonScale Vale is a vast open valley that stretches for miles along the coast. It is surrounded by towering mountains and lush forests that are home to all kinds of dragons and lizardkin. Despite the abundance of fierce creatures, the valley is known fo"&amp;"r its peace and neutrality. It is said that even the most bitter enemies will set aside their differences when they enter DragonScale Vale.
The valley's peaceful reputation is due in large part to its founder, a wise and powerful dragon named Scaleheart."&amp;" Scaleheart was once a fierce warrior who had fought in many battles and wars, but after witnessing the devastation and suffering caused by such conflicts, he decided to turn his back on violence and seek a more peaceful path.
He gathered a group of like"&amp;"-minded dragons and lizardkin and founded DragonScale Vale as a neutral ground where all could come to live and trade without fear of attack. He also established strict laws that forbade any act of violence within the valley's borders. Anyone who broke th"&amp;"e laws would be banished from the valley forever.
Despite its peaceful nature, DragonScale Vale is not without its dangers. Many adventurers have been lured into the valley by the promise of treasure or adventure, only to be faced with fierce creatures t"&amp;"hat call the valley home. But those who come in peace and respect the laws of the land will find a welcoming community of dragons and lizardkin who are always eager to trade and share their knowledge.
Today, DragonScale Vale is a thriving hub of trade an"&amp;"d commerce, where dragons and lizardkin of all kinds come to exchange goods and ideas. The valley's peaceful reputation has made it a popular destination for travelers and traders alike, and it continues to be a beacon of hope for those who seek a better "&amp;"way of life.")</f>
        <v>DragonScale Vale is a vast open valley that stretches for miles along the coast. It is surrounded by towering mountains and lush forests that are home to all kinds of dragons and lizardkin. Despite the abundance of fierce creatures, the valley is known for its peace and neutrality. It is said that even the most bitter enemies will set aside their differences when they enter DragonScale Vale.
The valley's peaceful reputation is due in large part to its founder, a wise and powerful dragon named Scaleheart. Scaleheart was once a fierce warrior who had fought in many battles and wars, but after witnessing the devastation and suffering caused by such conflicts, he decided to turn his back on violence and seek a more peaceful path.
He gathered a group of like-minded dragons and lizardkin and founded DragonScale Vale as a neutral ground where all could come to live and trade without fear of attack. He also established strict laws that forbade any act of violence within the valley's borders. Anyone who broke the laws would be banished from the valley forever.
Despite its peaceful nature, DragonScale Vale is not without its dangers. Many adventurers have been lured into the valley by the promise of treasure or adventure, only to be faced with fierce creatures that call the valley home. But those who come in peace and respect the laws of the land will find a welcoming community of dragons and lizardkin who are always eager to trade and share their knowledge.
Today, DragonScale Vale is a thriving hub of trade and commerce, where dragons and lizardkin of all kinds come to exchange goods and ideas. The valley's peaceful reputation has made it a popular destination for travelers and traders alike, and it continues to be a beacon of hope for those who seek a better way of life.</v>
      </c>
      <c r="C81" s="1" t="str">
        <f>IFERROR(__xludf.DUMMYFUNCTION("""COMPUTED_VALUE"""),"Dragonscale Island")</f>
        <v>Dragonscale Island</v>
      </c>
      <c r="D81" s="1"/>
      <c r="E81" s="102">
        <f>IFERROR(__xludf.DUMMYFUNCTION("""COMPUTED_VALUE"""),1.0E9)</f>
        <v>1000000000</v>
      </c>
      <c r="F81" s="1" t="str">
        <f>IFERROR(__xludf.DUMMYFUNCTION("""COMPUTED_VALUE"""),"Gilder")</f>
        <v>Gilder</v>
      </c>
      <c r="G81" s="1"/>
      <c r="H81" s="1"/>
      <c r="I81" s="1"/>
      <c r="J81" s="1"/>
      <c r="K81" s="1"/>
      <c r="L81" s="1"/>
      <c r="M81" s="1"/>
      <c r="N81" s="1"/>
      <c r="O81" s="1"/>
      <c r="P81" s="1"/>
      <c r="Q81" s="1"/>
      <c r="R81" s="1"/>
      <c r="S81" s="1"/>
      <c r="T81" s="1"/>
      <c r="U81" s="1"/>
      <c r="V81" s="1"/>
      <c r="W81" s="1"/>
      <c r="X81" s="1"/>
      <c r="Y81" s="1"/>
      <c r="Z81" s="1"/>
    </row>
    <row r="82">
      <c r="A82" s="1" t="str">
        <f>IFERROR(__xludf.DUMMYFUNCTION("""COMPUTED_VALUE"""),"DragonScale Grotto")</f>
        <v>DragonScale Grotto</v>
      </c>
      <c r="B82" s="1" t="str">
        <f>IFERROR(__xludf.DUMMYFUNCTION("""COMPUTED_VALUE"""),"DragonScale Grotto is a secret passage that winds its way through the mountains leading to the summit of DragonScale Summit. It was discovered by Lord Dracus Dragonscale himself, who needed a safe and secret route to travel to and from his fortress.
The "&amp;"grotto is hidden from view, and its entrance is located deep within a dense forest that is notoriously difficult to navigate. Only a select few know of its existence, and they guard its location fiercely.
The grotto itself is a twisting maze of tunnels a"&amp;"nd caverns that have been carved out of the mountain over thousands of years. It is said that the tunnels were originally used by an ancient race of dragons who sought refuge from the world above.
The grotto's exit, however, is guarded by a fierce ice dr"&amp;"agon named Frostbite, who is a loyal servant to Lord Dracus Dragonscale. Frostbite is a formidable opponent, with razor-sharp claws and teeth that can slice through steel. He is fiercely protective of his master and will stop at nothing to ensure the safe"&amp;"ty of DragonScale Summit.
Many adventurers have attempted to navigate the treacherous tunnels of DragonScale Grotto in the hopes of reaching DragonScale Summit, but few have ever made it past Frostbite. The ice dragon is an expert at detecting intruders "&amp;"and will attack anyone who tries to pass through the grotto without permission.
Today, DragonScale Grotto remains a well-kept secret, known only to a select few who are trusted by Lord Dracus Dragonscale. Its existence is a testament to the power and inf"&amp;"luence of the dragon lord, and it serves as a reminder that even the most well-guarded fortress can be breached by those who are brave enough to try.")</f>
        <v>DragonScale Grotto is a secret passage that winds its way through the mountains leading to the summit of DragonScale Summit. It was discovered by Lord Dracus Dragonscale himself, who needed a safe and secret route to travel to and from his fortress.
The grotto is hidden from view, and its entrance is located deep within a dense forest that is notoriously difficult to navigate. Only a select few know of its existence, and they guard its location fiercely.
The grotto itself is a twisting maze of tunnels and caverns that have been carved out of the mountain over thousands of years. It is said that the tunnels were originally used by an ancient race of dragons who sought refuge from the world above.
The grotto's exit, however, is guarded by a fierce ice dragon named Frostbite, who is a loyal servant to Lord Dracus Dragonscale. Frostbite is a formidable opponent, with razor-sharp claws and teeth that can slice through steel. He is fiercely protective of his master and will stop at nothing to ensure the safety of DragonScale Summit.
Many adventurers have attempted to navigate the treacherous tunnels of DragonScale Grotto in the hopes of reaching DragonScale Summit, but few have ever made it past Frostbite. The ice dragon is an expert at detecting intruders and will attack anyone who tries to pass through the grotto without permission.
Today, DragonScale Grotto remains a well-kept secret, known only to a select few who are trusted by Lord Dracus Dragonscale. Its existence is a testament to the power and influence of the dragon lord, and it serves as a reminder that even the most well-guarded fortress can be breached by those who are brave enough to try.</v>
      </c>
      <c r="C82" s="1" t="str">
        <f>IFERROR(__xludf.DUMMYFUNCTION("""COMPUTED_VALUE"""),"Dragonscale Island")</f>
        <v>Dragonscale Island</v>
      </c>
      <c r="D82" s="1"/>
      <c r="E82" s="102">
        <f>IFERROR(__xludf.DUMMYFUNCTION("""COMPUTED_VALUE"""),1.0E9)</f>
        <v>1000000000</v>
      </c>
      <c r="F82" s="1" t="str">
        <f>IFERROR(__xludf.DUMMYFUNCTION("""COMPUTED_VALUE"""),"Gilder")</f>
        <v>Gilder</v>
      </c>
      <c r="G82" s="1"/>
      <c r="H82" s="1"/>
      <c r="I82" s="1"/>
      <c r="J82" s="1"/>
      <c r="K82" s="1"/>
      <c r="L82" s="1"/>
      <c r="M82" s="1"/>
      <c r="N82" s="1"/>
      <c r="O82" s="1"/>
      <c r="P82" s="1"/>
      <c r="Q82" s="1"/>
      <c r="R82" s="1"/>
      <c r="S82" s="1"/>
      <c r="T82" s="1"/>
      <c r="U82" s="1"/>
      <c r="V82" s="1"/>
      <c r="W82" s="1"/>
      <c r="X82" s="1"/>
      <c r="Y82" s="1"/>
      <c r="Z82" s="1"/>
    </row>
    <row r="83">
      <c r="A83" s="1" t="str">
        <f>IFERROR(__xludf.DUMMYFUNCTION("""COMPUTED_VALUE"""),"Lava Lizard Lake")</f>
        <v>Lava Lizard Lake</v>
      </c>
      <c r="B83" s="1" t="str">
        <f>IFERROR(__xludf.DUMMYFUNCTION("""COMPUTED_VALUE"""),"Lava Lizard Lake is a place of intense heat and flames, surrounded by towering mountains and deep valleys. The lake is fed by a nearby volcano, which spews hot molten lava into its waters, creating a dangerous and fiery environment.
The lake is home to a"&amp;"ll manner of fiery creatures, including dragons and elemental spirits of fire. The dragons are fierce and territorial, guarding their domain with ferocity and cunning. The elementals are equally powerful, able to control and manipulate the flames of the l"&amp;"ake to their will.
Despite the danger, Lava Lizard Lake is also home to a unique species of lizard, known as the Lava Lizard. These creatures are able to survive in the intense heat and flames of the lake, and they are free to roam the area without fear "&amp;"of attack from the dragons and elementals.
The origin of Lava Lizard Lake is shrouded in mystery, with many tales and legends surrounding its creation. Some say that it was formed by an ancient dragon who was so powerful that his very presence caused the"&amp;" earth to shake and the mountains to tremble. Others say that it was created by a powerful wizard who sought to harness the power of the volcano and the elementals that dwelled within.
Whatever the origin of the lake, it remains a place of intense power "&amp;"and danger, with only the bravest and most skilled adventurers daring to venture into its fiery depths. The dragons and elementals that guard the lake are feared and respected by all who know of their power, and the Lava Lizards that call the lake home ar"&amp;"e revered for their ability to survive in such an inhospitable environment.")</f>
        <v>Lava Lizard Lake is a place of intense heat and flames, surrounded by towering mountains and deep valleys. The lake is fed by a nearby volcano, which spews hot molten lava into its waters, creating a dangerous and fiery environment.
The lake is home to all manner of fiery creatures, including dragons and elemental spirits of fire. The dragons are fierce and territorial, guarding their domain with ferocity and cunning. The elementals are equally powerful, able to control and manipulate the flames of the lake to their will.
Despite the danger, Lava Lizard Lake is also home to a unique species of lizard, known as the Lava Lizard. These creatures are able to survive in the intense heat and flames of the lake, and they are free to roam the area without fear of attack from the dragons and elementals.
The origin of Lava Lizard Lake is shrouded in mystery, with many tales and legends surrounding its creation. Some say that it was formed by an ancient dragon who was so powerful that his very presence caused the earth to shake and the mountains to tremble. Others say that it was created by a powerful wizard who sought to harness the power of the volcano and the elementals that dwelled within.
Whatever the origin of the lake, it remains a place of intense power and danger, with only the bravest and most skilled adventurers daring to venture into its fiery depths. The dragons and elementals that guard the lake are feared and respected by all who know of their power, and the Lava Lizards that call the lake home are revered for their ability to survive in such an inhospitable environment.</v>
      </c>
      <c r="C83" s="1" t="str">
        <f>IFERROR(__xludf.DUMMYFUNCTION("""COMPUTED_VALUE"""),"Dragonscale Island")</f>
        <v>Dragonscale Island</v>
      </c>
      <c r="D83" s="1"/>
      <c r="E83" s="102">
        <f>IFERROR(__xludf.DUMMYFUNCTION("""COMPUTED_VALUE"""),1.0E9)</f>
        <v>1000000000</v>
      </c>
      <c r="F83" s="1" t="str">
        <f>IFERROR(__xludf.DUMMYFUNCTION("""COMPUTED_VALUE"""),"Gilder")</f>
        <v>Gilder</v>
      </c>
      <c r="G83" s="1"/>
      <c r="H83" s="1"/>
      <c r="I83" s="1"/>
      <c r="J83" s="1"/>
      <c r="K83" s="1"/>
      <c r="L83" s="1"/>
      <c r="M83" s="1"/>
      <c r="N83" s="1"/>
      <c r="O83" s="1"/>
      <c r="P83" s="1"/>
      <c r="Q83" s="1"/>
      <c r="R83" s="1"/>
      <c r="S83" s="1"/>
      <c r="T83" s="1"/>
      <c r="U83" s="1"/>
      <c r="V83" s="1"/>
      <c r="W83" s="1"/>
      <c r="X83" s="1"/>
      <c r="Y83" s="1"/>
      <c r="Z83" s="1"/>
    </row>
    <row r="84">
      <c r="A84" s="1" t="str">
        <f>IFERROR(__xludf.DUMMYFUNCTION("""COMPUTED_VALUE"""),"Crypts of the Ancient One")</f>
        <v>Crypts of the Ancient One</v>
      </c>
      <c r="B84" s="1" t="str">
        <f>IFERROR(__xludf.DUMMYFUNCTION("""COMPUTED_VALUE"""),"The Crypts of the Ancient One are a dark and foreboding place, lying east of the infamous DragonScale Dungeon. The crypts are a series of interconnected catacombs and burial chambers, where the remains of ancient and forgotten civilizations lie entombed.
"&amp;"
Legend has it that the Crypts were created by an ancient dragon, who sought to protect his hoard of treasure and artifacts from would-be thieves and adventurers. The dragon was said to be one of the most powerful and fearsome creatures to ever roam the l"&amp;"and, and his power was such that even after his death, his spirit remained trapped within the crypts.
Over the centuries, countless adventurers and treasure-seekers have ventured into the Crypts of the Ancient One, hoping to claim the dragon's hoard for "&amp;"themselves. However, few have ever returned, and those who do tell tales of cursed treasure, undead guardians, and the soul of the ancient dragon that still haunts the crypts to this day.
Despite the dangers, some adventurers are still drawn to the Crypt"&amp;"s, seeking to test their mettle against the legendary guardians and claim the dragon's hoard for themselves. Many believe that the treasure within the Crypts is beyond imagination, filled with powerful magical artifacts, ancient relics, and more gold than"&amp;" anyone could ever spend in a lifetime.
However, the Crypts of the Ancient One are not a place for the faint of heart. Only the bravest and most skilled adventurers dare to enter its depths, and even they may not return unscathed. The legend of the ancie"&amp;"nt dragon still looms large over the Crypts, and his power is such that even in death, he continues to guard his treasure with fierce determination.")</f>
        <v>The Crypts of the Ancient One are a dark and foreboding place, lying east of the infamous DragonScale Dungeon. The crypts are a series of interconnected catacombs and burial chambers, where the remains of ancient and forgotten civilizations lie entombed.
Legend has it that the Crypts were created by an ancient dragon, who sought to protect his hoard of treasure and artifacts from would-be thieves and adventurers. The dragon was said to be one of the most powerful and fearsome creatures to ever roam the land, and his power was such that even after his death, his spirit remained trapped within the crypts.
Over the centuries, countless adventurers and treasure-seekers have ventured into the Crypts of the Ancient One, hoping to claim the dragon's hoard for themselves. However, few have ever returned, and those who do tell tales of cursed treasure, undead guardians, and the soul of the ancient dragon that still haunts the crypts to this day.
Despite the dangers, some adventurers are still drawn to the Crypts, seeking to test their mettle against the legendary guardians and claim the dragon's hoard for themselves. Many believe that the treasure within the Crypts is beyond imagination, filled with powerful magical artifacts, ancient relics, and more gold than anyone could ever spend in a lifetime.
However, the Crypts of the Ancient One are not a place for the faint of heart. Only the bravest and most skilled adventurers dare to enter its depths, and even they may not return unscathed. The legend of the ancient dragon still looms large over the Crypts, and his power is such that even in death, he continues to guard his treasure with fierce determination.</v>
      </c>
      <c r="C84" s="1" t="str">
        <f>IFERROR(__xludf.DUMMYFUNCTION("""COMPUTED_VALUE"""),"Dragonscale Island")</f>
        <v>Dragonscale Island</v>
      </c>
      <c r="D84" s="1"/>
      <c r="E84" s="102">
        <f>IFERROR(__xludf.DUMMYFUNCTION("""COMPUTED_VALUE"""),1.0E9)</f>
        <v>1000000000</v>
      </c>
      <c r="F84" s="1" t="str">
        <f>IFERROR(__xludf.DUMMYFUNCTION("""COMPUTED_VALUE"""),"Gilder")</f>
        <v>Gilder</v>
      </c>
      <c r="G84" s="1"/>
      <c r="H84" s="1"/>
      <c r="I84" s="1"/>
      <c r="J84" s="1"/>
      <c r="K84" s="1"/>
      <c r="L84" s="1"/>
      <c r="M84" s="1"/>
      <c r="N84" s="1"/>
      <c r="O84" s="1"/>
      <c r="P84" s="1"/>
      <c r="Q84" s="1"/>
      <c r="R84" s="1"/>
      <c r="S84" s="1"/>
      <c r="T84" s="1"/>
      <c r="U84" s="1"/>
      <c r="V84" s="1"/>
      <c r="W84" s="1"/>
      <c r="X84" s="1"/>
      <c r="Y84" s="1"/>
      <c r="Z84" s="1"/>
    </row>
    <row r="85">
      <c r="A85" s="1" t="str">
        <f>IFERROR(__xludf.DUMMYFUNCTION("""COMPUTED_VALUE"""),"DragonScale Arena")</f>
        <v>DragonScale Arena</v>
      </c>
      <c r="B85" s="1" t="str">
        <f>IFERROR(__xludf.DUMMYFUNCTION("""COMPUTED_VALUE"""),"The DragonScale Arena has been around for centuries, dating back to a time when dragons roamed the lands and clashed with humans for supremacy. In those days, the arena was a place of bloody battles, with knights and warriors fighting to prove their worth"&amp;" against the fearsome dragons.
Over time, the arena evolved into a hub for adventurers seeking fame and fortune. It became a place where people from all walks of life could test their strength and skill against the fiercest opponents, be it a dragon, a k"&amp;"night, a lizard, or a wizard.
The arena was originally built by a group of powerful mages who sought to harness the power of the dragons that once inhabited the area. They used their magic to create a massive, circular arena with towering walls and a san"&amp;"dy floor that could withstand the flames and claws of the dragons.
As the years passed, the arena's popularity grew, and chariot racing was added to the list of events. The races were a spectacle to behold, with chariots pulled by horses, griffins, and e"&amp;"ven wyverns, racing around the arena at breakneck speeds.
The arena has seen many champions come and go, but none have been as legendary as the DragonSlayers, a group of adventurers who gained fame and fortune by slaying dragons in the arena. Led by a ch"&amp;"arismatic warrior named Galen, the DragonSlayers became an unstoppable force, taking on even the most fearsome dragons with ease.
Despite its long and storied history, the DragonScale Arena has faced many challenges over the years. The dragons that once "&amp;"roamed the area are now rare, and some have even been hunted to extinction. The arena has had to adapt, introducing new opponents like lizards and wizards to keep the crowds entertained.
But even in the face of adversity, the DragonScale Arena continues "&amp;"to thrive, drawing adventurers and thrill-seekers from far and wide. And as long as there are those willing to test their mettle against the arena's fiercest opponents, it will remain a staple of DragonScale Island.")</f>
        <v>The DragonScale Arena has been around for centuries, dating back to a time when dragons roamed the lands and clashed with humans for supremacy. In those days, the arena was a place of bloody battles, with knights and warriors fighting to prove their worth against the fearsome dragons.
Over time, the arena evolved into a hub for adventurers seeking fame and fortune. It became a place where people from all walks of life could test their strength and skill against the fiercest opponents, be it a dragon, a knight, a lizard, or a wizard.
The arena was originally built by a group of powerful mages who sought to harness the power of the dragons that once inhabited the area. They used their magic to create a massive, circular arena with towering walls and a sandy floor that could withstand the flames and claws of the dragons.
As the years passed, the arena's popularity grew, and chariot racing was added to the list of events. The races were a spectacle to behold, with chariots pulled by horses, griffins, and even wyverns, racing around the arena at breakneck speeds.
The arena has seen many champions come and go, but none have been as legendary as the DragonSlayers, a group of adventurers who gained fame and fortune by slaying dragons in the arena. Led by a charismatic warrior named Galen, the DragonSlayers became an unstoppable force, taking on even the most fearsome dragons with ease.
Despite its long and storied history, the DragonScale Arena has faced many challenges over the years. The dragons that once roamed the area are now rare, and some have even been hunted to extinction. The arena has had to adapt, introducing new opponents like lizards and wizards to keep the crowds entertained.
But even in the face of adversity, the DragonScale Arena continues to thrive, drawing adventurers and thrill-seekers from far and wide. And as long as there are those willing to test their mettle against the arena's fiercest opponents, it will remain a staple of DragonScale Island.</v>
      </c>
      <c r="C85" s="1" t="str">
        <f>IFERROR(__xludf.DUMMYFUNCTION("""COMPUTED_VALUE"""),"Dragonscale Island")</f>
        <v>Dragonscale Island</v>
      </c>
      <c r="D85" s="1"/>
      <c r="E85" s="102">
        <f>IFERROR(__xludf.DUMMYFUNCTION("""COMPUTED_VALUE"""),1.0E9)</f>
        <v>1000000000</v>
      </c>
      <c r="F85" s="1" t="str">
        <f>IFERROR(__xludf.DUMMYFUNCTION("""COMPUTED_VALUE"""),"Gilder")</f>
        <v>Gilder</v>
      </c>
      <c r="G85" s="1"/>
      <c r="H85" s="1"/>
      <c r="I85" s="1"/>
      <c r="J85" s="1"/>
      <c r="K85" s="1"/>
      <c r="L85" s="1"/>
      <c r="M85" s="1"/>
      <c r="N85" s="1"/>
      <c r="O85" s="1"/>
      <c r="P85" s="1"/>
      <c r="Q85" s="1"/>
      <c r="R85" s="1"/>
      <c r="S85" s="1"/>
      <c r="T85" s="1"/>
      <c r="U85" s="1"/>
      <c r="V85" s="1"/>
      <c r="W85" s="1"/>
      <c r="X85" s="1"/>
      <c r="Y85" s="1"/>
      <c r="Z85" s="1"/>
    </row>
    <row r="86">
      <c r="A86" s="1" t="str">
        <f>IFERROR(__xludf.DUMMYFUNCTION("""COMPUTED_VALUE"""),"Thundertail Falls")</f>
        <v>Thundertail Falls</v>
      </c>
      <c r="B86" s="1" t="str">
        <f>IFERROR(__xludf.DUMMYFUNCTION("""COMPUTED_VALUE"""),"Thundertail Falls is an area of great natural beauty, nestled deep in the heart of a rugged, mountainous landscape. The falls themselves are fed by the icy waters that flow down from Mount Thunderoot, a towering peak that dominates the surrounding area.
"&amp;"For centuries, the falls were revered by the local people, who believed them to be a sacred site imbued with mystical powers. It was said that the thunderous roar of the falls could be heard from miles around, and that the waters held healing properties c"&amp;"apable of curing even the most deadly of illnesses.
The falls were also home to a thriving community of animals, including the mighty Thundertail, a species of thunderous lizard that roamed the area. These creatures were feared and respected by the local"&amp;"s, who believed that they were the guardians of the falls and the surrounding wilderness.
Over time, the area became a hub for adventurers and explorers, drawn by the promise of ancient treasures and forgotten knowledge. Many came seeking the fabled Thun"&amp;"derstone, a rare and powerful gem said to be hidden somewhere in the falls. Others were drawn by the allure of the Thundertail, hoping to capture or tame the fearsome beasts.
As more and more people came to the area, the local ecosystem began to suffer. "&amp;"The Thundertail, once a common sight, became increasingly rare, and the waters of the falls became polluted and toxic. The once-pristine wilderness became a battleground, with adventurers and poachers fighting over resources and territory.
Today, Thunder"&amp;"tail Falls is a shadow of its former self. The Thundertail are all but extinct, and the waters of the falls are a murky, polluted mess. But despite the damage done to the area, there are still those who believe in its mystical powers and its potential for"&amp;" adventure. For those brave enough to venture into its depths, Thundertail Falls remains")</f>
        <v>Thundertail Falls is an area of great natural beauty, nestled deep in the heart of a rugged, mountainous landscape. The falls themselves are fed by the icy waters that flow down from Mount Thunderoot, a towering peak that dominates the surrounding area.
For centuries, the falls were revered by the local people, who believed them to be a sacred site imbued with mystical powers. It was said that the thunderous roar of the falls could be heard from miles around, and that the waters held healing properties capable of curing even the most deadly of illnesses.
The falls were also home to a thriving community of animals, including the mighty Thundertail, a species of thunderous lizard that roamed the area. These creatures were feared and respected by the locals, who believed that they were the guardians of the falls and the surrounding wilderness.
Over time, the area became a hub for adventurers and explorers, drawn by the promise of ancient treasures and forgotten knowledge. Many came seeking the fabled Thunderstone, a rare and powerful gem said to be hidden somewhere in the falls. Others were drawn by the allure of the Thundertail, hoping to capture or tame the fearsome beasts.
As more and more people came to the area, the local ecosystem began to suffer. The Thundertail, once a common sight, became increasingly rare, and the waters of the falls became polluted and toxic. The once-pristine wilderness became a battleground, with adventurers and poachers fighting over resources and territory.
Today, Thundertail Falls is a shadow of its former self. The Thundertail are all but extinct, and the waters of the falls are a murky, polluted mess. But despite the damage done to the area, there are still those who believe in its mystical powers and its potential for adventure. For those brave enough to venture into its depths, Thundertail Falls remains</v>
      </c>
      <c r="C86" s="1" t="str">
        <f>IFERROR(__xludf.DUMMYFUNCTION("""COMPUTED_VALUE"""),"Dragonscale Island")</f>
        <v>Dragonscale Island</v>
      </c>
      <c r="D86" s="1"/>
      <c r="E86" s="102">
        <f>IFERROR(__xludf.DUMMYFUNCTION("""COMPUTED_VALUE"""),1.0E9)</f>
        <v>1000000000</v>
      </c>
      <c r="F86" s="1" t="str">
        <f>IFERROR(__xludf.DUMMYFUNCTION("""COMPUTED_VALUE"""),"Gilder")</f>
        <v>Gilder</v>
      </c>
      <c r="G86" s="1"/>
      <c r="H86" s="1"/>
      <c r="I86" s="1"/>
      <c r="J86" s="1"/>
      <c r="K86" s="1"/>
      <c r="L86" s="1"/>
      <c r="M86" s="1"/>
      <c r="N86" s="1"/>
      <c r="O86" s="1"/>
      <c r="P86" s="1"/>
      <c r="Q86" s="1"/>
      <c r="R86" s="1"/>
      <c r="S86" s="1"/>
      <c r="T86" s="1"/>
      <c r="U86" s="1"/>
      <c r="V86" s="1"/>
      <c r="W86" s="1"/>
      <c r="X86" s="1"/>
      <c r="Y86" s="1"/>
      <c r="Z86" s="1"/>
    </row>
    <row r="87">
      <c r="A87" s="1" t="str">
        <f>IFERROR(__xludf.DUMMYFUNCTION("""COMPUTED_VALUE"""),"Shimmering Shadow Lake")</f>
        <v>Shimmering Shadow Lake</v>
      </c>
      <c r="B87" s="1" t="str">
        <f>IFERROR(__xludf.DUMMYFUNCTION("""COMPUTED_VALUE"""),"Shimmering Shadow Lake is an ancient body of water, shrouded in mystery and legends that date back to the dawn of time. The lake is known for its deep and dark waters, which are said to hold many secrets and wonders that are unknown to most mortals.
At t"&amp;"he center of the lake lies a swirling vortex, where the waters are said to be deepest and darkest. Here, serpents sail and swim, their shimmering scales reflecting the light of the moon and the stars above. These creatures are elusive and rarely seen by m"&amp;"ortal eyes, but those who do catch a glimpse of them are said to be blessed with great fortune and wisdom.
However, there is one creature that rules over the lake with an iron fist - a fearsome and ferocious sea monster known as the Shadow Dragon. This a"&amp;"ncient creature is said to be the very embodiment of darkness and demonic power, with a hunger for destruction and chaos that knows no bounds.
The Shadow Dragon has been a presence in the lake for as long as anyone can remember, and its power and influen"&amp;"ce have only grown with time. Its shadowy scales and glowing eyes are the stuff of nightmares, and its breath can bring death and destruction to all who stand in its way.
Despite the danger posed by the Shadow Dragon, many adventurers and treasure hunter"&amp;"s have come to the lake in search of its many secrets and treasures. Some seek the magical artifacts said to be hidden in the lake's depths, while others hope to capture or slay the fearsome dragon itself.
But regardless of their motivations, all who com"&amp;"e to Shimmering Shadow Lake know that they are entering a realm of wonder and mystery, where the dangers are as great as the rewards. For those brave enough to venture into its depths, the lake remains an enigma, full of secrets and wonders waiting to be "&amp;"discovered.")</f>
        <v>Shimmering Shadow Lake is an ancient body of water, shrouded in mystery and legends that date back to the dawn of time. The lake is known for its deep and dark waters, which are said to hold many secrets and wonders that are unknown to most mortals.
At the center of the lake lies a swirling vortex, where the waters are said to be deepest and darkest. Here, serpents sail and swim, their shimmering scales reflecting the light of the moon and the stars above. These creatures are elusive and rarely seen by mortal eyes, but those who do catch a glimpse of them are said to be blessed with great fortune and wisdom.
However, there is one creature that rules over the lake with an iron fist - a fearsome and ferocious sea monster known as the Shadow Dragon. This ancient creature is said to be the very embodiment of darkness and demonic power, with a hunger for destruction and chaos that knows no bounds.
The Shadow Dragon has been a presence in the lake for as long as anyone can remember, and its power and influence have only grown with time. Its shadowy scales and glowing eyes are the stuff of nightmares, and its breath can bring death and destruction to all who stand in its way.
Despite the danger posed by the Shadow Dragon, many adventurers and treasure hunters have come to the lake in search of its many secrets and treasures. Some seek the magical artifacts said to be hidden in the lake's depths, while others hope to capture or slay the fearsome dragon itself.
But regardless of their motivations, all who come to Shimmering Shadow Lake know that they are entering a realm of wonder and mystery, where the dangers are as great as the rewards. For those brave enough to venture into its depths, the lake remains an enigma, full of secrets and wonders waiting to be discovered.</v>
      </c>
      <c r="C87" s="1" t="str">
        <f>IFERROR(__xludf.DUMMYFUNCTION("""COMPUTED_VALUE"""),"Dragonscale Island")</f>
        <v>Dragonscale Island</v>
      </c>
      <c r="D87" s="1"/>
      <c r="E87" s="102">
        <f>IFERROR(__xludf.DUMMYFUNCTION("""COMPUTED_VALUE"""),1.0E9)</f>
        <v>1000000000</v>
      </c>
      <c r="F87" s="1" t="str">
        <f>IFERROR(__xludf.DUMMYFUNCTION("""COMPUTED_VALUE"""),"Gilder")</f>
        <v>Gilder</v>
      </c>
      <c r="G87" s="1"/>
      <c r="H87" s="1"/>
      <c r="I87" s="1"/>
      <c r="J87" s="1"/>
      <c r="K87" s="1"/>
      <c r="L87" s="1"/>
      <c r="M87" s="1"/>
      <c r="N87" s="1"/>
      <c r="O87" s="1"/>
      <c r="P87" s="1"/>
      <c r="Q87" s="1"/>
      <c r="R87" s="1"/>
      <c r="S87" s="1"/>
      <c r="T87" s="1"/>
      <c r="U87" s="1"/>
      <c r="V87" s="1"/>
      <c r="W87" s="1"/>
      <c r="X87" s="1"/>
      <c r="Y87" s="1"/>
      <c r="Z87" s="1"/>
    </row>
    <row r="88">
      <c r="A88" s="1" t="str">
        <f>IFERROR(__xludf.DUMMYFUNCTION("""COMPUTED_VALUE"""),"Silverwood")</f>
        <v>Silverwood</v>
      </c>
      <c r="B88" s="1" t="str">
        <f>IFERROR(__xludf.DUMMYFUNCTION("""COMPUTED_VALUE"""),"Silverwood is an ancient and magical forest, steeped in mystery and legends that date back to the earliest days of creation. The trees here are said to be as old as time itself, with roots that stretch deep into the earth and branches that reach up to tou"&amp;"ch the heavens.
The forest is home to many strange and wondrous creatures, from mischievous fairies to talking toadstools and enchanted frogs. The rocks and boulders that dot the landscape are said to be imbued with magical power, capable of granting wis"&amp;"hes and bestowing blessings on those who seek them out.
The forest is also home to many clear and sparkling ponds, where lilies and other water plants bloom in abundance. These ponds are said to be the source of the forest's magic, with the waters holdin"&amp;"g the key to the ancient and powerful roots that lie beneath the surface.
Over the centuries, many adventurers and treasure hunters have come to Silverwood in search of its secrets and treasures. Some seek the magical artifacts said to be hidden among th"&amp;"e trees, while others hope to learn the ancient lore and wisdom of the forest's guardians.
Despite the many dangers that lurk within its misty depths, Silverwood remains a place of great wonder and beauty. Those who are brave enough to enter its realms a"&amp;"re sure to be rewarded with experiences and discoveries that will stay with them for a lifetime. For many, the forest is a source of inspiration and awe, a reminder of the beauty and power of nature and the magic that lies within us all.")</f>
        <v>Silverwood is an ancient and magical forest, steeped in mystery and legends that date back to the earliest days of creation. The trees here are said to be as old as time itself, with roots that stretch deep into the earth and branches that reach up to touch the heavens.
The forest is home to many strange and wondrous creatures, from mischievous fairies to talking toadstools and enchanted frogs. The rocks and boulders that dot the landscape are said to be imbued with magical power, capable of granting wishes and bestowing blessings on those who seek them out.
The forest is also home to many clear and sparkling ponds, where lilies and other water plants bloom in abundance. These ponds are said to be the source of the forest's magic, with the waters holding the key to the ancient and powerful roots that lie beneath the surface.
Over the centuries, many adventurers and treasure hunters have come to Silverwood in search of its secrets and treasures. Some seek the magical artifacts said to be hidden among the trees, while others hope to learn the ancient lore and wisdom of the forest's guardians.
Despite the many dangers that lurk within its misty depths, Silverwood remains a place of great wonder and beauty. Those who are brave enough to enter its realms are sure to be rewarded with experiences and discoveries that will stay with them for a lifetime. For many, the forest is a source of inspiration and awe, a reminder of the beauty and power of nature and the magic that lies within us all.</v>
      </c>
      <c r="C88" s="1" t="str">
        <f>IFERROR(__xludf.DUMMYFUNCTION("""COMPUTED_VALUE"""),"Dragonscale Island")</f>
        <v>Dragonscale Island</v>
      </c>
      <c r="D88" s="1"/>
      <c r="E88" s="102">
        <f>IFERROR(__xludf.DUMMYFUNCTION("""COMPUTED_VALUE"""),1.0E9)</f>
        <v>1000000000</v>
      </c>
      <c r="F88" s="1" t="str">
        <f>IFERROR(__xludf.DUMMYFUNCTION("""COMPUTED_VALUE"""),"Gilder")</f>
        <v>Gilder</v>
      </c>
      <c r="G88" s="1"/>
      <c r="H88" s="1"/>
      <c r="I88" s="1"/>
      <c r="J88" s="1"/>
      <c r="K88" s="1"/>
      <c r="L88" s="1"/>
      <c r="M88" s="1"/>
      <c r="N88" s="1"/>
      <c r="O88" s="1"/>
      <c r="P88" s="1"/>
      <c r="Q88" s="1"/>
      <c r="R88" s="1"/>
      <c r="S88" s="1"/>
      <c r="T88" s="1"/>
      <c r="U88" s="1"/>
      <c r="V88" s="1"/>
      <c r="W88" s="1"/>
      <c r="X88" s="1"/>
      <c r="Y88" s="1"/>
      <c r="Z88" s="1"/>
    </row>
    <row r="89">
      <c r="A89" s="1" t="str">
        <f>IFERROR(__xludf.DUMMYFUNCTION("""COMPUTED_VALUE"""),"DragonSpire")</f>
        <v>DragonSpire</v>
      </c>
      <c r="B89" s="1" t="str">
        <f>IFERROR(__xludf.DUMMYFUNCTION("""COMPUTED_VALUE"""),"Long ago, DragonSpire was built by the great wizard Arcturius, who sought to create a sanctuary for dragons and preserve their existence. Arcturius had always been fascinated by these mythical creatures, and he believed that they held a special power that"&amp;" could be harnessed for the good of all. So, he built DragonSpire at the heart of a lush and enchanted forest, which he imbued with magical properties to keep it hidden from those who might wish to do harm to the dragons.
Over the years, Arcturius amasse"&amp;"d a vast collection of dragon eggs from all over the world, and he nurtured them with great care and devotion. As the eggs hatched, the young dragons were raised in the safety and protection of DragonSpire, where they learned to fly, breathe fire, and hon"&amp;"e their unique abilities.
As time went on, Arcturius began to notice that the world outside of DragonSpire was becoming increasingly dangerous for dragons. Many people hunted them for their scales, which were believed to have magical properties, and thei"&amp;"r blood, which was thought to grant immortality. Arcturius knew that he had to do something to protect the dragons from harm, so he began to teach them how to defend themselves and fight back against their enemies.
Today, DragonSpire stands as a fortress"&amp;" of strength and magic, protected by the powerful wizard and his loyal dragons. Many adventurers seek out DragonSpire to learn from Arcturius and his dragons, to discover the secrets of their magic and the mysteries of the forest. But beware - the dangers"&amp;" of the outside world still lurk, and only the bravest and most skilled will be able to survive the challenges that await them in DragonSpire.")</f>
        <v>Long ago, DragonSpire was built by the great wizard Arcturius, who sought to create a sanctuary for dragons and preserve their existence. Arcturius had always been fascinated by these mythical creatures, and he believed that they held a special power that could be harnessed for the good of all. So, he built DragonSpire at the heart of a lush and enchanted forest, which he imbued with magical properties to keep it hidden from those who might wish to do harm to the dragons.
Over the years, Arcturius amassed a vast collection of dragon eggs from all over the world, and he nurtured them with great care and devotion. As the eggs hatched, the young dragons were raised in the safety and protection of DragonSpire, where they learned to fly, breathe fire, and hone their unique abilities.
As time went on, Arcturius began to notice that the world outside of DragonSpire was becoming increasingly dangerous for dragons. Many people hunted them for their scales, which were believed to have magical properties, and their blood, which was thought to grant immortality. Arcturius knew that he had to do something to protect the dragons from harm, so he began to teach them how to defend themselves and fight back against their enemies.
Today, DragonSpire stands as a fortress of strength and magic, protected by the powerful wizard and his loyal dragons. Many adventurers seek out DragonSpire to learn from Arcturius and his dragons, to discover the secrets of their magic and the mysteries of the forest. But beware - the dangers of the outside world still lurk, and only the bravest and most skilled will be able to survive the challenges that await them in DragonSpire.</v>
      </c>
      <c r="C89" s="1" t="str">
        <f>IFERROR(__xludf.DUMMYFUNCTION("""COMPUTED_VALUE"""),"Dragonscale Island")</f>
        <v>Dragonscale Island</v>
      </c>
      <c r="D89" s="1"/>
      <c r="E89" s="102">
        <f>IFERROR(__xludf.DUMMYFUNCTION("""COMPUTED_VALUE"""),1.0E9)</f>
        <v>1000000000</v>
      </c>
      <c r="F89" s="1" t="str">
        <f>IFERROR(__xludf.DUMMYFUNCTION("""COMPUTED_VALUE"""),"Gilder")</f>
        <v>Gilder</v>
      </c>
      <c r="G89" s="1"/>
      <c r="H89" s="1"/>
      <c r="I89" s="1"/>
      <c r="J89" s="1"/>
      <c r="K89" s="1"/>
      <c r="L89" s="1"/>
      <c r="M89" s="1"/>
      <c r="N89" s="1"/>
      <c r="O89" s="1"/>
      <c r="P89" s="1"/>
      <c r="Q89" s="1"/>
      <c r="R89" s="1"/>
      <c r="S89" s="1"/>
      <c r="T89" s="1"/>
      <c r="U89" s="1"/>
      <c r="V89" s="1"/>
      <c r="W89" s="1"/>
      <c r="X89" s="1"/>
      <c r="Y89" s="1"/>
      <c r="Z89" s="1"/>
    </row>
    <row r="90">
      <c r="A90" s="1" t="str">
        <f>IFERROR(__xludf.DUMMYFUNCTION("""COMPUTED_VALUE"""),"Watertail Fjord")</f>
        <v>Watertail Fjord</v>
      </c>
      <c r="B90" s="1" t="str">
        <f>IFERROR(__xludf.DUMMYFUNCTION("""COMPUTED_VALUE"""),"Long ago, the Watertail Fjord was a peaceful and thriving ecosystem, rich with an abundance of marine life and stunning natural beauty. The fjord was home to a diverse array of aquatic creatures, including the Watertails, who were revered for their abilit"&amp;"y to manipulate water with ease.
The Watertails had long lived in harmony with the other creatures of the fjord, using their powers to help maintain the delicate balance of the ecosystem. But one day, a group of humans arrived in the fjord, seeking to ex"&amp;"ploit its resources for their own gain. They began to fish the waters of the fjord relentlessly, catching vast numbers of silver-scaled salmon and leaving the ecosystem in disarray.
The Watertails, who had always been guardians of the fjord, knew that th"&amp;"ey had to act to protect their home. They banded together and used their powers to create a powerful magical barrier around the fjord, preventing the humans from entering and exploiting its resources any further.
Over time, the Watertails worked to resto"&amp;"re the balance of the fjord, healing the damage done by the humans and creating a sustainable ecosystem once again. The silver-scaled salmon began to thrive once more, and the fjord became a haven for all manner of aquatic life.
Today, the Watertail Fjor"&amp;"d remains protected by the magic of the Watertails, and it is said that there are hidden treasures to be found in the depths of the fjord. Adventurers from far and wide come to the fjord in search of these treasures, but they must be careful not to distur"&amp;"b the delicate balance of the ecosystem - for the Watertails will not hesitate to use their powers to protect their home from those who would do it harm.
")</f>
        <v>Long ago, the Watertail Fjord was a peaceful and thriving ecosystem, rich with an abundance of marine life and stunning natural beauty. The fjord was home to a diverse array of aquatic creatures, including the Watertails, who were revered for their ability to manipulate water with ease.
The Watertails had long lived in harmony with the other creatures of the fjord, using their powers to help maintain the delicate balance of the ecosystem. But one day, a group of humans arrived in the fjord, seeking to exploit its resources for their own gain. They began to fish the waters of the fjord relentlessly, catching vast numbers of silver-scaled salmon and leaving the ecosystem in disarray.
The Watertails, who had always been guardians of the fjord, knew that they had to act to protect their home. They banded together and used their powers to create a powerful magical barrier around the fjord, preventing the humans from entering and exploiting its resources any further.
Over time, the Watertails worked to restore the balance of the fjord, healing the damage done by the humans and creating a sustainable ecosystem once again. The silver-scaled salmon began to thrive once more, and the fjord became a haven for all manner of aquatic life.
Today, the Watertail Fjord remains protected by the magic of the Watertails, and it is said that there are hidden treasures to be found in the depths of the fjord. Adventurers from far and wide come to the fjord in search of these treasures, but they must be careful not to disturb the delicate balance of the ecosystem - for the Watertails will not hesitate to use their powers to protect their home from those who would do it harm.
</v>
      </c>
      <c r="C90" s="1" t="str">
        <f>IFERROR(__xludf.DUMMYFUNCTION("""COMPUTED_VALUE"""),"Dragonscale Island")</f>
        <v>Dragonscale Island</v>
      </c>
      <c r="D90" s="1"/>
      <c r="E90" s="102">
        <f>IFERROR(__xludf.DUMMYFUNCTION("""COMPUTED_VALUE"""),1.0E9)</f>
        <v>1000000000</v>
      </c>
      <c r="F90" s="1" t="str">
        <f>IFERROR(__xludf.DUMMYFUNCTION("""COMPUTED_VALUE"""),"Gilder")</f>
        <v>Gilder</v>
      </c>
      <c r="G90" s="1"/>
      <c r="H90" s="1"/>
      <c r="I90" s="1"/>
      <c r="J90" s="1"/>
      <c r="K90" s="1"/>
      <c r="L90" s="1"/>
      <c r="M90" s="1"/>
      <c r="N90" s="1"/>
      <c r="O90" s="1"/>
      <c r="P90" s="1"/>
      <c r="Q90" s="1"/>
      <c r="R90" s="1"/>
      <c r="S90" s="1"/>
      <c r="T90" s="1"/>
      <c r="U90" s="1"/>
      <c r="V90" s="1"/>
      <c r="W90" s="1"/>
      <c r="X90" s="1"/>
      <c r="Y90" s="1"/>
      <c r="Z90" s="1"/>
    </row>
    <row r="91">
      <c r="A91" s="1" t="str">
        <f>IFERROR(__xludf.DUMMYFUNCTION("""COMPUTED_VALUE"""),"Firetail Mountain")</f>
        <v>Firetail Mountain</v>
      </c>
      <c r="B91" s="1" t="str">
        <f>IFERROR(__xludf.DUMMYFUNCTION("""COMPUTED_VALUE"""),"Long ago, Firetail Mountain was a dormant volcano, its peak looming high above the surrounding landscape. The mountain was a place of great spiritual significance for the local people, who believed that it was home to powerful and benevolent spirits that "&amp;"could bring both prosperity and destruction.
As time passed, the mountain began to show signs of renewed activity. The ground trembled beneath the feet of those who lived nearby, and the sky above the mountain was often filled with billowing clouds of as"&amp;"h and smoke.
One day, a group of travelers arrived at the base of the mountain, seeking to learn more about the spirits that were said to dwell within it. They were a brave and curious group, undeterred by the dangers that lay ahead.
As they made their "&amp;"way up the slopes of the mountain, they encountered the Firetails - fiery lizards made of pure magma, who burned with the brightest and purest flames. The Firetails were guardians of the mountain, charged with protecting the spirits that dwelled within it"&amp;".
The travelers soon discovered that the spirits were indeed powerful, and they had the ability to control the fiery forces that raged within the mountain. The spirits revealed that they had grown angry with the people of the surrounding lands, who had b"&amp;"een taking the mountain's resources for their own gain without regard for its spiritual significance.
The travelers realized that they had to act quickly to prevent a catastrophic eruption of the mountain, which would surely destroy everything in its pat"&amp;"h. They made a deal with the spirits, promising to spread the word of the mountain's spiritual significance and to protect it from those who would exploit its resources. In return, the spirits agreed to calm the fiery forces within the mountain and allow "&amp;"the travelers to explore its depths.
Today, Firetail Mountain is a place of great wonder and danger, with its fiery rocks, lava, and boulders. The Burning Boulder Bridge is the only way to access it on foot, and adventurers must tread carefully to avoid "&amp;"the Firetails and other dangers that lurk within its depths. But for those who are brave enough to explore Firetail Mountain, the rewards are great - for within its fiery heart lies untold treasures and the secrets of the spirits that dwell within it.")</f>
        <v>Long ago, Firetail Mountain was a dormant volcano, its peak looming high above the surrounding landscape. The mountain was a place of great spiritual significance for the local people, who believed that it was home to powerful and benevolent spirits that could bring both prosperity and destruction.
As time passed, the mountain began to show signs of renewed activity. The ground trembled beneath the feet of those who lived nearby, and the sky above the mountain was often filled with billowing clouds of ash and smoke.
One day, a group of travelers arrived at the base of the mountain, seeking to learn more about the spirits that were said to dwell within it. They were a brave and curious group, undeterred by the dangers that lay ahead.
As they made their way up the slopes of the mountain, they encountered the Firetails - fiery lizards made of pure magma, who burned with the brightest and purest flames. The Firetails were guardians of the mountain, charged with protecting the spirits that dwelled within it.
The travelers soon discovered that the spirits were indeed powerful, and they had the ability to control the fiery forces that raged within the mountain. The spirits revealed that they had grown angry with the people of the surrounding lands, who had been taking the mountain's resources for their own gain without regard for its spiritual significance.
The travelers realized that they had to act quickly to prevent a catastrophic eruption of the mountain, which would surely destroy everything in its path. They made a deal with the spirits, promising to spread the word of the mountain's spiritual significance and to protect it from those who would exploit its resources. In return, the spirits agreed to calm the fiery forces within the mountain and allow the travelers to explore its depths.
Today, Firetail Mountain is a place of great wonder and danger, with its fiery rocks, lava, and boulders. The Burning Boulder Bridge is the only way to access it on foot, and adventurers must tread carefully to avoid the Firetails and other dangers that lurk within its depths. But for those who are brave enough to explore Firetail Mountain, the rewards are great - for within its fiery heart lies untold treasures and the secrets of the spirits that dwell within it.</v>
      </c>
      <c r="C91" s="1" t="str">
        <f>IFERROR(__xludf.DUMMYFUNCTION("""COMPUTED_VALUE"""),"Dragonscale Island")</f>
        <v>Dragonscale Island</v>
      </c>
      <c r="D91" s="1"/>
      <c r="E91" s="102">
        <f>IFERROR(__xludf.DUMMYFUNCTION("""COMPUTED_VALUE"""),1.0E9)</f>
        <v>1000000000</v>
      </c>
      <c r="F91" s="1" t="str">
        <f>IFERROR(__xludf.DUMMYFUNCTION("""COMPUTED_VALUE"""),"Gilder")</f>
        <v>Gilder</v>
      </c>
      <c r="G91" s="1"/>
      <c r="H91" s="1"/>
      <c r="I91" s="1"/>
      <c r="J91" s="1"/>
      <c r="K91" s="1"/>
      <c r="L91" s="1"/>
      <c r="M91" s="1"/>
      <c r="N91" s="1"/>
      <c r="O91" s="1"/>
      <c r="P91" s="1"/>
      <c r="Q91" s="1"/>
      <c r="R91" s="1"/>
      <c r="S91" s="1"/>
      <c r="T91" s="1"/>
      <c r="U91" s="1"/>
      <c r="V91" s="1"/>
      <c r="W91" s="1"/>
      <c r="X91" s="1"/>
      <c r="Y91" s="1"/>
      <c r="Z91" s="1"/>
    </row>
    <row r="92">
      <c r="A92" s="1" t="str">
        <f>IFERROR(__xludf.DUMMYFUNCTION("""COMPUTED_VALUE"""),"The Grand City of Dragonia")</f>
        <v>The Grand City of Dragonia</v>
      </c>
      <c r="B92" s="1" t="str">
        <f>IFERROR(__xludf.DUMMYFUNCTION("""COMPUTED_VALUE"""),"The Grand City of Dragonia has a rich and storied history, stretching back thousands of years. It was founded by a group of dragon riders who had become disillusioned with the traditional ways of their people and sought to forge a new path for themselves."&amp;"
The dragon riders were a diverse group, hailing from many different lands and cultures. They brought with them a wealth of knowledge and expertise, and they worked together to build a new society that was based on cooperation, mutual respect, and a deep"&amp;" reverence for the power of the dragons.
Over time, the city of Dragonia grew and prospered, becoming a hub of trade and commerce that attracted merchants, craftsmen, and adventurers from all over the world. The central combat arena was built as a place "&amp;"for dragon riders to hone their skills and compete against one another, while the Dragonscale Dojo in the eastern district became a center of learning for those who sought to master the art of dragon riding.
In the western district, the Dragonscale Saloo"&amp;"n became a popular gathering place for adventurers and dragon riders alike, where they could swap stories, share tips and tricks, and enjoy a drink or two.
But Dragonia was not without its challenges. The city was often beset by outside forces who sought"&amp;" to exploit its wealth and resources. The dragon riders, who had become the protectors of the city, banded together to defend it from these threats, using their skills and expertise to repel invaders and protect their way of life.
Today, the Grand City o"&amp;"f Dragonia remains a thriving metropolis, a beacon of diversity and political influence that draws people from all over the world. Its dragon riders continue to hone their skills in the central combat arena and the Dragonscale Dojo, while the Dragonscale "&amp;"Saloon remains a beloved institution for adventurers and dragon riders alike. And though the challenges of the world continue to press in on Dragonia, the people of the city remain united in their commitment to protect their home and preserve the legacy o"&amp;"f the dragon riders who founded it.")</f>
        <v>The Grand City of Dragonia has a rich and storied history, stretching back thousands of years. It was founded by a group of dragon riders who had become disillusioned with the traditional ways of their people and sought to forge a new path for themselves.
The dragon riders were a diverse group, hailing from many different lands and cultures. They brought with them a wealth of knowledge and expertise, and they worked together to build a new society that was based on cooperation, mutual respect, and a deep reverence for the power of the dragons.
Over time, the city of Dragonia grew and prospered, becoming a hub of trade and commerce that attracted merchants, craftsmen, and adventurers from all over the world. The central combat arena was built as a place for dragon riders to hone their skills and compete against one another, while the Dragonscale Dojo in the eastern district became a center of learning for those who sought to master the art of dragon riding.
In the western district, the Dragonscale Saloon became a popular gathering place for adventurers and dragon riders alike, where they could swap stories, share tips and tricks, and enjoy a drink or two.
But Dragonia was not without its challenges. The city was often beset by outside forces who sought to exploit its wealth and resources. The dragon riders, who had become the protectors of the city, banded together to defend it from these threats, using their skills and expertise to repel invaders and protect their way of life.
Today, the Grand City of Dragonia remains a thriving metropolis, a beacon of diversity and political influence that draws people from all over the world. Its dragon riders continue to hone their skills in the central combat arena and the Dragonscale Dojo, while the Dragonscale Saloon remains a beloved institution for adventurers and dragon riders alike. And though the challenges of the world continue to press in on Dragonia, the people of the city remain united in their commitment to protect their home and preserve the legacy of the dragon riders who founded it.</v>
      </c>
      <c r="C92" s="1" t="str">
        <f>IFERROR(__xludf.DUMMYFUNCTION("""COMPUTED_VALUE"""),"Dragonscale Island")</f>
        <v>Dragonscale Island</v>
      </c>
      <c r="D92" s="1"/>
      <c r="E92" s="102">
        <f>IFERROR(__xludf.DUMMYFUNCTION("""COMPUTED_VALUE"""),1.0E9)</f>
        <v>1000000000</v>
      </c>
      <c r="F92" s="1" t="str">
        <f>IFERROR(__xludf.DUMMYFUNCTION("""COMPUTED_VALUE"""),"Gilder")</f>
        <v>Gilder</v>
      </c>
      <c r="G92" s="1"/>
      <c r="H92" s="1"/>
      <c r="I92" s="1"/>
      <c r="J92" s="1"/>
      <c r="K92" s="1"/>
      <c r="L92" s="1"/>
      <c r="M92" s="1"/>
      <c r="N92" s="1"/>
      <c r="O92" s="1"/>
      <c r="P92" s="1"/>
      <c r="Q92" s="1"/>
      <c r="R92" s="1"/>
      <c r="S92" s="1"/>
      <c r="T92" s="1"/>
      <c r="U92" s="1"/>
      <c r="V92" s="1"/>
      <c r="W92" s="1"/>
      <c r="X92" s="1"/>
      <c r="Y92" s="1"/>
      <c r="Z92" s="1"/>
    </row>
    <row r="93">
      <c r="A93" s="1" t="str">
        <f>IFERROR(__xludf.DUMMYFUNCTION("""COMPUTED_VALUE"""),"Fogweb Ninja Village in the Mist")</f>
        <v>Fogweb Ninja Village in the Mist</v>
      </c>
      <c r="B93" s="1" t="str">
        <f>IFERROR(__xludf.DUMMYFUNCTION("""COMPUTED_VALUE"""),"Nestled deep within the lush expanse of the Rainforest lies the Fogweb Ninja Village, the secretive and hidden home of the enigmatic Frogonians, this village is a testament to their mastery of the art of concealment and their affinity for the mystical pow"&amp;"ers of mist and fog.
Fogweb itself however is rather dreary whilst the fog can create a feeling of mystique in some, for others it feels as if several pairs of eyes are following their every move, weighing them down into the muddy groud of Fogweb. 
The "&amp;"way to Fogweb is known only by a few hidden masters who live across the land activing as the hidden intelligence corps of Fogweb and also the key through the mist for those who seek an audience with the elders of Fogweb.
The village of Fogweb itself is r"&amp;"ather simple, made of simple materials that it's inhabitants find in the surrounding area and with plentiful fields of farming it seems almost like a normal village save for the training grounds and recruits littering the land of Fogweb. The people of Fog"&amp;"web themselves however are rather curious, unlike most other Frogonians they seem rather like they're only half a part of this world seeming to flicker in and out with the mist.
The village of Fogweb is like a local legend to those of WyvernTail who swea"&amp;"r to see the Frogonians slinking through the shadows followed by their ethereal mist as if they themselves were the mist. However the credibilty of these claims is doubted by many.")</f>
        <v>Nestled deep within the lush expanse of the Rainforest lies the Fogweb Ninja Village, the secretive and hidden home of the enigmatic Frogonians, this village is a testament to their mastery of the art of concealment and their affinity for the mystical powers of mist and fog.
Fogweb itself however is rather dreary whilst the fog can create a feeling of mystique in some, for others it feels as if several pairs of eyes are following their every move, weighing them down into the muddy groud of Fogweb. 
The way to Fogweb is known only by a few hidden masters who live across the land activing as the hidden intelligence corps of Fogweb and also the key through the mist for those who seek an audience with the elders of Fogweb.
The village of Fogweb itself is rather simple, made of simple materials that it's inhabitants find in the surrounding area and with plentiful fields of farming it seems almost like a normal village save for the training grounds and recruits littering the land of Fogweb. The people of Fogweb themselves however are rather curious, unlike most other Frogonians they seem rather like they're only half a part of this world seeming to flicker in and out with the mist.
The village of Fogweb is like a local legend to those of WyvernTail who swear to see the Frogonians slinking through the shadows followed by their ethereal mist as if they themselves were the mist. However the credibilty of these claims is doubted by many.</v>
      </c>
      <c r="C93" s="1" t="str">
        <f>IFERROR(__xludf.DUMMYFUNCTION("""COMPUTED_VALUE"""),"Dragonscale Island")</f>
        <v>Dragonscale Island</v>
      </c>
      <c r="D93" s="1"/>
      <c r="E93" s="102">
        <f>IFERROR(__xludf.DUMMYFUNCTION("""COMPUTED_VALUE"""),1.0E9)</f>
        <v>1000000000</v>
      </c>
      <c r="F93" s="1" t="str">
        <f>IFERROR(__xludf.DUMMYFUNCTION("""COMPUTED_VALUE"""),"Gilder")</f>
        <v>Gilder</v>
      </c>
      <c r="G93" s="1"/>
      <c r="H93" s="1"/>
      <c r="I93" s="1"/>
      <c r="J93" s="1"/>
      <c r="K93" s="1"/>
      <c r="L93" s="1"/>
      <c r="M93" s="1"/>
      <c r="N93" s="1"/>
      <c r="O93" s="1"/>
      <c r="P93" s="1"/>
      <c r="Q93" s="1"/>
      <c r="R93" s="1"/>
      <c r="S93" s="1"/>
      <c r="T93" s="1"/>
      <c r="U93" s="1"/>
      <c r="V93" s="1"/>
      <c r="W93" s="1"/>
      <c r="X93" s="1"/>
      <c r="Y93" s="1"/>
      <c r="Z93" s="1"/>
    </row>
    <row r="94">
      <c r="A94" s="1" t="str">
        <f>IFERROR(__xludf.DUMMYFUNCTION("""COMPUTED_VALUE"""),"Mistpeak Ninja Village in the Mountains")</f>
        <v>Mistpeak Ninja Village in the Mountains</v>
      </c>
      <c r="B94" s="1" t="str">
        <f>IFERROR(__xludf.DUMMYFUNCTION("""COMPUTED_VALUE"""),"Perched high amidst the majestic peaks, the Mistpeak Ninja Village stands as a testament to the indomitable spirit and unrivaled skills of the Frogonian people, this village is a hidden stronghold concealed within the lofty heights of the mountain range.
"&amp;"
The Mistpeak Ninja Village is a sight to behold, its structures and pathways carved into the rugged terrain of the mountains. Suspended bridges and intricate walkways connect the various dwellings, blending harmoniously with the natural beauty of the sur"&amp;"roundings. The village architecture incorporates the elements of stone and wood, showcasing both strength and adaptability, mirroring the Frogonians themselves.
As one ventures deeper into the village, the mist envelopes the pathways, creating an etherea"&amp;"l atmosphere. The misty veils dance around the mountain peaks, obscuring the village's true extent and serving as a guardian against prying eyes. The Frogonians have harnessed the power of this natural phenomenon, utilizing it as a shield and a tool for t"&amp;"heir ninja arts.
Within the Mistpeak Ninja Village, the Frogonians hone their skills to perfection. The ninja apprentices, guided by seasoned mentors, train in the art of combat, stealth, and elemental manipulation. They navigate the treacherous mountain"&amp;" terrain with agility and grace, leaping from cliff to cliff and scaling sheer surfaces with ease. Their exceptional abilities are further augmented by their affinity for mist and fog, using them to shroud their movements and confuse their opponents.
The"&amp;" village is a hive of activity, bustling with the energy of its inhabitants. The Frogonians go about their daily lives with a sense of purpose and camaraderie. The central plaza serves as a gathering place, where stories are shared, techniques are perfect"&amp;"ed, and the bonds of friendship are forged. The village elders, revered for their wisdom and experience, ensure the preservation of their ancient traditions and pass down the knowledge of the Frogonian heritage.
As the sun sets, the village transforms in"&amp;"to a mystical realm. The Frogonians, clad in their specialized ninja attire, blend seamlessly with the mist that swirls around them. They become one with the mountains, their movements fluid and silent. With their mastery of mist-based techniques and thei"&amp;"r profound connection to the elements, the Frogonians of the Mistpeak Ninja Village embody strength, resilience, and a deep reverence for the mountains that guard their hidden sanctuary.
Through the mist-laden peaks, the Frogonians stand as the protector"&amp;"s of their village and the guardians of their people. Their unwavering determination, honed skills, and deep connection to the mountains make them an awe-inspiring force to be reckoned with. The Mistpeak Ninja Village stands as a testament to their legacy"&amp;", a testament to the Frogonians' enduring spirit and their unwavering commitment to the path of the Ninja.")</f>
        <v>Perched high amidst the majestic peaks, the Mistpeak Ninja Village stands as a testament to the indomitable spirit and unrivaled skills of the Frogonian people, this village is a hidden stronghold concealed within the lofty heights of the mountain range.
The Mistpeak Ninja Village is a sight to behold, its structures and pathways carved into the rugged terrain of the mountains. Suspended bridges and intricate walkways connect the various dwellings, blending harmoniously with the natural beauty of the surroundings. The village architecture incorporates the elements of stone and wood, showcasing both strength and adaptability, mirroring the Frogonians themselves.
As one ventures deeper into the village, the mist envelopes the pathways, creating an ethereal atmosphere. The misty veils dance around the mountain peaks, obscuring the village's true extent and serving as a guardian against prying eyes. The Frogonians have harnessed the power of this natural phenomenon, utilizing it as a shield and a tool for their ninja arts.
Within the Mistpeak Ninja Village, the Frogonians hone their skills to perfection. The ninja apprentices, guided by seasoned mentors, train in the art of combat, stealth, and elemental manipulation. They navigate the treacherous mountain terrain with agility and grace, leaping from cliff to cliff and scaling sheer surfaces with ease. Their exceptional abilities are further augmented by their affinity for mist and fog, using them to shroud their movements and confuse their opponents.
The village is a hive of activity, bustling with the energy of its inhabitants. The Frogonians go about their daily lives with a sense of purpose and camaraderie. The central plaza serves as a gathering place, where stories are shared, techniques are perfected, and the bonds of friendship are forged. The village elders, revered for their wisdom and experience, ensure the preservation of their ancient traditions and pass down the knowledge of the Frogonian heritage.
As the sun sets, the village transforms into a mystical realm. The Frogonians, clad in their specialized ninja attire, blend seamlessly with the mist that swirls around them. They become one with the mountains, their movements fluid and silent. With their mastery of mist-based techniques and their profound connection to the elements, the Frogonians of the Mistpeak Ninja Village embody strength, resilience, and a deep reverence for the mountains that guard their hidden sanctuary.
Through the mist-laden peaks, the Frogonians stand as the protectors of their village and the guardians of their people. Their unwavering determination, honed skills, and deep connection to the mountains make them an awe-inspiring force to be reckoned with. The Mistpeak Ninja Village stands as a testament to their legacy, a testament to the Frogonians' enduring spirit and their unwavering commitment to the path of the Ninja.</v>
      </c>
      <c r="C94" s="1" t="str">
        <f>IFERROR(__xludf.DUMMYFUNCTION("""COMPUTED_VALUE"""),"Dragonscale Island")</f>
        <v>Dragonscale Island</v>
      </c>
      <c r="D94" s="1"/>
      <c r="E94" s="102">
        <f>IFERROR(__xludf.DUMMYFUNCTION("""COMPUTED_VALUE"""),1.0E9)</f>
        <v>1000000000</v>
      </c>
      <c r="F94" s="1" t="str">
        <f>IFERROR(__xludf.DUMMYFUNCTION("""COMPUTED_VALUE"""),"Gilder")</f>
        <v>Gilder</v>
      </c>
      <c r="G94" s="1"/>
      <c r="H94" s="1"/>
      <c r="I94" s="1"/>
      <c r="J94" s="1"/>
      <c r="K94" s="1"/>
      <c r="L94" s="1"/>
      <c r="M94" s="1"/>
      <c r="N94" s="1"/>
      <c r="O94" s="1"/>
      <c r="P94" s="1"/>
      <c r="Q94" s="1"/>
      <c r="R94" s="1"/>
      <c r="S94" s="1"/>
      <c r="T94" s="1"/>
      <c r="U94" s="1"/>
      <c r="V94" s="1"/>
      <c r="W94" s="1"/>
      <c r="X94" s="1"/>
      <c r="Y94" s="1"/>
      <c r="Z94" s="1"/>
    </row>
    <row r="95">
      <c r="A95" s="1" t="str">
        <f>IFERROR(__xludf.DUMMYFUNCTION("""COMPUTED_VALUE"""),"Ribbonton Ninja Village in the Trees")</f>
        <v>Ribbonton Ninja Village in the Trees</v>
      </c>
      <c r="B95" s="1" t="str">
        <f>IFERROR(__xludf.DUMMYFUNCTION("""COMPUTED_VALUE"""),"Nestled in the heart of a vibrant and sprawling forest, Ribbonton Village emerges as a haven for the Frogonian people, a race of frog-like beings with a deep affinity for nature. Ribbonton Village is a picturesque sanctuary, with wooden houses and structu"&amp;"res blending harmoniously with the surrounding foliage. Various dwellings and providing a stunning view of the forest canopy. 
As one ventures deeper into the village, the sounds of rustling leaves and the scent of fresh earth permeate the air. Sunlight "&amp;"filters through the dense canopy, casting a gentle glow over the pathways and communal spaces. The village is alive with the sounds of Frogonians going about their daily lives, their activities guided by the principles of teamwork, growth, and the pursuit"&amp;" of peace.
Within Ribbonton Village, the Frogonians hone their ninja skills with discipline and dedication. The village serves as a training ground for the young ninja apprentices, guided by experienced mentors who impart their wisdom and expertise. The "&amp;"Frogonians train in the arts of stealth, combat, and elemental manipulation, harnessing their unique amphibious abilities to navigate the forest terrain with grace and agility.
The village is a hub of communal activity and camaraderie. The central plaza "&amp;"serves as a gathering place, where villagers come together to share stories, exchange knowledge, and participate in friendly sparring matches. The village elders, revered for their wisdom and experience, provide guidance and ensure the preservation of Rib"&amp;"bonton's ancient traditions and values.
With a deep reverence for nature and an unwavering commitment to peace, the Frogonians of Ribbonton Village exemplify the ideals of the Ninja. They protect their village and the forest they call home with unyieldin"&amp;"g resolve, channeling their skills and elemental techniques to ensure the balance and harmony of their surroundings.
Ribbonton Village stands as a testament to the Frogonians' unity, resilience, and the bonds they share with the natural world. It is a pl"&amp;"ace where the art of the Ninja intertwines with the wisdom of the forest, where the Frogonians thrive as guardians of peace, and where the legacy of their ancestors lives on in their hearts and actions.")</f>
        <v>Nestled in the heart of a vibrant and sprawling forest, Ribbonton Village emerges as a haven for the Frogonian people, a race of frog-like beings with a deep affinity for nature. Ribbonton Village is a picturesque sanctuary, with wooden houses and structures blending harmoniously with the surrounding foliage. Various dwellings and providing a stunning view of the forest canopy. 
As one ventures deeper into the village, the sounds of rustling leaves and the scent of fresh earth permeate the air. Sunlight filters through the dense canopy, casting a gentle glow over the pathways and communal spaces. The village is alive with the sounds of Frogonians going about their daily lives, their activities guided by the principles of teamwork, growth, and the pursuit of peace.
Within Ribbonton Village, the Frogonians hone their ninja skills with discipline and dedication. The village serves as a training ground for the young ninja apprentices, guided by experienced mentors who impart their wisdom and expertise. The Frogonians train in the arts of stealth, combat, and elemental manipulation, harnessing their unique amphibious abilities to navigate the forest terrain with grace and agility.
The village is a hub of communal activity and camaraderie. The central plaza serves as a gathering place, where villagers come together to share stories, exchange knowledge, and participate in friendly sparring matches. The village elders, revered for their wisdom and experience, provide guidance and ensure the preservation of Ribbonton's ancient traditions and values.
With a deep reverence for nature and an unwavering commitment to peace, the Frogonians of Ribbonton Village exemplify the ideals of the Ninja. They protect their village and the forest they call home with unyielding resolve, channeling their skills and elemental techniques to ensure the balance and harmony of their surroundings.
Ribbonton Village stands as a testament to the Frogonians' unity, resilience, and the bonds they share with the natural world. It is a place where the art of the Ninja intertwines with the wisdom of the forest, where the Frogonians thrive as guardians of peace, and where the legacy of their ancestors lives on in their hearts and actions.</v>
      </c>
      <c r="C95" s="1" t="str">
        <f>IFERROR(__xludf.DUMMYFUNCTION("""COMPUTED_VALUE"""),"Dragonscale Island")</f>
        <v>Dragonscale Island</v>
      </c>
      <c r="D95" s="1"/>
      <c r="E95" s="102">
        <f>IFERROR(__xludf.DUMMYFUNCTION("""COMPUTED_VALUE"""),1.0E9)</f>
        <v>1000000000</v>
      </c>
      <c r="F95" s="1" t="str">
        <f>IFERROR(__xludf.DUMMYFUNCTION("""COMPUTED_VALUE"""),"Gilder")</f>
        <v>Gilder</v>
      </c>
      <c r="G95" s="1"/>
      <c r="H95" s="1"/>
      <c r="I95" s="1"/>
      <c r="J95" s="1"/>
      <c r="K95" s="1"/>
      <c r="L95" s="1"/>
      <c r="M95" s="1"/>
      <c r="N95" s="1"/>
      <c r="O95" s="1"/>
      <c r="P95" s="1"/>
      <c r="Q95" s="1"/>
      <c r="R95" s="1"/>
      <c r="S95" s="1"/>
      <c r="T95" s="1"/>
      <c r="U95" s="1"/>
      <c r="V95" s="1"/>
      <c r="W95" s="1"/>
      <c r="X95" s="1"/>
      <c r="Y95" s="1"/>
      <c r="Z95" s="1"/>
    </row>
    <row r="96">
      <c r="A96" s="1" t="str">
        <f>IFERROR(__xludf.DUMMYFUNCTION("""COMPUTED_VALUE"""),"Sandhopper Oasis Ninja Village in the Desert")</f>
        <v>Sandhopper Oasis Ninja Village in the Desert</v>
      </c>
      <c r="B96" s="1" t="str">
        <f>IFERROR(__xludf.DUMMYFUNCTION("""COMPUTED_VALUE"""),"In the vast expanse of the scorching desert, Sandhopper Oasis Ninja Village rises as an oasis of life and resilience, the hidden home of the extraordinary Frogonian people, Sandhopper Oasis captures the spirit of survival, adaptability, and the art of the"&amp;" ninja in the harshest of environments.
Sandhopper Oasis Ninja Village is a captivating sight amidst the sea of endless dunes. The village blends seamlessly with the desert landscape, with adobe structures rising from the sun-baked sand. Covered walkways"&amp;" and intricate tunnels connect the dwellings, providing shade and respite from the unforgiving heat. The architecture of the village showcases a mastery of desert craftsmanship, utilizing natural materials and earthy tones that merge with the vastness of "&amp;"the desert.
As one ventures deeper into the village, the heat gives way to a cooling breeze and the gentle rustling of palm trees. The village is interspersed with lush gardens and water features, a stark contrast to the surrounding arid environment. The"&amp;" Frogonians have ingeniously harnessed the power of water and the oasis, nurturing life amidst the harsh desert conditions.
Within Sandhopper Oasis Ninja Village, the Frogonians train relentlessly, honing their skills as ninja warriors. The village serve"&amp;"s as a crucible for the young ninja apprentices, under the guidance of seasoned mentors. They train in the arts of stealth, combat, and survival, learning to move swiftly through the shifting sands and adapt their techniques to the inhospitable desert env"&amp;"ironment.
The village buzzes with activity, mirroring the resilience of its inhabitants. The central plaza acts as a hub of interaction, where Frogonians gather to exchange knowledge, engage in friendly sparring matches, and share tales of their desert e"&amp;"xpeditions. The village elders, revered for their wisdom and experience, pass down the ancient wisdom of the Frogonian lineage, ensuring the preservation of their culture and traditions.
As twilight descends upon the desert, Sandhopper Oasis transforms i"&amp;"nto a mysterious realm. The Frogonians, donned in their specialized ninja attire, blend seamlessly with the shifting sands and shadows. They harness the power of the desert, utilizing sand manipulation and stealth techniques to navigate the dunes with gra"&amp;"ce and precision.
With their unwavering determination and adaptability, the Frogonians of Sandhopper Oasis Village stand as the guardians of their desert domain. They protect their village with an indomitable spirit, using their skills and elemental tech"&amp;"niques to defend their home from any threat that may arise.
Sandhopper Oasis Village symbolizes the Frogonians' tenacity, their ability to thrive in adversity, and their deep connection with the desert. It is a testament to their resilience, resourcefuln"&amp;"ess, and the unity that allows them to conquer the harshest of environments. In Sandhopper Oasis, the Frogonians shine as beacons of strength and unwavering loyalty to their village and their desert heritage.")</f>
        <v>In the vast expanse of the scorching desert, Sandhopper Oasis Ninja Village rises as an oasis of life and resilience, the hidden home of the extraordinary Frogonian people, Sandhopper Oasis captures the spirit of survival, adaptability, and the art of the ninja in the harshest of environments.
Sandhopper Oasis Ninja Village is a captivating sight amidst the sea of endless dunes. The village blends seamlessly with the desert landscape, with adobe structures rising from the sun-baked sand. Covered walkways and intricate tunnels connect the dwellings, providing shade and respite from the unforgiving heat. The architecture of the village showcases a mastery of desert craftsmanship, utilizing natural materials and earthy tones that merge with the vastness of the desert.
As one ventures deeper into the village, the heat gives way to a cooling breeze and the gentle rustling of palm trees. The village is interspersed with lush gardens and water features, a stark contrast to the surrounding arid environment. The Frogonians have ingeniously harnessed the power of water and the oasis, nurturing life amidst the harsh desert conditions.
Within Sandhopper Oasis Ninja Village, the Frogonians train relentlessly, honing their skills as ninja warriors. The village serves as a crucible for the young ninja apprentices, under the guidance of seasoned mentors. They train in the arts of stealth, combat, and survival, learning to move swiftly through the shifting sands and adapt their techniques to the inhospitable desert environment.
The village buzzes with activity, mirroring the resilience of its inhabitants. The central plaza acts as a hub of interaction, where Frogonians gather to exchange knowledge, engage in friendly sparring matches, and share tales of their desert expeditions. The village elders, revered for their wisdom and experience, pass down the ancient wisdom of the Frogonian lineage, ensuring the preservation of their culture and traditions.
As twilight descends upon the desert, Sandhopper Oasis transforms into a mysterious realm. The Frogonians, donned in their specialized ninja attire, blend seamlessly with the shifting sands and shadows. They harness the power of the desert, utilizing sand manipulation and stealth techniques to navigate the dunes with grace and precision.
With their unwavering determination and adaptability, the Frogonians of Sandhopper Oasis Village stand as the guardians of their desert domain. They protect their village with an indomitable spirit, using their skills and elemental techniques to defend their home from any threat that may arise.
Sandhopper Oasis Village symbolizes the Frogonians' tenacity, their ability to thrive in adversity, and their deep connection with the desert. It is a testament to their resilience, resourcefulness, and the unity that allows them to conquer the harshest of environments. In Sandhopper Oasis, the Frogonians shine as beacons of strength and unwavering loyalty to their village and their desert heritage.</v>
      </c>
      <c r="C96" s="1" t="str">
        <f>IFERROR(__xludf.DUMMYFUNCTION("""COMPUTED_VALUE"""),"Dragonscale Island")</f>
        <v>Dragonscale Island</v>
      </c>
      <c r="D96" s="1"/>
      <c r="E96" s="102">
        <f>IFERROR(__xludf.DUMMYFUNCTION("""COMPUTED_VALUE"""),1.0E9)</f>
        <v>1000000000</v>
      </c>
      <c r="F96" s="1" t="str">
        <f>IFERROR(__xludf.DUMMYFUNCTION("""COMPUTED_VALUE"""),"Gilder")</f>
        <v>Gilder</v>
      </c>
      <c r="G96" s="1"/>
      <c r="H96" s="1"/>
      <c r="I96" s="1"/>
      <c r="J96" s="1"/>
      <c r="K96" s="1"/>
      <c r="L96" s="1"/>
      <c r="M96" s="1"/>
      <c r="N96" s="1"/>
      <c r="O96" s="1"/>
      <c r="P96" s="1"/>
      <c r="Q96" s="1"/>
      <c r="R96" s="1"/>
      <c r="S96" s="1"/>
      <c r="T96" s="1"/>
      <c r="U96" s="1"/>
      <c r="V96" s="1"/>
      <c r="W96" s="1"/>
      <c r="X96" s="1"/>
      <c r="Y96" s="1"/>
      <c r="Z96" s="1"/>
    </row>
    <row r="97">
      <c r="A97" s="1" t="str">
        <f>IFERROR(__xludf.DUMMYFUNCTION("""COMPUTED_VALUE"""),"Stonecroak Ninja Village in the Quarry")</f>
        <v>Stonecroak Ninja Village in the Quarry</v>
      </c>
      <c r="B97" s="1" t="str">
        <f>IFERROR(__xludf.DUMMYFUNCTION("""COMPUTED_VALUE"""),"Deep within a rugged and formidable quarry, the Stonecroak Ninja Village stands as a testament to the strength and perseverance of the Frogonian people, Stonecroak embodies the indomitable spirit, steadfastness, and the art of the Ninja carved into the ve"&amp;"ry bedrock of their surroundings.
Stonecroak Ninja Village is a remarkable sight, built amidst towering cliffs and rocky formations. The village seamlessly integrates with the quarry, with structures hewn from the very stone that surrounds them. The vill"&amp;"age pathways wind through intricate tunnels and rocky passages, utilizing the natural formations to create a labyrinthine network that conceals their village from prying eyes.
As one ventures deeper into the village, the echoes of stone on stone fill the"&amp;" air, accompanied by the scent of dust and earth. The village exudes an air of resilience and strength, with sturdy stone buildings rising proudly against the quarry walls. The architecture reflects the Frogonians' connection to the quarry, utilizing the "&amp;"raw materials with a blend of artistry and functionality.
Within Stonecroak Ninja Village, the Frogonians train rigorously, honing their ninja skills to perfection. The village serves as a training ground for the young ninja apprentices, guided by experi"&amp;"enced mentors who impart their wisdom and expertise. They train in the arts of combat, stealth, and elemental manipulation, utilizing the rocky terrain to their advantage and adapting their techniques to the quarry's unique challenges.
The village hums w"&amp;"ith activity, a testament to the Frogonians' unyielding spirit. The central plaza serves as a focal point, where villagers gather to share stories, test their skills, and revel in the camaraderie of their fellow Ninja. The village elders, revered for thei"&amp;"r wisdom and experience, ensure the preservation of the Frogonian traditions, passing down the ancient knowledge of the ninja arts and the bond between the Frogonians and the stone.
With unwavering determination and a deep connection to the stone, the Fr"&amp;"ogonians of Stonecroak Village stand as the protectors of their quarry domain. They defend their village with resolute strength, utilizing their skills and elemental techniques to turn the very rocks against their adversaries.
Stonecroak Village symboliz"&amp;"es the Frogonians' unyielding spirit, their unwavering commitment to their craft, and their profound bond with the stone. It is a testament to their resilience, strength, and the unity that binds them to their quarry sanctuary. In Stonecroak, the Frogonia"&amp;"ns embody the enduring spirit of the Ninja, etching their mark into the annals of history with each resounding step upon the stone.")</f>
        <v>Deep within a rugged and formidable quarry, the Stonecroak Ninja Village stands as a testament to the strength and perseverance of the Frogonian people, Stonecroak embodies the indomitable spirit, steadfastness, and the art of the Ninja carved into the very bedrock of their surroundings.
Stonecroak Ninja Village is a remarkable sight, built amidst towering cliffs and rocky formations. The village seamlessly integrates with the quarry, with structures hewn from the very stone that surrounds them. The village pathways wind through intricate tunnels and rocky passages, utilizing the natural formations to create a labyrinthine network that conceals their village from prying eyes.
As one ventures deeper into the village, the echoes of stone on stone fill the air, accompanied by the scent of dust and earth. The village exudes an air of resilience and strength, with sturdy stone buildings rising proudly against the quarry walls. The architecture reflects the Frogonians' connection to the quarry, utilizing the raw materials with a blend of artistry and functionality.
Within Stonecroak Ninja Village, the Frogonians train rigorously, honing their ninja skills to perfection. The village serves as a training ground for the young ninja apprentices, guided by experienced mentors who impart their wisdom and expertise. They train in the arts of combat, stealth, and elemental manipulation, utilizing the rocky terrain to their advantage and adapting their techniques to the quarry's unique challenges.
The village hums with activity, a testament to the Frogonians' unyielding spirit. The central plaza serves as a focal point, where villagers gather to share stories, test their skills, and revel in the camaraderie of their fellow Ninja. The village elders, revered for their wisdom and experience, ensure the preservation of the Frogonian traditions, passing down the ancient knowledge of the ninja arts and the bond between the Frogonians and the stone.
With unwavering determination and a deep connection to the stone, the Frogonians of Stonecroak Village stand as the protectors of their quarry domain. They defend their village with resolute strength, utilizing their skills and elemental techniques to turn the very rocks against their adversaries.
Stonecroak Village symbolizes the Frogonians' unyielding spirit, their unwavering commitment to their craft, and their profound bond with the stone. It is a testament to their resilience, strength, and the unity that binds them to their quarry sanctuary. In Stonecroak, the Frogonians embody the enduring spirit of the Ninja, etching their mark into the annals of history with each resounding step upon the stone.</v>
      </c>
      <c r="C97" s="1" t="str">
        <f>IFERROR(__xludf.DUMMYFUNCTION("""COMPUTED_VALUE"""),"Dragonscale Island")</f>
        <v>Dragonscale Island</v>
      </c>
      <c r="D97" s="1"/>
      <c r="E97" s="102">
        <f>IFERROR(__xludf.DUMMYFUNCTION("""COMPUTED_VALUE"""),1.0E9)</f>
        <v>1000000000</v>
      </c>
      <c r="F97" s="1" t="str">
        <f>IFERROR(__xludf.DUMMYFUNCTION("""COMPUTED_VALUE"""),"Gilder")</f>
        <v>Gilder</v>
      </c>
      <c r="G97" s="1"/>
      <c r="H97" s="1"/>
      <c r="I97" s="1"/>
      <c r="J97" s="1"/>
      <c r="K97" s="1"/>
      <c r="L97" s="1"/>
      <c r="M97" s="1"/>
      <c r="N97" s="1"/>
      <c r="O97" s="1"/>
      <c r="P97" s="1"/>
      <c r="Q97" s="1"/>
      <c r="R97" s="1"/>
      <c r="S97" s="1"/>
      <c r="T97" s="1"/>
      <c r="U97" s="1"/>
      <c r="V97" s="1"/>
      <c r="W97" s="1"/>
      <c r="X97" s="1"/>
      <c r="Y97" s="1"/>
      <c r="Z97" s="1"/>
    </row>
    <row r="98">
      <c r="A98" s="1" t="str">
        <f>IFERROR(__xludf.DUMMYFUNCTION("""COMPUTED_VALUE"""),"Amphibuki Hideout")</f>
        <v>Amphibuki Hideout</v>
      </c>
      <c r="B98" s="1" t="str">
        <f>IFERROR(__xludf.DUMMYFUNCTION("""COMPUTED_VALUE"""),"The Amphibuki Hideout, serving as the sinister lair for the members of the Amphibuki is a foreboding and treacherous place concealed within the treacherous depths of the Frogonian wetlands. This secret sanctuary is an embodiment of darkness and malevolenc"&amp;"e, designed to strike fear into the hearts of all who dare to venture near.
The hideout's exterior exudes an eerie aura, with its imposing silhouette rising amidst the murky swamplands. The structure is constructed from rough-hewn stones, encrusted with "&amp;"slimy moss that seems to writhe with a life of its own. Sinister carvings of twisted amphibian creatures adorn the walls, their eyes gleaming with malice as if watching intruders with predatory intent.
Stepping through the hidden entrance, one is met wit"&amp;"h a cavernous and dimly lit interior, the air thick with a dank, oppressive atmosphere. Flickering torches cast eerie shadows on the damp stone walls, creating an unsettling dance of light and darkness. The echoes of sinister whispers seem to permeate the"&amp;" air, hinting at the clandestine activities that take place within.
The hideout's central chamber serves as a gathering place for the Amphibuki members, a room steeped in wickedness and secrecy. A large circular platform, adorned with a menacing emblem r"&amp;"epresenting a malevolent frog deity, dominates the center. Sinister symbols and ominous artifacts decorate the walls, evoking a sense of dread and foreboding.
Snaking corridors branch out from the central chamber, leading to individual quarters for each "&amp;"Amphibuki member. These chambers reflect their vile nature, with dimly lit spaces adorned with macabre decorations. Torturous devices, forbidden scrolls of dark arts, and trophies from past conquests line the walls, showcasing their wicked deeds and insid"&amp;"ious prowess.
Within the depths of the hideout, secret chambers hide arcane laboratories and chambers of experimentation. Here, forbidden rituals are performed, and dark alchemical concoctions bubble and seethe in cauldrons. The acrid scent of dangerous "&amp;"potions and elixirs fills the air, mingling with the foreboding atmosphere of the hideout.
The Amphibuki Hideout stands as a testament to the members' malevolence and their nefarious intentions. It is a place where evil plots are hatched, where darkness "&amp;"thrives, and where the vilest of intentions are nurtured. The hideout's very existence serves as a constant reminder of the menacing presence and imminent danger posed by the Amphibuki")</f>
        <v>The Amphibuki Hideout, serving as the sinister lair for the members of the Amphibuki is a foreboding and treacherous place concealed within the treacherous depths of the Frogonian wetlands. This secret sanctuary is an embodiment of darkness and malevolence, designed to strike fear into the hearts of all who dare to venture near.
The hideout's exterior exudes an eerie aura, with its imposing silhouette rising amidst the murky swamplands. The structure is constructed from rough-hewn stones, encrusted with slimy moss that seems to writhe with a life of its own. Sinister carvings of twisted amphibian creatures adorn the walls, their eyes gleaming with malice as if watching intruders with predatory intent.
Stepping through the hidden entrance, one is met with a cavernous and dimly lit interior, the air thick with a dank, oppressive atmosphere. Flickering torches cast eerie shadows on the damp stone walls, creating an unsettling dance of light and darkness. The echoes of sinister whispers seem to permeate the air, hinting at the clandestine activities that take place within.
The hideout's central chamber serves as a gathering place for the Amphibuki members, a room steeped in wickedness and secrecy. A large circular platform, adorned with a menacing emblem representing a malevolent frog deity, dominates the center. Sinister symbols and ominous artifacts decorate the walls, evoking a sense of dread and foreboding.
Snaking corridors branch out from the central chamber, leading to individual quarters for each Amphibuki member. These chambers reflect their vile nature, with dimly lit spaces adorned with macabre decorations. Torturous devices, forbidden scrolls of dark arts, and trophies from past conquests line the walls, showcasing their wicked deeds and insidious prowess.
Within the depths of the hideout, secret chambers hide arcane laboratories and chambers of experimentation. Here, forbidden rituals are performed, and dark alchemical concoctions bubble and seethe in cauldrons. The acrid scent of dangerous potions and elixirs fills the air, mingling with the foreboding atmosphere of the hideout.
The Amphibuki Hideout stands as a testament to the members' malevolence and their nefarious intentions. It is a place where evil plots are hatched, where darkness thrives, and where the vilest of intentions are nurtured. The hideout's very existence serves as a constant reminder of the menacing presence and imminent danger posed by the Amphibuki</v>
      </c>
      <c r="C98" s="1" t="str">
        <f>IFERROR(__xludf.DUMMYFUNCTION("""COMPUTED_VALUE"""),"Dragonscale Island")</f>
        <v>Dragonscale Island</v>
      </c>
      <c r="D98" s="1"/>
      <c r="E98" s="102">
        <f>IFERROR(__xludf.DUMMYFUNCTION("""COMPUTED_VALUE"""),1.0E9)</f>
        <v>1000000000</v>
      </c>
      <c r="F98" s="1" t="str">
        <f>IFERROR(__xludf.DUMMYFUNCTION("""COMPUTED_VALUE"""),"Gilder")</f>
        <v>Gilder</v>
      </c>
      <c r="G98" s="1"/>
      <c r="H98" s="1"/>
      <c r="I98" s="1"/>
      <c r="J98" s="1"/>
      <c r="K98" s="1"/>
      <c r="L98" s="1"/>
      <c r="M98" s="1"/>
      <c r="N98" s="1"/>
      <c r="O98" s="1"/>
      <c r="P98" s="1"/>
      <c r="Q98" s="1"/>
      <c r="R98" s="1"/>
      <c r="S98" s="1"/>
      <c r="T98" s="1"/>
      <c r="U98" s="1"/>
      <c r="V98" s="1"/>
      <c r="W98" s="1"/>
      <c r="X98" s="1"/>
      <c r="Y98" s="1"/>
      <c r="Z98" s="1"/>
    </row>
    <row r="99">
      <c r="A99" s="1" t="str">
        <f>IFERROR(__xludf.DUMMYFUNCTION("""COMPUTED_VALUE"""),"The Magical and Majestic Mountains")</f>
        <v>The Magical and Majestic Mountains</v>
      </c>
      <c r="B99" s="1" t="str">
        <f>IFERROR(__xludf.DUMMYFUNCTION("""COMPUTED_VALUE"""),"Back in the age when the world was still young and its mysteries abundant, a powerful and benevolent sorceress named Seraphina sought a place where magic and nature could coexist in perfect harmony. Seraphina was renowned across the realm for her mastery "&amp;"over the arcane arts and her unwavering love for the natural world. She yearned to create a sanctuary that would serve as a haven for magical creatures, a refuge for weary adventurers, and a center for the study and practice of magic.
After years of tire"&amp;"less searching, Seraphina stumbled upon a hidden valley nestled between towering peaks. The beauty of the land was unparalleled, with lush forests, sparkling rivers, and vibrant meadows. The valley was surrounded by majestic mountains that seemed to touch"&amp;" the sky itself, their peaks perpetually capped with glistening snow. Seraphina knew she had found the perfect location for her vision.
With her unparalleled magical prowess, Seraphina set to work. She channeled her magic into the land, intertwining natu"&amp;"re and arcane power in ways that had never been attempted before. She cast spells to enhance the fertility of the soil, encouraging the growth of rare and magical plants. She channeled energy into the rivers, infusing them with enchantments that granted t"&amp;"he creatures that dwelled within them a touch of magic.
The mountains themselves were no exception to Seraphina's grand design. She crafted intricate runes and sigils into the very rock and soil, imbuing the land with protective wards and a heightened co"&amp;"nnection to the magical energies that flowed through the world. The tallest peak, known as Celestia's Crown, held a great crystal at its summit, a beacon that resonated with the heart of the valley.
As time passed, the valley flourished. Magical creature"&amp;"s from far and wide were drawn to the place, and adventurers seeking to learn from Seraphina's wisdom flocked to her side. The Magical and Majestic Mountains became a bastion of magical knowledge, a melting pot of different cultures and species, all livin"&amp;"g in harmony under the watchful eye of Seraphina.
However, as with all tales of magic and wonder, challenges arose. Seraphina's creation did not go unnoticed by darker forces in the world. A cabal of renegade sorcerers, envious of her power, sought to la"&amp;"y claim to the valley. Thus began the Battle of the Peaks, a cataclysmic clash between the forces of light and darkness that echoed throughout the land.
Ultimately, Seraphina and her allies managed to repel the attackers, but the battle left scars on the"&amp;" land and changed the valley forever. The crystal atop Celestia's Crown cracked, sending shards of magic scattering across the realm. While the valley remained a place of wonder, its enchantments became wild and unpredictable, and some areas were forever "&amp;"altered by the conflict.
To this day, the Magical and Majestic Mountains stand as a testament to Seraphina's dream and the enduring power of magic. Adventurers still journey to the valley in search of wisdom and wonder, and the echoes of the Battle of th"&amp;"e Peaks serve as a reminder that even in the most magical of places, darkness can never be fully vanquished.")</f>
        <v>Back in the age when the world was still young and its mysteries abundant, a powerful and benevolent sorceress named Seraphina sought a place where magic and nature could coexist in perfect harmony. Seraphina was renowned across the realm for her mastery over the arcane arts and her unwavering love for the natural world. She yearned to create a sanctuary that would serve as a haven for magical creatures, a refuge for weary adventurers, and a center for the study and practice of magic.
After years of tireless searching, Seraphina stumbled upon a hidden valley nestled between towering peaks. The beauty of the land was unparalleled, with lush forests, sparkling rivers, and vibrant meadows. The valley was surrounded by majestic mountains that seemed to touch the sky itself, their peaks perpetually capped with glistening snow. Seraphina knew she had found the perfect location for her vision.
With her unparalleled magical prowess, Seraphina set to work. She channeled her magic into the land, intertwining nature and arcane power in ways that had never been attempted before. She cast spells to enhance the fertility of the soil, encouraging the growth of rare and magical plants. She channeled energy into the rivers, infusing them with enchantments that granted the creatures that dwelled within them a touch of magic.
The mountains themselves were no exception to Seraphina's grand design. She crafted intricate runes and sigils into the very rock and soil, imbuing the land with protective wards and a heightened connection to the magical energies that flowed through the world. The tallest peak, known as Celestia's Crown, held a great crystal at its summit, a beacon that resonated with the heart of the valley.
As time passed, the valley flourished. Magical creatures from far and wide were drawn to the place, and adventurers seeking to learn from Seraphina's wisdom flocked to her side. The Magical and Majestic Mountains became a bastion of magical knowledge, a melting pot of different cultures and species, all living in harmony under the watchful eye of Seraphina.
However, as with all tales of magic and wonder, challenges arose. Seraphina's creation did not go unnoticed by darker forces in the world. A cabal of renegade sorcerers, envious of her power, sought to lay claim to the valley. Thus began the Battle of the Peaks, a cataclysmic clash between the forces of light and darkness that echoed throughout the land.
Ultimately, Seraphina and her allies managed to repel the attackers, but the battle left scars on the land and changed the valley forever. The crystal atop Celestia's Crown cracked, sending shards of magic scattering across the realm. While the valley remained a place of wonder, its enchantments became wild and unpredictable, and some areas were forever altered by the conflict.
To this day, the Magical and Majestic Mountains stand as a testament to Seraphina's dream and the enduring power of magic. Adventurers still journey to the valley in search of wisdom and wonder, and the echoes of the Battle of the Peaks serve as a reminder that even in the most magical of places, darkness can never be fully vanquished.</v>
      </c>
      <c r="C99" s="1" t="str">
        <f>IFERROR(__xludf.DUMMYFUNCTION("""COMPUTED_VALUE"""),"Land of Spira")</f>
        <v>Land of Spira</v>
      </c>
      <c r="D99" s="1"/>
      <c r="E99" s="102">
        <f>IFERROR(__xludf.DUMMYFUNCTION("""COMPUTED_VALUE"""),1.0E9)</f>
        <v>1000000000</v>
      </c>
      <c r="F99" s="1" t="str">
        <f>IFERROR(__xludf.DUMMYFUNCTION("""COMPUTED_VALUE"""),"Gilder")</f>
        <v>Gilder</v>
      </c>
      <c r="G99" s="1"/>
      <c r="H99" s="1"/>
      <c r="I99" s="1"/>
      <c r="J99" s="1"/>
      <c r="K99" s="1"/>
      <c r="L99" s="1"/>
      <c r="M99" s="1"/>
      <c r="N99" s="1"/>
      <c r="O99" s="1"/>
      <c r="P99" s="1"/>
      <c r="Q99" s="1"/>
      <c r="R99" s="1"/>
      <c r="S99" s="1"/>
      <c r="T99" s="1"/>
      <c r="U99" s="1"/>
      <c r="V99" s="1"/>
      <c r="W99" s="1"/>
      <c r="X99" s="1"/>
      <c r="Y99" s="1"/>
      <c r="Z99" s="1"/>
    </row>
    <row r="100">
      <c r="A100" s="1" t="str">
        <f>IFERROR(__xludf.DUMMYFUNCTION("""COMPUTED_VALUE"""),"Magical Mountains of Manifestations")</f>
        <v>Magical Mountains of Manifestations</v>
      </c>
      <c r="B100" s="1" t="str">
        <f>IFERROR(__xludf.DUMMYFUNCTION("""COMPUTED_VALUE"""),"Long ago, in an age shrouded in mysticism and forgotten legends, the world was a canvas for the whims of powerful beings known as the Archanists. These Archanists were sorcerers of unparalleled skill, capable of bending reality to their will through the s"&amp;"heer force of their magic. Each Archanist sought to leave their mark on the world, to shape it according to their desires.
Amidst towering peaks that reached into the heavens, there existed a range of mountains known as the ""Ethereal Spine."" Here, the "&amp;"landscape was a living testament to the Archanists' boundless power. Each mountain in the range was infused with a unique magical essence, and these energies interacted in ways that defied the very laws of nature. Rivers of liquid light flowed uphill, whi"&amp;"le floating islands adorned with ancient trees drifted through the skies.
In the heart of the Ethereal Spine lay the ""Magical Mountains of Manifestations."" These mountains were a collaborative creation of the Archanists, a place where their magical exp"&amp;"erimentation and artistic ambitions converged. The Archanists realized that the range possessed a natural affinity for manifestations—bringing thoughts and dreams into tangible existence. They established the mountains as a sanctuary for their most audaci"&amp;"ous experiments, where magic was not merely cast but woven into the very fabric of reality.
The Archanists' spells and incantations left traces in the land itself, etching arcane symbols into the stones and trees. Over time, these symbols gained sentienc"&amp;"e and consciousness of their own, becoming guardians of the mountains and protectors of the Archanists' legacy. These magical entities, known as the ""Glyphwardens,"" possessed the ability to reshape the landscape based on the intentions of those who soug"&amp;"ht their favor.
Legends tell of brave individuals who ventured into the Magical Mountains of Manifestations seeking to harness their power. The Glyphwardens would present challenges that were both trials of strength and tests of character. Those who prov"&amp;"ed themselves worthy were granted access to the Archanists' ""Gallery of Echoed Realities,"" a hidden space between dimensions where past and future manifested in breathtaking displays of magic and wonder.
However, the age of the Archanists eventually wa"&amp;"ned. Their internal conflicts and lust for supremacy led to a cataclysmic event known as the ""Rupture,"" which tore through the world, forever altering the balance of magic. The Ethereal Spine was not spared, and the Magical Mountains of Manifestations w"&amp;"ere sealed off from the rest of the world by a barrier of unstable magic.
As time flowed onward, the memory of the Archanists faded into myth, and the mountains and their mysteries became the stuff of bedtime stories and cautionary tales. Adventurers and"&amp;" scholars alike sought the mountains, drawn by the promise of unimaginable power. Only a select few managed to breach the barrier and step foot in the ethereal realm beyond.
Today, the Magical Mountains of Manifestations stand as a realm of paradoxes, wh"&amp;"ere dreams become reality and reality becomes dreams. The Glyphwardens continue to guard the mountains, awaiting those who can prove themselves worthy of the Archanists' legacy. As the world changes around them, the mountains remain a testament to an era "&amp;"when magic and artistry merged in harmonious splendor—a testament to the Archanists' ambition and the enduring legacy of their enchantments.")</f>
        <v>Long ago, in an age shrouded in mysticism and forgotten legends, the world was a canvas for the whims of powerful beings known as the Archanists. These Archanists were sorcerers of unparalleled skill, capable of bending reality to their will through the sheer force of their magic. Each Archanist sought to leave their mark on the world, to shape it according to their desires.
Amidst towering peaks that reached into the heavens, there existed a range of mountains known as the "Ethereal Spine." Here, the landscape was a living testament to the Archanists' boundless power. Each mountain in the range was infused with a unique magical essence, and these energies interacted in ways that defied the very laws of nature. Rivers of liquid light flowed uphill, while floating islands adorned with ancient trees drifted through the skies.
In the heart of the Ethereal Spine lay the "Magical Mountains of Manifestations." These mountains were a collaborative creation of the Archanists, a place where their magical experimentation and artistic ambitions converged. The Archanists realized that the range possessed a natural affinity for manifestations—bringing thoughts and dreams into tangible existence. They established the mountains as a sanctuary for their most audacious experiments, where magic was not merely cast but woven into the very fabric of reality.
The Archanists' spells and incantations left traces in the land itself, etching arcane symbols into the stones and trees. Over time, these symbols gained sentience and consciousness of their own, becoming guardians of the mountains and protectors of the Archanists' legacy. These magical entities, known as the "Glyphwardens," possessed the ability to reshape the landscape based on the intentions of those who sought their favor.
Legends tell of brave individuals who ventured into the Magical Mountains of Manifestations seeking to harness their power. The Glyphwardens would present challenges that were both trials of strength and tests of character. Those who proved themselves worthy were granted access to the Archanists' "Gallery of Echoed Realities," a hidden space between dimensions where past and future manifested in breathtaking displays of magic and wonder.
However, the age of the Archanists eventually waned. Their internal conflicts and lust for supremacy led to a cataclysmic event known as the "Rupture," which tore through the world, forever altering the balance of magic. The Ethereal Spine was not spared, and the Magical Mountains of Manifestations were sealed off from the rest of the world by a barrier of unstable magic.
As time flowed onward, the memory of the Archanists faded into myth, and the mountains and their mysteries became the stuff of bedtime stories and cautionary tales. Adventurers and scholars alike sought the mountains, drawn by the promise of unimaginable power. Only a select few managed to breach the barrier and step foot in the ethereal realm beyond.
Today, the Magical Mountains of Manifestations stand as a realm of paradoxes, where dreams become reality and reality becomes dreams. The Glyphwardens continue to guard the mountains, awaiting those who can prove themselves worthy of the Archanists' legacy. As the world changes around them, the mountains remain a testament to an era when magic and artistry merged in harmonious splendor—a testament to the Archanists' ambition and the enduring legacy of their enchantments.</v>
      </c>
      <c r="C100" s="1" t="str">
        <f>IFERROR(__xludf.DUMMYFUNCTION("""COMPUTED_VALUE"""),"Land of Spira")</f>
        <v>Land of Spira</v>
      </c>
      <c r="D100" s="1"/>
      <c r="E100" s="102">
        <f>IFERROR(__xludf.DUMMYFUNCTION("""COMPUTED_VALUE"""),1.0E9)</f>
        <v>1000000000</v>
      </c>
      <c r="F100" s="1" t="str">
        <f>IFERROR(__xludf.DUMMYFUNCTION("""COMPUTED_VALUE"""),"Gilder")</f>
        <v>Gilder</v>
      </c>
      <c r="G100" s="1"/>
      <c r="H100" s="1"/>
      <c r="I100" s="1"/>
      <c r="J100" s="1"/>
      <c r="K100" s="1"/>
      <c r="L100" s="1"/>
      <c r="M100" s="1"/>
      <c r="N100" s="1"/>
      <c r="O100" s="1"/>
      <c r="P100" s="1"/>
      <c r="Q100" s="1"/>
      <c r="R100" s="1"/>
      <c r="S100" s="1"/>
      <c r="T100" s="1"/>
      <c r="U100" s="1"/>
      <c r="V100" s="1"/>
      <c r="W100" s="1"/>
      <c r="X100" s="1"/>
      <c r="Y100" s="1"/>
      <c r="Z100" s="1"/>
    </row>
    <row r="101">
      <c r="A101" s="1" t="str">
        <f>IFERROR(__xludf.DUMMYFUNCTION("""COMPUTED_VALUE"""),"Mountains of War and Dishonor ")</f>
        <v>Mountains of War and Dishonor </v>
      </c>
      <c r="B101" s="1" t="str">
        <f>IFERROR(__xludf.DUMMYFUNCTION("""COMPUTED_VALUE"""),"In the annals of history, there are tales of lands where valor and honor clashed with darkness and betrayal. The Mountains of War and Dishonor stand as a stark testament to one such tale, a realm born from the convergence of power, ambition, and a tragic "&amp;"fall from grace.
Long ago, in a kingdom known as Valoria, a noble dynasty known as House Drakengard reigned supreme. The Drakengards were renowned for their chivalry, prowess in battle, and unyielding commitment to honor. The kingdom prospered under thei"&amp;"r rule, and the Mountains of War and Dishonor were a central part of their domain.
The mountains were home to a sacred order of knights known as the Knights of Valor. For generations, these knights upheld a code of honor and righteousness, dedicating the"&amp;"ir lives to protecting the realm from external threats and maintaining harmony within. The mountains themselves were believed to hold an ancient power, said to grant immeasurable strength to those who were truly just and honorable.
However, as the genera"&amp;"tions passed, the once-proud House Drakengard began to succumb to internal strife and corruption. A power-hungry scion of the house, Lord Malric, sought to expand his dominion at any cost. Driven by a lust for conquest and the allure of forbidden magics, "&amp;"he turned away from the noble principles that had guided his ancestors.
In his pursuit of power, Lord Malric began to amass a ruthless army, conscripting not only loyal soldiers but also mercenaries and dark sorcerers. As his ambitions grew, he set his s"&amp;"ights on the Mountains of War and Dishonor. Despite the protests of the Knights of Valor, Lord Malric believed that by tapping into the ancient magic of the mountains, he could attain unrivaled might and secure his place as the most powerful ruler in the "&amp;"land.
The Knights of Valor, sworn to protect their realm from such corruption, faced an agonizing decision. They found themselves torn between their loyalty to House Drakengard and their unwavering commitment to honor. Recognizing that Lord Malric's acti"&amp;"ons had strayed far from the path of righteousness, a faction of the knights led by the valiant Sir Aric chose to stand against their own liege.
The ensuing conflict was a brutal and heart-wrenching civil war. The Mountains of War and Dishonor, once a sy"&amp;"mbol of honor, now echoed with the clash of swords and the thunder of dark sorcery. The land became marred by the bloodshed, as the knights who once stood united against external threats were now locked in combat against their own kin.
Ultimately, the co"&amp;"nflict reached its climax in a cataclysmic battle atop the highest peak of the mountains. Sir Aric and his loyal knights faced Lord Malric's forces in a final showdown. The battle was fierce, with magic and steel intertwining in a dance of destruction. In"&amp;" the end, Sir Aric managed to defeat Lord Malric in a duel that shook the very foundations of the mountains.
But victory came at a heavy price. The once-proud Mountains of War and Dishonor had become a scarred and desolate land, forever tainted by the di"&amp;"shonor and bloodshed that had stained its slopes. The surviving Knights of Valor, broken and battle-weary, made a solemn vow to guard the mountains as a grim reminder of the consequences of ambition unchecked by honor.
To this day, the Mountains of War a"&amp;"nd Dishonor stand as a haunting monument to the fallibility of even the noblest of ideals. The land serves as a cautionary tale, a place where the clash of honor and dishonor resounds through the ages, a stark reminder that the pursuit of power without mo"&amp;"ral restraint can lead even the most virtuous to the precipice of ruin.")</f>
        <v>In the annals of history, there are tales of lands where valor and honor clashed with darkness and betrayal. The Mountains of War and Dishonor stand as a stark testament to one such tale, a realm born from the convergence of power, ambition, and a tragic fall from grace.
Long ago, in a kingdom known as Valoria, a noble dynasty known as House Drakengard reigned supreme. The Drakengards were renowned for their chivalry, prowess in battle, and unyielding commitment to honor. The kingdom prospered under their rule, and the Mountains of War and Dishonor were a central part of their domain.
The mountains were home to a sacred order of knights known as the Knights of Valor. For generations, these knights upheld a code of honor and righteousness, dedicating their lives to protecting the realm from external threats and maintaining harmony within. The mountains themselves were believed to hold an ancient power, said to grant immeasurable strength to those who were truly just and honorable.
However, as the generations passed, the once-proud House Drakengard began to succumb to internal strife and corruption. A power-hungry scion of the house, Lord Malric, sought to expand his dominion at any cost. Driven by a lust for conquest and the allure of forbidden magics, he turned away from the noble principles that had guided his ancestors.
In his pursuit of power, Lord Malric began to amass a ruthless army, conscripting not only loyal soldiers but also mercenaries and dark sorcerers. As his ambitions grew, he set his sights on the Mountains of War and Dishonor. Despite the protests of the Knights of Valor, Lord Malric believed that by tapping into the ancient magic of the mountains, he could attain unrivaled might and secure his place as the most powerful ruler in the land.
The Knights of Valor, sworn to protect their realm from such corruption, faced an agonizing decision. They found themselves torn between their loyalty to House Drakengard and their unwavering commitment to honor. Recognizing that Lord Malric's actions had strayed far from the path of righteousness, a faction of the knights led by the valiant Sir Aric chose to stand against their own liege.
The ensuing conflict was a brutal and heart-wrenching civil war. The Mountains of War and Dishonor, once a symbol of honor, now echoed with the clash of swords and the thunder of dark sorcery. The land became marred by the bloodshed, as the knights who once stood united against external threats were now locked in combat against their own kin.
Ultimately, the conflict reached its climax in a cataclysmic battle atop the highest peak of the mountains. Sir Aric and his loyal knights faced Lord Malric's forces in a final showdown. The battle was fierce, with magic and steel intertwining in a dance of destruction. In the end, Sir Aric managed to defeat Lord Malric in a duel that shook the very foundations of the mountains.
But victory came at a heavy price. The once-proud Mountains of War and Dishonor had become a scarred and desolate land, forever tainted by the dishonor and bloodshed that had stained its slopes. The surviving Knights of Valor, broken and battle-weary, made a solemn vow to guard the mountains as a grim reminder of the consequences of ambition unchecked by honor.
To this day, the Mountains of War and Dishonor stand as a haunting monument to the fallibility of even the noblest of ideals. The land serves as a cautionary tale, a place where the clash of honor and dishonor resounds through the ages, a stark reminder that the pursuit of power without moral restraint can lead even the most virtuous to the precipice of ruin.</v>
      </c>
      <c r="C101" s="1" t="str">
        <f>IFERROR(__xludf.DUMMYFUNCTION("""COMPUTED_VALUE"""),"Land of Spira")</f>
        <v>Land of Spira</v>
      </c>
      <c r="D101" s="1"/>
      <c r="E101" s="102">
        <f>IFERROR(__xludf.DUMMYFUNCTION("""COMPUTED_VALUE"""),1.0E9)</f>
        <v>1000000000</v>
      </c>
      <c r="F101" s="1" t="str">
        <f>IFERROR(__xludf.DUMMYFUNCTION("""COMPUTED_VALUE"""),"Gilder")</f>
        <v>Gilder</v>
      </c>
      <c r="G101" s="1"/>
      <c r="H101" s="1"/>
      <c r="I101" s="1"/>
      <c r="J101" s="1"/>
      <c r="K101" s="1"/>
      <c r="L101" s="1"/>
      <c r="M101" s="1"/>
      <c r="N101" s="1"/>
      <c r="O101" s="1"/>
      <c r="P101" s="1"/>
      <c r="Q101" s="1"/>
      <c r="R101" s="1"/>
      <c r="S101" s="1"/>
      <c r="T101" s="1"/>
      <c r="U101" s="1"/>
      <c r="V101" s="1"/>
      <c r="W101" s="1"/>
      <c r="X101" s="1"/>
      <c r="Y101" s="1"/>
      <c r="Z101" s="1"/>
    </row>
    <row r="102">
      <c r="A102" s="1" t="str">
        <f>IFERROR(__xludf.DUMMYFUNCTION("""COMPUTED_VALUE"""),"Centraria")</f>
        <v>Centraria</v>
      </c>
      <c r="B102" s="1" t="str">
        <f>IFERROR(__xludf.DUMMYFUNCTION("""COMPUTED_VALUE"""),"Centraria, the heart of enchantment nestled within The Land of Spira, has a history that dates back to a time when magic flowed freely and the world was a tapestry woven with threads of wonder. The city's creation is attributed to the Archmage Arinthor, a"&amp;" legendary sorcerer of unparalleled skill and boundless imagination.
In an era when the boundaries between the mundane and the mystical were blurred, Arinthor sought to create a place where the various magical traditions, races, and creatures could coexi"&amp;"st in harmony. Guided by a vision of unity and shared knowledge, he erected Centraria at the convergence of ley lines, where the magical energies of the world converged in a symphony of power.
The city itself was a testament to Arinthor's mastery over ma"&amp;"gic. Its architecture defied the laws of physics, with floating towers suspended in the air, bridges made of light connecting districts, and streets that shimmered with illusions. The city's layout was a labyrinthine puzzle, a testament to Arinthor's love"&amp;" for riddles and challenges. The grand central plaza, known as the Nexus Square, was a place of convergence where magic users from every corner of The Land of Spira would gather to share knowledge, exchange spells, and seek wisdom.
Within Centraria's bou"&amp;"ndaries, magical wonders were commonplace. Markets peddled enchanted artifacts, alchemical concoctions, and creatures born of dreams. Arcane libraries held tomes that whispered forgotten incantations, and elemental gardens bloomed with plants that exuded "&amp;"magical auras. The air itself crackled with latent energy, and the auroras that danced in the skies above were said to be reflections of the city's mystical heartbeat.
The city's prosperity and enchantment attracted both admirers and those with nefarious"&amp;" intent. It was during a period known as the Shrouded Twilight that a group of rogue sorcerers, known as the Obsidian Cabal, attempted to usurp the power at the heart of Centraria for their own gain. A conflict of cataclysmic proportions erupted between t"&amp;"he forces of darkness and those who sought to protect the city's sanctity.
The battle raged for months, and the magical clashes scarred the landscape and forever changed the fabric of Centraria. The Nexus Square, once a beacon of harmony, was left in rui"&amp;"ns. The ley lines were disrupted, causing magic to become unpredictable and often dangerous. The Obsidian Cabal was eventually defeated, but the cost was great.
Today, Centraria remains a city of ancient wonder and magical mystery, but its scars are wove"&amp;"n into its very essence. The floating towers are now remnants, half-submerged in the ground or suspended at odd angles. The bridges of light have become fractured pathways of shifting illusions. And the Nexus Square, while still a place of gathering, carr"&amp;"ies the weight of its history, a reminder of the city's resilience in the face of darkness.
Adventurers now journey to Centraria in search of lost knowledge and potent artifacts. The city's inhabitants, a diverse array of magical beings, continue to fost"&amp;"er a sense of unity and learning, determined to rebuild and protect what remains. Centraria stands as a testament to the enduring power of magic, a city where the ancient wonder of the past dances with the mysteries of the present, and where the threads o"&amp;"f enchantment continue to weave their tapestry of awe and fascination.")</f>
        <v>Centraria, the heart of enchantment nestled within The Land of Spira, has a history that dates back to a time when magic flowed freely and the world was a tapestry woven with threads of wonder. The city's creation is attributed to the Archmage Arinthor, a legendary sorcerer of unparalleled skill and boundless imagination.
In an era when the boundaries between the mundane and the mystical were blurred, Arinthor sought to create a place where the various magical traditions, races, and creatures could coexist in harmony. Guided by a vision of unity and shared knowledge, he erected Centraria at the convergence of ley lines, where the magical energies of the world converged in a symphony of power.
The city itself was a testament to Arinthor's mastery over magic. Its architecture defied the laws of physics, with floating towers suspended in the air, bridges made of light connecting districts, and streets that shimmered with illusions. The city's layout was a labyrinthine puzzle, a testament to Arinthor's love for riddles and challenges. The grand central plaza, known as the Nexus Square, was a place of convergence where magic users from every corner of The Land of Spira would gather to share knowledge, exchange spells, and seek wisdom.
Within Centraria's boundaries, magical wonders were commonplace. Markets peddled enchanted artifacts, alchemical concoctions, and creatures born of dreams. Arcane libraries held tomes that whispered forgotten incantations, and elemental gardens bloomed with plants that exuded magical auras. The air itself crackled with latent energy, and the auroras that danced in the skies above were said to be reflections of the city's mystical heartbeat.
The city's prosperity and enchantment attracted both admirers and those with nefarious intent. It was during a period known as the Shrouded Twilight that a group of rogue sorcerers, known as the Obsidian Cabal, attempted to usurp the power at the heart of Centraria for their own gain. A conflict of cataclysmic proportions erupted between the forces of darkness and those who sought to protect the city's sanctity.
The battle raged for months, and the magical clashes scarred the landscape and forever changed the fabric of Centraria. The Nexus Square, once a beacon of harmony, was left in ruins. The ley lines were disrupted, causing magic to become unpredictable and often dangerous. The Obsidian Cabal was eventually defeated, but the cost was great.
Today, Centraria remains a city of ancient wonder and magical mystery, but its scars are woven into its very essence. The floating towers are now remnants, half-submerged in the ground or suspended at odd angles. The bridges of light have become fractured pathways of shifting illusions. And the Nexus Square, while still a place of gathering, carries the weight of its history, a reminder of the city's resilience in the face of darkness.
Adventurers now journey to Centraria in search of lost knowledge and potent artifacts. The city's inhabitants, a diverse array of magical beings, continue to foster a sense of unity and learning, determined to rebuild and protect what remains. Centraria stands as a testament to the enduring power of magic, a city where the ancient wonder of the past dances with the mysteries of the present, and where the threads of enchantment continue to weave their tapestry of awe and fascination.</v>
      </c>
      <c r="C102" s="1" t="str">
        <f>IFERROR(__xludf.DUMMYFUNCTION("""COMPUTED_VALUE"""),"Land of Spira")</f>
        <v>Land of Spira</v>
      </c>
      <c r="D102" s="1"/>
      <c r="E102" s="102">
        <f>IFERROR(__xludf.DUMMYFUNCTION("""COMPUTED_VALUE"""),1.0375E9)</f>
        <v>1037500000</v>
      </c>
      <c r="F102" s="1" t="str">
        <f>IFERROR(__xludf.DUMMYFUNCTION("""COMPUTED_VALUE"""),"Gilder")</f>
        <v>Gilder</v>
      </c>
      <c r="G102" s="1"/>
      <c r="H102" s="1"/>
      <c r="I102" s="1"/>
      <c r="J102" s="1"/>
      <c r="K102" s="1"/>
      <c r="L102" s="1"/>
      <c r="M102" s="1"/>
      <c r="N102" s="1"/>
      <c r="O102" s="1"/>
      <c r="P102" s="1"/>
      <c r="Q102" s="1"/>
      <c r="R102" s="1"/>
      <c r="S102" s="1"/>
      <c r="T102" s="1"/>
      <c r="U102" s="1"/>
      <c r="V102" s="1"/>
      <c r="W102" s="1"/>
      <c r="X102" s="1"/>
      <c r="Y102" s="1"/>
      <c r="Z102" s="1"/>
    </row>
    <row r="103">
      <c r="A103" s="1" t="str">
        <f>IFERROR(__xludf.DUMMYFUNCTION("""COMPUTED_VALUE"""),"The Lost City of Knappadalr")</f>
        <v>The Lost City of Knappadalr</v>
      </c>
      <c r="B103" s="1" t="str">
        <f>IFERROR(__xludf.DUMMYFUNCTION("""COMPUTED_VALUE"""),"The Lost City of Knappadalr stands as a testament to the Viking spirit of exploration, conquest, and innovation. In the age of sail and legend, when the winds of the north carried whispers of opportunity and uncharted lands, a group of intrepid Viking adv"&amp;"enturers set out to carve their legacy upon the world.
Led by the fierce and visionary chieftain, Ulfgar the Unyielding, a group of Viking warriors and settlers embarked on a journey that would lead them far beyond the familiar shores of their homeland. "&amp;"Guided by tales of distant lands rich with resources and untold wonders, they navigated treacherous seas and unpredictable weather, driven by a desire to establish a haven of their own.
After many months of traversing uncharted waters, the Vikings stumbl"&amp;"ed upon a hidden fjord nestled between towering cliffs and dense forests. It was here, surrounded by natural barriers, that they found the ideal location for their new settlement. With a mix of determination, hard work, and a sprinkling of magic from thei"&amp;"r runic lore, they established the city of Knappadalr.
The city quickly grew into a bustling hub of activity, its architecture seamlessly blending the Viking aesthetic with the mystique of the new lands they had discovered. Longhouses and wooden structur"&amp;"es lined the fjord, their intricate carvings telling tales of heroic deeds and ancient gods. The harbor brimmed with dragon-headed longships, and the sounds of metalworking and storytelling filled the air.
Ulfgar the Unyielding, ever a leader with grand "&amp;"ambitions, envisioned Knappadalr as not just a settlement, but a powerful trading and cultural center that bridged the old world and the new. He established a council of chieftains from various Viking clans to ensure the city's governance was rooted in un"&amp;"ity and respect for their diverse origins.
As years passed, Knappadalr thrived. Its strategic location made it a key point for trade routes, and its reputation for courage and skill in battle made it a respected force among neighboring settlements. The c"&amp;"ity's residents, a mix of Vikings and the indigenous people they encountered, forged a unique and vibrant culture that celebrated the richness of both their heritages.
However, like all tales of adventure, the city's story took a darker turn. As rumors o"&amp;"f Knappadalr's wealth and power spread, envious eyes turned toward the city, and factions from faraway lands set their sights on claiming its riches for themselves. One fateful night, a coalition of rivals launched a surprise attack, catching the city off"&amp;" guard. The Battle of the Fjord, as it came to be known, raged for days, leaving the city scarred and battered.
In the end, the defenders of Knappadalr emerged victorious, but the city lay in ruins. Ulfgar the Unyielding had fallen in battle, and the cou"&amp;"ncil was shattered. As the survivors picked up the pieces, they made the heart-wrenching decision to abandon their beloved city, fearing that its very existence had drawn the forces that sought to destroy it.
The Lost City of Knappadalr faded into the an"&amp;"nals of history, becoming a legend of a time when Vikings dared to explore the unknown and build a civilization that defied the odds. Today, adventurers and treasure seekers scour the fjords in search of its remnants, drawn by the promise of untold riches"&amp;" and the echoes of a civilization that once dared to dream of greatness in a distant land.")</f>
        <v>The Lost City of Knappadalr stands as a testament to the Viking spirit of exploration, conquest, and innovation. In the age of sail and legend, when the winds of the north carried whispers of opportunity and uncharted lands, a group of intrepid Viking adventurers set out to carve their legacy upon the world.
Led by the fierce and visionary chieftain, Ulfgar the Unyielding, a group of Viking warriors and settlers embarked on a journey that would lead them far beyond the familiar shores of their homeland. Guided by tales of distant lands rich with resources and untold wonders, they navigated treacherous seas and unpredictable weather, driven by a desire to establish a haven of their own.
After many months of traversing uncharted waters, the Vikings stumbled upon a hidden fjord nestled between towering cliffs and dense forests. It was here, surrounded by natural barriers, that they found the ideal location for their new settlement. With a mix of determination, hard work, and a sprinkling of magic from their runic lore, they established the city of Knappadalr.
The city quickly grew into a bustling hub of activity, its architecture seamlessly blending the Viking aesthetic with the mystique of the new lands they had discovered. Longhouses and wooden structures lined the fjord, their intricate carvings telling tales of heroic deeds and ancient gods. The harbor brimmed with dragon-headed longships, and the sounds of metalworking and storytelling filled the air.
Ulfgar the Unyielding, ever a leader with grand ambitions, envisioned Knappadalr as not just a settlement, but a powerful trading and cultural center that bridged the old world and the new. He established a council of chieftains from various Viking clans to ensure the city's governance was rooted in unity and respect for their diverse origins.
As years passed, Knappadalr thrived. Its strategic location made it a key point for trade routes, and its reputation for courage and skill in battle made it a respected force among neighboring settlements. The city's residents, a mix of Vikings and the indigenous people they encountered, forged a unique and vibrant culture that celebrated the richness of both their heritages.
However, like all tales of adventure, the city's story took a darker turn. As rumors of Knappadalr's wealth and power spread, envious eyes turned toward the city, and factions from faraway lands set their sights on claiming its riches for themselves. One fateful night, a coalition of rivals launched a surprise attack, catching the city off guard. The Battle of the Fjord, as it came to be known, raged for days, leaving the city scarred and battered.
In the end, the defenders of Knappadalr emerged victorious, but the city lay in ruins. Ulfgar the Unyielding had fallen in battle, and the council was shattered. As the survivors picked up the pieces, they made the heart-wrenching decision to abandon their beloved city, fearing that its very existence had drawn the forces that sought to destroy it.
The Lost City of Knappadalr faded into the annals of history, becoming a legend of a time when Vikings dared to explore the unknown and build a civilization that defied the odds. Today, adventurers and treasure seekers scour the fjords in search of its remnants, drawn by the promise of untold riches and the echoes of a civilization that once dared to dream of greatness in a distant land.</v>
      </c>
      <c r="C103" s="1" t="str">
        <f>IFERROR(__xludf.DUMMYFUNCTION("""COMPUTED_VALUE"""),"Land of Spira")</f>
        <v>Land of Spira</v>
      </c>
      <c r="D103" s="1"/>
      <c r="E103" s="102">
        <f>IFERROR(__xludf.DUMMYFUNCTION("""COMPUTED_VALUE"""),1.0E9)</f>
        <v>1000000000</v>
      </c>
      <c r="F103" s="1" t="str">
        <f>IFERROR(__xludf.DUMMYFUNCTION("""COMPUTED_VALUE"""),"Gilder")</f>
        <v>Gilder</v>
      </c>
      <c r="G103" s="1"/>
      <c r="H103" s="1"/>
      <c r="I103" s="1"/>
      <c r="J103" s="1"/>
      <c r="K103" s="1"/>
      <c r="L103" s="1"/>
      <c r="M103" s="1"/>
      <c r="N103" s="1"/>
      <c r="O103" s="1"/>
      <c r="P103" s="1"/>
      <c r="Q103" s="1"/>
      <c r="R103" s="1"/>
      <c r="S103" s="1"/>
      <c r="T103" s="1"/>
      <c r="U103" s="1"/>
      <c r="V103" s="1"/>
      <c r="W103" s="1"/>
      <c r="X103" s="1"/>
      <c r="Y103" s="1"/>
      <c r="Z103" s="1"/>
    </row>
    <row r="104">
      <c r="A104" s="1" t="str">
        <f>IFERROR(__xludf.DUMMYFUNCTION("""COMPUTED_VALUE"""),"Paradise Island")</f>
        <v>Paradise Island</v>
      </c>
      <c r="B104" s="1" t="str">
        <f>IFERROR(__xludf.DUMMYFUNCTION("""COMPUTED_VALUE"""),"In the ancient times when the world was still in its infancy, the gods of creation and nature joined their divine forces to bring forth a realm of unparalleled beauty and wonder known as Paradise Island. The gods' intentions were pure—to create a sanctuar"&amp;"y where mortal beings could experience the harmonious coexistence of nature and magic.
The island itself was a masterpiece of divine craftsmanship. Lush, vibrant landscapes sprawled across its expanse, each corner teeming with life that seemed to emanate"&amp;" from the very soul of the world. Towering trees, iridescent flora, and crystal-clear rivers painted a landscape so breathtaking that even the gods themselves found solace in its serenity.
At the heart of Paradise Island stood the Celestial Nexus, a colo"&amp;"ssal tree that served as the conduit between the mortal realm and the divine. Its roots delved deep into the earth, drawing sustenance from the very essence of creation, while its branches extended high into the heavens, touching the realm of the gods. Th"&amp;"e Celestial Nexus was a symbol of the island's magical balance, a beacon that bridged the mortal and the divine.
The island quickly became a haven for creatures of all kinds, both mortal and magical. Sentient beasts roamed freely, their lives intertwined"&amp;" with the intricate tapestry of the island's magic. The creatures of the island exuded an aura of enchantment, their very existence an expression of the gods' creative powers.
Mortal beings soon discovered the way to Paradise Island, drawn by legends of "&amp;"its unparalleled beauty and the promise of a life infused with magic. The island's inhabitants, guided by their deep connection to nature, embraced the newcomers, teaching them the ways of the land and the delicate balance that sustained it. Mortals were "&amp;"granted the gift of harnessing the island's magic, using it to heal, protect, and flourish.
For centuries, Paradise Island thrived as a sanctuary of unspoiled beauty and harmonious coexistence. Mortals and magical beings lived side by side, forging bonds"&amp;" of friendship and learning from each other. The island's magic allowed the mortals to live longer, healthier lives, and their connection to nature's energy deepened their understanding of the world's intricate web.
However, like all things of beauty, Pa"&amp;"radise Island's idyllic existence drew the attention of darker forces. A power-hungry sorcerer named Xaraxis sought to claim the island's magic for his own. Xaraxis, consumed by his ambition, unleashed forbidden spells that disrupted the balance of magic "&amp;"on the island. The Celestial Nexus, once a symbol of harmony, began to wither, its branches losing their glow, and its roots sapping the life force from the land.
A battle of epic proportions unfolded as the island's defenders, both mortal and magical, r"&amp;"allied against Xaraxis and his dark minions. The battle culminated in a cataclysmic clash, where the forces of light and darkness clashed in a maelstrom of magic and power. In the end, Xaraxis was defeated, but the cost was immense—the island's delicate e"&amp;"quilibrium was shattered.
The Celestial Nexus, weakened by the battle, emitted a final pulse of magic that enveloped the island in a shroud of energy. As a result, the island was isolated from the rest of the world, becoming a realm of its own, existing "&amp;"between reality and the ethereal. Time flowed differently on Paradise Island, and its inhabitants found themselves in a timeless pocket of existence.
Today, Paradise Island stands as a realm of untold magic and beauty, a sanctuary where the echoes of cre"&amp;"ation and the memories of a harmonious past still linger. Adventurers and seekers of arcane knowledge journey to the island in search of its hidden secrets, hoping to restore the Celestial Nexus and rekindle the island's lost harmony. The island's enchant"&amp;"ments remain, waiting to be rediscovered by those who dare to walk its shores and rekindle the legacy of its creation.")</f>
        <v>In the ancient times when the world was still in its infancy, the gods of creation and nature joined their divine forces to bring forth a realm of unparalleled beauty and wonder known as Paradise Island. The gods' intentions were pure—to create a sanctuary where mortal beings could experience the harmonious coexistence of nature and magic.
The island itself was a masterpiece of divine craftsmanship. Lush, vibrant landscapes sprawled across its expanse, each corner teeming with life that seemed to emanate from the very soul of the world. Towering trees, iridescent flora, and crystal-clear rivers painted a landscape so breathtaking that even the gods themselves found solace in its serenity.
At the heart of Paradise Island stood the Celestial Nexus, a colossal tree that served as the conduit between the mortal realm and the divine. Its roots delved deep into the earth, drawing sustenance from the very essence of creation, while its branches extended high into the heavens, touching the realm of the gods. The Celestial Nexus was a symbol of the island's magical balance, a beacon that bridged the mortal and the divine.
The island quickly became a haven for creatures of all kinds, both mortal and magical. Sentient beasts roamed freely, their lives intertwined with the intricate tapestry of the island's magic. The creatures of the island exuded an aura of enchantment, their very existence an expression of the gods' creative powers.
Mortal beings soon discovered the way to Paradise Island, drawn by legends of its unparalleled beauty and the promise of a life infused with magic. The island's inhabitants, guided by their deep connection to nature, embraced the newcomers, teaching them the ways of the land and the delicate balance that sustained it. Mortals were granted the gift of harnessing the island's magic, using it to heal, protect, and flourish.
For centuries, Paradise Island thrived as a sanctuary of unspoiled beauty and harmonious coexistence. Mortals and magical beings lived side by side, forging bonds of friendship and learning from each other. The island's magic allowed the mortals to live longer, healthier lives, and their connection to nature's energy deepened their understanding of the world's intricate web.
However, like all things of beauty, Paradise Island's idyllic existence drew the attention of darker forces. A power-hungry sorcerer named Xaraxis sought to claim the island's magic for his own. Xaraxis, consumed by his ambition, unleashed forbidden spells that disrupted the balance of magic on the island. The Celestial Nexus, once a symbol of harmony, began to wither, its branches losing their glow, and its roots sapping the life force from the land.
A battle of epic proportions unfolded as the island's defenders, both mortal and magical, rallied against Xaraxis and his dark minions. The battle culminated in a cataclysmic clash, where the forces of light and darkness clashed in a maelstrom of magic and power. In the end, Xaraxis was defeated, but the cost was immense—the island's delicate equilibrium was shattered.
The Celestial Nexus, weakened by the battle, emitted a final pulse of magic that enveloped the island in a shroud of energy. As a result, the island was isolated from the rest of the world, becoming a realm of its own, existing between reality and the ethereal. Time flowed differently on Paradise Island, and its inhabitants found themselves in a timeless pocket of existence.
Today, Paradise Island stands as a realm of untold magic and beauty, a sanctuary where the echoes of creation and the memories of a harmonious past still linger. Adventurers and seekers of arcane knowledge journey to the island in search of its hidden secrets, hoping to restore the Celestial Nexus and rekindle the island's lost harmony. The island's enchantments remain, waiting to be rediscovered by those who dare to walk its shores and rekindle the legacy of its creation.</v>
      </c>
      <c r="C104" s="1" t="str">
        <f>IFERROR(__xludf.DUMMYFUNCTION("""COMPUTED_VALUE"""),"Land of Spira")</f>
        <v>Land of Spira</v>
      </c>
      <c r="D104" s="1"/>
      <c r="E104" s="102">
        <f>IFERROR(__xludf.DUMMYFUNCTION("""COMPUTED_VALUE"""),1.0E9)</f>
        <v>1000000000</v>
      </c>
      <c r="F104" s="1" t="str">
        <f>IFERROR(__xludf.DUMMYFUNCTION("""COMPUTED_VALUE"""),"Gilder")</f>
        <v>Gilder</v>
      </c>
      <c r="G104" s="1"/>
      <c r="H104" s="1"/>
      <c r="I104" s="1"/>
      <c r="J104" s="1"/>
      <c r="K104" s="1"/>
      <c r="L104" s="1"/>
      <c r="M104" s="1"/>
      <c r="N104" s="1"/>
      <c r="O104" s="1"/>
      <c r="P104" s="1"/>
      <c r="Q104" s="1"/>
      <c r="R104" s="1"/>
      <c r="S104" s="1"/>
      <c r="T104" s="1"/>
      <c r="U104" s="1"/>
      <c r="V104" s="1"/>
      <c r="W104" s="1"/>
      <c r="X104" s="1"/>
      <c r="Y104" s="1"/>
      <c r="Z104" s="1"/>
    </row>
    <row r="105">
      <c r="A105" s="1" t="str">
        <f>IFERROR(__xludf.DUMMYFUNCTION("""COMPUTED_VALUE"""),"Pirate's Cove")</f>
        <v>Pirate's Cove</v>
      </c>
      <c r="B105" s="1" t="str">
        <f>IFERROR(__xludf.DUMMYFUNCTION("""COMPUTED_VALUE"""),"In the vast expanse of the ocean that stretches across The Land of Spira, there exists a secluded and treacherous haven known as Pirate's Cove. This cove, hidden within a labyrinth of jagged cliffs and tempestuous waters, has earned its reputation as a sa"&amp;"nctuary for pirates and a trove of immeasurable riches. But behind the glint of gold and the shimmer of gems lies a story steeped in daring feats, betrayals, and the eternal dance between freedom and consequence.
Long ago, when seafaring was an art of br"&amp;"avery and cunning, a band of rogues known as the Corsair's Guild sought to carve their legend upon the waves. Led by the enigmatic Captain Sable, the Corsairs embarked on a daring voyage to discover a secret haven where they could plot, plunder, and bask "&amp;"in the spoils of their illicit endeavors.
Through ancient maps and whispered tales, Captain Sable and his crew navigated treacherous currents and unforgiving storms until they stumbled upon the hidden cove. Flanked by towering cliffs that seemed to stret"&amp;"ch to the heavens, the entrance to Pirate's Cove was a narrow passage, only accessible to those who knew its secrets. The Corsairs carved their way through the stone, creating a secret lair that could house their ships, their treasures, and their darkest "&amp;"ambitions.
The cove quickly became a hub of piracy, attracting swashbucklers and cutthroats from every corner of the ocean. The Corsair's Guild established a code that governed their actions, ensuring a semblance of order amidst the chaos of their lawles"&amp;"s pursuits. The cove's natural defenses—treacherous currents, hidden reefs, and unpredictable weather—guarded the pirates from unwanted attention, making it nearly impossible for outsiders to breach their sanctuary.
Over the years, Pirate's Cove grew int"&amp;"o a thriving pirate haven, a raucous den of revelry, scheming, and camaraderie. The Corsair's Guild boasted a fearsome reputation, and their name struck fear into the hearts of merchants and monarchs alike. The cove's hidden chambers and passages were lad"&amp;"en with treasures from across the seas, and the legends of Pirate's Cove spread far and wide.
However, within the very shadows that concealed the Corsairs' loot, a storm of ambition and betrayal brewed. As Captain Sable grew older, factions within the gu"&amp;"ild vied for control. Rumors of treachery and whispered alliances fanned the flames of discord, leading to a climactic clash known as the Bloody Squall—a battle that raged within the cove itself. In the end, Captain Sable was betrayed by his most trusted "&amp;"lieutenant, and the Corsair's Guild splintered.
The cove, forever marked by the Bloody Squall, remains a hub of pirate activity to this day. The Corsair's Guild, now fractured into rival factions, competes for dominance over the cove's treasures and secr"&amp;"ets. Pirates from across the ocean still seek the fabled Pirate's Cove, drawn by the allure of riches beyond imagination and the chance to carve their own legacy upon the waves.
Adventurers and buccaneers alike now dare to navigate the treacherous waters"&amp;", braving the dangers of Pirate's Cove in search of legendary treasures, lost knowledge, and the whispers of Captain Sable's hidden hoard. The cove's legends persist, a tale of freedom and ambition, of blood and gold, echoing across the tides of time and "&amp;"the mysteries of the sea.")</f>
        <v>In the vast expanse of the ocean that stretches across The Land of Spira, there exists a secluded and treacherous haven known as Pirate's Cove. This cove, hidden within a labyrinth of jagged cliffs and tempestuous waters, has earned its reputation as a sanctuary for pirates and a trove of immeasurable riches. But behind the glint of gold and the shimmer of gems lies a story steeped in daring feats, betrayals, and the eternal dance between freedom and consequence.
Long ago, when seafaring was an art of bravery and cunning, a band of rogues known as the Corsair's Guild sought to carve their legend upon the waves. Led by the enigmatic Captain Sable, the Corsairs embarked on a daring voyage to discover a secret haven where they could plot, plunder, and bask in the spoils of their illicit endeavors.
Through ancient maps and whispered tales, Captain Sable and his crew navigated treacherous currents and unforgiving storms until they stumbled upon the hidden cove. Flanked by towering cliffs that seemed to stretch to the heavens, the entrance to Pirate's Cove was a narrow passage, only accessible to those who knew its secrets. The Corsairs carved their way through the stone, creating a secret lair that could house their ships, their treasures, and their darkest ambitions.
The cove quickly became a hub of piracy, attracting swashbucklers and cutthroats from every corner of the ocean. The Corsair's Guild established a code that governed their actions, ensuring a semblance of order amidst the chaos of their lawless pursuits. The cove's natural defenses—treacherous currents, hidden reefs, and unpredictable weather—guarded the pirates from unwanted attention, making it nearly impossible for outsiders to breach their sanctuary.
Over the years, Pirate's Cove grew into a thriving pirate haven, a raucous den of revelry, scheming, and camaraderie. The Corsair's Guild boasted a fearsome reputation, and their name struck fear into the hearts of merchants and monarchs alike. The cove's hidden chambers and passages were laden with treasures from across the seas, and the legends of Pirate's Cove spread far and wide.
However, within the very shadows that concealed the Corsairs' loot, a storm of ambition and betrayal brewed. As Captain Sable grew older, factions within the guild vied for control. Rumors of treachery and whispered alliances fanned the flames of discord, leading to a climactic clash known as the Bloody Squall—a battle that raged within the cove itself. In the end, Captain Sable was betrayed by his most trusted lieutenant, and the Corsair's Guild splintered.
The cove, forever marked by the Bloody Squall, remains a hub of pirate activity to this day. The Corsair's Guild, now fractured into rival factions, competes for dominance over the cove's treasures and secrets. Pirates from across the ocean still seek the fabled Pirate's Cove, drawn by the allure of riches beyond imagination and the chance to carve their own legacy upon the waves.
Adventurers and buccaneers alike now dare to navigate the treacherous waters, braving the dangers of Pirate's Cove in search of legendary treasures, lost knowledge, and the whispers of Captain Sable's hidden hoard. The cove's legends persist, a tale of freedom and ambition, of blood and gold, echoing across the tides of time and the mysteries of the sea.</v>
      </c>
      <c r="C105" s="1" t="str">
        <f>IFERROR(__xludf.DUMMYFUNCTION("""COMPUTED_VALUE"""),"Land of Spira")</f>
        <v>Land of Spira</v>
      </c>
      <c r="D105" s="1"/>
      <c r="E105" s="102">
        <f>IFERROR(__xludf.DUMMYFUNCTION("""COMPUTED_VALUE"""),1.0E9)</f>
        <v>1000000000</v>
      </c>
      <c r="F105" s="1" t="str">
        <f>IFERROR(__xludf.DUMMYFUNCTION("""COMPUTED_VALUE"""),"Gilder")</f>
        <v>Gilder</v>
      </c>
      <c r="G105" s="1"/>
      <c r="H105" s="1"/>
      <c r="I105" s="1"/>
      <c r="J105" s="1"/>
      <c r="K105" s="1"/>
      <c r="L105" s="1"/>
      <c r="M105" s="1"/>
      <c r="N105" s="1"/>
      <c r="O105" s="1"/>
      <c r="P105" s="1"/>
      <c r="Q105" s="1"/>
      <c r="R105" s="1"/>
      <c r="S105" s="1"/>
      <c r="T105" s="1"/>
      <c r="U105" s="1"/>
      <c r="V105" s="1"/>
      <c r="W105" s="1"/>
      <c r="X105" s="1"/>
      <c r="Y105" s="1"/>
      <c r="Z105" s="1"/>
    </row>
    <row r="106">
      <c r="A106" s="1" t="str">
        <f>IFERROR(__xludf.DUMMYFUNCTION("""COMPUTED_VALUE"""),"Candy Corn Village")</f>
        <v>Candy Corn Village</v>
      </c>
      <c r="B106" s="1"/>
      <c r="C106" s="1" t="str">
        <f>IFERROR(__xludf.DUMMYFUNCTION("""COMPUTED_VALUE"""),"Halloween Kingdom")</f>
        <v>Halloween Kingdom</v>
      </c>
      <c r="D106" s="1"/>
      <c r="E106" s="102">
        <f>IFERROR(__xludf.DUMMYFUNCTION("""COMPUTED_VALUE"""),1.0E9)</f>
        <v>1000000000</v>
      </c>
      <c r="F106" s="1" t="str">
        <f>IFERROR(__xludf.DUMMYFUNCTION("""COMPUTED_VALUE"""),"Gilder")</f>
        <v>Gilder</v>
      </c>
      <c r="G106" s="1"/>
      <c r="H106" s="1"/>
      <c r="I106" s="1"/>
      <c r="J106" s="1"/>
      <c r="K106" s="1"/>
      <c r="L106" s="1"/>
      <c r="M106" s="1"/>
      <c r="N106" s="1"/>
      <c r="O106" s="1"/>
      <c r="P106" s="1"/>
      <c r="Q106" s="1"/>
      <c r="R106" s="1"/>
      <c r="S106" s="1"/>
      <c r="T106" s="1"/>
      <c r="U106" s="1"/>
      <c r="V106" s="1"/>
      <c r="W106" s="1"/>
      <c r="X106" s="1"/>
      <c r="Y106" s="1"/>
      <c r="Z106" s="1"/>
    </row>
    <row r="107">
      <c r="A107" s="1" t="str">
        <f>IFERROR(__xludf.DUMMYFUNCTION("""COMPUTED_VALUE"""),"Atlotopia")</f>
        <v>Atlotopia</v>
      </c>
      <c r="B107" s="1" t="str">
        <f>IFERROR(__xludf.DUMMYFUNCTION("""COMPUTED_VALUE"""),"Currently Not Available, Under Development")</f>
        <v>Currently Not Available, Under Development</v>
      </c>
      <c r="C107" s="1" t="str">
        <f>IFERROR(__xludf.DUMMYFUNCTION("""COMPUTED_VALUE"""),"Dragonscale Island")</f>
        <v>Dragonscale Island</v>
      </c>
      <c r="D107" s="1"/>
      <c r="E107" s="102">
        <f>IFERROR(__xludf.DUMMYFUNCTION("""COMPUTED_VALUE"""),1.0E9)</f>
        <v>1000000000</v>
      </c>
      <c r="F107" s="1" t="str">
        <f>IFERROR(__xludf.DUMMYFUNCTION("""COMPUTED_VALUE"""),"Gilder")</f>
        <v>Gilder</v>
      </c>
      <c r="G107" s="1"/>
      <c r="H107" s="1"/>
      <c r="I107" s="1"/>
      <c r="J107" s="1"/>
      <c r="K107" s="1"/>
      <c r="L107" s="1"/>
      <c r="M107" s="1"/>
      <c r="N107" s="1"/>
      <c r="O107" s="1"/>
      <c r="P107" s="1"/>
      <c r="Q107" s="1"/>
      <c r="R107" s="1"/>
      <c r="S107" s="1"/>
      <c r="T107" s="1"/>
      <c r="U107" s="1"/>
      <c r="V107" s="1"/>
      <c r="W107" s="1"/>
      <c r="X107" s="1"/>
      <c r="Y107" s="1"/>
      <c r="Z107" s="1"/>
    </row>
    <row r="108">
      <c r="A108" s="1" t="str">
        <f>IFERROR(__xludf.DUMMYFUNCTION("""COMPUTED_VALUE"""),"Thanksgiving Island")</f>
        <v>Thanksgiving Island</v>
      </c>
      <c r="B108" s="1" t="str">
        <f>IFERROR(__xludf.DUMMYFUNCTION("""COMPUTED_VALUE"""),"Home to the Turkey Hydra and Pilgrims.")</f>
        <v>Home to the Turkey Hydra and Pilgrims.</v>
      </c>
      <c r="C108" s="1" t="str">
        <f>IFERROR(__xludf.DUMMYFUNCTION("""COMPUTED_VALUE"""),"Event Hub")</f>
        <v>Event Hub</v>
      </c>
      <c r="D108" s="1"/>
      <c r="E108" s="1"/>
      <c r="F108" s="1" t="str">
        <f>IFERROR(__xludf.DUMMYFUNCTION("""COMPUTED_VALUE"""),"Gilder")</f>
        <v>Gilder</v>
      </c>
      <c r="G108" s="1"/>
      <c r="H108" s="1"/>
      <c r="I108" s="1"/>
      <c r="J108" s="1"/>
      <c r="K108" s="1"/>
      <c r="L108" s="1"/>
      <c r="M108" s="1"/>
      <c r="N108" s="1"/>
      <c r="O108" s="1"/>
      <c r="P108" s="1"/>
      <c r="Q108" s="1"/>
      <c r="R108" s="1"/>
      <c r="S108" s="1"/>
      <c r="T108" s="1"/>
      <c r="U108" s="1"/>
      <c r="V108" s="1"/>
      <c r="W108" s="1"/>
      <c r="X108" s="1"/>
      <c r="Y108" s="1"/>
      <c r="Z108" s="1"/>
    </row>
    <row r="109">
      <c r="A109" s="1" t="str">
        <f>IFERROR(__xludf.DUMMYFUNCTION("""COMPUTED_VALUE"""),"Halloween Island")</f>
        <v>Halloween Island</v>
      </c>
      <c r="B109" s="1" t="str">
        <f>IFERROR(__xludf.DUMMYFUNCTION("""COMPUTED_VALUE"""),"Home to the Haunted Creatures of Spira")</f>
        <v>Home to the Haunted Creatures of Spira</v>
      </c>
      <c r="C109" s="1" t="str">
        <f>IFERROR(__xludf.DUMMYFUNCTION("""COMPUTED_VALUE"""),"Event Hub")</f>
        <v>Event Hub</v>
      </c>
      <c r="D109" s="1"/>
      <c r="E109" s="1"/>
      <c r="F109" s="1" t="str">
        <f>IFERROR(__xludf.DUMMYFUNCTION("""COMPUTED_VALUE"""),"Gilder")</f>
        <v>Gilder</v>
      </c>
      <c r="G109" s="1"/>
      <c r="H109" s="1"/>
      <c r="I109" s="1"/>
      <c r="J109" s="1"/>
      <c r="K109" s="1"/>
      <c r="L109" s="1"/>
      <c r="M109" s="1"/>
      <c r="N109" s="1"/>
      <c r="O109" s="1"/>
      <c r="P109" s="1"/>
      <c r="Q109" s="1"/>
      <c r="R109" s="1"/>
      <c r="S109" s="1"/>
      <c r="T109" s="1"/>
      <c r="U109" s="1"/>
      <c r="V109" s="1"/>
      <c r="W109" s="1"/>
      <c r="X109" s="1"/>
      <c r="Y109" s="1"/>
      <c r="Z109" s="1"/>
    </row>
    <row r="110">
      <c r="A110" s="1" t="str">
        <f>IFERROR(__xludf.DUMMYFUNCTION("""COMPUTED_VALUE"""),"The Frozen Island")</f>
        <v>The Frozen Island</v>
      </c>
      <c r="B110" s="1" t="str">
        <f>IFERROR(__xludf.DUMMYFUNCTION("""COMPUTED_VALUE"""),"Home to the all powerful Grand Ice Mage")</f>
        <v>Home to the all powerful Grand Ice Mage</v>
      </c>
      <c r="C110" s="1" t="str">
        <f>IFERROR(__xludf.DUMMYFUNCTION("""COMPUTED_VALUE"""),"Event Hub")</f>
        <v>Event Hub</v>
      </c>
      <c r="D110" s="1"/>
      <c r="E110" s="1"/>
      <c r="F110" s="1" t="str">
        <f>IFERROR(__xludf.DUMMYFUNCTION("""COMPUTED_VALUE"""),"Gilder")</f>
        <v>Gilder</v>
      </c>
      <c r="G110" s="1"/>
      <c r="H110" s="1"/>
      <c r="I110" s="1"/>
      <c r="J110" s="1"/>
      <c r="K110" s="1"/>
      <c r="L110" s="1"/>
      <c r="M110" s="1"/>
      <c r="N110" s="1"/>
      <c r="O110" s="1"/>
      <c r="P110" s="1"/>
      <c r="Q110" s="1"/>
      <c r="R110" s="1"/>
      <c r="S110" s="1"/>
      <c r="T110" s="1"/>
      <c r="U110" s="1"/>
      <c r="V110" s="1"/>
      <c r="W110" s="1"/>
      <c r="X110" s="1"/>
      <c r="Y110" s="1"/>
      <c r="Z110" s="1"/>
    </row>
    <row r="111">
      <c r="A111" s="1" t="str">
        <f>IFERROR(__xludf.DUMMYFUNCTION("""COMPUTED_VALUE"""),"Beltane Island")</f>
        <v>Beltane Island</v>
      </c>
      <c r="B111" s="1" t="str">
        <f>IFERROR(__xludf.DUMMYFUNCTION("""COMPUTED_VALUE"""),"Home to Faerie King Midhir.")</f>
        <v>Home to Faerie King Midhir.</v>
      </c>
      <c r="C111" s="1" t="str">
        <f>IFERROR(__xludf.DUMMYFUNCTION("""COMPUTED_VALUE"""),"Event Hub")</f>
        <v>Event Hub</v>
      </c>
      <c r="D111" s="1"/>
      <c r="E111" s="1"/>
      <c r="F111" s="1" t="str">
        <f>IFERROR(__xludf.DUMMYFUNCTION("""COMPUTED_VALUE"""),"Gilder")</f>
        <v>Gilder</v>
      </c>
      <c r="G111" s="1"/>
      <c r="H111" s="1"/>
      <c r="I111" s="1"/>
      <c r="J111" s="1"/>
      <c r="K111" s="1"/>
      <c r="L111" s="1"/>
      <c r="M111" s="1"/>
      <c r="N111" s="1"/>
      <c r="O111" s="1"/>
      <c r="P111" s="1"/>
      <c r="Q111" s="1"/>
      <c r="R111" s="1"/>
      <c r="S111" s="1"/>
      <c r="T111" s="1"/>
      <c r="U111" s="1"/>
      <c r="V111" s="1"/>
      <c r="W111" s="1"/>
      <c r="X111" s="1"/>
      <c r="Y111" s="1"/>
      <c r="Z111" s="1"/>
    </row>
    <row r="112">
      <c r="A112" s="1" t="str">
        <f>IFERROR(__xludf.DUMMYFUNCTION("""COMPUTED_VALUE"""),"Lughnasadh Island")</f>
        <v>Lughnasadh Island</v>
      </c>
      <c r="B112" s="1"/>
      <c r="C112" s="1" t="str">
        <f>IFERROR(__xludf.DUMMYFUNCTION("""COMPUTED_VALUE"""),"Event Hub")</f>
        <v>Event Hub</v>
      </c>
      <c r="D112" s="1"/>
      <c r="E112" s="1"/>
      <c r="F112" s="1" t="str">
        <f>IFERROR(__xludf.DUMMYFUNCTION("""COMPUTED_VALUE"""),"Gilder")</f>
        <v>Gilder</v>
      </c>
      <c r="G112" s="1"/>
      <c r="H112" s="1"/>
      <c r="I112" s="1"/>
      <c r="J112" s="1"/>
      <c r="K112" s="1"/>
      <c r="L112" s="1"/>
      <c r="M112" s="1"/>
      <c r="N112" s="1"/>
      <c r="O112" s="1"/>
      <c r="P112" s="1"/>
      <c r="Q112" s="1"/>
      <c r="R112" s="1"/>
      <c r="S112" s="1"/>
      <c r="T112" s="1"/>
      <c r="U112" s="1"/>
      <c r="V112" s="1"/>
      <c r="W112" s="1"/>
      <c r="X112" s="1"/>
      <c r="Y112" s="1"/>
      <c r="Z112" s="1"/>
    </row>
    <row r="113">
      <c r="A113" s="1" t="str">
        <f>IFERROR(__xludf.DUMMYFUNCTION("""COMPUTED_VALUE"""),"Stormy Island")</f>
        <v>Stormy Island</v>
      </c>
      <c r="B113" s="1" t="str">
        <f>IFERROR(__xludf.DUMMYFUNCTION("""COMPUTED_VALUE"""),"Home to the Natural Disaster Boss")</f>
        <v>Home to the Natural Disaster Boss</v>
      </c>
      <c r="C113" s="1" t="str">
        <f>IFERROR(__xludf.DUMMYFUNCTION("""COMPUTED_VALUE"""),"Event Hub")</f>
        <v>Event Hub</v>
      </c>
      <c r="D113" s="1"/>
      <c r="E113" s="1"/>
      <c r="F113" s="1" t="str">
        <f>IFERROR(__xludf.DUMMYFUNCTION("""COMPUTED_VALUE"""),"Gilder")</f>
        <v>Gilder</v>
      </c>
      <c r="G113" s="1"/>
      <c r="H113" s="1"/>
      <c r="I113" s="1"/>
      <c r="J113" s="1"/>
      <c r="K113" s="1"/>
      <c r="L113" s="1"/>
      <c r="M113" s="1"/>
      <c r="N113" s="1"/>
      <c r="O113" s="1"/>
      <c r="P113" s="1"/>
      <c r="Q113" s="1"/>
      <c r="R113" s="1"/>
      <c r="S113" s="1"/>
      <c r="T113" s="1"/>
      <c r="U113" s="1"/>
      <c r="V113" s="1"/>
      <c r="W113" s="1"/>
      <c r="X113" s="1"/>
      <c r="Y113" s="1"/>
      <c r="Z113" s="1"/>
    </row>
    <row r="114">
      <c r="A114" s="1" t="str">
        <f>IFERROR(__xludf.DUMMYFUNCTION("""COMPUTED_VALUE"""),"Swampy Island")</f>
        <v>Swampy Island</v>
      </c>
      <c r="B114" s="1" t="str">
        <f>IFERROR(__xludf.DUMMYFUNCTION("""COMPUTED_VALUE"""),"Home to Diseased and Poisonous Creatures of Spira")</f>
        <v>Home to Diseased and Poisonous Creatures of Spira</v>
      </c>
      <c r="C114" s="1" t="str">
        <f>IFERROR(__xludf.DUMMYFUNCTION("""COMPUTED_VALUE"""),"Event Hub")</f>
        <v>Event Hub</v>
      </c>
      <c r="D114" s="1"/>
      <c r="E114" s="1"/>
      <c r="F114" s="1" t="str">
        <f>IFERROR(__xludf.DUMMYFUNCTION("""COMPUTED_VALUE"""),"Gilder")</f>
        <v>Gilder</v>
      </c>
      <c r="G114" s="1"/>
      <c r="H114" s="1"/>
      <c r="I114" s="1"/>
      <c r="J114" s="1"/>
      <c r="K114" s="1"/>
      <c r="L114" s="1"/>
      <c r="M114" s="1"/>
      <c r="N114" s="1"/>
      <c r="O114" s="1"/>
      <c r="P114" s="1"/>
      <c r="Q114" s="1"/>
      <c r="R114" s="1"/>
      <c r="S114" s="1"/>
      <c r="T114" s="1"/>
      <c r="U114" s="1"/>
      <c r="V114" s="1"/>
      <c r="W114" s="1"/>
      <c r="X114" s="1"/>
      <c r="Y114" s="1"/>
      <c r="Z114" s="1"/>
    </row>
    <row r="115">
      <c r="A115" s="1" t="str">
        <f>IFERROR(__xludf.DUMMYFUNCTION("""COMPUTED_VALUE"""),"Lunar New Year Island")</f>
        <v>Lunar New Year Island</v>
      </c>
      <c r="B115" s="1" t="str">
        <f>IFERROR(__xludf.DUMMYFUNCTION("""COMPUTED_VALUE"""),"An island to celebrate asian culture")</f>
        <v>An island to celebrate asian culture</v>
      </c>
      <c r="C115" s="1" t="str">
        <f>IFERROR(__xludf.DUMMYFUNCTION("""COMPUTED_VALUE"""),"Event Hub")</f>
        <v>Event Hub</v>
      </c>
      <c r="D115" s="1"/>
      <c r="E115" s="1"/>
      <c r="F115" s="1" t="str">
        <f>IFERROR(__xludf.DUMMYFUNCTION("""COMPUTED_VALUE"""),"Gilder")</f>
        <v>Gilder</v>
      </c>
      <c r="G115" s="1"/>
      <c r="H115" s="1"/>
      <c r="I115" s="1"/>
      <c r="J115" s="1"/>
      <c r="K115" s="1"/>
      <c r="L115" s="1"/>
      <c r="M115" s="1"/>
      <c r="N115" s="1"/>
      <c r="O115" s="1"/>
      <c r="P115" s="1"/>
      <c r="Q115" s="1"/>
      <c r="R115" s="1"/>
      <c r="S115" s="1"/>
      <c r="T115" s="1"/>
      <c r="U115" s="1"/>
      <c r="V115" s="1"/>
      <c r="W115" s="1"/>
      <c r="X115" s="1"/>
      <c r="Y115" s="1"/>
      <c r="Z115" s="1"/>
    </row>
    <row r="116">
      <c r="A116" s="1" t="str">
        <f>IFERROR(__xludf.DUMMYFUNCTION("""COMPUTED_VALUE"""),"Wilderness (Spira)")</f>
        <v>Wilderness (Spira)</v>
      </c>
      <c r="B116" s="1" t="str">
        <f>IFERROR(__xludf.DUMMYFUNCTION("""COMPUTED_VALUE"""),"The less notable lands of the world.")</f>
        <v>The less notable lands of the world.</v>
      </c>
      <c r="C116" s="1" t="str">
        <f>IFERROR(__xludf.DUMMYFUNCTION("""COMPUTED_VALUE"""),"Land of Spira")</f>
        <v>Land of Spira</v>
      </c>
      <c r="D116" s="1"/>
      <c r="E116" s="1"/>
      <c r="F116" s="1" t="str">
        <f>IFERROR(__xludf.DUMMYFUNCTION("""COMPUTED_VALUE"""),"Gilder")</f>
        <v>Gilder</v>
      </c>
      <c r="G116" s="1"/>
      <c r="H116" s="1"/>
      <c r="I116" s="1"/>
      <c r="J116" s="1"/>
      <c r="K116" s="1"/>
      <c r="L116" s="1"/>
      <c r="M116" s="1"/>
      <c r="N116" s="1"/>
      <c r="O116" s="1"/>
      <c r="P116" s="1"/>
      <c r="Q116" s="1"/>
      <c r="R116" s="1"/>
      <c r="S116" s="1"/>
      <c r="T116" s="1"/>
      <c r="U116" s="1"/>
      <c r="V116" s="1"/>
      <c r="W116" s="1"/>
      <c r="X116" s="1"/>
      <c r="Y116" s="1"/>
      <c r="Z116" s="1"/>
    </row>
    <row r="117">
      <c r="A117" s="1" t="str">
        <f>IFERROR(__xludf.DUMMYFUNCTION("""COMPUTED_VALUE"""),"Wilderness (DragonScale)")</f>
        <v>Wilderness (DragonScale)</v>
      </c>
      <c r="B117" s="1" t="str">
        <f>IFERROR(__xludf.DUMMYFUNCTION("""COMPUTED_VALUE"""),"The less notable lands of the world.")</f>
        <v>The less notable lands of the world.</v>
      </c>
      <c r="C117" s="1" t="str">
        <f>IFERROR(__xludf.DUMMYFUNCTION("""COMPUTED_VALUE"""),"Dragonscale Island")</f>
        <v>Dragonscale Island</v>
      </c>
      <c r="D117" s="1"/>
      <c r="E117" s="1"/>
      <c r="F117" s="1" t="str">
        <f>IFERROR(__xludf.DUMMYFUNCTION("""COMPUTED_VALUE"""),"Gilder")</f>
        <v>Gilder</v>
      </c>
      <c r="G117" s="1"/>
      <c r="H117" s="1"/>
      <c r="I117" s="1"/>
      <c r="J117" s="1"/>
      <c r="K117" s="1"/>
      <c r="L117" s="1"/>
      <c r="M117" s="1"/>
      <c r="N117" s="1"/>
      <c r="O117" s="1"/>
      <c r="P117" s="1"/>
      <c r="Q117" s="1"/>
      <c r="R117" s="1"/>
      <c r="S117" s="1"/>
      <c r="T117" s="1"/>
      <c r="U117" s="1"/>
      <c r="V117" s="1"/>
      <c r="W117" s="1"/>
      <c r="X117" s="1"/>
      <c r="Y117" s="1"/>
      <c r="Z117" s="1"/>
    </row>
    <row r="118">
      <c r="A118" s="1" t="str">
        <f>IFERROR(__xludf.DUMMYFUNCTION("""COMPUTED_VALUE"""),"Wilderness (Abstara)")</f>
        <v>Wilderness (Abstara)</v>
      </c>
      <c r="B118" s="1" t="str">
        <f>IFERROR(__xludf.DUMMYFUNCTION("""COMPUTED_VALUE"""),"The less notable lands of the world.")</f>
        <v>The less notable lands of the world.</v>
      </c>
      <c r="C118" s="1" t="str">
        <f>IFERROR(__xludf.DUMMYFUNCTION("""COMPUTED_VALUE"""),"Abstara")</f>
        <v>Abstara</v>
      </c>
      <c r="D118" s="1"/>
      <c r="E118" s="1"/>
      <c r="F118" s="1" t="str">
        <f>IFERROR(__xludf.DUMMYFUNCTION("""COMPUTED_VALUE"""),"Gilder")</f>
        <v>Gilder</v>
      </c>
      <c r="G118" s="1"/>
      <c r="H118" s="1"/>
      <c r="I118" s="1"/>
      <c r="J118" s="1"/>
      <c r="K118" s="1"/>
      <c r="L118" s="1"/>
      <c r="M118" s="1"/>
      <c r="N118" s="1"/>
      <c r="O118" s="1"/>
      <c r="P118" s="1"/>
      <c r="Q118" s="1"/>
      <c r="R118" s="1"/>
      <c r="S118" s="1"/>
      <c r="T118" s="1"/>
      <c r="U118" s="1"/>
      <c r="V118" s="1"/>
      <c r="W118" s="1"/>
      <c r="X118" s="1"/>
      <c r="Y118" s="1"/>
      <c r="Z118" s="1"/>
    </row>
    <row r="119">
      <c r="A119" s="1" t="str">
        <f>IFERROR(__xludf.DUMMYFUNCTION("""COMPUTED_VALUE"""),"Wilderness (Solreach)")</f>
        <v>Wilderness (Solreach)</v>
      </c>
      <c r="B119" s="1" t="str">
        <f>IFERROR(__xludf.DUMMYFUNCTION("""COMPUTED_VALUE"""),"The less notable lands of the world.")</f>
        <v>The less notable lands of the world.</v>
      </c>
      <c r="C119" s="1" t="str">
        <f>IFERROR(__xludf.DUMMYFUNCTION("""COMPUTED_VALUE"""),"Solreach")</f>
        <v>Solreach</v>
      </c>
      <c r="D119" s="1"/>
      <c r="E119" s="1"/>
      <c r="F119" s="1" t="str">
        <f>IFERROR(__xludf.DUMMYFUNCTION("""COMPUTED_VALUE"""),"Gilder")</f>
        <v>Gilder</v>
      </c>
      <c r="G119" s="1"/>
      <c r="H119" s="1"/>
      <c r="I119" s="1"/>
      <c r="J119" s="1"/>
      <c r="K119" s="1"/>
      <c r="L119" s="1"/>
      <c r="M119" s="1"/>
      <c r="N119" s="1"/>
      <c r="O119" s="1"/>
      <c r="P119" s="1"/>
      <c r="Q119" s="1"/>
      <c r="R119" s="1"/>
      <c r="S119" s="1"/>
      <c r="T119" s="1"/>
      <c r="U119" s="1"/>
      <c r="V119" s="1"/>
      <c r="W119" s="1"/>
      <c r="X119" s="1"/>
      <c r="Y119" s="1"/>
      <c r="Z119" s="1"/>
    </row>
    <row r="120">
      <c r="A120" s="1" t="str">
        <f>IFERROR(__xludf.DUMMYFUNCTION("""COMPUTED_VALUE"""),"Angel Wing Village")</f>
        <v>Angel Wing Village</v>
      </c>
      <c r="B120" s="1"/>
      <c r="C120" s="1" t="str">
        <f>IFERROR(__xludf.DUMMYFUNCTION("""COMPUTED_VALUE"""),"Solreach")</f>
        <v>Solreach</v>
      </c>
      <c r="D120" s="1"/>
      <c r="E120" s="1"/>
      <c r="F120" s="1" t="str">
        <f>IFERROR(__xludf.DUMMYFUNCTION("""COMPUTED_VALUE"""),"Gilder")</f>
        <v>Gilder</v>
      </c>
      <c r="G120" s="1"/>
      <c r="H120" s="1"/>
      <c r="I120" s="1"/>
      <c r="J120" s="1"/>
      <c r="K120" s="1"/>
      <c r="L120" s="1"/>
      <c r="M120" s="1"/>
      <c r="N120" s="1"/>
      <c r="O120" s="1"/>
      <c r="P120" s="1"/>
      <c r="Q120" s="1"/>
      <c r="R120" s="1"/>
      <c r="S120" s="1"/>
      <c r="T120" s="1"/>
      <c r="U120" s="1"/>
      <c r="V120" s="1"/>
      <c r="W120" s="1"/>
      <c r="X120" s="1"/>
      <c r="Y120" s="1"/>
      <c r="Z120" s="1"/>
    </row>
    <row r="121">
      <c r="A121" s="1" t="str">
        <f>IFERROR(__xludf.DUMMYFUNCTION("""COMPUTED_VALUE"""),"Atmos")</f>
        <v>Atmos</v>
      </c>
      <c r="B121" s="1"/>
      <c r="C121" s="1" t="str">
        <f>IFERROR(__xludf.DUMMYFUNCTION("""COMPUTED_VALUE"""),"Solreach")</f>
        <v>Solreach</v>
      </c>
      <c r="D121" s="1"/>
      <c r="E121" s="1"/>
      <c r="F121" s="1" t="str">
        <f>IFERROR(__xludf.DUMMYFUNCTION("""COMPUTED_VALUE"""),"Gilder")</f>
        <v>Gilder</v>
      </c>
      <c r="G121" s="1"/>
      <c r="H121" s="1"/>
      <c r="I121" s="1"/>
      <c r="J121" s="1"/>
      <c r="K121" s="1"/>
      <c r="L121" s="1"/>
      <c r="M121" s="1"/>
      <c r="N121" s="1"/>
      <c r="O121" s="1"/>
      <c r="P121" s="1"/>
      <c r="Q121" s="1"/>
      <c r="R121" s="1"/>
      <c r="S121" s="1"/>
      <c r="T121" s="1"/>
      <c r="U121" s="1"/>
      <c r="V121" s="1"/>
      <c r="W121" s="1"/>
      <c r="X121" s="1"/>
      <c r="Y121" s="1"/>
      <c r="Z121" s="1"/>
    </row>
    <row r="122">
      <c r="A122" s="1" t="str">
        <f>IFERROR(__xludf.DUMMYFUNCTION("""COMPUTED_VALUE"""),"Council Grounds")</f>
        <v>Council Grounds</v>
      </c>
      <c r="B122" s="1"/>
      <c r="C122" s="1" t="str">
        <f>IFERROR(__xludf.DUMMYFUNCTION("""COMPUTED_VALUE"""),"Solreach")</f>
        <v>Solreach</v>
      </c>
      <c r="D122" s="1"/>
      <c r="E122" s="1"/>
      <c r="F122" s="1" t="str">
        <f>IFERROR(__xludf.DUMMYFUNCTION("""COMPUTED_VALUE"""),"Gilder")</f>
        <v>Gilder</v>
      </c>
      <c r="G122" s="1"/>
      <c r="H122" s="1"/>
      <c r="I122" s="1"/>
      <c r="J122" s="1"/>
      <c r="K122" s="1"/>
      <c r="L122" s="1"/>
      <c r="M122" s="1"/>
      <c r="N122" s="1"/>
      <c r="O122" s="1"/>
      <c r="P122" s="1"/>
      <c r="Q122" s="1"/>
      <c r="R122" s="1"/>
      <c r="S122" s="1"/>
      <c r="T122" s="1"/>
      <c r="U122" s="1"/>
      <c r="V122" s="1"/>
      <c r="W122" s="1"/>
      <c r="X122" s="1"/>
      <c r="Y122" s="1"/>
      <c r="Z122" s="1"/>
    </row>
    <row r="123">
      <c r="A123" s="1" t="str">
        <f>IFERROR(__xludf.DUMMYFUNCTION("""COMPUTED_VALUE"""),"Godsville")</f>
        <v>Godsville</v>
      </c>
      <c r="B123" s="1"/>
      <c r="C123" s="1" t="str">
        <f>IFERROR(__xludf.DUMMYFUNCTION("""COMPUTED_VALUE"""),"Solreach")</f>
        <v>Solreach</v>
      </c>
      <c r="D123" s="1"/>
      <c r="E123" s="1"/>
      <c r="F123" s="1" t="str">
        <f>IFERROR(__xludf.DUMMYFUNCTION("""COMPUTED_VALUE"""),"Gilder")</f>
        <v>Gilder</v>
      </c>
      <c r="G123" s="1"/>
      <c r="H123" s="1"/>
      <c r="I123" s="1"/>
      <c r="J123" s="1"/>
      <c r="K123" s="1"/>
      <c r="L123" s="1"/>
      <c r="M123" s="1"/>
      <c r="N123" s="1"/>
      <c r="O123" s="1"/>
      <c r="P123" s="1"/>
      <c r="Q123" s="1"/>
      <c r="R123" s="1"/>
      <c r="S123" s="1"/>
      <c r="T123" s="1"/>
      <c r="U123" s="1"/>
      <c r="V123" s="1"/>
      <c r="W123" s="1"/>
      <c r="X123" s="1"/>
      <c r="Y123" s="1"/>
      <c r="Z123" s="1"/>
    </row>
    <row r="124">
      <c r="A124" s="1" t="str">
        <f>IFERROR(__xludf.DUMMYFUNCTION("""COMPUTED_VALUE"""),"Imperos")</f>
        <v>Imperos</v>
      </c>
      <c r="B124" s="1"/>
      <c r="C124" s="1" t="str">
        <f>IFERROR(__xludf.DUMMYFUNCTION("""COMPUTED_VALUE"""),"Solreach")</f>
        <v>Solreach</v>
      </c>
      <c r="D124" s="1"/>
      <c r="E124" s="1"/>
      <c r="F124" s="1" t="str">
        <f>IFERROR(__xludf.DUMMYFUNCTION("""COMPUTED_VALUE"""),"Gilder")</f>
        <v>Gilder</v>
      </c>
      <c r="G124" s="1"/>
      <c r="H124" s="1"/>
      <c r="I124" s="1"/>
      <c r="J124" s="1"/>
      <c r="K124" s="1"/>
      <c r="L124" s="1"/>
      <c r="M124" s="1"/>
      <c r="N124" s="1"/>
      <c r="O124" s="1"/>
      <c r="P124" s="1"/>
      <c r="Q124" s="1"/>
      <c r="R124" s="1"/>
      <c r="S124" s="1"/>
      <c r="T124" s="1"/>
      <c r="U124" s="1"/>
      <c r="V124" s="1"/>
      <c r="W124" s="1"/>
      <c r="X124" s="1"/>
      <c r="Y124" s="1"/>
      <c r="Z124" s="1"/>
    </row>
    <row r="125">
      <c r="A125" s="1" t="str">
        <f>IFERROR(__xludf.DUMMYFUNCTION("""COMPUTED_VALUE"""),"Lower Fortress")</f>
        <v>Lower Fortress</v>
      </c>
      <c r="B125" s="1"/>
      <c r="C125" s="1" t="str">
        <f>IFERROR(__xludf.DUMMYFUNCTION("""COMPUTED_VALUE"""),"Solreach")</f>
        <v>Solreach</v>
      </c>
      <c r="D125" s="1"/>
      <c r="E125" s="1"/>
      <c r="F125" s="1" t="str">
        <f>IFERROR(__xludf.DUMMYFUNCTION("""COMPUTED_VALUE"""),"Gilder")</f>
        <v>Gilder</v>
      </c>
      <c r="G125" s="1"/>
      <c r="H125" s="1"/>
      <c r="I125" s="1"/>
      <c r="J125" s="1"/>
      <c r="K125" s="1"/>
      <c r="L125" s="1"/>
      <c r="M125" s="1"/>
      <c r="N125" s="1"/>
      <c r="O125" s="1"/>
      <c r="P125" s="1"/>
      <c r="Q125" s="1"/>
      <c r="R125" s="1"/>
      <c r="S125" s="1"/>
      <c r="T125" s="1"/>
      <c r="U125" s="1"/>
      <c r="V125" s="1"/>
      <c r="W125" s="1"/>
      <c r="X125" s="1"/>
      <c r="Y125" s="1"/>
      <c r="Z125" s="1"/>
    </row>
    <row r="126">
      <c r="A126" s="1" t="str">
        <f>IFERROR(__xludf.DUMMYFUNCTION("""COMPUTED_VALUE"""),"Upper Fortress")</f>
        <v>Upper Fortress</v>
      </c>
      <c r="B126" s="1"/>
      <c r="C126" s="1" t="str">
        <f>IFERROR(__xludf.DUMMYFUNCTION("""COMPUTED_VALUE"""),"Solreach")</f>
        <v>Solreach</v>
      </c>
      <c r="D126" s="1"/>
      <c r="E126" s="1"/>
      <c r="F126" s="1" t="str">
        <f>IFERROR(__xludf.DUMMYFUNCTION("""COMPUTED_VALUE"""),"Gilder")</f>
        <v>Gilder</v>
      </c>
      <c r="G126" s="1"/>
      <c r="H126" s="1"/>
      <c r="I126" s="1"/>
      <c r="J126" s="1"/>
      <c r="K126" s="1"/>
      <c r="L126" s="1"/>
      <c r="M126" s="1"/>
      <c r="N126" s="1"/>
      <c r="O126" s="1"/>
      <c r="P126" s="1"/>
      <c r="Q126" s="1"/>
      <c r="R126" s="1"/>
      <c r="S126" s="1"/>
      <c r="T126" s="1"/>
      <c r="U126" s="1"/>
      <c r="V126" s="1"/>
      <c r="W126" s="1"/>
      <c r="X126" s="1"/>
      <c r="Y126" s="1"/>
      <c r="Z126" s="1"/>
    </row>
    <row r="127">
      <c r="A127" s="1" t="str">
        <f>IFERROR(__xludf.DUMMYFUNCTION("""COMPUTED_VALUE"""),"New Circos")</f>
        <v>New Circos</v>
      </c>
      <c r="B127" s="1"/>
      <c r="C127" s="1" t="str">
        <f>IFERROR(__xludf.DUMMYFUNCTION("""COMPUTED_VALUE"""),"Solreach")</f>
        <v>Solreach</v>
      </c>
      <c r="D127" s="1"/>
      <c r="E127" s="1"/>
      <c r="F127" s="1" t="str">
        <f>IFERROR(__xludf.DUMMYFUNCTION("""COMPUTED_VALUE"""),"Gilder")</f>
        <v>Gilder</v>
      </c>
      <c r="G127" s="1"/>
      <c r="H127" s="1"/>
      <c r="I127" s="1"/>
      <c r="J127" s="1"/>
      <c r="K127" s="1"/>
      <c r="L127" s="1"/>
      <c r="M127" s="1"/>
      <c r="N127" s="1"/>
      <c r="O127" s="1"/>
      <c r="P127" s="1"/>
      <c r="Q127" s="1"/>
      <c r="R127" s="1"/>
      <c r="S127" s="1"/>
      <c r="T127" s="1"/>
      <c r="U127" s="1"/>
      <c r="V127" s="1"/>
      <c r="W127" s="1"/>
      <c r="X127" s="1"/>
      <c r="Y127" s="1"/>
      <c r="Z127" s="1"/>
    </row>
    <row r="128">
      <c r="A128" s="1" t="str">
        <f>IFERROR(__xludf.DUMMYFUNCTION("""COMPUTED_VALUE"""),"Nova Volaris")</f>
        <v>Nova Volaris</v>
      </c>
      <c r="B128" s="1"/>
      <c r="C128" s="1" t="str">
        <f>IFERROR(__xludf.DUMMYFUNCTION("""COMPUTED_VALUE"""),"Solreach")</f>
        <v>Solreach</v>
      </c>
      <c r="D128" s="1"/>
      <c r="E128" s="1"/>
      <c r="F128" s="1" t="str">
        <f>IFERROR(__xludf.DUMMYFUNCTION("""COMPUTED_VALUE"""),"Gilder")</f>
        <v>Gilder</v>
      </c>
      <c r="G128" s="1"/>
      <c r="H128" s="1"/>
      <c r="I128" s="1"/>
      <c r="J128" s="1"/>
      <c r="K128" s="1"/>
      <c r="L128" s="1"/>
      <c r="M128" s="1"/>
      <c r="N128" s="1"/>
      <c r="O128" s="1"/>
      <c r="P128" s="1"/>
      <c r="Q128" s="1"/>
      <c r="R128" s="1"/>
      <c r="S128" s="1"/>
      <c r="T128" s="1"/>
      <c r="U128" s="1"/>
      <c r="V128" s="1"/>
      <c r="W128" s="1"/>
      <c r="X128" s="1"/>
      <c r="Y128" s="1"/>
      <c r="Z128" s="1"/>
    </row>
    <row r="129">
      <c r="A129" s="1" t="str">
        <f>IFERROR(__xludf.DUMMYFUNCTION("""COMPUTED_VALUE"""),"Sonus")</f>
        <v>Sonus</v>
      </c>
      <c r="B129" s="1"/>
      <c r="C129" s="1" t="str">
        <f>IFERROR(__xludf.DUMMYFUNCTION("""COMPUTED_VALUE"""),"Solreach")</f>
        <v>Solreach</v>
      </c>
      <c r="D129" s="1"/>
      <c r="E129" s="1"/>
      <c r="F129" s="1" t="str">
        <f>IFERROR(__xludf.DUMMYFUNCTION("""COMPUTED_VALUE"""),"Gilder")</f>
        <v>Gilder</v>
      </c>
      <c r="G129" s="1"/>
      <c r="H129" s="1"/>
      <c r="I129" s="1"/>
      <c r="J129" s="1"/>
      <c r="K129" s="1"/>
      <c r="L129" s="1"/>
      <c r="M129" s="1"/>
      <c r="N129" s="1"/>
      <c r="O129" s="1"/>
      <c r="P129" s="1"/>
      <c r="Q129" s="1"/>
      <c r="R129" s="1"/>
      <c r="S129" s="1"/>
      <c r="T129" s="1"/>
      <c r="U129" s="1"/>
      <c r="V129" s="1"/>
      <c r="W129" s="1"/>
      <c r="X129" s="1"/>
      <c r="Y129" s="1"/>
      <c r="Z129" s="1"/>
    </row>
    <row r="130">
      <c r="A130" s="1" t="str">
        <f>IFERROR(__xludf.DUMMYFUNCTION("""COMPUTED_VALUE"""),"The City of Cetheoth")</f>
        <v>The City of Cetheoth</v>
      </c>
      <c r="B130" s="1"/>
      <c r="C130" s="1" t="str">
        <f>IFERROR(__xludf.DUMMYFUNCTION("""COMPUTED_VALUE"""),"Solreach")</f>
        <v>Solreach</v>
      </c>
      <c r="D130" s="1"/>
      <c r="E130" s="1"/>
      <c r="F130" s="1" t="str">
        <f>IFERROR(__xludf.DUMMYFUNCTION("""COMPUTED_VALUE"""),"Gilder")</f>
        <v>Gilder</v>
      </c>
      <c r="G130" s="1"/>
      <c r="H130" s="1"/>
      <c r="I130" s="1"/>
      <c r="J130" s="1"/>
      <c r="K130" s="1"/>
      <c r="L130" s="1"/>
      <c r="M130" s="1"/>
      <c r="N130" s="1"/>
      <c r="O130" s="1"/>
      <c r="P130" s="1"/>
      <c r="Q130" s="1"/>
      <c r="R130" s="1"/>
      <c r="S130" s="1"/>
      <c r="T130" s="1"/>
      <c r="U130" s="1"/>
      <c r="V130" s="1"/>
      <c r="W130" s="1"/>
      <c r="X130" s="1"/>
      <c r="Y130" s="1"/>
      <c r="Z130" s="1"/>
    </row>
    <row r="131">
      <c r="A131" s="1" t="str">
        <f>IFERROR(__xludf.DUMMYFUNCTION("""COMPUTED_VALUE"""),"The City of Ebain")</f>
        <v>The City of Ebain</v>
      </c>
      <c r="B131" s="1"/>
      <c r="C131" s="1" t="str">
        <f>IFERROR(__xludf.DUMMYFUNCTION("""COMPUTED_VALUE"""),"Solreach")</f>
        <v>Solreach</v>
      </c>
      <c r="D131" s="1"/>
      <c r="E131" s="1"/>
      <c r="F131" s="1" t="str">
        <f>IFERROR(__xludf.DUMMYFUNCTION("""COMPUTED_VALUE"""),"Gilder")</f>
        <v>Gilder</v>
      </c>
      <c r="G131" s="1"/>
      <c r="H131" s="1"/>
      <c r="I131" s="1"/>
      <c r="J131" s="1"/>
      <c r="K131" s="1"/>
      <c r="L131" s="1"/>
      <c r="M131" s="1"/>
      <c r="N131" s="1"/>
      <c r="O131" s="1"/>
      <c r="P131" s="1"/>
      <c r="Q131" s="1"/>
      <c r="R131" s="1"/>
      <c r="S131" s="1"/>
      <c r="T131" s="1"/>
      <c r="U131" s="1"/>
      <c r="V131" s="1"/>
      <c r="W131" s="1"/>
      <c r="X131" s="1"/>
      <c r="Y131" s="1"/>
      <c r="Z131" s="1"/>
    </row>
    <row r="132">
      <c r="A132" s="1" t="str">
        <f>IFERROR(__xludf.DUMMYFUNCTION("""COMPUTED_VALUE"""),"The City of Nonnaih")</f>
        <v>The City of Nonnaih</v>
      </c>
      <c r="B132" s="1"/>
      <c r="C132" s="1" t="str">
        <f>IFERROR(__xludf.DUMMYFUNCTION("""COMPUTED_VALUE"""),"Solreach")</f>
        <v>Solreach</v>
      </c>
      <c r="D132" s="1"/>
      <c r="E132" s="1"/>
      <c r="F132" s="1" t="str">
        <f>IFERROR(__xludf.DUMMYFUNCTION("""COMPUTED_VALUE"""),"Gilder")</f>
        <v>Gilder</v>
      </c>
      <c r="G132" s="1"/>
      <c r="H132" s="1"/>
      <c r="I132" s="1"/>
      <c r="J132" s="1"/>
      <c r="K132" s="1"/>
      <c r="L132" s="1"/>
      <c r="M132" s="1"/>
      <c r="N132" s="1"/>
      <c r="O132" s="1"/>
      <c r="P132" s="1"/>
      <c r="Q132" s="1"/>
      <c r="R132" s="1"/>
      <c r="S132" s="1"/>
      <c r="T132" s="1"/>
      <c r="U132" s="1"/>
      <c r="V132" s="1"/>
      <c r="W132" s="1"/>
      <c r="X132" s="1"/>
      <c r="Y132" s="1"/>
      <c r="Z132" s="1"/>
    </row>
    <row r="133">
      <c r="A133" s="1" t="str">
        <f>IFERROR(__xludf.DUMMYFUNCTION("""COMPUTED_VALUE"""),"The City of Sheopria")</f>
        <v>The City of Sheopria</v>
      </c>
      <c r="B133" s="1"/>
      <c r="C133" s="1" t="str">
        <f>IFERROR(__xludf.DUMMYFUNCTION("""COMPUTED_VALUE"""),"Solreach")</f>
        <v>Solreach</v>
      </c>
      <c r="D133" s="1"/>
      <c r="E133" s="1"/>
      <c r="F133" s="1" t="str">
        <f>IFERROR(__xludf.DUMMYFUNCTION("""COMPUTED_VALUE"""),"Gilder")</f>
        <v>Gilder</v>
      </c>
      <c r="G133" s="1"/>
      <c r="H133" s="1"/>
      <c r="I133" s="1"/>
      <c r="J133" s="1"/>
      <c r="K133" s="1"/>
      <c r="L133" s="1"/>
      <c r="M133" s="1"/>
      <c r="N133" s="1"/>
      <c r="O133" s="1"/>
      <c r="P133" s="1"/>
      <c r="Q133" s="1"/>
      <c r="R133" s="1"/>
      <c r="S133" s="1"/>
      <c r="T133" s="1"/>
      <c r="U133" s="1"/>
      <c r="V133" s="1"/>
      <c r="W133" s="1"/>
      <c r="X133" s="1"/>
      <c r="Y133" s="1"/>
      <c r="Z133" s="1"/>
    </row>
    <row r="134">
      <c r="A134" s="1" t="str">
        <f>IFERROR(__xludf.DUMMYFUNCTION("""COMPUTED_VALUE"""),"Ventis")</f>
        <v>Ventis</v>
      </c>
      <c r="B134" s="1"/>
      <c r="C134" s="1" t="str">
        <f>IFERROR(__xludf.DUMMYFUNCTION("""COMPUTED_VALUE"""),"Solreach")</f>
        <v>Solreach</v>
      </c>
      <c r="D134" s="1"/>
      <c r="E134" s="1"/>
      <c r="F134" s="1" t="str">
        <f>IFERROR(__xludf.DUMMYFUNCTION("""COMPUTED_VALUE"""),"Gilder")</f>
        <v>Gilder</v>
      </c>
      <c r="G134" s="1"/>
      <c r="H134" s="1"/>
      <c r="I134" s="1"/>
      <c r="J134" s="1"/>
      <c r="K134" s="1"/>
      <c r="L134" s="1"/>
      <c r="M134" s="1"/>
      <c r="N134" s="1"/>
      <c r="O134" s="1"/>
      <c r="P134" s="1"/>
      <c r="Q134" s="1"/>
      <c r="R134" s="1"/>
      <c r="S134" s="1"/>
      <c r="T134" s="1"/>
      <c r="U134" s="1"/>
      <c r="V134" s="1"/>
      <c r="W134" s="1"/>
      <c r="X134" s="1"/>
      <c r="Y134" s="1"/>
      <c r="Z134" s="1"/>
    </row>
    <row r="135">
      <c r="A135" s="1" t="str">
        <f>IFERROR(__xludf.DUMMYFUNCTION("""COMPUTED_VALUE"""),"Volance")</f>
        <v>Volance</v>
      </c>
      <c r="B135" s="1"/>
      <c r="C135" s="1" t="str">
        <f>IFERROR(__xludf.DUMMYFUNCTION("""COMPUTED_VALUE"""),"Solreach")</f>
        <v>Solreach</v>
      </c>
      <c r="D135" s="1"/>
      <c r="E135" s="1"/>
      <c r="F135" s="1" t="str">
        <f>IFERROR(__xludf.DUMMYFUNCTION("""COMPUTED_VALUE"""),"Gilder")</f>
        <v>Gilder</v>
      </c>
      <c r="G135" s="1"/>
      <c r="H135" s="1"/>
      <c r="I135" s="1"/>
      <c r="J135" s="1"/>
      <c r="K135" s="1"/>
      <c r="L135" s="1"/>
      <c r="M135" s="1"/>
      <c r="N135" s="1"/>
      <c r="O135" s="1"/>
      <c r="P135" s="1"/>
      <c r="Q135" s="1"/>
      <c r="R135" s="1"/>
      <c r="S135" s="1"/>
      <c r="T135" s="1"/>
      <c r="U135" s="1"/>
      <c r="V135" s="1"/>
      <c r="W135" s="1"/>
      <c r="X135" s="1"/>
      <c r="Y135" s="1"/>
      <c r="Z135" s="1"/>
    </row>
    <row r="136">
      <c r="A136" s="1" t="str">
        <f>IFERROR(__xludf.DUMMYFUNCTION("""COMPUTED_VALUE"""),"Easter Island")</f>
        <v>Easter Island</v>
      </c>
      <c r="B136" s="1" t="str">
        <f>IFERROR(__xludf.DUMMYFUNCTION("""COMPUTED_VALUE"""),"Home to the Easter Boss")</f>
        <v>Home to the Easter Boss</v>
      </c>
      <c r="C136" s="1" t="str">
        <f>IFERROR(__xludf.DUMMYFUNCTION("""COMPUTED_VALUE"""),"Event Hub")</f>
        <v>Event Hub</v>
      </c>
      <c r="D136" s="1"/>
      <c r="E136" s="1"/>
      <c r="F136" s="1" t="str">
        <f>IFERROR(__xludf.DUMMYFUNCTION("""COMPUTED_VALUE"""),"Gilder")</f>
        <v>Gilder</v>
      </c>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t="str">
        <f>IFERROR(__xludf.DUMMYFUNCTION("""COMPUTED_VALUE"""),"Gilder")</f>
        <v>Gilder</v>
      </c>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t="str">
        <f>IFERROR(__xludf.DUMMYFUNCTION("""COMPUTED_VALUE"""),"Gilder")</f>
        <v>Gilder</v>
      </c>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t="str">
        <f>IFERROR(__xludf.DUMMYFUNCTION("""COMPUTED_VALUE"""),"Gilder")</f>
        <v>Gilder</v>
      </c>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t="str">
        <f>IFERROR(__xludf.DUMMYFUNCTION("""COMPUTED_VALUE"""),"Gilder")</f>
        <v>Gilder</v>
      </c>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t="str">
        <f>IFERROR(__xludf.DUMMYFUNCTION("""COMPUTED_VALUE"""),"Gilder")</f>
        <v>Gilder</v>
      </c>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t="str">
        <f>IFERROR(__xludf.DUMMYFUNCTION("""COMPUTED_VALUE"""),"Gilder")</f>
        <v>Gilder</v>
      </c>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t="str">
        <f>IFERROR(__xludf.DUMMYFUNCTION("""COMPUTED_VALUE"""),"Gilder")</f>
        <v>Gilder</v>
      </c>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t="str">
        <f>IFERROR(__xludf.DUMMYFUNCTION("""COMPUTED_VALUE"""),"Gilder")</f>
        <v>Gilder</v>
      </c>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t="str">
        <f>IFERROR(__xludf.DUMMYFUNCTION("""COMPUTED_VALUE"""),"Gilder")</f>
        <v>Gilder</v>
      </c>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t="str">
        <f>IFERROR(__xludf.DUMMYFUNCTION("""COMPUTED_VALUE"""),"Gilder")</f>
        <v>Gilder</v>
      </c>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t="str">
        <f>IFERROR(__xludf.DUMMYFUNCTION("""COMPUTED_VALUE"""),"Gilder")</f>
        <v>Gilder</v>
      </c>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t="str">
        <f>IFERROR(__xludf.DUMMYFUNCTION("""COMPUTED_VALUE"""),"Gilder")</f>
        <v>Gilder</v>
      </c>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t="str">
        <f>IFERROR(__xludf.DUMMYFUNCTION("""COMPUTED_VALUE"""),"Gilder")</f>
        <v>Gilder</v>
      </c>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t="str">
        <f>IFERROR(__xludf.DUMMYFUNCTION("""COMPUTED_VALUE"""),"Gilder")</f>
        <v>Gilder</v>
      </c>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t="str">
        <f>IFERROR(__xludf.DUMMYFUNCTION("""COMPUTED_VALUE"""),"Gilder")</f>
        <v>Gilder</v>
      </c>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t="str">
        <f>IFERROR(__xludf.DUMMYFUNCTION("""COMPUTED_VALUE"""),"Gilder")</f>
        <v>Gilder</v>
      </c>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t="str">
        <f>IFERROR(__xludf.DUMMYFUNCTION("""COMPUTED_VALUE"""),"Gilder")</f>
        <v>Gilder</v>
      </c>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t="str">
        <f>IFERROR(__xludf.DUMMYFUNCTION("""COMPUTED_VALUE"""),"Gilder")</f>
        <v>Gilder</v>
      </c>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t="str">
        <f>IFERROR(__xludf.DUMMYFUNCTION("""COMPUTED_VALUE"""),"Gilder")</f>
        <v>Gilder</v>
      </c>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t="str">
        <f>IFERROR(__xludf.DUMMYFUNCTION("""COMPUTED_VALUE"""),"Gilder")</f>
        <v>Gilder</v>
      </c>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t="str">
        <f>IFERROR(__xludf.DUMMYFUNCTION("""COMPUTED_VALUE"""),"Gilder")</f>
        <v>Gilder</v>
      </c>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tr">
        <f>IFERROR(__xludf.DUMMYFUNCTION("IMPORTRANGE(""https://docs.google.com/spreadsheets/d/1HXoAI5UG3zq1UHqU5n7fPdbQk93qOha2VQb1r7iRi1o"",""Resistances!A:BJ"")"),"Mob")</f>
        <v>Mob</v>
      </c>
      <c r="B1" s="1" t="str">
        <f>IFERROR(__xludf.DUMMYFUNCTION("""COMPUTED_VALUE"""),"Fire")</f>
        <v>Fire</v>
      </c>
      <c r="C1" s="1" t="str">
        <f>IFERROR(__xludf.DUMMYFUNCTION("""COMPUTED_VALUE"""),"Water")</f>
        <v>Water</v>
      </c>
      <c r="D1" s="1" t="str">
        <f>IFERROR(__xludf.DUMMYFUNCTION("""COMPUTED_VALUE"""),"Storm")</f>
        <v>Storm</v>
      </c>
      <c r="E1" s="1" t="str">
        <f>IFERROR(__xludf.DUMMYFUNCTION("""COMPUTED_VALUE"""),"Earth")</f>
        <v>Earth</v>
      </c>
      <c r="F1" s="1" t="str">
        <f>IFERROR(__xludf.DUMMYFUNCTION("""COMPUTED_VALUE"""),"Light")</f>
        <v>Light</v>
      </c>
      <c r="G1" s="1" t="str">
        <f>IFERROR(__xludf.DUMMYFUNCTION("""COMPUTED_VALUE"""),"Dark")</f>
        <v>Dark</v>
      </c>
      <c r="H1" s="1" t="str">
        <f>IFERROR(__xludf.DUMMYFUNCTION("""COMPUTED_VALUE"""),"Spirit")</f>
        <v>Spirit</v>
      </c>
      <c r="I1" s="1" t="str">
        <f>IFERROR(__xludf.DUMMYFUNCTION("""COMPUTED_VALUE"""),"Order")</f>
        <v>Order</v>
      </c>
      <c r="J1" s="1" t="str">
        <f>IFERROR(__xludf.DUMMYFUNCTION("""COMPUTED_VALUE"""),"Chaos")</f>
        <v>Chaos</v>
      </c>
      <c r="K1" s="1" t="str">
        <f>IFERROR(__xludf.DUMMYFUNCTION("""COMPUTED_VALUE"""),"Nature")</f>
        <v>Nature</v>
      </c>
      <c r="L1" s="1" t="str">
        <f>IFERROR(__xludf.DUMMYFUNCTION("""COMPUTED_VALUE"""),"Physical")</f>
        <v>Physical</v>
      </c>
      <c r="M1" s="1" t="str">
        <f>IFERROR(__xludf.DUMMYFUNCTION("""COMPUTED_VALUE"""),"Melee")</f>
        <v>Melee</v>
      </c>
      <c r="N1" s="1" t="str">
        <f>IFERROR(__xludf.DUMMYFUNCTION("""COMPUTED_VALUE"""),"Ranged")</f>
        <v>Ranged</v>
      </c>
      <c r="O1" s="1" t="str">
        <f>IFERROR(__xludf.DUMMYFUNCTION("""COMPUTED_VALUE"""),"Stasis")</f>
        <v>Stasis</v>
      </c>
      <c r="P1" s="1" t="str">
        <f>IFERROR(__xludf.DUMMYFUNCTION("""COMPUTED_VALUE"""),"Twilight")</f>
        <v>Twilight</v>
      </c>
      <c r="Q1" s="1" t="str">
        <f>IFERROR(__xludf.DUMMYFUNCTION("""COMPUTED_VALUE"""),"Voodoo")</f>
        <v>Voodoo</v>
      </c>
      <c r="R1" s="1" t="str">
        <f>IFERROR(__xludf.DUMMYFUNCTION("""COMPUTED_VALUE"""),"Blood")</f>
        <v>Blood</v>
      </c>
      <c r="S1" s="1" t="str">
        <f>IFERROR(__xludf.DUMMYFUNCTION("""COMPUTED_VALUE"""),"Delta")</f>
        <v>Delta</v>
      </c>
      <c r="T1" s="1" t="str">
        <f>IFERROR(__xludf.DUMMYFUNCTION("""COMPUTED_VALUE"""),"Zen")</f>
        <v>Zen</v>
      </c>
      <c r="U1" s="1" t="str">
        <f>IFERROR(__xludf.DUMMYFUNCTION("""COMPUTED_VALUE"""),"Time")</f>
        <v>Time</v>
      </c>
      <c r="V1" s="1" t="str">
        <f>IFERROR(__xludf.DUMMYFUNCTION("""COMPUTED_VALUE"""),"Astral")</f>
        <v>Astral</v>
      </c>
      <c r="W1" s="1" t="str">
        <f>IFERROR(__xludf.DUMMYFUNCTION("""COMPUTED_VALUE"""),"Celestial")</f>
        <v>Celestial</v>
      </c>
      <c r="X1" s="1" t="str">
        <f>IFERROR(__xludf.DUMMYFUNCTION("""COMPUTED_VALUE"""),"Instant Death")</f>
        <v>Instant Death</v>
      </c>
      <c r="Y1" s="1" t="str">
        <f>IFERROR(__xludf.DUMMYFUNCTION("""COMPUTED_VALUE"""),"Banishment")</f>
        <v>Banishment</v>
      </c>
      <c r="Z1" s="1" t="str">
        <f>IFERROR(__xludf.DUMMYFUNCTION("""COMPUTED_VALUE"""),"Natural")</f>
        <v>Natural</v>
      </c>
      <c r="AA1" s="1" t="str">
        <f>IFERROR(__xludf.DUMMYFUNCTION("""COMPUTED_VALUE"""),"Possesion")</f>
        <v>Possesion</v>
      </c>
      <c r="AB1" s="1" t="str">
        <f>IFERROR(__xludf.DUMMYFUNCTION("""COMPUTED_VALUE"""),"All")</f>
        <v>All</v>
      </c>
      <c r="AC1" s="1" t="str">
        <f>IFERROR(__xludf.DUMMYFUNCTION("""COMPUTED_VALUE"""),"Acoustic")</f>
        <v>Acoustic</v>
      </c>
      <c r="AD1" s="1"/>
      <c r="AE1" s="1"/>
      <c r="AF1" s="1"/>
      <c r="AG1" s="1"/>
      <c r="AH1" s="1"/>
      <c r="AI1" s="1"/>
      <c r="AJ1" s="1"/>
      <c r="AK1" s="1"/>
      <c r="AL1" s="1"/>
    </row>
    <row r="2">
      <c r="A2" s="1" t="str">
        <f>IFERROR(__xludf.DUMMYFUNCTION("""COMPUTED_VALUE"""),"Ancient Colossal Frost Spider")</f>
        <v>Ancient Colossal Frost Spider</v>
      </c>
      <c r="B2" s="1"/>
      <c r="C2" s="1">
        <f>IFERROR(__xludf.DUMMYFUNCTION("""COMPUTED_VALUE"""),100.0)</f>
        <v>100</v>
      </c>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c r="A3" s="1" t="str">
        <f>IFERROR(__xludf.DUMMYFUNCTION("""COMPUTED_VALUE"""),"Demon Snowman")</f>
        <v>Demon Snowman</v>
      </c>
      <c r="B3" s="1"/>
      <c r="C3" s="1">
        <f>IFERROR(__xludf.DUMMYFUNCTION("""COMPUTED_VALUE"""),100.0)</f>
        <v>100</v>
      </c>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row>
    <row r="4">
      <c r="A4" s="1" t="str">
        <f>IFERROR(__xludf.DUMMYFUNCTION("""COMPUTED_VALUE"""),"Ancient Desert Serpent")</f>
        <v>Ancient Desert Serpent</v>
      </c>
      <c r="B4" s="1" t="str">
        <f>IFERROR(__xludf.DUMMYFUNCTION("""COMPUTED_VALUE"""),"Immune")</f>
        <v>Immune</v>
      </c>
      <c r="C4" s="1" t="str">
        <f>IFERROR(__xludf.DUMMYFUNCTION("""COMPUTED_VALUE"""),"Immune")</f>
        <v>Immune</v>
      </c>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row>
    <row r="5">
      <c r="A5" s="1" t="str">
        <f>IFERROR(__xludf.DUMMYFUNCTION("""COMPUTED_VALUE"""),"Ancient Forest Colossus")</f>
        <v>Ancient Forest Colossus</v>
      </c>
      <c r="B5" s="1"/>
      <c r="C5" s="1">
        <f>IFERROR(__xludf.DUMMYFUNCTION("""COMPUTED_VALUE"""),100.0)</f>
        <v>100</v>
      </c>
      <c r="D5" s="1"/>
      <c r="E5" s="1"/>
      <c r="F5" s="1"/>
      <c r="G5" s="1"/>
      <c r="H5" s="1"/>
      <c r="I5" s="1"/>
      <c r="J5" s="1"/>
      <c r="K5" s="1" t="str">
        <f>IFERROR(__xludf.DUMMYFUNCTION("""COMPUTED_VALUE"""),"Immune")</f>
        <v>Immune</v>
      </c>
      <c r="L5" s="1"/>
      <c r="M5" s="1"/>
      <c r="N5" s="1"/>
      <c r="O5" s="1"/>
      <c r="P5" s="1"/>
      <c r="Q5" s="1"/>
      <c r="R5" s="1"/>
      <c r="S5" s="1"/>
      <c r="T5" s="1"/>
      <c r="U5" s="1"/>
      <c r="V5" s="1"/>
      <c r="W5" s="1"/>
      <c r="X5" s="1" t="str">
        <f>IFERROR(__xludf.DUMMYFUNCTION("""COMPUTED_VALUE"""),"Immune")</f>
        <v>Immune</v>
      </c>
      <c r="Y5" s="1"/>
      <c r="Z5" s="1"/>
      <c r="AA5" s="1"/>
      <c r="AB5" s="1"/>
      <c r="AC5" s="1"/>
      <c r="AD5" s="1"/>
      <c r="AE5" s="1"/>
      <c r="AF5" s="1"/>
      <c r="AG5" s="1"/>
      <c r="AH5" s="1"/>
      <c r="AI5" s="1"/>
      <c r="AJ5" s="1"/>
      <c r="AK5" s="1"/>
      <c r="AL5" s="1"/>
    </row>
    <row r="6">
      <c r="A6" s="1" t="str">
        <f>IFERROR(__xludf.DUMMYFUNCTION("""COMPUTED_VALUE"""),"Frost Colossus")</f>
        <v>Frost Colossus</v>
      </c>
      <c r="B6" s="1"/>
      <c r="C6" s="1" t="str">
        <f>IFERROR(__xludf.DUMMYFUNCTION("""COMPUTED_VALUE"""),"Immune")</f>
        <v>Immune</v>
      </c>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row>
    <row r="7">
      <c r="A7" s="1" t="str">
        <f>IFERROR(__xludf.DUMMYFUNCTION("""COMPUTED_VALUE"""),"Frost Cyclops")</f>
        <v>Frost Cyclops</v>
      </c>
      <c r="B7" s="1"/>
      <c r="C7" s="1" t="str">
        <f>IFERROR(__xludf.DUMMYFUNCTION("""COMPUTED_VALUE"""),"Immune")</f>
        <v>Immune</v>
      </c>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row>
    <row r="8">
      <c r="A8" s="1" t="str">
        <f>IFERROR(__xludf.DUMMYFUNCTION("""COMPUTED_VALUE"""),"Frost Grand Mage")</f>
        <v>Frost Grand Mage</v>
      </c>
      <c r="B8" s="1"/>
      <c r="C8" s="1" t="str">
        <f>IFERROR(__xludf.DUMMYFUNCTION("""COMPUTED_VALUE"""),"Immune")</f>
        <v>Immune</v>
      </c>
      <c r="D8" s="1">
        <f>IFERROR(__xludf.DUMMYFUNCTION("""COMPUTED_VALUE"""),100.0)</f>
        <v>100</v>
      </c>
      <c r="E8" s="1"/>
      <c r="F8" s="1"/>
      <c r="G8" s="1"/>
      <c r="H8" s="1"/>
      <c r="I8" s="1"/>
      <c r="J8" s="1"/>
      <c r="K8" s="1"/>
      <c r="L8" s="1"/>
      <c r="M8" s="1"/>
      <c r="N8" s="1"/>
      <c r="O8" s="1"/>
      <c r="P8" s="1"/>
      <c r="Q8" s="1"/>
      <c r="R8" s="1"/>
      <c r="S8" s="1"/>
      <c r="T8" s="1"/>
      <c r="U8" s="1"/>
      <c r="V8" s="1"/>
      <c r="W8" s="1"/>
      <c r="X8" s="1" t="str">
        <f>IFERROR(__xludf.DUMMYFUNCTION("""COMPUTED_VALUE"""),"Immune")</f>
        <v>Immune</v>
      </c>
      <c r="Y8" s="1"/>
      <c r="Z8" s="1"/>
      <c r="AA8" s="1"/>
      <c r="AB8" s="1"/>
      <c r="AC8" s="1"/>
      <c r="AD8" s="1"/>
      <c r="AE8" s="1"/>
      <c r="AF8" s="1"/>
      <c r="AG8" s="1"/>
      <c r="AH8" s="1"/>
      <c r="AI8" s="1"/>
      <c r="AJ8" s="1"/>
      <c r="AK8" s="1"/>
      <c r="AL8" s="1"/>
    </row>
    <row r="9">
      <c r="A9" s="1" t="str">
        <f>IFERROR(__xludf.DUMMYFUNCTION("""COMPUTED_VALUE"""),"Frost King")</f>
        <v>Frost King</v>
      </c>
      <c r="B9" s="1"/>
      <c r="C9" s="1" t="str">
        <f>IFERROR(__xludf.DUMMYFUNCTION("""COMPUTED_VALUE"""),"Immune")</f>
        <v>Immune</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row>
    <row r="10">
      <c r="A10" s="1" t="str">
        <f>IFERROR(__xludf.DUMMYFUNCTION("""COMPUTED_VALUE"""),"Frost Queen")</f>
        <v>Frost Queen</v>
      </c>
      <c r="B10" s="1"/>
      <c r="C10" s="1" t="str">
        <f>IFERROR(__xludf.DUMMYFUNCTION("""COMPUTED_VALUE"""),"Immune")</f>
        <v>Immune</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row>
    <row r="11">
      <c r="A11" s="1" t="str">
        <f>IFERROR(__xludf.DUMMYFUNCTION("""COMPUTED_VALUE"""),"Bandit")</f>
        <v>Bandit</v>
      </c>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row>
    <row r="12">
      <c r="A12" s="1" t="str">
        <f>IFERROR(__xludf.DUMMYFUNCTION("""COMPUTED_VALUE"""),"Bees")</f>
        <v>Bees</v>
      </c>
      <c r="B12" s="1"/>
      <c r="C12" s="1"/>
      <c r="D12" s="1"/>
      <c r="E12" s="1"/>
      <c r="F12" s="1"/>
      <c r="G12" s="1"/>
      <c r="H12" s="1"/>
      <c r="I12" s="1"/>
      <c r="J12" s="1"/>
      <c r="K12" s="1">
        <f>IFERROR(__xludf.DUMMYFUNCTION("""COMPUTED_VALUE"""),100.0)</f>
        <v>100</v>
      </c>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row>
    <row r="13">
      <c r="A13" s="1" t="str">
        <f>IFERROR(__xludf.DUMMYFUNCTION("""COMPUTED_VALUE"""),"Big Frost Owl")</f>
        <v>Big Frost Owl</v>
      </c>
      <c r="B13" s="1"/>
      <c r="C13" s="1">
        <f>IFERROR(__xludf.DUMMYFUNCTION("""COMPUTED_VALUE"""),100.0)</f>
        <v>100</v>
      </c>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row>
    <row r="14">
      <c r="A14" s="1" t="str">
        <f>IFERROR(__xludf.DUMMYFUNCTION("""COMPUTED_VALUE"""),"colossus suit of armor")</f>
        <v>colossus suit of armor</v>
      </c>
      <c r="B14" s="1"/>
      <c r="C14" s="1"/>
      <c r="D14" s="1"/>
      <c r="E14" s="1"/>
      <c r="F14" s="1"/>
      <c r="G14" s="1"/>
      <c r="H14" s="1"/>
      <c r="I14" s="1" t="str">
        <f>IFERROR(__xludf.DUMMYFUNCTION("""COMPUTED_VALUE"""),"Immune")</f>
        <v>Immune</v>
      </c>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row>
    <row r="15">
      <c r="A15" s="1" t="str">
        <f>IFERROR(__xludf.DUMMYFUNCTION("""COMPUTED_VALUE"""),"Corrupted Twilight Knight")</f>
        <v>Corrupted Twilight Knight</v>
      </c>
      <c r="B15" s="1"/>
      <c r="C15" s="1"/>
      <c r="D15" s="1"/>
      <c r="E15" s="1"/>
      <c r="F15" s="1"/>
      <c r="G15" s="1"/>
      <c r="H15" s="1"/>
      <c r="I15" s="1"/>
      <c r="J15" s="1"/>
      <c r="K15" s="1"/>
      <c r="L15" s="1"/>
      <c r="M15" s="1"/>
      <c r="N15" s="1"/>
      <c r="O15" s="1"/>
      <c r="P15" s="1">
        <f>IFERROR(__xludf.DUMMYFUNCTION("""COMPUTED_VALUE"""),100.0)</f>
        <v>100</v>
      </c>
      <c r="Q15" s="1"/>
      <c r="R15" s="1"/>
      <c r="S15" s="1"/>
      <c r="T15" s="1"/>
      <c r="U15" s="1"/>
      <c r="V15" s="1"/>
      <c r="W15" s="1"/>
      <c r="X15" s="1"/>
      <c r="Y15" s="1"/>
      <c r="Z15" s="1"/>
      <c r="AA15" s="1"/>
      <c r="AB15" s="1"/>
      <c r="AC15" s="1"/>
      <c r="AD15" s="1"/>
      <c r="AE15" s="1"/>
      <c r="AF15" s="1"/>
      <c r="AG15" s="1"/>
      <c r="AH15" s="1"/>
      <c r="AI15" s="1"/>
      <c r="AJ15" s="1"/>
      <c r="AK15" s="1"/>
      <c r="AL15" s="1"/>
    </row>
    <row r="16">
      <c r="A16" s="1" t="str">
        <f>IFERROR(__xludf.DUMMYFUNCTION("""COMPUTED_VALUE"""),"Corrupted Twilight Knight")</f>
        <v>Corrupted Twilight Knight</v>
      </c>
      <c r="B16" s="1"/>
      <c r="C16" s="1"/>
      <c r="D16" s="1"/>
      <c r="E16" s="1"/>
      <c r="F16" s="1"/>
      <c r="G16" s="1"/>
      <c r="H16" s="1"/>
      <c r="I16" s="1"/>
      <c r="J16" s="1"/>
      <c r="K16" s="1"/>
      <c r="L16" s="1"/>
      <c r="M16" s="1"/>
      <c r="N16" s="1"/>
      <c r="O16" s="1"/>
      <c r="P16" s="1">
        <f>IFERROR(__xludf.DUMMYFUNCTION("""COMPUTED_VALUE"""),100.0)</f>
        <v>100</v>
      </c>
      <c r="Q16" s="1"/>
      <c r="R16" s="1"/>
      <c r="S16" s="1"/>
      <c r="T16" s="1"/>
      <c r="U16" s="1"/>
      <c r="V16" s="1"/>
      <c r="W16" s="1"/>
      <c r="X16" s="1"/>
      <c r="Y16" s="1"/>
      <c r="Z16" s="1"/>
      <c r="AA16" s="1"/>
      <c r="AB16" s="1"/>
      <c r="AC16" s="1"/>
      <c r="AD16" s="1"/>
      <c r="AE16" s="1"/>
      <c r="AF16" s="1"/>
      <c r="AG16" s="1"/>
      <c r="AH16" s="1"/>
      <c r="AI16" s="1"/>
      <c r="AJ16" s="1"/>
      <c r="AK16" s="1"/>
      <c r="AL16" s="1"/>
    </row>
    <row r="17">
      <c r="A17" s="1" t="str">
        <f>IFERROR(__xludf.DUMMYFUNCTION("""COMPUTED_VALUE"""),"Cyclops")</f>
        <v>Cyclops</v>
      </c>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row>
    <row r="18">
      <c r="A18" s="1" t="str">
        <f>IFERROR(__xludf.DUMMYFUNCTION("""COMPUTED_VALUE"""),"Dark Wizard")</f>
        <v>Dark Wizard</v>
      </c>
      <c r="B18" s="1"/>
      <c r="C18" s="1"/>
      <c r="D18" s="1"/>
      <c r="E18" s="1"/>
      <c r="F18" s="1"/>
      <c r="G18" s="1">
        <f>IFERROR(__xludf.DUMMYFUNCTION("""COMPUTED_VALUE"""),100.0)</f>
        <v>100</v>
      </c>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row>
    <row r="19">
      <c r="A19" s="1" t="str">
        <f>IFERROR(__xludf.DUMMYFUNCTION("""COMPUTED_VALUE"""),"Death's Royal Guard")</f>
        <v>Death's Royal Guard</v>
      </c>
      <c r="B19" s="1"/>
      <c r="C19" s="1"/>
      <c r="D19" s="1"/>
      <c r="E19" s="1"/>
      <c r="F19" s="1"/>
      <c r="G19" s="1">
        <f>IFERROR(__xludf.DUMMYFUNCTION("""COMPUTED_VALUE"""),100.0)</f>
        <v>100</v>
      </c>
      <c r="H19" s="1"/>
      <c r="I19" s="1"/>
      <c r="J19" s="1">
        <f>IFERROR(__xludf.DUMMYFUNCTION("""COMPUTED_VALUE"""),100.0)</f>
        <v>100</v>
      </c>
      <c r="K19" s="1"/>
      <c r="L19" s="1"/>
      <c r="M19" s="1"/>
      <c r="N19" s="1"/>
      <c r="O19" s="1"/>
      <c r="P19" s="1"/>
      <c r="Q19" s="1"/>
      <c r="R19" s="1"/>
      <c r="S19" s="1"/>
      <c r="T19" s="1"/>
      <c r="U19" s="1"/>
      <c r="V19" s="1"/>
      <c r="W19" s="1"/>
      <c r="X19" s="1" t="str">
        <f>IFERROR(__xludf.DUMMYFUNCTION("""COMPUTED_VALUE"""),"Immune")</f>
        <v>Immune</v>
      </c>
      <c r="Y19" s="1"/>
      <c r="Z19" s="1"/>
      <c r="AA19" s="1"/>
      <c r="AB19" s="1"/>
      <c r="AC19" s="1"/>
      <c r="AD19" s="1"/>
      <c r="AE19" s="1"/>
      <c r="AF19" s="1"/>
      <c r="AG19" s="1"/>
      <c r="AH19" s="1"/>
      <c r="AI19" s="1"/>
      <c r="AJ19" s="1"/>
      <c r="AK19" s="1"/>
      <c r="AL19" s="1"/>
    </row>
    <row r="20">
      <c r="A20" s="1" t="str">
        <f>IFERROR(__xludf.DUMMYFUNCTION("""COMPUTED_VALUE"""),"Deathblade The Dragon Hunter")</f>
        <v>Deathblade The Dragon Hunter</v>
      </c>
      <c r="B20" s="1"/>
      <c r="C20" s="1"/>
      <c r="D20" s="1"/>
      <c r="E20" s="1"/>
      <c r="F20" s="1"/>
      <c r="G20" s="1" t="str">
        <f>IFERROR(__xludf.DUMMYFUNCTION("""COMPUTED_VALUE"""),"Immune")</f>
        <v>Immune</v>
      </c>
      <c r="H20" s="1"/>
      <c r="I20" s="1"/>
      <c r="J20" s="1" t="str">
        <f>IFERROR(__xludf.DUMMYFUNCTION("""COMPUTED_VALUE"""),"Immune")</f>
        <v>Immune</v>
      </c>
      <c r="K20" s="1"/>
      <c r="L20" s="1"/>
      <c r="M20" s="1"/>
      <c r="N20" s="1"/>
      <c r="O20" s="1"/>
      <c r="P20" s="1"/>
      <c r="Q20" s="1"/>
      <c r="R20" s="1"/>
      <c r="S20" s="1"/>
      <c r="T20" s="1"/>
      <c r="U20" s="1"/>
      <c r="V20" s="1"/>
      <c r="W20" s="1"/>
      <c r="X20" s="1" t="str">
        <f>IFERROR(__xludf.DUMMYFUNCTION("""COMPUTED_VALUE"""),"Immune")</f>
        <v>Immune</v>
      </c>
      <c r="Y20" s="1" t="str">
        <f>IFERROR(__xludf.DUMMYFUNCTION("""COMPUTED_VALUE"""),"Immune")</f>
        <v>Immune</v>
      </c>
      <c r="Z20" s="1"/>
      <c r="AA20" s="1"/>
      <c r="AB20" s="1"/>
      <c r="AC20" s="1"/>
      <c r="AD20" s="1"/>
      <c r="AE20" s="1"/>
      <c r="AF20" s="1"/>
      <c r="AG20" s="1"/>
      <c r="AH20" s="1"/>
      <c r="AI20" s="1"/>
      <c r="AJ20" s="1"/>
      <c r="AK20" s="1"/>
      <c r="AL20" s="1"/>
    </row>
    <row r="21">
      <c r="A21" s="1" t="str">
        <f>IFERROR(__xludf.DUMMYFUNCTION("""COMPUTED_VALUE"""),"Defensive Rock Giant")</f>
        <v>Defensive Rock Giant</v>
      </c>
      <c r="B21" s="1">
        <f>IFERROR(__xludf.DUMMYFUNCTION("""COMPUTED_VALUE"""),100.0)</f>
        <v>100</v>
      </c>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row>
    <row r="22">
      <c r="A22" s="1" t="str">
        <f>IFERROR(__xludf.DUMMYFUNCTION("""COMPUTED_VALUE"""),"Dragon Summoner")</f>
        <v>Dragon Summoner</v>
      </c>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row>
    <row r="23">
      <c r="A23" s="1" t="str">
        <f>IFERROR(__xludf.DUMMYFUNCTION("""COMPUTED_VALUE"""),"Eagle")</f>
        <v>Eagle</v>
      </c>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row>
    <row r="24">
      <c r="A24" s="1" t="str">
        <f>IFERROR(__xludf.DUMMYFUNCTION("""COMPUTED_VALUE"""),"Evil Moth")</f>
        <v>Evil Moth</v>
      </c>
      <c r="B24" s="1"/>
      <c r="C24" s="1"/>
      <c r="D24" s="1"/>
      <c r="E24" s="1"/>
      <c r="F24" s="1"/>
      <c r="G24" s="1">
        <f>IFERROR(__xludf.DUMMYFUNCTION("""COMPUTED_VALUE"""),100.0)</f>
        <v>100</v>
      </c>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row>
    <row r="25">
      <c r="A25" s="1" t="str">
        <f>IFERROR(__xludf.DUMMYFUNCTION("""COMPUTED_VALUE"""),"flaming dragon Knight")</f>
        <v>flaming dragon Knight</v>
      </c>
      <c r="B25" s="1" t="str">
        <f>IFERROR(__xludf.DUMMYFUNCTION("""COMPUTED_VALUE"""),"Immune")</f>
        <v>Immune</v>
      </c>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row>
    <row r="26">
      <c r="A26" s="1" t="str">
        <f>IFERROR(__xludf.DUMMYFUNCTION("""COMPUTED_VALUE"""),"Floating Skull")</f>
        <v>Floating Skull</v>
      </c>
      <c r="B26" s="1"/>
      <c r="C26" s="1"/>
      <c r="D26" s="1"/>
      <c r="E26" s="1"/>
      <c r="F26" s="1"/>
      <c r="G26" s="1">
        <f>IFERROR(__xludf.DUMMYFUNCTION("""COMPUTED_VALUE"""),100.0)</f>
        <v>100</v>
      </c>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row>
    <row r="27">
      <c r="A27" s="1" t="str">
        <f>IFERROR(__xludf.DUMMYFUNCTION("""COMPUTED_VALUE"""),"Forest Elf")</f>
        <v>Forest Elf</v>
      </c>
      <c r="B27" s="1"/>
      <c r="C27" s="1">
        <f>IFERROR(__xludf.DUMMYFUNCTION("""COMPUTED_VALUE"""),100.0)</f>
        <v>100</v>
      </c>
      <c r="D27" s="1"/>
      <c r="E27" s="1"/>
      <c r="F27" s="1"/>
      <c r="G27" s="1"/>
      <c r="H27" s="1"/>
      <c r="I27" s="1"/>
      <c r="J27" s="1"/>
      <c r="K27" s="1">
        <f>IFERROR(__xludf.DUMMYFUNCTION("""COMPUTED_VALUE"""),100.0)</f>
        <v>100</v>
      </c>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row>
    <row r="28">
      <c r="A28" s="1" t="str">
        <f>IFERROR(__xludf.DUMMYFUNCTION("""COMPUTED_VALUE"""),"Frost Knight")</f>
        <v>Frost Knight</v>
      </c>
      <c r="B28" s="1"/>
      <c r="C28" s="1" t="str">
        <f>IFERROR(__xludf.DUMMYFUNCTION("""COMPUTED_VALUE"""),"Immune")</f>
        <v>Immune</v>
      </c>
      <c r="D28" s="1"/>
      <c r="E28" s="1"/>
      <c r="F28" s="1"/>
      <c r="G28" s="1"/>
      <c r="H28" s="1"/>
      <c r="I28" s="1"/>
      <c r="J28" s="1"/>
      <c r="K28" s="1"/>
      <c r="L28" s="1"/>
      <c r="M28" s="1"/>
      <c r="N28" s="1"/>
      <c r="O28" s="1"/>
      <c r="P28" s="1"/>
      <c r="Q28" s="1"/>
      <c r="R28" s="1"/>
      <c r="S28" s="1"/>
      <c r="T28" s="1"/>
      <c r="U28" s="1"/>
      <c r="V28" s="1"/>
      <c r="W28" s="1"/>
      <c r="X28" s="1" t="str">
        <f>IFERROR(__xludf.DUMMYFUNCTION("""COMPUTED_VALUE"""),"Immune")</f>
        <v>Immune</v>
      </c>
      <c r="Y28" s="1" t="str">
        <f>IFERROR(__xludf.DUMMYFUNCTION("""COMPUTED_VALUE"""),"Immune")</f>
        <v>Immune</v>
      </c>
      <c r="Z28" s="1"/>
      <c r="AA28" s="1" t="str">
        <f>IFERROR(__xludf.DUMMYFUNCTION("""COMPUTED_VALUE"""),"Immune")</f>
        <v>Immune</v>
      </c>
      <c r="AB28" s="1"/>
      <c r="AC28" s="1"/>
      <c r="AD28" s="1"/>
      <c r="AE28" s="1"/>
      <c r="AF28" s="1"/>
      <c r="AG28" s="1"/>
      <c r="AH28" s="1"/>
      <c r="AI28" s="1"/>
      <c r="AJ28" s="1"/>
      <c r="AK28" s="1"/>
      <c r="AL28" s="1"/>
    </row>
    <row r="29">
      <c r="A29" s="1" t="str">
        <f>IFERROR(__xludf.DUMMYFUNCTION("""COMPUTED_VALUE"""),"Giant")</f>
        <v>Giant</v>
      </c>
      <c r="B29" s="1"/>
      <c r="C29" s="1"/>
      <c r="D29" s="1"/>
      <c r="E29" s="1">
        <f>IFERROR(__xludf.DUMMYFUNCTION("""COMPUTED_VALUE"""),100.0)</f>
        <v>100</v>
      </c>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row>
    <row r="30">
      <c r="A30" s="1" t="str">
        <f>IFERROR(__xludf.DUMMYFUNCTION("""COMPUTED_VALUE"""),"Giant Ancient Frost Troll")</f>
        <v>Giant Ancient Frost Troll</v>
      </c>
      <c r="B30" s="1"/>
      <c r="C30" s="1" t="str">
        <f>IFERROR(__xludf.DUMMYFUNCTION("""COMPUTED_VALUE"""),"Immune")</f>
        <v>Immune</v>
      </c>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row>
    <row r="31">
      <c r="A31" s="1" t="str">
        <f>IFERROR(__xludf.DUMMYFUNCTION("""COMPUTED_VALUE"""),"Giant Mutated Eel Shark")</f>
        <v>Giant Mutated Eel Shark</v>
      </c>
      <c r="B31" s="1" t="str">
        <f>IFERROR(__xludf.DUMMYFUNCTION("""COMPUTED_VALUE"""),"Immune")</f>
        <v>Immune</v>
      </c>
      <c r="C31" s="1">
        <f>IFERROR(__xludf.DUMMYFUNCTION("""COMPUTED_VALUE"""),100.0)</f>
        <v>100</v>
      </c>
      <c r="D31" s="1"/>
      <c r="E31" s="1"/>
      <c r="F31" s="1"/>
      <c r="G31" s="1"/>
      <c r="H31" s="1"/>
      <c r="I31" s="1"/>
      <c r="J31" s="1"/>
      <c r="K31" s="1" t="str">
        <f>IFERROR(__xludf.DUMMYFUNCTION("""COMPUTED_VALUE"""),"Immune")</f>
        <v>Immune</v>
      </c>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row>
    <row r="32">
      <c r="A32" s="1" t="str">
        <f>IFERROR(__xludf.DUMMYFUNCTION("""COMPUTED_VALUE"""),"Giant Scorpion")</f>
        <v>Giant Scorpion</v>
      </c>
      <c r="B32" s="1"/>
      <c r="C32" s="1">
        <f>IFERROR(__xludf.DUMMYFUNCTION("""COMPUTED_VALUE"""),100.0)</f>
        <v>100</v>
      </c>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row>
    <row r="33">
      <c r="A33" s="1" t="str">
        <f>IFERROR(__xludf.DUMMYFUNCTION("""COMPUTED_VALUE"""),"Giant Spider")</f>
        <v>Giant Spider</v>
      </c>
      <c r="B33" s="1"/>
      <c r="C33" s="1">
        <f>IFERROR(__xludf.DUMMYFUNCTION("""COMPUTED_VALUE"""),100.0)</f>
        <v>100</v>
      </c>
      <c r="D33" s="1"/>
      <c r="E33" s="1"/>
      <c r="F33" s="1"/>
      <c r="G33" s="1"/>
      <c r="H33" s="1"/>
      <c r="I33" s="1"/>
      <c r="J33" s="1"/>
      <c r="K33" s="1">
        <f>IFERROR(__xludf.DUMMYFUNCTION("""COMPUTED_VALUE"""),100.0)</f>
        <v>100</v>
      </c>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row>
    <row r="34">
      <c r="A34" s="1" t="str">
        <f>IFERROR(__xludf.DUMMYFUNCTION("""COMPUTED_VALUE"""),"Goblin")</f>
        <v>Goblin</v>
      </c>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row>
    <row r="35">
      <c r="A35" s="1" t="str">
        <f>IFERROR(__xludf.DUMMYFUNCTION("""COMPUTED_VALUE"""),"Griffin")</f>
        <v>Griffin</v>
      </c>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row>
    <row r="36">
      <c r="A36" s="1" t="str">
        <f>IFERROR(__xludf.DUMMYFUNCTION("""COMPUTED_VALUE"""),"Ground Tiger")</f>
        <v>Ground Tiger</v>
      </c>
      <c r="B36" s="1">
        <f>IFERROR(__xludf.DUMMYFUNCTION("""COMPUTED_VALUE"""),100.0)</f>
        <v>100</v>
      </c>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row>
    <row r="37">
      <c r="A37" s="1" t="str">
        <f>IFERROR(__xludf.DUMMYFUNCTION("""COMPUTED_VALUE"""),"Gytras: The Lord Of Jellyfish")</f>
        <v>Gytras: The Lord Of Jellyfish</v>
      </c>
      <c r="B37" s="1" t="str">
        <f>IFERROR(__xludf.DUMMYFUNCTION("""COMPUTED_VALUE"""),"Immune")</f>
        <v>Immune</v>
      </c>
      <c r="C37" s="1">
        <f>IFERROR(__xludf.DUMMYFUNCTION("""COMPUTED_VALUE"""),100.0)</f>
        <v>100</v>
      </c>
      <c r="D37" s="1">
        <f>IFERROR(__xludf.DUMMYFUNCTION("""COMPUTED_VALUE"""),100.0)</f>
        <v>100</v>
      </c>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row>
    <row r="38">
      <c r="A38" s="1" t="str">
        <f>IFERROR(__xludf.DUMMYFUNCTION("""COMPUTED_VALUE"""),"Haunted Scarecrow")</f>
        <v>Haunted Scarecrow</v>
      </c>
      <c r="B38" s="1"/>
      <c r="C38" s="1"/>
      <c r="D38" s="1"/>
      <c r="E38" s="1"/>
      <c r="F38" s="1"/>
      <c r="G38" s="1" t="str">
        <f>IFERROR(__xludf.DUMMYFUNCTION("""COMPUTED_VALUE"""),"Immune")</f>
        <v>Immune</v>
      </c>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row>
    <row r="39">
      <c r="A39" s="1" t="str">
        <f>IFERROR(__xludf.DUMMYFUNCTION("""COMPUTED_VALUE"""),"King Goose")</f>
        <v>King Goose</v>
      </c>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row>
    <row r="40">
      <c r="A40" s="1" t="str">
        <f>IFERROR(__xludf.DUMMYFUNCTION("""COMPUTED_VALUE"""),"Legendary Treant")</f>
        <v>Legendary Treant</v>
      </c>
      <c r="B40" s="1"/>
      <c r="C40" s="1" t="str">
        <f>IFERROR(__xludf.DUMMYFUNCTION("""COMPUTED_VALUE"""),"Immune")</f>
        <v>Immune</v>
      </c>
      <c r="D40" s="1"/>
      <c r="E40" s="1"/>
      <c r="F40" s="1"/>
      <c r="G40" s="1"/>
      <c r="H40" s="1"/>
      <c r="I40" s="1"/>
      <c r="J40" s="1"/>
      <c r="K40" s="1" t="str">
        <f>IFERROR(__xludf.DUMMYFUNCTION("""COMPUTED_VALUE"""),"Immune")</f>
        <v>Immune</v>
      </c>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row>
    <row r="41">
      <c r="A41" s="1" t="str">
        <f>IFERROR(__xludf.DUMMYFUNCTION("""COMPUTED_VALUE"""),"Locust Swarm")</f>
        <v>Locust Swarm</v>
      </c>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row>
    <row r="42">
      <c r="A42" s="1" t="str">
        <f>IFERROR(__xludf.DUMMYFUNCTION("""COMPUTED_VALUE"""),"Lord Goose")</f>
        <v>Lord Goose</v>
      </c>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row>
    <row r="43">
      <c r="A43" s="1" t="str">
        <f>IFERROR(__xludf.DUMMYFUNCTION("""COMPUTED_VALUE"""),"Manticore")</f>
        <v>Manticore</v>
      </c>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row>
    <row r="44">
      <c r="A44" s="1" t="str">
        <f>IFERROR(__xludf.DUMMYFUNCTION("""COMPUTED_VALUE"""),"Merk the undying sand Goblin")</f>
        <v>Merk the undying sand Goblin</v>
      </c>
      <c r="B44" s="1">
        <f>IFERROR(__xludf.DUMMYFUNCTION("""COMPUTED_VALUE"""),100.0)</f>
        <v>100</v>
      </c>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row>
    <row r="45">
      <c r="A45" s="1" t="str">
        <f>IFERROR(__xludf.DUMMYFUNCTION("""COMPUTED_VALUE"""),"Phantom")</f>
        <v>Phantom</v>
      </c>
      <c r="B45" s="1"/>
      <c r="C45" s="1"/>
      <c r="D45" s="1"/>
      <c r="E45" s="1"/>
      <c r="F45" s="1"/>
      <c r="G45" s="1" t="str">
        <f>IFERROR(__xludf.DUMMYFUNCTION("""COMPUTED_VALUE"""),"Immune")</f>
        <v>Immune</v>
      </c>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row>
    <row r="46">
      <c r="A46" s="1" t="str">
        <f>IFERROR(__xludf.DUMMYFUNCTION("""COMPUTED_VALUE"""),"Poison Warrior")</f>
        <v>Poison Warrior</v>
      </c>
      <c r="B46" s="1"/>
      <c r="C46" s="1"/>
      <c r="D46" s="1"/>
      <c r="E46" s="1"/>
      <c r="F46" s="1"/>
      <c r="G46" s="1"/>
      <c r="H46" s="1"/>
      <c r="I46" s="1"/>
      <c r="J46" s="1"/>
      <c r="K46" s="1">
        <f>IFERROR(__xludf.DUMMYFUNCTION("""COMPUTED_VALUE"""),100.0)</f>
        <v>100</v>
      </c>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row>
    <row r="47">
      <c r="A47" s="1" t="str">
        <f>IFERROR(__xludf.DUMMYFUNCTION("""COMPUTED_VALUE"""),"Rock Snake")</f>
        <v>Rock Snake</v>
      </c>
      <c r="B47" s="1">
        <f>IFERROR(__xludf.DUMMYFUNCTION("""COMPUTED_VALUE"""),100.0)</f>
        <v>100</v>
      </c>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row>
    <row r="48">
      <c r="A48" s="1" t="str">
        <f>IFERROR(__xludf.DUMMYFUNCTION("""COMPUTED_VALUE"""),"Sandmite")</f>
        <v>Sandmite</v>
      </c>
      <c r="B48" s="1">
        <f>IFERROR(__xludf.DUMMYFUNCTION("""COMPUTED_VALUE"""),100.0)</f>
        <v>100</v>
      </c>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row>
    <row r="49">
      <c r="A49" s="1" t="str">
        <f>IFERROR(__xludf.DUMMYFUNCTION("""COMPUTED_VALUE"""),"Shadow King")</f>
        <v>Shadow King</v>
      </c>
      <c r="B49" s="1"/>
      <c r="C49" s="1"/>
      <c r="D49" s="1"/>
      <c r="E49" s="1"/>
      <c r="F49" s="1"/>
      <c r="G49" s="1" t="str">
        <f>IFERROR(__xludf.DUMMYFUNCTION("""COMPUTED_VALUE"""),"Immune")</f>
        <v>Immune</v>
      </c>
      <c r="H49" s="1"/>
      <c r="I49" s="1"/>
      <c r="J49" s="1"/>
      <c r="K49" s="1"/>
      <c r="L49" s="1" t="str">
        <f>IFERROR(__xludf.DUMMYFUNCTION("""COMPUTED_VALUE"""),"Immune")</f>
        <v>Immune</v>
      </c>
      <c r="M49" s="1"/>
      <c r="N49" s="1"/>
      <c r="O49" s="1"/>
      <c r="P49" s="1"/>
      <c r="Q49" s="1"/>
      <c r="R49" s="1"/>
      <c r="S49" s="1"/>
      <c r="T49" s="1"/>
      <c r="U49" s="1"/>
      <c r="V49" s="1"/>
      <c r="W49" s="1"/>
      <c r="X49" s="1"/>
      <c r="Y49" s="1"/>
      <c r="Z49" s="1"/>
      <c r="AA49" s="1"/>
      <c r="AB49" s="1"/>
      <c r="AC49" s="1"/>
      <c r="AD49" s="1"/>
      <c r="AE49" s="1"/>
      <c r="AF49" s="1"/>
      <c r="AG49" s="1"/>
      <c r="AH49" s="1"/>
      <c r="AI49" s="1"/>
      <c r="AJ49" s="1"/>
      <c r="AK49" s="1"/>
      <c r="AL49" s="1"/>
    </row>
    <row r="50">
      <c r="A50" s="1" t="str">
        <f>IFERROR(__xludf.DUMMYFUNCTION("""COMPUTED_VALUE"""),"Shadow Suit of armor")</f>
        <v>Shadow Suit of armor</v>
      </c>
      <c r="B50" s="1"/>
      <c r="C50" s="1"/>
      <c r="D50" s="1"/>
      <c r="E50" s="1"/>
      <c r="F50" s="1"/>
      <c r="G50" s="1">
        <f>IFERROR(__xludf.DUMMYFUNCTION("""COMPUTED_VALUE"""),100.0)</f>
        <v>100</v>
      </c>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row>
    <row r="51">
      <c r="A51" s="1" t="str">
        <f>IFERROR(__xludf.DUMMYFUNCTION("""COMPUTED_VALUE"""),"Shadow Suit of armor")</f>
        <v>Shadow Suit of armor</v>
      </c>
      <c r="B51" s="1"/>
      <c r="C51" s="1"/>
      <c r="D51" s="1"/>
      <c r="E51" s="1"/>
      <c r="F51" s="1"/>
      <c r="G51" s="1" t="str">
        <f>IFERROR(__xludf.DUMMYFUNCTION("""COMPUTED_VALUE"""),"Immune")</f>
        <v>Immune</v>
      </c>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row>
    <row r="52">
      <c r="A52" s="1" t="str">
        <f>IFERROR(__xludf.DUMMYFUNCTION("""COMPUTED_VALUE"""),"Skeletal Warrior")</f>
        <v>Skeletal Warrior</v>
      </c>
      <c r="B52" s="1"/>
      <c r="C52" s="1"/>
      <c r="D52" s="1"/>
      <c r="E52" s="1"/>
      <c r="F52" s="1"/>
      <c r="G52" s="1">
        <f>IFERROR(__xludf.DUMMYFUNCTION("""COMPUTED_VALUE"""),100.0)</f>
        <v>100</v>
      </c>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row>
    <row r="53">
      <c r="A53" s="1" t="str">
        <f>IFERROR(__xludf.DUMMYFUNCTION("""COMPUTED_VALUE"""),"Skeleton Lord")</f>
        <v>Skeleton Lord</v>
      </c>
      <c r="B53" s="1"/>
      <c r="C53" s="1"/>
      <c r="D53" s="1"/>
      <c r="E53" s="1"/>
      <c r="F53" s="1"/>
      <c r="G53" s="1" t="str">
        <f>IFERROR(__xludf.DUMMYFUNCTION("""COMPUTED_VALUE"""),"Immune")</f>
        <v>Immune</v>
      </c>
      <c r="H53" s="1"/>
      <c r="I53" s="1"/>
      <c r="J53" s="1">
        <f>IFERROR(__xludf.DUMMYFUNCTION("""COMPUTED_VALUE"""),100.0)</f>
        <v>100</v>
      </c>
      <c r="K53" s="1"/>
      <c r="L53" s="1"/>
      <c r="M53" s="1"/>
      <c r="N53" s="1"/>
      <c r="O53" s="1"/>
      <c r="P53" s="1"/>
      <c r="Q53" s="1"/>
      <c r="R53" s="1"/>
      <c r="S53" s="1"/>
      <c r="T53" s="1"/>
      <c r="U53" s="1"/>
      <c r="V53" s="1"/>
      <c r="W53" s="1"/>
      <c r="X53" s="1" t="str">
        <f>IFERROR(__xludf.DUMMYFUNCTION("""COMPUTED_VALUE"""),"Immune")</f>
        <v>Immune</v>
      </c>
      <c r="Y53" s="1"/>
      <c r="Z53" s="1"/>
      <c r="AA53" s="1"/>
      <c r="AB53" s="1"/>
      <c r="AC53" s="1"/>
      <c r="AD53" s="1"/>
      <c r="AE53" s="1"/>
      <c r="AF53" s="1"/>
      <c r="AG53" s="1"/>
      <c r="AH53" s="1"/>
      <c r="AI53" s="1"/>
      <c r="AJ53" s="1"/>
      <c r="AK53" s="1"/>
      <c r="AL53" s="1"/>
    </row>
    <row r="54">
      <c r="A54" s="1" t="str">
        <f>IFERROR(__xludf.DUMMYFUNCTION("""COMPUTED_VALUE"""),"Slime")</f>
        <v>Slime</v>
      </c>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row>
    <row r="55">
      <c r="A55" s="1" t="str">
        <f>IFERROR(__xludf.DUMMYFUNCTION("""COMPUTED_VALUE"""),"Swamp Portal Guard")</f>
        <v>Swamp Portal Guard</v>
      </c>
      <c r="B55" s="1"/>
      <c r="C55" s="1">
        <f>IFERROR(__xludf.DUMMYFUNCTION("""COMPUTED_VALUE"""),100.0)</f>
        <v>100</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row>
    <row r="56">
      <c r="A56" s="1" t="str">
        <f>IFERROR(__xludf.DUMMYFUNCTION("""COMPUTED_VALUE"""),"The God Of Birch")</f>
        <v>The God Of Birch</v>
      </c>
      <c r="B56" s="1"/>
      <c r="C56" s="1"/>
      <c r="D56" s="1"/>
      <c r="E56" s="1"/>
      <c r="F56" s="1"/>
      <c r="G56" s="1"/>
      <c r="H56" s="1"/>
      <c r="I56" s="1"/>
      <c r="J56" s="1"/>
      <c r="K56" s="1"/>
      <c r="L56" s="1"/>
      <c r="M56" s="1"/>
      <c r="N56" s="1"/>
      <c r="O56" s="1"/>
      <c r="P56" s="1"/>
      <c r="Q56" s="1"/>
      <c r="R56" s="1"/>
      <c r="S56" s="1"/>
      <c r="T56" s="1"/>
      <c r="U56" s="1"/>
      <c r="V56" s="1"/>
      <c r="W56" s="1"/>
      <c r="X56" s="1" t="str">
        <f>IFERROR(__xludf.DUMMYFUNCTION("""COMPUTED_VALUE"""),"Immune")</f>
        <v>Immune</v>
      </c>
      <c r="Y56" s="1"/>
      <c r="Z56" s="1"/>
      <c r="AA56" s="1"/>
      <c r="AB56" s="1"/>
      <c r="AC56" s="1"/>
      <c r="AD56" s="1"/>
      <c r="AE56" s="1"/>
      <c r="AF56" s="1"/>
      <c r="AG56" s="1"/>
      <c r="AH56" s="1"/>
      <c r="AI56" s="1"/>
      <c r="AJ56" s="1"/>
      <c r="AK56" s="1"/>
      <c r="AL56" s="1"/>
    </row>
    <row r="57">
      <c r="A57" s="1" t="str">
        <f>IFERROR(__xludf.DUMMYFUNCTION("""COMPUTED_VALUE"""),"The Guardian Of Death")</f>
        <v>The Guardian Of Death</v>
      </c>
      <c r="B57" s="1"/>
      <c r="C57" s="1"/>
      <c r="D57" s="1"/>
      <c r="E57" s="1"/>
      <c r="F57" s="1"/>
      <c r="G57" s="1" t="str">
        <f>IFERROR(__xludf.DUMMYFUNCTION("""COMPUTED_VALUE"""),"Immune")</f>
        <v>Immune</v>
      </c>
      <c r="H57" s="1"/>
      <c r="I57" s="1"/>
      <c r="J57" s="1" t="str">
        <f>IFERROR(__xludf.DUMMYFUNCTION("""COMPUTED_VALUE"""),"Immune")</f>
        <v>Immune</v>
      </c>
      <c r="K57" s="1"/>
      <c r="L57" s="1"/>
      <c r="M57" s="1"/>
      <c r="N57" s="1"/>
      <c r="O57" s="1"/>
      <c r="P57" s="1"/>
      <c r="Q57" s="1"/>
      <c r="R57" s="1"/>
      <c r="S57" s="1"/>
      <c r="T57" s="1"/>
      <c r="U57" s="1"/>
      <c r="V57" s="1"/>
      <c r="W57" s="1"/>
      <c r="X57" s="1" t="str">
        <f>IFERROR(__xludf.DUMMYFUNCTION("""COMPUTED_VALUE"""),"Immune")</f>
        <v>Immune</v>
      </c>
      <c r="Y57" s="1" t="str">
        <f>IFERROR(__xludf.DUMMYFUNCTION("""COMPUTED_VALUE"""),"Immune")</f>
        <v>Immune</v>
      </c>
      <c r="Z57" s="1"/>
      <c r="AA57" s="1" t="str">
        <f>IFERROR(__xludf.DUMMYFUNCTION("""COMPUTED_VALUE"""),"Immune")</f>
        <v>Immune</v>
      </c>
      <c r="AB57" s="1"/>
      <c r="AC57" s="1"/>
      <c r="AD57" s="1"/>
      <c r="AE57" s="1"/>
      <c r="AF57" s="1"/>
      <c r="AG57" s="1"/>
      <c r="AH57" s="1"/>
      <c r="AI57" s="1"/>
      <c r="AJ57" s="1"/>
      <c r="AK57" s="1"/>
      <c r="AL57" s="1"/>
    </row>
    <row r="58">
      <c r="A58" s="1" t="str">
        <f>IFERROR(__xludf.DUMMYFUNCTION("""COMPUTED_VALUE"""),"The Guardian Of The Mystic Well")</f>
        <v>The Guardian Of The Mystic Well</v>
      </c>
      <c r="B58" s="1" t="str">
        <f>IFERROR(__xludf.DUMMYFUNCTION("""COMPUTED_VALUE"""),"Immune")</f>
        <v>Immune</v>
      </c>
      <c r="C58" s="1" t="str">
        <f>IFERROR(__xludf.DUMMYFUNCTION("""COMPUTED_VALUE"""),"Immune")</f>
        <v>Immune</v>
      </c>
      <c r="D58" s="1">
        <f>IFERROR(__xludf.DUMMYFUNCTION("""COMPUTED_VALUE"""),100.0)</f>
        <v>100</v>
      </c>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row>
    <row r="59">
      <c r="A59" s="1" t="str">
        <f>IFERROR(__xludf.DUMMYFUNCTION("""COMPUTED_VALUE"""),"The Kraken")</f>
        <v>The Kraken</v>
      </c>
      <c r="B59" s="1" t="str">
        <f>IFERROR(__xludf.DUMMYFUNCTION("""COMPUTED_VALUE"""),"Immune")</f>
        <v>Immune</v>
      </c>
      <c r="C59" s="1" t="str">
        <f>IFERROR(__xludf.DUMMYFUNCTION("""COMPUTED_VALUE"""),"Immune")</f>
        <v>Immune</v>
      </c>
      <c r="D59" s="1"/>
      <c r="E59" s="1"/>
      <c r="F59" s="1"/>
      <c r="G59" s="1"/>
      <c r="H59" s="1"/>
      <c r="I59" s="1"/>
      <c r="J59" s="1"/>
      <c r="K59" s="1"/>
      <c r="L59" s="1"/>
      <c r="M59" s="1"/>
      <c r="N59" s="1"/>
      <c r="O59" s="1"/>
      <c r="P59" s="1"/>
      <c r="Q59" s="1"/>
      <c r="R59" s="1"/>
      <c r="S59" s="1"/>
      <c r="T59" s="1"/>
      <c r="U59" s="1"/>
      <c r="V59" s="1"/>
      <c r="W59" s="1"/>
      <c r="X59" s="1" t="str">
        <f>IFERROR(__xludf.DUMMYFUNCTION("""COMPUTED_VALUE"""),"Immune")</f>
        <v>Immune</v>
      </c>
      <c r="Y59" s="1" t="str">
        <f>IFERROR(__xludf.DUMMYFUNCTION("""COMPUTED_VALUE"""),"Immune")</f>
        <v>Immune</v>
      </c>
      <c r="Z59" s="1"/>
      <c r="AA59" s="1" t="str">
        <f>IFERROR(__xludf.DUMMYFUNCTION("""COMPUTED_VALUE"""),"Immune")</f>
        <v>Immune</v>
      </c>
      <c r="AB59" s="1"/>
      <c r="AC59" s="1"/>
      <c r="AD59" s="1"/>
      <c r="AE59" s="1"/>
      <c r="AF59" s="1"/>
      <c r="AG59" s="1"/>
      <c r="AH59" s="1"/>
      <c r="AI59" s="1"/>
      <c r="AJ59" s="1"/>
      <c r="AK59" s="1"/>
      <c r="AL59" s="1"/>
    </row>
    <row r="60">
      <c r="A60" s="1" t="str">
        <f>IFERROR(__xludf.DUMMYFUNCTION("""COMPUTED_VALUE"""),"The Undead King")</f>
        <v>The Undead King</v>
      </c>
      <c r="B60" s="1"/>
      <c r="C60" s="1"/>
      <c r="D60" s="1"/>
      <c r="E60" s="1"/>
      <c r="F60" s="1"/>
      <c r="G60" s="1" t="str">
        <f>IFERROR(__xludf.DUMMYFUNCTION("""COMPUTED_VALUE"""),"Immune")</f>
        <v>Immune</v>
      </c>
      <c r="H60" s="1"/>
      <c r="I60" s="1"/>
      <c r="J60" s="1"/>
      <c r="K60" s="1"/>
      <c r="L60" s="1"/>
      <c r="M60" s="1"/>
      <c r="N60" s="1"/>
      <c r="O60" s="1"/>
      <c r="P60" s="1"/>
      <c r="Q60" s="1"/>
      <c r="R60" s="1"/>
      <c r="S60" s="1"/>
      <c r="T60" s="1"/>
      <c r="U60" s="1"/>
      <c r="V60" s="1"/>
      <c r="W60" s="1"/>
      <c r="X60" s="1" t="str">
        <f>IFERROR(__xludf.DUMMYFUNCTION("""COMPUTED_VALUE"""),"Immune")</f>
        <v>Immune</v>
      </c>
      <c r="Y60" s="1" t="str">
        <f>IFERROR(__xludf.DUMMYFUNCTION("""COMPUTED_VALUE"""),"Immune")</f>
        <v>Immune</v>
      </c>
      <c r="Z60" s="1"/>
      <c r="AA60" s="1" t="str">
        <f>IFERROR(__xludf.DUMMYFUNCTION("""COMPUTED_VALUE"""),"Immune")</f>
        <v>Immune</v>
      </c>
      <c r="AB60" s="1"/>
      <c r="AC60" s="1"/>
      <c r="AD60" s="1"/>
      <c r="AE60" s="1"/>
      <c r="AF60" s="1"/>
      <c r="AG60" s="1"/>
      <c r="AH60" s="1"/>
      <c r="AI60" s="1"/>
      <c r="AJ60" s="1"/>
      <c r="AK60" s="1"/>
      <c r="AL60" s="1"/>
    </row>
    <row r="61">
      <c r="A61" s="1" t="str">
        <f>IFERROR(__xludf.DUMMYFUNCTION("""COMPUTED_VALUE"""),"Twilight Cultist")</f>
        <v>Twilight Cultist</v>
      </c>
      <c r="B61" s="1"/>
      <c r="C61" s="1"/>
      <c r="D61" s="1"/>
      <c r="E61" s="1"/>
      <c r="F61" s="1"/>
      <c r="G61" s="1"/>
      <c r="H61" s="1"/>
      <c r="I61" s="1"/>
      <c r="J61" s="1"/>
      <c r="K61" s="1"/>
      <c r="L61" s="1"/>
      <c r="M61" s="1"/>
      <c r="N61" s="1"/>
      <c r="O61" s="1"/>
      <c r="P61" s="1">
        <f>IFERROR(__xludf.DUMMYFUNCTION("""COMPUTED_VALUE"""),100.0)</f>
        <v>100</v>
      </c>
      <c r="Q61" s="1"/>
      <c r="R61" s="1"/>
      <c r="S61" s="1"/>
      <c r="T61" s="1"/>
      <c r="U61" s="1"/>
      <c r="V61" s="1"/>
      <c r="W61" s="1"/>
      <c r="X61" s="1"/>
      <c r="Y61" s="1"/>
      <c r="Z61" s="1"/>
      <c r="AA61" s="1"/>
      <c r="AB61" s="1"/>
      <c r="AC61" s="1"/>
      <c r="AD61" s="1"/>
      <c r="AE61" s="1"/>
      <c r="AF61" s="1"/>
      <c r="AG61" s="1"/>
      <c r="AH61" s="1"/>
      <c r="AI61" s="1"/>
      <c r="AJ61" s="1"/>
      <c r="AK61" s="1"/>
      <c r="AL61" s="1"/>
    </row>
    <row r="62">
      <c r="A62" s="1" t="str">
        <f>IFERROR(__xludf.DUMMYFUNCTION("""COMPUTED_VALUE"""),"Voodoo Shameness")</f>
        <v>Voodoo Shameness</v>
      </c>
      <c r="B62" s="1"/>
      <c r="C62" s="1"/>
      <c r="D62" s="1"/>
      <c r="E62" s="1"/>
      <c r="F62" s="1">
        <f>IFERROR(__xludf.DUMMYFUNCTION("""COMPUTED_VALUE"""),100.0)</f>
        <v>100</v>
      </c>
      <c r="G62" s="1"/>
      <c r="H62" s="1"/>
      <c r="I62" s="1">
        <f>IFERROR(__xludf.DUMMYFUNCTION("""COMPUTED_VALUE"""),100.0)</f>
        <v>100</v>
      </c>
      <c r="J62" s="1"/>
      <c r="K62" s="1"/>
      <c r="L62" s="1"/>
      <c r="M62" s="1"/>
      <c r="N62" s="1"/>
      <c r="O62" s="1"/>
      <c r="P62" s="1"/>
      <c r="Q62" s="1"/>
      <c r="R62" s="1"/>
      <c r="S62" s="1"/>
      <c r="T62" s="1">
        <f>IFERROR(__xludf.DUMMYFUNCTION("""COMPUTED_VALUE"""),100.0)</f>
        <v>100</v>
      </c>
      <c r="U62" s="1"/>
      <c r="V62" s="1"/>
      <c r="W62" s="1"/>
      <c r="X62" s="1"/>
      <c r="Y62" s="1"/>
      <c r="Z62" s="1"/>
      <c r="AA62" s="1"/>
      <c r="AB62" s="1"/>
      <c r="AC62" s="1"/>
      <c r="AD62" s="1"/>
      <c r="AE62" s="1"/>
      <c r="AF62" s="1"/>
      <c r="AG62" s="1"/>
      <c r="AH62" s="1"/>
      <c r="AI62" s="1"/>
      <c r="AJ62" s="1"/>
      <c r="AK62" s="1"/>
      <c r="AL62" s="1"/>
    </row>
    <row r="63">
      <c r="A63" s="1" t="str">
        <f>IFERROR(__xludf.DUMMYFUNCTION("""COMPUTED_VALUE"""),"Witch")</f>
        <v>Witch</v>
      </c>
      <c r="B63" s="1"/>
      <c r="C63" s="1"/>
      <c r="D63" s="1"/>
      <c r="E63" s="1"/>
      <c r="F63" s="1"/>
      <c r="G63" s="1">
        <f>IFERROR(__xludf.DUMMYFUNCTION("""COMPUTED_VALUE"""),100.0)</f>
        <v>100</v>
      </c>
      <c r="H63" s="1"/>
      <c r="I63" s="1"/>
      <c r="J63" s="1">
        <f>IFERROR(__xludf.DUMMYFUNCTION("""COMPUTED_VALUE"""),100.0)</f>
        <v>100</v>
      </c>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row>
    <row r="64">
      <c r="A64" s="1" t="str">
        <f>IFERROR(__xludf.DUMMYFUNCTION("""COMPUTED_VALUE"""),"Zombie")</f>
        <v>Zombie</v>
      </c>
      <c r="B64" s="1"/>
      <c r="C64" s="1"/>
      <c r="D64" s="1"/>
      <c r="E64" s="1"/>
      <c r="F64" s="1"/>
      <c r="G64" s="1">
        <f>IFERROR(__xludf.DUMMYFUNCTION("""COMPUTED_VALUE"""),100.0)</f>
        <v>100</v>
      </c>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row>
    <row r="65">
      <c r="A65" s="1" t="str">
        <f>IFERROR(__xludf.DUMMYFUNCTION("""COMPUTED_VALUE"""),"Zombie Whale Shark")</f>
        <v>Zombie Whale Shark</v>
      </c>
      <c r="B65" s="1" t="str">
        <f>IFERROR(__xludf.DUMMYFUNCTION("""COMPUTED_VALUE"""),"Immune")</f>
        <v>Immune</v>
      </c>
      <c r="C65" s="1" t="str">
        <f>IFERROR(__xludf.DUMMYFUNCTION("""COMPUTED_VALUE"""),"Immune")</f>
        <v>Immune</v>
      </c>
      <c r="D65" s="1"/>
      <c r="E65" s="1"/>
      <c r="F65" s="1"/>
      <c r="G65" s="1" t="str">
        <f>IFERROR(__xludf.DUMMYFUNCTION("""COMPUTED_VALUE"""),"Immune")</f>
        <v>Immune</v>
      </c>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row>
    <row r="66">
      <c r="A66" s="1" t="str">
        <f>IFERROR(__xludf.DUMMYFUNCTION("""COMPUTED_VALUE"""),"Zombie")</f>
        <v>Zombie</v>
      </c>
      <c r="B66" s="1"/>
      <c r="C66" s="1"/>
      <c r="D66" s="1"/>
      <c r="E66" s="1"/>
      <c r="F66" s="1"/>
      <c r="G66" s="1" t="str">
        <f>IFERROR(__xludf.DUMMYFUNCTION("""COMPUTED_VALUE"""),"Immune")</f>
        <v>Immune</v>
      </c>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row>
    <row r="67">
      <c r="A67" s="1" t="str">
        <f>IFERROR(__xludf.DUMMYFUNCTION("""COMPUTED_VALUE"""),"Headless Horseman ")</f>
        <v>Headless Horseman </v>
      </c>
      <c r="B67" s="1"/>
      <c r="C67" s="1"/>
      <c r="D67" s="1"/>
      <c r="E67" s="1"/>
      <c r="F67" s="1"/>
      <c r="G67" s="1" t="str">
        <f>IFERROR(__xludf.DUMMYFUNCTION("""COMPUTED_VALUE"""),"Immune")</f>
        <v>Immune</v>
      </c>
      <c r="H67" s="1"/>
      <c r="I67" s="1"/>
      <c r="J67" s="1" t="str">
        <f>IFERROR(__xludf.DUMMYFUNCTION("""COMPUTED_VALUE"""),"Immune")</f>
        <v>Immune</v>
      </c>
      <c r="K67" s="1"/>
      <c r="L67" s="1"/>
      <c r="M67" s="1"/>
      <c r="N67" s="1"/>
      <c r="O67" s="1"/>
      <c r="P67" s="1"/>
      <c r="Q67" s="1" t="str">
        <f>IFERROR(__xludf.DUMMYFUNCTION("""COMPUTED_VALUE"""),"Immune")</f>
        <v>Immune</v>
      </c>
      <c r="R67" s="1"/>
      <c r="S67" s="1"/>
      <c r="T67" s="1"/>
      <c r="U67" s="1"/>
      <c r="V67" s="1"/>
      <c r="W67" s="1"/>
      <c r="X67" s="1" t="str">
        <f>IFERROR(__xludf.DUMMYFUNCTION("""COMPUTED_VALUE"""),"Immune")</f>
        <v>Immune</v>
      </c>
      <c r="Y67" s="1" t="str">
        <f>IFERROR(__xludf.DUMMYFUNCTION("""COMPUTED_VALUE"""),"Immune")</f>
        <v>Immune</v>
      </c>
      <c r="Z67" s="1"/>
      <c r="AA67" s="1" t="str">
        <f>IFERROR(__xludf.DUMMYFUNCTION("""COMPUTED_VALUE"""),"Immune")</f>
        <v>Immune</v>
      </c>
      <c r="AB67" s="1"/>
      <c r="AC67" s="1"/>
      <c r="AD67" s="1"/>
      <c r="AE67" s="1"/>
      <c r="AF67" s="1"/>
      <c r="AG67" s="1"/>
      <c r="AH67" s="1"/>
      <c r="AI67" s="1"/>
      <c r="AJ67" s="1"/>
      <c r="AK67" s="1"/>
      <c r="AL67" s="1"/>
    </row>
    <row r="68">
      <c r="A68" s="1" t="str">
        <f>IFERROR(__xludf.DUMMYFUNCTION("""COMPUTED_VALUE"""),"Vampire")</f>
        <v>Vampire</v>
      </c>
      <c r="B68" s="1"/>
      <c r="C68" s="1"/>
      <c r="D68" s="1"/>
      <c r="E68" s="1"/>
      <c r="F68" s="1"/>
      <c r="G68" s="1" t="str">
        <f>IFERROR(__xludf.DUMMYFUNCTION("""COMPUTED_VALUE"""),"Immune")</f>
        <v>Immune</v>
      </c>
      <c r="H68" s="1"/>
      <c r="I68" s="1"/>
      <c r="J68" s="1"/>
      <c r="K68" s="1"/>
      <c r="L68" s="1"/>
      <c r="M68" s="1"/>
      <c r="N68" s="1"/>
      <c r="O68" s="1"/>
      <c r="P68" s="1"/>
      <c r="Q68" s="1"/>
      <c r="R68" s="1" t="str">
        <f>IFERROR(__xludf.DUMMYFUNCTION("""COMPUTED_VALUE"""),"Immune")</f>
        <v>Immune</v>
      </c>
      <c r="S68" s="1"/>
      <c r="T68" s="1"/>
      <c r="U68" s="1"/>
      <c r="V68" s="1"/>
      <c r="W68" s="1"/>
      <c r="X68" s="1"/>
      <c r="Y68" s="1"/>
      <c r="Z68" s="1"/>
      <c r="AA68" s="1"/>
      <c r="AB68" s="1"/>
      <c r="AC68" s="1"/>
      <c r="AD68" s="1"/>
      <c r="AE68" s="1"/>
      <c r="AF68" s="1"/>
      <c r="AG68" s="1"/>
      <c r="AH68" s="1"/>
      <c r="AI68" s="1"/>
      <c r="AJ68" s="1"/>
      <c r="AK68" s="1"/>
      <c r="AL68" s="1"/>
    </row>
    <row r="69">
      <c r="A69" s="1" t="str">
        <f>IFERROR(__xludf.DUMMYFUNCTION("""COMPUTED_VALUE"""),"Vampire King")</f>
        <v>Vampire King</v>
      </c>
      <c r="B69" s="1"/>
      <c r="C69" s="1"/>
      <c r="D69" s="1"/>
      <c r="E69" s="1"/>
      <c r="F69" s="1"/>
      <c r="G69" s="1" t="str">
        <f>IFERROR(__xludf.DUMMYFUNCTION("""COMPUTED_VALUE"""),"Immune")</f>
        <v>Immune</v>
      </c>
      <c r="H69" s="1"/>
      <c r="I69" s="1"/>
      <c r="J69" s="1"/>
      <c r="K69" s="1"/>
      <c r="L69" s="1"/>
      <c r="M69" s="1"/>
      <c r="N69" s="1"/>
      <c r="O69" s="1"/>
      <c r="P69" s="1"/>
      <c r="Q69" s="1"/>
      <c r="R69" s="1" t="str">
        <f>IFERROR(__xludf.DUMMYFUNCTION("""COMPUTED_VALUE"""),"Immune")</f>
        <v>Immune</v>
      </c>
      <c r="S69" s="1"/>
      <c r="T69" s="1"/>
      <c r="U69" s="1"/>
      <c r="V69" s="1"/>
      <c r="W69" s="1"/>
      <c r="X69" s="1" t="str">
        <f>IFERROR(__xludf.DUMMYFUNCTION("""COMPUTED_VALUE"""),"Immune")</f>
        <v>Immune</v>
      </c>
      <c r="Y69" s="1" t="str">
        <f>IFERROR(__xludf.DUMMYFUNCTION("""COMPUTED_VALUE"""),"Immune")</f>
        <v>Immune</v>
      </c>
      <c r="Z69" s="1"/>
      <c r="AA69" s="1" t="str">
        <f>IFERROR(__xludf.DUMMYFUNCTION("""COMPUTED_VALUE"""),"Immune")</f>
        <v>Immune</v>
      </c>
      <c r="AB69" s="1"/>
      <c r="AC69" s="1"/>
      <c r="AD69" s="1"/>
      <c r="AE69" s="1"/>
      <c r="AF69" s="1"/>
      <c r="AG69" s="1"/>
      <c r="AH69" s="1"/>
      <c r="AI69" s="1"/>
      <c r="AJ69" s="1"/>
      <c r="AK69" s="1"/>
      <c r="AL69" s="1"/>
    </row>
    <row r="70">
      <c r="A70" s="1" t="str">
        <f>IFERROR(__xludf.DUMMYFUNCTION("""COMPUTED_VALUE"""),"Werewolf")</f>
        <v>Werewolf</v>
      </c>
      <c r="B70" s="1"/>
      <c r="C70" s="1"/>
      <c r="D70" s="1"/>
      <c r="E70" s="1"/>
      <c r="F70" s="1"/>
      <c r="G70" s="1" t="str">
        <f>IFERROR(__xludf.DUMMYFUNCTION("""COMPUTED_VALUE"""),"Immune")</f>
        <v>Immune</v>
      </c>
      <c r="H70" s="1"/>
      <c r="I70" s="1"/>
      <c r="J70" s="1"/>
      <c r="K70" s="1"/>
      <c r="L70" s="1"/>
      <c r="M70" s="1"/>
      <c r="N70" s="1"/>
      <c r="O70" s="1"/>
      <c r="P70" s="1"/>
      <c r="Q70" s="1"/>
      <c r="R70" s="1" t="str">
        <f>IFERROR(__xludf.DUMMYFUNCTION("""COMPUTED_VALUE"""),"Immune")</f>
        <v>Immune</v>
      </c>
      <c r="S70" s="1"/>
      <c r="T70" s="1"/>
      <c r="U70" s="1"/>
      <c r="V70" s="1"/>
      <c r="W70" s="1"/>
      <c r="X70" s="1"/>
      <c r="Y70" s="1"/>
      <c r="Z70" s="1"/>
      <c r="AA70" s="1"/>
      <c r="AB70" s="1"/>
      <c r="AC70" s="1"/>
      <c r="AD70" s="1"/>
      <c r="AE70" s="1"/>
      <c r="AF70" s="1"/>
      <c r="AG70" s="1"/>
      <c r="AH70" s="1"/>
      <c r="AI70" s="1"/>
      <c r="AJ70" s="1"/>
      <c r="AK70" s="1"/>
      <c r="AL70" s="1"/>
    </row>
    <row r="71">
      <c r="A71" s="1" t="str">
        <f>IFERROR(__xludf.DUMMYFUNCTION("""COMPUTED_VALUE"""),"Phantom of lord dreadful")</f>
        <v>Phantom of lord dreadful</v>
      </c>
      <c r="B71" s="1"/>
      <c r="C71" s="1"/>
      <c r="D71" s="1"/>
      <c r="E71" s="1"/>
      <c r="F71" s="1"/>
      <c r="G71" s="1" t="str">
        <f>IFERROR(__xludf.DUMMYFUNCTION("""COMPUTED_VALUE"""),"Immune")</f>
        <v>Immune</v>
      </c>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row>
    <row r="72">
      <c r="A72" s="1" t="str">
        <f>IFERROR(__xludf.DUMMYFUNCTION("""COMPUTED_VALUE"""),"Reaper Of Spira (25% chance of this enemy appearing when you complain about being targeted)")</f>
        <v>Reaper Of Spira (25% chance of this enemy appearing when you complain about being targeted)</v>
      </c>
      <c r="B72" s="1"/>
      <c r="C72" s="1"/>
      <c r="D72" s="1"/>
      <c r="E72" s="1"/>
      <c r="F72" s="1"/>
      <c r="G72" s="1"/>
      <c r="H72" s="1"/>
      <c r="I72" s="1"/>
      <c r="J72" s="1"/>
      <c r="K72" s="1"/>
      <c r="L72" s="1"/>
      <c r="M72" s="1"/>
      <c r="N72" s="1"/>
      <c r="O72" s="1"/>
      <c r="P72" s="1"/>
      <c r="Q72" s="1"/>
      <c r="R72" s="1"/>
      <c r="S72" s="1"/>
      <c r="T72" s="1"/>
      <c r="U72" s="1"/>
      <c r="V72" s="1"/>
      <c r="W72" s="1"/>
      <c r="X72" s="1" t="str">
        <f>IFERROR(__xludf.DUMMYFUNCTION("""COMPUTED_VALUE"""),"Immune")</f>
        <v>Immune</v>
      </c>
      <c r="Y72" s="1" t="str">
        <f>IFERROR(__xludf.DUMMYFUNCTION("""COMPUTED_VALUE"""),"Immune")</f>
        <v>Immune</v>
      </c>
      <c r="Z72" s="1"/>
      <c r="AA72" s="1"/>
      <c r="AB72" s="1"/>
      <c r="AC72" s="1"/>
      <c r="AD72" s="1"/>
      <c r="AE72" s="1"/>
      <c r="AF72" s="1"/>
      <c r="AG72" s="1"/>
      <c r="AH72" s="1"/>
      <c r="AI72" s="1"/>
      <c r="AJ72" s="1"/>
      <c r="AK72" s="1"/>
      <c r="AL72" s="1"/>
    </row>
    <row r="73">
      <c r="A73" s="1"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row>
    <row r="74">
      <c r="A74" s="1" t="str">
        <f>IFERROR(__xludf.DUMMYFUNCTION("""COMPUTED_VALUE"""),"The Horseman Of Lord Dreadful No. 2 This enemy will appear alongside The Horseman Of Lord Dreadful No. 1")</f>
        <v>The Horseman Of Lord Dreadful No. 2 This enemy will appear alongside The Horseman Of Lord Dreadful No. 1</v>
      </c>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row>
    <row r="75">
      <c r="A75" s="1" t="str">
        <f>IFERROR(__xludf.DUMMYFUNCTION("""COMPUTED_VALUE"""),"Sorana- Demon Of The Cycle")</f>
        <v>Sorana- Demon Of The Cycle</v>
      </c>
      <c r="B75" s="1"/>
      <c r="C75" s="1"/>
      <c r="D75" s="1"/>
      <c r="E75" s="1"/>
      <c r="F75" s="1"/>
      <c r="G75" s="1" t="str">
        <f>IFERROR(__xludf.DUMMYFUNCTION("""COMPUTED_VALUE"""),"Immune")</f>
        <v>Immune</v>
      </c>
      <c r="H75" s="1"/>
      <c r="I75" s="1"/>
      <c r="J75" s="1" t="str">
        <f>IFERROR(__xludf.DUMMYFUNCTION("""COMPUTED_VALUE"""),"Immune")</f>
        <v>Immune</v>
      </c>
      <c r="K75" s="1"/>
      <c r="L75" s="1"/>
      <c r="M75" s="1"/>
      <c r="N75" s="1"/>
      <c r="O75" s="1"/>
      <c r="P75" s="1"/>
      <c r="Q75" s="1" t="str">
        <f>IFERROR(__xludf.DUMMYFUNCTION("""COMPUTED_VALUE"""),"Immune")</f>
        <v>Immune</v>
      </c>
      <c r="R75" s="1"/>
      <c r="S75" s="1"/>
      <c r="T75" s="1"/>
      <c r="U75" s="1"/>
      <c r="V75" s="1"/>
      <c r="W75" s="1"/>
      <c r="X75" s="1" t="str">
        <f>IFERROR(__xludf.DUMMYFUNCTION("""COMPUTED_VALUE"""),"Immune")</f>
        <v>Immune</v>
      </c>
      <c r="Y75" s="1" t="str">
        <f>IFERROR(__xludf.DUMMYFUNCTION("""COMPUTED_VALUE"""),"Immune")</f>
        <v>Immune</v>
      </c>
      <c r="Z75" s="1"/>
      <c r="AA75" s="1" t="str">
        <f>IFERROR(__xludf.DUMMYFUNCTION("""COMPUTED_VALUE"""),"Immune")</f>
        <v>Immune</v>
      </c>
      <c r="AB75" s="1"/>
      <c r="AC75" s="1"/>
      <c r="AD75" s="1"/>
      <c r="AE75" s="1"/>
      <c r="AF75" s="1"/>
      <c r="AG75" s="1"/>
      <c r="AH75" s="1"/>
      <c r="AI75" s="1"/>
      <c r="AJ75" s="1"/>
      <c r="AK75" s="1"/>
      <c r="AL75" s="1"/>
    </row>
    <row r="76">
      <c r="A76" s="1" t="str">
        <f>IFERROR(__xludf.DUMMYFUNCTION("""COMPUTED_VALUE"""),"Swamp Dragon")</f>
        <v>Swamp Dragon</v>
      </c>
      <c r="B76" s="1"/>
      <c r="C76" s="1"/>
      <c r="D76" s="1"/>
      <c r="E76" s="1"/>
      <c r="F76" s="1"/>
      <c r="G76" s="1"/>
      <c r="H76" s="1"/>
      <c r="I76" s="1"/>
      <c r="J76" s="1"/>
      <c r="K76" s="1" t="str">
        <f>IFERROR(__xludf.DUMMYFUNCTION("""COMPUTED_VALUE"""),"Immune")</f>
        <v>Immune</v>
      </c>
      <c r="L76" s="1"/>
      <c r="M76" s="1"/>
      <c r="N76" s="1"/>
      <c r="O76" s="1"/>
      <c r="P76" s="1"/>
      <c r="Q76" s="1"/>
      <c r="R76" s="1"/>
      <c r="S76" s="1"/>
      <c r="T76" s="1"/>
      <c r="U76" s="1"/>
      <c r="V76" s="1"/>
      <c r="W76" s="1"/>
      <c r="X76" s="1" t="str">
        <f>IFERROR(__xludf.DUMMYFUNCTION("""COMPUTED_VALUE"""),"Immune")</f>
        <v>Immune</v>
      </c>
      <c r="Y76" s="1" t="str">
        <f>IFERROR(__xludf.DUMMYFUNCTION("""COMPUTED_VALUE"""),"Immune")</f>
        <v>Immune</v>
      </c>
      <c r="Z76" s="1"/>
      <c r="AA76" s="1" t="str">
        <f>IFERROR(__xludf.DUMMYFUNCTION("""COMPUTED_VALUE"""),"Immune")</f>
        <v>Immune</v>
      </c>
      <c r="AB76" s="1"/>
      <c r="AC76" s="1"/>
      <c r="AD76" s="1"/>
      <c r="AE76" s="1"/>
      <c r="AF76" s="1"/>
      <c r="AG76" s="1"/>
      <c r="AH76" s="1"/>
      <c r="AI76" s="1"/>
      <c r="AJ76" s="1"/>
      <c r="AK76" s="1"/>
      <c r="AL76" s="1"/>
    </row>
    <row r="77">
      <c r="A77" s="1" t="str">
        <f>IFERROR(__xludf.DUMMYFUNCTION("""COMPUTED_VALUE"""),"Stone Dragon")</f>
        <v>Stone Dragon</v>
      </c>
      <c r="B77" s="1"/>
      <c r="C77" s="1"/>
      <c r="D77" s="1"/>
      <c r="E77" s="1" t="str">
        <f>IFERROR(__xludf.DUMMYFUNCTION("""COMPUTED_VALUE"""),"Immune")</f>
        <v>Immune</v>
      </c>
      <c r="F77" s="1"/>
      <c r="G77" s="1"/>
      <c r="H77" s="1"/>
      <c r="I77" s="1"/>
      <c r="J77" s="1"/>
      <c r="K77" s="1"/>
      <c r="L77" s="1"/>
      <c r="M77" s="1"/>
      <c r="N77" s="1"/>
      <c r="O77" s="1"/>
      <c r="P77" s="1"/>
      <c r="Q77" s="1"/>
      <c r="R77" s="1"/>
      <c r="S77" s="1"/>
      <c r="T77" s="1"/>
      <c r="U77" s="1"/>
      <c r="V77" s="1"/>
      <c r="W77" s="1"/>
      <c r="X77" s="1" t="str">
        <f>IFERROR(__xludf.DUMMYFUNCTION("""COMPUTED_VALUE"""),"Immune")</f>
        <v>Immune</v>
      </c>
      <c r="Y77" s="1" t="str">
        <f>IFERROR(__xludf.DUMMYFUNCTION("""COMPUTED_VALUE"""),"Immune")</f>
        <v>Immune</v>
      </c>
      <c r="Z77" s="1"/>
      <c r="AA77" s="1" t="str">
        <f>IFERROR(__xludf.DUMMYFUNCTION("""COMPUTED_VALUE"""),"Immune")</f>
        <v>Immune</v>
      </c>
      <c r="AB77" s="1"/>
      <c r="AC77" s="1"/>
      <c r="AD77" s="1"/>
      <c r="AE77" s="1"/>
      <c r="AF77" s="1"/>
      <c r="AG77" s="1"/>
      <c r="AH77" s="1"/>
      <c r="AI77" s="1"/>
      <c r="AJ77" s="1"/>
      <c r="AK77" s="1"/>
      <c r="AL77" s="1"/>
    </row>
    <row r="78">
      <c r="A78" s="1" t="str">
        <f>IFERROR(__xludf.DUMMYFUNCTION("""COMPUTED_VALUE"""),"Forest Dragon")</f>
        <v>Forest Dragon</v>
      </c>
      <c r="B78" s="1"/>
      <c r="C78" s="1"/>
      <c r="D78" s="1"/>
      <c r="E78" s="1"/>
      <c r="F78" s="1"/>
      <c r="G78" s="1"/>
      <c r="H78" s="1"/>
      <c r="I78" s="1"/>
      <c r="J78" s="1"/>
      <c r="K78" s="1" t="str">
        <f>IFERROR(__xludf.DUMMYFUNCTION("""COMPUTED_VALUE"""),"Immune")</f>
        <v>Immune</v>
      </c>
      <c r="L78" s="1"/>
      <c r="M78" s="1"/>
      <c r="N78" s="1"/>
      <c r="O78" s="1"/>
      <c r="P78" s="1"/>
      <c r="Q78" s="1"/>
      <c r="R78" s="1"/>
      <c r="S78" s="1"/>
      <c r="T78" s="1"/>
      <c r="U78" s="1"/>
      <c r="V78" s="1"/>
      <c r="W78" s="1"/>
      <c r="X78" s="1" t="str">
        <f>IFERROR(__xludf.DUMMYFUNCTION("""COMPUTED_VALUE"""),"Immune")</f>
        <v>Immune</v>
      </c>
      <c r="Y78" s="1" t="str">
        <f>IFERROR(__xludf.DUMMYFUNCTION("""COMPUTED_VALUE"""),"Immune")</f>
        <v>Immune</v>
      </c>
      <c r="Z78" s="1"/>
      <c r="AA78" s="1" t="str">
        <f>IFERROR(__xludf.DUMMYFUNCTION("""COMPUTED_VALUE"""),"Immune")</f>
        <v>Immune</v>
      </c>
      <c r="AB78" s="1"/>
      <c r="AC78" s="1"/>
      <c r="AD78" s="1"/>
      <c r="AE78" s="1"/>
      <c r="AF78" s="1"/>
      <c r="AG78" s="1"/>
      <c r="AH78" s="1"/>
      <c r="AI78" s="1"/>
      <c r="AJ78" s="1"/>
      <c r="AK78" s="1"/>
      <c r="AL78" s="1"/>
    </row>
    <row r="79">
      <c r="A79" s="1" t="str">
        <f>IFERROR(__xludf.DUMMYFUNCTION("""COMPUTED_VALUE"""),"Crystal Dragon")</f>
        <v>Crystal Dragon</v>
      </c>
      <c r="B79" s="1"/>
      <c r="C79" s="1"/>
      <c r="D79" s="1"/>
      <c r="E79" s="1">
        <f>IFERROR(__xludf.DUMMYFUNCTION("""COMPUTED_VALUE"""),100.0)</f>
        <v>100</v>
      </c>
      <c r="F79" s="1"/>
      <c r="G79" s="1"/>
      <c r="H79" s="1"/>
      <c r="I79" s="1"/>
      <c r="J79" s="1"/>
      <c r="K79" s="1"/>
      <c r="L79" s="1"/>
      <c r="M79" s="1"/>
      <c r="N79" s="1"/>
      <c r="O79" s="1"/>
      <c r="P79" s="1"/>
      <c r="Q79" s="1"/>
      <c r="R79" s="1"/>
      <c r="S79" s="1"/>
      <c r="T79" s="1"/>
      <c r="U79" s="1"/>
      <c r="V79" s="1"/>
      <c r="W79" s="1"/>
      <c r="X79" s="1" t="str">
        <f>IFERROR(__xludf.DUMMYFUNCTION("""COMPUTED_VALUE"""),"Immune")</f>
        <v>Immune</v>
      </c>
      <c r="Y79" s="1" t="str">
        <f>IFERROR(__xludf.DUMMYFUNCTION("""COMPUTED_VALUE"""),"Immune")</f>
        <v>Immune</v>
      </c>
      <c r="Z79" s="1"/>
      <c r="AA79" s="1" t="str">
        <f>IFERROR(__xludf.DUMMYFUNCTION("""COMPUTED_VALUE"""),"Immune")</f>
        <v>Immune</v>
      </c>
      <c r="AB79" s="1"/>
      <c r="AC79" s="1"/>
      <c r="AD79" s="1"/>
      <c r="AE79" s="1"/>
      <c r="AF79" s="1"/>
      <c r="AG79" s="1"/>
      <c r="AH79" s="1"/>
      <c r="AI79" s="1"/>
      <c r="AJ79" s="1"/>
      <c r="AK79" s="1"/>
      <c r="AL79" s="1"/>
    </row>
    <row r="80">
      <c r="A80" s="1" t="str">
        <f>IFERROR(__xludf.DUMMYFUNCTION("""COMPUTED_VALUE"""),"Delta Dragon")</f>
        <v>Delta Dragon</v>
      </c>
      <c r="B80" s="1"/>
      <c r="C80" s="1"/>
      <c r="D80" s="1"/>
      <c r="E80" s="1"/>
      <c r="F80" s="1"/>
      <c r="G80" s="1"/>
      <c r="H80" s="1"/>
      <c r="I80" s="1"/>
      <c r="J80" s="1"/>
      <c r="K80" s="1"/>
      <c r="L80" s="1"/>
      <c r="M80" s="1"/>
      <c r="N80" s="1"/>
      <c r="O80" s="1"/>
      <c r="P80" s="1"/>
      <c r="Q80" s="1"/>
      <c r="R80" s="1"/>
      <c r="S80" s="1"/>
      <c r="T80" s="1"/>
      <c r="U80" s="1"/>
      <c r="V80" s="1"/>
      <c r="W80" s="1"/>
      <c r="X80" s="1" t="str">
        <f>IFERROR(__xludf.DUMMYFUNCTION("""COMPUTED_VALUE"""),"Immune")</f>
        <v>Immune</v>
      </c>
      <c r="Y80" s="1" t="str">
        <f>IFERROR(__xludf.DUMMYFUNCTION("""COMPUTED_VALUE"""),"Immune")</f>
        <v>Immune</v>
      </c>
      <c r="Z80" s="1"/>
      <c r="AA80" s="1" t="str">
        <f>IFERROR(__xludf.DUMMYFUNCTION("""COMPUTED_VALUE"""),"Immune")</f>
        <v>Immune</v>
      </c>
      <c r="AB80" s="1"/>
      <c r="AC80" s="1"/>
      <c r="AD80" s="1"/>
      <c r="AE80" s="1"/>
      <c r="AF80" s="1"/>
      <c r="AG80" s="1"/>
      <c r="AH80" s="1"/>
      <c r="AI80" s="1"/>
      <c r="AJ80" s="1"/>
      <c r="AK80" s="1"/>
      <c r="AL80" s="1"/>
    </row>
    <row r="81">
      <c r="A81" s="1" t="str">
        <f>IFERROR(__xludf.DUMMYFUNCTION("""COMPUTED_VALUE"""),"Chaos Dragon")</f>
        <v>Chaos Dragon</v>
      </c>
      <c r="B81" s="1"/>
      <c r="C81" s="1"/>
      <c r="D81" s="1"/>
      <c r="E81" s="1"/>
      <c r="F81" s="1"/>
      <c r="G81" s="1"/>
      <c r="H81" s="1"/>
      <c r="I81" s="1"/>
      <c r="J81" s="1" t="str">
        <f>IFERROR(__xludf.DUMMYFUNCTION("""COMPUTED_VALUE"""),"Immune")</f>
        <v>Immune</v>
      </c>
      <c r="K81" s="1"/>
      <c r="L81" s="1"/>
      <c r="M81" s="1"/>
      <c r="N81" s="1"/>
      <c r="O81" s="1"/>
      <c r="P81" s="1"/>
      <c r="Q81" s="1"/>
      <c r="R81" s="1"/>
      <c r="S81" s="1"/>
      <c r="T81" s="1"/>
      <c r="U81" s="1"/>
      <c r="V81" s="1"/>
      <c r="W81" s="1"/>
      <c r="X81" s="1" t="str">
        <f>IFERROR(__xludf.DUMMYFUNCTION("""COMPUTED_VALUE"""),"Immune")</f>
        <v>Immune</v>
      </c>
      <c r="Y81" s="1" t="str">
        <f>IFERROR(__xludf.DUMMYFUNCTION("""COMPUTED_VALUE"""),"Immune")</f>
        <v>Immune</v>
      </c>
      <c r="Z81" s="1"/>
      <c r="AA81" s="1" t="str">
        <f>IFERROR(__xludf.DUMMYFUNCTION("""COMPUTED_VALUE"""),"Immune")</f>
        <v>Immune</v>
      </c>
      <c r="AB81" s="1"/>
      <c r="AC81" s="1"/>
      <c r="AD81" s="1"/>
      <c r="AE81" s="1"/>
      <c r="AF81" s="1"/>
      <c r="AG81" s="1"/>
      <c r="AH81" s="1"/>
      <c r="AI81" s="1"/>
      <c r="AJ81" s="1"/>
      <c r="AK81" s="1"/>
      <c r="AL81" s="1"/>
    </row>
    <row r="82">
      <c r="A82" s="1" t="str">
        <f>IFERROR(__xludf.DUMMYFUNCTION("""COMPUTED_VALUE"""),"Acid Dragon")</f>
        <v>Acid Dragon</v>
      </c>
      <c r="B82" s="1"/>
      <c r="C82" s="1"/>
      <c r="D82" s="1"/>
      <c r="E82" s="1"/>
      <c r="F82" s="1"/>
      <c r="G82" s="1"/>
      <c r="H82" s="1"/>
      <c r="I82" s="1"/>
      <c r="J82" s="1"/>
      <c r="K82" s="1" t="str">
        <f>IFERROR(__xludf.DUMMYFUNCTION("""COMPUTED_VALUE"""),"Immune")</f>
        <v>Immune</v>
      </c>
      <c r="L82" s="1"/>
      <c r="M82" s="1"/>
      <c r="N82" s="1"/>
      <c r="O82" s="1"/>
      <c r="P82" s="1"/>
      <c r="Q82" s="1"/>
      <c r="R82" s="1"/>
      <c r="S82" s="1"/>
      <c r="T82" s="1"/>
      <c r="U82" s="1"/>
      <c r="V82" s="1"/>
      <c r="W82" s="1"/>
      <c r="X82" s="1" t="str">
        <f>IFERROR(__xludf.DUMMYFUNCTION("""COMPUTED_VALUE"""),"Immune")</f>
        <v>Immune</v>
      </c>
      <c r="Y82" s="1" t="str">
        <f>IFERROR(__xludf.DUMMYFUNCTION("""COMPUTED_VALUE"""),"Immune")</f>
        <v>Immune</v>
      </c>
      <c r="Z82" s="1"/>
      <c r="AA82" s="1" t="str">
        <f>IFERROR(__xludf.DUMMYFUNCTION("""COMPUTED_VALUE"""),"Immune")</f>
        <v>Immune</v>
      </c>
      <c r="AB82" s="1"/>
      <c r="AC82" s="1"/>
      <c r="AD82" s="1"/>
      <c r="AE82" s="1"/>
      <c r="AF82" s="1"/>
      <c r="AG82" s="1"/>
      <c r="AH82" s="1"/>
      <c r="AI82" s="1"/>
      <c r="AJ82" s="1"/>
      <c r="AK82" s="1"/>
      <c r="AL82" s="1"/>
    </row>
    <row r="83">
      <c r="A83" s="1"/>
      <c r="B83" s="1">
        <f>IFERROR(__xludf.DUMMYFUNCTION("""COMPUTED_VALUE"""),100.0)</f>
        <v>100</v>
      </c>
      <c r="C83" s="1"/>
      <c r="D83" s="1"/>
      <c r="E83" s="1"/>
      <c r="F83" s="1"/>
      <c r="G83" s="1"/>
      <c r="H83" s="1"/>
      <c r="I83" s="1"/>
      <c r="J83" s="1"/>
      <c r="K83" s="1" t="str">
        <f>IFERROR(__xludf.DUMMYFUNCTION("""COMPUTED_VALUE"""),"Immune")</f>
        <v>Immune</v>
      </c>
      <c r="L83" s="1"/>
      <c r="M83" s="1"/>
      <c r="N83" s="1"/>
      <c r="O83" s="1"/>
      <c r="P83" s="1"/>
      <c r="Q83" s="1"/>
      <c r="R83" s="1"/>
      <c r="S83" s="1"/>
      <c r="T83" s="1"/>
      <c r="U83" s="1"/>
      <c r="V83" s="1"/>
      <c r="W83" s="1"/>
      <c r="X83" s="1" t="str">
        <f>IFERROR(__xludf.DUMMYFUNCTION("""COMPUTED_VALUE"""),"Immune")</f>
        <v>Immune</v>
      </c>
      <c r="Y83" s="1" t="str">
        <f>IFERROR(__xludf.DUMMYFUNCTION("""COMPUTED_VALUE"""),"Immune")</f>
        <v>Immune</v>
      </c>
      <c r="Z83" s="1"/>
      <c r="AA83" s="1" t="str">
        <f>IFERROR(__xludf.DUMMYFUNCTION("""COMPUTED_VALUE"""),"Immune")</f>
        <v>Immune</v>
      </c>
      <c r="AB83" s="1"/>
      <c r="AC83" s="1"/>
      <c r="AD83" s="1"/>
      <c r="AE83" s="1"/>
      <c r="AF83" s="1"/>
      <c r="AG83" s="1"/>
      <c r="AH83" s="1"/>
      <c r="AI83" s="1"/>
      <c r="AJ83" s="1"/>
      <c r="AK83" s="1"/>
      <c r="AL83" s="1"/>
    </row>
    <row r="84">
      <c r="A84" s="1" t="str">
        <f>IFERROR(__xludf.DUMMYFUNCTION("""COMPUTED_VALUE"""),"Undead Dragon")</f>
        <v>Undead Dragon</v>
      </c>
      <c r="B84" s="1"/>
      <c r="C84" s="1"/>
      <c r="D84" s="1"/>
      <c r="E84" s="1"/>
      <c r="F84" s="1"/>
      <c r="G84" s="1" t="str">
        <f>IFERROR(__xludf.DUMMYFUNCTION("""COMPUTED_VALUE"""),"Immune")</f>
        <v>Immune</v>
      </c>
      <c r="H84" s="1"/>
      <c r="I84" s="1"/>
      <c r="J84" s="1"/>
      <c r="K84" s="1"/>
      <c r="L84" s="1"/>
      <c r="M84" s="1"/>
      <c r="N84" s="1"/>
      <c r="O84" s="1"/>
      <c r="P84" s="1"/>
      <c r="Q84" s="1"/>
      <c r="R84" s="1"/>
      <c r="S84" s="1"/>
      <c r="T84" s="1"/>
      <c r="U84" s="1"/>
      <c r="V84" s="1"/>
      <c r="W84" s="1"/>
      <c r="X84" s="1" t="str">
        <f>IFERROR(__xludf.DUMMYFUNCTION("""COMPUTED_VALUE"""),"Immune")</f>
        <v>Immune</v>
      </c>
      <c r="Y84" s="1" t="str">
        <f>IFERROR(__xludf.DUMMYFUNCTION("""COMPUTED_VALUE"""),"Immune")</f>
        <v>Immune</v>
      </c>
      <c r="Z84" s="1"/>
      <c r="AA84" s="1" t="str">
        <f>IFERROR(__xludf.DUMMYFUNCTION("""COMPUTED_VALUE"""),"Immune")</f>
        <v>Immune</v>
      </c>
      <c r="AB84" s="1"/>
      <c r="AC84" s="1"/>
      <c r="AD84" s="1"/>
      <c r="AE84" s="1"/>
      <c r="AF84" s="1"/>
      <c r="AG84" s="1"/>
      <c r="AH84" s="1"/>
      <c r="AI84" s="1"/>
      <c r="AJ84" s="1"/>
      <c r="AK84" s="1"/>
      <c r="AL84" s="1"/>
    </row>
    <row r="85">
      <c r="A85" s="1" t="str">
        <f>IFERROR(__xludf.DUMMYFUNCTION("""COMPUTED_VALUE"""),"The Ancient Colossal Dragon of Spira")</f>
        <v>The Ancient Colossal Dragon of Spira</v>
      </c>
      <c r="B85" s="1"/>
      <c r="C85" s="1"/>
      <c r="D85" s="1"/>
      <c r="E85" s="1"/>
      <c r="F85" s="1"/>
      <c r="G85" s="1"/>
      <c r="H85" s="1"/>
      <c r="I85" s="1"/>
      <c r="J85" s="1"/>
      <c r="K85" s="1"/>
      <c r="L85" s="1"/>
      <c r="M85" s="1"/>
      <c r="N85" s="1"/>
      <c r="O85" s="1"/>
      <c r="P85" s="1"/>
      <c r="Q85" s="1"/>
      <c r="R85" s="1"/>
      <c r="S85" s="1"/>
      <c r="T85" s="1"/>
      <c r="U85" s="1"/>
      <c r="V85" s="1"/>
      <c r="W85" s="1"/>
      <c r="X85" s="1" t="str">
        <f>IFERROR(__xludf.DUMMYFUNCTION("""COMPUTED_VALUE"""),"Immune")</f>
        <v>Immune</v>
      </c>
      <c r="Y85" s="1" t="str">
        <f>IFERROR(__xludf.DUMMYFUNCTION("""COMPUTED_VALUE"""),"Immune")</f>
        <v>Immune</v>
      </c>
      <c r="Z85" s="1"/>
      <c r="AA85" s="1" t="str">
        <f>IFERROR(__xludf.DUMMYFUNCTION("""COMPUTED_VALUE"""),"Immune")</f>
        <v>Immune</v>
      </c>
      <c r="AB85" s="1"/>
      <c r="AC85" s="1"/>
      <c r="AD85" s="1"/>
      <c r="AE85" s="1"/>
      <c r="AF85" s="1"/>
      <c r="AG85" s="1"/>
      <c r="AH85" s="1"/>
      <c r="AI85" s="1"/>
      <c r="AJ85" s="1"/>
      <c r="AK85" s="1"/>
      <c r="AL85" s="1"/>
    </row>
    <row r="86">
      <c r="A86" s="1" t="str">
        <f>IFERROR(__xludf.DUMMYFUNCTION("""COMPUTED_VALUE"""),"Shadow King")</f>
        <v>Shadow King</v>
      </c>
      <c r="B86" s="1"/>
      <c r="C86" s="1"/>
      <c r="D86" s="1"/>
      <c r="E86" s="1"/>
      <c r="F86" s="1"/>
      <c r="G86" s="1" t="str">
        <f>IFERROR(__xludf.DUMMYFUNCTION("""COMPUTED_VALUE"""),"Immune")</f>
        <v>Immune</v>
      </c>
      <c r="H86" s="1"/>
      <c r="I86" s="1"/>
      <c r="J86" s="1"/>
      <c r="K86" s="1"/>
      <c r="L86" s="1" t="str">
        <f>IFERROR(__xludf.DUMMYFUNCTION("""COMPUTED_VALUE"""),"Immune")</f>
        <v>Immune</v>
      </c>
      <c r="M86" s="1"/>
      <c r="N86" s="1"/>
      <c r="O86" s="1"/>
      <c r="P86" s="1"/>
      <c r="Q86" s="1"/>
      <c r="R86" s="1"/>
      <c r="S86" s="1"/>
      <c r="T86" s="1"/>
      <c r="U86" s="1"/>
      <c r="V86" s="1"/>
      <c r="W86" s="1"/>
      <c r="X86" s="1" t="str">
        <f>IFERROR(__xludf.DUMMYFUNCTION("""COMPUTED_VALUE"""),"Immune")</f>
        <v>Immune</v>
      </c>
      <c r="Y86" s="1" t="str">
        <f>IFERROR(__xludf.DUMMYFUNCTION("""COMPUTED_VALUE"""),"Immune")</f>
        <v>Immune</v>
      </c>
      <c r="Z86" s="1"/>
      <c r="AA86" s="1" t="str">
        <f>IFERROR(__xludf.DUMMYFUNCTION("""COMPUTED_VALUE"""),"Immune")</f>
        <v>Immune</v>
      </c>
      <c r="AB86" s="1"/>
      <c r="AC86" s="1"/>
      <c r="AD86" s="1"/>
      <c r="AE86" s="1"/>
      <c r="AF86" s="1"/>
      <c r="AG86" s="1"/>
      <c r="AH86" s="1"/>
      <c r="AI86" s="1"/>
      <c r="AJ86" s="1"/>
      <c r="AK86" s="1"/>
      <c r="AL86" s="1"/>
    </row>
    <row r="87">
      <c r="A87" s="1" t="str">
        <f>IFERROR(__xludf.DUMMYFUNCTION("""COMPUTED_VALUE"""),"Skeletal Warrior")</f>
        <v>Skeletal Warrior</v>
      </c>
      <c r="B87" s="1"/>
      <c r="C87" s="1"/>
      <c r="D87" s="1"/>
      <c r="E87" s="1"/>
      <c r="F87" s="1"/>
      <c r="G87" s="1" t="str">
        <f>IFERROR(__xludf.DUMMYFUNCTION("""COMPUTED_VALUE"""),"Immune")</f>
        <v>Immune</v>
      </c>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row>
    <row r="88">
      <c r="A88" s="1" t="str">
        <f>IFERROR(__xludf.DUMMYFUNCTION("""COMPUTED_VALUE"""),"Ancient Skeleton Colossus")</f>
        <v>Ancient Skeleton Colossus</v>
      </c>
      <c r="B88" s="1"/>
      <c r="C88" s="1"/>
      <c r="D88" s="1"/>
      <c r="E88" s="1"/>
      <c r="F88" s="1"/>
      <c r="G88" s="1" t="str">
        <f>IFERROR(__xludf.DUMMYFUNCTION("""COMPUTED_VALUE"""),"Immune")</f>
        <v>Immune</v>
      </c>
      <c r="H88" s="1"/>
      <c r="I88" s="1"/>
      <c r="J88" s="1"/>
      <c r="K88" s="1"/>
      <c r="L88" s="1"/>
      <c r="M88" s="1"/>
      <c r="N88" s="1"/>
      <c r="O88" s="1"/>
      <c r="P88" s="1"/>
      <c r="Q88" s="1"/>
      <c r="R88" s="1"/>
      <c r="S88" s="1"/>
      <c r="T88" s="1"/>
      <c r="U88" s="1"/>
      <c r="V88" s="1"/>
      <c r="W88" s="1"/>
      <c r="X88" s="1" t="str">
        <f>IFERROR(__xludf.DUMMYFUNCTION("""COMPUTED_VALUE"""),"Immune")</f>
        <v>Immune</v>
      </c>
      <c r="Y88" s="1" t="str">
        <f>IFERROR(__xludf.DUMMYFUNCTION("""COMPUTED_VALUE"""),"Immune")</f>
        <v>Immune</v>
      </c>
      <c r="Z88" s="1"/>
      <c r="AA88" s="1" t="str">
        <f>IFERROR(__xludf.DUMMYFUNCTION("""COMPUTED_VALUE"""),"Immune")</f>
        <v>Immune</v>
      </c>
      <c r="AB88" s="1"/>
      <c r="AC88" s="1"/>
      <c r="AD88" s="1"/>
      <c r="AE88" s="1"/>
      <c r="AF88" s="1"/>
      <c r="AG88" s="1"/>
      <c r="AH88" s="1"/>
      <c r="AI88" s="1"/>
      <c r="AJ88" s="1"/>
      <c r="AK88" s="1"/>
      <c r="AL88" s="1"/>
    </row>
    <row r="89">
      <c r="A89" s="1" t="str">
        <f>IFERROR(__xludf.DUMMYFUNCTION("""COMPUTED_VALUE"""),"DeathBlade The Dragon Hunter")</f>
        <v>DeathBlade The Dragon Hunter</v>
      </c>
      <c r="B89" s="1"/>
      <c r="C89" s="1"/>
      <c r="D89" s="1"/>
      <c r="E89" s="1"/>
      <c r="F89" s="1"/>
      <c r="G89" s="1" t="str">
        <f>IFERROR(__xludf.DUMMYFUNCTION("""COMPUTED_VALUE"""),"Immune")</f>
        <v>Immune</v>
      </c>
      <c r="H89" s="1"/>
      <c r="I89" s="1"/>
      <c r="J89" s="1" t="str">
        <f>IFERROR(__xludf.DUMMYFUNCTION("""COMPUTED_VALUE"""),"Immune")</f>
        <v>Immune</v>
      </c>
      <c r="K89" s="1"/>
      <c r="L89" s="1"/>
      <c r="M89" s="1"/>
      <c r="N89" s="1"/>
      <c r="O89" s="1"/>
      <c r="P89" s="1"/>
      <c r="Q89" s="1"/>
      <c r="R89" s="1"/>
      <c r="S89" s="1"/>
      <c r="T89" s="1"/>
      <c r="U89" s="1"/>
      <c r="V89" s="1"/>
      <c r="W89" s="1"/>
      <c r="X89" s="1" t="str">
        <f>IFERROR(__xludf.DUMMYFUNCTION("""COMPUTED_VALUE"""),"Immune")</f>
        <v>Immune</v>
      </c>
      <c r="Y89" s="1" t="str">
        <f>IFERROR(__xludf.DUMMYFUNCTION("""COMPUTED_VALUE"""),"Immune")</f>
        <v>Immune</v>
      </c>
      <c r="Z89" s="1"/>
      <c r="AA89" s="1" t="str">
        <f>IFERROR(__xludf.DUMMYFUNCTION("""COMPUTED_VALUE"""),"Immune")</f>
        <v>Immune</v>
      </c>
      <c r="AB89" s="1"/>
      <c r="AC89" s="1"/>
      <c r="AD89" s="1"/>
      <c r="AE89" s="1"/>
      <c r="AF89" s="1"/>
      <c r="AG89" s="1"/>
      <c r="AH89" s="1"/>
      <c r="AI89" s="1"/>
      <c r="AJ89" s="1"/>
      <c r="AK89" s="1"/>
      <c r="AL89" s="1"/>
    </row>
    <row r="90">
      <c r="A90" s="1" t="str">
        <f>IFERROR(__xludf.DUMMYFUNCTION("""COMPUTED_VALUE"""),"Lord Dreadful (Form 1)")</f>
        <v>Lord Dreadful (Form 1)</v>
      </c>
      <c r="B90" s="1"/>
      <c r="C90" s="1"/>
      <c r="D90" s="1"/>
      <c r="E90" s="1"/>
      <c r="F90" s="1"/>
      <c r="G90" s="1" t="str">
        <f>IFERROR(__xludf.DUMMYFUNCTION("""COMPUTED_VALUE"""),"Immune")</f>
        <v>Immune</v>
      </c>
      <c r="H90" s="1"/>
      <c r="I90" s="1"/>
      <c r="J90" s="1" t="str">
        <f>IFERROR(__xludf.DUMMYFUNCTION("""COMPUTED_VALUE"""),"Immune")</f>
        <v>Immune</v>
      </c>
      <c r="K90" s="1"/>
      <c r="L90" s="1"/>
      <c r="M90" s="1"/>
      <c r="N90" s="1"/>
      <c r="O90" s="1" t="str">
        <f>IFERROR(__xludf.DUMMYFUNCTION("""COMPUTED_VALUE"""),"Immune")</f>
        <v>Immune</v>
      </c>
      <c r="P90" s="1"/>
      <c r="Q90" s="1"/>
      <c r="R90" s="1"/>
      <c r="S90" s="1"/>
      <c r="T90" s="1"/>
      <c r="U90" s="1"/>
      <c r="V90" s="1"/>
      <c r="W90" s="1"/>
      <c r="X90" s="1" t="str">
        <f>IFERROR(__xludf.DUMMYFUNCTION("""COMPUTED_VALUE"""),"Immune")</f>
        <v>Immune</v>
      </c>
      <c r="Y90" s="1"/>
      <c r="Z90" s="1"/>
      <c r="AA90" s="1"/>
      <c r="AB90" s="1"/>
      <c r="AC90" s="1"/>
      <c r="AD90" s="1"/>
      <c r="AE90" s="1"/>
      <c r="AF90" s="1"/>
      <c r="AG90" s="1"/>
      <c r="AH90" s="1"/>
      <c r="AI90" s="1"/>
      <c r="AJ90" s="1"/>
      <c r="AK90" s="1"/>
      <c r="AL90" s="1"/>
    </row>
    <row r="91">
      <c r="A91" s="1" t="str">
        <f>IFERROR(__xludf.DUMMYFUNCTION("""COMPUTED_VALUE"""),"Lord Dreadful (Lord Zude) (Form 2)")</f>
        <v>Lord Dreadful (Lord Zude) (Form 2)</v>
      </c>
      <c r="B91" s="1"/>
      <c r="C91" s="1"/>
      <c r="D91" s="1"/>
      <c r="E91" s="1"/>
      <c r="F91" s="1"/>
      <c r="G91" s="1" t="str">
        <f>IFERROR(__xludf.DUMMYFUNCTION("""COMPUTED_VALUE"""),"Immune")</f>
        <v>Immune</v>
      </c>
      <c r="H91" s="1"/>
      <c r="I91" s="1"/>
      <c r="J91" s="1" t="str">
        <f>IFERROR(__xludf.DUMMYFUNCTION("""COMPUTED_VALUE"""),"Immune")</f>
        <v>Immune</v>
      </c>
      <c r="K91" s="1"/>
      <c r="L91" s="1"/>
      <c r="M91" s="1"/>
      <c r="N91" s="1"/>
      <c r="O91" s="1" t="str">
        <f>IFERROR(__xludf.DUMMYFUNCTION("""COMPUTED_VALUE"""),"Immune")</f>
        <v>Immune</v>
      </c>
      <c r="P91" s="1"/>
      <c r="Q91" s="1"/>
      <c r="R91" s="1"/>
      <c r="S91" s="1"/>
      <c r="T91" s="1"/>
      <c r="U91" s="1"/>
      <c r="V91" s="1"/>
      <c r="W91" s="1"/>
      <c r="X91" s="1" t="str">
        <f>IFERROR(__xludf.DUMMYFUNCTION("""COMPUTED_VALUE"""),"Immune")</f>
        <v>Immune</v>
      </c>
      <c r="Y91" s="1"/>
      <c r="Z91" s="1"/>
      <c r="AA91" s="1"/>
      <c r="AB91" s="1"/>
      <c r="AC91" s="1"/>
      <c r="AD91" s="1"/>
      <c r="AE91" s="1"/>
      <c r="AF91" s="1"/>
      <c r="AG91" s="1"/>
      <c r="AH91" s="1"/>
      <c r="AI91" s="1"/>
      <c r="AJ91" s="1"/>
      <c r="AK91" s="1"/>
      <c r="AL91" s="1"/>
    </row>
    <row r="92">
      <c r="A92" s="1" t="str">
        <f>IFERROR(__xludf.DUMMYFUNCTION("""COMPUTED_VALUE"""),"Turkey Hydra")</f>
        <v>Turkey Hydra</v>
      </c>
      <c r="B92" s="1"/>
      <c r="C92" s="1"/>
      <c r="D92" s="1"/>
      <c r="E92" s="1"/>
      <c r="F92" s="1"/>
      <c r="G92" s="1"/>
      <c r="H92" s="1"/>
      <c r="I92" s="1"/>
      <c r="J92" s="1"/>
      <c r="K92" s="1"/>
      <c r="L92" s="1"/>
      <c r="M92" s="1"/>
      <c r="N92" s="1"/>
      <c r="O92" s="1"/>
      <c r="P92" s="1"/>
      <c r="Q92" s="1"/>
      <c r="R92" s="1"/>
      <c r="S92" s="1"/>
      <c r="T92" s="1"/>
      <c r="U92" s="1"/>
      <c r="V92" s="1"/>
      <c r="W92" s="1"/>
      <c r="X92" s="1" t="str">
        <f>IFERROR(__xludf.DUMMYFUNCTION("""COMPUTED_VALUE"""),"Immune")</f>
        <v>Immune</v>
      </c>
      <c r="Y92" s="1" t="str">
        <f>IFERROR(__xludf.DUMMYFUNCTION("""COMPUTED_VALUE"""),"Immune")</f>
        <v>Immune</v>
      </c>
      <c r="Z92" s="1"/>
      <c r="AA92" s="1" t="str">
        <f>IFERROR(__xludf.DUMMYFUNCTION("""COMPUTED_VALUE"""),"Immune")</f>
        <v>Immune</v>
      </c>
      <c r="AB92" s="1">
        <f>IFERROR(__xludf.DUMMYFUNCTION("""COMPUTED_VALUE"""),100.0)</f>
        <v>100</v>
      </c>
      <c r="AC92" s="1"/>
      <c r="AD92" s="1"/>
      <c r="AE92" s="1"/>
      <c r="AF92" s="1"/>
      <c r="AG92" s="1"/>
      <c r="AH92" s="1"/>
      <c r="AI92" s="1"/>
      <c r="AJ92" s="1"/>
      <c r="AK92" s="1"/>
      <c r="AL92" s="1"/>
    </row>
    <row r="93">
      <c r="A93" s="1" t="str">
        <f>IFERROR(__xludf.DUMMYFUNCTION("""COMPUTED_VALUE"""),"Girl Of The Crow")</f>
        <v>Girl Of The Crow</v>
      </c>
      <c r="B93" s="1"/>
      <c r="C93" s="1"/>
      <c r="D93" s="1"/>
      <c r="E93" s="1"/>
      <c r="F93" s="1"/>
      <c r="G93" s="1" t="str">
        <f>IFERROR(__xludf.DUMMYFUNCTION("""COMPUTED_VALUE"""),"Immune")</f>
        <v>Immune</v>
      </c>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row>
    <row r="94">
      <c r="A94" s="1" t="str">
        <f>IFERROR(__xludf.DUMMYFUNCTION("""COMPUTED_VALUE"""),"Desert Titan")</f>
        <v>Desert Titan</v>
      </c>
      <c r="B94" s="1" t="str">
        <f>IFERROR(__xludf.DUMMYFUNCTION("""COMPUTED_VALUE"""),"Immune")</f>
        <v>Immune</v>
      </c>
      <c r="C94" s="1"/>
      <c r="D94" s="1"/>
      <c r="E94" s="1" t="str">
        <f>IFERROR(__xludf.DUMMYFUNCTION("""COMPUTED_VALUE"""),"Immune")</f>
        <v>Immune</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row>
    <row r="95">
      <c r="A95" s="1" t="str">
        <f>IFERROR(__xludf.DUMMYFUNCTION("""COMPUTED_VALUE"""),"Hyena")</f>
        <v>Hyena</v>
      </c>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row>
    <row r="96">
      <c r="A96" s="1" t="str">
        <f>IFERROR(__xludf.DUMMYFUNCTION("""COMPUTED_VALUE"""),"Desert Hunter")</f>
        <v>Desert Hunter</v>
      </c>
      <c r="B96" s="1" t="str">
        <f>IFERROR(__xludf.DUMMYFUNCTION("""COMPUTED_VALUE"""),"Immune")</f>
        <v>Immune</v>
      </c>
      <c r="C96" s="1"/>
      <c r="D96" s="1"/>
      <c r="E96" s="1" t="str">
        <f>IFERROR(__xludf.DUMMYFUNCTION("""COMPUTED_VALUE"""),"Immune")</f>
        <v>Immune</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row>
    <row r="97">
      <c r="A97" s="1" t="str">
        <f>IFERROR(__xludf.DUMMYFUNCTION("""COMPUTED_VALUE"""),"Desert Demon")</f>
        <v>Desert Demon</v>
      </c>
      <c r="B97" s="1" t="str">
        <f>IFERROR(__xludf.DUMMYFUNCTION("""COMPUTED_VALUE"""),"Immune")</f>
        <v>Immune</v>
      </c>
      <c r="C97" s="1"/>
      <c r="D97" s="1"/>
      <c r="E97" s="1"/>
      <c r="F97" s="1"/>
      <c r="G97" s="1" t="str">
        <f>IFERROR(__xludf.DUMMYFUNCTION("""COMPUTED_VALUE"""),"Immune")</f>
        <v>Immune</v>
      </c>
      <c r="H97" s="1"/>
      <c r="I97" s="1"/>
      <c r="J97" s="1"/>
      <c r="K97" s="1"/>
      <c r="L97" s="1"/>
      <c r="M97" s="1"/>
      <c r="N97" s="1"/>
      <c r="O97" s="1"/>
      <c r="P97" s="1"/>
      <c r="Q97" s="1">
        <f>IFERROR(__xludf.DUMMYFUNCTION("""COMPUTED_VALUE"""),100.0)</f>
        <v>100</v>
      </c>
      <c r="R97" s="1"/>
      <c r="S97" s="1"/>
      <c r="T97" s="1"/>
      <c r="U97" s="1"/>
      <c r="V97" s="1"/>
      <c r="W97" s="1"/>
      <c r="X97" s="1"/>
      <c r="Y97" s="1"/>
      <c r="Z97" s="1"/>
      <c r="AA97" s="1" t="str">
        <f>IFERROR(__xludf.DUMMYFUNCTION("""COMPUTED_VALUE"""),"Immune")</f>
        <v>Immune</v>
      </c>
      <c r="AB97" s="1"/>
      <c r="AC97" s="1"/>
      <c r="AD97" s="1"/>
      <c r="AE97" s="1"/>
      <c r="AF97" s="1"/>
      <c r="AG97" s="1"/>
      <c r="AH97" s="1"/>
      <c r="AI97" s="1"/>
      <c r="AJ97" s="1"/>
      <c r="AK97" s="1"/>
      <c r="AL97" s="1"/>
    </row>
    <row r="98">
      <c r="A98" s="1" t="str">
        <f>IFERROR(__xludf.DUMMYFUNCTION("""COMPUTED_VALUE"""),"Spirit Warrior")</f>
        <v>Spirit Warrior</v>
      </c>
      <c r="B98" s="1"/>
      <c r="C98" s="1"/>
      <c r="D98" s="1"/>
      <c r="E98" s="1"/>
      <c r="F98" s="1"/>
      <c r="G98" s="1" t="str">
        <f>IFERROR(__xludf.DUMMYFUNCTION("""COMPUTED_VALUE"""),"Immune")</f>
        <v>Immune</v>
      </c>
      <c r="H98" s="1" t="str">
        <f>IFERROR(__xludf.DUMMYFUNCTION("""COMPUTED_VALUE"""),"Immune")</f>
        <v>Immune</v>
      </c>
      <c r="I98" s="1"/>
      <c r="J98" s="1" t="str">
        <f>IFERROR(__xludf.DUMMYFUNCTION("""COMPUTED_VALUE"""),"Immune")</f>
        <v>Immune</v>
      </c>
      <c r="K98" s="1"/>
      <c r="L98" s="1"/>
      <c r="M98" s="1"/>
      <c r="N98" s="1"/>
      <c r="O98" s="1"/>
      <c r="P98" s="1"/>
      <c r="Q98" s="1"/>
      <c r="R98" s="1"/>
      <c r="S98" s="1"/>
      <c r="T98" s="1"/>
      <c r="U98" s="1"/>
      <c r="V98" s="1"/>
      <c r="W98" s="1"/>
      <c r="X98" s="1"/>
      <c r="Y98" s="1"/>
      <c r="Z98" s="1"/>
      <c r="AA98" s="1" t="str">
        <f>IFERROR(__xludf.DUMMYFUNCTION("""COMPUTED_VALUE"""),"Immune")</f>
        <v>Immune</v>
      </c>
      <c r="AB98" s="1"/>
      <c r="AC98" s="1"/>
      <c r="AD98" s="1"/>
      <c r="AE98" s="1"/>
      <c r="AF98" s="1"/>
      <c r="AG98" s="1"/>
      <c r="AH98" s="1"/>
      <c r="AI98" s="1"/>
      <c r="AJ98" s="1"/>
      <c r="AK98" s="1"/>
      <c r="AL98" s="1"/>
    </row>
    <row r="99">
      <c r="A99" s="1" t="str">
        <f>IFERROR(__xludf.DUMMYFUNCTION("""COMPUTED_VALUE"""),"The Black Demon")</f>
        <v>The Black Demon</v>
      </c>
      <c r="B99" s="1"/>
      <c r="C99" s="1"/>
      <c r="D99" s="1"/>
      <c r="E99" s="1"/>
      <c r="F99" s="1"/>
      <c r="G99" s="1" t="str">
        <f>IFERROR(__xludf.DUMMYFUNCTION("""COMPUTED_VALUE"""),"Immune")</f>
        <v>Immune</v>
      </c>
      <c r="H99" s="1" t="str">
        <f>IFERROR(__xludf.DUMMYFUNCTION("""COMPUTED_VALUE"""),"Immune")</f>
        <v>Immune</v>
      </c>
      <c r="I99" s="1"/>
      <c r="J99" s="1" t="str">
        <f>IFERROR(__xludf.DUMMYFUNCTION("""COMPUTED_VALUE"""),"Immune")</f>
        <v>Immune</v>
      </c>
      <c r="K99" s="1"/>
      <c r="L99" s="1"/>
      <c r="M99" s="1"/>
      <c r="N99" s="1"/>
      <c r="O99" s="1"/>
      <c r="P99" s="1"/>
      <c r="Q99" s="1"/>
      <c r="R99" s="1"/>
      <c r="S99" s="1"/>
      <c r="T99" s="1"/>
      <c r="U99" s="1"/>
      <c r="V99" s="1"/>
      <c r="W99" s="1"/>
      <c r="X99" s="1" t="str">
        <f>IFERROR(__xludf.DUMMYFUNCTION("""COMPUTED_VALUE"""),"Immune")</f>
        <v>Immune</v>
      </c>
      <c r="Y99" s="1"/>
      <c r="Z99" s="1"/>
      <c r="AA99" s="1"/>
      <c r="AB99" s="1"/>
      <c r="AC99" s="1"/>
      <c r="AD99" s="1"/>
      <c r="AE99" s="1"/>
      <c r="AF99" s="1"/>
      <c r="AG99" s="1"/>
      <c r="AH99" s="1"/>
      <c r="AI99" s="1"/>
      <c r="AJ99" s="1"/>
      <c r="AK99" s="1"/>
      <c r="AL99" s="1"/>
    </row>
    <row r="100">
      <c r="A100" s="1" t="str">
        <f>IFERROR(__xludf.DUMMYFUNCTION("""COMPUTED_VALUE"""),"Giant Snow Spider")</f>
        <v>Giant Snow Spider</v>
      </c>
      <c r="B100" s="1"/>
      <c r="C100" s="1" t="str">
        <f>IFERROR(__xludf.DUMMYFUNCTION("""COMPUTED_VALUE"""),"Immune")</f>
        <v>Immune</v>
      </c>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row>
    <row r="101">
      <c r="A101" s="1" t="str">
        <f>IFERROR(__xludf.DUMMYFUNCTION("""COMPUTED_VALUE"""),"Ice Golem")</f>
        <v>Ice Golem</v>
      </c>
      <c r="B101" s="1"/>
      <c r="C101" s="1" t="str">
        <f>IFERROR(__xludf.DUMMYFUNCTION("""COMPUTED_VALUE"""),"Immune")</f>
        <v>Immune</v>
      </c>
      <c r="D101" s="1"/>
      <c r="E101" s="1" t="str">
        <f>IFERROR(__xludf.DUMMYFUNCTION("""COMPUTED_VALUE"""),"Immune")</f>
        <v>Immune</v>
      </c>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row>
    <row r="102">
      <c r="A102" s="1" t="str">
        <f>IFERROR(__xludf.DUMMYFUNCTION("""COMPUTED_VALUE"""),"Dark Snow Warrior")</f>
        <v>Dark Snow Warrior</v>
      </c>
      <c r="B102" s="1"/>
      <c r="C102" s="1" t="str">
        <f>IFERROR(__xludf.DUMMYFUNCTION("""COMPUTED_VALUE"""),"Immune")</f>
        <v>Immune</v>
      </c>
      <c r="D102" s="1"/>
      <c r="E102" s="1"/>
      <c r="F102" s="1"/>
      <c r="G102" s="1" t="str">
        <f>IFERROR(__xludf.DUMMYFUNCTION("""COMPUTED_VALUE"""),"Immune")</f>
        <v>Immune</v>
      </c>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row>
    <row r="103">
      <c r="A103" s="1" t="str">
        <f>IFERROR(__xludf.DUMMYFUNCTION("""COMPUTED_VALUE"""),"Lord Of The Bandits")</f>
        <v>Lord Of The Bandits</v>
      </c>
      <c r="B103" s="1"/>
      <c r="C103" s="1"/>
      <c r="D103" s="1"/>
      <c r="E103" s="1"/>
      <c r="F103" s="1"/>
      <c r="G103" s="1" t="str">
        <f>IFERROR(__xludf.DUMMYFUNCTION("""COMPUTED_VALUE"""),"Immune")</f>
        <v>Immune</v>
      </c>
      <c r="H103" s="1" t="str">
        <f>IFERROR(__xludf.DUMMYFUNCTION("""COMPUTED_VALUE"""),"Immune")</f>
        <v>Immune</v>
      </c>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row>
    <row r="104">
      <c r="A104" s="1" t="str">
        <f>IFERROR(__xludf.DUMMYFUNCTION("""COMPUTED_VALUE"""),"Red Footed Beast")</f>
        <v>Red Footed Beast</v>
      </c>
      <c r="B104" s="1"/>
      <c r="C104" s="1"/>
      <c r="D104" s="1"/>
      <c r="E104" s="1" t="str">
        <f>IFERROR(__xludf.DUMMYFUNCTION("""COMPUTED_VALUE"""),"Immune")</f>
        <v>Immune</v>
      </c>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row>
    <row r="105">
      <c r="A105" s="1" t="str">
        <f>IFERROR(__xludf.DUMMYFUNCTION("""COMPUTED_VALUE"""),"Ice Yak")</f>
        <v>Ice Yak</v>
      </c>
      <c r="B105" s="1"/>
      <c r="C105" s="1"/>
      <c r="D105" s="1"/>
      <c r="E105" s="1" t="str">
        <f>IFERROR(__xludf.DUMMYFUNCTION("""COMPUTED_VALUE"""),"Immune")</f>
        <v>Immune</v>
      </c>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row>
    <row r="106">
      <c r="A106" s="1" t="str">
        <f>IFERROR(__xludf.DUMMYFUNCTION("""COMPUTED_VALUE"""),"Giant Eagle")</f>
        <v>Giant Eagle</v>
      </c>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row>
    <row r="107">
      <c r="A107" s="1" t="str">
        <f>IFERROR(__xludf.DUMMYFUNCTION("""COMPUTED_VALUE"""),"Eagle (Enhanced)")</f>
        <v>Eagle (Enhanced)</v>
      </c>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row>
    <row r="108">
      <c r="A108" s="1" t="str">
        <f>IFERROR(__xludf.DUMMYFUNCTION("""COMPUTED_VALUE"""),"Moonlight Unicorn")</f>
        <v>Moonlight Unicorn</v>
      </c>
      <c r="B108" s="1"/>
      <c r="C108" s="1"/>
      <c r="D108" s="1"/>
      <c r="E108" s="1"/>
      <c r="F108" s="1"/>
      <c r="G108" s="1" t="str">
        <f>IFERROR(__xludf.DUMMYFUNCTION("""COMPUTED_VALUE"""),"Immune")</f>
        <v>Immune</v>
      </c>
      <c r="H108" s="1"/>
      <c r="I108" s="1"/>
      <c r="J108" s="1" t="str">
        <f>IFERROR(__xludf.DUMMYFUNCTION("""COMPUTED_VALUE"""),"Immune")</f>
        <v>Immune</v>
      </c>
      <c r="K108" s="1"/>
      <c r="L108" s="1"/>
      <c r="M108" s="1"/>
      <c r="N108" s="1"/>
      <c r="O108" s="1"/>
      <c r="P108" s="1"/>
      <c r="Q108" s="1"/>
      <c r="R108" s="1"/>
      <c r="S108" s="1"/>
      <c r="T108" s="1"/>
      <c r="U108" s="1"/>
      <c r="V108" s="1" t="str">
        <f>IFERROR(__xludf.DUMMYFUNCTION("""COMPUTED_VALUE"""),"Immune")</f>
        <v>Immune</v>
      </c>
      <c r="W108" s="1"/>
      <c r="X108" s="1"/>
      <c r="Y108" s="1"/>
      <c r="Z108" s="1"/>
      <c r="AA108" s="1"/>
      <c r="AB108" s="1"/>
      <c r="AC108" s="1"/>
      <c r="AD108" s="1"/>
      <c r="AE108" s="1"/>
      <c r="AF108" s="1"/>
      <c r="AG108" s="1"/>
      <c r="AH108" s="1"/>
      <c r="AI108" s="1"/>
      <c r="AJ108" s="1"/>
      <c r="AK108" s="1"/>
      <c r="AL108" s="1"/>
    </row>
    <row r="109">
      <c r="A109" s="1" t="str">
        <f>IFERROR(__xludf.DUMMYFUNCTION("""COMPUTED_VALUE"""),"Forest Guardian")</f>
        <v>Forest Guardian</v>
      </c>
      <c r="B109" s="1"/>
      <c r="C109" s="1"/>
      <c r="D109" s="1"/>
      <c r="E109" s="1"/>
      <c r="F109" s="1"/>
      <c r="G109" s="1"/>
      <c r="H109" s="1"/>
      <c r="I109" s="1"/>
      <c r="J109" s="1"/>
      <c r="K109" s="1" t="str">
        <f>IFERROR(__xludf.DUMMYFUNCTION("""COMPUTED_VALUE"""),"Immune")</f>
        <v>Immune</v>
      </c>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row>
    <row r="110">
      <c r="A110" s="1" t="str">
        <f>IFERROR(__xludf.DUMMYFUNCTION("""COMPUTED_VALUE"""),"Guardian Of Nature")</f>
        <v>Guardian Of Nature</v>
      </c>
      <c r="B110" s="1"/>
      <c r="C110" s="1"/>
      <c r="D110" s="1"/>
      <c r="E110" s="1"/>
      <c r="F110" s="1"/>
      <c r="G110" s="1"/>
      <c r="H110" s="1"/>
      <c r="I110" s="1"/>
      <c r="J110" s="1"/>
      <c r="K110" s="1" t="str">
        <f>IFERROR(__xludf.DUMMYFUNCTION("""COMPUTED_VALUE"""),"Immune")</f>
        <v>Immune</v>
      </c>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row>
    <row r="111">
      <c r="A111" s="1" t="str">
        <f>IFERROR(__xludf.DUMMYFUNCTION("""COMPUTED_VALUE"""),"Fire Warrior")</f>
        <v>Fire Warrior</v>
      </c>
      <c r="B111" s="1" t="str">
        <f>IFERROR(__xludf.DUMMYFUNCTION("""COMPUTED_VALUE"""),"Immune")</f>
        <v>Immune</v>
      </c>
      <c r="C111" s="1"/>
      <c r="D111" s="1"/>
      <c r="E111" s="1"/>
      <c r="F111" s="1"/>
      <c r="G111" s="1"/>
      <c r="H111" s="1"/>
      <c r="I111" s="1"/>
      <c r="J111" s="1"/>
      <c r="K111" s="1" t="str">
        <f>IFERROR(__xludf.DUMMYFUNCTION("""COMPUTED_VALUE"""),"Immune")</f>
        <v>Immune</v>
      </c>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row>
    <row r="112">
      <c r="A112" s="1" t="str">
        <f>IFERROR(__xludf.DUMMYFUNCTION("""COMPUTED_VALUE"""),"Fire Soldier")</f>
        <v>Fire Soldier</v>
      </c>
      <c r="B112" s="1" t="str">
        <f>IFERROR(__xludf.DUMMYFUNCTION("""COMPUTED_VALUE"""),"Immune")</f>
        <v>Immune</v>
      </c>
      <c r="C112" s="1"/>
      <c r="D112" s="1"/>
      <c r="E112" s="1"/>
      <c r="F112" s="1"/>
      <c r="G112" s="1"/>
      <c r="H112" s="1"/>
      <c r="I112" s="1"/>
      <c r="J112" s="1"/>
      <c r="K112" s="1" t="str">
        <f>IFERROR(__xludf.DUMMYFUNCTION("""COMPUTED_VALUE"""),"Immune")</f>
        <v>Immune</v>
      </c>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row>
    <row r="113">
      <c r="A113" s="1" t="str">
        <f>IFERROR(__xludf.DUMMYFUNCTION("""COMPUTED_VALUE"""),"Twilight Soldier")</f>
        <v>Twilight Soldier</v>
      </c>
      <c r="B113" s="1"/>
      <c r="C113" s="1"/>
      <c r="D113" s="1"/>
      <c r="E113" s="1"/>
      <c r="F113" s="1"/>
      <c r="G113" s="1"/>
      <c r="H113" s="1"/>
      <c r="I113" s="1"/>
      <c r="J113" s="1"/>
      <c r="K113" s="1"/>
      <c r="L113" s="1"/>
      <c r="M113" s="1"/>
      <c r="N113" s="1"/>
      <c r="O113" s="1"/>
      <c r="P113" s="1" t="str">
        <f>IFERROR(__xludf.DUMMYFUNCTION("""COMPUTED_VALUE"""),"Immune")</f>
        <v>Immune</v>
      </c>
      <c r="Q113" s="1"/>
      <c r="R113" s="1"/>
      <c r="S113" s="1"/>
      <c r="T113" s="1"/>
      <c r="U113" s="1"/>
      <c r="V113" s="1"/>
      <c r="W113" s="1"/>
      <c r="X113" s="1"/>
      <c r="Y113" s="1"/>
      <c r="Z113" s="1"/>
      <c r="AA113" s="1"/>
      <c r="AB113" s="1"/>
      <c r="AC113" s="1"/>
      <c r="AD113" s="1"/>
      <c r="AE113" s="1"/>
      <c r="AF113" s="1"/>
      <c r="AG113" s="1"/>
      <c r="AH113" s="1"/>
      <c r="AI113" s="1"/>
      <c r="AJ113" s="1"/>
      <c r="AK113" s="1"/>
      <c r="AL113" s="1"/>
    </row>
    <row r="114">
      <c r="A114" s="1" t="str">
        <f>IFERROR(__xludf.DUMMYFUNCTION("""COMPUTED_VALUE"""),"Twilight Shadow")</f>
        <v>Twilight Shadow</v>
      </c>
      <c r="B114" s="1"/>
      <c r="C114" s="1"/>
      <c r="D114" s="1"/>
      <c r="E114" s="1"/>
      <c r="F114" s="1"/>
      <c r="G114" s="1" t="str">
        <f>IFERROR(__xludf.DUMMYFUNCTION("""COMPUTED_VALUE"""),"Immune")</f>
        <v>Immune</v>
      </c>
      <c r="H114" s="1"/>
      <c r="I114" s="1"/>
      <c r="J114" s="1"/>
      <c r="K114" s="1"/>
      <c r="L114" s="1"/>
      <c r="M114" s="1"/>
      <c r="N114" s="1"/>
      <c r="O114" s="1"/>
      <c r="P114" s="1" t="str">
        <f>IFERROR(__xludf.DUMMYFUNCTION("""COMPUTED_VALUE"""),"Immune")</f>
        <v>Immune</v>
      </c>
      <c r="Q114" s="1"/>
      <c r="R114" s="1"/>
      <c r="S114" s="1"/>
      <c r="T114" s="1"/>
      <c r="U114" s="1"/>
      <c r="V114" s="1"/>
      <c r="W114" s="1"/>
      <c r="X114" s="1"/>
      <c r="Y114" s="1"/>
      <c r="Z114" s="1"/>
      <c r="AA114" s="1"/>
      <c r="AB114" s="1"/>
      <c r="AC114" s="1"/>
      <c r="AD114" s="1"/>
      <c r="AE114" s="1"/>
      <c r="AF114" s="1"/>
      <c r="AG114" s="1"/>
      <c r="AH114" s="1"/>
      <c r="AI114" s="1"/>
      <c r="AJ114" s="1"/>
      <c r="AK114" s="1"/>
      <c r="AL114" s="1"/>
    </row>
    <row r="115">
      <c r="A115" s="1" t="str">
        <f>IFERROR(__xludf.DUMMYFUNCTION("""COMPUTED_VALUE"""),"Imperial Judge")</f>
        <v>Imperial Judge</v>
      </c>
      <c r="B115" s="1"/>
      <c r="C115" s="1"/>
      <c r="D115" s="1"/>
      <c r="E115" s="1"/>
      <c r="F115" s="1" t="str">
        <f>IFERROR(__xludf.DUMMYFUNCTION("""COMPUTED_VALUE"""),"Immune")</f>
        <v>Immune</v>
      </c>
      <c r="G115" s="1"/>
      <c r="H115" s="1"/>
      <c r="I115" s="1" t="str">
        <f>IFERROR(__xludf.DUMMYFUNCTION("""COMPUTED_VALUE"""),"Immune")</f>
        <v>Immune</v>
      </c>
      <c r="J115" s="1"/>
      <c r="K115" s="1"/>
      <c r="L115" s="1"/>
      <c r="M115" s="1"/>
      <c r="N115" s="1"/>
      <c r="O115" s="1"/>
      <c r="P115" s="1"/>
      <c r="Q115" s="1"/>
      <c r="R115" s="1"/>
      <c r="S115" s="1"/>
      <c r="T115" s="1"/>
      <c r="U115" s="1"/>
      <c r="V115" s="1"/>
      <c r="W115" s="1"/>
      <c r="X115" s="1" t="str">
        <f>IFERROR(__xludf.DUMMYFUNCTION("""COMPUTED_VALUE"""),"Immune")</f>
        <v>Immune</v>
      </c>
      <c r="Y115" s="1" t="str">
        <f>IFERROR(__xludf.DUMMYFUNCTION("""COMPUTED_VALUE"""),"Immune")</f>
        <v>Immune</v>
      </c>
      <c r="Z115" s="1"/>
      <c r="AA115" s="1" t="str">
        <f>IFERROR(__xludf.DUMMYFUNCTION("""COMPUTED_VALUE"""),"Immune")</f>
        <v>Immune</v>
      </c>
      <c r="AB115" s="1"/>
      <c r="AC115" s="1"/>
      <c r="AD115" s="1"/>
      <c r="AE115" s="1"/>
      <c r="AF115" s="1"/>
      <c r="AG115" s="1"/>
      <c r="AH115" s="1"/>
      <c r="AI115" s="1"/>
      <c r="AJ115" s="1"/>
      <c r="AK115" s="1"/>
      <c r="AL115" s="1"/>
    </row>
    <row r="116">
      <c r="A116" s="1" t="str">
        <f>IFERROR(__xludf.DUMMYFUNCTION("""COMPUTED_VALUE"""),"Baboon")</f>
        <v>Baboon</v>
      </c>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row>
    <row r="117">
      <c r="A117" s="1" t="str">
        <f>IFERROR(__xludf.DUMMYFUNCTION("""COMPUTED_VALUE"""),"Bull")</f>
        <v>Bull</v>
      </c>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row>
    <row r="118">
      <c r="A118" s="1" t="str">
        <f>IFERROR(__xludf.DUMMYFUNCTION("""COMPUTED_VALUE"""),"Rhino")</f>
        <v>Rhino</v>
      </c>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row>
    <row r="119">
      <c r="A119" s="1" t="str">
        <f>IFERROR(__xludf.DUMMYFUNCTION("""COMPUTED_VALUE"""),"Mummy Warrior")</f>
        <v>Mummy Warrior</v>
      </c>
      <c r="B119" s="1"/>
      <c r="C119" s="1"/>
      <c r="D119" s="1"/>
      <c r="E119" s="1"/>
      <c r="F119" s="1"/>
      <c r="G119" s="1" t="str">
        <f>IFERROR(__xludf.DUMMYFUNCTION("""COMPUTED_VALUE"""),"Immune")</f>
        <v>Immune</v>
      </c>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row>
    <row r="120">
      <c r="A120" s="1" t="str">
        <f>IFERROR(__xludf.DUMMYFUNCTION("""COMPUTED_VALUE"""),"Mummy Soldier")</f>
        <v>Mummy Soldier</v>
      </c>
      <c r="B120" s="1"/>
      <c r="C120" s="1"/>
      <c r="D120" s="1"/>
      <c r="E120" s="1"/>
      <c r="F120" s="1"/>
      <c r="G120" s="1" t="str">
        <f>IFERROR(__xludf.DUMMYFUNCTION("""COMPUTED_VALUE"""),"Immune")</f>
        <v>Immune</v>
      </c>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row>
    <row r="121">
      <c r="A121" s="1" t="str">
        <f>IFERROR(__xludf.DUMMYFUNCTION("""COMPUTED_VALUE"""),"Mummy Guardian")</f>
        <v>Mummy Guardian</v>
      </c>
      <c r="B121" s="1"/>
      <c r="C121" s="1"/>
      <c r="D121" s="1"/>
      <c r="E121" s="1"/>
      <c r="F121" s="1"/>
      <c r="G121" s="1" t="str">
        <f>IFERROR(__xludf.DUMMYFUNCTION("""COMPUTED_VALUE"""),"Immune")</f>
        <v>Immune</v>
      </c>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row>
    <row r="122">
      <c r="A122" s="1" t="str">
        <f>IFERROR(__xludf.DUMMYFUNCTION("""COMPUTED_VALUE"""),"Mummy King")</f>
        <v>Mummy King</v>
      </c>
      <c r="B122" s="1"/>
      <c r="C122" s="1"/>
      <c r="D122" s="1"/>
      <c r="E122" s="1"/>
      <c r="F122" s="1"/>
      <c r="G122" s="1" t="str">
        <f>IFERROR(__xludf.DUMMYFUNCTION("""COMPUTED_VALUE"""),"Immune")</f>
        <v>Immune</v>
      </c>
      <c r="H122" s="1"/>
      <c r="I122" s="1"/>
      <c r="J122" s="1"/>
      <c r="K122" s="1"/>
      <c r="L122" s="1"/>
      <c r="M122" s="1"/>
      <c r="N122" s="1"/>
      <c r="O122" s="1"/>
      <c r="P122" s="1"/>
      <c r="Q122" s="1"/>
      <c r="R122" s="1"/>
      <c r="S122" s="1"/>
      <c r="T122" s="1"/>
      <c r="U122" s="1"/>
      <c r="V122" s="1"/>
      <c r="W122" s="1"/>
      <c r="X122" s="1" t="str">
        <f>IFERROR(__xludf.DUMMYFUNCTION("""COMPUTED_VALUE"""),"Immune")</f>
        <v>Immune</v>
      </c>
      <c r="Y122" s="1" t="str">
        <f>IFERROR(__xludf.DUMMYFUNCTION("""COMPUTED_VALUE"""),"Immune")</f>
        <v>Immune</v>
      </c>
      <c r="Z122" s="1"/>
      <c r="AA122" s="1" t="str">
        <f>IFERROR(__xludf.DUMMYFUNCTION("""COMPUTED_VALUE"""),"Immune")</f>
        <v>Immune</v>
      </c>
      <c r="AB122" s="1"/>
      <c r="AC122" s="1"/>
      <c r="AD122" s="1"/>
      <c r="AE122" s="1"/>
      <c r="AF122" s="1"/>
      <c r="AG122" s="1"/>
      <c r="AH122" s="1"/>
      <c r="AI122" s="1"/>
      <c r="AJ122" s="1"/>
      <c r="AK122" s="1"/>
      <c r="AL122" s="1"/>
    </row>
    <row r="123">
      <c r="A123" s="1" t="str">
        <f>IFERROR(__xludf.DUMMYFUNCTION("""COMPUTED_VALUE"""),"Mummy Queen")</f>
        <v>Mummy Queen</v>
      </c>
      <c r="B123" s="1"/>
      <c r="C123" s="1"/>
      <c r="D123" s="1"/>
      <c r="E123" s="1"/>
      <c r="F123" s="1"/>
      <c r="G123" s="1" t="str">
        <f>IFERROR(__xludf.DUMMYFUNCTION("""COMPUTED_VALUE"""),"Immune")</f>
        <v>Immune</v>
      </c>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row>
    <row r="124">
      <c r="A124" s="1" t="str">
        <f>IFERROR(__xludf.DUMMYFUNCTION("""COMPUTED_VALUE"""),"Chaotic Shadow Gnome")</f>
        <v>Chaotic Shadow Gnome</v>
      </c>
      <c r="B124" s="1"/>
      <c r="C124" s="1"/>
      <c r="D124" s="1"/>
      <c r="E124" s="1"/>
      <c r="F124" s="1"/>
      <c r="G124" s="1">
        <f>IFERROR(__xludf.DUMMYFUNCTION("""COMPUTED_VALUE"""),100.0)</f>
        <v>100</v>
      </c>
      <c r="H124" s="1"/>
      <c r="I124" s="1"/>
      <c r="J124" s="1">
        <f>IFERROR(__xludf.DUMMYFUNCTION("""COMPUTED_VALUE"""),100.0)</f>
        <v>100</v>
      </c>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row>
    <row r="125">
      <c r="A125" s="1" t="str">
        <f>IFERROR(__xludf.DUMMYFUNCTION("""COMPUTED_VALUE"""),"Chaotic Shadow Golem")</f>
        <v>Chaotic Shadow Golem</v>
      </c>
      <c r="B125" s="1"/>
      <c r="C125" s="1"/>
      <c r="D125" s="1"/>
      <c r="E125" s="1"/>
      <c r="F125" s="1"/>
      <c r="G125" s="1">
        <f>IFERROR(__xludf.DUMMYFUNCTION("""COMPUTED_VALUE"""),100.0)</f>
        <v>100</v>
      </c>
      <c r="H125" s="1"/>
      <c r="I125" s="1"/>
      <c r="J125" s="1">
        <f>IFERROR(__xludf.DUMMYFUNCTION("""COMPUTED_VALUE"""),100.0)</f>
        <v>100</v>
      </c>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row>
    <row r="126">
      <c r="A126" s="1" t="str">
        <f>IFERROR(__xludf.DUMMYFUNCTION("""COMPUTED_VALUE"""),"Giant Chaotic Shadow Spider")</f>
        <v>Giant Chaotic Shadow Spider</v>
      </c>
      <c r="B126" s="1"/>
      <c r="C126" s="1"/>
      <c r="D126" s="1"/>
      <c r="E126" s="1"/>
      <c r="F126" s="1"/>
      <c r="G126" s="1">
        <f>IFERROR(__xludf.DUMMYFUNCTION("""COMPUTED_VALUE"""),100.0)</f>
        <v>100</v>
      </c>
      <c r="H126" s="1"/>
      <c r="I126" s="1"/>
      <c r="J126" s="1">
        <f>IFERROR(__xludf.DUMMYFUNCTION("""COMPUTED_VALUE"""),100.0)</f>
        <v>100</v>
      </c>
      <c r="K126" s="1"/>
      <c r="L126" s="1"/>
      <c r="M126" s="1"/>
      <c r="N126" s="1"/>
      <c r="O126" s="1"/>
      <c r="P126" s="1"/>
      <c r="Q126" s="1"/>
      <c r="R126" s="1"/>
      <c r="S126" s="1"/>
      <c r="T126" s="1"/>
      <c r="U126" s="1"/>
      <c r="V126" s="1"/>
      <c r="W126" s="1"/>
      <c r="X126" s="1" t="str">
        <f>IFERROR(__xludf.DUMMYFUNCTION("""COMPUTED_VALUE"""),"Immune")</f>
        <v>Immune</v>
      </c>
      <c r="Y126" s="1" t="str">
        <f>IFERROR(__xludf.DUMMYFUNCTION("""COMPUTED_VALUE"""),"Immune")</f>
        <v>Immune</v>
      </c>
      <c r="Z126" s="1"/>
      <c r="AA126" s="1" t="str">
        <f>IFERROR(__xludf.DUMMYFUNCTION("""COMPUTED_VALUE"""),"Immune")</f>
        <v>Immune</v>
      </c>
      <c r="AB126" s="1"/>
      <c r="AC126" s="1"/>
      <c r="AD126" s="1"/>
      <c r="AE126" s="1"/>
      <c r="AF126" s="1"/>
      <c r="AG126" s="1"/>
      <c r="AH126" s="1"/>
      <c r="AI126" s="1"/>
      <c r="AJ126" s="1"/>
      <c r="AK126" s="1"/>
      <c r="AL126" s="1"/>
    </row>
    <row r="127">
      <c r="A127" s="1" t="str">
        <f>IFERROR(__xludf.DUMMYFUNCTION("""COMPUTED_VALUE"""),"Chaotic Shadow Phantom")</f>
        <v>Chaotic Shadow Phantom</v>
      </c>
      <c r="B127" s="1"/>
      <c r="C127" s="1"/>
      <c r="D127" s="1"/>
      <c r="E127" s="1"/>
      <c r="F127" s="1"/>
      <c r="G127" s="1">
        <f>IFERROR(__xludf.DUMMYFUNCTION("""COMPUTED_VALUE"""),100.0)</f>
        <v>100</v>
      </c>
      <c r="H127" s="1"/>
      <c r="I127" s="1"/>
      <c r="J127" s="1">
        <f>IFERROR(__xludf.DUMMYFUNCTION("""COMPUTED_VALUE"""),100.0)</f>
        <v>100</v>
      </c>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row>
    <row r="128">
      <c r="A128" s="1" t="str">
        <f>IFERROR(__xludf.DUMMYFUNCTION("""COMPUTED_VALUE"""),"Knight Of Chaotic Shadows")</f>
        <v>Knight Of Chaotic Shadows</v>
      </c>
      <c r="B128" s="1"/>
      <c r="C128" s="1"/>
      <c r="D128" s="1"/>
      <c r="E128" s="1"/>
      <c r="F128" s="1"/>
      <c r="G128" s="1">
        <f>IFERROR(__xludf.DUMMYFUNCTION("""COMPUTED_VALUE"""),100.0)</f>
        <v>100</v>
      </c>
      <c r="H128" s="1"/>
      <c r="I128" s="1"/>
      <c r="J128" s="1">
        <f>IFERROR(__xludf.DUMMYFUNCTION("""COMPUTED_VALUE"""),100.0)</f>
        <v>100</v>
      </c>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row>
    <row r="129">
      <c r="A129" s="1" t="str">
        <f>IFERROR(__xludf.DUMMYFUNCTION("""COMPUTED_VALUE"""),"Multi Headed Chaotic Shadow Dragon")</f>
        <v>Multi Headed Chaotic Shadow Dragon</v>
      </c>
      <c r="B129" s="1"/>
      <c r="C129" s="1"/>
      <c r="D129" s="1"/>
      <c r="E129" s="1"/>
      <c r="F129" s="1"/>
      <c r="G129" s="1">
        <f>IFERROR(__xludf.DUMMYFUNCTION("""COMPUTED_VALUE"""),100.0)</f>
        <v>100</v>
      </c>
      <c r="H129" s="1"/>
      <c r="I129" s="1"/>
      <c r="J129" s="1">
        <f>IFERROR(__xludf.DUMMYFUNCTION("""COMPUTED_VALUE"""),100.0)</f>
        <v>100</v>
      </c>
      <c r="K129" s="1"/>
      <c r="L129" s="1"/>
      <c r="M129" s="1"/>
      <c r="N129" s="1"/>
      <c r="O129" s="1"/>
      <c r="P129" s="1"/>
      <c r="Q129" s="1"/>
      <c r="R129" s="1"/>
      <c r="S129" s="1"/>
      <c r="T129" s="1"/>
      <c r="U129" s="1"/>
      <c r="V129" s="1"/>
      <c r="W129" s="1"/>
      <c r="X129" s="1" t="str">
        <f>IFERROR(__xludf.DUMMYFUNCTION("""COMPUTED_VALUE"""),"Immune")</f>
        <v>Immune</v>
      </c>
      <c r="Y129" s="1" t="str">
        <f>IFERROR(__xludf.DUMMYFUNCTION("""COMPUTED_VALUE"""),"Immune")</f>
        <v>Immune</v>
      </c>
      <c r="Z129" s="1"/>
      <c r="AA129" s="1" t="str">
        <f>IFERROR(__xludf.DUMMYFUNCTION("""COMPUTED_VALUE"""),"Immune")</f>
        <v>Immune</v>
      </c>
      <c r="AB129" s="1"/>
      <c r="AC129" s="1"/>
      <c r="AD129" s="1"/>
      <c r="AE129" s="1"/>
      <c r="AF129" s="1"/>
      <c r="AG129" s="1"/>
      <c r="AH129" s="1"/>
      <c r="AI129" s="1"/>
      <c r="AJ129" s="1"/>
      <c r="AK129" s="1"/>
      <c r="AL129" s="1"/>
    </row>
    <row r="130">
      <c r="A130" s="1" t="str">
        <f>IFERROR(__xludf.DUMMYFUNCTION("""COMPUTED_VALUE"""),"Chaotic Shadow Royal Knight")</f>
        <v>Chaotic Shadow Royal Knight</v>
      </c>
      <c r="B130" s="1"/>
      <c r="C130" s="1"/>
      <c r="D130" s="1"/>
      <c r="E130" s="1"/>
      <c r="F130" s="1"/>
      <c r="G130" s="1">
        <f>IFERROR(__xludf.DUMMYFUNCTION("""COMPUTED_VALUE"""),100.0)</f>
        <v>100</v>
      </c>
      <c r="H130" s="1"/>
      <c r="I130" s="1"/>
      <c r="J130" s="1">
        <f>IFERROR(__xludf.DUMMYFUNCTION("""COMPUTED_VALUE"""),100.0)</f>
        <v>100</v>
      </c>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row>
    <row r="131">
      <c r="A131" s="1" t="str">
        <f>IFERROR(__xludf.DUMMYFUNCTION("""COMPUTED_VALUE"""),"The Ring King")</f>
        <v>The Ring King</v>
      </c>
      <c r="B131" s="1"/>
      <c r="C131" s="1"/>
      <c r="D131" s="1"/>
      <c r="E131" s="1"/>
      <c r="F131" s="1"/>
      <c r="G131" s="1">
        <f>IFERROR(__xludf.DUMMYFUNCTION("""COMPUTED_VALUE"""),100.0)</f>
        <v>100</v>
      </c>
      <c r="H131" s="1"/>
      <c r="I131" s="1"/>
      <c r="J131" s="1">
        <f>IFERROR(__xludf.DUMMYFUNCTION("""COMPUTED_VALUE"""),100.0)</f>
        <v>100</v>
      </c>
      <c r="K131" s="1"/>
      <c r="L131" s="1"/>
      <c r="M131" s="1"/>
      <c r="N131" s="1"/>
      <c r="O131" s="1"/>
      <c r="P131" s="1"/>
      <c r="Q131" s="1"/>
      <c r="R131" s="1"/>
      <c r="S131" s="1"/>
      <c r="T131" s="1"/>
      <c r="U131" s="1"/>
      <c r="V131" s="1"/>
      <c r="W131" s="1"/>
      <c r="X131" s="1" t="str">
        <f>IFERROR(__xludf.DUMMYFUNCTION("""COMPUTED_VALUE"""),"Immune")</f>
        <v>Immune</v>
      </c>
      <c r="Y131" s="1" t="str">
        <f>IFERROR(__xludf.DUMMYFUNCTION("""COMPUTED_VALUE"""),"Immune")</f>
        <v>Immune</v>
      </c>
      <c r="Z131" s="1"/>
      <c r="AA131" s="1" t="str">
        <f>IFERROR(__xludf.DUMMYFUNCTION("""COMPUTED_VALUE"""),"Immune")</f>
        <v>Immune</v>
      </c>
      <c r="AB131" s="1"/>
      <c r="AC131" s="1"/>
      <c r="AD131" s="1"/>
      <c r="AE131" s="1"/>
      <c r="AF131" s="1"/>
      <c r="AG131" s="1"/>
      <c r="AH131" s="1"/>
      <c r="AI131" s="1"/>
      <c r="AJ131" s="1"/>
      <c r="AK131" s="1"/>
      <c r="AL131" s="1"/>
    </row>
    <row r="132">
      <c r="A132" s="1" t="str">
        <f>IFERROR(__xludf.DUMMYFUNCTION("""COMPUTED_VALUE"""),"Chaotic Shadow Servant")</f>
        <v>Chaotic Shadow Servant</v>
      </c>
      <c r="B132" s="1"/>
      <c r="C132" s="1"/>
      <c r="D132" s="1"/>
      <c r="E132" s="1"/>
      <c r="F132" s="1"/>
      <c r="G132" s="1">
        <f>IFERROR(__xludf.DUMMYFUNCTION("""COMPUTED_VALUE"""),100.0)</f>
        <v>100</v>
      </c>
      <c r="H132" s="1"/>
      <c r="I132" s="1"/>
      <c r="J132" s="1">
        <f>IFERROR(__xludf.DUMMYFUNCTION("""COMPUTED_VALUE"""),100.0)</f>
        <v>100</v>
      </c>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row>
    <row r="133">
      <c r="A133" s="1" t="str">
        <f>IFERROR(__xludf.DUMMYFUNCTION("""COMPUTED_VALUE"""),"Hydra Cobra")</f>
        <v>Hydra Cobra</v>
      </c>
      <c r="B133" s="1"/>
      <c r="C133" s="1"/>
      <c r="D133" s="1"/>
      <c r="E133" s="1"/>
      <c r="F133" s="1"/>
      <c r="G133" s="1">
        <f>IFERROR(__xludf.DUMMYFUNCTION("""COMPUTED_VALUE"""),100.0)</f>
        <v>100</v>
      </c>
      <c r="H133" s="1"/>
      <c r="I133" s="1"/>
      <c r="J133" s="1">
        <f>IFERROR(__xludf.DUMMYFUNCTION("""COMPUTED_VALUE"""),100.0)</f>
        <v>100</v>
      </c>
      <c r="K133" s="1"/>
      <c r="L133" s="1"/>
      <c r="M133" s="1"/>
      <c r="N133" s="1"/>
      <c r="O133" s="1"/>
      <c r="P133" s="1"/>
      <c r="Q133" s="1" t="str">
        <f>IFERROR(__xludf.DUMMYFUNCTION("""COMPUTED_VALUE"""),"Immune")</f>
        <v>Immune</v>
      </c>
      <c r="R133" s="1"/>
      <c r="S133" s="1"/>
      <c r="T133" s="1"/>
      <c r="U133" s="1"/>
      <c r="V133" s="1"/>
      <c r="W133" s="1"/>
      <c r="X133" s="1" t="str">
        <f>IFERROR(__xludf.DUMMYFUNCTION("""COMPUTED_VALUE"""),"Immune")</f>
        <v>Immune</v>
      </c>
      <c r="Y133" s="1" t="str">
        <f>IFERROR(__xludf.DUMMYFUNCTION("""COMPUTED_VALUE"""),"Immune")</f>
        <v>Immune</v>
      </c>
      <c r="Z133" s="1"/>
      <c r="AA133" s="1" t="str">
        <f>IFERROR(__xludf.DUMMYFUNCTION("""COMPUTED_VALUE"""),"Immune")</f>
        <v>Immune</v>
      </c>
      <c r="AB133" s="1"/>
      <c r="AC133" s="1"/>
      <c r="AD133" s="1"/>
      <c r="AE133" s="1"/>
      <c r="AF133" s="1"/>
      <c r="AG133" s="1"/>
      <c r="AH133" s="1"/>
      <c r="AI133" s="1"/>
      <c r="AJ133" s="1"/>
      <c r="AK133" s="1"/>
      <c r="AL133" s="1"/>
    </row>
    <row r="134">
      <c r="A134" s="1" t="str">
        <f>IFERROR(__xludf.DUMMYFUNCTION("""COMPUTED_VALUE"""),"Jelly Fish (WD)")</f>
        <v>Jelly Fish (WD)</v>
      </c>
      <c r="B134" s="1" t="str">
        <f>IFERROR(__xludf.DUMMYFUNCTION("""COMPUTED_VALUE"""),"Immune")</f>
        <v>Immune</v>
      </c>
      <c r="C134" s="1" t="str">
        <f>IFERROR(__xludf.DUMMYFUNCTION("""COMPUTED_VALUE"""),"Immune")</f>
        <v>Immune</v>
      </c>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row>
    <row r="135">
      <c r="A135" s="1" t="str">
        <f>IFERROR(__xludf.DUMMYFUNCTION("""COMPUTED_VALUE"""),"Squid (WD)")</f>
        <v>Squid (WD)</v>
      </c>
      <c r="B135" s="1" t="str">
        <f>IFERROR(__xludf.DUMMYFUNCTION("""COMPUTED_VALUE"""),"Immune")</f>
        <v>Immune</v>
      </c>
      <c r="C135" s="1" t="str">
        <f>IFERROR(__xludf.DUMMYFUNCTION("""COMPUTED_VALUE"""),"Immune")</f>
        <v>Immune</v>
      </c>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row>
    <row r="136">
      <c r="A136" s="1" t="str">
        <f>IFERROR(__xludf.DUMMYFUNCTION("""COMPUTED_VALUE"""),"Octopi (WD)")</f>
        <v>Octopi (WD)</v>
      </c>
      <c r="B136" s="1" t="str">
        <f>IFERROR(__xludf.DUMMYFUNCTION("""COMPUTED_VALUE"""),"Immune")</f>
        <v>Immune</v>
      </c>
      <c r="C136" s="1" t="str">
        <f>IFERROR(__xludf.DUMMYFUNCTION("""COMPUTED_VALUE"""),"Immune")</f>
        <v>Immune</v>
      </c>
      <c r="D136" s="1"/>
      <c r="E136" s="1"/>
      <c r="F136" s="1"/>
      <c r="G136" s="1"/>
      <c r="H136" s="1"/>
      <c r="I136" s="1"/>
      <c r="J136" s="1"/>
      <c r="K136" s="1"/>
      <c r="L136" s="1"/>
      <c r="M136" s="1"/>
      <c r="N136" s="1"/>
      <c r="O136" s="1"/>
      <c r="P136" s="1"/>
      <c r="Q136" s="1"/>
      <c r="R136" s="1"/>
      <c r="S136" s="1"/>
      <c r="T136" s="1"/>
      <c r="U136" s="1"/>
      <c r="V136" s="1"/>
      <c r="W136" s="1"/>
      <c r="X136" s="1" t="str">
        <f>IFERROR(__xludf.DUMMYFUNCTION("""COMPUTED_VALUE"""),"Immune")</f>
        <v>Immune</v>
      </c>
      <c r="Y136" s="1"/>
      <c r="Z136" s="1"/>
      <c r="AA136" s="1"/>
      <c r="AB136" s="1"/>
      <c r="AC136" s="1"/>
      <c r="AD136" s="1"/>
      <c r="AE136" s="1"/>
      <c r="AF136" s="1"/>
      <c r="AG136" s="1"/>
      <c r="AH136" s="1"/>
      <c r="AI136" s="1"/>
      <c r="AJ136" s="1"/>
      <c r="AK136" s="1"/>
      <c r="AL136" s="1"/>
    </row>
    <row r="137">
      <c r="A137" s="1" t="str">
        <f>IFERROR(__xludf.DUMMYFUNCTION("""COMPUTED_VALUE"""),"Shark (WD)")</f>
        <v>Shark (WD)</v>
      </c>
      <c r="B137" s="1" t="str">
        <f>IFERROR(__xludf.DUMMYFUNCTION("""COMPUTED_VALUE"""),"Immune")</f>
        <v>Immune</v>
      </c>
      <c r="C137" s="1" t="str">
        <f>IFERROR(__xludf.DUMMYFUNCTION("""COMPUTED_VALUE"""),"Immune")</f>
        <v>Immune</v>
      </c>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row>
    <row r="138">
      <c r="A138" s="1" t="str">
        <f>IFERROR(__xludf.DUMMYFUNCTION("""COMPUTED_VALUE"""),"Piranhas (WD)")</f>
        <v>Piranhas (WD)</v>
      </c>
      <c r="B138" s="1" t="str">
        <f>IFERROR(__xludf.DUMMYFUNCTION("""COMPUTED_VALUE"""),"Immune")</f>
        <v>Immune</v>
      </c>
      <c r="C138" s="1" t="str">
        <f>IFERROR(__xludf.DUMMYFUNCTION("""COMPUTED_VALUE"""),"Immune")</f>
        <v>Immune</v>
      </c>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row>
    <row r="139">
      <c r="A139" s="1" t="str">
        <f>IFERROR(__xludf.DUMMYFUNCTION("""COMPUTED_VALUE"""),"Megalodon (WD)")</f>
        <v>Megalodon (WD)</v>
      </c>
      <c r="B139" s="1" t="str">
        <f>IFERROR(__xludf.DUMMYFUNCTION("""COMPUTED_VALUE"""),"Immune")</f>
        <v>Immune</v>
      </c>
      <c r="C139" s="1" t="str">
        <f>IFERROR(__xludf.DUMMYFUNCTION("""COMPUTED_VALUE"""),"Immune")</f>
        <v>Immune</v>
      </c>
      <c r="D139" s="1"/>
      <c r="E139" s="1"/>
      <c r="F139" s="1"/>
      <c r="G139" s="1"/>
      <c r="H139" s="1"/>
      <c r="I139" s="1"/>
      <c r="J139" s="1"/>
      <c r="K139" s="1"/>
      <c r="L139" s="1"/>
      <c r="M139" s="1"/>
      <c r="N139" s="1"/>
      <c r="O139" s="1"/>
      <c r="P139" s="1"/>
      <c r="Q139" s="1"/>
      <c r="R139" s="1"/>
      <c r="S139" s="1"/>
      <c r="T139" s="1"/>
      <c r="U139" s="1"/>
      <c r="V139" s="1"/>
      <c r="W139" s="1"/>
      <c r="X139" s="1" t="str">
        <f>IFERROR(__xludf.DUMMYFUNCTION("""COMPUTED_VALUE"""),"Immune")</f>
        <v>Immune</v>
      </c>
      <c r="Y139" s="1"/>
      <c r="Z139" s="1"/>
      <c r="AA139" s="1"/>
      <c r="AB139" s="1"/>
      <c r="AC139" s="1"/>
      <c r="AD139" s="1"/>
      <c r="AE139" s="1"/>
      <c r="AF139" s="1"/>
      <c r="AG139" s="1"/>
      <c r="AH139" s="1"/>
      <c r="AI139" s="1"/>
      <c r="AJ139" s="1"/>
      <c r="AK139" s="1"/>
      <c r="AL139" s="1"/>
    </row>
    <row r="140">
      <c r="A140" s="1" t="str">
        <f>IFERROR(__xludf.DUMMYFUNCTION("""COMPUTED_VALUE"""),"Giant Alligator (WD)")</f>
        <v>Giant Alligator (WD)</v>
      </c>
      <c r="B140" s="1" t="str">
        <f>IFERROR(__xludf.DUMMYFUNCTION("""COMPUTED_VALUE"""),"Immune")</f>
        <v>Immune</v>
      </c>
      <c r="C140" s="1" t="str">
        <f>IFERROR(__xludf.DUMMYFUNCTION("""COMPUTED_VALUE"""),"Immune")</f>
        <v>Immune</v>
      </c>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row>
    <row r="141">
      <c r="A141" s="1" t="str">
        <f>IFERROR(__xludf.DUMMYFUNCTION("""COMPUTED_VALUE"""),"Sea Worm (WD)")</f>
        <v>Sea Worm (WD)</v>
      </c>
      <c r="B141" s="1" t="str">
        <f>IFERROR(__xludf.DUMMYFUNCTION("""COMPUTED_VALUE"""),"Immune")</f>
        <v>Immune</v>
      </c>
      <c r="C141" s="1" t="str">
        <f>IFERROR(__xludf.DUMMYFUNCTION("""COMPUTED_VALUE"""),"Immune")</f>
        <v>Immune</v>
      </c>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row>
    <row r="142">
      <c r="A142" s="1" t="str">
        <f>IFERROR(__xludf.DUMMYFUNCTION("""COMPUTED_VALUE"""),"Sea Serpent (WD)")</f>
        <v>Sea Serpent (WD)</v>
      </c>
      <c r="B142" s="1" t="str">
        <f>IFERROR(__xludf.DUMMYFUNCTION("""COMPUTED_VALUE"""),"Immune")</f>
        <v>Immune</v>
      </c>
      <c r="C142" s="1" t="str">
        <f>IFERROR(__xludf.DUMMYFUNCTION("""COMPUTED_VALUE"""),"Immune")</f>
        <v>Immune</v>
      </c>
      <c r="D142" s="1"/>
      <c r="E142" s="1"/>
      <c r="F142" s="1"/>
      <c r="G142" s="1"/>
      <c r="H142" s="1"/>
      <c r="I142" s="1"/>
      <c r="J142" s="1"/>
      <c r="K142" s="1"/>
      <c r="L142" s="1"/>
      <c r="M142" s="1"/>
      <c r="N142" s="1"/>
      <c r="O142" s="1"/>
      <c r="P142" s="1"/>
      <c r="Q142" s="1"/>
      <c r="R142" s="1"/>
      <c r="S142" s="1"/>
      <c r="T142" s="1"/>
      <c r="U142" s="1"/>
      <c r="V142" s="1"/>
      <c r="W142" s="1"/>
      <c r="X142" s="1" t="str">
        <f>IFERROR(__xludf.DUMMYFUNCTION("""COMPUTED_VALUE"""),"Immune")</f>
        <v>Immune</v>
      </c>
      <c r="Y142" s="1"/>
      <c r="Z142" s="1"/>
      <c r="AA142" s="1"/>
      <c r="AB142" s="1"/>
      <c r="AC142" s="1"/>
      <c r="AD142" s="1"/>
      <c r="AE142" s="1"/>
      <c r="AF142" s="1"/>
      <c r="AG142" s="1"/>
      <c r="AH142" s="1"/>
      <c r="AI142" s="1"/>
      <c r="AJ142" s="1"/>
      <c r="AK142" s="1"/>
      <c r="AL142" s="1"/>
    </row>
    <row r="143">
      <c r="A143" s="1" t="str">
        <f>IFERROR(__xludf.DUMMYFUNCTION("""COMPUTED_VALUE"""),"Water Dragon (WD)")</f>
        <v>Water Dragon (WD)</v>
      </c>
      <c r="B143" s="1" t="str">
        <f>IFERROR(__xludf.DUMMYFUNCTION("""COMPUTED_VALUE"""),"Immune")</f>
        <v>Immune</v>
      </c>
      <c r="C143" s="1" t="str">
        <f>IFERROR(__xludf.DUMMYFUNCTION("""COMPUTED_VALUE"""),"Immune")</f>
        <v>Immune</v>
      </c>
      <c r="D143" s="1"/>
      <c r="E143" s="1"/>
      <c r="F143" s="1"/>
      <c r="G143" s="1"/>
      <c r="H143" s="1"/>
      <c r="I143" s="1"/>
      <c r="J143" s="1"/>
      <c r="K143" s="1"/>
      <c r="L143" s="1"/>
      <c r="M143" s="1"/>
      <c r="N143" s="1"/>
      <c r="O143" s="1"/>
      <c r="P143" s="1"/>
      <c r="Q143" s="1"/>
      <c r="R143" s="1"/>
      <c r="S143" s="1"/>
      <c r="T143" s="1"/>
      <c r="U143" s="1"/>
      <c r="V143" s="1"/>
      <c r="W143" s="1"/>
      <c r="X143" s="1" t="str">
        <f>IFERROR(__xludf.DUMMYFUNCTION("""COMPUTED_VALUE"""),"Immune")</f>
        <v>Immune</v>
      </c>
      <c r="Y143" s="1" t="str">
        <f>IFERROR(__xludf.DUMMYFUNCTION("""COMPUTED_VALUE"""),"Immune")</f>
        <v>Immune</v>
      </c>
      <c r="Z143" s="1"/>
      <c r="AA143" s="1" t="str">
        <f>IFERROR(__xludf.DUMMYFUNCTION("""COMPUTED_VALUE"""),"Immune")</f>
        <v>Immune</v>
      </c>
      <c r="AB143" s="1"/>
      <c r="AC143" s="1"/>
      <c r="AD143" s="1"/>
      <c r="AE143" s="1"/>
      <c r="AF143" s="1"/>
      <c r="AG143" s="1"/>
      <c r="AH143" s="1"/>
      <c r="AI143" s="1"/>
      <c r="AJ143" s="1"/>
      <c r="AK143" s="1"/>
      <c r="AL143" s="1"/>
    </row>
    <row r="144">
      <c r="A144" s="1" t="str">
        <f>IFERROR(__xludf.DUMMYFUNCTION("""COMPUTED_VALUE"""),"Sea Dinosaur (WD)")</f>
        <v>Sea Dinosaur (WD)</v>
      </c>
      <c r="B144" s="1" t="str">
        <f>IFERROR(__xludf.DUMMYFUNCTION("""COMPUTED_VALUE"""),"Immune")</f>
        <v>Immune</v>
      </c>
      <c r="C144" s="1" t="str">
        <f>IFERROR(__xludf.DUMMYFUNCTION("""COMPUTED_VALUE"""),"Immune")</f>
        <v>Immune</v>
      </c>
      <c r="D144" s="1"/>
      <c r="E144" s="1"/>
      <c r="F144" s="1"/>
      <c r="G144" s="1"/>
      <c r="H144" s="1"/>
      <c r="I144" s="1"/>
      <c r="J144" s="1"/>
      <c r="K144" s="1"/>
      <c r="L144" s="1"/>
      <c r="M144" s="1"/>
      <c r="N144" s="1"/>
      <c r="O144" s="1"/>
      <c r="P144" s="1"/>
      <c r="Q144" s="1"/>
      <c r="R144" s="1"/>
      <c r="S144" s="1"/>
      <c r="T144" s="1"/>
      <c r="U144" s="1"/>
      <c r="V144" s="1"/>
      <c r="W144" s="1"/>
      <c r="X144" s="1" t="str">
        <f>IFERROR(__xludf.DUMMYFUNCTION("""COMPUTED_VALUE"""),"Immune")</f>
        <v>Immune</v>
      </c>
      <c r="Y144" s="1"/>
      <c r="Z144" s="1"/>
      <c r="AA144" s="1"/>
      <c r="AB144" s="1"/>
      <c r="AC144" s="1"/>
      <c r="AD144" s="1"/>
      <c r="AE144" s="1"/>
      <c r="AF144" s="1"/>
      <c r="AG144" s="1"/>
      <c r="AH144" s="1"/>
      <c r="AI144" s="1"/>
      <c r="AJ144" s="1"/>
      <c r="AK144" s="1"/>
      <c r="AL144" s="1"/>
    </row>
    <row r="145">
      <c r="A145" s="1" t="str">
        <f>IFERROR(__xludf.DUMMYFUNCTION("""COMPUTED_VALUE"""),"Jelly Fish (WD) (Enhanced)")</f>
        <v>Jelly Fish (WD) (Enhanced)</v>
      </c>
      <c r="B145" s="1" t="str">
        <f>IFERROR(__xludf.DUMMYFUNCTION("""COMPUTED_VALUE"""),"Immune")</f>
        <v>Immune</v>
      </c>
      <c r="C145" s="1" t="str">
        <f>IFERROR(__xludf.DUMMYFUNCTION("""COMPUTED_VALUE"""),"Immune")</f>
        <v>Immune</v>
      </c>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row>
    <row r="146">
      <c r="A146" s="1" t="str">
        <f>IFERROR(__xludf.DUMMYFUNCTION("""COMPUTED_VALUE"""),"Squid (WD) (Enhanced)")</f>
        <v>Squid (WD) (Enhanced)</v>
      </c>
      <c r="B146" s="1" t="str">
        <f>IFERROR(__xludf.DUMMYFUNCTION("""COMPUTED_VALUE"""),"Immune")</f>
        <v>Immune</v>
      </c>
      <c r="C146" s="1" t="str">
        <f>IFERROR(__xludf.DUMMYFUNCTION("""COMPUTED_VALUE"""),"Immune")</f>
        <v>Immune</v>
      </c>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row>
    <row r="147">
      <c r="A147" s="1" t="str">
        <f>IFERROR(__xludf.DUMMYFUNCTION("""COMPUTED_VALUE"""),"Octopi (WD) (Enhanced)")</f>
        <v>Octopi (WD) (Enhanced)</v>
      </c>
      <c r="B147" s="1" t="str">
        <f>IFERROR(__xludf.DUMMYFUNCTION("""COMPUTED_VALUE"""),"Immune")</f>
        <v>Immune</v>
      </c>
      <c r="C147" s="1" t="str">
        <f>IFERROR(__xludf.DUMMYFUNCTION("""COMPUTED_VALUE"""),"Immune")</f>
        <v>Immune</v>
      </c>
      <c r="D147" s="1"/>
      <c r="E147" s="1"/>
      <c r="F147" s="1"/>
      <c r="G147" s="1"/>
      <c r="H147" s="1"/>
      <c r="I147" s="1"/>
      <c r="J147" s="1"/>
      <c r="K147" s="1"/>
      <c r="L147" s="1"/>
      <c r="M147" s="1"/>
      <c r="N147" s="1"/>
      <c r="O147" s="1"/>
      <c r="P147" s="1"/>
      <c r="Q147" s="1"/>
      <c r="R147" s="1"/>
      <c r="S147" s="1"/>
      <c r="T147" s="1"/>
      <c r="U147" s="1"/>
      <c r="V147" s="1"/>
      <c r="W147" s="1"/>
      <c r="X147" s="1" t="str">
        <f>IFERROR(__xludf.DUMMYFUNCTION("""COMPUTED_VALUE"""),"Immune")</f>
        <v>Immune</v>
      </c>
      <c r="Y147" s="1"/>
      <c r="Z147" s="1"/>
      <c r="AA147" s="1"/>
      <c r="AB147" s="1"/>
      <c r="AC147" s="1"/>
      <c r="AD147" s="1"/>
      <c r="AE147" s="1"/>
      <c r="AF147" s="1"/>
      <c r="AG147" s="1"/>
      <c r="AH147" s="1"/>
      <c r="AI147" s="1"/>
      <c r="AJ147" s="1"/>
      <c r="AK147" s="1"/>
      <c r="AL147" s="1"/>
    </row>
    <row r="148">
      <c r="A148" s="1" t="str">
        <f>IFERROR(__xludf.DUMMYFUNCTION("""COMPUTED_VALUE"""),"Shark (WD) (Enhanced0")</f>
        <v>Shark (WD) (Enhanced0</v>
      </c>
      <c r="B148" s="1" t="str">
        <f>IFERROR(__xludf.DUMMYFUNCTION("""COMPUTED_VALUE"""),"Immune")</f>
        <v>Immune</v>
      </c>
      <c r="C148" s="1" t="str">
        <f>IFERROR(__xludf.DUMMYFUNCTION("""COMPUTED_VALUE"""),"Immune")</f>
        <v>Immune</v>
      </c>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row>
    <row r="149">
      <c r="A149" s="1" t="str">
        <f>IFERROR(__xludf.DUMMYFUNCTION("""COMPUTED_VALUE"""),"Piranhas (WD) (Enhanced)")</f>
        <v>Piranhas (WD) (Enhanced)</v>
      </c>
      <c r="B149" s="1" t="str">
        <f>IFERROR(__xludf.DUMMYFUNCTION("""COMPUTED_VALUE"""),"Immune")</f>
        <v>Immune</v>
      </c>
      <c r="C149" s="1" t="str">
        <f>IFERROR(__xludf.DUMMYFUNCTION("""COMPUTED_VALUE"""),"Immune")</f>
        <v>Immune</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row>
    <row r="150">
      <c r="A150" s="1" t="str">
        <f>IFERROR(__xludf.DUMMYFUNCTION("""COMPUTED_VALUE"""),"Megalodon (WD) (Enhanced)")</f>
        <v>Megalodon (WD) (Enhanced)</v>
      </c>
      <c r="B150" s="1" t="str">
        <f>IFERROR(__xludf.DUMMYFUNCTION("""COMPUTED_VALUE"""),"Immune")</f>
        <v>Immune</v>
      </c>
      <c r="C150" s="1" t="str">
        <f>IFERROR(__xludf.DUMMYFUNCTION("""COMPUTED_VALUE"""),"Immune")</f>
        <v>Immune</v>
      </c>
      <c r="D150" s="1"/>
      <c r="E150" s="1"/>
      <c r="F150" s="1"/>
      <c r="G150" s="1"/>
      <c r="H150" s="1"/>
      <c r="I150" s="1"/>
      <c r="J150" s="1"/>
      <c r="K150" s="1"/>
      <c r="L150" s="1"/>
      <c r="M150" s="1"/>
      <c r="N150" s="1"/>
      <c r="O150" s="1"/>
      <c r="P150" s="1"/>
      <c r="Q150" s="1"/>
      <c r="R150" s="1"/>
      <c r="S150" s="1"/>
      <c r="T150" s="1"/>
      <c r="U150" s="1"/>
      <c r="V150" s="1"/>
      <c r="W150" s="1"/>
      <c r="X150" s="1" t="str">
        <f>IFERROR(__xludf.DUMMYFUNCTION("""COMPUTED_VALUE"""),"Immune")</f>
        <v>Immune</v>
      </c>
      <c r="Y150" s="1"/>
      <c r="Z150" s="1"/>
      <c r="AA150" s="1"/>
      <c r="AB150" s="1"/>
      <c r="AC150" s="1"/>
      <c r="AD150" s="1"/>
      <c r="AE150" s="1"/>
      <c r="AF150" s="1"/>
      <c r="AG150" s="1"/>
      <c r="AH150" s="1"/>
      <c r="AI150" s="1"/>
      <c r="AJ150" s="1"/>
      <c r="AK150" s="1"/>
      <c r="AL150" s="1"/>
    </row>
    <row r="151">
      <c r="A151" s="1" t="str">
        <f>IFERROR(__xludf.DUMMYFUNCTION("""COMPUTED_VALUE"""),"Giant Alligator (WD) (Enhanced)")</f>
        <v>Giant Alligator (WD) (Enhanced)</v>
      </c>
      <c r="B151" s="1" t="str">
        <f>IFERROR(__xludf.DUMMYFUNCTION("""COMPUTED_VALUE"""),"Immune")</f>
        <v>Immune</v>
      </c>
      <c r="C151" s="1" t="str">
        <f>IFERROR(__xludf.DUMMYFUNCTION("""COMPUTED_VALUE"""),"Immune")</f>
        <v>Immune</v>
      </c>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row>
    <row r="152">
      <c r="A152" s="1" t="str">
        <f>IFERROR(__xludf.DUMMYFUNCTION("""COMPUTED_VALUE"""),"Sea Worm (WD) (Enhanced)")</f>
        <v>Sea Worm (WD) (Enhanced)</v>
      </c>
      <c r="B152" s="1" t="str">
        <f>IFERROR(__xludf.DUMMYFUNCTION("""COMPUTED_VALUE"""),"Immune")</f>
        <v>Immune</v>
      </c>
      <c r="C152" s="1" t="str">
        <f>IFERROR(__xludf.DUMMYFUNCTION("""COMPUTED_VALUE"""),"Immune")</f>
        <v>Immune</v>
      </c>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row>
    <row r="153">
      <c r="A153" s="1" t="str">
        <f>IFERROR(__xludf.DUMMYFUNCTION("""COMPUTED_VALUE"""),"Sea Serpent (WD) (Enhanced)")</f>
        <v>Sea Serpent (WD) (Enhanced)</v>
      </c>
      <c r="B153" s="1" t="str">
        <f>IFERROR(__xludf.DUMMYFUNCTION("""COMPUTED_VALUE"""),"Immune")</f>
        <v>Immune</v>
      </c>
      <c r="C153" s="1" t="str">
        <f>IFERROR(__xludf.DUMMYFUNCTION("""COMPUTED_VALUE"""),"Immune")</f>
        <v>Immune</v>
      </c>
      <c r="D153" s="1"/>
      <c r="E153" s="1"/>
      <c r="F153" s="1"/>
      <c r="G153" s="1"/>
      <c r="H153" s="1"/>
      <c r="I153" s="1"/>
      <c r="J153" s="1"/>
      <c r="K153" s="1"/>
      <c r="L153" s="1"/>
      <c r="M153" s="1"/>
      <c r="N153" s="1"/>
      <c r="O153" s="1"/>
      <c r="P153" s="1"/>
      <c r="Q153" s="1"/>
      <c r="R153" s="1"/>
      <c r="S153" s="1"/>
      <c r="T153" s="1"/>
      <c r="U153" s="1"/>
      <c r="V153" s="1"/>
      <c r="W153" s="1"/>
      <c r="X153" s="1" t="str">
        <f>IFERROR(__xludf.DUMMYFUNCTION("""COMPUTED_VALUE"""),"Immune")</f>
        <v>Immune</v>
      </c>
      <c r="Y153" s="1"/>
      <c r="Z153" s="1"/>
      <c r="AA153" s="1"/>
      <c r="AB153" s="1"/>
      <c r="AC153" s="1"/>
      <c r="AD153" s="1"/>
      <c r="AE153" s="1"/>
      <c r="AF153" s="1"/>
      <c r="AG153" s="1"/>
      <c r="AH153" s="1"/>
      <c r="AI153" s="1"/>
      <c r="AJ153" s="1"/>
      <c r="AK153" s="1"/>
      <c r="AL153" s="1"/>
    </row>
    <row r="154">
      <c r="A154" s="1" t="str">
        <f>IFERROR(__xludf.DUMMYFUNCTION("""COMPUTED_VALUE"""),"Ancient Water Dragon (WD) (Enhanced)")</f>
        <v>Ancient Water Dragon (WD) (Enhanced)</v>
      </c>
      <c r="B154" s="1" t="str">
        <f>IFERROR(__xludf.DUMMYFUNCTION("""COMPUTED_VALUE"""),"Immune")</f>
        <v>Immune</v>
      </c>
      <c r="C154" s="1" t="str">
        <f>IFERROR(__xludf.DUMMYFUNCTION("""COMPUTED_VALUE"""),"Immune")</f>
        <v>Immune</v>
      </c>
      <c r="D154" s="1"/>
      <c r="E154" s="1"/>
      <c r="F154" s="1"/>
      <c r="G154" s="1"/>
      <c r="H154" s="1"/>
      <c r="I154" s="1"/>
      <c r="J154" s="1"/>
      <c r="K154" s="1"/>
      <c r="L154" s="1"/>
      <c r="M154" s="1"/>
      <c r="N154" s="1"/>
      <c r="O154" s="1"/>
      <c r="P154" s="1"/>
      <c r="Q154" s="1"/>
      <c r="R154" s="1"/>
      <c r="S154" s="1"/>
      <c r="T154" s="1"/>
      <c r="U154" s="1"/>
      <c r="V154" s="1"/>
      <c r="W154" s="1"/>
      <c r="X154" s="1" t="str">
        <f>IFERROR(__xludf.DUMMYFUNCTION("""COMPUTED_VALUE"""),"Immune")</f>
        <v>Immune</v>
      </c>
      <c r="Y154" s="1" t="str">
        <f>IFERROR(__xludf.DUMMYFUNCTION("""COMPUTED_VALUE"""),"Immune")</f>
        <v>Immune</v>
      </c>
      <c r="Z154" s="1"/>
      <c r="AA154" s="1" t="str">
        <f>IFERROR(__xludf.DUMMYFUNCTION("""COMPUTED_VALUE"""),"Immune")</f>
        <v>Immune</v>
      </c>
      <c r="AB154" s="1"/>
      <c r="AC154" s="1"/>
      <c r="AD154" s="1"/>
      <c r="AE154" s="1"/>
      <c r="AF154" s="1"/>
      <c r="AG154" s="1"/>
      <c r="AH154" s="1"/>
      <c r="AI154" s="1"/>
      <c r="AJ154" s="1"/>
      <c r="AK154" s="1"/>
      <c r="AL154" s="1"/>
    </row>
    <row r="155">
      <c r="A155" s="1" t="str">
        <f>IFERROR(__xludf.DUMMYFUNCTION("""COMPUTED_VALUE"""),"Sea Dinosaur (WD) (Enhanced)")</f>
        <v>Sea Dinosaur (WD) (Enhanced)</v>
      </c>
      <c r="B155" s="1" t="str">
        <f>IFERROR(__xludf.DUMMYFUNCTION("""COMPUTED_VALUE"""),"Immune")</f>
        <v>Immune</v>
      </c>
      <c r="C155" s="1" t="str">
        <f>IFERROR(__xludf.DUMMYFUNCTION("""COMPUTED_VALUE"""),"Immune")</f>
        <v>Immune</v>
      </c>
      <c r="D155" s="1"/>
      <c r="E155" s="1"/>
      <c r="F155" s="1"/>
      <c r="G155" s="1"/>
      <c r="H155" s="1"/>
      <c r="I155" s="1"/>
      <c r="J155" s="1"/>
      <c r="K155" s="1"/>
      <c r="L155" s="1"/>
      <c r="M155" s="1"/>
      <c r="N155" s="1"/>
      <c r="O155" s="1"/>
      <c r="P155" s="1"/>
      <c r="Q155" s="1"/>
      <c r="R155" s="1"/>
      <c r="S155" s="1"/>
      <c r="T155" s="1"/>
      <c r="U155" s="1"/>
      <c r="V155" s="1"/>
      <c r="W155" s="1"/>
      <c r="X155" s="1" t="str">
        <f>IFERROR(__xludf.DUMMYFUNCTION("""COMPUTED_VALUE"""),"Immune")</f>
        <v>Immune</v>
      </c>
      <c r="Y155" s="1"/>
      <c r="Z155" s="1"/>
      <c r="AA155" s="1"/>
      <c r="AB155" s="1"/>
      <c r="AC155" s="1"/>
      <c r="AD155" s="1"/>
      <c r="AE155" s="1"/>
      <c r="AF155" s="1"/>
      <c r="AG155" s="1"/>
      <c r="AH155" s="1"/>
      <c r="AI155" s="1"/>
      <c r="AJ155" s="1"/>
      <c r="AK155" s="1"/>
      <c r="AL155" s="1"/>
    </row>
    <row r="156">
      <c r="A156" s="1" t="str">
        <f>IFERROR(__xludf.DUMMYFUNCTION("""COMPUTED_VALUE"""),"Dweller Of The Abyss ")</f>
        <v>Dweller Of The Abyss </v>
      </c>
      <c r="B156" s="1" t="str">
        <f>IFERROR(__xludf.DUMMYFUNCTION("""COMPUTED_VALUE"""),"Immune")</f>
        <v>Immune</v>
      </c>
      <c r="C156" s="1" t="str">
        <f>IFERROR(__xludf.DUMMYFUNCTION("""COMPUTED_VALUE"""),"Immune")</f>
        <v>Immune</v>
      </c>
      <c r="D156" s="1"/>
      <c r="E156" s="1"/>
      <c r="F156" s="1"/>
      <c r="G156" s="1" t="str">
        <f>IFERROR(__xludf.DUMMYFUNCTION("""COMPUTED_VALUE"""),"Immune")</f>
        <v>Immune</v>
      </c>
      <c r="H156" s="1"/>
      <c r="I156" s="1"/>
      <c r="J156" s="1" t="str">
        <f>IFERROR(__xludf.DUMMYFUNCTION("""COMPUTED_VALUE"""),"Immune")</f>
        <v>Immune</v>
      </c>
      <c r="K156" s="1"/>
      <c r="L156" s="1"/>
      <c r="M156" s="1"/>
      <c r="N156" s="1"/>
      <c r="O156" s="1"/>
      <c r="P156" s="1"/>
      <c r="Q156" s="1" t="str">
        <f>IFERROR(__xludf.DUMMYFUNCTION("""COMPUTED_VALUE"""),"Immune")</f>
        <v>Immune</v>
      </c>
      <c r="R156" s="1"/>
      <c r="S156" s="1"/>
      <c r="T156" s="1"/>
      <c r="U156" s="1"/>
      <c r="V156" s="1"/>
      <c r="W156" s="1"/>
      <c r="X156" s="1" t="str">
        <f>IFERROR(__xludf.DUMMYFUNCTION("""COMPUTED_VALUE"""),"Immune")</f>
        <v>Immune</v>
      </c>
      <c r="Y156" s="1" t="str">
        <f>IFERROR(__xludf.DUMMYFUNCTION("""COMPUTED_VALUE"""),"Immune")</f>
        <v>Immune</v>
      </c>
      <c r="Z156" s="1"/>
      <c r="AA156" s="1"/>
      <c r="AB156" s="1"/>
      <c r="AC156" s="1"/>
      <c r="AD156" s="1"/>
      <c r="AE156" s="1"/>
      <c r="AF156" s="1"/>
      <c r="AG156" s="1"/>
      <c r="AH156" s="1"/>
      <c r="AI156" s="1"/>
      <c r="AJ156" s="1"/>
      <c r="AK156" s="1"/>
      <c r="AL156" s="1"/>
    </row>
    <row r="157">
      <c r="A157" s="1" t="str">
        <f>IFERROR(__xludf.DUMMYFUNCTION("""COMPUTED_VALUE"""),"The Cursed Kraken")</f>
        <v>The Cursed Kraken</v>
      </c>
      <c r="B157" s="1" t="str">
        <f>IFERROR(__xludf.DUMMYFUNCTION("""COMPUTED_VALUE"""),"Immune")</f>
        <v>Immune</v>
      </c>
      <c r="C157" s="1" t="str">
        <f>IFERROR(__xludf.DUMMYFUNCTION("""COMPUTED_VALUE"""),"Immune")</f>
        <v>Immune</v>
      </c>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row>
    <row r="158">
      <c r="A158" s="1" t="str">
        <f>IFERROR(__xludf.DUMMYFUNCTION("""COMPUTED_VALUE"""),"Cthulhu")</f>
        <v>Cthulhu</v>
      </c>
      <c r="B158" s="1" t="str">
        <f>IFERROR(__xludf.DUMMYFUNCTION("""COMPUTED_VALUE"""),"Immune")</f>
        <v>Immune</v>
      </c>
      <c r="C158" s="1" t="str">
        <f>IFERROR(__xludf.DUMMYFUNCTION("""COMPUTED_VALUE"""),"Immune")</f>
        <v>Immune</v>
      </c>
      <c r="D158" s="1"/>
      <c r="E158" s="1"/>
      <c r="F158" s="1"/>
      <c r="G158" s="1" t="str">
        <f>IFERROR(__xludf.DUMMYFUNCTION("""COMPUTED_VALUE"""),"Immune")</f>
        <v>Immune</v>
      </c>
      <c r="H158" s="1"/>
      <c r="I158" s="1"/>
      <c r="J158" s="1" t="str">
        <f>IFERROR(__xludf.DUMMYFUNCTION("""COMPUTED_VALUE"""),"Immune")</f>
        <v>Immune</v>
      </c>
      <c r="K158" s="1"/>
      <c r="L158" s="1"/>
      <c r="M158" s="1"/>
      <c r="N158" s="1"/>
      <c r="O158" s="1"/>
      <c r="P158" s="1"/>
      <c r="Q158" s="1" t="str">
        <f>IFERROR(__xludf.DUMMYFUNCTION("""COMPUTED_VALUE"""),"Immune")</f>
        <v>Immune</v>
      </c>
      <c r="R158" s="1"/>
      <c r="S158" s="1"/>
      <c r="T158" s="1"/>
      <c r="U158" s="1"/>
      <c r="V158" s="1"/>
      <c r="W158" s="1"/>
      <c r="X158" s="1" t="str">
        <f>IFERROR(__xludf.DUMMYFUNCTION("""COMPUTED_VALUE"""),"Immune")</f>
        <v>Immune</v>
      </c>
      <c r="Y158" s="1" t="str">
        <f>IFERROR(__xludf.DUMMYFUNCTION("""COMPUTED_VALUE"""),"Immune")</f>
        <v>Immune</v>
      </c>
      <c r="Z158" s="1"/>
      <c r="AA158" s="1"/>
      <c r="AB158" s="1"/>
      <c r="AC158" s="1"/>
      <c r="AD158" s="1"/>
      <c r="AE158" s="1"/>
      <c r="AF158" s="1"/>
      <c r="AG158" s="1"/>
      <c r="AH158" s="1"/>
      <c r="AI158" s="1"/>
      <c r="AJ158" s="1"/>
      <c r="AK158" s="1"/>
      <c r="AL158" s="1"/>
    </row>
    <row r="159">
      <c r="A159" s="1" t="str">
        <f>IFERROR(__xludf.DUMMYFUNCTION("""COMPUTED_VALUE"""),"Heatmore Underling")</f>
        <v>Heatmore Underling</v>
      </c>
      <c r="B159" s="1">
        <f>IFERROR(__xludf.DUMMYFUNCTION("""COMPUTED_VALUE"""),100.0)</f>
        <v>100</v>
      </c>
      <c r="C159" s="1"/>
      <c r="D159" s="1"/>
      <c r="E159" s="1"/>
      <c r="F159" s="1"/>
      <c r="G159" s="1"/>
      <c r="H159" s="1"/>
      <c r="I159" s="1"/>
      <c r="J159" s="1"/>
      <c r="K159" s="1" t="str">
        <f>IFERROR(__xludf.DUMMYFUNCTION("""COMPUTED_VALUE"""),"Immune")</f>
        <v>Immune</v>
      </c>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row>
    <row r="160">
      <c r="A160" s="1" t="str">
        <f>IFERROR(__xludf.DUMMYFUNCTION("""COMPUTED_VALUE"""),"Heatmore Royal Keeper")</f>
        <v>Heatmore Royal Keeper</v>
      </c>
      <c r="B160" s="1">
        <f>IFERROR(__xludf.DUMMYFUNCTION("""COMPUTED_VALUE"""),100.0)</f>
        <v>100</v>
      </c>
      <c r="C160" s="1"/>
      <c r="D160" s="1"/>
      <c r="E160" s="1"/>
      <c r="F160" s="1"/>
      <c r="G160" s="1"/>
      <c r="H160" s="1"/>
      <c r="I160" s="1"/>
      <c r="J160" s="1"/>
      <c r="K160" s="1" t="str">
        <f>IFERROR(__xludf.DUMMYFUNCTION("""COMPUTED_VALUE"""),"Immune")</f>
        <v>Immune</v>
      </c>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row>
    <row r="161">
      <c r="A161" s="1" t="str">
        <f>IFERROR(__xludf.DUMMYFUNCTION("""COMPUTED_VALUE"""),"Heatmore Flame Golem")</f>
        <v>Heatmore Flame Golem</v>
      </c>
      <c r="B161" s="1">
        <f>IFERROR(__xludf.DUMMYFUNCTION("""COMPUTED_VALUE"""),100.0)</f>
        <v>100</v>
      </c>
      <c r="C161" s="1"/>
      <c r="D161" s="1"/>
      <c r="E161" s="1"/>
      <c r="F161" s="1"/>
      <c r="G161" s="1"/>
      <c r="H161" s="1"/>
      <c r="I161" s="1"/>
      <c r="J161" s="1"/>
      <c r="K161" s="1" t="str">
        <f>IFERROR(__xludf.DUMMYFUNCTION("""COMPUTED_VALUE"""),"Immune")</f>
        <v>Immune</v>
      </c>
      <c r="L161" s="1"/>
      <c r="M161" s="1"/>
      <c r="N161" s="1"/>
      <c r="O161" s="1"/>
      <c r="P161" s="1"/>
      <c r="Q161" s="1"/>
      <c r="R161" s="1"/>
      <c r="S161" s="1"/>
      <c r="T161" s="1"/>
      <c r="U161" s="1"/>
      <c r="V161" s="1"/>
      <c r="W161" s="1"/>
      <c r="X161" s="1" t="str">
        <f>IFERROR(__xludf.DUMMYFUNCTION("""COMPUTED_VALUE"""),"Immune")</f>
        <v>Immune</v>
      </c>
      <c r="Y161" s="1"/>
      <c r="Z161" s="1"/>
      <c r="AA161" s="1"/>
      <c r="AB161" s="1"/>
      <c r="AC161" s="1"/>
      <c r="AD161" s="1"/>
      <c r="AE161" s="1"/>
      <c r="AF161" s="1"/>
      <c r="AG161" s="1"/>
      <c r="AH161" s="1"/>
      <c r="AI161" s="1"/>
      <c r="AJ161" s="1"/>
      <c r="AK161" s="1"/>
      <c r="AL161" s="1"/>
    </row>
    <row r="162">
      <c r="A162" s="1" t="str">
        <f>IFERROR(__xludf.DUMMYFUNCTION("""COMPUTED_VALUE"""),"Giant Volcanic Spider")</f>
        <v>Giant Volcanic Spider</v>
      </c>
      <c r="B162" s="1">
        <f>IFERROR(__xludf.DUMMYFUNCTION("""COMPUTED_VALUE"""),100.0)</f>
        <v>100</v>
      </c>
      <c r="C162" s="1"/>
      <c r="D162" s="1"/>
      <c r="E162" s="1"/>
      <c r="F162" s="1"/>
      <c r="G162" s="1"/>
      <c r="H162" s="1"/>
      <c r="I162" s="1"/>
      <c r="J162" s="1"/>
      <c r="K162" s="1" t="str">
        <f>IFERROR(__xludf.DUMMYFUNCTION("""COMPUTED_VALUE"""),"Immune")</f>
        <v>Immune</v>
      </c>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row>
    <row r="163">
      <c r="A163" s="1" t="str">
        <f>IFERROR(__xludf.DUMMYFUNCTION("""COMPUTED_VALUE"""),"Flame Ostrich")</f>
        <v>Flame Ostrich</v>
      </c>
      <c r="B163" s="1">
        <f>IFERROR(__xludf.DUMMYFUNCTION("""COMPUTED_VALUE"""),100.0)</f>
        <v>100</v>
      </c>
      <c r="C163" s="1"/>
      <c r="D163" s="1"/>
      <c r="E163" s="1"/>
      <c r="F163" s="1"/>
      <c r="G163" s="1"/>
      <c r="H163" s="1"/>
      <c r="I163" s="1"/>
      <c r="J163" s="1"/>
      <c r="K163" s="1" t="str">
        <f>IFERROR(__xludf.DUMMYFUNCTION("""COMPUTED_VALUE"""),"Immune")</f>
        <v>Immune</v>
      </c>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row>
    <row r="164">
      <c r="A164" s="1" t="str">
        <f>IFERROR(__xludf.DUMMYFUNCTION("""COMPUTED_VALUE"""),"Divine Dragon Of The Flames")</f>
        <v>Divine Dragon Of The Flames</v>
      </c>
      <c r="B164" s="1">
        <f>IFERROR(__xludf.DUMMYFUNCTION("""COMPUTED_VALUE"""),100.0)</f>
        <v>100</v>
      </c>
      <c r="C164" s="1"/>
      <c r="D164" s="1"/>
      <c r="E164" s="1"/>
      <c r="F164" s="1"/>
      <c r="G164" s="1"/>
      <c r="H164" s="1"/>
      <c r="I164" s="1"/>
      <c r="J164" s="1"/>
      <c r="K164" s="1" t="str">
        <f>IFERROR(__xludf.DUMMYFUNCTION("""COMPUTED_VALUE"""),"Immune")</f>
        <v>Immune</v>
      </c>
      <c r="L164" s="1"/>
      <c r="M164" s="1"/>
      <c r="N164" s="1"/>
      <c r="O164" s="1"/>
      <c r="P164" s="1"/>
      <c r="Q164" s="1"/>
      <c r="R164" s="1"/>
      <c r="S164" s="1"/>
      <c r="T164" s="1"/>
      <c r="U164" s="1"/>
      <c r="V164" s="1"/>
      <c r="W164" s="1"/>
      <c r="X164" s="1" t="str">
        <f>IFERROR(__xludf.DUMMYFUNCTION("""COMPUTED_VALUE"""),"Immune")</f>
        <v>Immune</v>
      </c>
      <c r="Y164" s="1" t="str">
        <f>IFERROR(__xludf.DUMMYFUNCTION("""COMPUTED_VALUE"""),"Immune")</f>
        <v>Immune</v>
      </c>
      <c r="Z164" s="1"/>
      <c r="AA164" s="1" t="str">
        <f>IFERROR(__xludf.DUMMYFUNCTION("""COMPUTED_VALUE"""),"Immune")</f>
        <v>Immune</v>
      </c>
      <c r="AB164" s="1"/>
      <c r="AC164" s="1"/>
      <c r="AD164" s="1"/>
      <c r="AE164" s="1"/>
      <c r="AF164" s="1"/>
      <c r="AG164" s="1"/>
      <c r="AH164" s="1"/>
      <c r="AI164" s="1"/>
      <c r="AJ164" s="1"/>
      <c r="AK164" s="1"/>
      <c r="AL164" s="1"/>
    </row>
    <row r="165">
      <c r="A165" s="1" t="str">
        <f>IFERROR(__xludf.DUMMYFUNCTION("""COMPUTED_VALUE"""),"Flaming Yak")</f>
        <v>Flaming Yak</v>
      </c>
      <c r="B165" s="1">
        <f>IFERROR(__xludf.DUMMYFUNCTION("""COMPUTED_VALUE"""),100.0)</f>
        <v>100</v>
      </c>
      <c r="C165" s="1"/>
      <c r="D165" s="1"/>
      <c r="E165" s="1"/>
      <c r="F165" s="1"/>
      <c r="G165" s="1"/>
      <c r="H165" s="1"/>
      <c r="I165" s="1"/>
      <c r="J165" s="1"/>
      <c r="K165" s="1" t="str">
        <f>IFERROR(__xludf.DUMMYFUNCTION("""COMPUTED_VALUE"""),"Immune")</f>
        <v>Immune</v>
      </c>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row>
    <row r="166">
      <c r="A166" s="1" t="str">
        <f>IFERROR(__xludf.DUMMYFUNCTION("""COMPUTED_VALUE"""),"Ancient Tree Of Flames")</f>
        <v>Ancient Tree Of Flames</v>
      </c>
      <c r="B166" s="1"/>
      <c r="C166" s="1"/>
      <c r="D166" s="1"/>
      <c r="E166" s="1"/>
      <c r="F166" s="1"/>
      <c r="G166" s="1"/>
      <c r="H166" s="1"/>
      <c r="I166" s="1"/>
      <c r="J166" s="1"/>
      <c r="K166" s="1" t="str">
        <f>IFERROR(__xludf.DUMMYFUNCTION("""COMPUTED_VALUE"""),"Immune")</f>
        <v>Immune</v>
      </c>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row>
    <row r="167">
      <c r="A167" s="1" t="str">
        <f>IFERROR(__xludf.DUMMYFUNCTION("""COMPUTED_VALUE"""),"Volcanic Worm")</f>
        <v>Volcanic Worm</v>
      </c>
      <c r="B167" s="1">
        <f>IFERROR(__xludf.DUMMYFUNCTION("""COMPUTED_VALUE"""),100.0)</f>
        <v>100</v>
      </c>
      <c r="C167" s="1"/>
      <c r="D167" s="1"/>
      <c r="E167" s="1"/>
      <c r="F167" s="1"/>
      <c r="G167" s="1"/>
      <c r="H167" s="1"/>
      <c r="I167" s="1"/>
      <c r="J167" s="1"/>
      <c r="K167" s="1" t="str">
        <f>IFERROR(__xludf.DUMMYFUNCTION("""COMPUTED_VALUE"""),"Immune")</f>
        <v>Immune</v>
      </c>
      <c r="L167" s="1"/>
      <c r="M167" s="1"/>
      <c r="N167" s="1"/>
      <c r="O167" s="1"/>
      <c r="P167" s="1"/>
      <c r="Q167" s="1"/>
      <c r="R167" s="1"/>
      <c r="S167" s="1"/>
      <c r="T167" s="1"/>
      <c r="U167" s="1"/>
      <c r="V167" s="1"/>
      <c r="W167" s="1"/>
      <c r="X167" s="1" t="str">
        <f>IFERROR(__xludf.DUMMYFUNCTION("""COMPUTED_VALUE"""),"Immune")</f>
        <v>Immune</v>
      </c>
      <c r="Y167" s="1"/>
      <c r="Z167" s="1"/>
      <c r="AA167" s="1"/>
      <c r="AB167" s="1"/>
      <c r="AC167" s="1"/>
      <c r="AD167" s="1"/>
      <c r="AE167" s="1"/>
      <c r="AF167" s="1"/>
      <c r="AG167" s="1"/>
      <c r="AH167" s="1"/>
      <c r="AI167" s="1"/>
      <c r="AJ167" s="1"/>
      <c r="AK167" s="1"/>
      <c r="AL167" s="1"/>
    </row>
    <row r="168">
      <c r="A168" s="1" t="str">
        <f>IFERROR(__xludf.DUMMYFUNCTION("""COMPUTED_VALUE"""),"Lava Tiger")</f>
        <v>Lava Tiger</v>
      </c>
      <c r="B168" s="1">
        <f>IFERROR(__xludf.DUMMYFUNCTION("""COMPUTED_VALUE"""),100.0)</f>
        <v>100</v>
      </c>
      <c r="C168" s="1"/>
      <c r="D168" s="1"/>
      <c r="E168" s="1"/>
      <c r="F168" s="1"/>
      <c r="G168" s="1"/>
      <c r="H168" s="1"/>
      <c r="I168" s="1"/>
      <c r="J168" s="1"/>
      <c r="K168" s="1" t="str">
        <f>IFERROR(__xludf.DUMMYFUNCTION("""COMPUTED_VALUE"""),"Immune")</f>
        <v>Immune</v>
      </c>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row>
    <row r="169">
      <c r="A169" s="1" t="str">
        <f>IFERROR(__xludf.DUMMYFUNCTION("""COMPUTED_VALUE"""),"Dreading Fire Lich")</f>
        <v>Dreading Fire Lich</v>
      </c>
      <c r="B169" s="1">
        <f>IFERROR(__xludf.DUMMYFUNCTION("""COMPUTED_VALUE"""),100.0)</f>
        <v>100</v>
      </c>
      <c r="C169" s="1"/>
      <c r="D169" s="1"/>
      <c r="E169" s="1"/>
      <c r="F169" s="1"/>
      <c r="G169" s="1" t="str">
        <f>IFERROR(__xludf.DUMMYFUNCTION("""COMPUTED_VALUE"""),"Immune")</f>
        <v>Immune</v>
      </c>
      <c r="H169" s="1"/>
      <c r="I169" s="1"/>
      <c r="J169" s="1" t="str">
        <f>IFERROR(__xludf.DUMMYFUNCTION("""COMPUTED_VALUE"""),"Immune")</f>
        <v>Immune</v>
      </c>
      <c r="K169" s="1" t="str">
        <f>IFERROR(__xludf.DUMMYFUNCTION("""COMPUTED_VALUE"""),"Immune")</f>
        <v>Immune</v>
      </c>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row>
    <row r="170">
      <c r="A170" s="1" t="str">
        <f>IFERROR(__xludf.DUMMYFUNCTION("""COMPUTED_VALUE"""),"Ancient Fire Serpent")</f>
        <v>Ancient Fire Serpent</v>
      </c>
      <c r="B170" s="1">
        <f>IFERROR(__xludf.DUMMYFUNCTION("""COMPUTED_VALUE"""),100.0)</f>
        <v>100</v>
      </c>
      <c r="C170" s="1"/>
      <c r="D170" s="1"/>
      <c r="E170" s="1"/>
      <c r="F170" s="1"/>
      <c r="G170" s="1"/>
      <c r="H170" s="1"/>
      <c r="I170" s="1"/>
      <c r="J170" s="1"/>
      <c r="K170" s="1" t="str">
        <f>IFERROR(__xludf.DUMMYFUNCTION("""COMPUTED_VALUE"""),"Immune")</f>
        <v>Immune</v>
      </c>
      <c r="L170" s="1"/>
      <c r="M170" s="1"/>
      <c r="N170" s="1"/>
      <c r="O170" s="1"/>
      <c r="P170" s="1"/>
      <c r="Q170" s="1"/>
      <c r="R170" s="1"/>
      <c r="S170" s="1"/>
      <c r="T170" s="1"/>
      <c r="U170" s="1"/>
      <c r="V170" s="1"/>
      <c r="W170" s="1"/>
      <c r="X170" s="1" t="str">
        <f>IFERROR(__xludf.DUMMYFUNCTION("""COMPUTED_VALUE"""),"Immune")</f>
        <v>Immune</v>
      </c>
      <c r="Y170" s="1"/>
      <c r="Z170" s="1"/>
      <c r="AA170" s="1"/>
      <c r="AB170" s="1"/>
      <c r="AC170" s="1"/>
      <c r="AD170" s="1"/>
      <c r="AE170" s="1"/>
      <c r="AF170" s="1"/>
      <c r="AG170" s="1"/>
      <c r="AH170" s="1"/>
      <c r="AI170" s="1"/>
      <c r="AJ170" s="1"/>
      <c r="AK170" s="1"/>
      <c r="AL170" s="1"/>
    </row>
    <row r="171">
      <c r="A171" s="1" t="str">
        <f>IFERROR(__xludf.DUMMYFUNCTION("""COMPUTED_VALUE"""),"Demon Of Heatmore")</f>
        <v>Demon Of Heatmore</v>
      </c>
      <c r="B171" s="1">
        <f>IFERROR(__xludf.DUMMYFUNCTION("""COMPUTED_VALUE"""),100.0)</f>
        <v>100</v>
      </c>
      <c r="C171" s="1"/>
      <c r="D171" s="1"/>
      <c r="E171" s="1"/>
      <c r="F171" s="1"/>
      <c r="G171" s="1" t="str">
        <f>IFERROR(__xludf.DUMMYFUNCTION("""COMPUTED_VALUE"""),"Immune")</f>
        <v>Immune</v>
      </c>
      <c r="H171" s="1" t="str">
        <f>IFERROR(__xludf.DUMMYFUNCTION("""COMPUTED_VALUE"""),"Immune")</f>
        <v>Immune</v>
      </c>
      <c r="I171" s="1"/>
      <c r="J171" s="1"/>
      <c r="K171" s="1" t="str">
        <f>IFERROR(__xludf.DUMMYFUNCTION("""COMPUTED_VALUE"""),"Immune")</f>
        <v>Immune</v>
      </c>
      <c r="L171" s="1"/>
      <c r="M171" s="1"/>
      <c r="N171" s="1"/>
      <c r="O171" s="1"/>
      <c r="P171" s="1"/>
      <c r="Q171" s="1" t="str">
        <f>IFERROR(__xludf.DUMMYFUNCTION("""COMPUTED_VALUE"""),"Immune")</f>
        <v>Immune</v>
      </c>
      <c r="R171" s="1"/>
      <c r="S171" s="1"/>
      <c r="T171" s="1"/>
      <c r="U171" s="1"/>
      <c r="V171" s="1"/>
      <c r="W171" s="1"/>
      <c r="X171" s="1"/>
      <c r="Y171" s="1"/>
      <c r="Z171" s="1"/>
      <c r="AA171" s="1"/>
      <c r="AB171" s="1"/>
      <c r="AC171" s="1"/>
      <c r="AD171" s="1"/>
      <c r="AE171" s="1"/>
      <c r="AF171" s="1"/>
      <c r="AG171" s="1"/>
      <c r="AH171" s="1"/>
      <c r="AI171" s="1"/>
      <c r="AJ171" s="1"/>
      <c r="AK171" s="1"/>
      <c r="AL171" s="1"/>
    </row>
    <row r="172">
      <c r="A172" s="1" t="str">
        <f>IFERROR(__xludf.DUMMYFUNCTION("""COMPUTED_VALUE"""),"Ancient Fire Sentinel")</f>
        <v>Ancient Fire Sentinel</v>
      </c>
      <c r="B172" s="1">
        <f>IFERROR(__xludf.DUMMYFUNCTION("""COMPUTED_VALUE"""),100.0)</f>
        <v>100</v>
      </c>
      <c r="C172" s="1"/>
      <c r="D172" s="1"/>
      <c r="E172" s="1"/>
      <c r="F172" s="1"/>
      <c r="G172" s="1"/>
      <c r="H172" s="1"/>
      <c r="I172" s="1"/>
      <c r="J172" s="1"/>
      <c r="K172" s="1" t="str">
        <f>IFERROR(__xludf.DUMMYFUNCTION("""COMPUTED_VALUE"""),"Immune")</f>
        <v>Immune</v>
      </c>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row>
    <row r="173">
      <c r="A173" s="1" t="str">
        <f>IFERROR(__xludf.DUMMYFUNCTION("""COMPUTED_VALUE"""),"Master Sawoogo")</f>
        <v>Master Sawoogo</v>
      </c>
      <c r="B173" s="1" t="str">
        <f>IFERROR(__xludf.DUMMYFUNCTION("""COMPUTED_VALUE"""),"Immune")</f>
        <v>Immune</v>
      </c>
      <c r="C173" s="1" t="str">
        <f>IFERROR(__xludf.DUMMYFUNCTION("""COMPUTED_VALUE"""),"Immune")</f>
        <v>Immune</v>
      </c>
      <c r="D173" s="1"/>
      <c r="E173" s="1"/>
      <c r="F173" s="1"/>
      <c r="G173" s="1"/>
      <c r="H173" s="1"/>
      <c r="I173" s="1"/>
      <c r="J173" s="1"/>
      <c r="K173" s="1" t="str">
        <f>IFERROR(__xludf.DUMMYFUNCTION("""COMPUTED_VALUE"""),"Immune")</f>
        <v>Immune</v>
      </c>
      <c r="L173" s="1"/>
      <c r="M173" s="1"/>
      <c r="N173" s="1"/>
      <c r="O173" s="1"/>
      <c r="P173" s="1"/>
      <c r="Q173" s="1"/>
      <c r="R173" s="1"/>
      <c r="S173" s="1"/>
      <c r="T173" s="1"/>
      <c r="U173" s="1"/>
      <c r="V173" s="1"/>
      <c r="W173" s="1" t="str">
        <f>IFERROR(__xludf.DUMMYFUNCTION("""COMPUTED_VALUE"""),"Immune")</f>
        <v>Immune</v>
      </c>
      <c r="X173" s="1" t="str">
        <f>IFERROR(__xludf.DUMMYFUNCTION("""COMPUTED_VALUE"""),"Immune")</f>
        <v>Immune</v>
      </c>
      <c r="Y173" s="1" t="str">
        <f>IFERROR(__xludf.DUMMYFUNCTION("""COMPUTED_VALUE"""),"Immune")</f>
        <v>Immune</v>
      </c>
      <c r="Z173" s="1"/>
      <c r="AA173" s="1"/>
      <c r="AB173" s="1"/>
      <c r="AC173" s="1"/>
      <c r="AD173" s="1"/>
      <c r="AE173" s="1"/>
      <c r="AF173" s="1"/>
      <c r="AG173" s="1"/>
      <c r="AH173" s="1"/>
      <c r="AI173" s="1"/>
      <c r="AJ173" s="1"/>
      <c r="AK173" s="1"/>
      <c r="AL173" s="1"/>
    </row>
    <row r="174">
      <c r="A174" s="1" t="str">
        <f>IFERROR(__xludf.DUMMYFUNCTION("""COMPUTED_VALUE"""),"Ancient Stone Guard")</f>
        <v>Ancient Stone Guard</v>
      </c>
      <c r="B174" s="1"/>
      <c r="C174" s="1"/>
      <c r="D174" s="1"/>
      <c r="E174" s="1" t="str">
        <f>IFERROR(__xludf.DUMMYFUNCTION("""COMPUTED_VALUE"""),"Immune")</f>
        <v>Immune</v>
      </c>
      <c r="F174" s="1">
        <f>IFERROR(__xludf.DUMMYFUNCTION("""COMPUTED_VALUE"""),100.0)</f>
        <v>100</v>
      </c>
      <c r="G174" s="1"/>
      <c r="H174" s="1"/>
      <c r="I174" s="1" t="str">
        <f>IFERROR(__xludf.DUMMYFUNCTION("""COMPUTED_VALUE"""),"Immune")</f>
        <v>Immune</v>
      </c>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row>
    <row r="175">
      <c r="A175" s="1" t="str">
        <f>IFERROR(__xludf.DUMMYFUNCTION("""COMPUTED_VALUE"""),"Cursed Samurai")</f>
        <v>Cursed Samurai</v>
      </c>
      <c r="B175" s="1"/>
      <c r="C175" s="1"/>
      <c r="D175" s="1"/>
      <c r="E175" s="1"/>
      <c r="F175" s="1"/>
      <c r="G175" s="1" t="str">
        <f>IFERROR(__xludf.DUMMYFUNCTION("""COMPUTED_VALUE"""),"Immune")</f>
        <v>Immune</v>
      </c>
      <c r="H175" s="1"/>
      <c r="I175" s="1"/>
      <c r="J175" s="1"/>
      <c r="K175" s="1"/>
      <c r="L175" s="1"/>
      <c r="M175" s="1"/>
      <c r="N175" s="1"/>
      <c r="O175" s="1"/>
      <c r="P175" s="1"/>
      <c r="Q175" s="1" t="str">
        <f>IFERROR(__xludf.DUMMYFUNCTION("""COMPUTED_VALUE"""),"Immune")</f>
        <v>Immune</v>
      </c>
      <c r="R175" s="1"/>
      <c r="S175" s="1"/>
      <c r="T175" s="1" t="str">
        <f>IFERROR(__xludf.DUMMYFUNCTION("""COMPUTED_VALUE"""),"Immune")</f>
        <v>Immune</v>
      </c>
      <c r="U175" s="1"/>
      <c r="V175" s="1"/>
      <c r="W175" s="1"/>
      <c r="X175" s="1"/>
      <c r="Y175" s="1"/>
      <c r="Z175" s="1"/>
      <c r="AA175" s="1"/>
      <c r="AB175" s="1"/>
      <c r="AC175" s="1"/>
      <c r="AD175" s="1"/>
      <c r="AE175" s="1"/>
      <c r="AF175" s="1"/>
      <c r="AG175" s="1"/>
      <c r="AH175" s="1"/>
      <c r="AI175" s="1"/>
      <c r="AJ175" s="1"/>
      <c r="AK175" s="1"/>
      <c r="AL175" s="1"/>
    </row>
    <row r="176">
      <c r="A176" s="1" t="str">
        <f>IFERROR(__xludf.DUMMYFUNCTION("""COMPUTED_VALUE"""),"Cursed Ronin")</f>
        <v>Cursed Ronin</v>
      </c>
      <c r="B176" s="1"/>
      <c r="C176" s="1"/>
      <c r="D176" s="1"/>
      <c r="E176" s="1"/>
      <c r="F176" s="1"/>
      <c r="G176" s="1" t="str">
        <f>IFERROR(__xludf.DUMMYFUNCTION("""COMPUTED_VALUE"""),"Immune")</f>
        <v>Immune</v>
      </c>
      <c r="H176" s="1"/>
      <c r="I176" s="1"/>
      <c r="J176" s="1"/>
      <c r="K176" s="1"/>
      <c r="L176" s="1"/>
      <c r="M176" s="1"/>
      <c r="N176" s="1"/>
      <c r="O176" s="1"/>
      <c r="P176" s="1"/>
      <c r="Q176" s="1" t="str">
        <f>IFERROR(__xludf.DUMMYFUNCTION("""COMPUTED_VALUE"""),"Immune")</f>
        <v>Immune</v>
      </c>
      <c r="R176" s="1"/>
      <c r="S176" s="1"/>
      <c r="T176" s="1" t="str">
        <f>IFERROR(__xludf.DUMMYFUNCTION("""COMPUTED_VALUE"""),"Immune")</f>
        <v>Immune</v>
      </c>
      <c r="U176" s="1"/>
      <c r="V176" s="1"/>
      <c r="W176" s="1"/>
      <c r="X176" s="1" t="str">
        <f>IFERROR(__xludf.DUMMYFUNCTION("""COMPUTED_VALUE"""),"Immune")</f>
        <v>Immune</v>
      </c>
      <c r="Y176" s="1" t="str">
        <f>IFERROR(__xludf.DUMMYFUNCTION("""COMPUTED_VALUE"""),"Immune")</f>
        <v>Immune</v>
      </c>
      <c r="Z176" s="1"/>
      <c r="AA176" s="1" t="str">
        <f>IFERROR(__xludf.DUMMYFUNCTION("""COMPUTED_VALUE"""),"Immune")</f>
        <v>Immune</v>
      </c>
      <c r="AB176" s="1"/>
      <c r="AC176" s="1"/>
      <c r="AD176" s="1"/>
      <c r="AE176" s="1"/>
      <c r="AF176" s="1"/>
      <c r="AG176" s="1"/>
      <c r="AH176" s="1"/>
      <c r="AI176" s="1"/>
      <c r="AJ176" s="1"/>
      <c r="AK176" s="1"/>
      <c r="AL176" s="1"/>
    </row>
    <row r="177">
      <c r="A177" s="1" t="str">
        <f>IFERROR(__xludf.DUMMYFUNCTION("""COMPUTED_VALUE"""),"Blood Monk")</f>
        <v>Blood Monk</v>
      </c>
      <c r="B177" s="1"/>
      <c r="C177" s="1"/>
      <c r="D177" s="1"/>
      <c r="E177" s="1"/>
      <c r="F177" s="1"/>
      <c r="G177" s="1" t="str">
        <f>IFERROR(__xludf.DUMMYFUNCTION("""COMPUTED_VALUE"""),"Immune")</f>
        <v>Immune</v>
      </c>
      <c r="H177" s="1"/>
      <c r="I177" s="1"/>
      <c r="J177" s="1"/>
      <c r="K177" s="1"/>
      <c r="L177" s="1"/>
      <c r="M177" s="1"/>
      <c r="N177" s="1"/>
      <c r="O177" s="1"/>
      <c r="P177" s="1"/>
      <c r="Q177" s="1"/>
      <c r="R177" s="1"/>
      <c r="S177" s="1"/>
      <c r="T177" s="1" t="str">
        <f>IFERROR(__xludf.DUMMYFUNCTION("""COMPUTED_VALUE"""),"Immune")</f>
        <v>Immune</v>
      </c>
      <c r="U177" s="1"/>
      <c r="V177" s="1"/>
      <c r="W177" s="1"/>
      <c r="X177" s="1"/>
      <c r="Y177" s="1"/>
      <c r="Z177" s="1"/>
      <c r="AA177" s="1"/>
      <c r="AB177" s="1"/>
      <c r="AC177" s="1"/>
      <c r="AD177" s="1"/>
      <c r="AE177" s="1"/>
      <c r="AF177" s="1"/>
      <c r="AG177" s="1"/>
      <c r="AH177" s="1"/>
      <c r="AI177" s="1"/>
      <c r="AJ177" s="1"/>
      <c r="AK177" s="1"/>
      <c r="AL177" s="1"/>
    </row>
    <row r="178">
      <c r="A178" s="1" t="str">
        <f>IFERROR(__xludf.DUMMYFUNCTION("""COMPUTED_VALUE"""),"Master Monk Warrior")</f>
        <v>Master Monk Warrior</v>
      </c>
      <c r="B178" s="1"/>
      <c r="C178" s="1"/>
      <c r="D178" s="1"/>
      <c r="E178" s="1"/>
      <c r="F178" s="1">
        <f>IFERROR(__xludf.DUMMYFUNCTION("""COMPUTED_VALUE"""),100.0)</f>
        <v>100</v>
      </c>
      <c r="G178" s="1"/>
      <c r="H178" s="1"/>
      <c r="I178" s="1">
        <f>IFERROR(__xludf.DUMMYFUNCTION("""COMPUTED_VALUE"""),100.0)</f>
        <v>100</v>
      </c>
      <c r="J178" s="1"/>
      <c r="K178" s="1"/>
      <c r="L178" s="1"/>
      <c r="M178" s="1"/>
      <c r="N178" s="1"/>
      <c r="O178" s="1"/>
      <c r="P178" s="1"/>
      <c r="Q178" s="1"/>
      <c r="R178" s="1"/>
      <c r="S178" s="1"/>
      <c r="T178" s="1" t="str">
        <f>IFERROR(__xludf.DUMMYFUNCTION("""COMPUTED_VALUE"""),"Immune")</f>
        <v>Immune</v>
      </c>
      <c r="U178" s="1"/>
      <c r="V178" s="1"/>
      <c r="W178" s="1"/>
      <c r="X178" s="1"/>
      <c r="Y178" s="1"/>
      <c r="Z178" s="1"/>
      <c r="AA178" s="1"/>
      <c r="AB178" s="1"/>
      <c r="AC178" s="1"/>
      <c r="AD178" s="1"/>
      <c r="AE178" s="1"/>
      <c r="AF178" s="1"/>
      <c r="AG178" s="1"/>
      <c r="AH178" s="1"/>
      <c r="AI178" s="1"/>
      <c r="AJ178" s="1"/>
      <c r="AK178" s="1"/>
      <c r="AL178" s="1"/>
    </row>
    <row r="179">
      <c r="A179" s="1" t="str">
        <f>IFERROR(__xludf.DUMMYFUNCTION("""COMPUTED_VALUE"""),"Elder Monk Kenyu")</f>
        <v>Elder Monk Kenyu</v>
      </c>
      <c r="B179" s="1"/>
      <c r="C179" s="1"/>
      <c r="D179" s="1"/>
      <c r="E179" s="1"/>
      <c r="F179" s="1" t="str">
        <f>IFERROR(__xludf.DUMMYFUNCTION("""COMPUTED_VALUE"""),"Immune")</f>
        <v>Immune</v>
      </c>
      <c r="G179" s="1"/>
      <c r="H179" s="1"/>
      <c r="I179" s="1" t="str">
        <f>IFERROR(__xludf.DUMMYFUNCTION("""COMPUTED_VALUE"""),"Immune")</f>
        <v>Immune</v>
      </c>
      <c r="J179" s="1"/>
      <c r="K179" s="1"/>
      <c r="L179" s="1"/>
      <c r="M179" s="1"/>
      <c r="N179" s="1"/>
      <c r="O179" s="1"/>
      <c r="P179" s="1"/>
      <c r="Q179" s="1"/>
      <c r="R179" s="1"/>
      <c r="S179" s="1"/>
      <c r="T179" s="1" t="str">
        <f>IFERROR(__xludf.DUMMYFUNCTION("""COMPUTED_VALUE"""),"Immune")</f>
        <v>Immune</v>
      </c>
      <c r="U179" s="1"/>
      <c r="V179" s="1"/>
      <c r="W179" s="1" t="str">
        <f>IFERROR(__xludf.DUMMYFUNCTION("""COMPUTED_VALUE"""),"Immune")</f>
        <v>Immune</v>
      </c>
      <c r="X179" s="1" t="str">
        <f>IFERROR(__xludf.DUMMYFUNCTION("""COMPUTED_VALUE"""),"Immune")</f>
        <v>Immune</v>
      </c>
      <c r="Y179" s="1" t="str">
        <f>IFERROR(__xludf.DUMMYFUNCTION("""COMPUTED_VALUE"""),"Immune")</f>
        <v>Immune</v>
      </c>
      <c r="Z179" s="1"/>
      <c r="AA179" s="1"/>
      <c r="AB179" s="1"/>
      <c r="AC179" s="1"/>
      <c r="AD179" s="1"/>
      <c r="AE179" s="1"/>
      <c r="AF179" s="1"/>
      <c r="AG179" s="1"/>
      <c r="AH179" s="1"/>
      <c r="AI179" s="1"/>
      <c r="AJ179" s="1"/>
      <c r="AK179" s="1"/>
      <c r="AL179" s="1"/>
    </row>
    <row r="180">
      <c r="A180" s="1" t="str">
        <f>IFERROR(__xludf.DUMMYFUNCTION("""COMPUTED_VALUE"""),"Robotic Guardian of the 5th, No. 1")</f>
        <v>Robotic Guardian of the 5th, No. 1</v>
      </c>
      <c r="B180" s="1"/>
      <c r="C180" s="1"/>
      <c r="D180" s="1"/>
      <c r="E180" s="1"/>
      <c r="F180" s="1"/>
      <c r="G180" s="1"/>
      <c r="H180" s="1"/>
      <c r="I180" s="1"/>
      <c r="J180" s="1"/>
      <c r="K180" s="1"/>
      <c r="L180" s="1"/>
      <c r="M180" s="1"/>
      <c r="N180" s="1"/>
      <c r="O180" s="1"/>
      <c r="P180" s="1"/>
      <c r="Q180" s="1"/>
      <c r="R180" s="1"/>
      <c r="S180" s="1"/>
      <c r="T180" s="1"/>
      <c r="U180" s="1"/>
      <c r="V180" s="1"/>
      <c r="W180" s="1"/>
      <c r="X180" s="1"/>
      <c r="Y180" s="1"/>
      <c r="Z180" s="1" t="str">
        <f>IFERROR(__xludf.DUMMYFUNCTION("""COMPUTED_VALUE"""),"Immune")</f>
        <v>Immune</v>
      </c>
      <c r="AA180" s="1"/>
      <c r="AB180" s="1"/>
      <c r="AC180" s="1"/>
      <c r="AD180" s="1"/>
      <c r="AE180" s="1"/>
      <c r="AF180" s="1"/>
      <c r="AG180" s="1"/>
      <c r="AH180" s="1"/>
      <c r="AI180" s="1"/>
      <c r="AJ180" s="1"/>
      <c r="AK180" s="1"/>
      <c r="AL180" s="1"/>
    </row>
    <row r="181">
      <c r="A181" s="1" t="str">
        <f>IFERROR(__xludf.DUMMYFUNCTION("""COMPUTED_VALUE"""),"Robotic Guardian of the 5th, No. 2")</f>
        <v>Robotic Guardian of the 5th, No. 2</v>
      </c>
      <c r="B181" s="1"/>
      <c r="C181" s="1"/>
      <c r="D181" s="1"/>
      <c r="E181" s="1"/>
      <c r="F181" s="1"/>
      <c r="G181" s="1"/>
      <c r="H181" s="1"/>
      <c r="I181" s="1"/>
      <c r="J181" s="1"/>
      <c r="K181" s="1"/>
      <c r="L181" s="1"/>
      <c r="M181" s="1"/>
      <c r="N181" s="1"/>
      <c r="O181" s="1"/>
      <c r="P181" s="1"/>
      <c r="Q181" s="1"/>
      <c r="R181" s="1"/>
      <c r="S181" s="1"/>
      <c r="T181" s="1"/>
      <c r="U181" s="1"/>
      <c r="V181" s="1"/>
      <c r="W181" s="1"/>
      <c r="X181" s="1"/>
      <c r="Y181" s="1"/>
      <c r="Z181" s="1" t="str">
        <f>IFERROR(__xludf.DUMMYFUNCTION("""COMPUTED_VALUE"""),"Immune")</f>
        <v>Immune</v>
      </c>
      <c r="AA181" s="1"/>
      <c r="AB181" s="1"/>
      <c r="AC181" s="1"/>
      <c r="AD181" s="1"/>
      <c r="AE181" s="1"/>
      <c r="AF181" s="1"/>
      <c r="AG181" s="1"/>
      <c r="AH181" s="1"/>
      <c r="AI181" s="1"/>
      <c r="AJ181" s="1"/>
      <c r="AK181" s="1"/>
      <c r="AL181" s="1"/>
    </row>
    <row r="182">
      <c r="A182" s="1" t="str">
        <f>IFERROR(__xludf.DUMMYFUNCTION("""COMPUTED_VALUE"""),"Robotic Guardian of the 5th, No. 3")</f>
        <v>Robotic Guardian of the 5th, No. 3</v>
      </c>
      <c r="B182" s="1"/>
      <c r="C182" s="1"/>
      <c r="D182" s="1"/>
      <c r="E182" s="1"/>
      <c r="F182" s="1"/>
      <c r="G182" s="1"/>
      <c r="H182" s="1"/>
      <c r="I182" s="1"/>
      <c r="J182" s="1"/>
      <c r="K182" s="1"/>
      <c r="L182" s="1"/>
      <c r="M182" s="1"/>
      <c r="N182" s="1"/>
      <c r="O182" s="1"/>
      <c r="P182" s="1"/>
      <c r="Q182" s="1"/>
      <c r="R182" s="1"/>
      <c r="S182" s="1"/>
      <c r="T182" s="1"/>
      <c r="U182" s="1"/>
      <c r="V182" s="1"/>
      <c r="W182" s="1"/>
      <c r="X182" s="1"/>
      <c r="Y182" s="1"/>
      <c r="Z182" s="1" t="str">
        <f>IFERROR(__xludf.DUMMYFUNCTION("""COMPUTED_VALUE"""),"Immune")</f>
        <v>Immune</v>
      </c>
      <c r="AA182" s="1"/>
      <c r="AB182" s="1"/>
      <c r="AC182" s="1"/>
      <c r="AD182" s="1"/>
      <c r="AE182" s="1"/>
      <c r="AF182" s="1"/>
      <c r="AG182" s="1"/>
      <c r="AH182" s="1"/>
      <c r="AI182" s="1"/>
      <c r="AJ182" s="1"/>
      <c r="AK182" s="1"/>
      <c r="AL182" s="1"/>
    </row>
    <row r="183">
      <c r="A183" s="1" t="str">
        <f>IFERROR(__xludf.DUMMYFUNCTION("""COMPUTED_VALUE"""),"Robotic Guardian of the 5th, No. 4")</f>
        <v>Robotic Guardian of the 5th, No. 4</v>
      </c>
      <c r="B183" s="1"/>
      <c r="C183" s="1"/>
      <c r="D183" s="1"/>
      <c r="E183" s="1"/>
      <c r="F183" s="1"/>
      <c r="G183" s="1"/>
      <c r="H183" s="1"/>
      <c r="I183" s="1"/>
      <c r="J183" s="1"/>
      <c r="K183" s="1"/>
      <c r="L183" s="1"/>
      <c r="M183" s="1"/>
      <c r="N183" s="1"/>
      <c r="O183" s="1"/>
      <c r="P183" s="1"/>
      <c r="Q183" s="1"/>
      <c r="R183" s="1"/>
      <c r="S183" s="1"/>
      <c r="T183" s="1"/>
      <c r="U183" s="1"/>
      <c r="V183" s="1"/>
      <c r="W183" s="1"/>
      <c r="X183" s="1"/>
      <c r="Y183" s="1"/>
      <c r="Z183" s="1" t="str">
        <f>IFERROR(__xludf.DUMMYFUNCTION("""COMPUTED_VALUE"""),"Immune")</f>
        <v>Immune</v>
      </c>
      <c r="AA183" s="1"/>
      <c r="AB183" s="1"/>
      <c r="AC183" s="1"/>
      <c r="AD183" s="1"/>
      <c r="AE183" s="1"/>
      <c r="AF183" s="1"/>
      <c r="AG183" s="1"/>
      <c r="AH183" s="1"/>
      <c r="AI183" s="1"/>
      <c r="AJ183" s="1"/>
      <c r="AK183" s="1"/>
      <c r="AL183" s="1"/>
    </row>
    <row r="184">
      <c r="A184" s="1" t="str">
        <f>IFERROR(__xludf.DUMMYFUNCTION("""COMPUTED_VALUE"""),"Skilled Robot Soldier (King Of Mekanas Companion)")</f>
        <v>Skilled Robot Soldier (King Of Mekanas Companion)</v>
      </c>
      <c r="B184" s="1"/>
      <c r="C184" s="1"/>
      <c r="D184" s="1"/>
      <c r="E184" s="1"/>
      <c r="F184" s="1"/>
      <c r="G184" s="1"/>
      <c r="H184" s="1"/>
      <c r="I184" s="1"/>
      <c r="J184" s="1"/>
      <c r="K184" s="1"/>
      <c r="L184" s="1"/>
      <c r="M184" s="1"/>
      <c r="N184" s="1"/>
      <c r="O184" s="1"/>
      <c r="P184" s="1"/>
      <c r="Q184" s="1"/>
      <c r="R184" s="1"/>
      <c r="S184" s="1"/>
      <c r="T184" s="1"/>
      <c r="U184" s="1"/>
      <c r="V184" s="1"/>
      <c r="W184" s="1"/>
      <c r="X184" s="1"/>
      <c r="Y184" s="1"/>
      <c r="Z184" s="1" t="str">
        <f>IFERROR(__xludf.DUMMYFUNCTION("""COMPUTED_VALUE"""),"Immune")</f>
        <v>Immune</v>
      </c>
      <c r="AA184" s="1"/>
      <c r="AB184" s="1"/>
      <c r="AC184" s="1"/>
      <c r="AD184" s="1"/>
      <c r="AE184" s="1"/>
      <c r="AF184" s="1"/>
      <c r="AG184" s="1"/>
      <c r="AH184" s="1"/>
      <c r="AI184" s="1"/>
      <c r="AJ184" s="1"/>
      <c r="AK184" s="1"/>
      <c r="AL184" s="1"/>
    </row>
    <row r="185">
      <c r="A185" s="1" t="str">
        <f>IFERROR(__xludf.DUMMYFUNCTION("""COMPUTED_VALUE"""),"King Of Mekana (Robotic Guardian of the 5th, No. 5)")</f>
        <v>King Of Mekana (Robotic Guardian of the 5th, No. 5)</v>
      </c>
      <c r="B185" s="1"/>
      <c r="C185" s="1"/>
      <c r="D185" s="1"/>
      <c r="E185" s="1"/>
      <c r="F185" s="1"/>
      <c r="G185" s="1"/>
      <c r="H185" s="1"/>
      <c r="I185" s="1"/>
      <c r="J185" s="1"/>
      <c r="K185" s="1"/>
      <c r="L185" s="1"/>
      <c r="M185" s="1"/>
      <c r="N185" s="1"/>
      <c r="O185" s="1"/>
      <c r="P185" s="1"/>
      <c r="Q185" s="1"/>
      <c r="R185" s="1"/>
      <c r="S185" s="1"/>
      <c r="T185" s="1"/>
      <c r="U185" s="1"/>
      <c r="V185" s="1"/>
      <c r="W185" s="1" t="str">
        <f>IFERROR(__xludf.DUMMYFUNCTION("""COMPUTED_VALUE"""),"Immune")</f>
        <v>Immune</v>
      </c>
      <c r="X185" s="1" t="str">
        <f>IFERROR(__xludf.DUMMYFUNCTION("""COMPUTED_VALUE"""),"Immune")</f>
        <v>Immune</v>
      </c>
      <c r="Y185" s="1"/>
      <c r="Z185" s="1" t="str">
        <f>IFERROR(__xludf.DUMMYFUNCTION("""COMPUTED_VALUE"""),"Immune")</f>
        <v>Immune</v>
      </c>
      <c r="AA185" s="1"/>
      <c r="AB185" s="1"/>
      <c r="AC185" s="1"/>
      <c r="AD185" s="1"/>
      <c r="AE185" s="1"/>
      <c r="AF185" s="1"/>
      <c r="AG185" s="1"/>
      <c r="AH185" s="1"/>
      <c r="AI185" s="1"/>
      <c r="AJ185" s="1"/>
      <c r="AK185" s="1"/>
      <c r="AL185" s="1"/>
    </row>
    <row r="186">
      <c r="A186" s="1" t="str">
        <f>IFERROR(__xludf.DUMMYFUNCTION("""COMPUTED_VALUE"""),"Vampire Soldier")</f>
        <v>Vampire Soldier</v>
      </c>
      <c r="B186" s="1"/>
      <c r="C186" s="1"/>
      <c r="D186" s="1"/>
      <c r="E186" s="1"/>
      <c r="F186" s="1"/>
      <c r="G186" s="1" t="str">
        <f>IFERROR(__xludf.DUMMYFUNCTION("""COMPUTED_VALUE"""),"Immune")</f>
        <v>Immune</v>
      </c>
      <c r="H186" s="1"/>
      <c r="I186" s="1"/>
      <c r="J186" s="1" t="str">
        <f>IFERROR(__xludf.DUMMYFUNCTION("""COMPUTED_VALUE"""),"Immune")</f>
        <v>Immune</v>
      </c>
      <c r="K186" s="1"/>
      <c r="L186" s="1"/>
      <c r="M186" s="1"/>
      <c r="N186" s="1"/>
      <c r="O186" s="1"/>
      <c r="P186" s="1"/>
      <c r="Q186" s="1"/>
      <c r="R186" s="1" t="str">
        <f>IFERROR(__xludf.DUMMYFUNCTION("""COMPUTED_VALUE"""),"Immune")</f>
        <v>Immune</v>
      </c>
      <c r="S186" s="1"/>
      <c r="T186" s="1"/>
      <c r="U186" s="1"/>
      <c r="V186" s="1"/>
      <c r="W186" s="1"/>
      <c r="X186" s="1"/>
      <c r="Y186" s="1"/>
      <c r="Z186" s="1"/>
      <c r="AA186" s="1"/>
      <c r="AB186" s="1"/>
      <c r="AC186" s="1"/>
      <c r="AD186" s="1"/>
      <c r="AE186" s="1"/>
      <c r="AF186" s="1"/>
      <c r="AG186" s="1"/>
      <c r="AH186" s="1"/>
      <c r="AI186" s="1"/>
      <c r="AJ186" s="1"/>
      <c r="AK186" s="1"/>
      <c r="AL186" s="1"/>
    </row>
    <row r="187">
      <c r="A187" s="1" t="str">
        <f>IFERROR(__xludf.DUMMYFUNCTION("""COMPUTED_VALUE"""),"Demon ")</f>
        <v>Demon </v>
      </c>
      <c r="B187" s="1"/>
      <c r="C187" s="1"/>
      <c r="D187" s="1"/>
      <c r="E187" s="1"/>
      <c r="F187" s="1"/>
      <c r="G187" s="1" t="str">
        <f>IFERROR(__xludf.DUMMYFUNCTION("""COMPUTED_VALUE"""),"Immune")</f>
        <v>Immune</v>
      </c>
      <c r="H187" s="1" t="str">
        <f>IFERROR(__xludf.DUMMYFUNCTION("""COMPUTED_VALUE"""),"Immune")</f>
        <v>Immune</v>
      </c>
      <c r="I187" s="1"/>
      <c r="J187" s="1" t="str">
        <f>IFERROR(__xludf.DUMMYFUNCTION("""COMPUTED_VALUE"""),"Immune")</f>
        <v>Immune</v>
      </c>
      <c r="K187" s="1"/>
      <c r="L187" s="1"/>
      <c r="M187" s="1"/>
      <c r="N187" s="1"/>
      <c r="O187" s="1"/>
      <c r="P187" s="1"/>
      <c r="Q187" s="1"/>
      <c r="R187" s="1"/>
      <c r="S187" s="1"/>
      <c r="T187" s="1"/>
      <c r="U187" s="1"/>
      <c r="V187" s="1"/>
      <c r="W187" s="1"/>
      <c r="X187" s="1"/>
      <c r="Y187" s="1"/>
      <c r="Z187" s="1"/>
      <c r="AA187" s="1" t="str">
        <f>IFERROR(__xludf.DUMMYFUNCTION("""COMPUTED_VALUE"""),"Immune")</f>
        <v>Immune</v>
      </c>
      <c r="AB187" s="1"/>
      <c r="AC187" s="1"/>
      <c r="AD187" s="1"/>
      <c r="AE187" s="1"/>
      <c r="AF187" s="1"/>
      <c r="AG187" s="1"/>
      <c r="AH187" s="1"/>
      <c r="AI187" s="1"/>
      <c r="AJ187" s="1"/>
      <c r="AK187" s="1"/>
      <c r="AL187" s="1"/>
    </row>
    <row r="188">
      <c r="A188" s="1" t="str">
        <f>IFERROR(__xludf.DUMMYFUNCTION("""COMPUTED_VALUE"""),"Deimos")</f>
        <v>Deimos</v>
      </c>
      <c r="B188" s="1"/>
      <c r="C188" s="1"/>
      <c r="D188" s="1"/>
      <c r="E188" s="1"/>
      <c r="F188" s="1"/>
      <c r="G188" s="1" t="str">
        <f>IFERROR(__xludf.DUMMYFUNCTION("""COMPUTED_VALUE"""),"Immune")</f>
        <v>Immune</v>
      </c>
      <c r="H188" s="1" t="str">
        <f>IFERROR(__xludf.DUMMYFUNCTION("""COMPUTED_VALUE"""),"Immune")</f>
        <v>Immune</v>
      </c>
      <c r="I188" s="1"/>
      <c r="J188" s="1" t="str">
        <f>IFERROR(__xludf.DUMMYFUNCTION("""COMPUTED_VALUE"""),"Immune")</f>
        <v>Immune</v>
      </c>
      <c r="K188" s="1"/>
      <c r="L188" s="1"/>
      <c r="M188" s="1"/>
      <c r="N188" s="1"/>
      <c r="O188" s="1"/>
      <c r="P188" s="1"/>
      <c r="Q188" s="1" t="str">
        <f>IFERROR(__xludf.DUMMYFUNCTION("""COMPUTED_VALUE"""),"Immune")</f>
        <v>Immune</v>
      </c>
      <c r="R188" s="1" t="str">
        <f>IFERROR(__xludf.DUMMYFUNCTION("""COMPUTED_VALUE"""),"Immune")</f>
        <v>Immune</v>
      </c>
      <c r="S188" s="1"/>
      <c r="T188" s="1"/>
      <c r="U188" s="1"/>
      <c r="V188" s="1"/>
      <c r="W188" s="1"/>
      <c r="X188" s="1" t="str">
        <f>IFERROR(__xludf.DUMMYFUNCTION("""COMPUTED_VALUE"""),"Immune")</f>
        <v>Immune</v>
      </c>
      <c r="Y188" s="1" t="str">
        <f>IFERROR(__xludf.DUMMYFUNCTION("""COMPUTED_VALUE"""),"Immune")</f>
        <v>Immune</v>
      </c>
      <c r="Z188" s="1"/>
      <c r="AA188" s="1" t="str">
        <f>IFERROR(__xludf.DUMMYFUNCTION("""COMPUTED_VALUE"""),"Immune")</f>
        <v>Immune</v>
      </c>
      <c r="AB188" s="1"/>
      <c r="AC188" s="1"/>
      <c r="AD188" s="1"/>
      <c r="AE188" s="1"/>
      <c r="AF188" s="1"/>
      <c r="AG188" s="1"/>
      <c r="AH188" s="1"/>
      <c r="AI188" s="1"/>
      <c r="AJ188" s="1"/>
      <c r="AK188" s="1"/>
      <c r="AL188" s="1"/>
    </row>
    <row r="189">
      <c r="A189" s="1" t="str">
        <f>IFERROR(__xludf.DUMMYFUNCTION("""COMPUTED_VALUE"""),"Hellmore The Soul keeper")</f>
        <v>Hellmore The Soul keeper</v>
      </c>
      <c r="B189" s="1"/>
      <c r="C189" s="1"/>
      <c r="D189" s="1"/>
      <c r="E189" s="1"/>
      <c r="F189" s="1"/>
      <c r="G189" s="1" t="str">
        <f>IFERROR(__xludf.DUMMYFUNCTION("""COMPUTED_VALUE"""),"Immune")</f>
        <v>Immune</v>
      </c>
      <c r="H189" s="1" t="str">
        <f>IFERROR(__xludf.DUMMYFUNCTION("""COMPUTED_VALUE"""),"Immune")</f>
        <v>Immune</v>
      </c>
      <c r="I189" s="1"/>
      <c r="J189" s="1" t="str">
        <f>IFERROR(__xludf.DUMMYFUNCTION("""COMPUTED_VALUE"""),"Immune")</f>
        <v>Immune</v>
      </c>
      <c r="K189" s="1"/>
      <c r="L189" s="1"/>
      <c r="M189" s="1"/>
      <c r="N189" s="1"/>
      <c r="O189" s="1"/>
      <c r="P189" s="1"/>
      <c r="Q189" s="1" t="str">
        <f>IFERROR(__xludf.DUMMYFUNCTION("""COMPUTED_VALUE"""),"Immune")</f>
        <v>Immune</v>
      </c>
      <c r="R189" s="1" t="str">
        <f>IFERROR(__xludf.DUMMYFUNCTION("""COMPUTED_VALUE"""),"Immune")</f>
        <v>Immune</v>
      </c>
      <c r="S189" s="1"/>
      <c r="T189" s="1"/>
      <c r="U189" s="1"/>
      <c r="V189" s="1"/>
      <c r="W189" s="1"/>
      <c r="X189" s="1" t="str">
        <f>IFERROR(__xludf.DUMMYFUNCTION("""COMPUTED_VALUE"""),"Immune")</f>
        <v>Immune</v>
      </c>
      <c r="Y189" s="1" t="str">
        <f>IFERROR(__xludf.DUMMYFUNCTION("""COMPUTED_VALUE"""),"Immune")</f>
        <v>Immune</v>
      </c>
      <c r="Z189" s="1"/>
      <c r="AA189" s="1" t="str">
        <f>IFERROR(__xludf.DUMMYFUNCTION("""COMPUTED_VALUE"""),"Immune")</f>
        <v>Immune</v>
      </c>
      <c r="AB189" s="1"/>
      <c r="AC189" s="1"/>
      <c r="AD189" s="1"/>
      <c r="AE189" s="1"/>
      <c r="AF189" s="1"/>
      <c r="AG189" s="1"/>
      <c r="AH189" s="1"/>
      <c r="AI189" s="1"/>
      <c r="AJ189" s="1"/>
      <c r="AK189" s="1"/>
      <c r="AL189" s="1"/>
    </row>
    <row r="190">
      <c r="A190" s="1" t="str">
        <f>IFERROR(__xludf.DUMMYFUNCTION("""COMPUTED_VALUE"""),"Lava Lizard")</f>
        <v>Lava Lizard</v>
      </c>
      <c r="B190" s="1" t="str">
        <f>IFERROR(__xludf.DUMMYFUNCTION("""COMPUTED_VALUE"""),"Immune")</f>
        <v>Immune</v>
      </c>
      <c r="C190" s="1"/>
      <c r="D190" s="1"/>
      <c r="E190" s="1"/>
      <c r="F190" s="1"/>
      <c r="G190" s="1">
        <f>IFERROR(__xludf.DUMMYFUNCTION("""COMPUTED_VALUE"""),100.0)</f>
        <v>100</v>
      </c>
      <c r="H190" s="1"/>
      <c r="I190" s="1"/>
      <c r="J190" s="1"/>
      <c r="K190" s="1" t="str">
        <f>IFERROR(__xludf.DUMMYFUNCTION("""COMPUTED_VALUE"""),"Immune")</f>
        <v>Immune</v>
      </c>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row>
    <row r="191">
      <c r="A191" s="1" t="str">
        <f>IFERROR(__xludf.DUMMYFUNCTION("""COMPUTED_VALUE"""),"Volcanic Lava Dragon")</f>
        <v>Volcanic Lava Dragon</v>
      </c>
      <c r="B191" s="1" t="str">
        <f>IFERROR(__xludf.DUMMYFUNCTION("""COMPUTED_VALUE"""),"Immune")</f>
        <v>Immune</v>
      </c>
      <c r="C191" s="1"/>
      <c r="D191" s="1"/>
      <c r="E191" s="1"/>
      <c r="F191" s="1"/>
      <c r="G191" s="1"/>
      <c r="H191" s="1"/>
      <c r="I191" s="1"/>
      <c r="J191" s="1"/>
      <c r="K191" s="1"/>
      <c r="L191" s="1"/>
      <c r="M191" s="1"/>
      <c r="N191" s="1"/>
      <c r="O191" s="1"/>
      <c r="P191" s="1"/>
      <c r="Q191" s="1"/>
      <c r="R191" s="1"/>
      <c r="S191" s="1"/>
      <c r="T191" s="1"/>
      <c r="U191" s="1"/>
      <c r="V191" s="1"/>
      <c r="W191" s="1"/>
      <c r="X191" s="1" t="str">
        <f>IFERROR(__xludf.DUMMYFUNCTION("""COMPUTED_VALUE"""),"Immune")</f>
        <v>Immune</v>
      </c>
      <c r="Y191" s="1" t="str">
        <f>IFERROR(__xludf.DUMMYFUNCTION("""COMPUTED_VALUE"""),"Immune")</f>
        <v>Immune</v>
      </c>
      <c r="Z191" s="1"/>
      <c r="AA191" s="1" t="str">
        <f>IFERROR(__xludf.DUMMYFUNCTION("""COMPUTED_VALUE"""),"Immune")</f>
        <v>Immune</v>
      </c>
      <c r="AB191" s="1"/>
      <c r="AC191" s="1"/>
      <c r="AD191" s="1"/>
      <c r="AE191" s="1"/>
      <c r="AF191" s="1"/>
      <c r="AG191" s="1"/>
      <c r="AH191" s="1"/>
      <c r="AI191" s="1"/>
      <c r="AJ191" s="1"/>
      <c r="AK191" s="1"/>
      <c r="AL191" s="1"/>
    </row>
    <row r="192">
      <c r="A192" s="1" t="str">
        <f>IFERROR(__xludf.DUMMYFUNCTION("""COMPUTED_VALUE"""),"Volcanic Serpent")</f>
        <v>Volcanic Serpent</v>
      </c>
      <c r="B192" s="1" t="str">
        <f>IFERROR(__xludf.DUMMYFUNCTION("""COMPUTED_VALUE"""),"Immune")</f>
        <v>Immune</v>
      </c>
      <c r="C192" s="1"/>
      <c r="D192" s="1"/>
      <c r="E192" s="1"/>
      <c r="F192" s="1"/>
      <c r="G192" s="1"/>
      <c r="H192" s="1"/>
      <c r="I192" s="1"/>
      <c r="J192" s="1"/>
      <c r="K192" s="1"/>
      <c r="L192" s="1"/>
      <c r="M192" s="1"/>
      <c r="N192" s="1"/>
      <c r="O192" s="1"/>
      <c r="P192" s="1"/>
      <c r="Q192" s="1"/>
      <c r="R192" s="1"/>
      <c r="S192" s="1"/>
      <c r="T192" s="1"/>
      <c r="U192" s="1"/>
      <c r="V192" s="1"/>
      <c r="W192" s="1"/>
      <c r="X192" s="1" t="str">
        <f>IFERROR(__xludf.DUMMYFUNCTION("""COMPUTED_VALUE"""),"Immune")</f>
        <v>Immune</v>
      </c>
      <c r="Y192" s="1" t="str">
        <f>IFERROR(__xludf.DUMMYFUNCTION("""COMPUTED_VALUE"""),"Immune")</f>
        <v>Immune</v>
      </c>
      <c r="Z192" s="1"/>
      <c r="AA192" s="1" t="str">
        <f>IFERROR(__xludf.DUMMYFUNCTION("""COMPUTED_VALUE"""),"Immune")</f>
        <v>Immune</v>
      </c>
      <c r="AB192" s="1"/>
      <c r="AC192" s="1"/>
      <c r="AD192" s="1"/>
      <c r="AE192" s="1"/>
      <c r="AF192" s="1"/>
      <c r="AG192" s="1"/>
      <c r="AH192" s="1"/>
      <c r="AI192" s="1"/>
      <c r="AJ192" s="1"/>
      <c r="AK192" s="1"/>
      <c r="AL192" s="1"/>
    </row>
    <row r="193">
      <c r="A193" s="1" t="str">
        <f>IFERROR(__xludf.DUMMYFUNCTION("""COMPUTED_VALUE"""),"Lava Panther")</f>
        <v>Lava Panther</v>
      </c>
      <c r="B193" s="1" t="str">
        <f>IFERROR(__xludf.DUMMYFUNCTION("""COMPUTED_VALUE"""),"Immune")</f>
        <v>Immune</v>
      </c>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row>
    <row r="194">
      <c r="A194" s="1" t="str">
        <f>IFERROR(__xludf.DUMMYFUNCTION("""COMPUTED_VALUE"""),"Grand Dark &amp; Fire Mage")</f>
        <v>Grand Dark &amp; Fire Mage</v>
      </c>
      <c r="B194" s="1"/>
      <c r="C194" s="1"/>
      <c r="D194" s="1"/>
      <c r="E194" s="1"/>
      <c r="F194" s="1"/>
      <c r="G194" s="1" t="str">
        <f>IFERROR(__xludf.DUMMYFUNCTION("""COMPUTED_VALUE"""),"Immune")</f>
        <v>Immune</v>
      </c>
      <c r="H194" s="1"/>
      <c r="I194" s="1"/>
      <c r="J194" s="1"/>
      <c r="K194" s="1"/>
      <c r="L194" s="1"/>
      <c r="M194" s="1"/>
      <c r="N194" s="1"/>
      <c r="O194" s="1"/>
      <c r="P194" s="1"/>
      <c r="Q194" s="1"/>
      <c r="R194" s="1"/>
      <c r="S194" s="1"/>
      <c r="T194" s="1"/>
      <c r="U194" s="1"/>
      <c r="V194" s="1"/>
      <c r="W194" s="1"/>
      <c r="X194" s="1" t="str">
        <f>IFERROR(__xludf.DUMMYFUNCTION("""COMPUTED_VALUE"""),"Immune")</f>
        <v>Immune</v>
      </c>
      <c r="Y194" s="1" t="str">
        <f>IFERROR(__xludf.DUMMYFUNCTION("""COMPUTED_VALUE"""),"Immune")</f>
        <v>Immune</v>
      </c>
      <c r="Z194" s="1"/>
      <c r="AA194" s="1" t="str">
        <f>IFERROR(__xludf.DUMMYFUNCTION("""COMPUTED_VALUE"""),"Immune")</f>
        <v>Immune</v>
      </c>
      <c r="AB194" s="1"/>
      <c r="AC194" s="1"/>
      <c r="AD194" s="1"/>
      <c r="AE194" s="1"/>
      <c r="AF194" s="1"/>
      <c r="AG194" s="1"/>
      <c r="AH194" s="1"/>
      <c r="AI194" s="1"/>
      <c r="AJ194" s="1"/>
      <c r="AK194" s="1"/>
      <c r="AL194" s="1"/>
    </row>
    <row r="195">
      <c r="A195" s="1" t="str">
        <f>IFERROR(__xludf.DUMMYFUNCTION("""COMPUTED_VALUE"""),"Grand Fire Elemental")</f>
        <v>Grand Fire Elemental</v>
      </c>
      <c r="B195" s="1" t="str">
        <f>IFERROR(__xludf.DUMMYFUNCTION("""COMPUTED_VALUE"""),"Immune")</f>
        <v>Immune</v>
      </c>
      <c r="C195" s="1"/>
      <c r="D195" s="1"/>
      <c r="E195" s="1"/>
      <c r="F195" s="1"/>
      <c r="G195" s="1"/>
      <c r="H195" s="1"/>
      <c r="I195" s="1"/>
      <c r="J195" s="1"/>
      <c r="K195" s="1"/>
      <c r="L195" s="1"/>
      <c r="M195" s="1"/>
      <c r="N195" s="1"/>
      <c r="O195" s="1"/>
      <c r="P195" s="1"/>
      <c r="Q195" s="1"/>
      <c r="R195" s="1" t="str">
        <f>IFERROR(__xludf.DUMMYFUNCTION("""COMPUTED_VALUE"""),"Immune")</f>
        <v>Immune</v>
      </c>
      <c r="S195" s="1"/>
      <c r="T195" s="1"/>
      <c r="U195" s="1"/>
      <c r="V195" s="1"/>
      <c r="W195" s="1"/>
      <c r="X195" s="1" t="str">
        <f>IFERROR(__xludf.DUMMYFUNCTION("""COMPUTED_VALUE"""),"Immune")</f>
        <v>Immune</v>
      </c>
      <c r="Y195" s="1" t="str">
        <f>IFERROR(__xludf.DUMMYFUNCTION("""COMPUTED_VALUE"""),"Immune")</f>
        <v>Immune</v>
      </c>
      <c r="Z195" s="1"/>
      <c r="AA195" s="1" t="str">
        <f>IFERROR(__xludf.DUMMYFUNCTION("""COMPUTED_VALUE"""),"Immune")</f>
        <v>Immune</v>
      </c>
      <c r="AB195" s="1"/>
      <c r="AC195" s="1"/>
      <c r="AD195" s="1"/>
      <c r="AE195" s="1"/>
      <c r="AF195" s="1"/>
      <c r="AG195" s="1"/>
      <c r="AH195" s="1"/>
      <c r="AI195" s="1"/>
      <c r="AJ195" s="1"/>
      <c r="AK195" s="1"/>
      <c r="AL195" s="1"/>
    </row>
    <row r="196">
      <c r="A196" s="1" t="str">
        <f>IFERROR(__xludf.DUMMYFUNCTION("""COMPUTED_VALUE"""),"Straitzo The Vampire Warrior")</f>
        <v>Straitzo The Vampire Warrior</v>
      </c>
      <c r="B196" s="1"/>
      <c r="C196" s="1"/>
      <c r="D196" s="1"/>
      <c r="E196" s="1"/>
      <c r="F196" s="1"/>
      <c r="G196" s="1" t="str">
        <f>IFERROR(__xludf.DUMMYFUNCTION("""COMPUTED_VALUE"""),"Immune")</f>
        <v>Immune</v>
      </c>
      <c r="H196" s="1"/>
      <c r="I196" s="1"/>
      <c r="J196" s="1"/>
      <c r="K196" s="1"/>
      <c r="L196" s="1"/>
      <c r="M196" s="1"/>
      <c r="N196" s="1"/>
      <c r="O196" s="1"/>
      <c r="P196" s="1"/>
      <c r="Q196" s="1"/>
      <c r="R196" s="1" t="str">
        <f>IFERROR(__xludf.DUMMYFUNCTION("""COMPUTED_VALUE"""),"Immune")</f>
        <v>Immune</v>
      </c>
      <c r="S196" s="1"/>
      <c r="T196" s="1"/>
      <c r="U196" s="1"/>
      <c r="V196" s="1"/>
      <c r="W196" s="1"/>
      <c r="X196" s="1"/>
      <c r="Y196" s="1"/>
      <c r="Z196" s="1"/>
      <c r="AA196" s="1"/>
      <c r="AB196" s="1"/>
      <c r="AC196" s="1"/>
      <c r="AD196" s="1"/>
      <c r="AE196" s="1"/>
      <c r="AF196" s="1"/>
      <c r="AG196" s="1"/>
      <c r="AH196" s="1"/>
      <c r="AI196" s="1"/>
      <c r="AJ196" s="1"/>
      <c r="AK196" s="1"/>
      <c r="AL196" s="1"/>
    </row>
    <row r="197">
      <c r="A197" s="1" t="str">
        <f>IFERROR(__xludf.DUMMYFUNCTION("""COMPUTED_VALUE"""),"Cerberus Gatekeeper of Souls")</f>
        <v>Cerberus Gatekeeper of Souls</v>
      </c>
      <c r="B197" s="1" t="str">
        <f>IFERROR(__xludf.DUMMYFUNCTION("""COMPUTED_VALUE"""),"Immune")</f>
        <v>Immune</v>
      </c>
      <c r="C197" s="1"/>
      <c r="D197" s="1"/>
      <c r="E197" s="1"/>
      <c r="F197" s="1"/>
      <c r="G197" s="1" t="str">
        <f>IFERROR(__xludf.DUMMYFUNCTION("""COMPUTED_VALUE"""),"Immune")</f>
        <v>Immune</v>
      </c>
      <c r="H197" s="1"/>
      <c r="I197" s="1"/>
      <c r="J197" s="1" t="str">
        <f>IFERROR(__xludf.DUMMYFUNCTION("""COMPUTED_VALUE"""),"Immune")</f>
        <v>Immune</v>
      </c>
      <c r="K197" s="1"/>
      <c r="L197" s="1"/>
      <c r="M197" s="1"/>
      <c r="N197" s="1"/>
      <c r="O197" s="1"/>
      <c r="P197" s="1"/>
      <c r="Q197" s="1" t="str">
        <f>IFERROR(__xludf.DUMMYFUNCTION("""COMPUTED_VALUE"""),"Immune")</f>
        <v>Immune</v>
      </c>
      <c r="R197" s="1"/>
      <c r="S197" s="1"/>
      <c r="T197" s="1"/>
      <c r="U197" s="1"/>
      <c r="V197" s="1"/>
      <c r="W197" s="1"/>
      <c r="X197" s="1" t="str">
        <f>IFERROR(__xludf.DUMMYFUNCTION("""COMPUTED_VALUE"""),"Immune")</f>
        <v>Immune</v>
      </c>
      <c r="Y197" s="1" t="str">
        <f>IFERROR(__xludf.DUMMYFUNCTION("""COMPUTED_VALUE"""),"Immune")</f>
        <v>Immune</v>
      </c>
      <c r="Z197" s="1"/>
      <c r="AA197" s="1" t="str">
        <f>IFERROR(__xludf.DUMMYFUNCTION("""COMPUTED_VALUE"""),"Immune")</f>
        <v>Immune</v>
      </c>
      <c r="AB197" s="1"/>
      <c r="AC197" s="1"/>
      <c r="AD197" s="1"/>
      <c r="AE197" s="1"/>
      <c r="AF197" s="1"/>
      <c r="AG197" s="1"/>
      <c r="AH197" s="1"/>
      <c r="AI197" s="1"/>
      <c r="AJ197" s="1"/>
      <c r="AK197" s="1"/>
      <c r="AL197" s="1"/>
    </row>
    <row r="198">
      <c r="A198" s="1" t="str">
        <f>IFERROR(__xludf.DUMMYFUNCTION("""COMPUTED_VALUE"""),"Endless Dark Dragon")</f>
        <v>Endless Dark Dragon</v>
      </c>
      <c r="B198" s="1"/>
      <c r="C198" s="1"/>
      <c r="D198" s="1"/>
      <c r="E198" s="1"/>
      <c r="F198" s="1"/>
      <c r="G198" s="1" t="str">
        <f>IFERROR(__xludf.DUMMYFUNCTION("""COMPUTED_VALUE"""),"Immune")</f>
        <v>Immune</v>
      </c>
      <c r="H198" s="1" t="str">
        <f>IFERROR(__xludf.DUMMYFUNCTION("""COMPUTED_VALUE"""),"Immune")</f>
        <v>Immune</v>
      </c>
      <c r="I198" s="1"/>
      <c r="J198" s="1" t="str">
        <f>IFERROR(__xludf.DUMMYFUNCTION("""COMPUTED_VALUE"""),"Immune")</f>
        <v>Immune</v>
      </c>
      <c r="K198" s="1"/>
      <c r="L198" s="1"/>
      <c r="M198" s="1"/>
      <c r="N198" s="1"/>
      <c r="O198" s="1"/>
      <c r="P198" s="1"/>
      <c r="Q198" s="1"/>
      <c r="R198" s="1"/>
      <c r="S198" s="1"/>
      <c r="T198" s="1"/>
      <c r="U198" s="1"/>
      <c r="V198" s="1"/>
      <c r="W198" s="1"/>
      <c r="X198" s="1" t="str">
        <f>IFERROR(__xludf.DUMMYFUNCTION("""COMPUTED_VALUE"""),"Immune")</f>
        <v>Immune</v>
      </c>
      <c r="Y198" s="1" t="str">
        <f>IFERROR(__xludf.DUMMYFUNCTION("""COMPUTED_VALUE"""),"Immune")</f>
        <v>Immune</v>
      </c>
      <c r="Z198" s="1"/>
      <c r="AA198" s="1" t="str">
        <f>IFERROR(__xludf.DUMMYFUNCTION("""COMPUTED_VALUE"""),"Immune")</f>
        <v>Immune</v>
      </c>
      <c r="AB198" s="1"/>
      <c r="AC198" s="1"/>
      <c r="AD198" s="1"/>
      <c r="AE198" s="1"/>
      <c r="AF198" s="1"/>
      <c r="AG198" s="1"/>
      <c r="AH198" s="1"/>
      <c r="AI198" s="1"/>
      <c r="AJ198" s="1"/>
      <c r="AK198" s="1"/>
      <c r="AL198" s="1"/>
    </row>
    <row r="199">
      <c r="A199" s="1" t="str">
        <f>IFERROR(__xludf.DUMMYFUNCTION("""COMPUTED_VALUE"""),"Giant Lava Frog ")</f>
        <v>Giant Lava Frog </v>
      </c>
      <c r="B199" s="1" t="str">
        <f>IFERROR(__xludf.DUMMYFUNCTION("""COMPUTED_VALUE"""),"Immune")</f>
        <v>Immune</v>
      </c>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row>
    <row r="200">
      <c r="A200" s="1" t="str">
        <f>IFERROR(__xludf.DUMMYFUNCTION("""COMPUTED_VALUE"""),"Lava Rat")</f>
        <v>Lava Rat</v>
      </c>
      <c r="B200" s="1" t="str">
        <f>IFERROR(__xludf.DUMMYFUNCTION("""COMPUTED_VALUE"""),"Immune")</f>
        <v>Immune</v>
      </c>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row>
    <row r="201">
      <c r="A201" s="1" t="str">
        <f>IFERROR(__xludf.DUMMYFUNCTION("""COMPUTED_VALUE"""),"Rat King")</f>
        <v>Rat King</v>
      </c>
      <c r="B201" s="1"/>
      <c r="C201" s="1"/>
      <c r="D201" s="1"/>
      <c r="E201" s="1"/>
      <c r="F201" s="1"/>
      <c r="G201" s="1" t="str">
        <f>IFERROR(__xludf.DUMMYFUNCTION("""COMPUTED_VALUE"""),"Immune")</f>
        <v>Immune</v>
      </c>
      <c r="H201" s="1"/>
      <c r="I201" s="1"/>
      <c r="J201" s="1" t="str">
        <f>IFERROR(__xludf.DUMMYFUNCTION("""COMPUTED_VALUE"""),"Immune")</f>
        <v>Immune</v>
      </c>
      <c r="K201" s="1"/>
      <c r="L201" s="1"/>
      <c r="M201" s="1"/>
      <c r="N201" s="1"/>
      <c r="O201" s="1"/>
      <c r="P201" s="1"/>
      <c r="Q201" s="1" t="str">
        <f>IFERROR(__xludf.DUMMYFUNCTION("""COMPUTED_VALUE"""),"Immune")</f>
        <v>Immune</v>
      </c>
      <c r="R201" s="1"/>
      <c r="S201" s="1"/>
      <c r="T201" s="1"/>
      <c r="U201" s="1"/>
      <c r="V201" s="1"/>
      <c r="W201" s="1"/>
      <c r="X201" s="1" t="str">
        <f>IFERROR(__xludf.DUMMYFUNCTION("""COMPUTED_VALUE"""),"Immune")</f>
        <v>Immune</v>
      </c>
      <c r="Y201" s="1" t="str">
        <f>IFERROR(__xludf.DUMMYFUNCTION("""COMPUTED_VALUE"""),"Immune")</f>
        <v>Immune</v>
      </c>
      <c r="Z201" s="1"/>
      <c r="AA201" s="1" t="str">
        <f>IFERROR(__xludf.DUMMYFUNCTION("""COMPUTED_VALUE"""),"Immune")</f>
        <v>Immune</v>
      </c>
      <c r="AB201" s="1"/>
      <c r="AC201" s="1"/>
      <c r="AD201" s="1"/>
      <c r="AE201" s="1"/>
      <c r="AF201" s="1"/>
      <c r="AG201" s="1"/>
      <c r="AH201" s="1"/>
      <c r="AI201" s="1"/>
      <c r="AJ201" s="1"/>
      <c r="AK201" s="1"/>
      <c r="AL201" s="1"/>
    </row>
    <row r="202">
      <c r="A202" s="1" t="str">
        <f>IFERROR(__xludf.DUMMYFUNCTION("""COMPUTED_VALUE"""),"Magma Bear")</f>
        <v>Magma Bear</v>
      </c>
      <c r="B202" s="1" t="str">
        <f>IFERROR(__xludf.DUMMYFUNCTION("""COMPUTED_VALUE"""),"Immune")</f>
        <v>Immune</v>
      </c>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row>
    <row r="203">
      <c r="A203" s="1" t="str">
        <f>IFERROR(__xludf.DUMMYFUNCTION("""COMPUTED_VALUE"""),"Inferno Vulture")</f>
        <v>Inferno Vulture</v>
      </c>
      <c r="B203" s="1" t="str">
        <f>IFERROR(__xludf.DUMMYFUNCTION("""COMPUTED_VALUE"""),"Immune")</f>
        <v>Immune</v>
      </c>
      <c r="C203" s="1"/>
      <c r="D203" s="1"/>
      <c r="E203" s="1"/>
      <c r="F203" s="1"/>
      <c r="G203" s="1"/>
      <c r="H203" s="1"/>
      <c r="I203" s="1"/>
      <c r="J203" s="1"/>
      <c r="K203" s="1" t="str">
        <f>IFERROR(__xludf.DUMMYFUNCTION("""COMPUTED_VALUE"""),"Immune")</f>
        <v>Immune</v>
      </c>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row>
    <row r="204">
      <c r="A204" s="1" t="str">
        <f>IFERROR(__xludf.DUMMYFUNCTION("""COMPUTED_VALUE"""),"Lava Kraken")</f>
        <v>Lava Kraken</v>
      </c>
      <c r="B204" s="1" t="str">
        <f>IFERROR(__xludf.DUMMYFUNCTION("""COMPUTED_VALUE"""),"Immune")</f>
        <v>Immune</v>
      </c>
      <c r="C204" s="1"/>
      <c r="D204" s="1"/>
      <c r="E204" s="1"/>
      <c r="F204" s="1"/>
      <c r="G204" s="1"/>
      <c r="H204" s="1"/>
      <c r="I204" s="1"/>
      <c r="J204" s="1"/>
      <c r="K204" s="1" t="str">
        <f>IFERROR(__xludf.DUMMYFUNCTION("""COMPUTED_VALUE"""),"Immune")</f>
        <v>Immune</v>
      </c>
      <c r="L204" s="1"/>
      <c r="M204" s="1"/>
      <c r="N204" s="1"/>
      <c r="O204" s="1"/>
      <c r="P204" s="1"/>
      <c r="Q204" s="1"/>
      <c r="R204" s="1"/>
      <c r="S204" s="1"/>
      <c r="T204" s="1"/>
      <c r="U204" s="1"/>
      <c r="V204" s="1"/>
      <c r="W204" s="1"/>
      <c r="X204" s="1" t="str">
        <f>IFERROR(__xludf.DUMMYFUNCTION("""COMPUTED_VALUE"""),"Immune")</f>
        <v>Immune</v>
      </c>
      <c r="Y204" s="1" t="str">
        <f>IFERROR(__xludf.DUMMYFUNCTION("""COMPUTED_VALUE"""),"Immune")</f>
        <v>Immune</v>
      </c>
      <c r="Z204" s="1"/>
      <c r="AA204" s="1" t="str">
        <f>IFERROR(__xludf.DUMMYFUNCTION("""COMPUTED_VALUE"""),"Immune")</f>
        <v>Immune</v>
      </c>
      <c r="AB204" s="1"/>
      <c r="AC204" s="1"/>
      <c r="AD204" s="1"/>
      <c r="AE204" s="1"/>
      <c r="AF204" s="1"/>
      <c r="AG204" s="1"/>
      <c r="AH204" s="1"/>
      <c r="AI204" s="1"/>
      <c r="AJ204" s="1"/>
      <c r="AK204" s="1"/>
      <c r="AL204" s="1"/>
    </row>
    <row r="205">
      <c r="A205" s="1" t="str">
        <f>IFERROR(__xludf.DUMMYFUNCTION("""COMPUTED_VALUE"""),"Flaming Cactus")</f>
        <v>Flaming Cactus</v>
      </c>
      <c r="B205" s="1" t="str">
        <f>IFERROR(__xludf.DUMMYFUNCTION("""COMPUTED_VALUE"""),"Immune")</f>
        <v>Immune</v>
      </c>
      <c r="C205" s="1"/>
      <c r="D205" s="1"/>
      <c r="E205" s="1"/>
      <c r="F205" s="1"/>
      <c r="G205" s="1"/>
      <c r="H205" s="1"/>
      <c r="I205" s="1"/>
      <c r="J205" s="1"/>
      <c r="K205" s="1" t="str">
        <f>IFERROR(__xludf.DUMMYFUNCTION("""COMPUTED_VALUE"""),"Immune")</f>
        <v>Immune</v>
      </c>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row>
    <row r="206">
      <c r="A206" s="1" t="str">
        <f>IFERROR(__xludf.DUMMYFUNCTION("""COMPUTED_VALUE"""),"Flaming Behemoth")</f>
        <v>Flaming Behemoth</v>
      </c>
      <c r="B206" s="1" t="str">
        <f>IFERROR(__xludf.DUMMYFUNCTION("""COMPUTED_VALUE"""),"Immune")</f>
        <v>Immune</v>
      </c>
      <c r="C206" s="1"/>
      <c r="D206" s="1"/>
      <c r="E206" s="1"/>
      <c r="F206" s="1"/>
      <c r="G206" s="1"/>
      <c r="H206" s="1"/>
      <c r="I206" s="1"/>
      <c r="J206" s="1"/>
      <c r="K206" s="1" t="str">
        <f>IFERROR(__xludf.DUMMYFUNCTION("""COMPUTED_VALUE"""),"Immune")</f>
        <v>Immune</v>
      </c>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row>
    <row r="207">
      <c r="A207" s="1" t="str">
        <f>IFERROR(__xludf.DUMMYFUNCTION("""COMPUTED_VALUE"""),"Red Soul")</f>
        <v>Red Soul</v>
      </c>
      <c r="B207" s="1">
        <f>IFERROR(__xludf.DUMMYFUNCTION("""COMPUTED_VALUE"""),100.0)</f>
        <v>100</v>
      </c>
      <c r="C207" s="1"/>
      <c r="D207" s="1"/>
      <c r="E207" s="1"/>
      <c r="F207" s="1"/>
      <c r="G207" s="1"/>
      <c r="H207" s="1" t="str">
        <f>IFERROR(__xludf.DUMMYFUNCTION("""COMPUTED_VALUE"""),"Immune")</f>
        <v>Immune</v>
      </c>
      <c r="I207" s="1"/>
      <c r="J207" s="1"/>
      <c r="K207" s="1" t="str">
        <f>IFERROR(__xludf.DUMMYFUNCTION("""COMPUTED_VALUE"""),"Immune")</f>
        <v>Immune</v>
      </c>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row>
    <row r="208">
      <c r="A208" s="1" t="str">
        <f>IFERROR(__xludf.DUMMYFUNCTION("""COMPUTED_VALUE"""),"Blue Soul")</f>
        <v>Blue Soul</v>
      </c>
      <c r="B208" s="1"/>
      <c r="C208" s="1" t="str">
        <f>IFERROR(__xludf.DUMMYFUNCTION("""COMPUTED_VALUE"""),"Immune")</f>
        <v>Immune</v>
      </c>
      <c r="D208" s="1"/>
      <c r="E208" s="1"/>
      <c r="F208" s="1"/>
      <c r="G208" s="1"/>
      <c r="H208" s="1" t="str">
        <f>IFERROR(__xludf.DUMMYFUNCTION("""COMPUTED_VALUE"""),"Immune")</f>
        <v>Immune</v>
      </c>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row>
    <row r="209">
      <c r="A209" s="1" t="str">
        <f>IFERROR(__xludf.DUMMYFUNCTION("""COMPUTED_VALUE"""),"Green Soul")</f>
        <v>Green Soul</v>
      </c>
      <c r="B209" s="1"/>
      <c r="C209" s="1"/>
      <c r="D209" s="1"/>
      <c r="E209" s="1"/>
      <c r="F209" s="1"/>
      <c r="G209" s="1"/>
      <c r="H209" s="1" t="str">
        <f>IFERROR(__xludf.DUMMYFUNCTION("""COMPUTED_VALUE"""),"Immune")</f>
        <v>Immune</v>
      </c>
      <c r="I209" s="1"/>
      <c r="J209" s="1"/>
      <c r="K209" s="1" t="str">
        <f>IFERROR(__xludf.DUMMYFUNCTION("""COMPUTED_VALUE"""),"Immune")</f>
        <v>Immune</v>
      </c>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row>
    <row r="210">
      <c r="A210" s="1" t="str">
        <f>IFERROR(__xludf.DUMMYFUNCTION("""COMPUTED_VALUE"""),"Yellow Soul")</f>
        <v>Yellow Soul</v>
      </c>
      <c r="B210" s="1"/>
      <c r="C210" s="1"/>
      <c r="D210" s="1"/>
      <c r="E210" s="1"/>
      <c r="F210" s="1" t="str">
        <f>IFERROR(__xludf.DUMMYFUNCTION("""COMPUTED_VALUE"""),"Immune")</f>
        <v>Immune</v>
      </c>
      <c r="G210" s="1"/>
      <c r="H210" s="1" t="str">
        <f>IFERROR(__xludf.DUMMYFUNCTION("""COMPUTED_VALUE"""),"Immune")</f>
        <v>Immune</v>
      </c>
      <c r="I210" s="1" t="str">
        <f>IFERROR(__xludf.DUMMYFUNCTION("""COMPUTED_VALUE"""),"Immune")</f>
        <v>Immune</v>
      </c>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row>
    <row r="211">
      <c r="A211" s="1" t="str">
        <f>IFERROR(__xludf.DUMMYFUNCTION("""COMPUTED_VALUE"""),"Black Soul")</f>
        <v>Black Soul</v>
      </c>
      <c r="B211" s="1"/>
      <c r="C211" s="1"/>
      <c r="D211" s="1"/>
      <c r="E211" s="1"/>
      <c r="F211" s="1"/>
      <c r="G211" s="1" t="str">
        <f>IFERROR(__xludf.DUMMYFUNCTION("""COMPUTED_VALUE"""),"Immune")</f>
        <v>Immune</v>
      </c>
      <c r="H211" s="1" t="str">
        <f>IFERROR(__xludf.DUMMYFUNCTION("""COMPUTED_VALUE"""),"Immune")</f>
        <v>Immune</v>
      </c>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row>
    <row r="212">
      <c r="A212" s="1" t="str">
        <f>IFERROR(__xludf.DUMMYFUNCTION("""COMPUTED_VALUE"""),"Brown Soul")</f>
        <v>Brown Soul</v>
      </c>
      <c r="B212" s="1"/>
      <c r="C212" s="1"/>
      <c r="D212" s="1"/>
      <c r="E212" s="1" t="str">
        <f>IFERROR(__xludf.DUMMYFUNCTION("""COMPUTED_VALUE"""),"Immune")</f>
        <v>Immune</v>
      </c>
      <c r="F212" s="1"/>
      <c r="G212" s="1"/>
      <c r="H212" s="1" t="str">
        <f>IFERROR(__xludf.DUMMYFUNCTION("""COMPUTED_VALUE"""),"Immune")</f>
        <v>Immune</v>
      </c>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row>
    <row r="213">
      <c r="A213" s="1" t="str">
        <f>IFERROR(__xludf.DUMMYFUNCTION("""COMPUTED_VALUE"""),"White Soul")</f>
        <v>White Soul</v>
      </c>
      <c r="B213" s="1"/>
      <c r="C213" s="1"/>
      <c r="D213" s="1"/>
      <c r="E213" s="1"/>
      <c r="F213" s="1">
        <f>IFERROR(__xludf.DUMMYFUNCTION("""COMPUTED_VALUE"""),100.0)</f>
        <v>100</v>
      </c>
      <c r="G213" s="1"/>
      <c r="H213" s="1" t="str">
        <f>IFERROR(__xludf.DUMMYFUNCTION("""COMPUTED_VALUE"""),"Immune")</f>
        <v>Immune</v>
      </c>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row>
    <row r="214">
      <c r="A214" s="1" t="str">
        <f>IFERROR(__xludf.DUMMYFUNCTION("""COMPUTED_VALUE"""),"Gray Soul")</f>
        <v>Gray Soul</v>
      </c>
      <c r="B214" s="1"/>
      <c r="C214" s="1"/>
      <c r="D214" s="1"/>
      <c r="E214" s="1"/>
      <c r="F214" s="1"/>
      <c r="G214" s="1"/>
      <c r="H214" s="1" t="str">
        <f>IFERROR(__xludf.DUMMYFUNCTION("""COMPUTED_VALUE"""),"Immune")</f>
        <v>Immune</v>
      </c>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row>
    <row r="215">
      <c r="A215" s="1" t="str">
        <f>IFERROR(__xludf.DUMMYFUNCTION("""COMPUTED_VALUE"""),"Lava Moth")</f>
        <v>Lava Moth</v>
      </c>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row>
    <row r="216">
      <c r="A216" s="1" t="str">
        <f>IFERROR(__xludf.DUMMYFUNCTION("""COMPUTED_VALUE"""),"Giant Magma Snail")</f>
        <v>Giant Magma Snail</v>
      </c>
      <c r="B216" s="1" t="str">
        <f>IFERROR(__xludf.DUMMYFUNCTION("""COMPUTED_VALUE"""),"Immune")</f>
        <v>Immune</v>
      </c>
      <c r="C216" s="1"/>
      <c r="D216" s="1"/>
      <c r="E216" s="1"/>
      <c r="F216" s="1"/>
      <c r="G216" s="1"/>
      <c r="H216" s="1"/>
      <c r="I216" s="1"/>
      <c r="J216" s="1"/>
      <c r="K216" s="1" t="str">
        <f>IFERROR(__xludf.DUMMYFUNCTION("""COMPUTED_VALUE"""),"Immune")</f>
        <v>Immune</v>
      </c>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row>
    <row r="217">
      <c r="A217" s="1" t="str">
        <f>IFERROR(__xludf.DUMMYFUNCTION("""COMPUTED_VALUE"""),"Mr. Skeleton")</f>
        <v>Mr. Skeleton</v>
      </c>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row>
    <row r="218">
      <c r="A218" s="1" t="str">
        <f>IFERROR(__xludf.DUMMYFUNCTION("""COMPUTED_VALUE"""),"Flaming King Duck")</f>
        <v>Flaming King Duck</v>
      </c>
      <c r="B218" s="1" t="str">
        <f>IFERROR(__xludf.DUMMYFUNCTION("""COMPUTED_VALUE"""),"Immune")</f>
        <v>Immune</v>
      </c>
      <c r="C218" s="1"/>
      <c r="D218" s="1"/>
      <c r="E218" s="1"/>
      <c r="F218" s="1"/>
      <c r="G218" s="1"/>
      <c r="H218" s="1"/>
      <c r="I218" s="1"/>
      <c r="J218" s="1"/>
      <c r="K218" s="1" t="str">
        <f>IFERROR(__xludf.DUMMYFUNCTION("""COMPUTED_VALUE"""),"Immune")</f>
        <v>Immune</v>
      </c>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row>
    <row r="219">
      <c r="A219" s="1" t="str">
        <f>IFERROR(__xludf.DUMMYFUNCTION("""COMPUTED_VALUE"""),"Flaming Duck")</f>
        <v>Flaming Duck</v>
      </c>
      <c r="B219" s="1" t="str">
        <f>IFERROR(__xludf.DUMMYFUNCTION("""COMPUTED_VALUE"""),"Immune")</f>
        <v>Immune</v>
      </c>
      <c r="C219" s="1"/>
      <c r="D219" s="1"/>
      <c r="E219" s="1"/>
      <c r="F219" s="1"/>
      <c r="G219" s="1"/>
      <c r="H219" s="1"/>
      <c r="I219" s="1"/>
      <c r="J219" s="1"/>
      <c r="K219" s="1" t="str">
        <f>IFERROR(__xludf.DUMMYFUNCTION("""COMPUTED_VALUE"""),"Immune")</f>
        <v>Immune</v>
      </c>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row>
    <row r="220">
      <c r="A220" s="1" t="str">
        <f>IFERROR(__xludf.DUMMYFUNCTION("""COMPUTED_VALUE"""),"Flaming Buffalo")</f>
        <v>Flaming Buffalo</v>
      </c>
      <c r="B220" s="1" t="str">
        <f>IFERROR(__xludf.DUMMYFUNCTION("""COMPUTED_VALUE"""),"Immune")</f>
        <v>Immune</v>
      </c>
      <c r="C220" s="1"/>
      <c r="D220" s="1"/>
      <c r="E220" s="1"/>
      <c r="F220" s="1"/>
      <c r="G220" s="1"/>
      <c r="H220" s="1"/>
      <c r="I220" s="1"/>
      <c r="J220" s="1"/>
      <c r="K220" s="1" t="str">
        <f>IFERROR(__xludf.DUMMYFUNCTION("""COMPUTED_VALUE"""),"Immune")</f>
        <v>Immune</v>
      </c>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row>
    <row r="221">
      <c r="A221" s="1" t="str">
        <f>IFERROR(__xludf.DUMMYFUNCTION("""COMPUTED_VALUE"""),"Inferno Tree Walker")</f>
        <v>Inferno Tree Walker</v>
      </c>
      <c r="B221" s="1" t="str">
        <f>IFERROR(__xludf.DUMMYFUNCTION("""COMPUTED_VALUE"""),"Immune")</f>
        <v>Immune</v>
      </c>
      <c r="C221" s="1"/>
      <c r="D221" s="1"/>
      <c r="E221" s="1"/>
      <c r="F221" s="1"/>
      <c r="G221" s="1"/>
      <c r="H221" s="1"/>
      <c r="I221" s="1"/>
      <c r="J221" s="1"/>
      <c r="K221" s="1" t="str">
        <f>IFERROR(__xludf.DUMMYFUNCTION("""COMPUTED_VALUE"""),"Immune")</f>
        <v>Immune</v>
      </c>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row>
    <row r="222">
      <c r="A222" s="1" t="str">
        <f>IFERROR(__xludf.DUMMYFUNCTION("""COMPUTED_VALUE"""),"The Purple Necromancer")</f>
        <v>The Purple Necromancer</v>
      </c>
      <c r="B222" s="1"/>
      <c r="C222" s="1"/>
      <c r="D222" s="1" t="str">
        <f>IFERROR(__xludf.DUMMYFUNCTION("""COMPUTED_VALUE"""),"Immune")</f>
        <v>Immune</v>
      </c>
      <c r="E222" s="1"/>
      <c r="F222" s="1"/>
      <c r="G222" s="1" t="str">
        <f>IFERROR(__xludf.DUMMYFUNCTION("""COMPUTED_VALUE"""),"Immune")</f>
        <v>Immune</v>
      </c>
      <c r="H222" s="1"/>
      <c r="I222" s="1"/>
      <c r="J222" s="1" t="str">
        <f>IFERROR(__xludf.DUMMYFUNCTION("""COMPUTED_VALUE"""),"Immune")</f>
        <v>Immune</v>
      </c>
      <c r="K222" s="1"/>
      <c r="L222" s="1"/>
      <c r="M222" s="1"/>
      <c r="N222" s="1"/>
      <c r="O222" s="1"/>
      <c r="P222" s="1"/>
      <c r="Q222" s="1"/>
      <c r="R222" s="1"/>
      <c r="S222" s="1"/>
      <c r="T222" s="1"/>
      <c r="U222" s="1"/>
      <c r="V222" s="1"/>
      <c r="W222" s="1"/>
      <c r="X222" s="1" t="str">
        <f>IFERROR(__xludf.DUMMYFUNCTION("""COMPUTED_VALUE"""),"Immune")</f>
        <v>Immune</v>
      </c>
      <c r="Y222" s="1"/>
      <c r="Z222" s="1"/>
      <c r="AA222" s="1"/>
      <c r="AB222" s="1"/>
      <c r="AC222" s="1"/>
      <c r="AD222" s="1"/>
      <c r="AE222" s="1"/>
      <c r="AF222" s="1"/>
      <c r="AG222" s="1"/>
      <c r="AH222" s="1"/>
      <c r="AI222" s="1"/>
      <c r="AJ222" s="1"/>
      <c r="AK222" s="1"/>
      <c r="AL222" s="1"/>
    </row>
    <row r="223">
      <c r="A223" s="1" t="str">
        <f>IFERROR(__xludf.DUMMYFUNCTION("""COMPUTED_VALUE"""),"Flaming Monkey")</f>
        <v>Flaming Monkey</v>
      </c>
      <c r="B223" s="1"/>
      <c r="C223" s="1"/>
      <c r="D223" s="1"/>
      <c r="E223" s="1"/>
      <c r="F223" s="1"/>
      <c r="G223" s="1"/>
      <c r="H223" s="1"/>
      <c r="I223" s="1"/>
      <c r="J223" s="1"/>
      <c r="K223" s="1" t="str">
        <f>IFERROR(__xludf.DUMMYFUNCTION("""COMPUTED_VALUE"""),"Immune")</f>
        <v>Immune</v>
      </c>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row>
    <row r="224">
      <c r="A224" s="1" t="str">
        <f>IFERROR(__xludf.DUMMYFUNCTION("""COMPUTED_VALUE"""),"Magma Slime")</f>
        <v>Magma Slime</v>
      </c>
      <c r="B224" s="1" t="str">
        <f>IFERROR(__xludf.DUMMYFUNCTION("""COMPUTED_VALUE"""),"Immune")</f>
        <v>Immune</v>
      </c>
      <c r="C224" s="1"/>
      <c r="D224" s="1"/>
      <c r="E224" s="1"/>
      <c r="F224" s="1"/>
      <c r="G224" s="1"/>
      <c r="H224" s="1"/>
      <c r="I224" s="1"/>
      <c r="J224" s="1"/>
      <c r="K224" s="1" t="str">
        <f>IFERROR(__xludf.DUMMYFUNCTION("""COMPUTED_VALUE"""),"Immune")</f>
        <v>Immune</v>
      </c>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row>
    <row r="225">
      <c r="A225" s="1" t="str">
        <f>IFERROR(__xludf.DUMMYFUNCTION("""COMPUTED_VALUE"""),"Acid Slime")</f>
        <v>Acid Slime</v>
      </c>
      <c r="B225" s="1"/>
      <c r="C225" s="1"/>
      <c r="D225" s="1"/>
      <c r="E225" s="1"/>
      <c r="F225" s="1"/>
      <c r="G225" s="1"/>
      <c r="H225" s="1"/>
      <c r="I225" s="1"/>
      <c r="J225" s="1"/>
      <c r="K225" s="1" t="str">
        <f>IFERROR(__xludf.DUMMYFUNCTION("""COMPUTED_VALUE"""),"Immune")</f>
        <v>Immune</v>
      </c>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row>
    <row r="226">
      <c r="A226" s="1" t="str">
        <f>IFERROR(__xludf.DUMMYFUNCTION("""COMPUTED_VALUE"""),"The Black And White Dragon")</f>
        <v>The Black And White Dragon</v>
      </c>
      <c r="B226" s="1"/>
      <c r="C226" s="1"/>
      <c r="D226" s="1"/>
      <c r="E226" s="1"/>
      <c r="F226" s="1"/>
      <c r="G226" s="1"/>
      <c r="H226" s="1"/>
      <c r="I226" s="1"/>
      <c r="J226" s="1"/>
      <c r="K226" s="1"/>
      <c r="L226" s="1"/>
      <c r="M226" s="1"/>
      <c r="N226" s="1"/>
      <c r="O226" s="1"/>
      <c r="P226" s="1"/>
      <c r="Q226" s="1"/>
      <c r="R226" s="1"/>
      <c r="S226" s="1"/>
      <c r="T226" s="1"/>
      <c r="U226" s="1"/>
      <c r="V226" s="1"/>
      <c r="W226" s="1"/>
      <c r="X226" s="1" t="str">
        <f>IFERROR(__xludf.DUMMYFUNCTION("""COMPUTED_VALUE"""),"Immune")</f>
        <v>Immune</v>
      </c>
      <c r="Y226" s="1" t="str">
        <f>IFERROR(__xludf.DUMMYFUNCTION("""COMPUTED_VALUE"""),"Immune")</f>
        <v>Immune</v>
      </c>
      <c r="Z226" s="1"/>
      <c r="AA226" s="1" t="str">
        <f>IFERROR(__xludf.DUMMYFUNCTION("""COMPUTED_VALUE"""),"Immune")</f>
        <v>Immune</v>
      </c>
      <c r="AB226" s="1"/>
      <c r="AC226" s="1"/>
      <c r="AD226" s="1"/>
      <c r="AE226" s="1"/>
      <c r="AF226" s="1"/>
      <c r="AG226" s="1"/>
      <c r="AH226" s="1"/>
      <c r="AI226" s="1"/>
      <c r="AJ226" s="1"/>
      <c r="AK226" s="1"/>
      <c r="AL226" s="1"/>
    </row>
    <row r="227">
      <c r="A227" s="1" t="str">
        <f>IFERROR(__xludf.DUMMYFUNCTION("""COMPUTED_VALUE"""),"Dio The Time Dragon")</f>
        <v>Dio The Time Dragon</v>
      </c>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row>
    <row r="228">
      <c r="A228" s="1" t="str">
        <f>IFERROR(__xludf.DUMMYFUNCTION("""COMPUTED_VALUE"""),"Seraph")</f>
        <v>Seraph</v>
      </c>
      <c r="B228" s="1"/>
      <c r="C228" s="1"/>
      <c r="D228" s="1"/>
      <c r="E228" s="1"/>
      <c r="F228" s="1" t="str">
        <f>IFERROR(__xludf.DUMMYFUNCTION("""COMPUTED_VALUE"""),"Immune")</f>
        <v>Immune</v>
      </c>
      <c r="G228" s="1"/>
      <c r="H228" s="1" t="str">
        <f>IFERROR(__xludf.DUMMYFUNCTION("""COMPUTED_VALUE"""),"Immune")</f>
        <v>Immune</v>
      </c>
      <c r="I228" s="1" t="str">
        <f>IFERROR(__xludf.DUMMYFUNCTION("""COMPUTED_VALUE"""),"Immune")</f>
        <v>Immune</v>
      </c>
      <c r="J228" s="1"/>
      <c r="K228" s="1"/>
      <c r="L228" s="1"/>
      <c r="M228" s="1"/>
      <c r="N228" s="1"/>
      <c r="O228" s="1"/>
      <c r="P228" s="1"/>
      <c r="Q228" s="1"/>
      <c r="R228" s="1"/>
      <c r="S228" s="1"/>
      <c r="T228" s="1"/>
      <c r="U228" s="1"/>
      <c r="V228" s="1" t="str">
        <f>IFERROR(__xludf.DUMMYFUNCTION("""COMPUTED_VALUE"""),"Immune")</f>
        <v>Immune</v>
      </c>
      <c r="W228" s="1" t="str">
        <f>IFERROR(__xludf.DUMMYFUNCTION("""COMPUTED_VALUE"""),"Immune")</f>
        <v>Immune</v>
      </c>
      <c r="X228" s="1" t="str">
        <f>IFERROR(__xludf.DUMMYFUNCTION("""COMPUTED_VALUE"""),"Immune")</f>
        <v>Immune</v>
      </c>
      <c r="Y228" s="1" t="str">
        <f>IFERROR(__xludf.DUMMYFUNCTION("""COMPUTED_VALUE"""),"Immune")</f>
        <v>Immune</v>
      </c>
      <c r="Z228" s="1"/>
      <c r="AA228" s="1" t="str">
        <f>IFERROR(__xludf.DUMMYFUNCTION("""COMPUTED_VALUE"""),"Immune")</f>
        <v>Immune</v>
      </c>
      <c r="AB228" s="1"/>
      <c r="AC228" s="1"/>
      <c r="AD228" s="1"/>
      <c r="AE228" s="1"/>
      <c r="AF228" s="1"/>
      <c r="AG228" s="1"/>
      <c r="AH228" s="1"/>
      <c r="AI228" s="1"/>
      <c r="AJ228" s="1"/>
      <c r="AK228" s="1"/>
      <c r="AL228" s="1"/>
    </row>
    <row r="229">
      <c r="A229" s="1" t="str">
        <f>IFERROR(__xludf.DUMMYFUNCTION("""COMPUTED_VALUE"""),"Rowboat")</f>
        <v>Rowboat</v>
      </c>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row>
    <row r="230">
      <c r="A230" s="1" t="str">
        <f>IFERROR(__xludf.DUMMYFUNCTION("""COMPUTED_VALUE"""),"Ice Slime")</f>
        <v>Ice Slime</v>
      </c>
      <c r="B230" s="1"/>
      <c r="C230" s="1">
        <f>IFERROR(__xludf.DUMMYFUNCTION("""COMPUTED_VALUE"""),100.0)</f>
        <v>100</v>
      </c>
      <c r="D230" s="1"/>
      <c r="E230" s="1"/>
      <c r="F230" s="1"/>
      <c r="G230" s="1"/>
      <c r="H230" s="1"/>
      <c r="I230" s="1"/>
      <c r="J230" s="1"/>
      <c r="K230" s="1">
        <f>IFERROR(__xludf.DUMMYFUNCTION("""COMPUTED_VALUE"""),100.0)</f>
        <v>100</v>
      </c>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row>
    <row r="231">
      <c r="A231" s="1" t="str">
        <f>IFERROR(__xludf.DUMMYFUNCTION("""COMPUTED_VALUE"""),"Crow")</f>
        <v>Crow</v>
      </c>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row>
    <row r="232">
      <c r="A232" s="1" t="str">
        <f>IFERROR(__xludf.DUMMYFUNCTION("""COMPUTED_VALUE"""),"Fireflies")</f>
        <v>Fireflies</v>
      </c>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row>
    <row r="233">
      <c r="A233" s="1" t="str">
        <f>IFERROR(__xludf.DUMMYFUNCTION("""COMPUTED_VALUE"""),"Lugh")</f>
        <v>Lugh</v>
      </c>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row>
    <row r="234">
      <c r="A234" s="1" t="str">
        <f>IFERROR(__xludf.DUMMYFUNCTION("""COMPUTED_VALUE"""),"Rooster")</f>
        <v>Rooster</v>
      </c>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row>
    <row r="235">
      <c r="A235" s="1" t="str">
        <f>IFERROR(__xludf.DUMMYFUNCTION("""COMPUTED_VALUE"""),"Stag")</f>
        <v>Stag</v>
      </c>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row>
    <row r="236">
      <c r="A236" s="1" t="str">
        <f>IFERROR(__xludf.DUMMYFUNCTION("""COMPUTED_VALUE"""),"Ox")</f>
        <v>Ox</v>
      </c>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row>
    <row r="237">
      <c r="A237" s="1" t="str">
        <f>IFERROR(__xludf.DUMMYFUNCTION("""COMPUTED_VALUE"""),"Boar")</f>
        <v>Boar</v>
      </c>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row>
    <row r="238">
      <c r="A238" s="1" t="str">
        <f>IFERROR(__xludf.DUMMYFUNCTION("""COMPUTED_VALUE"""),"Steed")</f>
        <v>Steed</v>
      </c>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row>
    <row r="239">
      <c r="A239" s="1" t="str">
        <f>IFERROR(__xludf.DUMMYFUNCTION("""COMPUTED_VALUE"""),"Donkey")</f>
        <v>Donkey</v>
      </c>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row>
    <row r="240">
      <c r="A240" s="1" t="str">
        <f>IFERROR(__xludf.DUMMYFUNCTION("""COMPUTED_VALUE"""),"Aonbharr of Manannán")</f>
        <v>Aonbharr of Manannán</v>
      </c>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row>
    <row r="241">
      <c r="A241" s="1" t="str">
        <f>IFERROR(__xludf.DUMMYFUNCTION("""COMPUTED_VALUE"""),"Failinis")</f>
        <v>Failinis</v>
      </c>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row>
    <row r="242">
      <c r="A242" s="1" t="str">
        <f>IFERROR(__xludf.DUMMYFUNCTION("""COMPUTED_VALUE"""),"The Puppet Master")</f>
        <v>The Puppet Master</v>
      </c>
      <c r="B242" s="1"/>
      <c r="C242" s="1"/>
      <c r="D242" s="1"/>
      <c r="E242" s="1"/>
      <c r="F242" s="1"/>
      <c r="G242" s="1" t="str">
        <f>IFERROR(__xludf.DUMMYFUNCTION("""COMPUTED_VALUE"""),"Immune")</f>
        <v>Immune</v>
      </c>
      <c r="H242" s="1" t="str">
        <f>IFERROR(__xludf.DUMMYFUNCTION("""COMPUTED_VALUE"""),"immune")</f>
        <v>immune</v>
      </c>
      <c r="I242" s="1"/>
      <c r="J242" s="1" t="str">
        <f>IFERROR(__xludf.DUMMYFUNCTION("""COMPUTED_VALUE"""),"immune")</f>
        <v>immune</v>
      </c>
      <c r="K242" s="1"/>
      <c r="L242" s="1"/>
      <c r="M242" s="1"/>
      <c r="N242" s="1"/>
      <c r="O242" s="1" t="str">
        <f>IFERROR(__xludf.DUMMYFUNCTION("""COMPUTED_VALUE"""),"Immune")</f>
        <v>Immune</v>
      </c>
      <c r="P242" s="1"/>
      <c r="Q242" s="1" t="str">
        <f>IFERROR(__xludf.DUMMYFUNCTION("""COMPUTED_VALUE"""),"immune")</f>
        <v>immune</v>
      </c>
      <c r="R242" s="1"/>
      <c r="S242" s="1"/>
      <c r="T242" s="1"/>
      <c r="U242" s="1"/>
      <c r="V242" s="1"/>
      <c r="W242" s="1"/>
      <c r="X242" s="1" t="str">
        <f>IFERROR(__xludf.DUMMYFUNCTION("""COMPUTED_VALUE"""),"Immune")</f>
        <v>Immune</v>
      </c>
      <c r="Y242" s="1" t="str">
        <f>IFERROR(__xludf.DUMMYFUNCTION("""COMPUTED_VALUE"""),"Immune")</f>
        <v>Immune</v>
      </c>
      <c r="Z242" s="1"/>
      <c r="AA242" s="1"/>
      <c r="AB242" s="1"/>
      <c r="AC242" s="1"/>
      <c r="AD242" s="1"/>
      <c r="AE242" s="1"/>
      <c r="AF242" s="1"/>
      <c r="AG242" s="1"/>
      <c r="AH242" s="1"/>
      <c r="AI242" s="1"/>
      <c r="AJ242" s="1"/>
      <c r="AK242" s="1"/>
      <c r="AL242" s="1"/>
    </row>
    <row r="243">
      <c r="A243" s="1" t="str">
        <f>IFERROR(__xludf.DUMMYFUNCTION("""COMPUTED_VALUE"""),"Puppet")</f>
        <v>Puppet</v>
      </c>
      <c r="B243" s="1"/>
      <c r="C243" s="1"/>
      <c r="D243" s="1"/>
      <c r="E243" s="1"/>
      <c r="F243" s="1"/>
      <c r="G243" s="1" t="str">
        <f>IFERROR(__xludf.DUMMYFUNCTION("""COMPUTED_VALUE"""),"Immune")</f>
        <v>Immune</v>
      </c>
      <c r="H243" s="1" t="str">
        <f>IFERROR(__xludf.DUMMYFUNCTION("""COMPUTED_VALUE"""),"immune")</f>
        <v>immune</v>
      </c>
      <c r="I243" s="1"/>
      <c r="J243" s="1" t="str">
        <f>IFERROR(__xludf.DUMMYFUNCTION("""COMPUTED_VALUE"""),"immune")</f>
        <v>immune</v>
      </c>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row>
    <row r="244">
      <c r="A244" s="1" t="str">
        <f>IFERROR(__xludf.DUMMYFUNCTION("""COMPUTED_VALUE"""),"Ancient Deer Of The Forest")</f>
        <v>Ancient Deer Of The Forest</v>
      </c>
      <c r="B244" s="1"/>
      <c r="C244" s="1"/>
      <c r="D244" s="1"/>
      <c r="E244" s="1"/>
      <c r="F244" s="1"/>
      <c r="G244" s="1"/>
      <c r="H244" s="1"/>
      <c r="I244" s="1"/>
      <c r="J244" s="1"/>
      <c r="K244" s="1" t="str">
        <f>IFERROR(__xludf.DUMMYFUNCTION("""COMPUTED_VALUE"""),"Immune")</f>
        <v>Immune</v>
      </c>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row>
    <row r="245">
      <c r="A245" s="1" t="str">
        <f>IFERROR(__xludf.DUMMYFUNCTION("""COMPUTED_VALUE"""),"Madem Hagbottom")</f>
        <v>Madem Hagbottom</v>
      </c>
      <c r="B245" s="1"/>
      <c r="C245" s="1"/>
      <c r="D245" s="1"/>
      <c r="E245" s="1"/>
      <c r="F245" s="1"/>
      <c r="G245" s="1" t="str">
        <f>IFERROR(__xludf.DUMMYFUNCTION("""COMPUTED_VALUE"""),"Immune")</f>
        <v>Immune</v>
      </c>
      <c r="H245" s="1"/>
      <c r="I245" s="1"/>
      <c r="J245" s="1" t="str">
        <f>IFERROR(__xludf.DUMMYFUNCTION("""COMPUTED_VALUE"""),"Immune")</f>
        <v>Immune</v>
      </c>
      <c r="K245" s="1"/>
      <c r="L245" s="1"/>
      <c r="M245" s="1"/>
      <c r="N245" s="1"/>
      <c r="O245" s="1" t="str">
        <f>IFERROR(__xludf.DUMMYFUNCTION("""COMPUTED_VALUE"""),"Immune")</f>
        <v>Immune</v>
      </c>
      <c r="P245" s="1" t="str">
        <f>IFERROR(__xludf.DUMMYFUNCTION("""COMPUTED_VALUE"""),"Immune")</f>
        <v>Immune</v>
      </c>
      <c r="Q245" s="1" t="str">
        <f>IFERROR(__xludf.DUMMYFUNCTION("""COMPUTED_VALUE"""),"Immune")</f>
        <v>Immune</v>
      </c>
      <c r="R245" s="1" t="str">
        <f>IFERROR(__xludf.DUMMYFUNCTION("""COMPUTED_VALUE"""),"Immune")</f>
        <v>Immune</v>
      </c>
      <c r="S245" s="1"/>
      <c r="T245" s="1"/>
      <c r="U245" s="1"/>
      <c r="V245" s="1"/>
      <c r="W245" s="1"/>
      <c r="X245" s="1" t="str">
        <f>IFERROR(__xludf.DUMMYFUNCTION("""COMPUTED_VALUE"""),"Immune")</f>
        <v>Immune</v>
      </c>
      <c r="Y245" s="1" t="str">
        <f>IFERROR(__xludf.DUMMYFUNCTION("""COMPUTED_VALUE"""),"Immune")</f>
        <v>Immune</v>
      </c>
      <c r="Z245" s="1"/>
      <c r="AA245" s="1" t="str">
        <f>IFERROR(__xludf.DUMMYFUNCTION("""COMPUTED_VALUE"""),"Immune")</f>
        <v>Immune</v>
      </c>
      <c r="AB245" s="1"/>
      <c r="AC245" s="1"/>
      <c r="AD245" s="1"/>
      <c r="AE245" s="1"/>
      <c r="AF245" s="1"/>
      <c r="AG245" s="1"/>
      <c r="AH245" s="1"/>
      <c r="AI245" s="1"/>
      <c r="AJ245" s="1"/>
      <c r="AK245" s="1"/>
      <c r="AL245" s="1"/>
    </row>
    <row r="246">
      <c r="A246" s="1" t="str">
        <f>IFERROR(__xludf.DUMMYFUNCTION("""COMPUTED_VALUE"""),"Jack Haggerson")</f>
        <v>Jack Haggerson</v>
      </c>
      <c r="B246" s="1"/>
      <c r="C246" s="1"/>
      <c r="D246" s="1"/>
      <c r="E246" s="1"/>
      <c r="F246" s="1"/>
      <c r="G246" s="1" t="str">
        <f>IFERROR(__xludf.DUMMYFUNCTION("""COMPUTED_VALUE"""),"Immune")</f>
        <v>Immune</v>
      </c>
      <c r="H246" s="1"/>
      <c r="I246" s="1"/>
      <c r="J246" s="1" t="str">
        <f>IFERROR(__xludf.DUMMYFUNCTION("""COMPUTED_VALUE"""),"Immune")</f>
        <v>Immune</v>
      </c>
      <c r="K246" s="1"/>
      <c r="L246" s="1"/>
      <c r="M246" s="1"/>
      <c r="N246" s="1"/>
      <c r="O246" s="1" t="str">
        <f>IFERROR(__xludf.DUMMYFUNCTION("""COMPUTED_VALUE"""),"Immune")</f>
        <v>Immune</v>
      </c>
      <c r="P246" s="1" t="str">
        <f>IFERROR(__xludf.DUMMYFUNCTION("""COMPUTED_VALUE"""),"Immune")</f>
        <v>Immune</v>
      </c>
      <c r="Q246" s="1" t="str">
        <f>IFERROR(__xludf.DUMMYFUNCTION("""COMPUTED_VALUE"""),"Immune")</f>
        <v>Immune</v>
      </c>
      <c r="R246" s="1" t="str">
        <f>IFERROR(__xludf.DUMMYFUNCTION("""COMPUTED_VALUE"""),"Immune")</f>
        <v>Immune</v>
      </c>
      <c r="S246" s="1"/>
      <c r="T246" s="1"/>
      <c r="U246" s="1"/>
      <c r="V246" s="1"/>
      <c r="W246" s="1"/>
      <c r="X246" s="1" t="str">
        <f>IFERROR(__xludf.DUMMYFUNCTION("""COMPUTED_VALUE"""),"Immune")</f>
        <v>Immune</v>
      </c>
      <c r="Y246" s="1" t="str">
        <f>IFERROR(__xludf.DUMMYFUNCTION("""COMPUTED_VALUE"""),"Immune")</f>
        <v>Immune</v>
      </c>
      <c r="Z246" s="1"/>
      <c r="AA246" s="1" t="str">
        <f>IFERROR(__xludf.DUMMYFUNCTION("""COMPUTED_VALUE"""),"Immune")</f>
        <v>Immune</v>
      </c>
      <c r="AB246" s="1"/>
      <c r="AC246" s="1"/>
      <c r="AD246" s="1"/>
      <c r="AE246" s="1"/>
      <c r="AF246" s="1"/>
      <c r="AG246" s="1"/>
      <c r="AH246" s="1"/>
      <c r="AI246" s="1"/>
      <c r="AJ246" s="1"/>
      <c r="AK246" s="1"/>
      <c r="AL246" s="1"/>
    </row>
    <row r="247">
      <c r="A247" s="1" t="str">
        <f>IFERROR(__xludf.DUMMYFUNCTION("""COMPUTED_VALUE"""),"Mod ""The Evil Seahag From Hagstown""")</f>
        <v>Mod "The Evil Seahag From Hagstown"</v>
      </c>
      <c r="B247" s="1"/>
      <c r="C247" s="1"/>
      <c r="D247" s="1"/>
      <c r="E247" s="1"/>
      <c r="F247" s="1"/>
      <c r="G247" s="1" t="str">
        <f>IFERROR(__xludf.DUMMYFUNCTION("""COMPUTED_VALUE"""),"Immune")</f>
        <v>Immune</v>
      </c>
      <c r="H247" s="1"/>
      <c r="I247" s="1"/>
      <c r="J247" s="1" t="str">
        <f>IFERROR(__xludf.DUMMYFUNCTION("""COMPUTED_VALUE"""),"Immune")</f>
        <v>Immune</v>
      </c>
      <c r="K247" s="1"/>
      <c r="L247" s="1"/>
      <c r="M247" s="1"/>
      <c r="N247" s="1"/>
      <c r="O247" s="1" t="str">
        <f>IFERROR(__xludf.DUMMYFUNCTION("""COMPUTED_VALUE"""),"Immune")</f>
        <v>Immune</v>
      </c>
      <c r="P247" s="1" t="str">
        <f>IFERROR(__xludf.DUMMYFUNCTION("""COMPUTED_VALUE"""),"Immune")</f>
        <v>Immune</v>
      </c>
      <c r="Q247" s="1" t="str">
        <f>IFERROR(__xludf.DUMMYFUNCTION("""COMPUTED_VALUE"""),"Immune")</f>
        <v>Immune</v>
      </c>
      <c r="R247" s="1" t="str">
        <f>IFERROR(__xludf.DUMMYFUNCTION("""COMPUTED_VALUE"""),"Immune")</f>
        <v>Immune</v>
      </c>
      <c r="S247" s="1"/>
      <c r="T247" s="1"/>
      <c r="U247" s="1"/>
      <c r="V247" s="1"/>
      <c r="W247" s="1"/>
      <c r="X247" s="1" t="str">
        <f>IFERROR(__xludf.DUMMYFUNCTION("""COMPUTED_VALUE"""),"Immune")</f>
        <v>Immune</v>
      </c>
      <c r="Y247" s="1" t="str">
        <f>IFERROR(__xludf.DUMMYFUNCTION("""COMPUTED_VALUE"""),"Immune")</f>
        <v>Immune</v>
      </c>
      <c r="Z247" s="1"/>
      <c r="AA247" s="1" t="str">
        <f>IFERROR(__xludf.DUMMYFUNCTION("""COMPUTED_VALUE"""),"Immune")</f>
        <v>Immune</v>
      </c>
      <c r="AB247" s="1"/>
      <c r="AC247" s="1"/>
      <c r="AD247" s="1"/>
      <c r="AE247" s="1"/>
      <c r="AF247" s="1"/>
      <c r="AG247" s="1"/>
      <c r="AH247" s="1"/>
      <c r="AI247" s="1"/>
      <c r="AJ247" s="1"/>
      <c r="AK247" s="1"/>
      <c r="AL247" s="1"/>
    </row>
    <row r="248">
      <c r="A248" s="1" t="str">
        <f>IFERROR(__xludf.DUMMYFUNCTION("""COMPUTED_VALUE"""),"The Grim Reaper")</f>
        <v>The Grim Reaper</v>
      </c>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f>IFERROR(__xludf.DUMMYFUNCTION("""COMPUTED_VALUE"""),100.0)</f>
        <v>100</v>
      </c>
      <c r="AC248" s="1"/>
      <c r="AD248" s="1"/>
      <c r="AE248" s="1"/>
      <c r="AF248" s="1"/>
      <c r="AG248" s="1"/>
      <c r="AH248" s="1"/>
      <c r="AI248" s="1"/>
      <c r="AJ248" s="1"/>
      <c r="AK248" s="1"/>
      <c r="AL248" s="1"/>
    </row>
    <row r="249">
      <c r="A249" s="1" t="str">
        <f>IFERROR(__xludf.DUMMYFUNCTION("""COMPUTED_VALUE"""),"Vampire Lord")</f>
        <v>Vampire Lord</v>
      </c>
      <c r="B249" s="1"/>
      <c r="C249" s="1"/>
      <c r="D249" s="1"/>
      <c r="E249" s="1"/>
      <c r="F249" s="1"/>
      <c r="G249" s="1" t="str">
        <f>IFERROR(__xludf.DUMMYFUNCTION("""COMPUTED_VALUE"""),"Immune")</f>
        <v>Immune</v>
      </c>
      <c r="H249" s="1"/>
      <c r="I249" s="1"/>
      <c r="J249" s="1"/>
      <c r="K249" s="1"/>
      <c r="L249" s="1"/>
      <c r="M249" s="1"/>
      <c r="N249" s="1"/>
      <c r="O249" s="1"/>
      <c r="P249" s="1"/>
      <c r="Q249" s="1"/>
      <c r="R249" s="1"/>
      <c r="S249" s="1"/>
      <c r="T249" s="1"/>
      <c r="U249" s="1"/>
      <c r="V249" s="1"/>
      <c r="W249" s="1"/>
      <c r="X249" s="1" t="str">
        <f>IFERROR(__xludf.DUMMYFUNCTION("""COMPUTED_VALUE"""),"Immune")</f>
        <v>Immune</v>
      </c>
      <c r="Y249" s="1"/>
      <c r="Z249" s="1"/>
      <c r="AA249" s="1"/>
      <c r="AB249" s="1"/>
      <c r="AC249" s="1"/>
      <c r="AD249" s="1"/>
      <c r="AE249" s="1"/>
      <c r="AF249" s="1"/>
      <c r="AG249" s="1"/>
      <c r="AH249" s="1"/>
      <c r="AI249" s="1"/>
      <c r="AJ249" s="1"/>
      <c r="AK249" s="1"/>
      <c r="AL249" s="1"/>
    </row>
    <row r="250">
      <c r="A250" s="1" t="str">
        <f>IFERROR(__xludf.DUMMYFUNCTION("""COMPUTED_VALUE"""),"Titonium The Destroyer")</f>
        <v>Titonium The Destroyer</v>
      </c>
      <c r="B250" s="1"/>
      <c r="C250" s="1"/>
      <c r="D250" s="1"/>
      <c r="E250" s="1"/>
      <c r="F250" s="1"/>
      <c r="G250" s="1"/>
      <c r="H250" s="1"/>
      <c r="I250" s="1"/>
      <c r="J250" s="1"/>
      <c r="K250" s="1"/>
      <c r="L250" s="1"/>
      <c r="M250" s="1"/>
      <c r="N250" s="1"/>
      <c r="O250" s="1"/>
      <c r="P250" s="1"/>
      <c r="Q250" s="1"/>
      <c r="R250" s="1"/>
      <c r="S250" s="1"/>
      <c r="T250" s="1"/>
      <c r="U250" s="1"/>
      <c r="V250" s="1"/>
      <c r="W250" s="1"/>
      <c r="X250" s="1" t="str">
        <f>IFERROR(__xludf.DUMMYFUNCTION("""COMPUTED_VALUE"""),"Immune")</f>
        <v>Immune</v>
      </c>
      <c r="Y250" s="1"/>
      <c r="Z250" s="1"/>
      <c r="AA250" s="1"/>
      <c r="AB250" s="1"/>
      <c r="AC250" s="1"/>
      <c r="AD250" s="1"/>
      <c r="AE250" s="1"/>
      <c r="AF250" s="1"/>
      <c r="AG250" s="1"/>
      <c r="AH250" s="1"/>
      <c r="AI250" s="1"/>
      <c r="AJ250" s="1"/>
      <c r="AK250" s="1"/>
      <c r="AL250" s="1"/>
    </row>
    <row r="251">
      <c r="A251" s="1" t="str">
        <f>IFERROR(__xludf.DUMMYFUNCTION("""COMPUTED_VALUE"""),"Frost Dragon")</f>
        <v>Frost Dragon</v>
      </c>
      <c r="B251" s="1"/>
      <c r="C251" s="1" t="str">
        <f>IFERROR(__xludf.DUMMYFUNCTION("""COMPUTED_VALUE"""),"Immune")</f>
        <v>Immune</v>
      </c>
      <c r="D251" s="1"/>
      <c r="E251" s="1"/>
      <c r="F251" s="1"/>
      <c r="G251" s="1"/>
      <c r="H251" s="1"/>
      <c r="I251" s="1"/>
      <c r="J251" s="1"/>
      <c r="K251" s="1"/>
      <c r="L251" s="1"/>
      <c r="M251" s="1"/>
      <c r="N251" s="1"/>
      <c r="O251" s="1"/>
      <c r="P251" s="1"/>
      <c r="Q251" s="1"/>
      <c r="R251" s="1"/>
      <c r="S251" s="1"/>
      <c r="T251" s="1"/>
      <c r="U251" s="1"/>
      <c r="V251" s="1"/>
      <c r="W251" s="1"/>
      <c r="X251" s="1" t="str">
        <f>IFERROR(__xludf.DUMMYFUNCTION("""COMPUTED_VALUE"""),"Immune")</f>
        <v>Immune</v>
      </c>
      <c r="Y251" s="1" t="str">
        <f>IFERROR(__xludf.DUMMYFUNCTION("""COMPUTED_VALUE"""),"Immune")</f>
        <v>Immune</v>
      </c>
      <c r="Z251" s="1"/>
      <c r="AA251" s="1" t="str">
        <f>IFERROR(__xludf.DUMMYFUNCTION("""COMPUTED_VALUE"""),"Immune")</f>
        <v>Immune</v>
      </c>
      <c r="AB251" s="1"/>
      <c r="AC251" s="1"/>
      <c r="AD251" s="1"/>
      <c r="AE251" s="1"/>
      <c r="AF251" s="1"/>
      <c r="AG251" s="1"/>
      <c r="AH251" s="1"/>
      <c r="AI251" s="1"/>
      <c r="AJ251" s="1"/>
      <c r="AK251" s="1"/>
      <c r="AL251" s="1"/>
    </row>
    <row r="252">
      <c r="A252" s="1" t="str">
        <f>IFERROR(__xludf.DUMMYFUNCTION("""COMPUTED_VALUE"""),"Fire Dragon")</f>
        <v>Fire Dragon</v>
      </c>
      <c r="B252" s="1" t="str">
        <f>IFERROR(__xludf.DUMMYFUNCTION("""COMPUTED_VALUE"""),"Immune")</f>
        <v>Immune</v>
      </c>
      <c r="C252" s="1"/>
      <c r="D252" s="1"/>
      <c r="E252" s="1"/>
      <c r="F252" s="1"/>
      <c r="G252" s="1"/>
      <c r="H252" s="1"/>
      <c r="I252" s="1"/>
      <c r="J252" s="1"/>
      <c r="K252" s="1" t="str">
        <f>IFERROR(__xludf.DUMMYFUNCTION("""COMPUTED_VALUE"""),"Immune")</f>
        <v>Immune</v>
      </c>
      <c r="L252" s="1"/>
      <c r="M252" s="1"/>
      <c r="N252" s="1"/>
      <c r="O252" s="1"/>
      <c r="P252" s="1"/>
      <c r="Q252" s="1"/>
      <c r="R252" s="1"/>
      <c r="S252" s="1"/>
      <c r="T252" s="1"/>
      <c r="U252" s="1"/>
      <c r="V252" s="1"/>
      <c r="W252" s="1"/>
      <c r="X252" s="1" t="str">
        <f>IFERROR(__xludf.DUMMYFUNCTION("""COMPUTED_VALUE"""),"Immune")</f>
        <v>Immune</v>
      </c>
      <c r="Y252" s="1" t="str">
        <f>IFERROR(__xludf.DUMMYFUNCTION("""COMPUTED_VALUE"""),"Immune")</f>
        <v>Immune</v>
      </c>
      <c r="Z252" s="1"/>
      <c r="AA252" s="1" t="str">
        <f>IFERROR(__xludf.DUMMYFUNCTION("""COMPUTED_VALUE"""),"Immune")</f>
        <v>Immune</v>
      </c>
      <c r="AB252" s="1"/>
      <c r="AC252" s="1"/>
      <c r="AD252" s="1"/>
      <c r="AE252" s="1"/>
      <c r="AF252" s="1"/>
      <c r="AG252" s="1"/>
      <c r="AH252" s="1"/>
      <c r="AI252" s="1"/>
      <c r="AJ252" s="1"/>
      <c r="AK252" s="1"/>
      <c r="AL252" s="1"/>
    </row>
    <row r="253">
      <c r="A253" s="1" t="str">
        <f>IFERROR(__xludf.DUMMYFUNCTION("""COMPUTED_VALUE"""),"Astral Dragon")</f>
        <v>Astral Dragon</v>
      </c>
      <c r="B253" s="1"/>
      <c r="C253" s="1"/>
      <c r="D253" s="1"/>
      <c r="E253" s="1"/>
      <c r="F253" s="1"/>
      <c r="G253" s="1"/>
      <c r="H253" s="1"/>
      <c r="I253" s="1"/>
      <c r="J253" s="1"/>
      <c r="K253" s="1"/>
      <c r="L253" s="1"/>
      <c r="M253" s="1"/>
      <c r="N253" s="1"/>
      <c r="O253" s="1"/>
      <c r="P253" s="1"/>
      <c r="Q253" s="1"/>
      <c r="R253" s="1"/>
      <c r="S253" s="1"/>
      <c r="T253" s="1"/>
      <c r="U253" s="1"/>
      <c r="V253" s="1" t="str">
        <f>IFERROR(__xludf.DUMMYFUNCTION("""COMPUTED_VALUE"""),"Immune")</f>
        <v>Immune</v>
      </c>
      <c r="W253" s="1"/>
      <c r="X253" s="1" t="str">
        <f>IFERROR(__xludf.DUMMYFUNCTION("""COMPUTED_VALUE"""),"Immune")</f>
        <v>Immune</v>
      </c>
      <c r="Y253" s="1" t="str">
        <f>IFERROR(__xludf.DUMMYFUNCTION("""COMPUTED_VALUE"""),"Immune")</f>
        <v>Immune</v>
      </c>
      <c r="Z253" s="1"/>
      <c r="AA253" s="1" t="str">
        <f>IFERROR(__xludf.DUMMYFUNCTION("""COMPUTED_VALUE"""),"Immune")</f>
        <v>Immune</v>
      </c>
      <c r="AB253" s="1"/>
      <c r="AC253" s="1"/>
      <c r="AD253" s="1"/>
      <c r="AE253" s="1"/>
      <c r="AF253" s="1"/>
      <c r="AG253" s="1"/>
      <c r="AH253" s="1"/>
      <c r="AI253" s="1"/>
      <c r="AJ253" s="1"/>
      <c r="AK253" s="1"/>
      <c r="AL253" s="1"/>
    </row>
    <row r="254">
      <c r="A254" s="1" t="str">
        <f>IFERROR(__xludf.DUMMYFUNCTION("""COMPUTED_VALUE"""),"Celestial Dragon")</f>
        <v>Celestial Dragon</v>
      </c>
      <c r="B254" s="1"/>
      <c r="C254" s="1"/>
      <c r="D254" s="1"/>
      <c r="E254" s="1"/>
      <c r="F254" s="1"/>
      <c r="G254" s="1"/>
      <c r="H254" s="1"/>
      <c r="I254" s="1"/>
      <c r="J254" s="1"/>
      <c r="K254" s="1"/>
      <c r="L254" s="1"/>
      <c r="M254" s="1"/>
      <c r="N254" s="1"/>
      <c r="O254" s="1"/>
      <c r="P254" s="1"/>
      <c r="Q254" s="1"/>
      <c r="R254" s="1"/>
      <c r="S254" s="1"/>
      <c r="T254" s="1"/>
      <c r="U254" s="1"/>
      <c r="V254" s="1"/>
      <c r="W254" s="1" t="str">
        <f>IFERROR(__xludf.DUMMYFUNCTION("""COMPUTED_VALUE"""),"Immune")</f>
        <v>Immune</v>
      </c>
      <c r="X254" s="1" t="str">
        <f>IFERROR(__xludf.DUMMYFUNCTION("""COMPUTED_VALUE"""),"Immune")</f>
        <v>Immune</v>
      </c>
      <c r="Y254" s="1" t="str">
        <f>IFERROR(__xludf.DUMMYFUNCTION("""COMPUTED_VALUE"""),"Immune")</f>
        <v>Immune</v>
      </c>
      <c r="Z254" s="1"/>
      <c r="AA254" s="1" t="str">
        <f>IFERROR(__xludf.DUMMYFUNCTION("""COMPUTED_VALUE"""),"Immune")</f>
        <v>Immune</v>
      </c>
      <c r="AB254" s="1"/>
      <c r="AC254" s="1"/>
      <c r="AD254" s="1"/>
      <c r="AE254" s="1"/>
      <c r="AF254" s="1"/>
      <c r="AG254" s="1"/>
      <c r="AH254" s="1"/>
      <c r="AI254" s="1"/>
      <c r="AJ254" s="1"/>
      <c r="AK254" s="1"/>
      <c r="AL254" s="1"/>
    </row>
    <row r="255">
      <c r="A255" s="1" t="str">
        <f>IFERROR(__xludf.DUMMYFUNCTION("""COMPUTED_VALUE"""),"Spirit Dragon")</f>
        <v>Spirit Dragon</v>
      </c>
      <c r="B255" s="1"/>
      <c r="C255" s="1"/>
      <c r="D255" s="1"/>
      <c r="E255" s="1"/>
      <c r="F255" s="1"/>
      <c r="G255" s="1" t="str">
        <f>IFERROR(__xludf.DUMMYFUNCTION("""COMPUTED_VALUE"""),"Immune")</f>
        <v>Immune</v>
      </c>
      <c r="H255" s="1"/>
      <c r="I255" s="1"/>
      <c r="J255" s="1"/>
      <c r="K255" s="1"/>
      <c r="L255" s="1"/>
      <c r="M255" s="1"/>
      <c r="N255" s="1"/>
      <c r="O255" s="1"/>
      <c r="P255" s="1"/>
      <c r="Q255" s="1"/>
      <c r="R255" s="1"/>
      <c r="S255" s="1"/>
      <c r="T255" s="1"/>
      <c r="U255" s="1"/>
      <c r="V255" s="1"/>
      <c r="W255" s="1"/>
      <c r="X255" s="1" t="str">
        <f>IFERROR(__xludf.DUMMYFUNCTION("""COMPUTED_VALUE"""),"Immune")</f>
        <v>Immune</v>
      </c>
      <c r="Y255" s="1" t="str">
        <f>IFERROR(__xludf.DUMMYFUNCTION("""COMPUTED_VALUE"""),"Immune")</f>
        <v>Immune</v>
      </c>
      <c r="Z255" s="1"/>
      <c r="AA255" s="1" t="str">
        <f>IFERROR(__xludf.DUMMYFUNCTION("""COMPUTED_VALUE"""),"Immune")</f>
        <v>Immune</v>
      </c>
      <c r="AB255" s="1"/>
      <c r="AC255" s="1"/>
      <c r="AD255" s="1"/>
      <c r="AE255" s="1"/>
      <c r="AF255" s="1"/>
      <c r="AG255" s="1"/>
      <c r="AH255" s="1"/>
      <c r="AI255" s="1"/>
      <c r="AJ255" s="1"/>
      <c r="AK255" s="1"/>
      <c r="AL255" s="1"/>
    </row>
    <row r="256">
      <c r="A256" s="1" t="str">
        <f>IFERROR(__xludf.DUMMYFUNCTION("""COMPUTED_VALUE"""),"Soul Dragon")</f>
        <v>Soul Dragon</v>
      </c>
      <c r="B256" s="1"/>
      <c r="C256" s="1"/>
      <c r="D256" s="1"/>
      <c r="E256" s="1"/>
      <c r="F256" s="1"/>
      <c r="G256" s="1" t="str">
        <f>IFERROR(__xludf.DUMMYFUNCTION("""COMPUTED_VALUE"""),"Immune")</f>
        <v>Immune</v>
      </c>
      <c r="H256" s="1"/>
      <c r="I256" s="1"/>
      <c r="J256" s="1"/>
      <c r="K256" s="1"/>
      <c r="L256" s="1"/>
      <c r="M256" s="1"/>
      <c r="N256" s="1"/>
      <c r="O256" s="1"/>
      <c r="P256" s="1"/>
      <c r="Q256" s="1"/>
      <c r="R256" s="1"/>
      <c r="S256" s="1"/>
      <c r="T256" s="1"/>
      <c r="U256" s="1"/>
      <c r="V256" s="1"/>
      <c r="W256" s="1"/>
      <c r="X256" s="1" t="str">
        <f>IFERROR(__xludf.DUMMYFUNCTION("""COMPUTED_VALUE"""),"Immune")</f>
        <v>Immune</v>
      </c>
      <c r="Y256" s="1" t="str">
        <f>IFERROR(__xludf.DUMMYFUNCTION("""COMPUTED_VALUE"""),"Immune")</f>
        <v>Immune</v>
      </c>
      <c r="Z256" s="1"/>
      <c r="AA256" s="1" t="str">
        <f>IFERROR(__xludf.DUMMYFUNCTION("""COMPUTED_VALUE"""),"Immune")</f>
        <v>Immune</v>
      </c>
      <c r="AB256" s="1"/>
      <c r="AC256" s="1"/>
      <c r="AD256" s="1"/>
      <c r="AE256" s="1"/>
      <c r="AF256" s="1"/>
      <c r="AG256" s="1"/>
      <c r="AH256" s="1"/>
      <c r="AI256" s="1"/>
      <c r="AJ256" s="1"/>
      <c r="AK256" s="1"/>
      <c r="AL256" s="1"/>
    </row>
    <row r="257">
      <c r="A257" s="1" t="str">
        <f>IFERROR(__xludf.DUMMYFUNCTION("""COMPUTED_VALUE"""),"Aquatic Serpent")</f>
        <v>Aquatic Serpent</v>
      </c>
      <c r="B257" s="1" t="str">
        <f>IFERROR(__xludf.DUMMYFUNCTION("""COMPUTED_VALUE"""),"Immune")</f>
        <v>Immune</v>
      </c>
      <c r="C257" s="1" t="str">
        <f>IFERROR(__xludf.DUMMYFUNCTION("""COMPUTED_VALUE"""),"Immune")</f>
        <v>Immune</v>
      </c>
      <c r="D257" s="1"/>
      <c r="E257" s="1"/>
      <c r="F257" s="1"/>
      <c r="G257" s="1"/>
      <c r="H257" s="1"/>
      <c r="I257" s="1"/>
      <c r="J257" s="1"/>
      <c r="K257" s="1"/>
      <c r="L257" s="1"/>
      <c r="M257" s="1"/>
      <c r="N257" s="1"/>
      <c r="O257" s="1"/>
      <c r="P257" s="1"/>
      <c r="Q257" s="1"/>
      <c r="R257" s="1"/>
      <c r="S257" s="1"/>
      <c r="T257" s="1"/>
      <c r="U257" s="1"/>
      <c r="V257" s="1"/>
      <c r="W257" s="1"/>
      <c r="X257" s="1" t="str">
        <f>IFERROR(__xludf.DUMMYFUNCTION("""COMPUTED_VALUE"""),"Immune")</f>
        <v>Immune</v>
      </c>
      <c r="Y257" s="1" t="str">
        <f>IFERROR(__xludf.DUMMYFUNCTION("""COMPUTED_VALUE"""),"Immune")</f>
        <v>Immune</v>
      </c>
      <c r="Z257" s="1"/>
      <c r="AA257" s="1" t="str">
        <f>IFERROR(__xludf.DUMMYFUNCTION("""COMPUTED_VALUE"""),"Immune")</f>
        <v>Immune</v>
      </c>
      <c r="AB257" s="1"/>
      <c r="AC257" s="1"/>
      <c r="AD257" s="1"/>
      <c r="AE257" s="1"/>
      <c r="AF257" s="1"/>
      <c r="AG257" s="1"/>
      <c r="AH257" s="1"/>
      <c r="AI257" s="1"/>
      <c r="AJ257" s="1"/>
      <c r="AK257" s="1"/>
      <c r="AL257" s="1"/>
    </row>
    <row r="258">
      <c r="A258" s="1" t="str">
        <f>IFERROR(__xludf.DUMMYFUNCTION("""COMPUTED_VALUE"""),"Dark Dragon")</f>
        <v>Dark Dragon</v>
      </c>
      <c r="B258" s="1"/>
      <c r="C258" s="1"/>
      <c r="D258" s="1"/>
      <c r="E258" s="1"/>
      <c r="F258" s="1"/>
      <c r="G258" s="1" t="str">
        <f>IFERROR(__xludf.DUMMYFUNCTION("""COMPUTED_VALUE"""),"Immune")</f>
        <v>Immune</v>
      </c>
      <c r="H258" s="1"/>
      <c r="I258" s="1"/>
      <c r="J258" s="1"/>
      <c r="K258" s="1"/>
      <c r="L258" s="1"/>
      <c r="M258" s="1"/>
      <c r="N258" s="1"/>
      <c r="O258" s="1"/>
      <c r="P258" s="1"/>
      <c r="Q258" s="1"/>
      <c r="R258" s="1"/>
      <c r="S258" s="1"/>
      <c r="T258" s="1"/>
      <c r="U258" s="1"/>
      <c r="V258" s="1"/>
      <c r="W258" s="1"/>
      <c r="X258" s="1" t="str">
        <f>IFERROR(__xludf.DUMMYFUNCTION("""COMPUTED_VALUE"""),"Immune")</f>
        <v>Immune</v>
      </c>
      <c r="Y258" s="1" t="str">
        <f>IFERROR(__xludf.DUMMYFUNCTION("""COMPUTED_VALUE"""),"Immune")</f>
        <v>Immune</v>
      </c>
      <c r="Z258" s="1"/>
      <c r="AA258" s="1" t="str">
        <f>IFERROR(__xludf.DUMMYFUNCTION("""COMPUTED_VALUE"""),"Immune")</f>
        <v>Immune</v>
      </c>
      <c r="AB258" s="1"/>
      <c r="AC258" s="1"/>
      <c r="AD258" s="1"/>
      <c r="AE258" s="1"/>
      <c r="AF258" s="1"/>
      <c r="AG258" s="1"/>
      <c r="AH258" s="1"/>
      <c r="AI258" s="1"/>
      <c r="AJ258" s="1"/>
      <c r="AK258" s="1"/>
      <c r="AL258" s="1"/>
    </row>
    <row r="259">
      <c r="A259" s="1"/>
      <c r="B259" s="1"/>
      <c r="C259" s="1"/>
      <c r="D259" s="1"/>
      <c r="E259" s="1"/>
      <c r="F259" s="1"/>
      <c r="G259" s="1"/>
      <c r="H259" s="1"/>
      <c r="I259" s="1"/>
      <c r="J259" s="1"/>
      <c r="K259" s="1" t="str">
        <f>IFERROR(__xludf.DUMMYFUNCTION("""COMPUTED_VALUE"""),"Immune")</f>
        <v>Immune</v>
      </c>
      <c r="L259" s="1"/>
      <c r="M259" s="1"/>
      <c r="N259" s="1"/>
      <c r="O259" s="1"/>
      <c r="P259" s="1"/>
      <c r="Q259" s="1"/>
      <c r="R259" s="1"/>
      <c r="S259" s="1"/>
      <c r="T259" s="1"/>
      <c r="U259" s="1"/>
      <c r="V259" s="1"/>
      <c r="W259" s="1"/>
      <c r="X259" s="1" t="str">
        <f>IFERROR(__xludf.DUMMYFUNCTION("""COMPUTED_VALUE"""),"Immune")</f>
        <v>Immune</v>
      </c>
      <c r="Y259" s="1" t="str">
        <f>IFERROR(__xludf.DUMMYFUNCTION("""COMPUTED_VALUE"""),"Immune")</f>
        <v>Immune</v>
      </c>
      <c r="Z259" s="1"/>
      <c r="AA259" s="1" t="str">
        <f>IFERROR(__xludf.DUMMYFUNCTION("""COMPUTED_VALUE"""),"Immune")</f>
        <v>Immune</v>
      </c>
      <c r="AB259" s="1"/>
      <c r="AC259" s="1"/>
      <c r="AD259" s="1"/>
      <c r="AE259" s="1"/>
      <c r="AF259" s="1"/>
      <c r="AG259" s="1"/>
      <c r="AH259" s="1"/>
      <c r="AI259" s="1"/>
      <c r="AJ259" s="1"/>
      <c r="AK259" s="1"/>
      <c r="AL259" s="1"/>
    </row>
    <row r="260">
      <c r="A260" s="1"/>
      <c r="B260" s="1" t="str">
        <f>IFERROR(__xludf.DUMMYFUNCTION("""COMPUTED_VALUE"""),"Immune")</f>
        <v>Immune</v>
      </c>
      <c r="C260" s="1"/>
      <c r="D260" s="1"/>
      <c r="E260" s="1"/>
      <c r="F260" s="1"/>
      <c r="G260" s="1"/>
      <c r="H260" s="1"/>
      <c r="I260" s="1"/>
      <c r="J260" s="1"/>
      <c r="K260" s="1"/>
      <c r="L260" s="1"/>
      <c r="M260" s="1"/>
      <c r="N260" s="1"/>
      <c r="O260" s="1"/>
      <c r="P260" s="1"/>
      <c r="Q260" s="1"/>
      <c r="R260" s="1"/>
      <c r="S260" s="1"/>
      <c r="T260" s="1"/>
      <c r="U260" s="1"/>
      <c r="V260" s="1"/>
      <c r="W260" s="1"/>
      <c r="X260" s="1" t="str">
        <f>IFERROR(__xludf.DUMMYFUNCTION("""COMPUTED_VALUE"""),"Immune")</f>
        <v>Immune</v>
      </c>
      <c r="Y260" s="1" t="str">
        <f>IFERROR(__xludf.DUMMYFUNCTION("""COMPUTED_VALUE"""),"Immune")</f>
        <v>Immune</v>
      </c>
      <c r="Z260" s="1"/>
      <c r="AA260" s="1" t="str">
        <f>IFERROR(__xludf.DUMMYFUNCTION("""COMPUTED_VALUE"""),"Immune")</f>
        <v>Immune</v>
      </c>
      <c r="AB260" s="1"/>
      <c r="AC260" s="1"/>
      <c r="AD260" s="1"/>
      <c r="AE260" s="1"/>
      <c r="AF260" s="1"/>
      <c r="AG260" s="1"/>
      <c r="AH260" s="1"/>
      <c r="AI260" s="1"/>
      <c r="AJ260" s="1"/>
      <c r="AK260" s="1"/>
      <c r="AL260" s="1"/>
    </row>
    <row r="261">
      <c r="A261" s="1" t="str">
        <f>IFERROR(__xludf.DUMMYFUNCTION("""COMPUTED_VALUE"""),"Volcanic Void Dragon")</f>
        <v>Volcanic Void Dragon</v>
      </c>
      <c r="B261" s="1"/>
      <c r="C261" s="1"/>
      <c r="D261" s="1"/>
      <c r="E261" s="1"/>
      <c r="F261" s="1"/>
      <c r="G261" s="1"/>
      <c r="H261" s="1"/>
      <c r="I261" s="1"/>
      <c r="J261" s="1"/>
      <c r="K261" s="1" t="str">
        <f>IFERROR(__xludf.DUMMYFUNCTION("""COMPUTED_VALUE"""),"Immune")</f>
        <v>Immune</v>
      </c>
      <c r="L261" s="1"/>
      <c r="M261" s="1"/>
      <c r="N261" s="1"/>
      <c r="O261" s="1"/>
      <c r="P261" s="1"/>
      <c r="Q261" s="1"/>
      <c r="R261" s="1"/>
      <c r="S261" s="1"/>
      <c r="T261" s="1"/>
      <c r="U261" s="1"/>
      <c r="V261" s="1"/>
      <c r="W261" s="1"/>
      <c r="X261" s="1" t="str">
        <f>IFERROR(__xludf.DUMMYFUNCTION("""COMPUTED_VALUE"""),"Immune")</f>
        <v>Immune</v>
      </c>
      <c r="Y261" s="1" t="str">
        <f>IFERROR(__xludf.DUMMYFUNCTION("""COMPUTED_VALUE"""),"Immune")</f>
        <v>Immune</v>
      </c>
      <c r="Z261" s="1"/>
      <c r="AA261" s="1" t="str">
        <f>IFERROR(__xludf.DUMMYFUNCTION("""COMPUTED_VALUE"""),"Immune")</f>
        <v>Immune</v>
      </c>
      <c r="AB261" s="1"/>
      <c r="AC261" s="1"/>
      <c r="AD261" s="1"/>
      <c r="AE261" s="1"/>
      <c r="AF261" s="1"/>
      <c r="AG261" s="1"/>
      <c r="AH261" s="1"/>
      <c r="AI261" s="1"/>
      <c r="AJ261" s="1"/>
      <c r="AK261" s="1"/>
      <c r="AL261" s="1"/>
    </row>
    <row r="262">
      <c r="A262" s="1" t="str">
        <f>IFERROR(__xludf.DUMMYFUNCTION("""COMPUTED_VALUE"""),"Swamp Dragon")</f>
        <v>Swamp Dragon</v>
      </c>
      <c r="B262" s="1"/>
      <c r="C262" s="1"/>
      <c r="D262" s="1"/>
      <c r="E262" s="1"/>
      <c r="F262" s="1"/>
      <c r="G262" s="1"/>
      <c r="H262" s="1"/>
      <c r="I262" s="1"/>
      <c r="J262" s="1"/>
      <c r="K262" s="1" t="str">
        <f>IFERROR(__xludf.DUMMYFUNCTION("""COMPUTED_VALUE"""),"Immune")</f>
        <v>Immune</v>
      </c>
      <c r="L262" s="1"/>
      <c r="M262" s="1"/>
      <c r="N262" s="1"/>
      <c r="O262" s="1"/>
      <c r="P262" s="1"/>
      <c r="Q262" s="1"/>
      <c r="R262" s="1"/>
      <c r="S262" s="1"/>
      <c r="T262" s="1"/>
      <c r="U262" s="1"/>
      <c r="V262" s="1"/>
      <c r="W262" s="1"/>
      <c r="X262" s="1" t="str">
        <f>IFERROR(__xludf.DUMMYFUNCTION("""COMPUTED_VALUE"""),"Immune")</f>
        <v>Immune</v>
      </c>
      <c r="Y262" s="1" t="str">
        <f>IFERROR(__xludf.DUMMYFUNCTION("""COMPUTED_VALUE"""),"Immune")</f>
        <v>Immune</v>
      </c>
      <c r="Z262" s="1"/>
      <c r="AA262" s="1" t="str">
        <f>IFERROR(__xludf.DUMMYFUNCTION("""COMPUTED_VALUE"""),"Immune")</f>
        <v>Immune</v>
      </c>
      <c r="AB262" s="1"/>
      <c r="AC262" s="1"/>
      <c r="AD262" s="1"/>
      <c r="AE262" s="1"/>
      <c r="AF262" s="1"/>
      <c r="AG262" s="1"/>
      <c r="AH262" s="1"/>
      <c r="AI262" s="1"/>
      <c r="AJ262" s="1"/>
      <c r="AK262" s="1"/>
      <c r="AL262" s="1"/>
    </row>
    <row r="263">
      <c r="A263" s="1"/>
      <c r="B263" s="1" t="str">
        <f>IFERROR(__xludf.DUMMYFUNCTION("""COMPUTED_VALUE"""),"Immune")</f>
        <v>Immune</v>
      </c>
      <c r="C263" s="1"/>
      <c r="D263" s="1"/>
      <c r="E263" s="1"/>
      <c r="F263" s="1"/>
      <c r="G263" s="1"/>
      <c r="H263" s="1"/>
      <c r="I263" s="1"/>
      <c r="J263" s="1"/>
      <c r="K263" s="1"/>
      <c r="L263" s="1"/>
      <c r="M263" s="1"/>
      <c r="N263" s="1"/>
      <c r="O263" s="1"/>
      <c r="P263" s="1"/>
      <c r="Q263" s="1"/>
      <c r="R263" s="1"/>
      <c r="S263" s="1"/>
      <c r="T263" s="1"/>
      <c r="U263" s="1"/>
      <c r="V263" s="1"/>
      <c r="W263" s="1"/>
      <c r="X263" s="1" t="str">
        <f>IFERROR(__xludf.DUMMYFUNCTION("""COMPUTED_VALUE"""),"Immune")</f>
        <v>Immune</v>
      </c>
      <c r="Y263" s="1" t="str">
        <f>IFERROR(__xludf.DUMMYFUNCTION("""COMPUTED_VALUE"""),"Immune")</f>
        <v>Immune</v>
      </c>
      <c r="Z263" s="1"/>
      <c r="AA263" s="1" t="str">
        <f>IFERROR(__xludf.DUMMYFUNCTION("""COMPUTED_VALUE"""),"Immune")</f>
        <v>Immune</v>
      </c>
      <c r="AB263" s="1"/>
      <c r="AC263" s="1"/>
      <c r="AD263" s="1"/>
      <c r="AE263" s="1"/>
      <c r="AF263" s="1"/>
      <c r="AG263" s="1"/>
      <c r="AH263" s="1"/>
      <c r="AI263" s="1"/>
      <c r="AJ263" s="1"/>
      <c r="AK263" s="1"/>
      <c r="AL263" s="1"/>
    </row>
    <row r="264">
      <c r="A264" s="1" t="str">
        <f>IFERROR(__xludf.DUMMYFUNCTION("""COMPUTED_VALUE"""),"Storm Dragon")</f>
        <v>Storm Dragon</v>
      </c>
      <c r="B264" s="1"/>
      <c r="C264" s="1"/>
      <c r="D264" s="1"/>
      <c r="E264" s="1"/>
      <c r="F264" s="1"/>
      <c r="G264" s="1"/>
      <c r="H264" s="1"/>
      <c r="I264" s="1"/>
      <c r="J264" s="1"/>
      <c r="K264" s="1"/>
      <c r="L264" s="1"/>
      <c r="M264" s="1"/>
      <c r="N264" s="1"/>
      <c r="O264" s="1"/>
      <c r="P264" s="1"/>
      <c r="Q264" s="1"/>
      <c r="R264" s="1"/>
      <c r="S264" s="1"/>
      <c r="T264" s="1"/>
      <c r="U264" s="1"/>
      <c r="V264" s="1"/>
      <c r="W264" s="1"/>
      <c r="X264" s="1" t="str">
        <f>IFERROR(__xludf.DUMMYFUNCTION("""COMPUTED_VALUE"""),"Immune")</f>
        <v>Immune</v>
      </c>
      <c r="Y264" s="1" t="str">
        <f>IFERROR(__xludf.DUMMYFUNCTION("""COMPUTED_VALUE"""),"Immune")</f>
        <v>Immune</v>
      </c>
      <c r="Z264" s="1"/>
      <c r="AA264" s="1" t="str">
        <f>IFERROR(__xludf.DUMMYFUNCTION("""COMPUTED_VALUE"""),"Immune")</f>
        <v>Immune</v>
      </c>
      <c r="AB264" s="1"/>
      <c r="AC264" s="1"/>
      <c r="AD264" s="1"/>
      <c r="AE264" s="1"/>
      <c r="AF264" s="1"/>
      <c r="AG264" s="1"/>
      <c r="AH264" s="1"/>
      <c r="AI264" s="1"/>
      <c r="AJ264" s="1"/>
      <c r="AK264" s="1"/>
      <c r="AL264" s="1"/>
    </row>
    <row r="265">
      <c r="A265" s="1" t="str">
        <f>IFERROR(__xludf.DUMMYFUNCTION("""COMPUTED_VALUE"""),"Wandering Pumpkin")</f>
        <v>Wandering Pumpkin</v>
      </c>
      <c r="B265" s="1"/>
      <c r="C265" s="1"/>
      <c r="D265" s="1"/>
      <c r="E265" s="1"/>
      <c r="F265" s="1"/>
      <c r="G265" s="1" t="str">
        <f>IFERROR(__xludf.DUMMYFUNCTION("""COMPUTED_VALUE"""),"Immune")</f>
        <v>Immune</v>
      </c>
      <c r="H265" s="1" t="str">
        <f>IFERROR(__xludf.DUMMYFUNCTION("""COMPUTED_VALUE"""),"Immune")</f>
        <v>Immune</v>
      </c>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row>
    <row r="266">
      <c r="A266" s="1" t="str">
        <f>IFERROR(__xludf.DUMMYFUNCTION("""COMPUTED_VALUE"""),"Possessed Pumpkin")</f>
        <v>Possessed Pumpkin</v>
      </c>
      <c r="B266" s="1"/>
      <c r="C266" s="1"/>
      <c r="D266" s="1"/>
      <c r="E266" s="1"/>
      <c r="F266" s="1"/>
      <c r="G266" s="1" t="str">
        <f>IFERROR(__xludf.DUMMYFUNCTION("""COMPUTED_VALUE"""),"Immune")</f>
        <v>Immune</v>
      </c>
      <c r="H266" s="1" t="str">
        <f>IFERROR(__xludf.DUMMYFUNCTION("""COMPUTED_VALUE"""),"Immune")</f>
        <v>Immune</v>
      </c>
      <c r="I266" s="1"/>
      <c r="J266" s="1"/>
      <c r="K266" s="1"/>
      <c r="L266" s="1"/>
      <c r="M266" s="1"/>
      <c r="N266" s="1"/>
      <c r="O266" s="1"/>
      <c r="P266" s="1"/>
      <c r="Q266" s="1"/>
      <c r="R266" s="1"/>
      <c r="S266" s="1"/>
      <c r="T266" s="1"/>
      <c r="U266" s="1"/>
      <c r="V266" s="1"/>
      <c r="W266" s="1"/>
      <c r="X266" s="1"/>
      <c r="Y266" s="1"/>
      <c r="Z266" s="1"/>
      <c r="AA266" s="1" t="str">
        <f>IFERROR(__xludf.DUMMYFUNCTION("""COMPUTED_VALUE"""),"Immune")</f>
        <v>Immune</v>
      </c>
      <c r="AB266" s="1"/>
      <c r="AC266" s="1"/>
      <c r="AD266" s="1"/>
      <c r="AE266" s="1"/>
      <c r="AF266" s="1"/>
      <c r="AG266" s="1"/>
      <c r="AH266" s="1"/>
      <c r="AI266" s="1"/>
      <c r="AJ266" s="1"/>
      <c r="AK266" s="1"/>
      <c r="AL266" s="1"/>
    </row>
    <row r="267">
      <c r="A267" s="1" t="str">
        <f>IFERROR(__xludf.DUMMYFUNCTION("""COMPUTED_VALUE"""),"Pumpkin Lord")</f>
        <v>Pumpkin Lord</v>
      </c>
      <c r="B267" s="1"/>
      <c r="C267" s="1"/>
      <c r="D267" s="1"/>
      <c r="E267" s="1"/>
      <c r="F267" s="1"/>
      <c r="G267" s="1" t="str">
        <f>IFERROR(__xludf.DUMMYFUNCTION("""COMPUTED_VALUE"""),"Immune")</f>
        <v>Immune</v>
      </c>
      <c r="H267" s="1" t="str">
        <f>IFERROR(__xludf.DUMMYFUNCTION("""COMPUTED_VALUE"""),"Immune")</f>
        <v>Immune</v>
      </c>
      <c r="I267" s="1"/>
      <c r="J267" s="1"/>
      <c r="K267" s="1"/>
      <c r="L267" s="1"/>
      <c r="M267" s="1"/>
      <c r="N267" s="1"/>
      <c r="O267" s="1"/>
      <c r="P267" s="1"/>
      <c r="Q267" s="1"/>
      <c r="R267" s="1"/>
      <c r="S267" s="1"/>
      <c r="T267" s="1"/>
      <c r="U267" s="1"/>
      <c r="V267" s="1"/>
      <c r="W267" s="1"/>
      <c r="X267" s="1" t="str">
        <f>IFERROR(__xludf.DUMMYFUNCTION("""COMPUTED_VALUE"""),"Immune")</f>
        <v>Immune</v>
      </c>
      <c r="Y267" s="1"/>
      <c r="Z267" s="1"/>
      <c r="AA267" s="1"/>
      <c r="AB267" s="1"/>
      <c r="AC267" s="1"/>
      <c r="AD267" s="1"/>
      <c r="AE267" s="1"/>
      <c r="AF267" s="1"/>
      <c r="AG267" s="1"/>
      <c r="AH267" s="1"/>
      <c r="AI267" s="1"/>
      <c r="AJ267" s="1"/>
      <c r="AK267" s="1"/>
      <c r="AL267" s="1"/>
    </row>
    <row r="268">
      <c r="A268" s="1" t="str">
        <f>IFERROR(__xludf.DUMMYFUNCTION("""COMPUTED_VALUE"""),"Pumpkin King")</f>
        <v>Pumpkin King</v>
      </c>
      <c r="B268" s="1"/>
      <c r="C268" s="1"/>
      <c r="D268" s="1"/>
      <c r="E268" s="1"/>
      <c r="F268" s="1"/>
      <c r="G268" s="1" t="str">
        <f>IFERROR(__xludf.DUMMYFUNCTION("""COMPUTED_VALUE"""),"Immune")</f>
        <v>Immune</v>
      </c>
      <c r="H268" s="1" t="str">
        <f>IFERROR(__xludf.DUMMYFUNCTION("""COMPUTED_VALUE"""),"Immune")</f>
        <v>Immune</v>
      </c>
      <c r="I268" s="1"/>
      <c r="J268" s="1"/>
      <c r="K268" s="1"/>
      <c r="L268" s="1"/>
      <c r="M268" s="1"/>
      <c r="N268" s="1"/>
      <c r="O268" s="1"/>
      <c r="P268" s="1"/>
      <c r="Q268" s="1"/>
      <c r="R268" s="1"/>
      <c r="S268" s="1"/>
      <c r="T268" s="1"/>
      <c r="U268" s="1"/>
      <c r="V268" s="1"/>
      <c r="W268" s="1"/>
      <c r="X268" s="1" t="str">
        <f>IFERROR(__xludf.DUMMYFUNCTION("""COMPUTED_VALUE"""),"Immune")</f>
        <v>Immune</v>
      </c>
      <c r="Y268" s="1" t="str">
        <f>IFERROR(__xludf.DUMMYFUNCTION("""COMPUTED_VALUE"""),"Immune")</f>
        <v>Immune</v>
      </c>
      <c r="Z268" s="1"/>
      <c r="AA268" s="1"/>
      <c r="AB268" s="1"/>
      <c r="AC268" s="1"/>
      <c r="AD268" s="1"/>
      <c r="AE268" s="1"/>
      <c r="AF268" s="1"/>
      <c r="AG268" s="1"/>
      <c r="AH268" s="1"/>
      <c r="AI268" s="1"/>
      <c r="AJ268" s="1"/>
      <c r="AK268" s="1"/>
      <c r="AL268" s="1"/>
    </row>
    <row r="269">
      <c r="A269" s="1" t="str">
        <f>IFERROR(__xludf.DUMMYFUNCTION("""COMPUTED_VALUE"""),"Evil Clown")</f>
        <v>Evil Clown</v>
      </c>
      <c r="B269" s="1"/>
      <c r="C269" s="1"/>
      <c r="D269" s="1"/>
      <c r="E269" s="1"/>
      <c r="F269" s="1"/>
      <c r="G269" s="1" t="str">
        <f>IFERROR(__xludf.DUMMYFUNCTION("""COMPUTED_VALUE"""),"Immune")</f>
        <v>Immune</v>
      </c>
      <c r="H269" s="1" t="str">
        <f>IFERROR(__xludf.DUMMYFUNCTION("""COMPUTED_VALUE"""),"Immune")</f>
        <v>Immune</v>
      </c>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row>
    <row r="270">
      <c r="A270" s="1" t="str">
        <f>IFERROR(__xludf.DUMMYFUNCTION("""COMPUTED_VALUE"""),"Possesed Clown")</f>
        <v>Possesed Clown</v>
      </c>
      <c r="B270" s="1"/>
      <c r="C270" s="1"/>
      <c r="D270" s="1"/>
      <c r="E270" s="1"/>
      <c r="F270" s="1"/>
      <c r="G270" s="1" t="str">
        <f>IFERROR(__xludf.DUMMYFUNCTION("""COMPUTED_VALUE"""),"Immune")</f>
        <v>Immune</v>
      </c>
      <c r="H270" s="1" t="str">
        <f>IFERROR(__xludf.DUMMYFUNCTION("""COMPUTED_VALUE"""),"Immune")</f>
        <v>Immune</v>
      </c>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row>
    <row r="271">
      <c r="A271" s="1" t="str">
        <f>IFERROR(__xludf.DUMMYFUNCTION("""COMPUTED_VALUE"""),"The Clown King")</f>
        <v>The Clown King</v>
      </c>
      <c r="B271" s="1"/>
      <c r="C271" s="1"/>
      <c r="D271" s="1"/>
      <c r="E271" s="1"/>
      <c r="F271" s="1"/>
      <c r="G271" s="1" t="str">
        <f>IFERROR(__xludf.DUMMYFUNCTION("""COMPUTED_VALUE"""),"Immune")</f>
        <v>Immune</v>
      </c>
      <c r="H271" s="1" t="str">
        <f>IFERROR(__xludf.DUMMYFUNCTION("""COMPUTED_VALUE"""),"Immune")</f>
        <v>Immune</v>
      </c>
      <c r="I271" s="1"/>
      <c r="J271" s="1"/>
      <c r="K271" s="1"/>
      <c r="L271" s="1"/>
      <c r="M271" s="1"/>
      <c r="N271" s="1"/>
      <c r="O271" s="1"/>
      <c r="P271" s="1"/>
      <c r="Q271" s="1"/>
      <c r="R271" s="1"/>
      <c r="S271" s="1"/>
      <c r="T271" s="1"/>
      <c r="U271" s="1"/>
      <c r="V271" s="1"/>
      <c r="W271" s="1"/>
      <c r="X271" s="1" t="str">
        <f>IFERROR(__xludf.DUMMYFUNCTION("""COMPUTED_VALUE"""),"Immune")</f>
        <v>Immune</v>
      </c>
      <c r="Y271" s="1" t="str">
        <f>IFERROR(__xludf.DUMMYFUNCTION("""COMPUTED_VALUE"""),"immune")</f>
        <v>immune</v>
      </c>
      <c r="Z271" s="1"/>
      <c r="AA271" s="1"/>
      <c r="AB271" s="1"/>
      <c r="AC271" s="1"/>
      <c r="AD271" s="1"/>
      <c r="AE271" s="1"/>
      <c r="AF271" s="1"/>
      <c r="AG271" s="1"/>
      <c r="AH271" s="1"/>
      <c r="AI271" s="1"/>
      <c r="AJ271" s="1"/>
      <c r="AK271" s="1"/>
      <c r="AL271" s="1"/>
    </row>
    <row r="272">
      <c r="A272" s="1" t="str">
        <f>IFERROR(__xludf.DUMMYFUNCTION("""COMPUTED_VALUE"""),"Bounty Hunter")</f>
        <v>Bounty Hunter</v>
      </c>
      <c r="B272" s="1"/>
      <c r="C272" s="1"/>
      <c r="D272" s="1"/>
      <c r="E272" s="1"/>
      <c r="F272" s="1"/>
      <c r="G272" s="1" t="str">
        <f>IFERROR(__xludf.DUMMYFUNCTION("""COMPUTED_VALUE"""),"Immune")</f>
        <v>Immune</v>
      </c>
      <c r="H272" s="1"/>
      <c r="I272" s="1"/>
      <c r="J272" s="1"/>
      <c r="K272" s="1"/>
      <c r="L272" s="1"/>
      <c r="M272" s="1"/>
      <c r="N272" s="1"/>
      <c r="O272" s="1"/>
      <c r="P272" s="1"/>
      <c r="Q272" s="1"/>
      <c r="R272" s="1"/>
      <c r="S272" s="1"/>
      <c r="T272" s="1"/>
      <c r="U272" s="1"/>
      <c r="V272" s="1"/>
      <c r="W272" s="1"/>
      <c r="X272" s="1" t="str">
        <f>IFERROR(__xludf.DUMMYFUNCTION("""COMPUTED_VALUE"""),"immune")</f>
        <v>immune</v>
      </c>
      <c r="Y272" s="1" t="str">
        <f>IFERROR(__xludf.DUMMYFUNCTION("""COMPUTED_VALUE"""),"Immune")</f>
        <v>Immune</v>
      </c>
      <c r="Z272" s="1">
        <f>IFERROR(__xludf.DUMMYFUNCTION("""COMPUTED_VALUE"""),100.0)</f>
        <v>100</v>
      </c>
      <c r="AA272" s="1" t="str">
        <f>IFERROR(__xludf.DUMMYFUNCTION("""COMPUTED_VALUE"""),"Immune")</f>
        <v>Immune</v>
      </c>
      <c r="AB272" s="1"/>
      <c r="AC272" s="1"/>
      <c r="AD272" s="1"/>
      <c r="AE272" s="1"/>
      <c r="AF272" s="1"/>
      <c r="AG272" s="1"/>
      <c r="AH272" s="1"/>
      <c r="AI272" s="1"/>
      <c r="AJ272" s="1"/>
      <c r="AK272" s="1"/>
      <c r="AL272" s="1"/>
    </row>
    <row r="273">
      <c r="A273" s="1" t="str">
        <f>IFERROR(__xludf.DUMMYFUNCTION("""COMPUTED_VALUE"""),"Lamia ")</f>
        <v>Lamia </v>
      </c>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row>
    <row r="274">
      <c r="A274" s="1" t="str">
        <f>IFERROR(__xludf.DUMMYFUNCTION("""COMPUTED_VALUE"""),"Cremagetion")</f>
        <v>Cremagetion</v>
      </c>
      <c r="B274" s="1" t="str">
        <f>IFERROR(__xludf.DUMMYFUNCTION("""COMPUTED_VALUE"""),"Immune")</f>
        <v>Immune</v>
      </c>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row>
    <row r="275">
      <c r="A275" s="1" t="str">
        <f>IFERROR(__xludf.DUMMYFUNCTION("""COMPUTED_VALUE"""),"Saber Toothed Cat")</f>
        <v>Saber Toothed Cat</v>
      </c>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row>
    <row r="276">
      <c r="A276" s="1" t="str">
        <f>IFERROR(__xludf.DUMMYFUNCTION("""COMPUTED_VALUE"""),"Cultist of Dreadful")</f>
        <v>Cultist of Dreadful</v>
      </c>
      <c r="B276" s="1"/>
      <c r="C276" s="1"/>
      <c r="D276" s="1"/>
      <c r="E276" s="1"/>
      <c r="F276" s="1"/>
      <c r="G276" s="1" t="str">
        <f>IFERROR(__xludf.DUMMYFUNCTION("""COMPUTED_VALUE"""),"Immune")</f>
        <v>Immune</v>
      </c>
      <c r="H276" s="1"/>
      <c r="I276" s="1"/>
      <c r="J276" s="1" t="str">
        <f>IFERROR(__xludf.DUMMYFUNCTION("""COMPUTED_VALUE"""),"Immune")</f>
        <v>Immune</v>
      </c>
      <c r="K276" s="1"/>
      <c r="L276" s="1"/>
      <c r="M276" s="1"/>
      <c r="N276" s="1"/>
      <c r="O276" s="1"/>
      <c r="P276" s="1"/>
      <c r="Q276" s="1" t="str">
        <f>IFERROR(__xludf.DUMMYFUNCTION("""COMPUTED_VALUE"""),"Immune")</f>
        <v>Immune</v>
      </c>
      <c r="R276" s="1"/>
      <c r="S276" s="1"/>
      <c r="T276" s="1"/>
      <c r="U276" s="1"/>
      <c r="V276" s="1"/>
      <c r="W276" s="1"/>
      <c r="X276" s="1" t="str">
        <f>IFERROR(__xludf.DUMMYFUNCTION("""COMPUTED_VALUE"""),"Immune")</f>
        <v>Immune</v>
      </c>
      <c r="Y276" s="1"/>
      <c r="Z276" s="1"/>
      <c r="AA276" s="1"/>
      <c r="AB276" s="1"/>
      <c r="AC276" s="1"/>
      <c r="AD276" s="1"/>
      <c r="AE276" s="1"/>
      <c r="AF276" s="1"/>
      <c r="AG276" s="1"/>
      <c r="AH276" s="1"/>
      <c r="AI276" s="1"/>
      <c r="AJ276" s="1"/>
      <c r="AK276" s="1"/>
      <c r="AL276" s="1"/>
    </row>
    <row r="277">
      <c r="A277" s="1" t="str">
        <f>IFERROR(__xludf.DUMMYFUNCTION("""COMPUTED_VALUE"""),"Cultist Leader")</f>
        <v>Cultist Leader</v>
      </c>
      <c r="B277" s="1"/>
      <c r="C277" s="1"/>
      <c r="D277" s="1"/>
      <c r="E277" s="1"/>
      <c r="F277" s="1"/>
      <c r="G277" s="1" t="str">
        <f>IFERROR(__xludf.DUMMYFUNCTION("""COMPUTED_VALUE"""),"Immune")</f>
        <v>Immune</v>
      </c>
      <c r="H277" s="1"/>
      <c r="I277" s="1"/>
      <c r="J277" s="1" t="str">
        <f>IFERROR(__xludf.DUMMYFUNCTION("""COMPUTED_VALUE"""),"Immune")</f>
        <v>Immune</v>
      </c>
      <c r="K277" s="1"/>
      <c r="L277" s="1"/>
      <c r="M277" s="1"/>
      <c r="N277" s="1"/>
      <c r="O277" s="1"/>
      <c r="P277" s="1"/>
      <c r="Q277" s="1" t="str">
        <f>IFERROR(__xludf.DUMMYFUNCTION("""COMPUTED_VALUE"""),"Immune")</f>
        <v>Immune</v>
      </c>
      <c r="R277" s="1"/>
      <c r="S277" s="1"/>
      <c r="T277" s="1"/>
      <c r="U277" s="1"/>
      <c r="V277" s="1"/>
      <c r="W277" s="1"/>
      <c r="X277" s="1" t="str">
        <f>IFERROR(__xludf.DUMMYFUNCTION("""COMPUTED_VALUE"""),"Immune")</f>
        <v>Immune</v>
      </c>
      <c r="Y277" s="1" t="str">
        <f>IFERROR(__xludf.DUMMYFUNCTION("""COMPUTED_VALUE"""),"Immune")</f>
        <v>Immune</v>
      </c>
      <c r="Z277" s="1"/>
      <c r="AA277" s="1" t="str">
        <f>IFERROR(__xludf.DUMMYFUNCTION("""COMPUTED_VALUE"""),"Immune")</f>
        <v>Immune</v>
      </c>
      <c r="AB277" s="1"/>
      <c r="AC277" s="1"/>
      <c r="AD277" s="1"/>
      <c r="AE277" s="1"/>
      <c r="AF277" s="1"/>
      <c r="AG277" s="1"/>
      <c r="AH277" s="1"/>
      <c r="AI277" s="1"/>
      <c r="AJ277" s="1"/>
      <c r="AK277" s="1"/>
      <c r="AL277" s="1"/>
    </row>
    <row r="278">
      <c r="A278" s="1" t="str">
        <f>IFERROR(__xludf.DUMMYFUNCTION("""COMPUTED_VALUE"""),"Fire Mage")</f>
        <v>Fire Mage</v>
      </c>
      <c r="B278" s="1" t="str">
        <f>IFERROR(__xludf.DUMMYFUNCTION("""COMPUTED_VALUE"""),"Immune")</f>
        <v>Immune</v>
      </c>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row>
    <row r="279">
      <c r="A279" s="1" t="str">
        <f>IFERROR(__xludf.DUMMYFUNCTION("""COMPUTED_VALUE"""),"Guard Tier III")</f>
        <v>Guard Tier III</v>
      </c>
      <c r="B279" s="1"/>
      <c r="C279" s="1"/>
      <c r="D279" s="1"/>
      <c r="E279" s="1"/>
      <c r="F279" s="1" t="str">
        <f>IFERROR(__xludf.DUMMYFUNCTION("""COMPUTED_VALUE"""),"Immune")</f>
        <v>Immune</v>
      </c>
      <c r="G279" s="1">
        <f>IFERROR(__xludf.DUMMYFUNCTION("""COMPUTED_VALUE"""),100.0)</f>
        <v>100</v>
      </c>
      <c r="H279" s="1"/>
      <c r="I279" s="1" t="str">
        <f>IFERROR(__xludf.DUMMYFUNCTION("""COMPUTED_VALUE"""),"Immune")</f>
        <v>Immune</v>
      </c>
      <c r="J279" s="1"/>
      <c r="K279" s="1"/>
      <c r="L279" s="1"/>
      <c r="M279" s="1"/>
      <c r="N279" s="1"/>
      <c r="O279" s="1"/>
      <c r="P279" s="1"/>
      <c r="Q279" s="1"/>
      <c r="R279" s="1"/>
      <c r="S279" s="1"/>
      <c r="T279" s="1"/>
      <c r="U279" s="1"/>
      <c r="V279" s="1"/>
      <c r="W279" s="1" t="str">
        <f>IFERROR(__xludf.DUMMYFUNCTION("""COMPUTED_VALUE"""),"Immune")</f>
        <v>Immune</v>
      </c>
      <c r="X279" s="1" t="str">
        <f>IFERROR(__xludf.DUMMYFUNCTION("""COMPUTED_VALUE"""),"Immune")</f>
        <v>Immune</v>
      </c>
      <c r="Y279" s="1" t="str">
        <f>IFERROR(__xludf.DUMMYFUNCTION("""COMPUTED_VALUE"""),"Immune")</f>
        <v>Immune</v>
      </c>
      <c r="Z279" s="1"/>
      <c r="AA279" s="1" t="str">
        <f>IFERROR(__xludf.DUMMYFUNCTION("""COMPUTED_VALUE"""),"Immune")</f>
        <v>Immune</v>
      </c>
      <c r="AB279" s="1"/>
      <c r="AC279" s="1"/>
      <c r="AD279" s="1"/>
      <c r="AE279" s="1"/>
      <c r="AF279" s="1"/>
      <c r="AG279" s="1"/>
      <c r="AH279" s="1"/>
      <c r="AI279" s="1"/>
      <c r="AJ279" s="1"/>
      <c r="AK279" s="1"/>
      <c r="AL279" s="1"/>
    </row>
    <row r="280">
      <c r="A280" s="1" t="str">
        <f>IFERROR(__xludf.DUMMYFUNCTION("""COMPUTED_VALUE"""),"Guard Tier II")</f>
        <v>Guard Tier II</v>
      </c>
      <c r="B280" s="1"/>
      <c r="C280" s="1"/>
      <c r="D280" s="1"/>
      <c r="E280" s="1"/>
      <c r="F280" s="1" t="str">
        <f>IFERROR(__xludf.DUMMYFUNCTION("""COMPUTED_VALUE"""),"Immune")</f>
        <v>Immune</v>
      </c>
      <c r="G280" s="1">
        <f>IFERROR(__xludf.DUMMYFUNCTION("""COMPUTED_VALUE"""),100.0)</f>
        <v>100</v>
      </c>
      <c r="H280" s="1"/>
      <c r="I280" s="1" t="str">
        <f>IFERROR(__xludf.DUMMYFUNCTION("""COMPUTED_VALUE"""),"Immune")</f>
        <v>Immune</v>
      </c>
      <c r="J280" s="1"/>
      <c r="K280" s="1"/>
      <c r="L280" s="1"/>
      <c r="M280" s="1"/>
      <c r="N280" s="1"/>
      <c r="O280" s="1"/>
      <c r="P280" s="1"/>
      <c r="Q280" s="1"/>
      <c r="R280" s="1"/>
      <c r="S280" s="1"/>
      <c r="T280" s="1"/>
      <c r="U280" s="1"/>
      <c r="V280" s="1"/>
      <c r="W280" s="1"/>
      <c r="X280" s="1" t="str">
        <f>IFERROR(__xludf.DUMMYFUNCTION("""COMPUTED_VALUE"""),"Immune")</f>
        <v>Immune</v>
      </c>
      <c r="Y280" s="1" t="str">
        <f>IFERROR(__xludf.DUMMYFUNCTION("""COMPUTED_VALUE"""),"Immune")</f>
        <v>Immune</v>
      </c>
      <c r="Z280" s="1"/>
      <c r="AA280" s="1" t="str">
        <f>IFERROR(__xludf.DUMMYFUNCTION("""COMPUTED_VALUE"""),"Immune")</f>
        <v>Immune</v>
      </c>
      <c r="AB280" s="1"/>
      <c r="AC280" s="1"/>
      <c r="AD280" s="1"/>
      <c r="AE280" s="1"/>
      <c r="AF280" s="1"/>
      <c r="AG280" s="1"/>
      <c r="AH280" s="1"/>
      <c r="AI280" s="1"/>
      <c r="AJ280" s="1"/>
      <c r="AK280" s="1"/>
      <c r="AL280" s="1"/>
    </row>
    <row r="281">
      <c r="A281" s="1" t="str">
        <f>IFERROR(__xludf.DUMMYFUNCTION("""COMPUTED_VALUE"""),"Guard Tier I")</f>
        <v>Guard Tier I</v>
      </c>
      <c r="B281" s="1"/>
      <c r="C281" s="1"/>
      <c r="D281" s="1"/>
      <c r="E281" s="1"/>
      <c r="F281" s="1"/>
      <c r="G281" s="1"/>
      <c r="H281" s="1"/>
      <c r="I281" s="1"/>
      <c r="J281" s="1"/>
      <c r="K281" s="1"/>
      <c r="L281" s="1"/>
      <c r="M281" s="1"/>
      <c r="N281" s="1"/>
      <c r="O281" s="1"/>
      <c r="P281" s="1"/>
      <c r="Q281" s="1"/>
      <c r="R281" s="1"/>
      <c r="S281" s="1"/>
      <c r="T281" s="1"/>
      <c r="U281" s="1"/>
      <c r="V281" s="1"/>
      <c r="W281" s="1"/>
      <c r="X281" s="1" t="str">
        <f>IFERROR(__xludf.DUMMYFUNCTION("""COMPUTED_VALUE"""),"Immune")</f>
        <v>Immune</v>
      </c>
      <c r="Y281" s="1" t="str">
        <f>IFERROR(__xludf.DUMMYFUNCTION("""COMPUTED_VALUE"""),"Immune")</f>
        <v>Immune</v>
      </c>
      <c r="Z281" s="1"/>
      <c r="AA281" s="1" t="str">
        <f>IFERROR(__xludf.DUMMYFUNCTION("""COMPUTED_VALUE"""),"Immune")</f>
        <v>Immune</v>
      </c>
      <c r="AB281" s="1"/>
      <c r="AC281" s="1"/>
      <c r="AD281" s="1"/>
      <c r="AE281" s="1"/>
      <c r="AF281" s="1"/>
      <c r="AG281" s="1"/>
      <c r="AH281" s="1"/>
      <c r="AI281" s="1"/>
      <c r="AJ281" s="1"/>
      <c r="AK281" s="1"/>
      <c r="AL281" s="1"/>
    </row>
    <row r="282">
      <c r="A282" s="1" t="str">
        <f>IFERROR(__xludf.DUMMYFUNCTION("""COMPUTED_VALUE"""),"Wave Rider Paladins")</f>
        <v>Wave Rider Paladins</v>
      </c>
      <c r="B282" s="1"/>
      <c r="C282" s="1" t="str">
        <f>IFERROR(__xludf.DUMMYFUNCTION("""COMPUTED_VALUE"""),"Immune")</f>
        <v>Immune</v>
      </c>
      <c r="D282" s="1" t="str">
        <f>IFERROR(__xludf.DUMMYFUNCTION("""COMPUTED_VALUE"""),"Immune")</f>
        <v>Immune</v>
      </c>
      <c r="E282" s="1"/>
      <c r="F282" s="1"/>
      <c r="G282" s="1"/>
      <c r="H282" s="1"/>
      <c r="I282" s="1"/>
      <c r="J282" s="1"/>
      <c r="K282" s="1"/>
      <c r="L282" s="1"/>
      <c r="M282" s="1"/>
      <c r="N282" s="1"/>
      <c r="O282" s="1"/>
      <c r="P282" s="1"/>
      <c r="Q282" s="1"/>
      <c r="R282" s="1"/>
      <c r="S282" s="1"/>
      <c r="T282" s="1"/>
      <c r="U282" s="1"/>
      <c r="V282" s="1"/>
      <c r="W282" s="1"/>
      <c r="X282" s="1" t="str">
        <f>IFERROR(__xludf.DUMMYFUNCTION("""COMPUTED_VALUE"""),"Immune")</f>
        <v>Immune</v>
      </c>
      <c r="Y282" s="1" t="str">
        <f>IFERROR(__xludf.DUMMYFUNCTION("""COMPUTED_VALUE"""),"Immune")</f>
        <v>Immune</v>
      </c>
      <c r="Z282" s="1"/>
      <c r="AA282" s="1" t="str">
        <f>IFERROR(__xludf.DUMMYFUNCTION("""COMPUTED_VALUE"""),"Immune")</f>
        <v>Immune</v>
      </c>
      <c r="AB282" s="1"/>
      <c r="AC282" s="1"/>
      <c r="AD282" s="1"/>
      <c r="AE282" s="1"/>
      <c r="AF282" s="1"/>
      <c r="AG282" s="1"/>
      <c r="AH282" s="1"/>
      <c r="AI282" s="1"/>
      <c r="AJ282" s="1"/>
      <c r="AK282" s="1"/>
      <c r="AL282" s="1"/>
    </row>
    <row r="283">
      <c r="A283" s="1" t="str">
        <f>IFERROR(__xludf.DUMMYFUNCTION("""COMPUTED_VALUE"""),"Urchin Swiffer Paladins")</f>
        <v>Urchin Swiffer Paladins</v>
      </c>
      <c r="B283" s="1"/>
      <c r="C283" s="1" t="str">
        <f>IFERROR(__xludf.DUMMYFUNCTION("""COMPUTED_VALUE"""),"Immune")</f>
        <v>Immune</v>
      </c>
      <c r="D283" s="1" t="str">
        <f>IFERROR(__xludf.DUMMYFUNCTION("""COMPUTED_VALUE"""),"Immune")</f>
        <v>Immune</v>
      </c>
      <c r="E283" s="1"/>
      <c r="F283" s="1"/>
      <c r="G283" s="1"/>
      <c r="H283" s="1"/>
      <c r="I283" s="1"/>
      <c r="J283" s="1"/>
      <c r="K283" s="1"/>
      <c r="L283" s="1"/>
      <c r="M283" s="1"/>
      <c r="N283" s="1"/>
      <c r="O283" s="1"/>
      <c r="P283" s="1"/>
      <c r="Q283" s="1"/>
      <c r="R283" s="1"/>
      <c r="S283" s="1"/>
      <c r="T283" s="1"/>
      <c r="U283" s="1"/>
      <c r="V283" s="1"/>
      <c r="W283" s="1"/>
      <c r="X283" s="1" t="str">
        <f>IFERROR(__xludf.DUMMYFUNCTION("""COMPUTED_VALUE"""),"Immune")</f>
        <v>Immune</v>
      </c>
      <c r="Y283" s="1" t="str">
        <f>IFERROR(__xludf.DUMMYFUNCTION("""COMPUTED_VALUE"""),"Immune")</f>
        <v>Immune</v>
      </c>
      <c r="Z283" s="1"/>
      <c r="AA283" s="1" t="str">
        <f>IFERROR(__xludf.DUMMYFUNCTION("""COMPUTED_VALUE"""),"Immune")</f>
        <v>Immune</v>
      </c>
      <c r="AB283" s="1"/>
      <c r="AC283" s="1"/>
      <c r="AD283" s="1"/>
      <c r="AE283" s="1"/>
      <c r="AF283" s="1"/>
      <c r="AG283" s="1"/>
      <c r="AH283" s="1"/>
      <c r="AI283" s="1"/>
      <c r="AJ283" s="1"/>
      <c r="AK283" s="1"/>
      <c r="AL283" s="1"/>
    </row>
    <row r="284">
      <c r="A284" s="1" t="str">
        <f>IFERROR(__xludf.DUMMYFUNCTION("""COMPUTED_VALUE"""),"The Bloodletters")</f>
        <v>The Bloodletters</v>
      </c>
      <c r="B284" s="1" t="str">
        <f>IFERROR(__xludf.DUMMYFUNCTION("""COMPUTED_VALUE"""),"Immune")</f>
        <v>Immune</v>
      </c>
      <c r="C284" s="1"/>
      <c r="D284" s="1"/>
      <c r="E284" s="1"/>
      <c r="F284" s="1"/>
      <c r="G284" s="1" t="str">
        <f>IFERROR(__xludf.DUMMYFUNCTION("""COMPUTED_VALUE"""),"Immune")</f>
        <v>Immune</v>
      </c>
      <c r="H284" s="1" t="str">
        <f>IFERROR(__xludf.DUMMYFUNCTION("""COMPUTED_VALUE"""),"Immune")</f>
        <v>Immune</v>
      </c>
      <c r="I284" s="1"/>
      <c r="J284" s="1" t="str">
        <f>IFERROR(__xludf.DUMMYFUNCTION("""COMPUTED_VALUE"""),"Immune")</f>
        <v>Immune</v>
      </c>
      <c r="K284" s="1"/>
      <c r="L284" s="1"/>
      <c r="M284" s="1"/>
      <c r="N284" s="1"/>
      <c r="O284" s="1"/>
      <c r="P284" s="1"/>
      <c r="Q284" s="1"/>
      <c r="R284" s="1"/>
      <c r="S284" s="1"/>
      <c r="T284" s="1"/>
      <c r="U284" s="1"/>
      <c r="V284" s="1"/>
      <c r="W284" s="1"/>
      <c r="X284" s="1" t="str">
        <f>IFERROR(__xludf.DUMMYFUNCTION("""COMPUTED_VALUE"""),"Immune")</f>
        <v>Immune</v>
      </c>
      <c r="Y284" s="1" t="str">
        <f>IFERROR(__xludf.DUMMYFUNCTION("""COMPUTED_VALUE"""),"Immune")</f>
        <v>Immune</v>
      </c>
      <c r="Z284" s="1"/>
      <c r="AA284" s="1" t="str">
        <f>IFERROR(__xludf.DUMMYFUNCTION("""COMPUTED_VALUE"""),"Immune")</f>
        <v>Immune</v>
      </c>
      <c r="AB284" s="1"/>
      <c r="AC284" s="1"/>
      <c r="AD284" s="1"/>
      <c r="AE284" s="1"/>
      <c r="AF284" s="1"/>
      <c r="AG284" s="1"/>
      <c r="AH284" s="1"/>
      <c r="AI284" s="1"/>
      <c r="AJ284" s="1"/>
      <c r="AK284" s="1"/>
      <c r="AL284" s="1"/>
    </row>
    <row r="285">
      <c r="A285" s="1" t="str">
        <f>IFERROR(__xludf.DUMMYFUNCTION("""COMPUTED_VALUE"""),"The Soulbound Royals")</f>
        <v>The Soulbound Royals</v>
      </c>
      <c r="B285" s="1" t="str">
        <f>IFERROR(__xludf.DUMMYFUNCTION("""COMPUTED_VALUE"""),"Immune")</f>
        <v>Immune</v>
      </c>
      <c r="C285" s="1"/>
      <c r="D285" s="1"/>
      <c r="E285" s="1"/>
      <c r="F285" s="1"/>
      <c r="G285" s="1" t="str">
        <f>IFERROR(__xludf.DUMMYFUNCTION("""COMPUTED_VALUE"""),"Immune")</f>
        <v>Immune</v>
      </c>
      <c r="H285" s="1" t="str">
        <f>IFERROR(__xludf.DUMMYFUNCTION("""COMPUTED_VALUE"""),"Immune")</f>
        <v>Immune</v>
      </c>
      <c r="I285" s="1"/>
      <c r="J285" s="1" t="str">
        <f>IFERROR(__xludf.DUMMYFUNCTION("""COMPUTED_VALUE"""),"Immune")</f>
        <v>Immune</v>
      </c>
      <c r="K285" s="1"/>
      <c r="L285" s="1"/>
      <c r="M285" s="1"/>
      <c r="N285" s="1"/>
      <c r="O285" s="1"/>
      <c r="P285" s="1"/>
      <c r="Q285" s="1"/>
      <c r="R285" s="1"/>
      <c r="S285" s="1"/>
      <c r="T285" s="1"/>
      <c r="U285" s="1"/>
      <c r="V285" s="1"/>
      <c r="W285" s="1"/>
      <c r="X285" s="1" t="str">
        <f>IFERROR(__xludf.DUMMYFUNCTION("""COMPUTED_VALUE"""),"Immune")</f>
        <v>Immune</v>
      </c>
      <c r="Y285" s="1" t="str">
        <f>IFERROR(__xludf.DUMMYFUNCTION("""COMPUTED_VALUE"""),"Immune")</f>
        <v>Immune</v>
      </c>
      <c r="Z285" s="1"/>
      <c r="AA285" s="1" t="str">
        <f>IFERROR(__xludf.DUMMYFUNCTION("""COMPUTED_VALUE"""),"Immune")</f>
        <v>Immune</v>
      </c>
      <c r="AB285" s="1"/>
      <c r="AC285" s="1"/>
      <c r="AD285" s="1"/>
      <c r="AE285" s="1"/>
      <c r="AF285" s="1"/>
      <c r="AG285" s="1"/>
      <c r="AH285" s="1"/>
      <c r="AI285" s="1"/>
      <c r="AJ285" s="1"/>
      <c r="AK285" s="1"/>
      <c r="AL285" s="1"/>
    </row>
    <row r="286">
      <c r="A286" s="1" t="str">
        <f>IFERROR(__xludf.DUMMYFUNCTION("""COMPUTED_VALUE"""),"The Exiled One")</f>
        <v>The Exiled One</v>
      </c>
      <c r="B286" s="1"/>
      <c r="C286" s="1"/>
      <c r="D286" s="1"/>
      <c r="E286" s="1"/>
      <c r="F286" s="1"/>
      <c r="G286" s="1"/>
      <c r="H286" s="1"/>
      <c r="I286" s="1"/>
      <c r="J286" s="1"/>
      <c r="K286" s="1"/>
      <c r="L286" s="1"/>
      <c r="M286" s="1"/>
      <c r="N286" s="1"/>
      <c r="O286" s="1"/>
      <c r="P286" s="1"/>
      <c r="Q286" s="1"/>
      <c r="R286" s="1"/>
      <c r="S286" s="1"/>
      <c r="T286" s="1"/>
      <c r="U286" s="1"/>
      <c r="V286" s="1"/>
      <c r="W286" s="1"/>
      <c r="X286" s="1" t="str">
        <f>IFERROR(__xludf.DUMMYFUNCTION("""COMPUTED_VALUE"""),"Immune")</f>
        <v>Immune</v>
      </c>
      <c r="Y286" s="1" t="str">
        <f>IFERROR(__xludf.DUMMYFUNCTION("""COMPUTED_VALUE"""),"Immune")</f>
        <v>Immune</v>
      </c>
      <c r="Z286" s="1"/>
      <c r="AA286" s="1" t="str">
        <f>IFERROR(__xludf.DUMMYFUNCTION("""COMPUTED_VALUE"""),"Immune")</f>
        <v>Immune</v>
      </c>
      <c r="AB286" s="1"/>
      <c r="AC286" s="1"/>
      <c r="AD286" s="1"/>
      <c r="AE286" s="1"/>
      <c r="AF286" s="1"/>
      <c r="AG286" s="1"/>
      <c r="AH286" s="1"/>
      <c r="AI286" s="1"/>
      <c r="AJ286" s="1"/>
      <c r="AK286" s="1"/>
      <c r="AL286" s="1"/>
    </row>
    <row r="287">
      <c r="A287" s="1" t="str">
        <f>IFERROR(__xludf.DUMMYFUNCTION("""COMPUTED_VALUE"""),"Monk (Abbot)")</f>
        <v>Monk (Abbot)</v>
      </c>
      <c r="B287" s="1">
        <f>IFERROR(__xludf.DUMMYFUNCTION("""COMPUTED_VALUE"""),100.0)</f>
        <v>100</v>
      </c>
      <c r="C287" s="1">
        <f>IFERROR(__xludf.DUMMYFUNCTION("""COMPUTED_VALUE"""),100.0)</f>
        <v>100</v>
      </c>
      <c r="D287" s="1">
        <f>IFERROR(__xludf.DUMMYFUNCTION("""COMPUTED_VALUE"""),100.0)</f>
        <v>100</v>
      </c>
      <c r="E287" s="1">
        <f>IFERROR(__xludf.DUMMYFUNCTION("""COMPUTED_VALUE"""),100.0)</f>
        <v>100</v>
      </c>
      <c r="F287" s="1">
        <f>IFERROR(__xludf.DUMMYFUNCTION("""COMPUTED_VALUE"""),100.0)</f>
        <v>100</v>
      </c>
      <c r="G287" s="1">
        <f>IFERROR(__xludf.DUMMYFUNCTION("""COMPUTED_VALUE"""),100.0)</f>
        <v>100</v>
      </c>
      <c r="H287" s="1">
        <f>IFERROR(__xludf.DUMMYFUNCTION("""COMPUTED_VALUE"""),100.0)</f>
        <v>100</v>
      </c>
      <c r="I287" s="1">
        <f>IFERROR(__xludf.DUMMYFUNCTION("""COMPUTED_VALUE"""),100.0)</f>
        <v>100</v>
      </c>
      <c r="J287" s="1">
        <f>IFERROR(__xludf.DUMMYFUNCTION("""COMPUTED_VALUE"""),100.0)</f>
        <v>100</v>
      </c>
      <c r="K287" s="1">
        <f>IFERROR(__xludf.DUMMYFUNCTION("""COMPUTED_VALUE"""),100.0)</f>
        <v>100</v>
      </c>
      <c r="L287" s="1"/>
      <c r="M287" s="1"/>
      <c r="N287" s="1"/>
      <c r="O287" s="1">
        <f>IFERROR(__xludf.DUMMYFUNCTION("""COMPUTED_VALUE"""),100.0)</f>
        <v>100</v>
      </c>
      <c r="P287" s="1">
        <f>IFERROR(__xludf.DUMMYFUNCTION("""COMPUTED_VALUE"""),100.0)</f>
        <v>100</v>
      </c>
      <c r="Q287" s="1">
        <f>IFERROR(__xludf.DUMMYFUNCTION("""COMPUTED_VALUE"""),100.0)</f>
        <v>100</v>
      </c>
      <c r="R287" s="1">
        <f>IFERROR(__xludf.DUMMYFUNCTION("""COMPUTED_VALUE"""),100.0)</f>
        <v>100</v>
      </c>
      <c r="S287" s="1"/>
      <c r="T287" s="1" t="str">
        <f>IFERROR(__xludf.DUMMYFUNCTION("""COMPUTED_VALUE"""),"Immune")</f>
        <v>Immune</v>
      </c>
      <c r="U287" s="1"/>
      <c r="V287" s="1"/>
      <c r="W287" s="1"/>
      <c r="X287" s="1" t="str">
        <f>IFERROR(__xludf.DUMMYFUNCTION("""COMPUTED_VALUE"""),"Immune")</f>
        <v>Immune</v>
      </c>
      <c r="Y287" s="1" t="str">
        <f>IFERROR(__xludf.DUMMYFUNCTION("""COMPUTED_VALUE"""),"Immune")</f>
        <v>Immune</v>
      </c>
      <c r="Z287" s="1"/>
      <c r="AA287" s="1" t="str">
        <f>IFERROR(__xludf.DUMMYFUNCTION("""COMPUTED_VALUE"""),"Immune")</f>
        <v>Immune</v>
      </c>
      <c r="AB287" s="1"/>
      <c r="AC287" s="1"/>
      <c r="AD287" s="1"/>
      <c r="AE287" s="1"/>
      <c r="AF287" s="1"/>
      <c r="AG287" s="1"/>
      <c r="AH287" s="1"/>
      <c r="AI287" s="1"/>
      <c r="AJ287" s="1"/>
      <c r="AK287" s="1"/>
      <c r="AL287" s="1"/>
    </row>
    <row r="288">
      <c r="A288" s="1" t="str">
        <f>IFERROR(__xludf.DUMMYFUNCTION("""COMPUTED_VALUE"""),"Ninja Trainee (Dragonscale)")</f>
        <v>Ninja Trainee (Dragonscale)</v>
      </c>
      <c r="B288" s="1"/>
      <c r="C288" s="1"/>
      <c r="D288" s="1"/>
      <c r="E288" s="1"/>
      <c r="F288" s="1"/>
      <c r="G288" s="1">
        <f>IFERROR(__xludf.DUMMYFUNCTION("""COMPUTED_VALUE"""),250.0)</f>
        <v>250</v>
      </c>
      <c r="H288" s="1"/>
      <c r="I288" s="1"/>
      <c r="J288" s="1"/>
      <c r="K288" s="1"/>
      <c r="L288" s="1"/>
      <c r="M288" s="1"/>
      <c r="N288" s="1"/>
      <c r="O288" s="1"/>
      <c r="P288" s="1"/>
      <c r="Q288" s="1">
        <f>IFERROR(__xludf.DUMMYFUNCTION("""COMPUTED_VALUE"""),250.0)</f>
        <v>250</v>
      </c>
      <c r="R288" s="1">
        <f>IFERROR(__xludf.DUMMYFUNCTION("""COMPUTED_VALUE"""),250.0)</f>
        <v>250</v>
      </c>
      <c r="S288" s="1"/>
      <c r="T288" s="1"/>
      <c r="U288" s="1"/>
      <c r="V288" s="1"/>
      <c r="W288" s="1"/>
      <c r="X288" s="1" t="str">
        <f>IFERROR(__xludf.DUMMYFUNCTION("""COMPUTED_VALUE"""),"Immune")</f>
        <v>Immune</v>
      </c>
      <c r="Y288" s="1"/>
      <c r="Z288" s="1"/>
      <c r="AA288" s="1"/>
      <c r="AB288" s="1"/>
      <c r="AC288" s="1"/>
      <c r="AD288" s="1"/>
      <c r="AE288" s="1"/>
      <c r="AF288" s="1"/>
      <c r="AG288" s="1"/>
      <c r="AH288" s="1"/>
      <c r="AI288" s="1"/>
      <c r="AJ288" s="1"/>
      <c r="AK288" s="1"/>
      <c r="AL288" s="1"/>
    </row>
    <row r="289">
      <c r="A289" s="1" t="str">
        <f>IFERROR(__xludf.DUMMYFUNCTION("""COMPUTED_VALUE"""),"Ninja Ambusher (Dragonscale)")</f>
        <v>Ninja Ambusher (Dragonscale)</v>
      </c>
      <c r="B289" s="1"/>
      <c r="C289" s="1"/>
      <c r="D289" s="1"/>
      <c r="E289" s="1"/>
      <c r="F289" s="1"/>
      <c r="G289" s="1">
        <f>IFERROR(__xludf.DUMMYFUNCTION("""COMPUTED_VALUE"""),250.0)</f>
        <v>250</v>
      </c>
      <c r="H289" s="1"/>
      <c r="I289" s="1"/>
      <c r="J289" s="1"/>
      <c r="K289" s="1"/>
      <c r="L289" s="1"/>
      <c r="M289" s="1"/>
      <c r="N289" s="1"/>
      <c r="O289" s="1"/>
      <c r="P289" s="1"/>
      <c r="Q289" s="1">
        <f>IFERROR(__xludf.DUMMYFUNCTION("""COMPUTED_VALUE"""),250.0)</f>
        <v>250</v>
      </c>
      <c r="R289" s="1">
        <f>IFERROR(__xludf.DUMMYFUNCTION("""COMPUTED_VALUE"""),250.0)</f>
        <v>250</v>
      </c>
      <c r="S289" s="1"/>
      <c r="T289" s="1"/>
      <c r="U289" s="1"/>
      <c r="V289" s="1"/>
      <c r="W289" s="1"/>
      <c r="X289" s="1" t="str">
        <f>IFERROR(__xludf.DUMMYFUNCTION("""COMPUTED_VALUE"""),"Immune")</f>
        <v>Immune</v>
      </c>
      <c r="Y289" s="1"/>
      <c r="Z289" s="1"/>
      <c r="AA289" s="1"/>
      <c r="AB289" s="1"/>
      <c r="AC289" s="1"/>
      <c r="AD289" s="1"/>
      <c r="AE289" s="1"/>
      <c r="AF289" s="1"/>
      <c r="AG289" s="1"/>
      <c r="AH289" s="1"/>
      <c r="AI289" s="1"/>
      <c r="AJ289" s="1"/>
      <c r="AK289" s="1"/>
      <c r="AL289" s="1"/>
    </row>
    <row r="290">
      <c r="A290" s="1" t="str">
        <f>IFERROR(__xludf.DUMMYFUNCTION("""COMPUTED_VALUE"""),"Ninja Poison Master (Dragonscale)")</f>
        <v>Ninja Poison Master (Dragonscale)</v>
      </c>
      <c r="B290" s="1"/>
      <c r="C290" s="1"/>
      <c r="D290" s="1"/>
      <c r="E290" s="1"/>
      <c r="F290" s="1"/>
      <c r="G290" s="1">
        <f>IFERROR(__xludf.DUMMYFUNCTION("""COMPUTED_VALUE"""),250.0)</f>
        <v>250</v>
      </c>
      <c r="H290" s="1"/>
      <c r="I290" s="1"/>
      <c r="J290" s="1"/>
      <c r="K290" s="1"/>
      <c r="L290" s="1"/>
      <c r="M290" s="1"/>
      <c r="N290" s="1"/>
      <c r="O290" s="1"/>
      <c r="P290" s="1"/>
      <c r="Q290" s="1">
        <f>IFERROR(__xludf.DUMMYFUNCTION("""COMPUTED_VALUE"""),250.0)</f>
        <v>250</v>
      </c>
      <c r="R290" s="1">
        <f>IFERROR(__xludf.DUMMYFUNCTION("""COMPUTED_VALUE"""),250.0)</f>
        <v>250</v>
      </c>
      <c r="S290" s="1"/>
      <c r="T290" s="1" t="str">
        <f>IFERROR(__xludf.DUMMYFUNCTION("""COMPUTED_VALUE"""),"Immune")</f>
        <v>Immune</v>
      </c>
      <c r="U290" s="1"/>
      <c r="V290" s="1"/>
      <c r="W290" s="1"/>
      <c r="X290" s="1" t="str">
        <f>IFERROR(__xludf.DUMMYFUNCTION("""COMPUTED_VALUE"""),"Immune")</f>
        <v>Immune</v>
      </c>
      <c r="Y290" s="1"/>
      <c r="Z290" s="1"/>
      <c r="AA290" s="1"/>
      <c r="AB290" s="1"/>
      <c r="AC290" s="1"/>
      <c r="AD290" s="1"/>
      <c r="AE290" s="1"/>
      <c r="AF290" s="1"/>
      <c r="AG290" s="1"/>
      <c r="AH290" s="1"/>
      <c r="AI290" s="1"/>
      <c r="AJ290" s="1"/>
      <c r="AK290" s="1"/>
      <c r="AL290" s="1"/>
    </row>
    <row r="291">
      <c r="A291" s="1" t="str">
        <f>IFERROR(__xludf.DUMMYFUNCTION("""COMPUTED_VALUE"""),"Ninja Master (Dragonscale)")</f>
        <v>Ninja Master (Dragonscale)</v>
      </c>
      <c r="B291" s="1"/>
      <c r="C291" s="1"/>
      <c r="D291" s="1"/>
      <c r="E291" s="1"/>
      <c r="F291" s="1"/>
      <c r="G291" s="1">
        <f>IFERROR(__xludf.DUMMYFUNCTION("""COMPUTED_VALUE"""),500.0)</f>
        <v>500</v>
      </c>
      <c r="H291" s="1"/>
      <c r="I291" s="1"/>
      <c r="J291" s="1"/>
      <c r="K291" s="1"/>
      <c r="L291" s="1"/>
      <c r="M291" s="1"/>
      <c r="N291" s="1"/>
      <c r="O291" s="1"/>
      <c r="P291" s="1"/>
      <c r="Q291" s="1" t="str">
        <f>IFERROR(__xludf.DUMMYFUNCTION("""COMPUTED_VALUE"""),"Immune")</f>
        <v>Immune</v>
      </c>
      <c r="R291" s="1" t="str">
        <f>IFERROR(__xludf.DUMMYFUNCTION("""COMPUTED_VALUE"""),"Immune")</f>
        <v>Immune</v>
      </c>
      <c r="S291" s="1"/>
      <c r="T291" s="1" t="str">
        <f>IFERROR(__xludf.DUMMYFUNCTION("""COMPUTED_VALUE"""),"Immune")</f>
        <v>Immune</v>
      </c>
      <c r="U291" s="1"/>
      <c r="V291" s="1"/>
      <c r="W291" s="1"/>
      <c r="X291" s="1" t="str">
        <f>IFERROR(__xludf.DUMMYFUNCTION("""COMPUTED_VALUE"""),"Immune")</f>
        <v>Immune</v>
      </c>
      <c r="Y291" s="1" t="str">
        <f>IFERROR(__xludf.DUMMYFUNCTION("""COMPUTED_VALUE"""),"Immune")</f>
        <v>Immune</v>
      </c>
      <c r="Z291" s="1"/>
      <c r="AA291" s="1" t="str">
        <f>IFERROR(__xludf.DUMMYFUNCTION("""COMPUTED_VALUE"""),"Immune")</f>
        <v>Immune</v>
      </c>
      <c r="AB291" s="1"/>
      <c r="AC291" s="1"/>
      <c r="AD291" s="1"/>
      <c r="AE291" s="1"/>
      <c r="AF291" s="1"/>
      <c r="AG291" s="1"/>
      <c r="AH291" s="1"/>
      <c r="AI291" s="1"/>
      <c r="AJ291" s="1"/>
      <c r="AK291" s="1"/>
      <c r="AL291" s="1"/>
    </row>
    <row r="292">
      <c r="A292" s="1" t="str">
        <f>IFERROR(__xludf.DUMMYFUNCTION("""COMPUTED_VALUE"""),"Wolf")</f>
        <v>Wolf</v>
      </c>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row>
    <row r="293">
      <c r="A293" s="1" t="str">
        <f>IFERROR(__xludf.DUMMYFUNCTION("""COMPUTED_VALUE"""),"Fire Wyrm")</f>
        <v>Fire Wyrm</v>
      </c>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row>
    <row r="294">
      <c r="A294" s="1" t="str">
        <f>IFERROR(__xludf.DUMMYFUNCTION("""COMPUTED_VALUE"""),"Storm Wyrm")</f>
        <v>Storm Wyrm</v>
      </c>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row>
    <row r="295">
      <c r="A295" s="1" t="str">
        <f>IFERROR(__xludf.DUMMYFUNCTION("""COMPUTED_VALUE"""),"Earth Wyrm")</f>
        <v>Earth Wyrm</v>
      </c>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row>
    <row r="296">
      <c r="A296" s="1" t="str">
        <f>IFERROR(__xludf.DUMMYFUNCTION("""COMPUTED_VALUE"""),"Water Wyrm")</f>
        <v>Water Wyrm</v>
      </c>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row>
    <row r="297">
      <c r="A297" s="1" t="str">
        <f>IFERROR(__xludf.DUMMYFUNCTION("""COMPUTED_VALUE"""),"Nature Wyrm")</f>
        <v>Nature Wyrm</v>
      </c>
      <c r="B297" s="1"/>
      <c r="C297" s="1"/>
      <c r="D297" s="1"/>
      <c r="E297" s="1"/>
      <c r="F297" s="1"/>
      <c r="G297" s="1"/>
      <c r="H297" s="1"/>
      <c r="I297" s="1"/>
      <c r="J297" s="1"/>
      <c r="K297" s="1">
        <f>IFERROR(__xludf.DUMMYFUNCTION("""COMPUTED_VALUE"""),50.0)</f>
        <v>50</v>
      </c>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row>
    <row r="298">
      <c r="A298" s="1" t="str">
        <f>IFERROR(__xludf.DUMMYFUNCTION("""COMPUTED_VALUE"""),"Imp")</f>
        <v>Imp</v>
      </c>
      <c r="B298" s="1"/>
      <c r="C298" s="1"/>
      <c r="D298" s="1"/>
      <c r="E298" s="1"/>
      <c r="F298" s="1"/>
      <c r="G298" s="1">
        <f>IFERROR(__xludf.DUMMYFUNCTION("""COMPUTED_VALUE"""),50.0)</f>
        <v>50</v>
      </c>
      <c r="H298" s="1"/>
      <c r="I298" s="1"/>
      <c r="J298" s="1">
        <f>IFERROR(__xludf.DUMMYFUNCTION("""COMPUTED_VALUE"""),50.0)</f>
        <v>50</v>
      </c>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row>
    <row r="299">
      <c r="A299" s="1" t="str">
        <f>IFERROR(__xludf.DUMMYFUNCTION("""COMPUTED_VALUE"""),"Lesser tengu")</f>
        <v>Lesser tengu</v>
      </c>
      <c r="B299" s="1"/>
      <c r="C299" s="1"/>
      <c r="D299" s="1"/>
      <c r="E299" s="1"/>
      <c r="F299" s="1">
        <f>IFERROR(__xludf.DUMMYFUNCTION("""COMPUTED_VALUE"""),50.0)</f>
        <v>50</v>
      </c>
      <c r="G299" s="1"/>
      <c r="H299" s="1"/>
      <c r="I299" s="1">
        <f>IFERROR(__xludf.DUMMYFUNCTION("""COMPUTED_VALUE"""),50.0)</f>
        <v>50</v>
      </c>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row>
    <row r="300">
      <c r="A300" s="1" t="str">
        <f>IFERROR(__xludf.DUMMYFUNCTION("""COMPUTED_VALUE"""),"Master Inugima of the Amphibuki")</f>
        <v>Master Inugima of the Amphibuki</v>
      </c>
      <c r="B300" s="1"/>
      <c r="C300" s="1"/>
      <c r="D300" s="1"/>
      <c r="E300" s="1"/>
      <c r="F300" s="1"/>
      <c r="G300" s="1"/>
      <c r="H300" s="1"/>
      <c r="I300" s="1"/>
      <c r="J300" s="1"/>
      <c r="K300" s="1"/>
      <c r="L300" s="1"/>
      <c r="M300" s="1"/>
      <c r="N300" s="1"/>
      <c r="O300" s="1"/>
      <c r="P300" s="1"/>
      <c r="Q300" s="1" t="str">
        <f>IFERROR(__xludf.DUMMYFUNCTION("""COMPUTED_VALUE"""),"Immune")</f>
        <v>Immune</v>
      </c>
      <c r="R300" s="1" t="str">
        <f>IFERROR(__xludf.DUMMYFUNCTION("""COMPUTED_VALUE"""),"Immune")</f>
        <v>Immune</v>
      </c>
      <c r="S300" s="1"/>
      <c r="T300" s="1" t="str">
        <f>IFERROR(__xludf.DUMMYFUNCTION("""COMPUTED_VALUE"""),"Immune")</f>
        <v>Immune</v>
      </c>
      <c r="U300" s="1"/>
      <c r="V300" s="1"/>
      <c r="W300" s="1"/>
      <c r="X300" s="1" t="str">
        <f>IFERROR(__xludf.DUMMYFUNCTION("""COMPUTED_VALUE"""),"Immune")</f>
        <v>Immune</v>
      </c>
      <c r="Y300" s="1" t="str">
        <f>IFERROR(__xludf.DUMMYFUNCTION("""COMPUTED_VALUE"""),"Immune")</f>
        <v>Immune</v>
      </c>
      <c r="Z300" s="1"/>
      <c r="AA300" s="1" t="str">
        <f>IFERROR(__xludf.DUMMYFUNCTION("""COMPUTED_VALUE"""),"Immune")</f>
        <v>Immune</v>
      </c>
      <c r="AB300" s="1"/>
      <c r="AC300" s="1"/>
      <c r="AD300" s="1"/>
      <c r="AE300" s="1"/>
      <c r="AF300" s="1"/>
      <c r="AG300" s="1"/>
      <c r="AH300" s="1"/>
      <c r="AI300" s="1"/>
      <c r="AJ300" s="1"/>
      <c r="AK300" s="1"/>
      <c r="AL300" s="1"/>
    </row>
    <row r="301">
      <c r="A301" s="1" t="str">
        <f>IFERROR(__xludf.DUMMYFUNCTION("""COMPUTED_VALUE"""),"Master Inugima Clone")</f>
        <v>Master Inugima Clone</v>
      </c>
      <c r="B301" s="1"/>
      <c r="C301" s="1"/>
      <c r="D301" s="1"/>
      <c r="E301" s="1"/>
      <c r="F301" s="1"/>
      <c r="G301" s="1"/>
      <c r="H301" s="1"/>
      <c r="I301" s="1"/>
      <c r="J301" s="1"/>
      <c r="K301" s="1"/>
      <c r="L301" s="1"/>
      <c r="M301" s="1"/>
      <c r="N301" s="1"/>
      <c r="O301" s="1"/>
      <c r="P301" s="1"/>
      <c r="Q301" s="1" t="str">
        <f>IFERROR(__xludf.DUMMYFUNCTION("""COMPUTED_VALUE"""),"Immune")</f>
        <v>Immune</v>
      </c>
      <c r="R301" s="1" t="str">
        <f>IFERROR(__xludf.DUMMYFUNCTION("""COMPUTED_VALUE"""),"Immune")</f>
        <v>Immune</v>
      </c>
      <c r="S301" s="1"/>
      <c r="T301" s="1" t="str">
        <f>IFERROR(__xludf.DUMMYFUNCTION("""COMPUTED_VALUE"""),"Immune")</f>
        <v>Immune</v>
      </c>
      <c r="U301" s="1"/>
      <c r="V301" s="1"/>
      <c r="W301" s="1"/>
      <c r="X301" s="1" t="str">
        <f>IFERROR(__xludf.DUMMYFUNCTION("""COMPUTED_VALUE"""),"Immune")</f>
        <v>Immune</v>
      </c>
      <c r="Y301" s="1" t="str">
        <f>IFERROR(__xludf.DUMMYFUNCTION("""COMPUTED_VALUE"""),"Immune")</f>
        <v>Immune</v>
      </c>
      <c r="Z301" s="1"/>
      <c r="AA301" s="1" t="str">
        <f>IFERROR(__xludf.DUMMYFUNCTION("""COMPUTED_VALUE"""),"Immune")</f>
        <v>Immune</v>
      </c>
      <c r="AB301" s="1"/>
      <c r="AC301" s="1"/>
      <c r="AD301" s="1"/>
      <c r="AE301" s="1"/>
      <c r="AF301" s="1"/>
      <c r="AG301" s="1"/>
      <c r="AH301" s="1"/>
      <c r="AI301" s="1"/>
      <c r="AJ301" s="1"/>
      <c r="AK301" s="1"/>
      <c r="AL301" s="1"/>
    </row>
    <row r="302">
      <c r="A302" s="1" t="str">
        <f>IFERROR(__xludf.DUMMYFUNCTION("""COMPUTED_VALUE"""),"Emerald Dragon")</f>
        <v>Emerald Dragon</v>
      </c>
      <c r="B302" s="1"/>
      <c r="C302" s="1"/>
      <c r="D302" s="1"/>
      <c r="E302" s="1">
        <f>IFERROR(__xludf.DUMMYFUNCTION("""COMPUTED_VALUE"""),100.0)</f>
        <v>100</v>
      </c>
      <c r="F302" s="1"/>
      <c r="G302" s="1"/>
      <c r="H302" s="1"/>
      <c r="I302" s="1"/>
      <c r="J302" s="1"/>
      <c r="K302" s="1">
        <f>IFERROR(__xludf.DUMMYFUNCTION("""COMPUTED_VALUE"""),100.0)</f>
        <v>100</v>
      </c>
      <c r="L302" s="1"/>
      <c r="M302" s="1"/>
      <c r="N302" s="1"/>
      <c r="O302" s="1"/>
      <c r="P302" s="1"/>
      <c r="Q302" s="1"/>
      <c r="R302" s="1"/>
      <c r="S302" s="1"/>
      <c r="T302" s="1"/>
      <c r="U302" s="1"/>
      <c r="V302" s="1"/>
      <c r="W302" s="1"/>
      <c r="X302" s="1" t="str">
        <f>IFERROR(__xludf.DUMMYFUNCTION("""COMPUTED_VALUE"""),"Immune")</f>
        <v>Immune</v>
      </c>
      <c r="Y302" s="1" t="str">
        <f>IFERROR(__xludf.DUMMYFUNCTION("""COMPUTED_VALUE"""),"Immune")</f>
        <v>Immune</v>
      </c>
      <c r="Z302" s="1"/>
      <c r="AA302" s="1" t="str">
        <f>IFERROR(__xludf.DUMMYFUNCTION("""COMPUTED_VALUE"""),"Immune")</f>
        <v>Immune</v>
      </c>
      <c r="AB302" s="1"/>
      <c r="AC302" s="1"/>
      <c r="AD302" s="1"/>
      <c r="AE302" s="1"/>
      <c r="AF302" s="1"/>
      <c r="AG302" s="1"/>
      <c r="AH302" s="1"/>
      <c r="AI302" s="1"/>
      <c r="AJ302" s="1"/>
      <c r="AK302" s="1"/>
      <c r="AL302" s="1"/>
    </row>
    <row r="303">
      <c r="A303" s="1" t="str">
        <f>IFERROR(__xludf.DUMMYFUNCTION("""COMPUTED_VALUE"""),"Ruby Dragon")</f>
        <v>Ruby Dragon</v>
      </c>
      <c r="B303" s="1">
        <f>IFERROR(__xludf.DUMMYFUNCTION("""COMPUTED_VALUE"""),100.0)</f>
        <v>100</v>
      </c>
      <c r="C303" s="1"/>
      <c r="D303" s="1"/>
      <c r="E303" s="1">
        <f>IFERROR(__xludf.DUMMYFUNCTION("""COMPUTED_VALUE"""),100.0)</f>
        <v>100</v>
      </c>
      <c r="F303" s="1"/>
      <c r="G303" s="1"/>
      <c r="H303" s="1"/>
      <c r="I303" s="1"/>
      <c r="J303" s="1"/>
      <c r="K303" s="1"/>
      <c r="L303" s="1"/>
      <c r="M303" s="1"/>
      <c r="N303" s="1"/>
      <c r="O303" s="1"/>
      <c r="P303" s="1"/>
      <c r="Q303" s="1"/>
      <c r="R303" s="1"/>
      <c r="S303" s="1"/>
      <c r="T303" s="1"/>
      <c r="U303" s="1"/>
      <c r="V303" s="1"/>
      <c r="W303" s="1"/>
      <c r="X303" s="1" t="str">
        <f>IFERROR(__xludf.DUMMYFUNCTION("""COMPUTED_VALUE"""),"Immune")</f>
        <v>Immune</v>
      </c>
      <c r="Y303" s="1" t="str">
        <f>IFERROR(__xludf.DUMMYFUNCTION("""COMPUTED_VALUE"""),"Immune")</f>
        <v>Immune</v>
      </c>
      <c r="Z303" s="1"/>
      <c r="AA303" s="1" t="str">
        <f>IFERROR(__xludf.DUMMYFUNCTION("""COMPUTED_VALUE"""),"Immune")</f>
        <v>Immune</v>
      </c>
      <c r="AB303" s="1"/>
      <c r="AC303" s="1"/>
      <c r="AD303" s="1"/>
      <c r="AE303" s="1"/>
      <c r="AF303" s="1"/>
      <c r="AG303" s="1"/>
      <c r="AH303" s="1"/>
      <c r="AI303" s="1"/>
      <c r="AJ303" s="1"/>
      <c r="AK303" s="1"/>
      <c r="AL303" s="1"/>
    </row>
    <row r="304">
      <c r="A304" s="1" t="str">
        <f>IFERROR(__xludf.DUMMYFUNCTION("""COMPUTED_VALUE"""),"Sapphire Dragon")</f>
        <v>Sapphire Dragon</v>
      </c>
      <c r="B304" s="1" t="str">
        <f>IFERROR(__xludf.DUMMYFUNCTION("""COMPUTED_VALUE"""),"Immune")</f>
        <v>Immune</v>
      </c>
      <c r="C304" s="1">
        <f>IFERROR(__xludf.DUMMYFUNCTION("""COMPUTED_VALUE"""),100.0)</f>
        <v>100</v>
      </c>
      <c r="D304" s="1"/>
      <c r="E304" s="1">
        <f>IFERROR(__xludf.DUMMYFUNCTION("""COMPUTED_VALUE"""),100.0)</f>
        <v>100</v>
      </c>
      <c r="F304" s="1"/>
      <c r="G304" s="1"/>
      <c r="H304" s="1"/>
      <c r="I304" s="1"/>
      <c r="J304" s="1"/>
      <c r="K304" s="1"/>
      <c r="L304" s="1"/>
      <c r="M304" s="1"/>
      <c r="N304" s="1"/>
      <c r="O304" s="1"/>
      <c r="P304" s="1"/>
      <c r="Q304" s="1"/>
      <c r="R304" s="1"/>
      <c r="S304" s="1"/>
      <c r="T304" s="1"/>
      <c r="U304" s="1"/>
      <c r="V304" s="1"/>
      <c r="W304" s="1"/>
      <c r="X304" s="1" t="str">
        <f>IFERROR(__xludf.DUMMYFUNCTION("""COMPUTED_VALUE"""),"Immune")</f>
        <v>Immune</v>
      </c>
      <c r="Y304" s="1" t="str">
        <f>IFERROR(__xludf.DUMMYFUNCTION("""COMPUTED_VALUE"""),"Immune")</f>
        <v>Immune</v>
      </c>
      <c r="Z304" s="1"/>
      <c r="AA304" s="1" t="str">
        <f>IFERROR(__xludf.DUMMYFUNCTION("""COMPUTED_VALUE"""),"Immune")</f>
        <v>Immune</v>
      </c>
      <c r="AB304" s="1"/>
      <c r="AC304" s="1"/>
      <c r="AD304" s="1"/>
      <c r="AE304" s="1"/>
      <c r="AF304" s="1"/>
      <c r="AG304" s="1"/>
      <c r="AH304" s="1"/>
      <c r="AI304" s="1"/>
      <c r="AJ304" s="1"/>
      <c r="AK304" s="1"/>
      <c r="AL304" s="1"/>
    </row>
    <row r="305">
      <c r="A305" s="1" t="str">
        <f>IFERROR(__xludf.DUMMYFUNCTION("""COMPUTED_VALUE"""),"Diamond Dragon")</f>
        <v>Diamond Dragon</v>
      </c>
      <c r="B305" s="1">
        <f>IFERROR(__xludf.DUMMYFUNCTION("""COMPUTED_VALUE"""),100.0)</f>
        <v>100</v>
      </c>
      <c r="C305" s="1"/>
      <c r="D305" s="1"/>
      <c r="E305" s="1">
        <f>IFERROR(__xludf.DUMMYFUNCTION("""COMPUTED_VALUE"""),100.0)</f>
        <v>100</v>
      </c>
      <c r="F305" s="1"/>
      <c r="G305" s="1"/>
      <c r="H305" s="1"/>
      <c r="I305" s="1"/>
      <c r="J305" s="1"/>
      <c r="K305" s="1"/>
      <c r="L305" s="1"/>
      <c r="M305" s="1"/>
      <c r="N305" s="1"/>
      <c r="O305" s="1"/>
      <c r="P305" s="1">
        <f>IFERROR(__xludf.DUMMYFUNCTION("""COMPUTED_VALUE"""),100.0)</f>
        <v>100</v>
      </c>
      <c r="Q305" s="1"/>
      <c r="R305" s="1"/>
      <c r="S305" s="1"/>
      <c r="T305" s="1"/>
      <c r="U305" s="1"/>
      <c r="V305" s="1"/>
      <c r="W305" s="1"/>
      <c r="X305" s="1" t="str">
        <f>IFERROR(__xludf.DUMMYFUNCTION("""COMPUTED_VALUE"""),"Immune")</f>
        <v>Immune</v>
      </c>
      <c r="Y305" s="1" t="str">
        <f>IFERROR(__xludf.DUMMYFUNCTION("""COMPUTED_VALUE"""),"Immune")</f>
        <v>Immune</v>
      </c>
      <c r="Z305" s="1"/>
      <c r="AA305" s="1" t="str">
        <f>IFERROR(__xludf.DUMMYFUNCTION("""COMPUTED_VALUE"""),"Immune")</f>
        <v>Immune</v>
      </c>
      <c r="AB305" s="1"/>
      <c r="AC305" s="1"/>
      <c r="AD305" s="1"/>
      <c r="AE305" s="1"/>
      <c r="AF305" s="1"/>
      <c r="AG305" s="1"/>
      <c r="AH305" s="1"/>
      <c r="AI305" s="1"/>
      <c r="AJ305" s="1"/>
      <c r="AK305" s="1"/>
      <c r="AL305" s="1"/>
    </row>
    <row r="306">
      <c r="A306" s="1" t="str">
        <f>IFERROR(__xludf.DUMMYFUNCTION("""COMPUTED_VALUE"""),"Moonstone Dragon")</f>
        <v>Moonstone Dragon</v>
      </c>
      <c r="B306" s="1"/>
      <c r="C306" s="1"/>
      <c r="D306" s="1"/>
      <c r="E306" s="1">
        <f>IFERROR(__xludf.DUMMYFUNCTION("""COMPUTED_VALUE"""),100.0)</f>
        <v>100</v>
      </c>
      <c r="F306" s="1"/>
      <c r="G306" s="1"/>
      <c r="H306" s="1"/>
      <c r="I306" s="1"/>
      <c r="J306" s="1"/>
      <c r="K306" s="1"/>
      <c r="L306" s="1"/>
      <c r="M306" s="1"/>
      <c r="N306" s="1"/>
      <c r="O306" s="1"/>
      <c r="P306" s="1"/>
      <c r="Q306" s="1"/>
      <c r="R306" s="1"/>
      <c r="S306" s="1"/>
      <c r="T306" s="1"/>
      <c r="U306" s="1"/>
      <c r="V306" s="1" t="str">
        <f>IFERROR(__xludf.DUMMYFUNCTION("""COMPUTED_VALUE"""),"Immune")</f>
        <v>Immune</v>
      </c>
      <c r="W306" s="1"/>
      <c r="X306" s="1" t="str">
        <f>IFERROR(__xludf.DUMMYFUNCTION("""COMPUTED_VALUE"""),"Immune")</f>
        <v>Immune</v>
      </c>
      <c r="Y306" s="1" t="str">
        <f>IFERROR(__xludf.DUMMYFUNCTION("""COMPUTED_VALUE"""),"Immune")</f>
        <v>Immune</v>
      </c>
      <c r="Z306" s="1"/>
      <c r="AA306" s="1" t="str">
        <f>IFERROR(__xludf.DUMMYFUNCTION("""COMPUTED_VALUE"""),"Immune")</f>
        <v>Immune</v>
      </c>
      <c r="AB306" s="1"/>
      <c r="AC306" s="1"/>
      <c r="AD306" s="1"/>
      <c r="AE306" s="1"/>
      <c r="AF306" s="1"/>
      <c r="AG306" s="1"/>
      <c r="AH306" s="1"/>
      <c r="AI306" s="1"/>
      <c r="AJ306" s="1"/>
      <c r="AK306" s="1"/>
      <c r="AL306" s="1"/>
    </row>
    <row r="307">
      <c r="A307" s="1" t="str">
        <f>IFERROR(__xludf.DUMMYFUNCTION("""COMPUTED_VALUE"""),"Sunstone Dragon")</f>
        <v>Sunstone Dragon</v>
      </c>
      <c r="B307" s="1"/>
      <c r="C307" s="1"/>
      <c r="D307" s="1"/>
      <c r="E307" s="1">
        <f>IFERROR(__xludf.DUMMYFUNCTION("""COMPUTED_VALUE"""),100.0)</f>
        <v>100</v>
      </c>
      <c r="F307" s="1"/>
      <c r="G307" s="1"/>
      <c r="H307" s="1"/>
      <c r="I307" s="1"/>
      <c r="J307" s="1"/>
      <c r="K307" s="1"/>
      <c r="L307" s="1"/>
      <c r="M307" s="1"/>
      <c r="N307" s="1"/>
      <c r="O307" s="1"/>
      <c r="P307" s="1"/>
      <c r="Q307" s="1"/>
      <c r="R307" s="1"/>
      <c r="S307" s="1"/>
      <c r="T307" s="1"/>
      <c r="U307" s="1"/>
      <c r="V307" s="1"/>
      <c r="W307" s="1" t="str">
        <f>IFERROR(__xludf.DUMMYFUNCTION("""COMPUTED_VALUE"""),"Immune")</f>
        <v>Immune</v>
      </c>
      <c r="X307" s="1" t="str">
        <f>IFERROR(__xludf.DUMMYFUNCTION("""COMPUTED_VALUE"""),"Immune")</f>
        <v>Immune</v>
      </c>
      <c r="Y307" s="1" t="str">
        <f>IFERROR(__xludf.DUMMYFUNCTION("""COMPUTED_VALUE"""),"Immune")</f>
        <v>Immune</v>
      </c>
      <c r="Z307" s="1"/>
      <c r="AA307" s="1" t="str">
        <f>IFERROR(__xludf.DUMMYFUNCTION("""COMPUTED_VALUE"""),"Immune")</f>
        <v>Immune</v>
      </c>
      <c r="AB307" s="1"/>
      <c r="AC307" s="1"/>
      <c r="AD307" s="1"/>
      <c r="AE307" s="1"/>
      <c r="AF307" s="1"/>
      <c r="AG307" s="1"/>
      <c r="AH307" s="1"/>
      <c r="AI307" s="1"/>
      <c r="AJ307" s="1"/>
      <c r="AK307" s="1"/>
      <c r="AL307" s="1"/>
    </row>
    <row r="308">
      <c r="A308" s="1" t="str">
        <f>IFERROR(__xludf.DUMMYFUNCTION("""COMPUTED_VALUE"""),"Pirate")</f>
        <v>Pirate</v>
      </c>
      <c r="B308" s="1"/>
      <c r="C308" s="1"/>
      <c r="D308" s="1"/>
      <c r="E308" s="1"/>
      <c r="F308" s="1"/>
      <c r="G308" s="1"/>
      <c r="H308" s="1"/>
      <c r="I308" s="1"/>
      <c r="J308" s="1"/>
      <c r="K308" s="1"/>
      <c r="L308" s="1" t="str">
        <f>IFERROR(__xludf.DUMMYFUNCTION("""COMPUTED_VALUE"""),"Immune")</f>
        <v>Immune</v>
      </c>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row>
    <row r="309">
      <c r="A309" s="1" t="str">
        <f>IFERROR(__xludf.DUMMYFUNCTION("""COMPUTED_VALUE"""),"Pirate Captain")</f>
        <v>Pirate Captain</v>
      </c>
      <c r="B309" s="1"/>
      <c r="C309" s="1" t="str">
        <f>IFERROR(__xludf.DUMMYFUNCTION("""COMPUTED_VALUE"""),"Immune")</f>
        <v>Immune</v>
      </c>
      <c r="D309" s="1" t="str">
        <f>IFERROR(__xludf.DUMMYFUNCTION("""COMPUTED_VALUE"""),"Immune")</f>
        <v>Immune</v>
      </c>
      <c r="E309" s="1"/>
      <c r="F309" s="1"/>
      <c r="G309" s="1"/>
      <c r="H309" s="1"/>
      <c r="I309" s="1"/>
      <c r="J309" s="1"/>
      <c r="K309" s="1"/>
      <c r="L309" s="1" t="str">
        <f>IFERROR(__xludf.DUMMYFUNCTION("""COMPUTED_VALUE"""),"Immune")</f>
        <v>Immune</v>
      </c>
      <c r="M309" s="1"/>
      <c r="N309" s="1"/>
      <c r="O309" s="1"/>
      <c r="P309" s="1"/>
      <c r="Q309" s="1"/>
      <c r="R309" s="1"/>
      <c r="S309" s="1"/>
      <c r="T309" s="1"/>
      <c r="U309" s="1"/>
      <c r="V309" s="1"/>
      <c r="W309" s="1"/>
      <c r="X309" s="1" t="str">
        <f>IFERROR(__xludf.DUMMYFUNCTION("""COMPUTED_VALUE"""),"Immune")</f>
        <v>Immune</v>
      </c>
      <c r="Y309" s="1" t="str">
        <f>IFERROR(__xludf.DUMMYFUNCTION("""COMPUTED_VALUE"""),"Immune")</f>
        <v>Immune</v>
      </c>
      <c r="Z309" s="1"/>
      <c r="AA309" s="1" t="str">
        <f>IFERROR(__xludf.DUMMYFUNCTION("""COMPUTED_VALUE"""),"Immune")</f>
        <v>Immune</v>
      </c>
      <c r="AB309" s="1"/>
      <c r="AC309" s="1"/>
      <c r="AD309" s="1"/>
      <c r="AE309" s="1"/>
      <c r="AF309" s="1"/>
      <c r="AG309" s="1"/>
      <c r="AH309" s="1"/>
      <c r="AI309" s="1"/>
      <c r="AJ309" s="1"/>
      <c r="AK309" s="1"/>
      <c r="AL309" s="1"/>
    </row>
    <row r="310">
      <c r="A310" s="1" t="str">
        <f>IFERROR(__xludf.DUMMYFUNCTION("""COMPUTED_VALUE"""),"The Crystal King")</f>
        <v>The Crystal King</v>
      </c>
      <c r="B310" s="1">
        <f>IFERROR(__xludf.DUMMYFUNCTION("""COMPUTED_VALUE"""),100.0)</f>
        <v>100</v>
      </c>
      <c r="C310" s="1"/>
      <c r="D310" s="1"/>
      <c r="E310" s="1" t="str">
        <f>IFERROR(__xludf.DUMMYFUNCTION("""COMPUTED_VALUE"""),"Immune")</f>
        <v>Immune</v>
      </c>
      <c r="F310" s="1"/>
      <c r="G310" s="1"/>
      <c r="H310" s="1"/>
      <c r="I310" s="1"/>
      <c r="J310" s="1"/>
      <c r="K310" s="1"/>
      <c r="L310" s="1"/>
      <c r="M310" s="1"/>
      <c r="N310" s="1"/>
      <c r="O310" s="1"/>
      <c r="P310" s="1"/>
      <c r="Q310" s="1"/>
      <c r="R310" s="1"/>
      <c r="S310" s="1"/>
      <c r="T310" s="1"/>
      <c r="U310" s="1"/>
      <c r="V310" s="1"/>
      <c r="W310" s="1"/>
      <c r="X310" s="1" t="str">
        <f>IFERROR(__xludf.DUMMYFUNCTION("""COMPUTED_VALUE"""),"Immune")</f>
        <v>Immune</v>
      </c>
      <c r="Y310" s="1" t="str">
        <f>IFERROR(__xludf.DUMMYFUNCTION("""COMPUTED_VALUE"""),"Immune")</f>
        <v>Immune</v>
      </c>
      <c r="Z310" s="1">
        <f>IFERROR(__xludf.DUMMYFUNCTION("""COMPUTED_VALUE"""),100.0)</f>
        <v>100</v>
      </c>
      <c r="AA310" s="1" t="str">
        <f>IFERROR(__xludf.DUMMYFUNCTION("""COMPUTED_VALUE"""),"Immune")</f>
        <v>Immune</v>
      </c>
      <c r="AB310" s="1"/>
      <c r="AC310" s="1"/>
      <c r="AD310" s="1"/>
      <c r="AE310" s="1"/>
      <c r="AF310" s="1"/>
      <c r="AG310" s="1"/>
      <c r="AH310" s="1"/>
      <c r="AI310" s="1"/>
      <c r="AJ310" s="1"/>
      <c r="AK310" s="1"/>
      <c r="AL310" s="1"/>
    </row>
    <row r="311">
      <c r="A311" s="1" t="str">
        <f>IFERROR(__xludf.DUMMYFUNCTION("""COMPUTED_VALUE"""),"Sand Worm")</f>
        <v>Sand Worm</v>
      </c>
      <c r="B311" s="1" t="str">
        <f>IFERROR(__xludf.DUMMYFUNCTION("""COMPUTED_VALUE"""),"Immune")</f>
        <v>Immune</v>
      </c>
      <c r="C311" s="1" t="str">
        <f>IFERROR(__xludf.DUMMYFUNCTION("""COMPUTED_VALUE"""),"Immune")</f>
        <v>Immune</v>
      </c>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row>
    <row r="312">
      <c r="A312" s="1" t="str">
        <f>IFERROR(__xludf.DUMMYFUNCTION("""COMPUTED_VALUE"""),"Water Elemental")</f>
        <v>Water Elemental</v>
      </c>
      <c r="B312" s="1">
        <f>IFERROR(__xludf.DUMMYFUNCTION("""COMPUTED_VALUE"""),100.0)</f>
        <v>100</v>
      </c>
      <c r="C312" s="1" t="str">
        <f>IFERROR(__xludf.DUMMYFUNCTION("""COMPUTED_VALUE"""),"Immune")</f>
        <v>Immune</v>
      </c>
      <c r="D312" s="1"/>
      <c r="E312" s="1"/>
      <c r="F312" s="1"/>
      <c r="G312" s="1"/>
      <c r="H312" s="1"/>
      <c r="I312" s="1"/>
      <c r="J312" s="1"/>
      <c r="K312" s="1"/>
      <c r="L312" s="1"/>
      <c r="M312" s="1"/>
      <c r="N312" s="1"/>
      <c r="O312" s="1"/>
      <c r="P312" s="1"/>
      <c r="Q312" s="1"/>
      <c r="R312" s="1" t="str">
        <f>IFERROR(__xludf.DUMMYFUNCTION("""COMPUTED_VALUE"""),"Immune")</f>
        <v>Immune</v>
      </c>
      <c r="S312" s="1"/>
      <c r="T312" s="1"/>
      <c r="U312" s="1"/>
      <c r="V312" s="1"/>
      <c r="W312" s="1"/>
      <c r="X312" s="1" t="str">
        <f>IFERROR(__xludf.DUMMYFUNCTION("""COMPUTED_VALUE"""),"Immune")</f>
        <v>Immune</v>
      </c>
      <c r="Y312" s="1"/>
      <c r="Z312" s="1"/>
      <c r="AA312" s="1" t="str">
        <f>IFERROR(__xludf.DUMMYFUNCTION("""COMPUTED_VALUE"""),"Immune")</f>
        <v>Immune</v>
      </c>
      <c r="AB312" s="1"/>
      <c r="AC312" s="1"/>
      <c r="AD312" s="1"/>
      <c r="AE312" s="1"/>
      <c r="AF312" s="1"/>
      <c r="AG312" s="1"/>
      <c r="AH312" s="1"/>
      <c r="AI312" s="1"/>
      <c r="AJ312" s="1"/>
      <c r="AK312" s="1"/>
      <c r="AL312" s="1"/>
    </row>
    <row r="313">
      <c r="A313" s="1" t="str">
        <f>IFERROR(__xludf.DUMMYFUNCTION("""COMPUTED_VALUE"""),"Mekanian Knight")</f>
        <v>Mekanian Knight</v>
      </c>
      <c r="B313" s="1"/>
      <c r="C313" s="1"/>
      <c r="D313" s="1" t="str">
        <f>IFERROR(__xludf.DUMMYFUNCTION("""COMPUTED_VALUE"""),"Immune")</f>
        <v>Immune</v>
      </c>
      <c r="E313" s="1"/>
      <c r="F313" s="1"/>
      <c r="G313" s="1"/>
      <c r="H313" s="1" t="str">
        <f>IFERROR(__xludf.DUMMYFUNCTION("""COMPUTED_VALUE"""),"Immune")</f>
        <v>Immune</v>
      </c>
      <c r="I313" s="1"/>
      <c r="J313" s="1"/>
      <c r="K313" s="1"/>
      <c r="L313" s="1"/>
      <c r="M313" s="1"/>
      <c r="N313" s="1"/>
      <c r="O313" s="1"/>
      <c r="P313" s="1"/>
      <c r="Q313" s="1"/>
      <c r="R313" s="1" t="str">
        <f>IFERROR(__xludf.DUMMYFUNCTION("""COMPUTED_VALUE"""),"Immune")</f>
        <v>Immune</v>
      </c>
      <c r="S313" s="1"/>
      <c r="T313" s="1"/>
      <c r="U313" s="1"/>
      <c r="V313" s="1"/>
      <c r="W313" s="1"/>
      <c r="X313" s="1" t="str">
        <f>IFERROR(__xludf.DUMMYFUNCTION("""COMPUTED_VALUE"""),"Immune")</f>
        <v>Immune</v>
      </c>
      <c r="Y313" s="1"/>
      <c r="Z313" s="1"/>
      <c r="AA313" s="1" t="str">
        <f>IFERROR(__xludf.DUMMYFUNCTION("""COMPUTED_VALUE"""),"Immune")</f>
        <v>Immune</v>
      </c>
      <c r="AB313" s="1"/>
      <c r="AC313" s="1"/>
      <c r="AD313" s="1"/>
      <c r="AE313" s="1"/>
      <c r="AF313" s="1"/>
      <c r="AG313" s="1"/>
      <c r="AH313" s="1"/>
      <c r="AI313" s="1"/>
      <c r="AJ313" s="1"/>
      <c r="AK313" s="1"/>
      <c r="AL313" s="1"/>
    </row>
    <row r="314">
      <c r="A314" s="1" t="str">
        <f>IFERROR(__xludf.DUMMYFUNCTION("""COMPUTED_VALUE"""),"Armored Car")</f>
        <v>Armored Car</v>
      </c>
      <c r="B314" s="1"/>
      <c r="C314" s="1"/>
      <c r="D314" s="1"/>
      <c r="E314" s="1"/>
      <c r="F314" s="1"/>
      <c r="G314" s="1"/>
      <c r="H314" s="1"/>
      <c r="I314" s="1"/>
      <c r="J314" s="1"/>
      <c r="K314" s="1"/>
      <c r="L314" s="1"/>
      <c r="M314" s="1"/>
      <c r="N314" s="1"/>
      <c r="O314" s="1"/>
      <c r="P314" s="1"/>
      <c r="Q314" s="1"/>
      <c r="R314" s="1"/>
      <c r="S314" s="1"/>
      <c r="T314" s="1"/>
      <c r="U314" s="1"/>
      <c r="V314" s="1"/>
      <c r="W314" s="1"/>
      <c r="X314" s="1"/>
      <c r="Y314" s="1"/>
      <c r="Z314" s="1" t="str">
        <f>IFERROR(__xludf.DUMMYFUNCTION("""COMPUTED_VALUE"""),"Immune")</f>
        <v>Immune</v>
      </c>
      <c r="AA314" s="1"/>
      <c r="AB314" s="1"/>
      <c r="AC314" s="1"/>
      <c r="AD314" s="1"/>
      <c r="AE314" s="1"/>
      <c r="AF314" s="1"/>
      <c r="AG314" s="1"/>
      <c r="AH314" s="1"/>
      <c r="AI314" s="1"/>
      <c r="AJ314" s="1"/>
      <c r="AK314" s="1"/>
      <c r="AL314" s="1"/>
    </row>
    <row r="315">
      <c r="A315" s="1" t="str">
        <f>IFERROR(__xludf.DUMMYFUNCTION("""COMPUTED_VALUE"""),"Tank")</f>
        <v>Tank</v>
      </c>
      <c r="B315" s="1"/>
      <c r="C315" s="1"/>
      <c r="D315" s="1"/>
      <c r="E315" s="1"/>
      <c r="F315" s="1"/>
      <c r="G315" s="1"/>
      <c r="H315" s="1"/>
      <c r="I315" s="1"/>
      <c r="J315" s="1"/>
      <c r="K315" s="1"/>
      <c r="L315" s="1"/>
      <c r="M315" s="1"/>
      <c r="N315" s="1"/>
      <c r="O315" s="1"/>
      <c r="P315" s="1"/>
      <c r="Q315" s="1"/>
      <c r="R315" s="1"/>
      <c r="S315" s="1"/>
      <c r="T315" s="1"/>
      <c r="U315" s="1"/>
      <c r="V315" s="1"/>
      <c r="W315" s="1"/>
      <c r="X315" s="1"/>
      <c r="Y315" s="1"/>
      <c r="Z315" s="1" t="str">
        <f>IFERROR(__xludf.DUMMYFUNCTION("""COMPUTED_VALUE"""),"Immune")</f>
        <v>Immune</v>
      </c>
      <c r="AA315" s="1"/>
      <c r="AB315" s="1"/>
      <c r="AC315" s="1"/>
      <c r="AD315" s="1"/>
      <c r="AE315" s="1"/>
      <c r="AF315" s="1"/>
      <c r="AG315" s="1"/>
      <c r="AH315" s="1"/>
      <c r="AI315" s="1"/>
      <c r="AJ315" s="1"/>
      <c r="AK315" s="1"/>
      <c r="AL315" s="1"/>
    </row>
    <row r="316">
      <c r="A316" s="1" t="str">
        <f>IFERROR(__xludf.DUMMYFUNCTION("""COMPUTED_VALUE"""),"ATV")</f>
        <v>ATV</v>
      </c>
      <c r="B316" s="1"/>
      <c r="C316" s="1"/>
      <c r="D316" s="1"/>
      <c r="E316" s="1"/>
      <c r="F316" s="1"/>
      <c r="G316" s="1"/>
      <c r="H316" s="1"/>
      <c r="I316" s="1"/>
      <c r="J316" s="1"/>
      <c r="K316" s="1"/>
      <c r="L316" s="1"/>
      <c r="M316" s="1"/>
      <c r="N316" s="1"/>
      <c r="O316" s="1"/>
      <c r="P316" s="1"/>
      <c r="Q316" s="1"/>
      <c r="R316" s="1"/>
      <c r="S316" s="1"/>
      <c r="T316" s="1"/>
      <c r="U316" s="1"/>
      <c r="V316" s="1"/>
      <c r="W316" s="1"/>
      <c r="X316" s="1"/>
      <c r="Y316" s="1"/>
      <c r="Z316" s="1" t="str">
        <f>IFERROR(__xludf.DUMMYFUNCTION("""COMPUTED_VALUE"""),"Immune")</f>
        <v>Immune</v>
      </c>
      <c r="AA316" s="1"/>
      <c r="AB316" s="1"/>
      <c r="AC316" s="1"/>
      <c r="AD316" s="1"/>
      <c r="AE316" s="1"/>
      <c r="AF316" s="1"/>
      <c r="AG316" s="1"/>
      <c r="AH316" s="1"/>
      <c r="AI316" s="1"/>
      <c r="AJ316" s="1"/>
      <c r="AK316" s="1"/>
      <c r="AL316" s="1"/>
    </row>
    <row r="317">
      <c r="A317" s="1" t="str">
        <f>IFERROR(__xludf.DUMMYFUNCTION("""COMPUTED_VALUE"""),"Battleship")</f>
        <v>Battleship</v>
      </c>
      <c r="B317" s="1"/>
      <c r="C317" s="1"/>
      <c r="D317" s="1"/>
      <c r="E317" s="1"/>
      <c r="F317" s="1"/>
      <c r="G317" s="1"/>
      <c r="H317" s="1"/>
      <c r="I317" s="1"/>
      <c r="J317" s="1"/>
      <c r="K317" s="1"/>
      <c r="L317" s="1"/>
      <c r="M317" s="1"/>
      <c r="N317" s="1"/>
      <c r="O317" s="1"/>
      <c r="P317" s="1"/>
      <c r="Q317" s="1"/>
      <c r="R317" s="1"/>
      <c r="S317" s="1"/>
      <c r="T317" s="1"/>
      <c r="U317" s="1"/>
      <c r="V317" s="1"/>
      <c r="W317" s="1"/>
      <c r="X317" s="1"/>
      <c r="Y317" s="1"/>
      <c r="Z317" s="1" t="str">
        <f>IFERROR(__xludf.DUMMYFUNCTION("""COMPUTED_VALUE"""),"Immune")</f>
        <v>Immune</v>
      </c>
      <c r="AA317" s="1"/>
      <c r="AB317" s="1"/>
      <c r="AC317" s="1"/>
      <c r="AD317" s="1"/>
      <c r="AE317" s="1"/>
      <c r="AF317" s="1"/>
      <c r="AG317" s="1"/>
      <c r="AH317" s="1"/>
      <c r="AI317" s="1"/>
      <c r="AJ317" s="1"/>
      <c r="AK317" s="1"/>
      <c r="AL317" s="1"/>
    </row>
    <row r="318">
      <c r="A318" s="1" t="str">
        <f>IFERROR(__xludf.DUMMYFUNCTION("""COMPUTED_VALUE"""),"Galleon")</f>
        <v>Galleon</v>
      </c>
      <c r="B318" s="1"/>
      <c r="C318" s="1"/>
      <c r="D318" s="1"/>
      <c r="E318" s="1"/>
      <c r="F318" s="1"/>
      <c r="G318" s="1"/>
      <c r="H318" s="1"/>
      <c r="I318" s="1"/>
      <c r="J318" s="1"/>
      <c r="K318" s="1"/>
      <c r="L318" s="1"/>
      <c r="M318" s="1"/>
      <c r="N318" s="1"/>
      <c r="O318" s="1"/>
      <c r="P318" s="1"/>
      <c r="Q318" s="1"/>
      <c r="R318" s="1"/>
      <c r="S318" s="1"/>
      <c r="T318" s="1"/>
      <c r="U318" s="1"/>
      <c r="V318" s="1"/>
      <c r="W318" s="1"/>
      <c r="X318" s="1"/>
      <c r="Y318" s="1"/>
      <c r="Z318" s="1" t="str">
        <f>IFERROR(__xludf.DUMMYFUNCTION("""COMPUTED_VALUE"""),"Immune")</f>
        <v>Immune</v>
      </c>
      <c r="AA318" s="1"/>
      <c r="AB318" s="1"/>
      <c r="AC318" s="1"/>
      <c r="AD318" s="1"/>
      <c r="AE318" s="1"/>
      <c r="AF318" s="1"/>
      <c r="AG318" s="1"/>
      <c r="AH318" s="1"/>
      <c r="AI318" s="1"/>
      <c r="AJ318" s="1"/>
      <c r="AK318" s="1"/>
      <c r="AL318" s="1"/>
    </row>
    <row r="319">
      <c r="A319" s="1" t="str">
        <f>IFERROR(__xludf.DUMMYFUNCTION("""COMPUTED_VALUE"""),"Submarine")</f>
        <v>Submarine</v>
      </c>
      <c r="B319" s="1"/>
      <c r="C319" s="1"/>
      <c r="D319" s="1"/>
      <c r="E319" s="1"/>
      <c r="F319" s="1"/>
      <c r="G319" s="1"/>
      <c r="H319" s="1"/>
      <c r="I319" s="1"/>
      <c r="J319" s="1"/>
      <c r="K319" s="1"/>
      <c r="L319" s="1"/>
      <c r="M319" s="1"/>
      <c r="N319" s="1"/>
      <c r="O319" s="1"/>
      <c r="P319" s="1"/>
      <c r="Q319" s="1"/>
      <c r="R319" s="1"/>
      <c r="S319" s="1"/>
      <c r="T319" s="1"/>
      <c r="U319" s="1"/>
      <c r="V319" s="1"/>
      <c r="W319" s="1"/>
      <c r="X319" s="1"/>
      <c r="Y319" s="1"/>
      <c r="Z319" s="1" t="str">
        <f>IFERROR(__xludf.DUMMYFUNCTION("""COMPUTED_VALUE"""),"Immune")</f>
        <v>Immune</v>
      </c>
      <c r="AA319" s="1"/>
      <c r="AB319" s="1"/>
      <c r="AC319" s="1"/>
      <c r="AD319" s="1"/>
      <c r="AE319" s="1"/>
      <c r="AF319" s="1"/>
      <c r="AG319" s="1"/>
      <c r="AH319" s="1"/>
      <c r="AI319" s="1"/>
      <c r="AJ319" s="1"/>
      <c r="AK319" s="1"/>
      <c r="AL319" s="1"/>
    </row>
    <row r="320">
      <c r="A320" s="1" t="str">
        <f>IFERROR(__xludf.DUMMYFUNCTION("""COMPUTED_VALUE"""),"Scarecrow Lord")</f>
        <v>Scarecrow Lord</v>
      </c>
      <c r="B320" s="1"/>
      <c r="C320" s="1"/>
      <c r="D320" s="1"/>
      <c r="E320" s="1"/>
      <c r="F320" s="1"/>
      <c r="G320" s="1" t="str">
        <f>IFERROR(__xludf.DUMMYFUNCTION("""COMPUTED_VALUE"""),"Immune")</f>
        <v>Immune</v>
      </c>
      <c r="H320" s="1" t="str">
        <f>IFERROR(__xludf.DUMMYFUNCTION("""COMPUTED_VALUE"""),"Immune")</f>
        <v>Immune</v>
      </c>
      <c r="I320" s="1"/>
      <c r="J320" s="1"/>
      <c r="K320" s="1"/>
      <c r="L320" s="1"/>
      <c r="M320" s="1"/>
      <c r="N320" s="1"/>
      <c r="O320" s="1"/>
      <c r="P320" s="1"/>
      <c r="Q320" s="1"/>
      <c r="R320" s="1"/>
      <c r="S320" s="1"/>
      <c r="T320" s="1"/>
      <c r="U320" s="1"/>
      <c r="V320" s="1"/>
      <c r="W320" s="1"/>
      <c r="X320" s="1" t="str">
        <f>IFERROR(__xludf.DUMMYFUNCTION("""COMPUTED_VALUE"""),"Immune")</f>
        <v>Immune</v>
      </c>
      <c r="Y320" s="1"/>
      <c r="Z320" s="1"/>
      <c r="AA320" s="1" t="str">
        <f>IFERROR(__xludf.DUMMYFUNCTION("""COMPUTED_VALUE"""),"Immune")</f>
        <v>Immune</v>
      </c>
      <c r="AB320" s="1"/>
      <c r="AC320" s="1"/>
      <c r="AD320" s="1"/>
      <c r="AE320" s="1"/>
      <c r="AF320" s="1"/>
      <c r="AG320" s="1"/>
      <c r="AH320" s="1"/>
      <c r="AI320" s="1"/>
      <c r="AJ320" s="1"/>
      <c r="AK320" s="1"/>
      <c r="AL320" s="1"/>
    </row>
    <row r="321">
      <c r="A321" s="1" t="str">
        <f>IFERROR(__xludf.DUMMYFUNCTION("""COMPUTED_VALUE"""),"Corrupted King Zorgod")</f>
        <v>Corrupted King Zorgod</v>
      </c>
      <c r="B321" s="1"/>
      <c r="C321" s="1"/>
      <c r="D321" s="1"/>
      <c r="E321" s="1"/>
      <c r="F321" s="1"/>
      <c r="G321" s="1" t="str">
        <f>IFERROR(__xludf.DUMMYFUNCTION("""COMPUTED_VALUE"""),"Immune")</f>
        <v>Immune</v>
      </c>
      <c r="H321" s="1"/>
      <c r="I321" s="1"/>
      <c r="J321" s="1"/>
      <c r="K321" s="1"/>
      <c r="L321" s="1"/>
      <c r="M321" s="1"/>
      <c r="N321" s="1"/>
      <c r="O321" s="1"/>
      <c r="P321" s="1"/>
      <c r="Q321" s="1"/>
      <c r="R321" s="1"/>
      <c r="S321" s="1"/>
      <c r="T321" s="1"/>
      <c r="U321" s="1"/>
      <c r="V321" s="1"/>
      <c r="W321" s="1"/>
      <c r="X321" s="1" t="str">
        <f>IFERROR(__xludf.DUMMYFUNCTION("""COMPUTED_VALUE"""),"Immune")</f>
        <v>Immune</v>
      </c>
      <c r="Y321" s="1"/>
      <c r="Z321" s="1"/>
      <c r="AA321" s="1" t="str">
        <f>IFERROR(__xludf.DUMMYFUNCTION("""COMPUTED_VALUE"""),"Immune")</f>
        <v>Immune</v>
      </c>
      <c r="AB321" s="1"/>
      <c r="AC321" s="1"/>
      <c r="AD321" s="1"/>
      <c r="AE321" s="1"/>
      <c r="AF321" s="1"/>
      <c r="AG321" s="1"/>
      <c r="AH321" s="1"/>
      <c r="AI321" s="1"/>
      <c r="AJ321" s="1"/>
      <c r="AK321" s="1"/>
      <c r="AL321" s="1"/>
    </row>
    <row r="322">
      <c r="A322" s="1" t="str">
        <f>IFERROR(__xludf.DUMMYFUNCTION("""COMPUTED_VALUE"""),"Vermouth The Sea Monkey King")</f>
        <v>Vermouth The Sea Monkey King</v>
      </c>
      <c r="B322" s="1" t="str">
        <f>IFERROR(__xludf.DUMMYFUNCTION("""COMPUTED_VALUE"""),"Immune")</f>
        <v>Immune</v>
      </c>
      <c r="C322" s="1" t="str">
        <f>IFERROR(__xludf.DUMMYFUNCTION("""COMPUTED_VALUE"""),"Immune")</f>
        <v>Immune</v>
      </c>
      <c r="D322" s="1"/>
      <c r="E322" s="1"/>
      <c r="F322" s="1"/>
      <c r="G322" s="1"/>
      <c r="H322" s="1"/>
      <c r="I322" s="1"/>
      <c r="J322" s="1"/>
      <c r="K322" s="1"/>
      <c r="L322" s="1"/>
      <c r="M322" s="1"/>
      <c r="N322" s="1"/>
      <c r="O322" s="1"/>
      <c r="P322" s="1"/>
      <c r="Q322" s="1"/>
      <c r="R322" s="1"/>
      <c r="S322" s="1"/>
      <c r="T322" s="1"/>
      <c r="U322" s="1"/>
      <c r="V322" s="1"/>
      <c r="W322" s="1"/>
      <c r="X322" s="1" t="str">
        <f>IFERROR(__xludf.DUMMYFUNCTION("""COMPUTED_VALUE"""),"Immune")</f>
        <v>Immune</v>
      </c>
      <c r="Y322" s="1" t="str">
        <f>IFERROR(__xludf.DUMMYFUNCTION("""COMPUTED_VALUE"""),"Immune")</f>
        <v>Immune</v>
      </c>
      <c r="Z322" s="1"/>
      <c r="AA322" s="1" t="str">
        <f>IFERROR(__xludf.DUMMYFUNCTION("""COMPUTED_VALUE"""),"Immune")</f>
        <v>Immune</v>
      </c>
      <c r="AB322" s="1"/>
      <c r="AC322" s="1"/>
      <c r="AD322" s="1"/>
      <c r="AE322" s="1"/>
      <c r="AF322" s="1"/>
      <c r="AG322" s="1"/>
      <c r="AH322" s="1"/>
      <c r="AI322" s="1"/>
      <c r="AJ322" s="1"/>
      <c r="AK322" s="1"/>
      <c r="AL322" s="1"/>
    </row>
    <row r="323">
      <c r="A323" s="1" t="str">
        <f>IFERROR(__xludf.DUMMYFUNCTION("""COMPUTED_VALUE"""),"Assassin Doll")</f>
        <v>Assassin Doll</v>
      </c>
      <c r="B323" s="1"/>
      <c r="C323" s="1"/>
      <c r="D323" s="1"/>
      <c r="E323" s="1"/>
      <c r="F323" s="1"/>
      <c r="G323" s="1" t="str">
        <f>IFERROR(__xludf.DUMMYFUNCTION("""COMPUTED_VALUE"""),"Immune")</f>
        <v>Immune</v>
      </c>
      <c r="H323" s="1" t="str">
        <f>IFERROR(__xludf.DUMMYFUNCTION("""COMPUTED_VALUE"""),"Immune")</f>
        <v>Immune</v>
      </c>
      <c r="I323" s="1"/>
      <c r="J323" s="1"/>
      <c r="K323" s="1"/>
      <c r="L323" s="1"/>
      <c r="M323" s="1"/>
      <c r="N323" s="1"/>
      <c r="O323" s="1"/>
      <c r="P323" s="1"/>
      <c r="Q323" s="1" t="str">
        <f>IFERROR(__xludf.DUMMYFUNCTION("""COMPUTED_VALUE"""),"Immune")</f>
        <v>Immune</v>
      </c>
      <c r="R323" s="1"/>
      <c r="S323" s="1"/>
      <c r="T323" s="1"/>
      <c r="U323" s="1"/>
      <c r="V323" s="1"/>
      <c r="W323" s="1"/>
      <c r="X323" s="1" t="str">
        <f>IFERROR(__xludf.DUMMYFUNCTION("""COMPUTED_VALUE"""),"Immune")</f>
        <v>Immune</v>
      </c>
      <c r="Y323" s="1"/>
      <c r="Z323" s="1"/>
      <c r="AA323" s="1"/>
      <c r="AB323" s="1"/>
      <c r="AC323" s="1"/>
      <c r="AD323" s="1"/>
      <c r="AE323" s="1"/>
      <c r="AF323" s="1"/>
      <c r="AG323" s="1"/>
      <c r="AH323" s="1"/>
      <c r="AI323" s="1"/>
      <c r="AJ323" s="1"/>
      <c r="AK323" s="1"/>
      <c r="AL323" s="1"/>
    </row>
    <row r="324">
      <c r="A324" s="1" t="str">
        <f>IFERROR(__xludf.DUMMYFUNCTION("""COMPUTED_VALUE"""),"Black Serpent Dragon")</f>
        <v>Black Serpent Dragon</v>
      </c>
      <c r="B324" s="1"/>
      <c r="C324" s="1"/>
      <c r="D324" s="1"/>
      <c r="E324" s="1"/>
      <c r="F324" s="1"/>
      <c r="G324" s="1" t="str">
        <f>IFERROR(__xludf.DUMMYFUNCTION("""COMPUTED_VALUE"""),"Immune")</f>
        <v>Immune</v>
      </c>
      <c r="H324" s="1"/>
      <c r="I324" s="1"/>
      <c r="J324" s="1"/>
      <c r="K324" s="1"/>
      <c r="L324" s="1"/>
      <c r="M324" s="1"/>
      <c r="N324" s="1"/>
      <c r="O324" s="1"/>
      <c r="P324" s="1"/>
      <c r="Q324" s="1"/>
      <c r="R324" s="1"/>
      <c r="S324" s="1"/>
      <c r="T324" s="1"/>
      <c r="U324" s="1"/>
      <c r="V324" s="1"/>
      <c r="W324" s="1"/>
      <c r="X324" s="1" t="str">
        <f>IFERROR(__xludf.DUMMYFUNCTION("""COMPUTED_VALUE"""),"Immune")</f>
        <v>Immune</v>
      </c>
      <c r="Y324" s="1" t="str">
        <f>IFERROR(__xludf.DUMMYFUNCTION("""COMPUTED_VALUE"""),"Immune")</f>
        <v>Immune</v>
      </c>
      <c r="Z324" s="1"/>
      <c r="AA324" s="1" t="str">
        <f>IFERROR(__xludf.DUMMYFUNCTION("""COMPUTED_VALUE"""),"Immune")</f>
        <v>Immune</v>
      </c>
      <c r="AB324" s="1"/>
      <c r="AC324" s="1"/>
      <c r="AD324" s="1"/>
      <c r="AE324" s="1"/>
      <c r="AF324" s="1"/>
      <c r="AG324" s="1"/>
      <c r="AH324" s="1"/>
      <c r="AI324" s="1"/>
      <c r="AJ324" s="1"/>
      <c r="AK324" s="1"/>
      <c r="AL324" s="1"/>
    </row>
    <row r="325">
      <c r="A325" s="1" t="str">
        <f>IFERROR(__xludf.DUMMYFUNCTION("""COMPUTED_VALUE"""),"Vermouth's Guard")</f>
        <v>Vermouth's Guard</v>
      </c>
      <c r="B325" s="1" t="str">
        <f>IFERROR(__xludf.DUMMYFUNCTION("""COMPUTED_VALUE"""),"Immune")</f>
        <v>Immune</v>
      </c>
      <c r="C325" s="1" t="str">
        <f>IFERROR(__xludf.DUMMYFUNCTION("""COMPUTED_VALUE"""),"Immune")</f>
        <v>Immune</v>
      </c>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row>
    <row r="326">
      <c r="A326" s="1" t="str">
        <f>IFERROR(__xludf.DUMMYFUNCTION("""COMPUTED_VALUE"""),"Crystal Guardian")</f>
        <v>Crystal Guardian</v>
      </c>
      <c r="B326" s="1" t="str">
        <f>IFERROR(__xludf.DUMMYFUNCTION("""COMPUTED_VALUE"""),"Immune")</f>
        <v>Immune</v>
      </c>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row>
    <row r="327">
      <c r="A327" s="1" t="str">
        <f>IFERROR(__xludf.DUMMYFUNCTION("""COMPUTED_VALUE"""),"Flamethrower Corpse")</f>
        <v>Flamethrower Corpse</v>
      </c>
      <c r="B327" s="1"/>
      <c r="C327" s="1"/>
      <c r="D327" s="1"/>
      <c r="E327" s="1"/>
      <c r="F327" s="1"/>
      <c r="G327" s="1"/>
      <c r="H327" s="1"/>
      <c r="I327" s="1"/>
      <c r="J327" s="1"/>
      <c r="K327" s="1" t="str">
        <f>IFERROR(__xludf.DUMMYFUNCTION("""COMPUTED_VALUE"""),"Immune")</f>
        <v>Immune</v>
      </c>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row>
    <row r="328">
      <c r="A328" s="1" t="str">
        <f>IFERROR(__xludf.DUMMYFUNCTION("""COMPUTED_VALUE"""),"Mournful Mother")</f>
        <v>Mournful Mother</v>
      </c>
      <c r="B328" s="1"/>
      <c r="C328" s="1"/>
      <c r="D328" s="1"/>
      <c r="E328" s="1"/>
      <c r="F328" s="1"/>
      <c r="G328" s="1" t="str">
        <f>IFERROR(__xludf.DUMMYFUNCTION("""COMPUTED_VALUE"""),"Immune")</f>
        <v>Immune</v>
      </c>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row>
    <row r="329">
      <c r="A329" s="1" t="str">
        <f>IFERROR(__xludf.DUMMYFUNCTION("""COMPUTED_VALUE"""),"Twilight Lord")</f>
        <v>Twilight Lord</v>
      </c>
      <c r="B329" s="1"/>
      <c r="C329" s="1"/>
      <c r="D329" s="1"/>
      <c r="E329" s="1"/>
      <c r="F329" s="1"/>
      <c r="G329" s="1"/>
      <c r="H329" s="1"/>
      <c r="I329" s="1"/>
      <c r="J329" s="1"/>
      <c r="K329" s="1"/>
      <c r="L329" s="1"/>
      <c r="M329" s="1"/>
      <c r="N329" s="1"/>
      <c r="O329" s="1"/>
      <c r="P329" s="1"/>
      <c r="Q329" s="1"/>
      <c r="R329" s="1"/>
      <c r="S329" s="1"/>
      <c r="T329" s="1"/>
      <c r="U329" s="1"/>
      <c r="V329" s="1"/>
      <c r="W329" s="1"/>
      <c r="X329" s="1" t="str">
        <f>IFERROR(__xludf.DUMMYFUNCTION("""COMPUTED_VALUE"""),"Immune")</f>
        <v>Immune</v>
      </c>
      <c r="Y329" s="1" t="str">
        <f>IFERROR(__xludf.DUMMYFUNCTION("""COMPUTED_VALUE"""),"Immune")</f>
        <v>Immune</v>
      </c>
      <c r="Z329" s="1"/>
      <c r="AA329" s="1" t="str">
        <f>IFERROR(__xludf.DUMMYFUNCTION("""COMPUTED_VALUE"""),"Immune")</f>
        <v>Immune</v>
      </c>
      <c r="AB329" s="1"/>
      <c r="AC329" s="1"/>
      <c r="AD329" s="1"/>
      <c r="AE329" s="1"/>
      <c r="AF329" s="1"/>
      <c r="AG329" s="1"/>
      <c r="AH329" s="1"/>
      <c r="AI329" s="1"/>
      <c r="AJ329" s="1"/>
      <c r="AK329" s="1"/>
      <c r="AL329" s="1"/>
    </row>
    <row r="330">
      <c r="A330" s="1" t="str">
        <f>IFERROR(__xludf.DUMMYFUNCTION("""COMPUTED_VALUE"""),"Twilight Priest")</f>
        <v>Twilight Priest</v>
      </c>
      <c r="B330" s="1"/>
      <c r="C330" s="1"/>
      <c r="D330" s="1"/>
      <c r="E330" s="1"/>
      <c r="F330" s="1" t="str">
        <f>IFERROR(__xludf.DUMMYFUNCTION("""COMPUTED_VALUE"""),"Immune")</f>
        <v>Immune</v>
      </c>
      <c r="G330" s="1" t="str">
        <f>IFERROR(__xludf.DUMMYFUNCTION("""COMPUTED_VALUE"""),"Immune")</f>
        <v>Immune</v>
      </c>
      <c r="H330" s="1"/>
      <c r="I330" s="1"/>
      <c r="J330" s="1"/>
      <c r="K330" s="1"/>
      <c r="L330" s="1"/>
      <c r="M330" s="1"/>
      <c r="N330" s="1"/>
      <c r="O330" s="1"/>
      <c r="P330" s="1"/>
      <c r="Q330" s="1"/>
      <c r="R330" s="1"/>
      <c r="S330" s="1"/>
      <c r="T330" s="1"/>
      <c r="U330" s="1"/>
      <c r="V330" s="1"/>
      <c r="W330" s="1"/>
      <c r="X330" s="1" t="str">
        <f>IFERROR(__xludf.DUMMYFUNCTION("""COMPUTED_VALUE"""),"Immune")</f>
        <v>Immune</v>
      </c>
      <c r="Y330" s="1" t="str">
        <f>IFERROR(__xludf.DUMMYFUNCTION("""COMPUTED_VALUE"""),"Immune")</f>
        <v>Immune</v>
      </c>
      <c r="Z330" s="1"/>
      <c r="AA330" s="1" t="str">
        <f>IFERROR(__xludf.DUMMYFUNCTION("""COMPUTED_VALUE"""),"Immune")</f>
        <v>Immune</v>
      </c>
      <c r="AB330" s="1"/>
      <c r="AC330" s="1"/>
      <c r="AD330" s="1"/>
      <c r="AE330" s="1"/>
      <c r="AF330" s="1"/>
      <c r="AG330" s="1"/>
      <c r="AH330" s="1"/>
      <c r="AI330" s="1"/>
      <c r="AJ330" s="1"/>
      <c r="AK330" s="1"/>
      <c r="AL330" s="1"/>
    </row>
    <row r="331">
      <c r="A331" s="1" t="str">
        <f>IFERROR(__xludf.DUMMYFUNCTION("""COMPUTED_VALUE"""),"Werewolf King")</f>
        <v>Werewolf King</v>
      </c>
      <c r="B331" s="1"/>
      <c r="C331" s="1"/>
      <c r="D331" s="1"/>
      <c r="E331" s="1"/>
      <c r="F331" s="1"/>
      <c r="G331" s="1" t="str">
        <f>IFERROR(__xludf.DUMMYFUNCTION("""COMPUTED_VALUE"""),"Immune")</f>
        <v>Immune</v>
      </c>
      <c r="H331" s="1"/>
      <c r="I331" s="1"/>
      <c r="J331" s="1"/>
      <c r="K331" s="1"/>
      <c r="L331" s="1"/>
      <c r="M331" s="1"/>
      <c r="N331" s="1"/>
      <c r="O331" s="1"/>
      <c r="P331" s="1" t="str">
        <f>IFERROR(__xludf.DUMMYFUNCTION("""COMPUTED_VALUE"""),"Immune")</f>
        <v>Immune</v>
      </c>
      <c r="Q331" s="1"/>
      <c r="R331" s="1" t="str">
        <f>IFERROR(__xludf.DUMMYFUNCTION("""COMPUTED_VALUE"""),"Immune")</f>
        <v>Immune</v>
      </c>
      <c r="S331" s="1"/>
      <c r="T331" s="1"/>
      <c r="U331" s="1"/>
      <c r="V331" s="1"/>
      <c r="W331" s="1"/>
      <c r="X331" s="1" t="str">
        <f>IFERROR(__xludf.DUMMYFUNCTION("""COMPUTED_VALUE"""),"Immune")</f>
        <v>Immune</v>
      </c>
      <c r="Y331" s="1" t="str">
        <f>IFERROR(__xludf.DUMMYFUNCTION("""COMPUTED_VALUE"""),"Immune")</f>
        <v>Immune</v>
      </c>
      <c r="Z331" s="1"/>
      <c r="AA331" s="1" t="str">
        <f>IFERROR(__xludf.DUMMYFUNCTION("""COMPUTED_VALUE"""),"Immune")</f>
        <v>Immune</v>
      </c>
      <c r="AB331" s="1"/>
      <c r="AC331" s="1"/>
      <c r="AD331" s="1"/>
      <c r="AE331" s="1"/>
      <c r="AF331" s="1"/>
      <c r="AG331" s="1"/>
      <c r="AH331" s="1"/>
      <c r="AI331" s="1"/>
      <c r="AJ331" s="1"/>
      <c r="AK331" s="1"/>
      <c r="AL331" s="1"/>
    </row>
    <row r="332">
      <c r="A332" s="1" t="str">
        <f>IFERROR(__xludf.DUMMYFUNCTION("""COMPUTED_VALUE"""),"Mekanian Soldier")</f>
        <v>Mekanian Soldier</v>
      </c>
      <c r="B332" s="1" t="str">
        <f>IFERROR(__xludf.DUMMYFUNCTION("""COMPUTED_VALUE"""),"Immune")</f>
        <v>Immune</v>
      </c>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row>
    <row r="333">
      <c r="A333" s="1" t="str">
        <f>IFERROR(__xludf.DUMMYFUNCTION("""COMPUTED_VALUE"""),"Mekanian ")</f>
        <v>Mekanian </v>
      </c>
      <c r="B333" s="1" t="str">
        <f>IFERROR(__xludf.DUMMYFUNCTION("""COMPUTED_VALUE"""),"Immune")</f>
        <v>Immune</v>
      </c>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row>
    <row r="334">
      <c r="A334" s="1" t="str">
        <f>IFERROR(__xludf.DUMMYFUNCTION("""COMPUTED_VALUE"""),"Bashe The Cursed Sepent")</f>
        <v>Bashe The Cursed Sepent</v>
      </c>
      <c r="B334" s="1"/>
      <c r="C334" s="1" t="str">
        <f>IFERROR(__xludf.DUMMYFUNCTION("""COMPUTED_VALUE"""),"Immune")</f>
        <v>Immune</v>
      </c>
      <c r="D334" s="1"/>
      <c r="E334" s="1"/>
      <c r="F334" s="1"/>
      <c r="G334" s="1" t="str">
        <f>IFERROR(__xludf.DUMMYFUNCTION("""COMPUTED_VALUE"""),"immune")</f>
        <v>immune</v>
      </c>
      <c r="H334" s="1"/>
      <c r="I334" s="1"/>
      <c r="J334" s="1"/>
      <c r="K334" s="1" t="str">
        <f>IFERROR(__xludf.DUMMYFUNCTION("""COMPUTED_VALUE"""),"Immune")</f>
        <v>Immune</v>
      </c>
      <c r="L334" s="1"/>
      <c r="M334" s="1"/>
      <c r="N334" s="1"/>
      <c r="O334" s="1"/>
      <c r="P334" s="1"/>
      <c r="Q334" s="1"/>
      <c r="R334" s="1"/>
      <c r="S334" s="1"/>
      <c r="T334" s="1"/>
      <c r="U334" s="1"/>
      <c r="V334" s="1"/>
      <c r="W334" s="1"/>
      <c r="X334" s="1" t="str">
        <f>IFERROR(__xludf.DUMMYFUNCTION("""COMPUTED_VALUE"""),"Immune")</f>
        <v>Immune</v>
      </c>
      <c r="Y334" s="1" t="str">
        <f>IFERROR(__xludf.DUMMYFUNCTION("""COMPUTED_VALUE"""),"Immune")</f>
        <v>Immune</v>
      </c>
      <c r="Z334" s="1"/>
      <c r="AA334" s="1" t="str">
        <f>IFERROR(__xludf.DUMMYFUNCTION("""COMPUTED_VALUE"""),"Immune")</f>
        <v>Immune</v>
      </c>
      <c r="AB334" s="1"/>
      <c r="AC334" s="1"/>
      <c r="AD334" s="1"/>
      <c r="AE334" s="1"/>
      <c r="AF334" s="1"/>
      <c r="AG334" s="1"/>
      <c r="AH334" s="1"/>
      <c r="AI334" s="1"/>
      <c r="AJ334" s="1"/>
      <c r="AK334" s="1"/>
      <c r="AL334" s="1"/>
    </row>
    <row r="335">
      <c r="A335" s="1" t="str">
        <f>IFERROR(__xludf.DUMMYFUNCTION("""COMPUTED_VALUE"""),"Grash, The Oni of Fiji")</f>
        <v>Grash, The Oni of Fiji</v>
      </c>
      <c r="B335" s="1" t="str">
        <f>IFERROR(__xludf.DUMMYFUNCTION("""COMPUTED_VALUE"""),"Immune")</f>
        <v>Immune</v>
      </c>
      <c r="C335" s="1"/>
      <c r="D335" s="1"/>
      <c r="E335" s="1"/>
      <c r="F335" s="1"/>
      <c r="G335" s="1">
        <f>IFERROR(__xludf.DUMMYFUNCTION("""COMPUTED_VALUE"""),100.0)</f>
        <v>100</v>
      </c>
      <c r="H335" s="1"/>
      <c r="I335" s="1"/>
      <c r="J335" s="1"/>
      <c r="K335" s="1"/>
      <c r="L335" s="1"/>
      <c r="M335" s="1"/>
      <c r="N335" s="1" t="str">
        <f>IFERROR(__xludf.DUMMYFUNCTION("""COMPUTED_VALUE"""),"Immune")</f>
        <v>Immune</v>
      </c>
      <c r="O335" s="1"/>
      <c r="P335" s="1"/>
      <c r="Q335" s="1" t="str">
        <f>IFERROR(__xludf.DUMMYFUNCTION("""COMPUTED_VALUE"""),"Immune")</f>
        <v>Immune</v>
      </c>
      <c r="R335" s="1"/>
      <c r="S335" s="1"/>
      <c r="T335" s="1" t="str">
        <f>IFERROR(__xludf.DUMMYFUNCTION("""COMPUTED_VALUE"""),"Immune")</f>
        <v>Immune</v>
      </c>
      <c r="U335" s="1"/>
      <c r="V335" s="1"/>
      <c r="W335" s="1"/>
      <c r="X335" s="1" t="str">
        <f>IFERROR(__xludf.DUMMYFUNCTION("""COMPUTED_VALUE"""),"Immune")</f>
        <v>Immune</v>
      </c>
      <c r="Y335" s="1" t="str">
        <f>IFERROR(__xludf.DUMMYFUNCTION("""COMPUTED_VALUE"""),"Immune")</f>
        <v>Immune</v>
      </c>
      <c r="Z335" s="1"/>
      <c r="AA335" s="1" t="str">
        <f>IFERROR(__xludf.DUMMYFUNCTION("""COMPUTED_VALUE"""),"Immune")</f>
        <v>Immune</v>
      </c>
      <c r="AB335" s="1"/>
      <c r="AC335" s="1"/>
      <c r="AD335" s="1"/>
      <c r="AE335" s="1"/>
      <c r="AF335" s="1"/>
      <c r="AG335" s="1"/>
      <c r="AH335" s="1"/>
      <c r="AI335" s="1"/>
      <c r="AJ335" s="1"/>
      <c r="AK335" s="1"/>
      <c r="AL335" s="1"/>
    </row>
    <row r="336">
      <c r="A336" s="1" t="str">
        <f>IFERROR(__xludf.DUMMYFUNCTION("""COMPUTED_VALUE"""),"The Black Tortoise ")</f>
        <v>The Black Tortoise </v>
      </c>
      <c r="B336" s="1"/>
      <c r="C336" s="1"/>
      <c r="D336" s="1"/>
      <c r="E336" s="1"/>
      <c r="F336" s="1"/>
      <c r="G336" s="1" t="str">
        <f>IFERROR(__xludf.DUMMYFUNCTION("""COMPUTED_VALUE"""),"Immune")</f>
        <v>Immune</v>
      </c>
      <c r="H336" s="1"/>
      <c r="I336" s="1"/>
      <c r="J336" s="1"/>
      <c r="K336" s="1"/>
      <c r="L336" s="1"/>
      <c r="M336" s="1"/>
      <c r="N336" s="1"/>
      <c r="O336" s="1"/>
      <c r="P336" s="1"/>
      <c r="Q336" s="1" t="str">
        <f>IFERROR(__xludf.DUMMYFUNCTION("""COMPUTED_VALUE"""),"Immune")</f>
        <v>Immune</v>
      </c>
      <c r="R336" s="1"/>
      <c r="S336" s="1"/>
      <c r="T336" s="1"/>
      <c r="U336" s="1"/>
      <c r="V336" s="1"/>
      <c r="W336" s="1"/>
      <c r="X336" s="1" t="str">
        <f>IFERROR(__xludf.DUMMYFUNCTION("""COMPUTED_VALUE"""),"Immune")</f>
        <v>Immune</v>
      </c>
      <c r="Y336" s="1" t="str">
        <f>IFERROR(__xludf.DUMMYFUNCTION("""COMPUTED_VALUE"""),"Immune")</f>
        <v>Immune</v>
      </c>
      <c r="Z336" s="1"/>
      <c r="AA336" s="1" t="str">
        <f>IFERROR(__xludf.DUMMYFUNCTION("""COMPUTED_VALUE"""),"Immune")</f>
        <v>Immune</v>
      </c>
      <c r="AB336" s="1"/>
      <c r="AC336" s="1"/>
      <c r="AD336" s="1"/>
      <c r="AE336" s="1"/>
      <c r="AF336" s="1"/>
      <c r="AG336" s="1"/>
      <c r="AH336" s="1"/>
      <c r="AI336" s="1"/>
      <c r="AJ336" s="1"/>
      <c r="AK336" s="1"/>
      <c r="AL336" s="1"/>
    </row>
    <row r="337">
      <c r="A337" s="1" t="str">
        <f>IFERROR(__xludf.DUMMYFUNCTION("""COMPUTED_VALUE"""),"PyroShell")</f>
        <v>PyroShell</v>
      </c>
      <c r="B337" s="1" t="str">
        <f>IFERROR(__xludf.DUMMYFUNCTION("""COMPUTED_VALUE"""),"Immune")</f>
        <v>Immune</v>
      </c>
      <c r="C337" s="1"/>
      <c r="D337" s="1"/>
      <c r="E337" s="1"/>
      <c r="F337" s="1"/>
      <c r="G337" s="1"/>
      <c r="H337" s="1"/>
      <c r="I337" s="1"/>
      <c r="J337" s="1"/>
      <c r="K337" s="1"/>
      <c r="L337" s="1"/>
      <c r="M337" s="1"/>
      <c r="N337" s="1"/>
      <c r="O337" s="1"/>
      <c r="P337" s="1"/>
      <c r="Q337" s="1"/>
      <c r="R337" s="1"/>
      <c r="S337" s="1"/>
      <c r="T337" s="1"/>
      <c r="U337" s="1"/>
      <c r="V337" s="1"/>
      <c r="W337" s="1"/>
      <c r="X337" s="1" t="str">
        <f>IFERROR(__xludf.DUMMYFUNCTION("""COMPUTED_VALUE"""),"Immune")</f>
        <v>Immune</v>
      </c>
      <c r="Y337" s="1" t="str">
        <f>IFERROR(__xludf.DUMMYFUNCTION("""COMPUTED_VALUE"""),"Immune")</f>
        <v>Immune</v>
      </c>
      <c r="Z337" s="1"/>
      <c r="AA337" s="1" t="str">
        <f>IFERROR(__xludf.DUMMYFUNCTION("""COMPUTED_VALUE"""),"Immune")</f>
        <v>Immune</v>
      </c>
      <c r="AB337" s="1"/>
      <c r="AC337" s="1"/>
      <c r="AD337" s="1"/>
      <c r="AE337" s="1"/>
      <c r="AF337" s="1"/>
      <c r="AG337" s="1"/>
      <c r="AH337" s="1"/>
      <c r="AI337" s="1"/>
      <c r="AJ337" s="1"/>
      <c r="AK337" s="1"/>
      <c r="AL337" s="1"/>
    </row>
    <row r="338">
      <c r="A338" s="1" t="str">
        <f>IFERROR(__xludf.DUMMYFUNCTION("""COMPUTED_VALUE"""),"Dragonscale Guard (Tier III)")</f>
        <v>Dragonscale Guard (Tier III)</v>
      </c>
      <c r="B338" s="1"/>
      <c r="C338" s="1"/>
      <c r="D338" s="1"/>
      <c r="E338" s="1"/>
      <c r="F338" s="1" t="str">
        <f>IFERROR(__xludf.DUMMYFUNCTION("""COMPUTED_VALUE"""),"Immune")</f>
        <v>Immune</v>
      </c>
      <c r="G338" s="1">
        <f>IFERROR(__xludf.DUMMYFUNCTION("""COMPUTED_VALUE"""),100.0)</f>
        <v>100</v>
      </c>
      <c r="H338" s="1"/>
      <c r="I338" s="1" t="str">
        <f>IFERROR(__xludf.DUMMYFUNCTION("""COMPUTED_VALUE"""),"Immune")</f>
        <v>Immune</v>
      </c>
      <c r="J338" s="1"/>
      <c r="K338" s="1"/>
      <c r="L338" s="1"/>
      <c r="M338" s="1"/>
      <c r="N338" s="1"/>
      <c r="O338" s="1"/>
      <c r="P338" s="1"/>
      <c r="Q338" s="1"/>
      <c r="R338" s="1"/>
      <c r="S338" s="1"/>
      <c r="T338" s="1"/>
      <c r="U338" s="1"/>
      <c r="V338" s="1"/>
      <c r="W338" s="1" t="str">
        <f>IFERROR(__xludf.DUMMYFUNCTION("""COMPUTED_VALUE"""),"Immune")</f>
        <v>Immune</v>
      </c>
      <c r="X338" s="1" t="str">
        <f>IFERROR(__xludf.DUMMYFUNCTION("""COMPUTED_VALUE"""),"Immune")</f>
        <v>Immune</v>
      </c>
      <c r="Y338" s="1" t="str">
        <f>IFERROR(__xludf.DUMMYFUNCTION("""COMPUTED_VALUE"""),"Immune")</f>
        <v>Immune</v>
      </c>
      <c r="Z338" s="1" t="str">
        <f>IFERROR(__xludf.DUMMYFUNCTION("""COMPUTED_VALUE"""),"Immune")</f>
        <v>Immune</v>
      </c>
      <c r="AA338" s="1" t="str">
        <f>IFERROR(__xludf.DUMMYFUNCTION("""COMPUTED_VALUE"""),"Immune")</f>
        <v>Immune</v>
      </c>
      <c r="AB338" s="1"/>
      <c r="AC338" s="1"/>
      <c r="AD338" s="1"/>
      <c r="AE338" s="1"/>
      <c r="AF338" s="1"/>
      <c r="AG338" s="1"/>
      <c r="AH338" s="1"/>
      <c r="AI338" s="1"/>
      <c r="AJ338" s="1"/>
      <c r="AK338" s="1"/>
      <c r="AL338" s="1"/>
    </row>
    <row r="339">
      <c r="A339" s="1" t="str">
        <f>IFERROR(__xludf.DUMMYFUNCTION("""COMPUTED_VALUE"""),"Dragonscale Guard (Tier II)")</f>
        <v>Dragonscale Guard (Tier II)</v>
      </c>
      <c r="B339" s="1"/>
      <c r="C339" s="1"/>
      <c r="D339" s="1"/>
      <c r="E339" s="1"/>
      <c r="F339" s="1" t="str">
        <f>IFERROR(__xludf.DUMMYFUNCTION("""COMPUTED_VALUE"""),"Immune")</f>
        <v>Immune</v>
      </c>
      <c r="G339" s="1">
        <f>IFERROR(__xludf.DUMMYFUNCTION("""COMPUTED_VALUE"""),100.0)</f>
        <v>100</v>
      </c>
      <c r="H339" s="1"/>
      <c r="I339" s="1" t="str">
        <f>IFERROR(__xludf.DUMMYFUNCTION("""COMPUTED_VALUE"""),"Immune")</f>
        <v>Immune</v>
      </c>
      <c r="J339" s="1"/>
      <c r="K339" s="1"/>
      <c r="L339" s="1"/>
      <c r="M339" s="1"/>
      <c r="N339" s="1"/>
      <c r="O339" s="1"/>
      <c r="P339" s="1"/>
      <c r="Q339" s="1"/>
      <c r="R339" s="1"/>
      <c r="S339" s="1"/>
      <c r="T339" s="1"/>
      <c r="U339" s="1"/>
      <c r="V339" s="1"/>
      <c r="W339" s="1" t="str">
        <f>IFERROR(__xludf.DUMMYFUNCTION("""COMPUTED_VALUE"""),"Immune")</f>
        <v>Immune</v>
      </c>
      <c r="X339" s="1" t="str">
        <f>IFERROR(__xludf.DUMMYFUNCTION("""COMPUTED_VALUE"""),"Immune")</f>
        <v>Immune</v>
      </c>
      <c r="Y339" s="1" t="str">
        <f>IFERROR(__xludf.DUMMYFUNCTION("""COMPUTED_VALUE"""),"Immune")</f>
        <v>Immune</v>
      </c>
      <c r="Z339" s="1" t="str">
        <f>IFERROR(__xludf.DUMMYFUNCTION("""COMPUTED_VALUE"""),"Immune")</f>
        <v>Immune</v>
      </c>
      <c r="AA339" s="1" t="str">
        <f>IFERROR(__xludf.DUMMYFUNCTION("""COMPUTED_VALUE"""),"Immune")</f>
        <v>Immune</v>
      </c>
      <c r="AB339" s="1"/>
      <c r="AC339" s="1"/>
      <c r="AD339" s="1"/>
      <c r="AE339" s="1"/>
      <c r="AF339" s="1"/>
      <c r="AG339" s="1"/>
      <c r="AH339" s="1"/>
      <c r="AI339" s="1"/>
      <c r="AJ339" s="1"/>
      <c r="AK339" s="1"/>
      <c r="AL339" s="1"/>
    </row>
    <row r="340">
      <c r="A340" s="1" t="str">
        <f>IFERROR(__xludf.DUMMYFUNCTION("""COMPUTED_VALUE"""),"Dragonscale Guard (Tier I)")</f>
        <v>Dragonscale Guard (Tier I)</v>
      </c>
      <c r="B340" s="1"/>
      <c r="C340" s="1"/>
      <c r="D340" s="1"/>
      <c r="E340" s="1"/>
      <c r="F340" s="1" t="str">
        <f>IFERROR(__xludf.DUMMYFUNCTION("""COMPUTED_VALUE"""),"Immune")</f>
        <v>Immune</v>
      </c>
      <c r="G340" s="1">
        <f>IFERROR(__xludf.DUMMYFUNCTION("""COMPUTED_VALUE"""),100.0)</f>
        <v>100</v>
      </c>
      <c r="H340" s="1"/>
      <c r="I340" s="1" t="str">
        <f>IFERROR(__xludf.DUMMYFUNCTION("""COMPUTED_VALUE"""),"Immune")</f>
        <v>Immune</v>
      </c>
      <c r="J340" s="1"/>
      <c r="K340" s="1"/>
      <c r="L340" s="1"/>
      <c r="M340" s="1"/>
      <c r="N340" s="1"/>
      <c r="O340" s="1"/>
      <c r="P340" s="1"/>
      <c r="Q340" s="1"/>
      <c r="R340" s="1"/>
      <c r="S340" s="1"/>
      <c r="T340" s="1"/>
      <c r="U340" s="1"/>
      <c r="V340" s="1"/>
      <c r="W340" s="1" t="str">
        <f>IFERROR(__xludf.DUMMYFUNCTION("""COMPUTED_VALUE"""),"Immune")</f>
        <v>Immune</v>
      </c>
      <c r="X340" s="1" t="str">
        <f>IFERROR(__xludf.DUMMYFUNCTION("""COMPUTED_VALUE"""),"Immune")</f>
        <v>Immune</v>
      </c>
      <c r="Y340" s="1" t="str">
        <f>IFERROR(__xludf.DUMMYFUNCTION("""COMPUTED_VALUE"""),"Immune")</f>
        <v>Immune</v>
      </c>
      <c r="Z340" s="1" t="str">
        <f>IFERROR(__xludf.DUMMYFUNCTION("""COMPUTED_VALUE"""),"Immune")</f>
        <v>Immune</v>
      </c>
      <c r="AA340" s="1" t="str">
        <f>IFERROR(__xludf.DUMMYFUNCTION("""COMPUTED_VALUE"""),"Immune")</f>
        <v>Immune</v>
      </c>
      <c r="AB340" s="1"/>
      <c r="AC340" s="1"/>
      <c r="AD340" s="1"/>
      <c r="AE340" s="1"/>
      <c r="AF340" s="1"/>
      <c r="AG340" s="1"/>
      <c r="AH340" s="1"/>
      <c r="AI340" s="1"/>
      <c r="AJ340" s="1"/>
      <c r="AK340" s="1"/>
      <c r="AL340" s="1"/>
    </row>
    <row r="341">
      <c r="A341" s="1" t="str">
        <f>IFERROR(__xludf.DUMMYFUNCTION("""COMPUTED_VALUE"""),"Abstara Guard (Tier IIl)")</f>
        <v>Abstara Guard (Tier IIl)</v>
      </c>
      <c r="B341" s="1">
        <f>IFERROR(__xludf.DUMMYFUNCTION("""COMPUTED_VALUE"""),100.0)</f>
        <v>100</v>
      </c>
      <c r="C341" s="1"/>
      <c r="D341" s="1"/>
      <c r="E341" s="1"/>
      <c r="F341" s="1"/>
      <c r="G341" s="1" t="str">
        <f>IFERROR(__xludf.DUMMYFUNCTION("""COMPUTED_VALUE"""),"Immune")</f>
        <v>Immune</v>
      </c>
      <c r="H341" s="1"/>
      <c r="I341" s="1"/>
      <c r="J341" s="1" t="str">
        <f>IFERROR(__xludf.DUMMYFUNCTION("""COMPUTED_VALUE"""),"Immune")</f>
        <v>Immune</v>
      </c>
      <c r="K341" s="1"/>
      <c r="L341" s="1"/>
      <c r="M341" s="1"/>
      <c r="N341" s="1"/>
      <c r="O341" s="1"/>
      <c r="P341" s="1"/>
      <c r="Q341" s="1" t="str">
        <f>IFERROR(__xludf.DUMMYFUNCTION("""COMPUTED_VALUE"""),"Immune")</f>
        <v>Immune</v>
      </c>
      <c r="R341" s="1" t="str">
        <f>IFERROR(__xludf.DUMMYFUNCTION("""COMPUTED_VALUE"""),"Immune")</f>
        <v>Immune</v>
      </c>
      <c r="S341" s="1"/>
      <c r="T341" s="1"/>
      <c r="U341" s="1"/>
      <c r="V341" s="1"/>
      <c r="W341" s="1"/>
      <c r="X341" s="1" t="str">
        <f>IFERROR(__xludf.DUMMYFUNCTION("""COMPUTED_VALUE"""),"Immune")</f>
        <v>Immune</v>
      </c>
      <c r="Y341" s="1" t="str">
        <f>IFERROR(__xludf.DUMMYFUNCTION("""COMPUTED_VALUE"""),"Immune")</f>
        <v>Immune</v>
      </c>
      <c r="Z341" s="1"/>
      <c r="AA341" s="1" t="str">
        <f>IFERROR(__xludf.DUMMYFUNCTION("""COMPUTED_VALUE"""),"Immune")</f>
        <v>Immune</v>
      </c>
      <c r="AB341" s="1"/>
      <c r="AC341" s="1"/>
      <c r="AD341" s="1"/>
      <c r="AE341" s="1"/>
      <c r="AF341" s="1"/>
      <c r="AG341" s="1"/>
      <c r="AH341" s="1"/>
      <c r="AI341" s="1"/>
      <c r="AJ341" s="1"/>
      <c r="AK341" s="1"/>
      <c r="AL341" s="1"/>
    </row>
    <row r="342">
      <c r="A342" s="1" t="str">
        <f>IFERROR(__xludf.DUMMYFUNCTION("""COMPUTED_VALUE"""),"Abstara Guard (Tier II)")</f>
        <v>Abstara Guard (Tier II)</v>
      </c>
      <c r="B342" s="1">
        <f>IFERROR(__xludf.DUMMYFUNCTION("""COMPUTED_VALUE"""),100.0)</f>
        <v>100</v>
      </c>
      <c r="C342" s="1"/>
      <c r="D342" s="1"/>
      <c r="E342" s="1"/>
      <c r="F342" s="1"/>
      <c r="G342" s="1" t="str">
        <f>IFERROR(__xludf.DUMMYFUNCTION("""COMPUTED_VALUE"""),"Immune")</f>
        <v>Immune</v>
      </c>
      <c r="H342" s="1"/>
      <c r="I342" s="1"/>
      <c r="J342" s="1" t="str">
        <f>IFERROR(__xludf.DUMMYFUNCTION("""COMPUTED_VALUE"""),"Immune")</f>
        <v>Immune</v>
      </c>
      <c r="K342" s="1"/>
      <c r="L342" s="1"/>
      <c r="M342" s="1"/>
      <c r="N342" s="1"/>
      <c r="O342" s="1"/>
      <c r="P342" s="1"/>
      <c r="Q342" s="1" t="str">
        <f>IFERROR(__xludf.DUMMYFUNCTION("""COMPUTED_VALUE"""),"Immune")</f>
        <v>Immune</v>
      </c>
      <c r="R342" s="1" t="str">
        <f>IFERROR(__xludf.DUMMYFUNCTION("""COMPUTED_VALUE"""),"Immune")</f>
        <v>Immune</v>
      </c>
      <c r="S342" s="1"/>
      <c r="T342" s="1"/>
      <c r="U342" s="1"/>
      <c r="V342" s="1"/>
      <c r="W342" s="1"/>
      <c r="X342" s="1" t="str">
        <f>IFERROR(__xludf.DUMMYFUNCTION("""COMPUTED_VALUE"""),"Immune")</f>
        <v>Immune</v>
      </c>
      <c r="Y342" s="1" t="str">
        <f>IFERROR(__xludf.DUMMYFUNCTION("""COMPUTED_VALUE"""),"Immune")</f>
        <v>Immune</v>
      </c>
      <c r="Z342" s="1"/>
      <c r="AA342" s="1" t="str">
        <f>IFERROR(__xludf.DUMMYFUNCTION("""COMPUTED_VALUE"""),"Immune")</f>
        <v>Immune</v>
      </c>
      <c r="AB342" s="1"/>
      <c r="AC342" s="1"/>
      <c r="AD342" s="1"/>
      <c r="AE342" s="1"/>
      <c r="AF342" s="1"/>
      <c r="AG342" s="1"/>
      <c r="AH342" s="1"/>
      <c r="AI342" s="1"/>
      <c r="AJ342" s="1"/>
      <c r="AK342" s="1"/>
      <c r="AL342" s="1"/>
    </row>
    <row r="343">
      <c r="A343" s="1" t="str">
        <f>IFERROR(__xludf.DUMMYFUNCTION("""COMPUTED_VALUE"""),"Abstara  Guard (Tier l)")</f>
        <v>Abstara  Guard (Tier l)</v>
      </c>
      <c r="B343" s="1">
        <f>IFERROR(__xludf.DUMMYFUNCTION("""COMPUTED_VALUE"""),100.0)</f>
        <v>100</v>
      </c>
      <c r="C343" s="1"/>
      <c r="D343" s="1"/>
      <c r="E343" s="1"/>
      <c r="F343" s="1"/>
      <c r="G343" s="1" t="str">
        <f>IFERROR(__xludf.DUMMYFUNCTION("""COMPUTED_VALUE"""),"Immune")</f>
        <v>Immune</v>
      </c>
      <c r="H343" s="1"/>
      <c r="I343" s="1"/>
      <c r="J343" s="1" t="str">
        <f>IFERROR(__xludf.DUMMYFUNCTION("""COMPUTED_VALUE"""),"Immune")</f>
        <v>Immune</v>
      </c>
      <c r="K343" s="1"/>
      <c r="L343" s="1"/>
      <c r="M343" s="1"/>
      <c r="N343" s="1"/>
      <c r="O343" s="1"/>
      <c r="P343" s="1"/>
      <c r="Q343" s="1" t="str">
        <f>IFERROR(__xludf.DUMMYFUNCTION("""COMPUTED_VALUE"""),"Immune")</f>
        <v>Immune</v>
      </c>
      <c r="R343" s="1" t="str">
        <f>IFERROR(__xludf.DUMMYFUNCTION("""COMPUTED_VALUE"""),"Immune")</f>
        <v>Immune</v>
      </c>
      <c r="S343" s="1"/>
      <c r="T343" s="1"/>
      <c r="U343" s="1"/>
      <c r="V343" s="1"/>
      <c r="W343" s="1"/>
      <c r="X343" s="1" t="str">
        <f>IFERROR(__xludf.DUMMYFUNCTION("""COMPUTED_VALUE"""),"Immune")</f>
        <v>Immune</v>
      </c>
      <c r="Y343" s="1" t="str">
        <f>IFERROR(__xludf.DUMMYFUNCTION("""COMPUTED_VALUE"""),"Immune")</f>
        <v>Immune</v>
      </c>
      <c r="Z343" s="1"/>
      <c r="AA343" s="1" t="str">
        <f>IFERROR(__xludf.DUMMYFUNCTION("""COMPUTED_VALUE"""),"Immune")</f>
        <v>Immune</v>
      </c>
      <c r="AB343" s="1"/>
      <c r="AC343" s="1"/>
      <c r="AD343" s="1"/>
      <c r="AE343" s="1"/>
      <c r="AF343" s="1"/>
      <c r="AG343" s="1"/>
      <c r="AH343" s="1"/>
      <c r="AI343" s="1"/>
      <c r="AJ343" s="1"/>
      <c r="AK343" s="1"/>
      <c r="AL343" s="1"/>
    </row>
    <row r="344">
      <c r="A344" s="1" t="str">
        <f>IFERROR(__xludf.DUMMYFUNCTION("""COMPUTED_VALUE"""),"The Ambrosian Paladins")</f>
        <v>The Ambrosian Paladins</v>
      </c>
      <c r="B344" s="1"/>
      <c r="C344" s="1"/>
      <c r="D344" s="1"/>
      <c r="E344" s="1"/>
      <c r="F344" s="1"/>
      <c r="G344" s="1"/>
      <c r="H344" s="1"/>
      <c r="I344" s="1">
        <f>IFERROR(__xludf.DUMMYFUNCTION("""COMPUTED_VALUE"""),100.0)</f>
        <v>100</v>
      </c>
      <c r="J344" s="1">
        <f>IFERROR(__xludf.DUMMYFUNCTION("""COMPUTED_VALUE"""),100.0)</f>
        <v>100</v>
      </c>
      <c r="K344" s="1"/>
      <c r="L344" s="1"/>
      <c r="M344" s="1"/>
      <c r="N344" s="1"/>
      <c r="O344" s="1"/>
      <c r="P344" s="1"/>
      <c r="Q344" s="1"/>
      <c r="R344" s="1"/>
      <c r="S344" s="1"/>
      <c r="T344" s="1"/>
      <c r="U344" s="1"/>
      <c r="V344" s="1"/>
      <c r="W344" s="1"/>
      <c r="X344" s="1"/>
      <c r="Y344" s="1"/>
      <c r="Z344" s="1"/>
      <c r="AA344" s="1"/>
      <c r="AB344" s="1"/>
      <c r="AC344" s="1" t="str">
        <f>IFERROR(__xludf.DUMMYFUNCTION("""COMPUTED_VALUE"""),"Immune")</f>
        <v>Immune</v>
      </c>
      <c r="AD344" s="1"/>
      <c r="AE344" s="1"/>
      <c r="AF344" s="1"/>
      <c r="AG344" s="1"/>
      <c r="AH344" s="1"/>
      <c r="AI344" s="1"/>
      <c r="AJ344" s="1"/>
      <c r="AK344" s="1"/>
      <c r="AL344" s="1"/>
    </row>
    <row r="345">
      <c r="A345" s="1" t="str">
        <f>IFERROR(__xludf.DUMMYFUNCTION("""COMPUTED_VALUE"""),"Hades The god of the Underworld")</f>
        <v>Hades The god of the Underworld</v>
      </c>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row>
    <row r="346">
      <c r="A346" s="1" t="str">
        <f>IFERROR(__xludf.DUMMYFUNCTION("""COMPUTED_VALUE"""),"Sataniel - Keeper of The Banished")</f>
        <v>Sataniel - Keeper of The Banished</v>
      </c>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row>
    <row r="347">
      <c r="A347" s="1" t="str">
        <f>IFERROR(__xludf.DUMMYFUNCTION("""COMPUTED_VALUE"""),"Trap: Pendulum")</f>
        <v>Trap: Pendulum</v>
      </c>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row>
    <row r="348">
      <c r="A348" s="1" t="str">
        <f>IFERROR(__xludf.DUMMYFUNCTION("""COMPUTED_VALUE"""),"Trap: Moving Saw Blade")</f>
        <v>Trap: Moving Saw Blade</v>
      </c>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row>
    <row r="349">
      <c r="A349" s="1" t="str">
        <f>IFERROR(__xludf.DUMMYFUNCTION("""COMPUTED_VALUE"""),"Trap: Bear Trap")</f>
        <v>Trap: Bear Trap</v>
      </c>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row>
    <row r="350">
      <c r="A350" s="1" t="str">
        <f>IFERROR(__xludf.DUMMYFUNCTION("""COMPUTED_VALUE"""),"Trap: Pitfall")</f>
        <v>Trap: Pitfall</v>
      </c>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row>
    <row r="351">
      <c r="A351" s="1" t="str">
        <f>IFERROR(__xludf.DUMMYFUNCTION("""COMPUTED_VALUE"""),"Trap: Flaming Arrows")</f>
        <v>Trap: Flaming Arrows</v>
      </c>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row>
    <row r="352">
      <c r="A352" s="1" t="str">
        <f>IFERROR(__xludf.DUMMYFUNCTION("""COMPUTED_VALUE"""),"Trap: Bolder")</f>
        <v>Trap: Bolder</v>
      </c>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row>
    <row r="353">
      <c r="A353" s="1" t="str">
        <f>IFERROR(__xludf.DUMMYFUNCTION("""COMPUTED_VALUE"""),"Trap: Mimic")</f>
        <v>Trap: Mimic</v>
      </c>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row>
    <row r="354">
      <c r="A354" s="1" t="str">
        <f>IFERROR(__xludf.DUMMYFUNCTION("""COMPUTED_VALUE"""),"Mimic (Mob)")</f>
        <v>Mimic (Mob)</v>
      </c>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row>
    <row r="355">
      <c r="A355" s="1" t="str">
        <f>IFERROR(__xludf.DUMMYFUNCTION("""COMPUTED_VALUE"""),"Puzzle: Floating Underground Sphere")</f>
        <v>Puzzle: Floating Underground Sphere</v>
      </c>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row>
    <row r="356">
      <c r="A356" s="1" t="str">
        <f>IFERROR(__xludf.DUMMYFUNCTION("""COMPUTED_VALUE"""),"Puzzle: Locked Stone Platform Entrance")</f>
        <v>Puzzle: Locked Stone Platform Entrance</v>
      </c>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row>
    <row r="357">
      <c r="A357" s="1" t="str">
        <f>IFERROR(__xludf.DUMMYFUNCTION("""COMPUTED_VALUE"""),"Puzzle: Mysterious Symbol")</f>
        <v>Puzzle: Mysterious Symbol</v>
      </c>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row>
    <row r="358">
      <c r="A358" s="1" t="str">
        <f>IFERROR(__xludf.DUMMYFUNCTION("""COMPUTED_VALUE"""),"Puzzle: Ancient Stone Statue")</f>
        <v>Puzzle: Ancient Stone Statue</v>
      </c>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row>
    <row r="359">
      <c r="A359" s="1" t="str">
        <f>IFERROR(__xludf.DUMMYFUNCTION("""COMPUTED_VALUE"""),"Puzzle: The Chosen One")</f>
        <v>Puzzle: The Chosen One</v>
      </c>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row>
    <row r="360">
      <c r="A360" s="1" t="str">
        <f>IFERROR(__xludf.DUMMYFUNCTION("""COMPUTED_VALUE"""),"Poseidon, God of Tritonoch")</f>
        <v>Poseidon, God of Tritonoch</v>
      </c>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row>
    <row r="361">
      <c r="A361" s="1" t="str">
        <f>IFERROR(__xludf.DUMMYFUNCTION("""COMPUTED_VALUE"""),"Neptune, God of Atlotopia")</f>
        <v>Neptune, God of Atlotopia</v>
      </c>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row>
    <row r="362">
      <c r="A362" s="1" t="str">
        <f>IFERROR(__xludf.DUMMYFUNCTION("""COMPUTED_VALUE"""),"Dionysus, The Eternal Party")</f>
        <v>Dionysus, The Eternal Party</v>
      </c>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row>
    <row r="363">
      <c r="A363" s="1" t="str">
        <f>IFERROR(__xludf.DUMMYFUNCTION("""COMPUTED_VALUE"""),"The Storm Bloods")</f>
        <v>The Storm Bloods</v>
      </c>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row>
    <row r="364">
      <c r="A364" s="1" t="str">
        <f>IFERROR(__xludf.DUMMYFUNCTION("""COMPUTED_VALUE"""),"The Astrologians")</f>
        <v>The Astrologians</v>
      </c>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row>
    <row r="365">
      <c r="A365" s="1" t="str">
        <f>IFERROR(__xludf.DUMMYFUNCTION("""COMPUTED_VALUE"""),"The Harbingers of The Voidwoken (Spira)")</f>
        <v>The Harbingers of The Voidwoken (Spira)</v>
      </c>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row>
    <row r="366">
      <c r="A366" s="1" t="str">
        <f>IFERROR(__xludf.DUMMYFUNCTION("""COMPUTED_VALUE"""),"Imphigenia, Betrayed Goddess Of The Moon")</f>
        <v>Imphigenia, Betrayed Goddess Of The Moon</v>
      </c>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row>
    <row r="367">
      <c r="A367" s="1" t="str">
        <f>IFERROR(__xludf.DUMMYFUNCTION("""COMPUTED_VALUE"""),"Imphigenia, Harbinger of Revenge")</f>
        <v>Imphigenia, Harbinger of Revenge</v>
      </c>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row>
    <row r="368">
      <c r="A368" s="1" t="str">
        <f>IFERROR(__xludf.DUMMYFUNCTION("""COMPUTED_VALUE"""),"Lunarion, Faithful Hound of Imphigenia")</f>
        <v>Lunarion, Faithful Hound of Imphigenia</v>
      </c>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row>
    <row r="369">
      <c r="A369" s="1" t="str">
        <f>IFERROR(__xludf.DUMMYFUNCTION("""COMPUTED_VALUE"""),"The Harbingers of The Voidwoken (DragonScale)")</f>
        <v>The Harbingers of The Voidwoken (DragonScale)</v>
      </c>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row>
    <row r="370">
      <c r="A370" s="1" t="str">
        <f>IFERROR(__xludf.DUMMYFUNCTION("""COMPUTED_VALUE"""),"The Harbingers of The Voidwoken (Abstara)")</f>
        <v>The Harbingers of The Voidwoken (Abstara)</v>
      </c>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row>
    <row r="371">
      <c r="A371" s="1" t="str">
        <f>IFERROR(__xludf.DUMMYFUNCTION("""COMPUTED_VALUE"""),"The Harbingers of The Voidwoken (Solreach)")</f>
        <v>The Harbingers of The Voidwoken (Solreach)</v>
      </c>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row>
    <row r="372">
      <c r="A372" s="1" t="str">
        <f>IFERROR(__xludf.DUMMYFUNCTION("""COMPUTED_VALUE"""),"Salamander, King Of The Fire Elementals")</f>
        <v>Salamander, King Of The Fire Elementals</v>
      </c>
      <c r="B372" s="1" t="str">
        <f>IFERROR(__xludf.DUMMYFUNCTION("""COMPUTED_VALUE"""),"Immune")</f>
        <v>Immune</v>
      </c>
      <c r="C372" s="1"/>
      <c r="D372" s="1"/>
      <c r="E372" s="1"/>
      <c r="F372" s="1"/>
      <c r="G372" s="1"/>
      <c r="H372" s="1"/>
      <c r="I372" s="1"/>
      <c r="J372" s="1"/>
      <c r="K372" s="1">
        <f>IFERROR(__xludf.DUMMYFUNCTION("""COMPUTED_VALUE"""),500.0)</f>
        <v>500</v>
      </c>
      <c r="L372" s="1"/>
      <c r="M372" s="1"/>
      <c r="N372" s="1"/>
      <c r="O372" s="1"/>
      <c r="P372" s="1"/>
      <c r="Q372" s="1"/>
      <c r="R372" s="1" t="str">
        <f>IFERROR(__xludf.DUMMYFUNCTION("""COMPUTED_VALUE"""),"Immune")</f>
        <v>Immune</v>
      </c>
      <c r="S372" s="1"/>
      <c r="T372" s="1"/>
      <c r="U372" s="1"/>
      <c r="V372" s="1"/>
      <c r="W372" s="1"/>
      <c r="X372" s="1" t="str">
        <f>IFERROR(__xludf.DUMMYFUNCTION("""COMPUTED_VALUE"""),"Immune")</f>
        <v>Immune</v>
      </c>
      <c r="Y372" s="1" t="str">
        <f>IFERROR(__xludf.DUMMYFUNCTION("""COMPUTED_VALUE"""),"Immune")</f>
        <v>Immune</v>
      </c>
      <c r="Z372" s="1"/>
      <c r="AA372" s="1" t="str">
        <f>IFERROR(__xludf.DUMMYFUNCTION("""COMPUTED_VALUE"""),"Immune")</f>
        <v>Immune</v>
      </c>
      <c r="AB372" s="1"/>
      <c r="AC372" s="1"/>
      <c r="AD372" s="1"/>
      <c r="AE372" s="1"/>
      <c r="AF372" s="1"/>
      <c r="AG372" s="1"/>
      <c r="AH372" s="1"/>
      <c r="AI372" s="1"/>
      <c r="AJ372" s="1"/>
      <c r="AK372" s="1"/>
      <c r="AL372" s="1"/>
    </row>
    <row r="373">
      <c r="A373" s="1" t="str">
        <f>IFERROR(__xludf.DUMMYFUNCTION("""COMPUTED_VALUE"""),"Beast of Gévaudan")</f>
        <v>Beast of Gévaudan</v>
      </c>
      <c r="B373" s="1" t="str">
        <f>IFERROR(__xludf.DUMMYFUNCTION("""COMPUTED_VALUE"""),"Immune")</f>
        <v>Immune</v>
      </c>
      <c r="C373" s="1"/>
      <c r="D373" s="1"/>
      <c r="E373" s="1"/>
      <c r="F373" s="1"/>
      <c r="G373" s="1" t="str">
        <f>IFERROR(__xludf.DUMMYFUNCTION("""COMPUTED_VALUE"""),"Immune")</f>
        <v>Immune</v>
      </c>
      <c r="H373" s="1"/>
      <c r="I373" s="1"/>
      <c r="J373" s="1"/>
      <c r="K373" s="1"/>
      <c r="L373" s="1"/>
      <c r="M373" s="1"/>
      <c r="N373" s="1"/>
      <c r="O373" s="1"/>
      <c r="P373" s="1"/>
      <c r="Q373" s="1"/>
      <c r="R373" s="1" t="str">
        <f>IFERROR(__xludf.DUMMYFUNCTION("""COMPUTED_VALUE"""),"Immune")</f>
        <v>Immune</v>
      </c>
      <c r="S373" s="1"/>
      <c r="T373" s="1"/>
      <c r="U373" s="1"/>
      <c r="V373" s="1"/>
      <c r="W373" s="1"/>
      <c r="X373" s="1" t="str">
        <f>IFERROR(__xludf.DUMMYFUNCTION("""COMPUTED_VALUE"""),"Immune")</f>
        <v>Immune</v>
      </c>
      <c r="Y373" s="1" t="str">
        <f>IFERROR(__xludf.DUMMYFUNCTION("""COMPUTED_VALUE"""),"Immune")</f>
        <v>Immune</v>
      </c>
      <c r="Z373" s="1"/>
      <c r="AA373" s="1" t="str">
        <f>IFERROR(__xludf.DUMMYFUNCTION("""COMPUTED_VALUE"""),"Immune")</f>
        <v>Immune</v>
      </c>
      <c r="AB373" s="1"/>
      <c r="AC373" s="1"/>
      <c r="AD373" s="1"/>
      <c r="AE373" s="1"/>
      <c r="AF373" s="1"/>
      <c r="AG373" s="1"/>
      <c r="AH373" s="1"/>
      <c r="AI373" s="1"/>
      <c r="AJ373" s="1"/>
      <c r="AK373" s="1"/>
      <c r="AL373" s="1"/>
    </row>
    <row r="374">
      <c r="A374" s="1" t="str">
        <f>IFERROR(__xludf.DUMMYFUNCTION("""COMPUTED_VALUE"""),"Merchant")</f>
        <v>Merchant</v>
      </c>
      <c r="B374" s="1" t="str">
        <f>IFERROR(__xludf.DUMMYFUNCTION("""COMPUTED_VALUE"""),"Immune")</f>
        <v>Immune</v>
      </c>
      <c r="C374" s="1" t="str">
        <f>IFERROR(__xludf.DUMMYFUNCTION("""COMPUTED_VALUE"""),"Immune")</f>
        <v>Immune</v>
      </c>
      <c r="D374" s="1" t="str">
        <f>IFERROR(__xludf.DUMMYFUNCTION("""COMPUTED_VALUE"""),"Immune")</f>
        <v>Immune</v>
      </c>
      <c r="E374" s="1" t="str">
        <f>IFERROR(__xludf.DUMMYFUNCTION("""COMPUTED_VALUE"""),"Immune")</f>
        <v>Immune</v>
      </c>
      <c r="F374" s="1" t="str">
        <f>IFERROR(__xludf.DUMMYFUNCTION("""COMPUTED_VALUE"""),"Immune")</f>
        <v>Immune</v>
      </c>
      <c r="G374" s="1" t="str">
        <f>IFERROR(__xludf.DUMMYFUNCTION("""COMPUTED_VALUE"""),"Immune")</f>
        <v>Immune</v>
      </c>
      <c r="H374" s="1" t="str">
        <f>IFERROR(__xludf.DUMMYFUNCTION("""COMPUTED_VALUE"""),"Immune")</f>
        <v>Immune</v>
      </c>
      <c r="I374" s="1" t="str">
        <f>IFERROR(__xludf.DUMMYFUNCTION("""COMPUTED_VALUE"""),"Immune")</f>
        <v>Immune</v>
      </c>
      <c r="J374" s="1" t="str">
        <f>IFERROR(__xludf.DUMMYFUNCTION("""COMPUTED_VALUE"""),"Immune")</f>
        <v>Immune</v>
      </c>
      <c r="K374" s="1" t="str">
        <f>IFERROR(__xludf.DUMMYFUNCTION("""COMPUTED_VALUE"""),"Immune")</f>
        <v>Immune</v>
      </c>
      <c r="L374" s="1" t="str">
        <f>IFERROR(__xludf.DUMMYFUNCTION("""COMPUTED_VALUE"""),"Immune")</f>
        <v>Immune</v>
      </c>
      <c r="M374" s="1" t="str">
        <f>IFERROR(__xludf.DUMMYFUNCTION("""COMPUTED_VALUE"""),"Immune")</f>
        <v>Immune</v>
      </c>
      <c r="N374" s="1" t="str">
        <f>IFERROR(__xludf.DUMMYFUNCTION("""COMPUTED_VALUE"""),"Immune")</f>
        <v>Immune</v>
      </c>
      <c r="O374" s="1" t="str">
        <f>IFERROR(__xludf.DUMMYFUNCTION("""COMPUTED_VALUE"""),"Immune")</f>
        <v>Immune</v>
      </c>
      <c r="P374" s="1" t="str">
        <f>IFERROR(__xludf.DUMMYFUNCTION("""COMPUTED_VALUE"""),"Immune")</f>
        <v>Immune</v>
      </c>
      <c r="Q374" s="1" t="str">
        <f>IFERROR(__xludf.DUMMYFUNCTION("""COMPUTED_VALUE"""),"Immune")</f>
        <v>Immune</v>
      </c>
      <c r="R374" s="1" t="str">
        <f>IFERROR(__xludf.DUMMYFUNCTION("""COMPUTED_VALUE"""),"Immune")</f>
        <v>Immune</v>
      </c>
      <c r="S374" s="1" t="str">
        <f>IFERROR(__xludf.DUMMYFUNCTION("""COMPUTED_VALUE"""),"Immune")</f>
        <v>Immune</v>
      </c>
      <c r="T374" s="1" t="str">
        <f>IFERROR(__xludf.DUMMYFUNCTION("""COMPUTED_VALUE"""),"Immune")</f>
        <v>Immune</v>
      </c>
      <c r="U374" s="1" t="str">
        <f>IFERROR(__xludf.DUMMYFUNCTION("""COMPUTED_VALUE"""),"Immune")</f>
        <v>Immune</v>
      </c>
      <c r="V374" s="1" t="str">
        <f>IFERROR(__xludf.DUMMYFUNCTION("""COMPUTED_VALUE"""),"Immune")</f>
        <v>Immune</v>
      </c>
      <c r="W374" s="1" t="str">
        <f>IFERROR(__xludf.DUMMYFUNCTION("""COMPUTED_VALUE"""),"Immune")</f>
        <v>Immune</v>
      </c>
      <c r="X374" s="1" t="str">
        <f>IFERROR(__xludf.DUMMYFUNCTION("""COMPUTED_VALUE"""),"Immune")</f>
        <v>Immune</v>
      </c>
      <c r="Y374" s="1" t="str">
        <f>IFERROR(__xludf.DUMMYFUNCTION("""COMPUTED_VALUE"""),"Immune")</f>
        <v>Immune</v>
      </c>
      <c r="Z374" s="1" t="str">
        <f>IFERROR(__xludf.DUMMYFUNCTION("""COMPUTED_VALUE"""),"Immune")</f>
        <v>Immune</v>
      </c>
      <c r="AA374" s="1" t="str">
        <f>IFERROR(__xludf.DUMMYFUNCTION("""COMPUTED_VALUE"""),"Immune")</f>
        <v>Immune</v>
      </c>
      <c r="AB374" s="1" t="str">
        <f>IFERROR(__xludf.DUMMYFUNCTION("""COMPUTED_VALUE"""),"Immune")</f>
        <v>Immune</v>
      </c>
      <c r="AC374" s="1" t="str">
        <f>IFERROR(__xludf.DUMMYFUNCTION("""COMPUTED_VALUE"""),"Immune")</f>
        <v>Immune</v>
      </c>
      <c r="AD374" s="1"/>
      <c r="AE374" s="1"/>
      <c r="AF374" s="1"/>
      <c r="AG374" s="1"/>
      <c r="AH374" s="1"/>
      <c r="AI374" s="1"/>
      <c r="AJ374" s="1"/>
      <c r="AK374" s="1"/>
      <c r="AL374" s="1"/>
    </row>
    <row r="375">
      <c r="A375" s="1" t="str">
        <f>IFERROR(__xludf.DUMMYFUNCTION("""COMPUTED_VALUE"""),"Karduk, King of the Earth Elementals")</f>
        <v>Karduk, King of the Earth Elementals</v>
      </c>
      <c r="B375" s="1"/>
      <c r="C375" s="1"/>
      <c r="D375" s="1"/>
      <c r="E375" s="1"/>
      <c r="F375" s="1"/>
      <c r="G375" s="1"/>
      <c r="H375" s="1"/>
      <c r="I375" s="1"/>
      <c r="J375" s="1"/>
      <c r="K375" s="1"/>
      <c r="L375" s="1"/>
      <c r="M375" s="1"/>
      <c r="N375" s="1"/>
      <c r="O375" s="1"/>
      <c r="P375" s="1"/>
      <c r="Q375" s="1"/>
      <c r="R375" s="1" t="str">
        <f>IFERROR(__xludf.DUMMYFUNCTION("""COMPUTED_VALUE"""),"Immune")</f>
        <v>Immune</v>
      </c>
      <c r="S375" s="1"/>
      <c r="T375" s="1"/>
      <c r="U375" s="1"/>
      <c r="V375" s="1"/>
      <c r="W375" s="1"/>
      <c r="X375" s="1" t="str">
        <f>IFERROR(__xludf.DUMMYFUNCTION("""COMPUTED_VALUE"""),"Immune")</f>
        <v>Immune</v>
      </c>
      <c r="Y375" s="1" t="str">
        <f>IFERROR(__xludf.DUMMYFUNCTION("""COMPUTED_VALUE"""),"Immune")</f>
        <v>Immune</v>
      </c>
      <c r="Z375" s="1"/>
      <c r="AA375" s="1" t="str">
        <f>IFERROR(__xludf.DUMMYFUNCTION("""COMPUTED_VALUE"""),"Immune")</f>
        <v>Immune</v>
      </c>
      <c r="AB375" s="1"/>
      <c r="AC375" s="1"/>
      <c r="AD375" s="1"/>
      <c r="AE375" s="1"/>
      <c r="AF375" s="1"/>
      <c r="AG375" s="1"/>
      <c r="AH375" s="1"/>
      <c r="AI375" s="1"/>
      <c r="AJ375" s="1"/>
      <c r="AK375" s="1"/>
      <c r="AL375" s="1"/>
    </row>
    <row r="376">
      <c r="A376" s="1" t="str">
        <f>IFERROR(__xludf.DUMMYFUNCTION("""COMPUTED_VALUE"""),"Undyne, Queen of the Water Elementals")</f>
        <v>Undyne, Queen of the Water Elementals</v>
      </c>
      <c r="B376" s="1">
        <f>IFERROR(__xludf.DUMMYFUNCTION("""COMPUTED_VALUE"""),500.0)</f>
        <v>500</v>
      </c>
      <c r="C376" s="1" t="str">
        <f>IFERROR(__xludf.DUMMYFUNCTION("""COMPUTED_VALUE"""),"Immune")</f>
        <v>Immune</v>
      </c>
      <c r="D376" s="1"/>
      <c r="E376" s="1"/>
      <c r="F376" s="1"/>
      <c r="G376" s="1"/>
      <c r="H376" s="1"/>
      <c r="I376" s="1"/>
      <c r="J376" s="1"/>
      <c r="K376" s="1"/>
      <c r="L376" s="1"/>
      <c r="M376" s="1"/>
      <c r="N376" s="1"/>
      <c r="O376" s="1"/>
      <c r="P376" s="1"/>
      <c r="Q376" s="1"/>
      <c r="R376" s="1" t="str">
        <f>IFERROR(__xludf.DUMMYFUNCTION("""COMPUTED_VALUE"""),"Immune")</f>
        <v>Immune</v>
      </c>
      <c r="S376" s="1"/>
      <c r="T376" s="1"/>
      <c r="U376" s="1"/>
      <c r="V376" s="1"/>
      <c r="W376" s="1"/>
      <c r="X376" s="1" t="str">
        <f>IFERROR(__xludf.DUMMYFUNCTION("""COMPUTED_VALUE"""),"Immune")</f>
        <v>Immune</v>
      </c>
      <c r="Y376" s="1" t="str">
        <f>IFERROR(__xludf.DUMMYFUNCTION("""COMPUTED_VALUE"""),"Immune")</f>
        <v>Immune</v>
      </c>
      <c r="Z376" s="1"/>
      <c r="AA376" s="1" t="str">
        <f>IFERROR(__xludf.DUMMYFUNCTION("""COMPUTED_VALUE"""),"Immune")</f>
        <v>Immune</v>
      </c>
      <c r="AB376" s="1"/>
      <c r="AC376" s="1"/>
      <c r="AD376" s="1"/>
      <c r="AE376" s="1"/>
      <c r="AF376" s="1"/>
      <c r="AG376" s="1"/>
      <c r="AH376" s="1"/>
      <c r="AI376" s="1"/>
      <c r="AJ376" s="1"/>
      <c r="AK376" s="1"/>
      <c r="AL376" s="1"/>
    </row>
    <row r="377">
      <c r="A377" s="1" t="str">
        <f>IFERROR(__xludf.DUMMYFUNCTION("""COMPUTED_VALUE"""),"Sylph, Queen of the Nature Elementals")</f>
        <v>Sylph, Queen of the Nature Elementals</v>
      </c>
      <c r="B377" s="1"/>
      <c r="C377" s="1">
        <f>IFERROR(__xludf.DUMMYFUNCTION("""COMPUTED_VALUE"""),500.0)</f>
        <v>500</v>
      </c>
      <c r="D377" s="1"/>
      <c r="E377" s="1"/>
      <c r="F377" s="1"/>
      <c r="G377" s="1"/>
      <c r="H377" s="1"/>
      <c r="I377" s="1"/>
      <c r="J377" s="1"/>
      <c r="K377" s="1" t="str">
        <f>IFERROR(__xludf.DUMMYFUNCTION("""COMPUTED_VALUE"""),"Immune")</f>
        <v>Immune</v>
      </c>
      <c r="L377" s="1"/>
      <c r="M377" s="1"/>
      <c r="N377" s="1"/>
      <c r="O377" s="1"/>
      <c r="P377" s="1"/>
      <c r="Q377" s="1"/>
      <c r="R377" s="1" t="str">
        <f>IFERROR(__xludf.DUMMYFUNCTION("""COMPUTED_VALUE"""),"Immune")</f>
        <v>Immune</v>
      </c>
      <c r="S377" s="1"/>
      <c r="T377" s="1"/>
      <c r="U377" s="1"/>
      <c r="V377" s="1"/>
      <c r="W377" s="1"/>
      <c r="X377" s="1" t="str">
        <f>IFERROR(__xludf.DUMMYFUNCTION("""COMPUTED_VALUE"""),"Immune")</f>
        <v>Immune</v>
      </c>
      <c r="Y377" s="1" t="str">
        <f>IFERROR(__xludf.DUMMYFUNCTION("""COMPUTED_VALUE"""),"Immune")</f>
        <v>Immune</v>
      </c>
      <c r="Z377" s="1"/>
      <c r="AA377" s="1" t="str">
        <f>IFERROR(__xludf.DUMMYFUNCTION("""COMPUTED_VALUE"""),"Immune")</f>
        <v>Immune</v>
      </c>
      <c r="AB377" s="1"/>
      <c r="AC377" s="1"/>
      <c r="AD377" s="1"/>
      <c r="AE377" s="1"/>
      <c r="AF377" s="1"/>
      <c r="AG377" s="1"/>
      <c r="AH377" s="1"/>
      <c r="AI377" s="1"/>
      <c r="AJ377" s="1"/>
      <c r="AK377" s="1"/>
      <c r="AL377" s="1"/>
    </row>
    <row r="378">
      <c r="A378" s="1" t="str">
        <f>IFERROR(__xludf.DUMMYFUNCTION("""COMPUTED_VALUE"""),"Raijin, King of the Storm Elementals")</f>
        <v>Raijin, King of the Storm Elementals</v>
      </c>
      <c r="B378" s="1"/>
      <c r="C378" s="1"/>
      <c r="D378" s="1" t="str">
        <f>IFERROR(__xludf.DUMMYFUNCTION("""COMPUTED_VALUE"""),"Immune")</f>
        <v>Immune</v>
      </c>
      <c r="E378" s="1">
        <f>IFERROR(__xludf.DUMMYFUNCTION("""COMPUTED_VALUE"""),500.0)</f>
        <v>500</v>
      </c>
      <c r="F378" s="1"/>
      <c r="G378" s="1"/>
      <c r="H378" s="1"/>
      <c r="I378" s="1"/>
      <c r="J378" s="1"/>
      <c r="K378" s="1">
        <f>IFERROR(__xludf.DUMMYFUNCTION("""COMPUTED_VALUE"""),500.0)</f>
        <v>500</v>
      </c>
      <c r="L378" s="1"/>
      <c r="M378" s="1"/>
      <c r="N378" s="1"/>
      <c r="O378" s="1"/>
      <c r="P378" s="1"/>
      <c r="Q378" s="1"/>
      <c r="R378" s="1" t="str">
        <f>IFERROR(__xludf.DUMMYFUNCTION("""COMPUTED_VALUE"""),"Immune")</f>
        <v>Immune</v>
      </c>
      <c r="S378" s="1"/>
      <c r="T378" s="1"/>
      <c r="U378" s="1"/>
      <c r="V378" s="1"/>
      <c r="W378" s="1"/>
      <c r="X378" s="1" t="str">
        <f>IFERROR(__xludf.DUMMYFUNCTION("""COMPUTED_VALUE"""),"Immune")</f>
        <v>Immune</v>
      </c>
      <c r="Y378" s="1" t="str">
        <f>IFERROR(__xludf.DUMMYFUNCTION("""COMPUTED_VALUE"""),"Immune")</f>
        <v>Immune</v>
      </c>
      <c r="Z378" s="1"/>
      <c r="AA378" s="1" t="str">
        <f>IFERROR(__xludf.DUMMYFUNCTION("""COMPUTED_VALUE"""),"Immune")</f>
        <v>Immune</v>
      </c>
      <c r="AB378" s="1"/>
      <c r="AC378" s="1"/>
      <c r="AD378" s="1"/>
      <c r="AE378" s="1"/>
      <c r="AF378" s="1"/>
      <c r="AG378" s="1"/>
      <c r="AH378" s="1"/>
      <c r="AI378" s="1"/>
      <c r="AJ378" s="1"/>
      <c r="AK378" s="1"/>
      <c r="AL378" s="1"/>
    </row>
    <row r="379">
      <c r="A379" s="1" t="str">
        <f>IFERROR(__xludf.DUMMYFUNCTION("""COMPUTED_VALUE"""),"Plague Doctor, Kaillon")</f>
        <v>Plague Doctor, Kaillon</v>
      </c>
      <c r="B379" s="1"/>
      <c r="C379" s="1"/>
      <c r="D379" s="1"/>
      <c r="E379" s="1"/>
      <c r="F379" s="1"/>
      <c r="G379" s="1">
        <f>IFERROR(__xludf.DUMMYFUNCTION("""COMPUTED_VALUE"""),100.0)</f>
        <v>100</v>
      </c>
      <c r="H379" s="1">
        <f>IFERROR(__xludf.DUMMYFUNCTION("""COMPUTED_VALUE"""),100.0)</f>
        <v>100</v>
      </c>
      <c r="I379" s="1"/>
      <c r="J379" s="1"/>
      <c r="K379" s="1">
        <f>IFERROR(__xludf.DUMMYFUNCTION("""COMPUTED_VALUE"""),100.0)</f>
        <v>100</v>
      </c>
      <c r="L379" s="1"/>
      <c r="M379" s="1"/>
      <c r="N379" s="1"/>
      <c r="O379" s="1"/>
      <c r="P379" s="1"/>
      <c r="Q379" s="1">
        <f>IFERROR(__xludf.DUMMYFUNCTION("""COMPUTED_VALUE"""),100.0)</f>
        <v>100</v>
      </c>
      <c r="R379" s="1">
        <f>IFERROR(__xludf.DUMMYFUNCTION("""COMPUTED_VALUE"""),100.0)</f>
        <v>100</v>
      </c>
      <c r="S379" s="1"/>
      <c r="T379" s="1"/>
      <c r="U379" s="1"/>
      <c r="V379" s="1"/>
      <c r="W379" s="1"/>
      <c r="X379" s="1" t="str">
        <f>IFERROR(__xludf.DUMMYFUNCTION("""COMPUTED_VALUE"""),"Immune")</f>
        <v>Immune</v>
      </c>
      <c r="Y379" s="1" t="str">
        <f>IFERROR(__xludf.DUMMYFUNCTION("""COMPUTED_VALUE"""),"Immune")</f>
        <v>Immune</v>
      </c>
      <c r="Z379" s="1"/>
      <c r="AA379" s="1" t="str">
        <f>IFERROR(__xludf.DUMMYFUNCTION("""COMPUTED_VALUE"""),"Immune")</f>
        <v>Immune</v>
      </c>
      <c r="AB379" s="1"/>
      <c r="AC379" s="1"/>
      <c r="AD379" s="1"/>
      <c r="AE379" s="1"/>
      <c r="AF379" s="1"/>
      <c r="AG379" s="1"/>
      <c r="AH379" s="1"/>
      <c r="AI379" s="1"/>
      <c r="AJ379" s="1"/>
      <c r="AK379" s="1"/>
      <c r="AL379" s="1"/>
    </row>
    <row r="380">
      <c r="A380" s="1" t="str">
        <f>IFERROR(__xludf.DUMMYFUNCTION("""COMPUTED_VALUE"""),"Nereid")</f>
        <v>Nereid</v>
      </c>
      <c r="B380" s="1" t="str">
        <f>IFERROR(__xludf.DUMMYFUNCTION("""COMPUTED_VALUE"""),"Immune")</f>
        <v>Immune</v>
      </c>
      <c r="C380" s="1" t="str">
        <f>IFERROR(__xludf.DUMMYFUNCTION("""COMPUTED_VALUE"""),"Immune")</f>
        <v>Immune</v>
      </c>
      <c r="D380" s="1"/>
      <c r="E380" s="1"/>
      <c r="F380" s="1"/>
      <c r="G380" s="1"/>
      <c r="H380" s="1"/>
      <c r="I380" s="1"/>
      <c r="J380" s="1"/>
      <c r="K380" s="1"/>
      <c r="L380" s="1"/>
      <c r="M380" s="1"/>
      <c r="N380" s="1"/>
      <c r="O380" s="1"/>
      <c r="P380" s="1"/>
      <c r="Q380" s="1"/>
      <c r="R380" s="1" t="str">
        <f>IFERROR(__xludf.DUMMYFUNCTION("""COMPUTED_VALUE"""),"Immune")</f>
        <v>Immune</v>
      </c>
      <c r="S380" s="1"/>
      <c r="T380" s="1"/>
      <c r="U380" s="1"/>
      <c r="V380" s="1"/>
      <c r="W380" s="1"/>
      <c r="X380" s="1" t="str">
        <f>IFERROR(__xludf.DUMMYFUNCTION("""COMPUTED_VALUE"""),"Immune")</f>
        <v>Immune</v>
      </c>
      <c r="Y380" s="1"/>
      <c r="Z380" s="1"/>
      <c r="AA380" s="1" t="str">
        <f>IFERROR(__xludf.DUMMYFUNCTION("""COMPUTED_VALUE"""),"Immune")</f>
        <v>Immune</v>
      </c>
      <c r="AB380" s="1"/>
      <c r="AC380" s="1"/>
      <c r="AD380" s="1"/>
      <c r="AE380" s="1"/>
      <c r="AF380" s="1"/>
      <c r="AG380" s="1"/>
      <c r="AH380" s="1"/>
      <c r="AI380" s="1"/>
      <c r="AJ380" s="1"/>
      <c r="AK380" s="1"/>
      <c r="AL380" s="1"/>
    </row>
    <row r="381">
      <c r="A381" s="1" t="str">
        <f>IFERROR(__xludf.DUMMYFUNCTION("""COMPUTED_VALUE"""),"Ancient Water Elemental")</f>
        <v>Ancient Water Elemental</v>
      </c>
      <c r="B381" s="1" t="str">
        <f>IFERROR(__xludf.DUMMYFUNCTION("""COMPUTED_VALUE"""),"Immune")</f>
        <v>Immune</v>
      </c>
      <c r="C381" s="1" t="str">
        <f>IFERROR(__xludf.DUMMYFUNCTION("""COMPUTED_VALUE"""),"Immune")</f>
        <v>Immune</v>
      </c>
      <c r="D381" s="1"/>
      <c r="E381" s="1"/>
      <c r="F381" s="1"/>
      <c r="G381" s="1"/>
      <c r="H381" s="1"/>
      <c r="I381" s="1"/>
      <c r="J381" s="1"/>
      <c r="K381" s="1"/>
      <c r="L381" s="1"/>
      <c r="M381" s="1"/>
      <c r="N381" s="1"/>
      <c r="O381" s="1"/>
      <c r="P381" s="1"/>
      <c r="Q381" s="1"/>
      <c r="R381" s="1" t="str">
        <f>IFERROR(__xludf.DUMMYFUNCTION("""COMPUTED_VALUE"""),"Immune")</f>
        <v>Immune</v>
      </c>
      <c r="S381" s="1"/>
      <c r="T381" s="1"/>
      <c r="U381" s="1"/>
      <c r="V381" s="1"/>
      <c r="W381" s="1"/>
      <c r="X381" s="1" t="str">
        <f>IFERROR(__xludf.DUMMYFUNCTION("""COMPUTED_VALUE"""),"Immune")</f>
        <v>Immune</v>
      </c>
      <c r="Y381" s="1" t="str">
        <f>IFERROR(__xludf.DUMMYFUNCTION("""COMPUTED_VALUE"""),"Immune")</f>
        <v>Immune</v>
      </c>
      <c r="Z381" s="1"/>
      <c r="AA381" s="1" t="str">
        <f>IFERROR(__xludf.DUMMYFUNCTION("""COMPUTED_VALUE"""),"Immune")</f>
        <v>Immune</v>
      </c>
      <c r="AB381" s="1"/>
      <c r="AC381" s="1"/>
      <c r="AD381" s="1"/>
      <c r="AE381" s="1"/>
      <c r="AF381" s="1"/>
      <c r="AG381" s="1"/>
      <c r="AH381" s="1"/>
      <c r="AI381" s="1"/>
      <c r="AJ381" s="1"/>
      <c r="AK381" s="1"/>
      <c r="AL381" s="1"/>
    </row>
    <row r="382">
      <c r="A382" s="1" t="str">
        <f>IFERROR(__xludf.DUMMYFUNCTION("""COMPUTED_VALUE"""),"Fire Elemental")</f>
        <v>Fire Elemental</v>
      </c>
      <c r="B382" s="1" t="str">
        <f>IFERROR(__xludf.DUMMYFUNCTION("""COMPUTED_VALUE"""),"Immune")</f>
        <v>Immune</v>
      </c>
      <c r="C382" s="1"/>
      <c r="D382" s="1"/>
      <c r="E382" s="1"/>
      <c r="F382" s="1"/>
      <c r="G382" s="1"/>
      <c r="H382" s="1"/>
      <c r="I382" s="1"/>
      <c r="J382" s="1"/>
      <c r="K382" s="1">
        <f>IFERROR(__xludf.DUMMYFUNCTION("""COMPUTED_VALUE"""),100.0)</f>
        <v>100</v>
      </c>
      <c r="L382" s="1"/>
      <c r="M382" s="1"/>
      <c r="N382" s="1"/>
      <c r="O382" s="1"/>
      <c r="P382" s="1"/>
      <c r="Q382" s="1"/>
      <c r="R382" s="1" t="str">
        <f>IFERROR(__xludf.DUMMYFUNCTION("""COMPUTED_VALUE"""),"Immune")</f>
        <v>Immune</v>
      </c>
      <c r="S382" s="1"/>
      <c r="T382" s="1"/>
      <c r="U382" s="1"/>
      <c r="V382" s="1"/>
      <c r="W382" s="1"/>
      <c r="X382" s="1" t="str">
        <f>IFERROR(__xludf.DUMMYFUNCTION("""COMPUTED_VALUE"""),"Immune")</f>
        <v>Immune</v>
      </c>
      <c r="Y382" s="1" t="str">
        <f>IFERROR(__xludf.DUMMYFUNCTION("""COMPUTED_VALUE"""),"Immune")</f>
        <v>Immune</v>
      </c>
      <c r="Z382" s="1"/>
      <c r="AA382" s="1" t="str">
        <f>IFERROR(__xludf.DUMMYFUNCTION("""COMPUTED_VALUE"""),"Immune")</f>
        <v>Immune</v>
      </c>
      <c r="AB382" s="1"/>
      <c r="AC382" s="1"/>
      <c r="AD382" s="1"/>
      <c r="AE382" s="1"/>
      <c r="AF382" s="1"/>
      <c r="AG382" s="1"/>
      <c r="AH382" s="1"/>
      <c r="AI382" s="1"/>
      <c r="AJ382" s="1"/>
      <c r="AK382" s="1"/>
      <c r="AL382" s="1"/>
    </row>
    <row r="383">
      <c r="A383" s="1" t="str">
        <f>IFERROR(__xludf.DUMMYFUNCTION("""COMPUTED_VALUE"""),"Volcanic Elemental")</f>
        <v>Volcanic Elemental</v>
      </c>
      <c r="B383" s="1" t="str">
        <f>IFERROR(__xludf.DUMMYFUNCTION("""COMPUTED_VALUE"""),"Immune")</f>
        <v>Immune</v>
      </c>
      <c r="C383" s="1"/>
      <c r="D383" s="1"/>
      <c r="E383" s="1"/>
      <c r="F383" s="1"/>
      <c r="G383" s="1"/>
      <c r="H383" s="1"/>
      <c r="I383" s="1"/>
      <c r="J383" s="1"/>
      <c r="K383" s="1">
        <f>IFERROR(__xludf.DUMMYFUNCTION("""COMPUTED_VALUE"""),500.0)</f>
        <v>500</v>
      </c>
      <c r="L383" s="1"/>
      <c r="M383" s="1"/>
      <c r="N383" s="1"/>
      <c r="O383" s="1"/>
      <c r="P383" s="1"/>
      <c r="Q383" s="1"/>
      <c r="R383" s="1" t="str">
        <f>IFERROR(__xludf.DUMMYFUNCTION("""COMPUTED_VALUE"""),"Immune")</f>
        <v>Immune</v>
      </c>
      <c r="S383" s="1"/>
      <c r="T383" s="1"/>
      <c r="U383" s="1"/>
      <c r="V383" s="1"/>
      <c r="W383" s="1"/>
      <c r="X383" s="1" t="str">
        <f>IFERROR(__xludf.DUMMYFUNCTION("""COMPUTED_VALUE"""),"Immune")</f>
        <v>Immune</v>
      </c>
      <c r="Y383" s="1"/>
      <c r="Z383" s="1"/>
      <c r="AA383" s="1" t="str">
        <f>IFERROR(__xludf.DUMMYFUNCTION("""COMPUTED_VALUE"""),"Immune")</f>
        <v>Immune</v>
      </c>
      <c r="AB383" s="1"/>
      <c r="AC383" s="1"/>
      <c r="AD383" s="1"/>
      <c r="AE383" s="1"/>
      <c r="AF383" s="1"/>
      <c r="AG383" s="1"/>
      <c r="AH383" s="1"/>
      <c r="AI383" s="1"/>
      <c r="AJ383" s="1"/>
      <c r="AK383" s="1"/>
      <c r="AL383" s="1"/>
    </row>
    <row r="384">
      <c r="A384" s="1" t="str">
        <f>IFERROR(__xludf.DUMMYFUNCTION("""COMPUTED_VALUE"""),"Crystal Colossus")</f>
        <v>Crystal Colossus</v>
      </c>
      <c r="B384" s="1"/>
      <c r="C384" s="1"/>
      <c r="D384" s="1"/>
      <c r="E384" s="1"/>
      <c r="F384" s="1"/>
      <c r="G384" s="1"/>
      <c r="H384" s="1"/>
      <c r="I384" s="1"/>
      <c r="J384" s="1"/>
      <c r="K384" s="1"/>
      <c r="L384" s="1"/>
      <c r="M384" s="1"/>
      <c r="N384" s="1"/>
      <c r="O384" s="1"/>
      <c r="P384" s="1"/>
      <c r="Q384" s="1"/>
      <c r="R384" s="1"/>
      <c r="S384" s="1"/>
      <c r="T384" s="1"/>
      <c r="U384" s="1"/>
      <c r="V384" s="1"/>
      <c r="W384" s="1"/>
      <c r="X384" s="1" t="str">
        <f>IFERROR(__xludf.DUMMYFUNCTION("""COMPUTED_VALUE"""),"Immune")</f>
        <v>Immune</v>
      </c>
      <c r="Y384" s="1" t="str">
        <f>IFERROR(__xludf.DUMMYFUNCTION("""COMPUTED_VALUE"""),"Immune")</f>
        <v>Immune</v>
      </c>
      <c r="Z384" s="1"/>
      <c r="AA384" s="1" t="str">
        <f>IFERROR(__xludf.DUMMYFUNCTION("""COMPUTED_VALUE"""),"Immune")</f>
        <v>Immune</v>
      </c>
      <c r="AB384" s="1"/>
      <c r="AC384" s="1"/>
      <c r="AD384" s="1"/>
      <c r="AE384" s="1"/>
      <c r="AF384" s="1"/>
      <c r="AG384" s="1"/>
      <c r="AH384" s="1"/>
      <c r="AI384" s="1"/>
      <c r="AJ384" s="1"/>
      <c r="AK384" s="1"/>
      <c r="AL384" s="1"/>
    </row>
    <row r="385">
      <c r="A385" s="1" t="str">
        <f>IFERROR(__xludf.DUMMYFUNCTION("""COMPUTED_VALUE"""),"The Great Storm Kaiju")</f>
        <v>The Great Storm Kaiju</v>
      </c>
      <c r="B385" s="1" t="str">
        <f>IFERROR(__xludf.DUMMYFUNCTION("""COMPUTED_VALUE"""),"Immune")</f>
        <v>Immune</v>
      </c>
      <c r="C385" s="1" t="str">
        <f>IFERROR(__xludf.DUMMYFUNCTION("""COMPUTED_VALUE"""),"Immune")</f>
        <v>Immune</v>
      </c>
      <c r="D385" s="1" t="str">
        <f>IFERROR(__xludf.DUMMYFUNCTION("""COMPUTED_VALUE"""),"Immune")</f>
        <v>Immune</v>
      </c>
      <c r="E385" s="1" t="str">
        <f>IFERROR(__xludf.DUMMYFUNCTION("""COMPUTED_VALUE"""),"Immune")</f>
        <v>Immune</v>
      </c>
      <c r="F385" s="1"/>
      <c r="G385" s="1"/>
      <c r="H385" s="1"/>
      <c r="I385" s="1"/>
      <c r="J385" s="1"/>
      <c r="K385" s="1" t="str">
        <f>IFERROR(__xludf.DUMMYFUNCTION("""COMPUTED_VALUE"""),"Immune")</f>
        <v>Immune</v>
      </c>
      <c r="L385" s="1"/>
      <c r="M385" s="1"/>
      <c r="N385" s="1"/>
      <c r="O385" s="1"/>
      <c r="P385" s="1"/>
      <c r="Q385" s="1"/>
      <c r="R385" s="1"/>
      <c r="S385" s="1"/>
      <c r="T385" s="1"/>
      <c r="U385" s="1"/>
      <c r="V385" s="1"/>
      <c r="W385" s="1"/>
      <c r="X385" s="1" t="str">
        <f>IFERROR(__xludf.DUMMYFUNCTION("""COMPUTED_VALUE"""),"Immune")</f>
        <v>Immune</v>
      </c>
      <c r="Y385" s="1" t="str">
        <f>IFERROR(__xludf.DUMMYFUNCTION("""COMPUTED_VALUE"""),"Immune")</f>
        <v>Immune</v>
      </c>
      <c r="Z385" s="1"/>
      <c r="AA385" s="1" t="str">
        <f>IFERROR(__xludf.DUMMYFUNCTION("""COMPUTED_VALUE"""),"Immune")</f>
        <v>Immune</v>
      </c>
      <c r="AB385" s="1"/>
      <c r="AC385" s="1"/>
      <c r="AD385" s="1"/>
      <c r="AE385" s="1"/>
      <c r="AF385" s="1"/>
      <c r="AG385" s="1"/>
      <c r="AH385" s="1"/>
      <c r="AI385" s="1"/>
      <c r="AJ385" s="1"/>
      <c r="AK385" s="1"/>
      <c r="AL385" s="1"/>
    </row>
    <row r="386">
      <c r="A386" s="1" t="str">
        <f>IFERROR(__xludf.DUMMYFUNCTION("""COMPUTED_VALUE"""),"Gaia, Goddess of Earth")</f>
        <v>Gaia, Goddess of Earth</v>
      </c>
      <c r="B386" s="1" t="str">
        <f>IFERROR(__xludf.DUMMYFUNCTION("""COMPUTED_VALUE"""),"Immune")</f>
        <v>Immune</v>
      </c>
      <c r="C386" s="1"/>
      <c r="D386" s="1"/>
      <c r="E386" s="1" t="str">
        <f>IFERROR(__xludf.DUMMYFUNCTION("""COMPUTED_VALUE"""),"Immune")</f>
        <v>Immune</v>
      </c>
      <c r="F386" s="1"/>
      <c r="G386" s="1">
        <f>IFERROR(__xludf.DUMMYFUNCTION("""COMPUTED_VALUE"""),100.0)</f>
        <v>100</v>
      </c>
      <c r="H386" s="1"/>
      <c r="I386" s="1"/>
      <c r="J386" s="1">
        <f>IFERROR(__xludf.DUMMYFUNCTION("""COMPUTED_VALUE"""),100.0)</f>
        <v>100</v>
      </c>
      <c r="K386" s="1" t="str">
        <f>IFERROR(__xludf.DUMMYFUNCTION("""COMPUTED_VALUE"""),"Immune")</f>
        <v>Immune</v>
      </c>
      <c r="L386" s="1"/>
      <c r="M386" s="1"/>
      <c r="N386" s="1"/>
      <c r="O386" s="1"/>
      <c r="P386" s="1"/>
      <c r="Q386" s="1"/>
      <c r="R386" s="1"/>
      <c r="S386" s="1"/>
      <c r="T386" s="1"/>
      <c r="U386" s="1"/>
      <c r="V386" s="1"/>
      <c r="W386" s="1">
        <f>IFERROR(__xludf.DUMMYFUNCTION("""COMPUTED_VALUE"""),100.0)</f>
        <v>100</v>
      </c>
      <c r="X386" s="1" t="str">
        <f>IFERROR(__xludf.DUMMYFUNCTION("""COMPUTED_VALUE"""),"Immune")</f>
        <v>Immune</v>
      </c>
      <c r="Y386" s="1" t="str">
        <f>IFERROR(__xludf.DUMMYFUNCTION("""COMPUTED_VALUE"""),"Immune")</f>
        <v>Immune</v>
      </c>
      <c r="Z386" s="1"/>
      <c r="AA386" s="1" t="str">
        <f>IFERROR(__xludf.DUMMYFUNCTION("""COMPUTED_VALUE"""),"Immune")</f>
        <v>Immune</v>
      </c>
      <c r="AB386" s="1"/>
      <c r="AC386" s="1"/>
      <c r="AD386" s="1"/>
      <c r="AE386" s="1"/>
      <c r="AF386" s="1"/>
      <c r="AG386" s="1"/>
      <c r="AH386" s="1"/>
      <c r="AI386" s="1"/>
      <c r="AJ386" s="1"/>
      <c r="AK386" s="1"/>
      <c r="AL386" s="1"/>
    </row>
    <row r="387">
      <c r="A387" s="1" t="str">
        <f>IFERROR(__xludf.DUMMYFUNCTION("""COMPUTED_VALUE"""),"Ninja of Bashe")</f>
        <v>Ninja of Bashe</v>
      </c>
      <c r="B387" s="1"/>
      <c r="C387" s="1"/>
      <c r="D387" s="1"/>
      <c r="E387" s="1"/>
      <c r="F387" s="1"/>
      <c r="G387" s="1">
        <f>IFERROR(__xludf.DUMMYFUNCTION("""COMPUTED_VALUE"""),100.0)</f>
        <v>100</v>
      </c>
      <c r="H387" s="1"/>
      <c r="I387" s="1"/>
      <c r="J387" s="1">
        <f>IFERROR(__xludf.DUMMYFUNCTION("""COMPUTED_VALUE"""),100.0)</f>
        <v>100</v>
      </c>
      <c r="K387" s="1"/>
      <c r="L387" s="1"/>
      <c r="M387" s="1"/>
      <c r="N387" s="1"/>
      <c r="O387" s="1"/>
      <c r="P387" s="1"/>
      <c r="Q387" s="1" t="str">
        <f>IFERROR(__xludf.DUMMYFUNCTION("""COMPUTED_VALUE"""),"Immune")</f>
        <v>Immune</v>
      </c>
      <c r="R387" s="1"/>
      <c r="S387" s="1"/>
      <c r="T387" s="1"/>
      <c r="U387" s="1"/>
      <c r="V387" s="1"/>
      <c r="W387" s="1"/>
      <c r="X387" s="1" t="str">
        <f>IFERROR(__xludf.DUMMYFUNCTION("""COMPUTED_VALUE"""),"Immune")</f>
        <v>Immune</v>
      </c>
      <c r="Y387" s="1"/>
      <c r="Z387" s="1"/>
      <c r="AA387" s="1"/>
      <c r="AB387" s="1"/>
      <c r="AC387" s="1"/>
      <c r="AD387" s="1"/>
      <c r="AE387" s="1"/>
      <c r="AF387" s="1"/>
      <c r="AG387" s="1"/>
      <c r="AH387" s="1"/>
      <c r="AI387" s="1"/>
      <c r="AJ387" s="1"/>
      <c r="AK387" s="1"/>
      <c r="AL387" s="1"/>
    </row>
    <row r="388">
      <c r="A388" s="1" t="str">
        <f>IFERROR(__xludf.DUMMYFUNCTION("""COMPUTED_VALUE"""),"Bahamut, Beast of the Endless Void (First Phase)")</f>
        <v>Bahamut, Beast of the Endless Void (First Phase)</v>
      </c>
      <c r="B388" s="1" t="str">
        <f>IFERROR(__xludf.DUMMYFUNCTION("""COMPUTED_VALUE"""),"Immune")</f>
        <v>Immune</v>
      </c>
      <c r="C388" s="1" t="str">
        <f>IFERROR(__xludf.DUMMYFUNCTION("""COMPUTED_VALUE"""),"Immune")</f>
        <v>Immune</v>
      </c>
      <c r="D388" s="1" t="str">
        <f>IFERROR(__xludf.DUMMYFUNCTION("""COMPUTED_VALUE"""),"Immune")</f>
        <v>Immune</v>
      </c>
      <c r="E388" s="1" t="str">
        <f>IFERROR(__xludf.DUMMYFUNCTION("""COMPUTED_VALUE"""),"Immune")</f>
        <v>Immune</v>
      </c>
      <c r="F388" s="1">
        <f>IFERROR(__xludf.DUMMYFUNCTION("""COMPUTED_VALUE"""),250.0)</f>
        <v>250</v>
      </c>
      <c r="G388" s="1">
        <f>IFERROR(__xludf.DUMMYFUNCTION("""COMPUTED_VALUE"""),250.0)</f>
        <v>250</v>
      </c>
      <c r="H388" s="1">
        <f>IFERROR(__xludf.DUMMYFUNCTION("""COMPUTED_VALUE"""),250.0)</f>
        <v>250</v>
      </c>
      <c r="I388" s="1"/>
      <c r="J388" s="1">
        <f>IFERROR(__xludf.DUMMYFUNCTION("""COMPUTED_VALUE"""),250.0)</f>
        <v>250</v>
      </c>
      <c r="K388" s="1"/>
      <c r="L388" s="1" t="str">
        <f>IFERROR(__xludf.DUMMYFUNCTION("""COMPUTED_VALUE"""),"Immune")</f>
        <v>Immune</v>
      </c>
      <c r="M388" s="1" t="str">
        <f>IFERROR(__xludf.DUMMYFUNCTION("""COMPUTED_VALUE"""),"Immune")</f>
        <v>Immune</v>
      </c>
      <c r="N388" s="1" t="str">
        <f>IFERROR(__xludf.DUMMYFUNCTION("""COMPUTED_VALUE"""),"Immune")</f>
        <v>Immune</v>
      </c>
      <c r="O388" s="1">
        <f>IFERROR(__xludf.DUMMYFUNCTION("""COMPUTED_VALUE"""),250.0)</f>
        <v>250</v>
      </c>
      <c r="P388" s="1">
        <f>IFERROR(__xludf.DUMMYFUNCTION("""COMPUTED_VALUE"""),250.0)</f>
        <v>250</v>
      </c>
      <c r="Q388" s="1">
        <f>IFERROR(__xludf.DUMMYFUNCTION("""COMPUTED_VALUE"""),250.0)</f>
        <v>250</v>
      </c>
      <c r="R388" s="1" t="str">
        <f>IFERROR(__xludf.DUMMYFUNCTION("""COMPUTED_VALUE"""),"Immune")</f>
        <v>Immune</v>
      </c>
      <c r="S388" s="1"/>
      <c r="T388" s="1"/>
      <c r="U388" s="1"/>
      <c r="V388" s="1" t="str">
        <f>IFERROR(__xludf.DUMMYFUNCTION("""COMPUTED_VALUE"""),"Immune")</f>
        <v>Immune</v>
      </c>
      <c r="W388" s="1" t="str">
        <f>IFERROR(__xludf.DUMMYFUNCTION("""COMPUTED_VALUE"""),"Immune")</f>
        <v>Immune</v>
      </c>
      <c r="X388" s="1" t="str">
        <f>IFERROR(__xludf.DUMMYFUNCTION("""COMPUTED_VALUE"""),"Immune")</f>
        <v>Immune</v>
      </c>
      <c r="Y388" s="1" t="str">
        <f>IFERROR(__xludf.DUMMYFUNCTION("""COMPUTED_VALUE"""),"Immune")</f>
        <v>Immune</v>
      </c>
      <c r="Z388" s="1"/>
      <c r="AA388" s="1" t="str">
        <f>IFERROR(__xludf.DUMMYFUNCTION("""COMPUTED_VALUE"""),"Immune")</f>
        <v>Immune</v>
      </c>
      <c r="AB388" s="1"/>
      <c r="AC388" s="1"/>
      <c r="AD388" s="1"/>
      <c r="AE388" s="1"/>
      <c r="AF388" s="1"/>
      <c r="AG388" s="1"/>
      <c r="AH388" s="1"/>
      <c r="AI388" s="1"/>
      <c r="AJ388" s="1"/>
      <c r="AK388" s="1"/>
      <c r="AL388" s="1"/>
    </row>
    <row r="389">
      <c r="A389" s="1" t="str">
        <f>IFERROR(__xludf.DUMMYFUNCTION("""COMPUTED_VALUE"""),"Orgroth - The Volcanic Guardian of Fire Tiki Mountain")</f>
        <v>Orgroth - The Volcanic Guardian of Fire Tiki Mountain</v>
      </c>
      <c r="B389" s="1" t="str">
        <f>IFERROR(__xludf.DUMMYFUNCTION("""COMPUTED_VALUE"""),"Immune")</f>
        <v>Immune</v>
      </c>
      <c r="C389" s="1"/>
      <c r="D389" s="1"/>
      <c r="E389" s="1" t="str">
        <f>IFERROR(__xludf.DUMMYFUNCTION("""COMPUTED_VALUE"""),"Immune")</f>
        <v>Immune</v>
      </c>
      <c r="F389" s="1"/>
      <c r="G389" s="1"/>
      <c r="H389" s="1"/>
      <c r="I389" s="1"/>
      <c r="J389" s="1">
        <f>IFERROR(__xludf.DUMMYFUNCTION("""COMPUTED_VALUE"""),250.0)</f>
        <v>250</v>
      </c>
      <c r="K389" s="1"/>
      <c r="L389" s="1"/>
      <c r="M389" s="1"/>
      <c r="N389" s="1"/>
      <c r="O389" s="1"/>
      <c r="P389" s="1"/>
      <c r="Q389" s="1"/>
      <c r="R389" s="1"/>
      <c r="S389" s="1"/>
      <c r="T389" s="1"/>
      <c r="U389" s="1"/>
      <c r="V389" s="1"/>
      <c r="W389" s="1"/>
      <c r="X389" s="1" t="str">
        <f>IFERROR(__xludf.DUMMYFUNCTION("""COMPUTED_VALUE"""),"Immune")</f>
        <v>Immune</v>
      </c>
      <c r="Y389" s="1" t="str">
        <f>IFERROR(__xludf.DUMMYFUNCTION("""COMPUTED_VALUE"""),"Immune")</f>
        <v>Immune</v>
      </c>
      <c r="Z389" s="1"/>
      <c r="AA389" s="1" t="str">
        <f>IFERROR(__xludf.DUMMYFUNCTION("""COMPUTED_VALUE"""),"Immune")</f>
        <v>Immune</v>
      </c>
      <c r="AB389" s="1"/>
      <c r="AC389" s="1"/>
      <c r="AD389" s="1"/>
      <c r="AE389" s="1"/>
      <c r="AF389" s="1"/>
      <c r="AG389" s="1"/>
      <c r="AH389" s="1"/>
      <c r="AI389" s="1"/>
      <c r="AJ389" s="1"/>
      <c r="AK389" s="1"/>
      <c r="AL389" s="1"/>
    </row>
    <row r="390">
      <c r="A390" s="1" t="str">
        <f>IFERROR(__xludf.DUMMYFUNCTION("""COMPUTED_VALUE"""),"Gaia's Paladins")</f>
        <v>Gaia's Paladins</v>
      </c>
      <c r="B390" s="1"/>
      <c r="C390" s="1"/>
      <c r="D390" s="1"/>
      <c r="E390" s="1" t="str">
        <f>IFERROR(__xludf.DUMMYFUNCTION("""COMPUTED_VALUE"""),"Immune")</f>
        <v>Immune</v>
      </c>
      <c r="F390" s="1"/>
      <c r="G390" s="1">
        <f>IFERROR(__xludf.DUMMYFUNCTION("""COMPUTED_VALUE"""),250.0)</f>
        <v>250</v>
      </c>
      <c r="H390" s="1"/>
      <c r="I390" s="1"/>
      <c r="J390" s="1"/>
      <c r="K390" s="1">
        <f>IFERROR(__xludf.DUMMYFUNCTION("""COMPUTED_VALUE"""),100.0)</f>
        <v>100</v>
      </c>
      <c r="L390" s="1"/>
      <c r="M390" s="1"/>
      <c r="N390" s="1"/>
      <c r="O390" s="1"/>
      <c r="P390" s="1"/>
      <c r="Q390" s="1"/>
      <c r="R390" s="1"/>
      <c r="S390" s="1"/>
      <c r="T390" s="1"/>
      <c r="U390" s="1"/>
      <c r="V390" s="1"/>
      <c r="W390" s="1">
        <f>IFERROR(__xludf.DUMMYFUNCTION("""COMPUTED_VALUE"""),100.0)</f>
        <v>100</v>
      </c>
      <c r="X390" s="1" t="str">
        <f>IFERROR(__xludf.DUMMYFUNCTION("""COMPUTED_VALUE"""),"Immune")</f>
        <v>Immune</v>
      </c>
      <c r="Y390" s="1"/>
      <c r="Z390" s="1"/>
      <c r="AA390" s="1"/>
      <c r="AB390" s="1"/>
      <c r="AC390" s="1"/>
      <c r="AD390" s="1"/>
      <c r="AE390" s="1"/>
      <c r="AF390" s="1"/>
      <c r="AG390" s="1"/>
      <c r="AH390" s="1"/>
      <c r="AI390" s="1"/>
      <c r="AJ390" s="1"/>
      <c r="AK390" s="1"/>
      <c r="AL390" s="1"/>
    </row>
    <row r="391">
      <c r="A391" s="1" t="str">
        <f>IFERROR(__xludf.DUMMYFUNCTION("""COMPUTED_VALUE"""),"Zor - The Volcanic Golem")</f>
        <v>Zor - The Volcanic Golem</v>
      </c>
      <c r="B391" s="1" t="str">
        <f>IFERROR(__xludf.DUMMYFUNCTION("""COMPUTED_VALUE"""),"Immune")</f>
        <v>Immune</v>
      </c>
      <c r="C391" s="1"/>
      <c r="D391" s="1"/>
      <c r="E391" s="1" t="str">
        <f>IFERROR(__xludf.DUMMYFUNCTION("""COMPUTED_VALUE"""),"Immune")</f>
        <v>Immune</v>
      </c>
      <c r="F391" s="1"/>
      <c r="G391" s="1"/>
      <c r="H391" s="1"/>
      <c r="I391" s="1"/>
      <c r="J391" s="1"/>
      <c r="K391" s="1"/>
      <c r="L391" s="1"/>
      <c r="M391" s="1"/>
      <c r="N391" s="1"/>
      <c r="O391" s="1"/>
      <c r="P391" s="1"/>
      <c r="Q391" s="1"/>
      <c r="R391" s="1"/>
      <c r="S391" s="1"/>
      <c r="T391" s="1"/>
      <c r="U391" s="1"/>
      <c r="V391" s="1"/>
      <c r="W391" s="1"/>
      <c r="X391" s="1" t="str">
        <f>IFERROR(__xludf.DUMMYFUNCTION("""COMPUTED_VALUE"""),"Immune")</f>
        <v>Immune</v>
      </c>
      <c r="Y391" s="1" t="str">
        <f>IFERROR(__xludf.DUMMYFUNCTION("""COMPUTED_VALUE"""),"Immune")</f>
        <v>Immune</v>
      </c>
      <c r="Z391" s="1"/>
      <c r="AA391" s="1" t="str">
        <f>IFERROR(__xludf.DUMMYFUNCTION("""COMPUTED_VALUE"""),"Immune")</f>
        <v>Immune</v>
      </c>
      <c r="AB391" s="1"/>
      <c r="AC391" s="1"/>
      <c r="AD391" s="1"/>
      <c r="AE391" s="1"/>
      <c r="AF391" s="1"/>
      <c r="AG391" s="1"/>
      <c r="AH391" s="1"/>
      <c r="AI391" s="1"/>
      <c r="AJ391" s="1"/>
      <c r="AK391" s="1"/>
      <c r="AL391" s="1"/>
    </row>
    <row r="392">
      <c r="A392" s="1" t="str">
        <f>IFERROR(__xludf.DUMMYFUNCTION("""COMPUTED_VALUE"""),"Talthos - The Towering Kaiju")</f>
        <v>Talthos - The Towering Kaiju</v>
      </c>
      <c r="B392" s="1" t="str">
        <f>IFERROR(__xludf.DUMMYFUNCTION("""COMPUTED_VALUE"""),"Immune")</f>
        <v>Immune</v>
      </c>
      <c r="C392" s="1"/>
      <c r="D392" s="1"/>
      <c r="E392" s="1" t="str">
        <f>IFERROR(__xludf.DUMMYFUNCTION("""COMPUTED_VALUE"""),"Immune")</f>
        <v>Immune</v>
      </c>
      <c r="F392" s="1"/>
      <c r="G392" s="1"/>
      <c r="H392" s="1"/>
      <c r="I392" s="1"/>
      <c r="J392" s="1"/>
      <c r="K392" s="1"/>
      <c r="L392" s="1"/>
      <c r="M392" s="1"/>
      <c r="N392" s="1"/>
      <c r="O392" s="1"/>
      <c r="P392" s="1"/>
      <c r="Q392" s="1"/>
      <c r="R392" s="1"/>
      <c r="S392" s="1"/>
      <c r="T392" s="1"/>
      <c r="U392" s="1"/>
      <c r="V392" s="1"/>
      <c r="W392" s="1"/>
      <c r="X392" s="1" t="str">
        <f>IFERROR(__xludf.DUMMYFUNCTION("""COMPUTED_VALUE"""),"Immune")</f>
        <v>Immune</v>
      </c>
      <c r="Y392" s="1" t="str">
        <f>IFERROR(__xludf.DUMMYFUNCTION("""COMPUTED_VALUE"""),"Immune")</f>
        <v>Immune</v>
      </c>
      <c r="Z392" s="1"/>
      <c r="AA392" s="1" t="str">
        <f>IFERROR(__xludf.DUMMYFUNCTION("""COMPUTED_VALUE"""),"Immune")</f>
        <v>Immune</v>
      </c>
      <c r="AB392" s="1"/>
      <c r="AC392" s="1"/>
      <c r="AD392" s="1"/>
      <c r="AE392" s="1"/>
      <c r="AF392" s="1"/>
      <c r="AG392" s="1"/>
      <c r="AH392" s="1"/>
      <c r="AI392" s="1"/>
      <c r="AJ392" s="1"/>
      <c r="AK392" s="1"/>
      <c r="AL392" s="1"/>
    </row>
    <row r="393">
      <c r="A393" s="1" t="str">
        <f>IFERROR(__xludf.DUMMYFUNCTION("""COMPUTED_VALUE"""),"Cloudius - The Smoke Elemental")</f>
        <v>Cloudius - The Smoke Elemental</v>
      </c>
      <c r="B393" s="1" t="str">
        <f>IFERROR(__xludf.DUMMYFUNCTION("""COMPUTED_VALUE"""),"Immune")</f>
        <v>Immune</v>
      </c>
      <c r="C393" s="1"/>
      <c r="D393" s="1"/>
      <c r="E393" s="1" t="str">
        <f>IFERROR(__xludf.DUMMYFUNCTION("""COMPUTED_VALUE"""),"Immune")</f>
        <v>Immune</v>
      </c>
      <c r="F393" s="1"/>
      <c r="G393" s="1"/>
      <c r="H393" s="1"/>
      <c r="I393" s="1"/>
      <c r="J393" s="1"/>
      <c r="K393" s="1"/>
      <c r="L393" s="1"/>
      <c r="M393" s="1"/>
      <c r="N393" s="1"/>
      <c r="O393" s="1"/>
      <c r="P393" s="1"/>
      <c r="Q393" s="1"/>
      <c r="R393" s="1" t="str">
        <f>IFERROR(__xludf.DUMMYFUNCTION("""COMPUTED_VALUE"""),"Immune")</f>
        <v>Immune</v>
      </c>
      <c r="S393" s="1"/>
      <c r="T393" s="1"/>
      <c r="U393" s="1"/>
      <c r="V393" s="1"/>
      <c r="W393" s="1">
        <f>IFERROR(__xludf.DUMMYFUNCTION("""COMPUTED_VALUE"""),100.0)</f>
        <v>100</v>
      </c>
      <c r="X393" s="1" t="str">
        <f>IFERROR(__xludf.DUMMYFUNCTION("""COMPUTED_VALUE"""),"Immune")</f>
        <v>Immune</v>
      </c>
      <c r="Y393" s="1" t="str">
        <f>IFERROR(__xludf.DUMMYFUNCTION("""COMPUTED_VALUE"""),"Immune")</f>
        <v>Immune</v>
      </c>
      <c r="Z393" s="1"/>
      <c r="AA393" s="1" t="str">
        <f>IFERROR(__xludf.DUMMYFUNCTION("""COMPUTED_VALUE"""),"Immune")</f>
        <v>Immune</v>
      </c>
      <c r="AB393" s="1"/>
      <c r="AC393" s="1"/>
      <c r="AD393" s="1"/>
      <c r="AE393" s="1"/>
      <c r="AF393" s="1"/>
      <c r="AG393" s="1"/>
      <c r="AH393" s="1"/>
      <c r="AI393" s="1"/>
      <c r="AJ393" s="1"/>
      <c r="AK393" s="1"/>
      <c r="AL393" s="1"/>
    </row>
    <row r="394">
      <c r="A394" s="1" t="str">
        <f>IFERROR(__xludf.DUMMYFUNCTION("""COMPUTED_VALUE"""),"Grisaia - The Head Paladin of Gaia")</f>
        <v>Grisaia - The Head Paladin of Gaia</v>
      </c>
      <c r="B394" s="1"/>
      <c r="C394" s="1"/>
      <c r="D394" s="1"/>
      <c r="E394" s="1" t="str">
        <f>IFERROR(__xludf.DUMMYFUNCTION("""COMPUTED_VALUE"""),"Immune")</f>
        <v>Immune</v>
      </c>
      <c r="F394" s="1"/>
      <c r="G394" s="1">
        <f>IFERROR(__xludf.DUMMYFUNCTION("""COMPUTED_VALUE"""),250.0)</f>
        <v>250</v>
      </c>
      <c r="H394" s="1"/>
      <c r="I394" s="1"/>
      <c r="J394" s="1">
        <f>IFERROR(__xludf.DUMMYFUNCTION("""COMPUTED_VALUE"""),250.0)</f>
        <v>250</v>
      </c>
      <c r="K394" s="1" t="str">
        <f>IFERROR(__xludf.DUMMYFUNCTION("""COMPUTED_VALUE"""),"Immune")</f>
        <v>Immune</v>
      </c>
      <c r="L394" s="1">
        <f>IFERROR(__xludf.DUMMYFUNCTION("""COMPUTED_VALUE"""),100.0)</f>
        <v>100</v>
      </c>
      <c r="M394" s="1">
        <f>IFERROR(__xludf.DUMMYFUNCTION("""COMPUTED_VALUE"""),100.0)</f>
        <v>100</v>
      </c>
      <c r="N394" s="1">
        <f>IFERROR(__xludf.DUMMYFUNCTION("""COMPUTED_VALUE"""),100.0)</f>
        <v>100</v>
      </c>
      <c r="O394" s="1"/>
      <c r="P394" s="1"/>
      <c r="Q394" s="1"/>
      <c r="R394" s="1"/>
      <c r="S394" s="1"/>
      <c r="T394" s="1"/>
      <c r="U394" s="1"/>
      <c r="V394" s="1"/>
      <c r="W394" s="1"/>
      <c r="X394" s="1" t="str">
        <f>IFERROR(__xludf.DUMMYFUNCTION("""COMPUTED_VALUE"""),"Immune")</f>
        <v>Immune</v>
      </c>
      <c r="Y394" s="1" t="str">
        <f>IFERROR(__xludf.DUMMYFUNCTION("""COMPUTED_VALUE"""),"Immune")</f>
        <v>Immune</v>
      </c>
      <c r="Z394" s="1"/>
      <c r="AA394" s="1" t="str">
        <f>IFERROR(__xludf.DUMMYFUNCTION("""COMPUTED_VALUE"""),"Immune")</f>
        <v>Immune</v>
      </c>
      <c r="AB394" s="1"/>
      <c r="AC394" s="1"/>
      <c r="AD394" s="1"/>
      <c r="AE394" s="1"/>
      <c r="AF394" s="1"/>
      <c r="AG394" s="1"/>
      <c r="AH394" s="1"/>
      <c r="AI394" s="1"/>
      <c r="AJ394" s="1"/>
      <c r="AK394" s="1"/>
      <c r="AL394" s="1"/>
    </row>
    <row r="395">
      <c r="A395" s="1" t="str">
        <f>IFERROR(__xludf.DUMMYFUNCTION("""COMPUTED_VALUE"""),"Earth Golem")</f>
        <v>Earth Golem</v>
      </c>
      <c r="B395" s="1"/>
      <c r="C395" s="1"/>
      <c r="D395" s="1"/>
      <c r="E395" s="1" t="str">
        <f>IFERROR(__xludf.DUMMYFUNCTION("""COMPUTED_VALUE"""),"Immune")</f>
        <v>Immune</v>
      </c>
      <c r="F395" s="1"/>
      <c r="G395" s="1"/>
      <c r="H395" s="1"/>
      <c r="I395" s="1"/>
      <c r="J395" s="1"/>
      <c r="K395" s="1">
        <f>IFERROR(__xludf.DUMMYFUNCTION("""COMPUTED_VALUE"""),100.0)</f>
        <v>100</v>
      </c>
      <c r="L395" s="1"/>
      <c r="M395" s="1"/>
      <c r="N395" s="1"/>
      <c r="O395" s="1"/>
      <c r="P395" s="1"/>
      <c r="Q395" s="1"/>
      <c r="R395" s="1"/>
      <c r="S395" s="1"/>
      <c r="T395" s="1"/>
      <c r="U395" s="1"/>
      <c r="V395" s="1"/>
      <c r="W395" s="1"/>
      <c r="X395" s="1" t="str">
        <f>IFERROR(__xludf.DUMMYFUNCTION("""COMPUTED_VALUE"""),"Immune")</f>
        <v>Immune</v>
      </c>
      <c r="Y395" s="1" t="str">
        <f>IFERROR(__xludf.DUMMYFUNCTION("""COMPUTED_VALUE"""),"Immune")</f>
        <v>Immune</v>
      </c>
      <c r="Z395" s="1"/>
      <c r="AA395" s="1" t="str">
        <f>IFERROR(__xludf.DUMMYFUNCTION("""COMPUTED_VALUE"""),"Immune")</f>
        <v>Immune</v>
      </c>
      <c r="AB395" s="1"/>
      <c r="AC395" s="1"/>
      <c r="AD395" s="1"/>
      <c r="AE395" s="1"/>
      <c r="AF395" s="1"/>
      <c r="AG395" s="1"/>
      <c r="AH395" s="1"/>
      <c r="AI395" s="1"/>
      <c r="AJ395" s="1"/>
      <c r="AK395" s="1"/>
      <c r="AL395" s="1"/>
    </row>
    <row r="396">
      <c r="A396" s="1" t="str">
        <f>IFERROR(__xludf.DUMMYFUNCTION("""COMPUTED_VALUE"""),"Crystal Spider")</f>
        <v>Crystal Spider</v>
      </c>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row>
    <row r="397">
      <c r="A397" s="1" t="str">
        <f>IFERROR(__xludf.DUMMYFUNCTION("""COMPUTED_VALUE"""),"Hephaestus, The God of The Forge")</f>
        <v>Hephaestus, The God of The Forge</v>
      </c>
      <c r="B397" s="1" t="str">
        <f>IFERROR(__xludf.DUMMYFUNCTION("""COMPUTED_VALUE"""),"Immune")</f>
        <v>Immune</v>
      </c>
      <c r="C397" s="1"/>
      <c r="D397" s="1"/>
      <c r="E397" s="1"/>
      <c r="F397" s="1"/>
      <c r="G397" s="1"/>
      <c r="H397" s="1"/>
      <c r="I397" s="1">
        <f>IFERROR(__xludf.DUMMYFUNCTION("""COMPUTED_VALUE"""),250.0)</f>
        <v>250</v>
      </c>
      <c r="J397" s="1">
        <f>IFERROR(__xludf.DUMMYFUNCTION("""COMPUTED_VALUE"""),250.0)</f>
        <v>250</v>
      </c>
      <c r="K397" s="1" t="str">
        <f>IFERROR(__xludf.DUMMYFUNCTION("""COMPUTED_VALUE"""),"Immune")</f>
        <v>Immune</v>
      </c>
      <c r="L397" s="1"/>
      <c r="M397" s="1"/>
      <c r="N397" s="1"/>
      <c r="O397" s="1"/>
      <c r="P397" s="1"/>
      <c r="Q397" s="1"/>
      <c r="R397" s="1"/>
      <c r="S397" s="1"/>
      <c r="T397" s="1"/>
      <c r="U397" s="1"/>
      <c r="V397" s="1"/>
      <c r="W397" s="1">
        <f>IFERROR(__xludf.DUMMYFUNCTION("""COMPUTED_VALUE"""),500.0)</f>
        <v>500</v>
      </c>
      <c r="X397" s="1" t="str">
        <f>IFERROR(__xludf.DUMMYFUNCTION("""COMPUTED_VALUE"""),"Immune")</f>
        <v>Immune</v>
      </c>
      <c r="Y397" s="1" t="str">
        <f>IFERROR(__xludf.DUMMYFUNCTION("""COMPUTED_VALUE"""),"Immune")</f>
        <v>Immune</v>
      </c>
      <c r="Z397" s="1"/>
      <c r="AA397" s="1" t="str">
        <f>IFERROR(__xludf.DUMMYFUNCTION("""COMPUTED_VALUE"""),"Immune")</f>
        <v>Immune</v>
      </c>
      <c r="AB397" s="1"/>
      <c r="AC397" s="1"/>
      <c r="AD397" s="1"/>
      <c r="AE397" s="1"/>
      <c r="AF397" s="1"/>
      <c r="AG397" s="1"/>
      <c r="AH397" s="1"/>
      <c r="AI397" s="1"/>
      <c r="AJ397" s="1"/>
      <c r="AK397" s="1"/>
      <c r="AL397" s="1"/>
    </row>
    <row r="398">
      <c r="A398" s="1" t="str">
        <f>IFERROR(__xludf.DUMMYFUNCTION("""COMPUTED_VALUE"""),"Artemis, Nature's Wrathful Avatar (Second Phase)")</f>
        <v>Artemis, Nature's Wrathful Avatar (Second Phase)</v>
      </c>
      <c r="B398" s="1"/>
      <c r="C398" s="1">
        <f>IFERROR(__xludf.DUMMYFUNCTION("""COMPUTED_VALUE"""),500.0)</f>
        <v>500</v>
      </c>
      <c r="D398" s="1"/>
      <c r="E398" s="1"/>
      <c r="F398" s="1">
        <f>IFERROR(__xludf.DUMMYFUNCTION("""COMPUTED_VALUE"""),250.0)</f>
        <v>250</v>
      </c>
      <c r="G398" s="1"/>
      <c r="H398" s="1"/>
      <c r="I398" s="1"/>
      <c r="J398" s="1">
        <f>IFERROR(__xludf.DUMMYFUNCTION("""COMPUTED_VALUE"""),250.0)</f>
        <v>250</v>
      </c>
      <c r="K398" s="1" t="str">
        <f>IFERROR(__xludf.DUMMYFUNCTION("""COMPUTED_VALUE"""),"Immune")</f>
        <v>Immune</v>
      </c>
      <c r="L398" s="1"/>
      <c r="M398" s="1"/>
      <c r="N398" s="1"/>
      <c r="O398" s="1" t="str">
        <f>IFERROR(__xludf.DUMMYFUNCTION("""COMPUTED_VALUE"""),"Immune")</f>
        <v>Immune</v>
      </c>
      <c r="P398" s="1"/>
      <c r="Q398" s="1"/>
      <c r="R398" s="1" t="str">
        <f>IFERROR(__xludf.DUMMYFUNCTION("""COMPUTED_VALUE"""),"Immune")</f>
        <v>Immune</v>
      </c>
      <c r="S398" s="1"/>
      <c r="T398" s="1"/>
      <c r="U398" s="1"/>
      <c r="V398" s="1"/>
      <c r="W398" s="1">
        <f>IFERROR(__xludf.DUMMYFUNCTION("""COMPUTED_VALUE"""),500.0)</f>
        <v>500</v>
      </c>
      <c r="X398" s="1" t="str">
        <f>IFERROR(__xludf.DUMMYFUNCTION("""COMPUTED_VALUE"""),"Immune")</f>
        <v>Immune</v>
      </c>
      <c r="Y398" s="1" t="str">
        <f>IFERROR(__xludf.DUMMYFUNCTION("""COMPUTED_VALUE"""),"Immune")</f>
        <v>Immune</v>
      </c>
      <c r="Z398" s="1"/>
      <c r="AA398" s="1" t="str">
        <f>IFERROR(__xludf.DUMMYFUNCTION("""COMPUTED_VALUE"""),"Immune")</f>
        <v>Immune</v>
      </c>
      <c r="AB398" s="1"/>
      <c r="AC398" s="1"/>
      <c r="AD398" s="1"/>
      <c r="AE398" s="1"/>
      <c r="AF398" s="1"/>
      <c r="AG398" s="1"/>
      <c r="AH398" s="1"/>
      <c r="AI398" s="1"/>
      <c r="AJ398" s="1"/>
      <c r="AK398" s="1"/>
      <c r="AL398" s="1"/>
    </row>
    <row r="399">
      <c r="A399" s="1" t="str">
        <f>IFERROR(__xludf.DUMMYFUNCTION("""COMPUTED_VALUE"""),"Artemis, Goddess of the Forest (First Phase)")</f>
        <v>Artemis, Goddess of the Forest (First Phase)</v>
      </c>
      <c r="B399" s="1"/>
      <c r="C399" s="1">
        <f>IFERROR(__xludf.DUMMYFUNCTION("""COMPUTED_VALUE"""),500.0)</f>
        <v>500</v>
      </c>
      <c r="D399" s="1"/>
      <c r="E399" s="1"/>
      <c r="F399" s="1">
        <f>IFERROR(__xludf.DUMMYFUNCTION("""COMPUTED_VALUE"""),250.0)</f>
        <v>250</v>
      </c>
      <c r="G399" s="1"/>
      <c r="H399" s="1"/>
      <c r="I399" s="1"/>
      <c r="J399" s="1">
        <f>IFERROR(__xludf.DUMMYFUNCTION("""COMPUTED_VALUE"""),250.0)</f>
        <v>250</v>
      </c>
      <c r="K399" s="1" t="str">
        <f>IFERROR(__xludf.DUMMYFUNCTION("""COMPUTED_VALUE"""),"Immune")</f>
        <v>Immune</v>
      </c>
      <c r="L399" s="1"/>
      <c r="M399" s="1"/>
      <c r="N399" s="1"/>
      <c r="O399" s="1" t="str">
        <f>IFERROR(__xludf.DUMMYFUNCTION("""COMPUTED_VALUE"""),"Immune")</f>
        <v>Immune</v>
      </c>
      <c r="P399" s="1"/>
      <c r="Q399" s="1"/>
      <c r="R399" s="1" t="str">
        <f>IFERROR(__xludf.DUMMYFUNCTION("""COMPUTED_VALUE"""),"Immune")</f>
        <v>Immune</v>
      </c>
      <c r="S399" s="1"/>
      <c r="T399" s="1"/>
      <c r="U399" s="1"/>
      <c r="V399" s="1"/>
      <c r="W399" s="1">
        <f>IFERROR(__xludf.DUMMYFUNCTION("""COMPUTED_VALUE"""),500.0)</f>
        <v>500</v>
      </c>
      <c r="X399" s="1" t="str">
        <f>IFERROR(__xludf.DUMMYFUNCTION("""COMPUTED_VALUE"""),"Immune")</f>
        <v>Immune</v>
      </c>
      <c r="Y399" s="1" t="str">
        <f>IFERROR(__xludf.DUMMYFUNCTION("""COMPUTED_VALUE"""),"Immune")</f>
        <v>Immune</v>
      </c>
      <c r="Z399" s="1"/>
      <c r="AA399" s="1" t="str">
        <f>IFERROR(__xludf.DUMMYFUNCTION("""COMPUTED_VALUE"""),"Immune")</f>
        <v>Immune</v>
      </c>
      <c r="AB399" s="1"/>
      <c r="AC399" s="1"/>
      <c r="AD399" s="1"/>
      <c r="AE399" s="1"/>
      <c r="AF399" s="1"/>
      <c r="AG399" s="1"/>
      <c r="AH399" s="1"/>
      <c r="AI399" s="1"/>
      <c r="AJ399" s="1"/>
      <c r="AK399" s="1"/>
      <c r="AL399" s="1"/>
    </row>
    <row r="400">
      <c r="A400" s="1" t="str">
        <f>IFERROR(__xludf.DUMMYFUNCTION("""COMPUTED_VALUE"""),"The Gods' Quiver")</f>
        <v>The Gods' Quiver</v>
      </c>
      <c r="B400" s="1"/>
      <c r="C400" s="1">
        <f>IFERROR(__xludf.DUMMYFUNCTION("""COMPUTED_VALUE"""),100.0)</f>
        <v>100</v>
      </c>
      <c r="D400" s="1"/>
      <c r="E400" s="1"/>
      <c r="F400" s="1">
        <f>IFERROR(__xludf.DUMMYFUNCTION("""COMPUTED_VALUE"""),100.0)</f>
        <v>100</v>
      </c>
      <c r="G400" s="1"/>
      <c r="H400" s="1"/>
      <c r="I400" s="1"/>
      <c r="J400" s="1">
        <f>IFERROR(__xludf.DUMMYFUNCTION("""COMPUTED_VALUE"""),100.0)</f>
        <v>100</v>
      </c>
      <c r="K400" s="1" t="str">
        <f>IFERROR(__xludf.DUMMYFUNCTION("""COMPUTED_VALUE"""),"Immune")</f>
        <v>Immune</v>
      </c>
      <c r="L400" s="1"/>
      <c r="M400" s="1"/>
      <c r="N400" s="1"/>
      <c r="O400" s="1" t="str">
        <f>IFERROR(__xludf.DUMMYFUNCTION("""COMPUTED_VALUE"""),"Immune")</f>
        <v>Immune</v>
      </c>
      <c r="P400" s="1"/>
      <c r="Q400" s="1"/>
      <c r="R400" s="1"/>
      <c r="S400" s="1"/>
      <c r="T400" s="1"/>
      <c r="U400" s="1"/>
      <c r="V400" s="1"/>
      <c r="W400" s="1">
        <f>IFERROR(__xludf.DUMMYFUNCTION("""COMPUTED_VALUE"""),100.0)</f>
        <v>100</v>
      </c>
      <c r="X400" s="1"/>
      <c r="Y400" s="1"/>
      <c r="Z400" s="1"/>
      <c r="AA400" s="1"/>
      <c r="AB400" s="1"/>
      <c r="AC400" s="1"/>
      <c r="AD400" s="1"/>
      <c r="AE400" s="1"/>
      <c r="AF400" s="1"/>
      <c r="AG400" s="1"/>
      <c r="AH400" s="1"/>
      <c r="AI400" s="1"/>
      <c r="AJ400" s="1"/>
      <c r="AK400" s="1"/>
      <c r="AL400" s="1"/>
    </row>
    <row r="401">
      <c r="A401" s="1" t="str">
        <f>IFERROR(__xludf.DUMMYFUNCTION("""COMPUTED_VALUE"""),"Jenos, Head Paladin of Artemis")</f>
        <v>Jenos, Head Paladin of Artemis</v>
      </c>
      <c r="B401" s="1"/>
      <c r="C401" s="1">
        <f>IFERROR(__xludf.DUMMYFUNCTION("""COMPUTED_VALUE"""),250.0)</f>
        <v>250</v>
      </c>
      <c r="D401" s="1"/>
      <c r="E401" s="1"/>
      <c r="F401" s="1">
        <f>IFERROR(__xludf.DUMMYFUNCTION("""COMPUTED_VALUE"""),250.0)</f>
        <v>250</v>
      </c>
      <c r="G401" s="1"/>
      <c r="H401" s="1"/>
      <c r="I401" s="1"/>
      <c r="J401" s="1">
        <f>IFERROR(__xludf.DUMMYFUNCTION("""COMPUTED_VALUE"""),250.0)</f>
        <v>250</v>
      </c>
      <c r="K401" s="1" t="str">
        <f>IFERROR(__xludf.DUMMYFUNCTION("""COMPUTED_VALUE"""),"Immune")</f>
        <v>Immune</v>
      </c>
      <c r="L401" s="1"/>
      <c r="M401" s="1"/>
      <c r="N401" s="1"/>
      <c r="O401" s="1"/>
      <c r="P401" s="1"/>
      <c r="Q401" s="1"/>
      <c r="R401" s="1"/>
      <c r="S401" s="1"/>
      <c r="T401" s="1"/>
      <c r="U401" s="1"/>
      <c r="V401" s="1"/>
      <c r="W401" s="1">
        <f>IFERROR(__xludf.DUMMYFUNCTION("""COMPUTED_VALUE"""),250.0)</f>
        <v>250</v>
      </c>
      <c r="X401" s="1" t="str">
        <f>IFERROR(__xludf.DUMMYFUNCTION("""COMPUTED_VALUE"""),"Immune")</f>
        <v>Immune</v>
      </c>
      <c r="Y401" s="1" t="str">
        <f>IFERROR(__xludf.DUMMYFUNCTION("""COMPUTED_VALUE"""),"Immune")</f>
        <v>Immune</v>
      </c>
      <c r="Z401" s="1"/>
      <c r="AA401" s="1" t="str">
        <f>IFERROR(__xludf.DUMMYFUNCTION("""COMPUTED_VALUE"""),"Immune")</f>
        <v>Immune</v>
      </c>
      <c r="AB401" s="1"/>
      <c r="AC401" s="1"/>
      <c r="AD401" s="1"/>
      <c r="AE401" s="1"/>
      <c r="AF401" s="1"/>
      <c r="AG401" s="1"/>
      <c r="AH401" s="1"/>
      <c r="AI401" s="1"/>
      <c r="AJ401" s="1"/>
      <c r="AK401" s="1"/>
      <c r="AL401" s="1"/>
    </row>
    <row r="402">
      <c r="A402" s="1" t="str">
        <f>IFERROR(__xludf.DUMMYFUNCTION("""COMPUTED_VALUE"""),"The Forged Ones")</f>
        <v>The Forged Ones</v>
      </c>
      <c r="B402" s="1" t="str">
        <f>IFERROR(__xludf.DUMMYFUNCTION("""COMPUTED_VALUE"""),"Immune")</f>
        <v>Immune</v>
      </c>
      <c r="C402" s="1"/>
      <c r="D402" s="1"/>
      <c r="E402" s="1"/>
      <c r="F402" s="1"/>
      <c r="G402" s="1"/>
      <c r="H402" s="1"/>
      <c r="I402" s="1">
        <f>IFERROR(__xludf.DUMMYFUNCTION("""COMPUTED_VALUE"""),250.0)</f>
        <v>250</v>
      </c>
      <c r="J402" s="1">
        <f>IFERROR(__xludf.DUMMYFUNCTION("""COMPUTED_VALUE"""),250.0)</f>
        <v>250</v>
      </c>
      <c r="K402" s="1"/>
      <c r="L402" s="1"/>
      <c r="M402" s="1"/>
      <c r="N402" s="1"/>
      <c r="O402" s="1"/>
      <c r="P402" s="1"/>
      <c r="Q402" s="1"/>
      <c r="R402" s="1"/>
      <c r="S402" s="1"/>
      <c r="T402" s="1"/>
      <c r="U402" s="1"/>
      <c r="V402" s="1"/>
      <c r="W402" s="1">
        <f>IFERROR(__xludf.DUMMYFUNCTION("""COMPUTED_VALUE"""),100.0)</f>
        <v>100</v>
      </c>
      <c r="X402" s="1" t="str">
        <f>IFERROR(__xludf.DUMMYFUNCTION("""COMPUTED_VALUE"""),"Immune")</f>
        <v>Immune</v>
      </c>
      <c r="Y402" s="1"/>
      <c r="Z402" s="1"/>
      <c r="AA402" s="1"/>
      <c r="AB402" s="1"/>
      <c r="AC402" s="1"/>
      <c r="AD402" s="1"/>
      <c r="AE402" s="1"/>
      <c r="AF402" s="1"/>
      <c r="AG402" s="1"/>
      <c r="AH402" s="1"/>
      <c r="AI402" s="1"/>
      <c r="AJ402" s="1"/>
      <c r="AK402" s="1"/>
      <c r="AL402" s="1"/>
    </row>
    <row r="403">
      <c r="A403" s="1" t="str">
        <f>IFERROR(__xludf.DUMMYFUNCTION("""COMPUTED_VALUE"""),"Cargo Ship")</f>
        <v>Cargo Ship</v>
      </c>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row>
    <row r="404">
      <c r="A404" s="1" t="str">
        <f>IFERROR(__xludf.DUMMYFUNCTION("""COMPUTED_VALUE"""),"Ghost Ship")</f>
        <v>Ghost Ship</v>
      </c>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row>
    <row r="405">
      <c r="A405" s="1" t="str">
        <f>IFERROR(__xludf.DUMMYFUNCTION("""COMPUTED_VALUE"""),"Brigantine")</f>
        <v>Brigantine</v>
      </c>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row>
    <row r="406">
      <c r="A406" s="1" t="str">
        <f>IFERROR(__xludf.DUMMYFUNCTION("""COMPUTED_VALUE"""),"Sloop")</f>
        <v>Sloop</v>
      </c>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row>
    <row r="407">
      <c r="A407" s="1" t="str">
        <f>IFERROR(__xludf.DUMMYFUNCTION("""COMPUTED_VALUE"""),"Elder Acid Dragon")</f>
        <v>Elder Acid Dragon</v>
      </c>
      <c r="B407" s="1"/>
      <c r="C407" s="1"/>
      <c r="D407" s="1"/>
      <c r="E407" s="1"/>
      <c r="F407" s="1"/>
      <c r="G407" s="1"/>
      <c r="H407" s="1"/>
      <c r="I407" s="1"/>
      <c r="J407" s="1"/>
      <c r="K407" s="1" t="str">
        <f>IFERROR(__xludf.DUMMYFUNCTION("""COMPUTED_VALUE"""),"Immune")</f>
        <v>Immune</v>
      </c>
      <c r="L407" s="1"/>
      <c r="M407" s="1"/>
      <c r="N407" s="1"/>
      <c r="O407" s="1"/>
      <c r="P407" s="1"/>
      <c r="Q407" s="1"/>
      <c r="R407" s="1"/>
      <c r="S407" s="1"/>
      <c r="T407" s="1"/>
      <c r="U407" s="1"/>
      <c r="V407" s="1"/>
      <c r="W407" s="1"/>
      <c r="X407" s="1" t="str">
        <f>IFERROR(__xludf.DUMMYFUNCTION("""COMPUTED_VALUE"""),"Immune")</f>
        <v>Immune</v>
      </c>
      <c r="Y407" s="1" t="str">
        <f>IFERROR(__xludf.DUMMYFUNCTION("""COMPUTED_VALUE"""),"Immune")</f>
        <v>Immune</v>
      </c>
      <c r="Z407" s="1"/>
      <c r="AA407" s="1" t="str">
        <f>IFERROR(__xludf.DUMMYFUNCTION("""COMPUTED_VALUE"""),"Immune")</f>
        <v>Immune</v>
      </c>
      <c r="AB407" s="1"/>
      <c r="AC407" s="1"/>
      <c r="AD407" s="1"/>
      <c r="AE407" s="1"/>
      <c r="AF407" s="1"/>
      <c r="AG407" s="1"/>
      <c r="AH407" s="1"/>
      <c r="AI407" s="1"/>
      <c r="AJ407" s="1"/>
      <c r="AK407" s="1"/>
      <c r="AL407" s="1"/>
    </row>
    <row r="408">
      <c r="A408" s="1" t="str">
        <f>IFERROR(__xludf.DUMMYFUNCTION("""COMPUTED_VALUE"""),"Elder Water Dragon")</f>
        <v>Elder Water Dragon</v>
      </c>
      <c r="B408" s="1" t="str">
        <f>IFERROR(__xludf.DUMMYFUNCTION("""COMPUTED_VALUE"""),"Immune")</f>
        <v>Immune</v>
      </c>
      <c r="C408" s="1" t="str">
        <f>IFERROR(__xludf.DUMMYFUNCTION("""COMPUTED_VALUE"""),"Immune")</f>
        <v>Immune</v>
      </c>
      <c r="D408" s="1"/>
      <c r="E408" s="1"/>
      <c r="F408" s="1"/>
      <c r="G408" s="1"/>
      <c r="H408" s="1"/>
      <c r="I408" s="1"/>
      <c r="J408" s="1"/>
      <c r="K408" s="1"/>
      <c r="L408" s="1"/>
      <c r="M408" s="1"/>
      <c r="N408" s="1"/>
      <c r="O408" s="1"/>
      <c r="P408" s="1"/>
      <c r="Q408" s="1"/>
      <c r="R408" s="1"/>
      <c r="S408" s="1"/>
      <c r="T408" s="1"/>
      <c r="U408" s="1"/>
      <c r="V408" s="1"/>
      <c r="W408" s="1"/>
      <c r="X408" s="1" t="str">
        <f>IFERROR(__xludf.DUMMYFUNCTION("""COMPUTED_VALUE"""),"Immune")</f>
        <v>Immune</v>
      </c>
      <c r="Y408" s="1" t="str">
        <f>IFERROR(__xludf.DUMMYFUNCTION("""COMPUTED_VALUE"""),"Immune")</f>
        <v>Immune</v>
      </c>
      <c r="Z408" s="1"/>
      <c r="AA408" s="1" t="str">
        <f>IFERROR(__xludf.DUMMYFUNCTION("""COMPUTED_VALUE"""),"Immune")</f>
        <v>Immune</v>
      </c>
      <c r="AB408" s="1"/>
      <c r="AC408" s="1"/>
      <c r="AD408" s="1"/>
      <c r="AE408" s="1"/>
      <c r="AF408" s="1"/>
      <c r="AG408" s="1"/>
      <c r="AH408" s="1"/>
      <c r="AI408" s="1"/>
      <c r="AJ408" s="1"/>
      <c r="AK408" s="1"/>
      <c r="AL408" s="1"/>
    </row>
    <row r="409">
      <c r="A409" s="1" t="str">
        <f>IFERROR(__xludf.DUMMYFUNCTION("""COMPUTED_VALUE"""),"Elder Astral Dragon")</f>
        <v>Elder Astral Dragon</v>
      </c>
      <c r="B409" s="1"/>
      <c r="C409" s="1"/>
      <c r="D409" s="1"/>
      <c r="E409" s="1"/>
      <c r="F409" s="1"/>
      <c r="G409" s="1"/>
      <c r="H409" s="1"/>
      <c r="I409" s="1"/>
      <c r="J409" s="1"/>
      <c r="K409" s="1"/>
      <c r="L409" s="1"/>
      <c r="M409" s="1"/>
      <c r="N409" s="1"/>
      <c r="O409" s="1"/>
      <c r="P409" s="1"/>
      <c r="Q409" s="1"/>
      <c r="R409" s="1"/>
      <c r="S409" s="1"/>
      <c r="T409" s="1"/>
      <c r="U409" s="1"/>
      <c r="V409" s="1" t="str">
        <f>IFERROR(__xludf.DUMMYFUNCTION("""COMPUTED_VALUE"""),"Immune")</f>
        <v>Immune</v>
      </c>
      <c r="W409" s="1"/>
      <c r="X409" s="1" t="str">
        <f>IFERROR(__xludf.DUMMYFUNCTION("""COMPUTED_VALUE"""),"Immune")</f>
        <v>Immune</v>
      </c>
      <c r="Y409" s="1" t="str">
        <f>IFERROR(__xludf.DUMMYFUNCTION("""COMPUTED_VALUE"""),"Immune")</f>
        <v>Immune</v>
      </c>
      <c r="Z409" s="1"/>
      <c r="AA409" s="1" t="str">
        <f>IFERROR(__xludf.DUMMYFUNCTION("""COMPUTED_VALUE"""),"Immune")</f>
        <v>Immune</v>
      </c>
      <c r="AB409" s="1"/>
      <c r="AC409" s="1"/>
      <c r="AD409" s="1"/>
      <c r="AE409" s="1"/>
      <c r="AF409" s="1"/>
      <c r="AG409" s="1"/>
      <c r="AH409" s="1"/>
      <c r="AI409" s="1"/>
      <c r="AJ409" s="1"/>
      <c r="AK409" s="1"/>
      <c r="AL409" s="1"/>
    </row>
    <row r="410">
      <c r="A410" s="1" t="str">
        <f>IFERROR(__xludf.DUMMYFUNCTION("""COMPUTED_VALUE"""),"Elder Celestial Dragon")</f>
        <v>Elder Celestial Dragon</v>
      </c>
      <c r="B410" s="1"/>
      <c r="C410" s="1"/>
      <c r="D410" s="1"/>
      <c r="E410" s="1"/>
      <c r="F410" s="1"/>
      <c r="G410" s="1"/>
      <c r="H410" s="1"/>
      <c r="I410" s="1"/>
      <c r="J410" s="1"/>
      <c r="K410" s="1"/>
      <c r="L410" s="1"/>
      <c r="M410" s="1"/>
      <c r="N410" s="1"/>
      <c r="O410" s="1"/>
      <c r="P410" s="1"/>
      <c r="Q410" s="1"/>
      <c r="R410" s="1"/>
      <c r="S410" s="1"/>
      <c r="T410" s="1"/>
      <c r="U410" s="1"/>
      <c r="V410" s="1"/>
      <c r="W410" s="1" t="str">
        <f>IFERROR(__xludf.DUMMYFUNCTION("""COMPUTED_VALUE"""),"Immune")</f>
        <v>Immune</v>
      </c>
      <c r="X410" s="1" t="str">
        <f>IFERROR(__xludf.DUMMYFUNCTION("""COMPUTED_VALUE"""),"Immune")</f>
        <v>Immune</v>
      </c>
      <c r="Y410" s="1" t="str">
        <f>IFERROR(__xludf.DUMMYFUNCTION("""COMPUTED_VALUE"""),"Immune")</f>
        <v>Immune</v>
      </c>
      <c r="Z410" s="1"/>
      <c r="AA410" s="1" t="str">
        <f>IFERROR(__xludf.DUMMYFUNCTION("""COMPUTED_VALUE"""),"Immune")</f>
        <v>Immune</v>
      </c>
      <c r="AB410" s="1"/>
      <c r="AC410" s="1"/>
      <c r="AD410" s="1"/>
      <c r="AE410" s="1"/>
      <c r="AF410" s="1"/>
      <c r="AG410" s="1"/>
      <c r="AH410" s="1"/>
      <c r="AI410" s="1"/>
      <c r="AJ410" s="1"/>
      <c r="AK410" s="1"/>
      <c r="AL410" s="1"/>
    </row>
    <row r="411">
      <c r="A411" s="1" t="str">
        <f>IFERROR(__xludf.DUMMYFUNCTION("""COMPUTED_VALUE"""),"Elder Chaos Dragon")</f>
        <v>Elder Chaos Dragon</v>
      </c>
      <c r="B411" s="1"/>
      <c r="C411" s="1"/>
      <c r="D411" s="1"/>
      <c r="E411" s="1"/>
      <c r="F411" s="1"/>
      <c r="G411" s="1"/>
      <c r="H411" s="1"/>
      <c r="I411" s="1"/>
      <c r="J411" s="1" t="str">
        <f>IFERROR(__xludf.DUMMYFUNCTION("""COMPUTED_VALUE"""),"Immune")</f>
        <v>Immune</v>
      </c>
      <c r="K411" s="1"/>
      <c r="L411" s="1"/>
      <c r="M411" s="1"/>
      <c r="N411" s="1"/>
      <c r="O411" s="1"/>
      <c r="P411" s="1"/>
      <c r="Q411" s="1"/>
      <c r="R411" s="1"/>
      <c r="S411" s="1"/>
      <c r="T411" s="1"/>
      <c r="U411" s="1"/>
      <c r="V411" s="1"/>
      <c r="W411" s="1"/>
      <c r="X411" s="1" t="str">
        <f>IFERROR(__xludf.DUMMYFUNCTION("""COMPUTED_VALUE"""),"Immune")</f>
        <v>Immune</v>
      </c>
      <c r="Y411" s="1" t="str">
        <f>IFERROR(__xludf.DUMMYFUNCTION("""COMPUTED_VALUE"""),"Immune")</f>
        <v>Immune</v>
      </c>
      <c r="Z411" s="1"/>
      <c r="AA411" s="1" t="str">
        <f>IFERROR(__xludf.DUMMYFUNCTION("""COMPUTED_VALUE"""),"Immune")</f>
        <v>Immune</v>
      </c>
      <c r="AB411" s="1"/>
      <c r="AC411" s="1"/>
      <c r="AD411" s="1"/>
      <c r="AE411" s="1"/>
      <c r="AF411" s="1"/>
      <c r="AG411" s="1"/>
      <c r="AH411" s="1"/>
      <c r="AI411" s="1"/>
      <c r="AJ411" s="1"/>
      <c r="AK411" s="1"/>
      <c r="AL411" s="1"/>
    </row>
    <row r="412">
      <c r="A412" s="1" t="str">
        <f>IFERROR(__xludf.DUMMYFUNCTION("""COMPUTED_VALUE"""),"Elder Dark Dragon")</f>
        <v>Elder Dark Dragon</v>
      </c>
      <c r="B412" s="1"/>
      <c r="C412" s="1"/>
      <c r="D412" s="1"/>
      <c r="E412" s="1"/>
      <c r="F412" s="1"/>
      <c r="G412" s="1" t="str">
        <f>IFERROR(__xludf.DUMMYFUNCTION("""COMPUTED_VALUE"""),"Immune")</f>
        <v>Immune</v>
      </c>
      <c r="H412" s="1"/>
      <c r="I412" s="1"/>
      <c r="J412" s="1"/>
      <c r="K412" s="1"/>
      <c r="L412" s="1"/>
      <c r="M412" s="1"/>
      <c r="N412" s="1"/>
      <c r="O412" s="1"/>
      <c r="P412" s="1"/>
      <c r="Q412" s="1"/>
      <c r="R412" s="1"/>
      <c r="S412" s="1"/>
      <c r="T412" s="1"/>
      <c r="U412" s="1"/>
      <c r="V412" s="1"/>
      <c r="W412" s="1"/>
      <c r="X412" s="1" t="str">
        <f>IFERROR(__xludf.DUMMYFUNCTION("""COMPUTED_VALUE"""),"Immune")</f>
        <v>Immune</v>
      </c>
      <c r="Y412" s="1" t="str">
        <f>IFERROR(__xludf.DUMMYFUNCTION("""COMPUTED_VALUE"""),"Immune")</f>
        <v>Immune</v>
      </c>
      <c r="Z412" s="1"/>
      <c r="AA412" s="1" t="str">
        <f>IFERROR(__xludf.DUMMYFUNCTION("""COMPUTED_VALUE"""),"Immune")</f>
        <v>Immune</v>
      </c>
      <c r="AB412" s="1"/>
      <c r="AC412" s="1"/>
      <c r="AD412" s="1"/>
      <c r="AE412" s="1"/>
      <c r="AF412" s="1"/>
      <c r="AG412" s="1"/>
      <c r="AH412" s="1"/>
      <c r="AI412" s="1"/>
      <c r="AJ412" s="1"/>
      <c r="AK412" s="1"/>
      <c r="AL412" s="1"/>
    </row>
    <row r="413">
      <c r="A413" s="1" t="str">
        <f>IFERROR(__xludf.DUMMYFUNCTION("""COMPUTED_VALUE"""),"Elder Delta Dragon")</f>
        <v>Elder Delta Dragon</v>
      </c>
      <c r="B413" s="1"/>
      <c r="C413" s="1"/>
      <c r="D413" s="1"/>
      <c r="E413" s="1"/>
      <c r="F413" s="1"/>
      <c r="G413" s="1"/>
      <c r="H413" s="1"/>
      <c r="I413" s="1"/>
      <c r="J413" s="1"/>
      <c r="K413" s="1"/>
      <c r="L413" s="1"/>
      <c r="M413" s="1"/>
      <c r="N413" s="1"/>
      <c r="O413" s="1"/>
      <c r="P413" s="1"/>
      <c r="Q413" s="1"/>
      <c r="R413" s="1"/>
      <c r="S413" s="1"/>
      <c r="T413" s="1"/>
      <c r="U413" s="1"/>
      <c r="V413" s="1"/>
      <c r="W413" s="1"/>
      <c r="X413" s="1" t="str">
        <f>IFERROR(__xludf.DUMMYFUNCTION("""COMPUTED_VALUE"""),"Immune")</f>
        <v>Immune</v>
      </c>
      <c r="Y413" s="1" t="str">
        <f>IFERROR(__xludf.DUMMYFUNCTION("""COMPUTED_VALUE"""),"Immune")</f>
        <v>Immune</v>
      </c>
      <c r="Z413" s="1"/>
      <c r="AA413" s="1" t="str">
        <f>IFERROR(__xludf.DUMMYFUNCTION("""COMPUTED_VALUE"""),"Immune")</f>
        <v>Immune</v>
      </c>
      <c r="AB413" s="1"/>
      <c r="AC413" s="1"/>
      <c r="AD413" s="1"/>
      <c r="AE413" s="1"/>
      <c r="AF413" s="1"/>
      <c r="AG413" s="1"/>
      <c r="AH413" s="1"/>
      <c r="AI413" s="1"/>
      <c r="AJ413" s="1"/>
      <c r="AK413" s="1"/>
      <c r="AL413" s="1"/>
    </row>
    <row r="414">
      <c r="A414" s="1" t="str">
        <f>IFERROR(__xludf.DUMMYFUNCTION("""COMPUTED_VALUE"""),"Elder Forest Dragon")</f>
        <v>Elder Forest Dragon</v>
      </c>
      <c r="B414" s="1"/>
      <c r="C414" s="1"/>
      <c r="D414" s="1"/>
      <c r="E414" s="1"/>
      <c r="F414" s="1"/>
      <c r="G414" s="1"/>
      <c r="H414" s="1"/>
      <c r="I414" s="1"/>
      <c r="J414" s="1"/>
      <c r="K414" s="1" t="str">
        <f>IFERROR(__xludf.DUMMYFUNCTION("""COMPUTED_VALUE"""),"Immune")</f>
        <v>Immune</v>
      </c>
      <c r="L414" s="1"/>
      <c r="M414" s="1"/>
      <c r="N414" s="1"/>
      <c r="O414" s="1"/>
      <c r="P414" s="1"/>
      <c r="Q414" s="1"/>
      <c r="R414" s="1"/>
      <c r="S414" s="1"/>
      <c r="T414" s="1"/>
      <c r="U414" s="1"/>
      <c r="V414" s="1"/>
      <c r="W414" s="1"/>
      <c r="X414" s="1" t="str">
        <f>IFERROR(__xludf.DUMMYFUNCTION("""COMPUTED_VALUE"""),"Immune")</f>
        <v>Immune</v>
      </c>
      <c r="Y414" s="1" t="str">
        <f>IFERROR(__xludf.DUMMYFUNCTION("""COMPUTED_VALUE"""),"Immune")</f>
        <v>Immune</v>
      </c>
      <c r="Z414" s="1"/>
      <c r="AA414" s="1" t="str">
        <f>IFERROR(__xludf.DUMMYFUNCTION("""COMPUTED_VALUE"""),"Immune")</f>
        <v>Immune</v>
      </c>
      <c r="AB414" s="1"/>
      <c r="AC414" s="1"/>
      <c r="AD414" s="1"/>
      <c r="AE414" s="1"/>
      <c r="AF414" s="1"/>
      <c r="AG414" s="1"/>
      <c r="AH414" s="1"/>
      <c r="AI414" s="1"/>
      <c r="AJ414" s="1"/>
      <c r="AK414" s="1"/>
      <c r="AL414" s="1"/>
    </row>
    <row r="415">
      <c r="A415" s="1" t="str">
        <f>IFERROR(__xludf.DUMMYFUNCTION("""COMPUTED_VALUE"""),"Elder Frost Dragon")</f>
        <v>Elder Frost Dragon</v>
      </c>
      <c r="B415" s="1"/>
      <c r="C415" s="1" t="str">
        <f>IFERROR(__xludf.DUMMYFUNCTION("""COMPUTED_VALUE"""),"Immune")</f>
        <v>Immune</v>
      </c>
      <c r="D415" s="1"/>
      <c r="E415" s="1"/>
      <c r="F415" s="1"/>
      <c r="G415" s="1"/>
      <c r="H415" s="1"/>
      <c r="I415" s="1"/>
      <c r="J415" s="1"/>
      <c r="K415" s="1"/>
      <c r="L415" s="1"/>
      <c r="M415" s="1"/>
      <c r="N415" s="1"/>
      <c r="O415" s="1"/>
      <c r="P415" s="1"/>
      <c r="Q415" s="1"/>
      <c r="R415" s="1"/>
      <c r="S415" s="1"/>
      <c r="T415" s="1"/>
      <c r="U415" s="1"/>
      <c r="V415" s="1"/>
      <c r="W415" s="1"/>
      <c r="X415" s="1" t="str">
        <f>IFERROR(__xludf.DUMMYFUNCTION("""COMPUTED_VALUE"""),"Immune")</f>
        <v>Immune</v>
      </c>
      <c r="Y415" s="1" t="str">
        <f>IFERROR(__xludf.DUMMYFUNCTION("""COMPUTED_VALUE"""),"Immune")</f>
        <v>Immune</v>
      </c>
      <c r="Z415" s="1"/>
      <c r="AA415" s="1" t="str">
        <f>IFERROR(__xludf.DUMMYFUNCTION("""COMPUTED_VALUE"""),"Immune")</f>
        <v>Immune</v>
      </c>
      <c r="AB415" s="1"/>
      <c r="AC415" s="1"/>
      <c r="AD415" s="1"/>
      <c r="AE415" s="1"/>
      <c r="AF415" s="1"/>
      <c r="AG415" s="1"/>
      <c r="AH415" s="1"/>
      <c r="AI415" s="1"/>
      <c r="AJ415" s="1"/>
      <c r="AK415" s="1"/>
      <c r="AL415" s="1"/>
    </row>
    <row r="416">
      <c r="A416" s="1" t="str">
        <f>IFERROR(__xludf.DUMMYFUNCTION("""COMPUTED_VALUE"""),"Elder Soul Dragon")</f>
        <v>Elder Soul Dragon</v>
      </c>
      <c r="B416" s="1"/>
      <c r="C416" s="1"/>
      <c r="D416" s="1"/>
      <c r="E416" s="1"/>
      <c r="F416" s="1"/>
      <c r="G416" s="1" t="str">
        <f>IFERROR(__xludf.DUMMYFUNCTION("""COMPUTED_VALUE"""),"Immune")</f>
        <v>Immune</v>
      </c>
      <c r="H416" s="1"/>
      <c r="I416" s="1"/>
      <c r="J416" s="1"/>
      <c r="K416" s="1"/>
      <c r="L416" s="1"/>
      <c r="M416" s="1"/>
      <c r="N416" s="1"/>
      <c r="O416" s="1"/>
      <c r="P416" s="1"/>
      <c r="Q416" s="1"/>
      <c r="R416" s="1"/>
      <c r="S416" s="1"/>
      <c r="T416" s="1"/>
      <c r="U416" s="1"/>
      <c r="V416" s="1"/>
      <c r="W416" s="1"/>
      <c r="X416" s="1" t="str">
        <f>IFERROR(__xludf.DUMMYFUNCTION("""COMPUTED_VALUE"""),"Immune")</f>
        <v>Immune</v>
      </c>
      <c r="Y416" s="1" t="str">
        <f>IFERROR(__xludf.DUMMYFUNCTION("""COMPUTED_VALUE"""),"Immune")</f>
        <v>Immune</v>
      </c>
      <c r="Z416" s="1"/>
      <c r="AA416" s="1" t="str">
        <f>IFERROR(__xludf.DUMMYFUNCTION("""COMPUTED_VALUE"""),"Immune")</f>
        <v>Immune</v>
      </c>
      <c r="AB416" s="1"/>
      <c r="AC416" s="1"/>
      <c r="AD416" s="1"/>
      <c r="AE416" s="1"/>
      <c r="AF416" s="1"/>
      <c r="AG416" s="1"/>
      <c r="AH416" s="1"/>
      <c r="AI416" s="1"/>
      <c r="AJ416" s="1"/>
      <c r="AK416" s="1"/>
      <c r="AL416" s="1"/>
    </row>
    <row r="417">
      <c r="A417" s="1" t="str">
        <f>IFERROR(__xludf.DUMMYFUNCTION("""COMPUTED_VALUE"""),"Elder Spirit Dragon")</f>
        <v>Elder Spirit Dragon</v>
      </c>
      <c r="B417" s="1"/>
      <c r="C417" s="1"/>
      <c r="D417" s="1"/>
      <c r="E417" s="1"/>
      <c r="F417" s="1"/>
      <c r="G417" s="1" t="str">
        <f>IFERROR(__xludf.DUMMYFUNCTION("""COMPUTED_VALUE"""),"Immune")</f>
        <v>Immune</v>
      </c>
      <c r="H417" s="1"/>
      <c r="I417" s="1"/>
      <c r="J417" s="1"/>
      <c r="K417" s="1"/>
      <c r="L417" s="1"/>
      <c r="M417" s="1"/>
      <c r="N417" s="1"/>
      <c r="O417" s="1"/>
      <c r="P417" s="1"/>
      <c r="Q417" s="1"/>
      <c r="R417" s="1"/>
      <c r="S417" s="1"/>
      <c r="T417" s="1"/>
      <c r="U417" s="1"/>
      <c r="V417" s="1"/>
      <c r="W417" s="1"/>
      <c r="X417" s="1" t="str">
        <f>IFERROR(__xludf.DUMMYFUNCTION("""COMPUTED_VALUE"""),"Immune")</f>
        <v>Immune</v>
      </c>
      <c r="Y417" s="1" t="str">
        <f>IFERROR(__xludf.DUMMYFUNCTION("""COMPUTED_VALUE"""),"Immune")</f>
        <v>Immune</v>
      </c>
      <c r="Z417" s="1"/>
      <c r="AA417" s="1" t="str">
        <f>IFERROR(__xludf.DUMMYFUNCTION("""COMPUTED_VALUE"""),"Immune")</f>
        <v>Immune</v>
      </c>
      <c r="AB417" s="1"/>
      <c r="AC417" s="1"/>
      <c r="AD417" s="1"/>
      <c r="AE417" s="1"/>
      <c r="AF417" s="1"/>
      <c r="AG417" s="1"/>
      <c r="AH417" s="1"/>
      <c r="AI417" s="1"/>
      <c r="AJ417" s="1"/>
      <c r="AK417" s="1"/>
      <c r="AL417" s="1"/>
    </row>
    <row r="418">
      <c r="A418" s="1" t="str">
        <f>IFERROR(__xludf.DUMMYFUNCTION("""COMPUTED_VALUE"""),"Elder Stone Dragon")</f>
        <v>Elder Stone Dragon</v>
      </c>
      <c r="B418" s="1"/>
      <c r="C418" s="1"/>
      <c r="D418" s="1"/>
      <c r="E418" s="1" t="str">
        <f>IFERROR(__xludf.DUMMYFUNCTION("""COMPUTED_VALUE"""),"Immune")</f>
        <v>Immune</v>
      </c>
      <c r="F418" s="1"/>
      <c r="G418" s="1"/>
      <c r="H418" s="1"/>
      <c r="I418" s="1"/>
      <c r="J418" s="1"/>
      <c r="K418" s="1"/>
      <c r="L418" s="1"/>
      <c r="M418" s="1"/>
      <c r="N418" s="1"/>
      <c r="O418" s="1"/>
      <c r="P418" s="1"/>
      <c r="Q418" s="1"/>
      <c r="R418" s="1"/>
      <c r="S418" s="1"/>
      <c r="T418" s="1"/>
      <c r="U418" s="1"/>
      <c r="V418" s="1"/>
      <c r="W418" s="1"/>
      <c r="X418" s="1" t="str">
        <f>IFERROR(__xludf.DUMMYFUNCTION("""COMPUTED_VALUE"""),"Immune")</f>
        <v>Immune</v>
      </c>
      <c r="Y418" s="1" t="str">
        <f>IFERROR(__xludf.DUMMYFUNCTION("""COMPUTED_VALUE"""),"Immune")</f>
        <v>Immune</v>
      </c>
      <c r="Z418" s="1"/>
      <c r="AA418" s="1" t="str">
        <f>IFERROR(__xludf.DUMMYFUNCTION("""COMPUTED_VALUE"""),"Immune")</f>
        <v>Immune</v>
      </c>
      <c r="AB418" s="1"/>
      <c r="AC418" s="1"/>
      <c r="AD418" s="1"/>
      <c r="AE418" s="1"/>
      <c r="AF418" s="1"/>
      <c r="AG418" s="1"/>
      <c r="AH418" s="1"/>
      <c r="AI418" s="1"/>
      <c r="AJ418" s="1"/>
      <c r="AK418" s="1"/>
      <c r="AL418" s="1"/>
    </row>
    <row r="419">
      <c r="A419" s="1" t="str">
        <f>IFERROR(__xludf.DUMMYFUNCTION("""COMPUTED_VALUE"""),"Ancient Fire Elemental")</f>
        <v>Ancient Fire Elemental</v>
      </c>
      <c r="B419" s="1" t="str">
        <f>IFERROR(__xludf.DUMMYFUNCTION("""COMPUTED_VALUE"""),"Immune")</f>
        <v>Immune</v>
      </c>
      <c r="C419" s="1"/>
      <c r="D419" s="1"/>
      <c r="E419" s="1"/>
      <c r="F419" s="1"/>
      <c r="G419" s="1"/>
      <c r="H419" s="1"/>
      <c r="I419" s="1"/>
      <c r="J419" s="1"/>
      <c r="K419" s="1" t="str">
        <f>IFERROR(__xludf.DUMMYFUNCTION("""COMPUTED_VALUE"""),"Immune")</f>
        <v>Immune</v>
      </c>
      <c r="L419" s="1"/>
      <c r="M419" s="1"/>
      <c r="N419" s="1"/>
      <c r="O419" s="1"/>
      <c r="P419" s="1"/>
      <c r="Q419" s="1"/>
      <c r="R419" s="1" t="str">
        <f>IFERROR(__xludf.DUMMYFUNCTION("""COMPUTED_VALUE"""),"Immune")</f>
        <v>Immune</v>
      </c>
      <c r="S419" s="1"/>
      <c r="T419" s="1"/>
      <c r="U419" s="1"/>
      <c r="V419" s="1"/>
      <c r="W419" s="1"/>
      <c r="X419" s="1" t="str">
        <f>IFERROR(__xludf.DUMMYFUNCTION("""COMPUTED_VALUE"""),"Immune")</f>
        <v>Immune</v>
      </c>
      <c r="Y419" s="1" t="str">
        <f>IFERROR(__xludf.DUMMYFUNCTION("""COMPUTED_VALUE"""),"Immune")</f>
        <v>Immune</v>
      </c>
      <c r="Z419" s="1"/>
      <c r="AA419" s="1" t="str">
        <f>IFERROR(__xludf.DUMMYFUNCTION("""COMPUTED_VALUE"""),"Immune")</f>
        <v>Immune</v>
      </c>
      <c r="AB419" s="1"/>
      <c r="AC419" s="1"/>
      <c r="AD419" s="1"/>
      <c r="AE419" s="1"/>
      <c r="AF419" s="1"/>
      <c r="AG419" s="1"/>
      <c r="AH419" s="1"/>
      <c r="AI419" s="1"/>
      <c r="AJ419" s="1"/>
      <c r="AK419" s="1"/>
      <c r="AL419" s="1"/>
    </row>
    <row r="420">
      <c r="A420" s="1" t="str">
        <f>IFERROR(__xludf.DUMMYFUNCTION("""COMPUTED_VALUE"""),"Elder Fire Dragon")</f>
        <v>Elder Fire Dragon</v>
      </c>
      <c r="B420" s="1" t="str">
        <f>IFERROR(__xludf.DUMMYFUNCTION("""COMPUTED_VALUE"""),"Immune")</f>
        <v>Immune</v>
      </c>
      <c r="C420" s="1"/>
      <c r="D420" s="1"/>
      <c r="E420" s="1"/>
      <c r="F420" s="1"/>
      <c r="G420" s="1"/>
      <c r="H420" s="1"/>
      <c r="I420" s="1"/>
      <c r="J420" s="1"/>
      <c r="K420" s="1" t="str">
        <f>IFERROR(__xludf.DUMMYFUNCTION("""COMPUTED_VALUE"""),"Immune")</f>
        <v>Immune</v>
      </c>
      <c r="L420" s="1"/>
      <c r="M420" s="1"/>
      <c r="N420" s="1"/>
      <c r="O420" s="1"/>
      <c r="P420" s="1"/>
      <c r="Q420" s="1"/>
      <c r="R420" s="1"/>
      <c r="S420" s="1"/>
      <c r="T420" s="1"/>
      <c r="U420" s="1"/>
      <c r="V420" s="1"/>
      <c r="W420" s="1"/>
      <c r="X420" s="1" t="str">
        <f>IFERROR(__xludf.DUMMYFUNCTION("""COMPUTED_VALUE"""),"Immune")</f>
        <v>Immune</v>
      </c>
      <c r="Y420" s="1" t="str">
        <f>IFERROR(__xludf.DUMMYFUNCTION("""COMPUTED_VALUE"""),"Immune")</f>
        <v>Immune</v>
      </c>
      <c r="Z420" s="1"/>
      <c r="AA420" s="1" t="str">
        <f>IFERROR(__xludf.DUMMYFUNCTION("""COMPUTED_VALUE"""),"Immune")</f>
        <v>Immune</v>
      </c>
      <c r="AB420" s="1"/>
      <c r="AC420" s="1"/>
      <c r="AD420" s="1"/>
      <c r="AE420" s="1"/>
      <c r="AF420" s="1"/>
      <c r="AG420" s="1"/>
      <c r="AH420" s="1"/>
      <c r="AI420" s="1"/>
      <c r="AJ420" s="1"/>
      <c r="AK420" s="1"/>
      <c r="AL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row>
    <row r="422">
      <c r="A422" s="1" t="str">
        <f>IFERROR(__xludf.DUMMYFUNCTION("""COMPUTED_VALUE"""),"Elder Undead Dragon")</f>
        <v>Elder Undead Dragon</v>
      </c>
      <c r="B422" s="1"/>
      <c r="C422" s="1"/>
      <c r="D422" s="1"/>
      <c r="E422" s="1"/>
      <c r="F422" s="1"/>
      <c r="G422" s="1" t="str">
        <f>IFERROR(__xludf.DUMMYFUNCTION("""COMPUTED_VALUE"""),"Immune")</f>
        <v>Immune</v>
      </c>
      <c r="H422" s="1"/>
      <c r="I422" s="1"/>
      <c r="J422" s="1"/>
      <c r="K422" s="1"/>
      <c r="L422" s="1"/>
      <c r="M422" s="1"/>
      <c r="N422" s="1"/>
      <c r="O422" s="1"/>
      <c r="P422" s="1"/>
      <c r="Q422" s="1"/>
      <c r="R422" s="1"/>
      <c r="S422" s="1"/>
      <c r="T422" s="1"/>
      <c r="U422" s="1"/>
      <c r="V422" s="1"/>
      <c r="W422" s="1"/>
      <c r="X422" s="1" t="str">
        <f>IFERROR(__xludf.DUMMYFUNCTION("""COMPUTED_VALUE"""),"Immune")</f>
        <v>Immune</v>
      </c>
      <c r="Y422" s="1" t="str">
        <f>IFERROR(__xludf.DUMMYFUNCTION("""COMPUTED_VALUE"""),"Immune")</f>
        <v>Immune</v>
      </c>
      <c r="Z422" s="1"/>
      <c r="AA422" s="1" t="str">
        <f>IFERROR(__xludf.DUMMYFUNCTION("""COMPUTED_VALUE"""),"Immune")</f>
        <v>Immune</v>
      </c>
      <c r="AB422" s="1"/>
      <c r="AC422" s="1"/>
      <c r="AD422" s="1"/>
      <c r="AE422" s="1"/>
      <c r="AF422" s="1"/>
      <c r="AG422" s="1"/>
      <c r="AH422" s="1"/>
      <c r="AI422" s="1"/>
      <c r="AJ422" s="1"/>
      <c r="AK422" s="1"/>
      <c r="AL422" s="1"/>
    </row>
    <row r="423">
      <c r="A423" s="1" t="str">
        <f>IFERROR(__xludf.DUMMYFUNCTION("""COMPUTED_VALUE"""),"Elder Crystal Dragon")</f>
        <v>Elder Crystal Dragon</v>
      </c>
      <c r="B423" s="1"/>
      <c r="C423" s="1"/>
      <c r="D423" s="1"/>
      <c r="E423" s="1">
        <f>IFERROR(__xludf.DUMMYFUNCTION("""COMPUTED_VALUE"""),100.0)</f>
        <v>100</v>
      </c>
      <c r="F423" s="1"/>
      <c r="G423" s="1"/>
      <c r="H423" s="1"/>
      <c r="I423" s="1"/>
      <c r="J423" s="1"/>
      <c r="K423" s="1"/>
      <c r="L423" s="1"/>
      <c r="M423" s="1"/>
      <c r="N423" s="1"/>
      <c r="O423" s="1"/>
      <c r="P423" s="1"/>
      <c r="Q423" s="1"/>
      <c r="R423" s="1"/>
      <c r="S423" s="1"/>
      <c r="T423" s="1"/>
      <c r="U423" s="1"/>
      <c r="V423" s="1"/>
      <c r="W423" s="1"/>
      <c r="X423" s="1" t="str">
        <f>IFERROR(__xludf.DUMMYFUNCTION("""COMPUTED_VALUE"""),"Immune")</f>
        <v>Immune</v>
      </c>
      <c r="Y423" s="1" t="str">
        <f>IFERROR(__xludf.DUMMYFUNCTION("""COMPUTED_VALUE"""),"Immune")</f>
        <v>Immune</v>
      </c>
      <c r="Z423" s="1"/>
      <c r="AA423" s="1" t="str">
        <f>IFERROR(__xludf.DUMMYFUNCTION("""COMPUTED_VALUE"""),"Immune")</f>
        <v>Immune</v>
      </c>
      <c r="AB423" s="1"/>
      <c r="AC423" s="1"/>
      <c r="AD423" s="1"/>
      <c r="AE423" s="1"/>
      <c r="AF423" s="1"/>
      <c r="AG423" s="1"/>
      <c r="AH423" s="1"/>
      <c r="AI423" s="1"/>
      <c r="AJ423" s="1"/>
      <c r="AK423" s="1"/>
      <c r="AL423" s="1"/>
    </row>
    <row r="424">
      <c r="A424" s="1" t="str">
        <f>IFERROR(__xludf.DUMMYFUNCTION("""COMPUTED_VALUE"""),"Ancient Acid Dragon")</f>
        <v>Ancient Acid Dragon</v>
      </c>
      <c r="B424" s="1"/>
      <c r="C424" s="1"/>
      <c r="D424" s="1"/>
      <c r="E424" s="1"/>
      <c r="F424" s="1"/>
      <c r="G424" s="1"/>
      <c r="H424" s="1"/>
      <c r="I424" s="1"/>
      <c r="J424" s="1"/>
      <c r="K424" s="1" t="str">
        <f>IFERROR(__xludf.DUMMYFUNCTION("""COMPUTED_VALUE"""),"Immune")</f>
        <v>Immune</v>
      </c>
      <c r="L424" s="1"/>
      <c r="M424" s="1"/>
      <c r="N424" s="1"/>
      <c r="O424" s="1"/>
      <c r="P424" s="1"/>
      <c r="Q424" s="1"/>
      <c r="R424" s="1"/>
      <c r="S424" s="1"/>
      <c r="T424" s="1"/>
      <c r="U424" s="1"/>
      <c r="V424" s="1"/>
      <c r="W424" s="1"/>
      <c r="X424" s="1" t="str">
        <f>IFERROR(__xludf.DUMMYFUNCTION("""COMPUTED_VALUE"""),"Immune")</f>
        <v>Immune</v>
      </c>
      <c r="Y424" s="1" t="str">
        <f>IFERROR(__xludf.DUMMYFUNCTION("""COMPUTED_VALUE"""),"Immune")</f>
        <v>Immune</v>
      </c>
      <c r="Z424" s="1"/>
      <c r="AA424" s="1" t="str">
        <f>IFERROR(__xludf.DUMMYFUNCTION("""COMPUTED_VALUE"""),"Immune")</f>
        <v>Immune</v>
      </c>
      <c r="AB424" s="1"/>
      <c r="AC424" s="1"/>
      <c r="AD424" s="1"/>
      <c r="AE424" s="1"/>
      <c r="AF424" s="1"/>
      <c r="AG424" s="1"/>
      <c r="AH424" s="1"/>
      <c r="AI424" s="1"/>
      <c r="AJ424" s="1"/>
      <c r="AK424" s="1"/>
      <c r="AL424" s="1"/>
    </row>
    <row r="425">
      <c r="A425" s="1" t="str">
        <f>IFERROR(__xludf.DUMMYFUNCTION("""COMPUTED_VALUE"""),"Ancient Water Dragon")</f>
        <v>Ancient Water Dragon</v>
      </c>
      <c r="B425" s="1" t="str">
        <f>IFERROR(__xludf.DUMMYFUNCTION("""COMPUTED_VALUE"""),"Immune")</f>
        <v>Immune</v>
      </c>
      <c r="C425" s="1" t="str">
        <f>IFERROR(__xludf.DUMMYFUNCTION("""COMPUTED_VALUE"""),"Immune")</f>
        <v>Immune</v>
      </c>
      <c r="D425" s="1"/>
      <c r="E425" s="1"/>
      <c r="F425" s="1"/>
      <c r="G425" s="1"/>
      <c r="H425" s="1"/>
      <c r="I425" s="1"/>
      <c r="J425" s="1"/>
      <c r="K425" s="1"/>
      <c r="L425" s="1"/>
      <c r="M425" s="1"/>
      <c r="N425" s="1"/>
      <c r="O425" s="1"/>
      <c r="P425" s="1"/>
      <c r="Q425" s="1"/>
      <c r="R425" s="1"/>
      <c r="S425" s="1"/>
      <c r="T425" s="1"/>
      <c r="U425" s="1"/>
      <c r="V425" s="1"/>
      <c r="W425" s="1"/>
      <c r="X425" s="1" t="str">
        <f>IFERROR(__xludf.DUMMYFUNCTION("""COMPUTED_VALUE"""),"Immune")</f>
        <v>Immune</v>
      </c>
      <c r="Y425" s="1" t="str">
        <f>IFERROR(__xludf.DUMMYFUNCTION("""COMPUTED_VALUE"""),"Immune")</f>
        <v>Immune</v>
      </c>
      <c r="Z425" s="1"/>
      <c r="AA425" s="1" t="str">
        <f>IFERROR(__xludf.DUMMYFUNCTION("""COMPUTED_VALUE"""),"Immune")</f>
        <v>Immune</v>
      </c>
      <c r="AB425" s="1"/>
      <c r="AC425" s="1"/>
      <c r="AD425" s="1"/>
      <c r="AE425" s="1"/>
      <c r="AF425" s="1"/>
      <c r="AG425" s="1"/>
      <c r="AH425" s="1"/>
      <c r="AI425" s="1"/>
      <c r="AJ425" s="1"/>
      <c r="AK425" s="1"/>
      <c r="AL425" s="1"/>
    </row>
    <row r="426">
      <c r="A426" s="1" t="str">
        <f>IFERROR(__xludf.DUMMYFUNCTION("""COMPUTED_VALUE"""),"Ancient Astral Dragon")</f>
        <v>Ancient Astral Dragon</v>
      </c>
      <c r="B426" s="1"/>
      <c r="C426" s="1"/>
      <c r="D426" s="1"/>
      <c r="E426" s="1"/>
      <c r="F426" s="1"/>
      <c r="G426" s="1"/>
      <c r="H426" s="1"/>
      <c r="I426" s="1"/>
      <c r="J426" s="1"/>
      <c r="K426" s="1"/>
      <c r="L426" s="1"/>
      <c r="M426" s="1"/>
      <c r="N426" s="1"/>
      <c r="O426" s="1"/>
      <c r="P426" s="1"/>
      <c r="Q426" s="1"/>
      <c r="R426" s="1"/>
      <c r="S426" s="1"/>
      <c r="T426" s="1"/>
      <c r="U426" s="1"/>
      <c r="V426" s="1" t="str">
        <f>IFERROR(__xludf.DUMMYFUNCTION("""COMPUTED_VALUE"""),"Immune")</f>
        <v>Immune</v>
      </c>
      <c r="W426" s="1"/>
      <c r="X426" s="1" t="str">
        <f>IFERROR(__xludf.DUMMYFUNCTION("""COMPUTED_VALUE"""),"Immune")</f>
        <v>Immune</v>
      </c>
      <c r="Y426" s="1" t="str">
        <f>IFERROR(__xludf.DUMMYFUNCTION("""COMPUTED_VALUE"""),"Immune")</f>
        <v>Immune</v>
      </c>
      <c r="Z426" s="1"/>
      <c r="AA426" s="1" t="str">
        <f>IFERROR(__xludf.DUMMYFUNCTION("""COMPUTED_VALUE"""),"Immune")</f>
        <v>Immune</v>
      </c>
      <c r="AB426" s="1"/>
      <c r="AC426" s="1"/>
      <c r="AD426" s="1"/>
      <c r="AE426" s="1"/>
      <c r="AF426" s="1"/>
      <c r="AG426" s="1"/>
      <c r="AH426" s="1"/>
      <c r="AI426" s="1"/>
      <c r="AJ426" s="1"/>
      <c r="AK426" s="1"/>
      <c r="AL426" s="1"/>
    </row>
    <row r="427">
      <c r="A427" s="1" t="str">
        <f>IFERROR(__xludf.DUMMYFUNCTION("""COMPUTED_VALUE"""),"Ancient Celestial Dragon")</f>
        <v>Ancient Celestial Dragon</v>
      </c>
      <c r="B427" s="1"/>
      <c r="C427" s="1"/>
      <c r="D427" s="1"/>
      <c r="E427" s="1"/>
      <c r="F427" s="1"/>
      <c r="G427" s="1"/>
      <c r="H427" s="1"/>
      <c r="I427" s="1"/>
      <c r="J427" s="1"/>
      <c r="K427" s="1"/>
      <c r="L427" s="1"/>
      <c r="M427" s="1"/>
      <c r="N427" s="1"/>
      <c r="O427" s="1"/>
      <c r="P427" s="1"/>
      <c r="Q427" s="1"/>
      <c r="R427" s="1"/>
      <c r="S427" s="1"/>
      <c r="T427" s="1"/>
      <c r="U427" s="1"/>
      <c r="V427" s="1"/>
      <c r="W427" s="1" t="str">
        <f>IFERROR(__xludf.DUMMYFUNCTION("""COMPUTED_VALUE"""),"Immune")</f>
        <v>Immune</v>
      </c>
      <c r="X427" s="1" t="str">
        <f>IFERROR(__xludf.DUMMYFUNCTION("""COMPUTED_VALUE"""),"Immune")</f>
        <v>Immune</v>
      </c>
      <c r="Y427" s="1" t="str">
        <f>IFERROR(__xludf.DUMMYFUNCTION("""COMPUTED_VALUE"""),"Immune")</f>
        <v>Immune</v>
      </c>
      <c r="Z427" s="1"/>
      <c r="AA427" s="1" t="str">
        <f>IFERROR(__xludf.DUMMYFUNCTION("""COMPUTED_VALUE"""),"Immune")</f>
        <v>Immune</v>
      </c>
      <c r="AB427" s="1"/>
      <c r="AC427" s="1"/>
      <c r="AD427" s="1"/>
      <c r="AE427" s="1"/>
      <c r="AF427" s="1"/>
      <c r="AG427" s="1"/>
      <c r="AH427" s="1"/>
      <c r="AI427" s="1"/>
      <c r="AJ427" s="1"/>
      <c r="AK427" s="1"/>
      <c r="AL427" s="1"/>
    </row>
    <row r="428">
      <c r="A428" s="1" t="str">
        <f>IFERROR(__xludf.DUMMYFUNCTION("""COMPUTED_VALUE"""),"Ancient Chaos Dragon")</f>
        <v>Ancient Chaos Dragon</v>
      </c>
      <c r="B428" s="1"/>
      <c r="C428" s="1"/>
      <c r="D428" s="1"/>
      <c r="E428" s="1"/>
      <c r="F428" s="1"/>
      <c r="G428" s="1"/>
      <c r="H428" s="1"/>
      <c r="I428" s="1"/>
      <c r="J428" s="1" t="str">
        <f>IFERROR(__xludf.DUMMYFUNCTION("""COMPUTED_VALUE"""),"Immune")</f>
        <v>Immune</v>
      </c>
      <c r="K428" s="1"/>
      <c r="L428" s="1"/>
      <c r="M428" s="1"/>
      <c r="N428" s="1"/>
      <c r="O428" s="1"/>
      <c r="P428" s="1"/>
      <c r="Q428" s="1"/>
      <c r="R428" s="1"/>
      <c r="S428" s="1"/>
      <c r="T428" s="1"/>
      <c r="U428" s="1"/>
      <c r="V428" s="1"/>
      <c r="W428" s="1"/>
      <c r="X428" s="1" t="str">
        <f>IFERROR(__xludf.DUMMYFUNCTION("""COMPUTED_VALUE"""),"Immune")</f>
        <v>Immune</v>
      </c>
      <c r="Y428" s="1" t="str">
        <f>IFERROR(__xludf.DUMMYFUNCTION("""COMPUTED_VALUE"""),"Immune")</f>
        <v>Immune</v>
      </c>
      <c r="Z428" s="1"/>
      <c r="AA428" s="1" t="str">
        <f>IFERROR(__xludf.DUMMYFUNCTION("""COMPUTED_VALUE"""),"Immune")</f>
        <v>Immune</v>
      </c>
      <c r="AB428" s="1"/>
      <c r="AC428" s="1"/>
      <c r="AD428" s="1"/>
      <c r="AE428" s="1"/>
      <c r="AF428" s="1"/>
      <c r="AG428" s="1"/>
      <c r="AH428" s="1"/>
      <c r="AI428" s="1"/>
      <c r="AJ428" s="1"/>
      <c r="AK428" s="1"/>
      <c r="AL428" s="1"/>
    </row>
    <row r="429">
      <c r="A429" s="1" t="str">
        <f>IFERROR(__xludf.DUMMYFUNCTION("""COMPUTED_VALUE"""),"Ancient Dark Dragon")</f>
        <v>Ancient Dark Dragon</v>
      </c>
      <c r="B429" s="1"/>
      <c r="C429" s="1"/>
      <c r="D429" s="1"/>
      <c r="E429" s="1"/>
      <c r="F429" s="1"/>
      <c r="G429" s="1" t="str">
        <f>IFERROR(__xludf.DUMMYFUNCTION("""COMPUTED_VALUE"""),"Immune")</f>
        <v>Immune</v>
      </c>
      <c r="H429" s="1"/>
      <c r="I429" s="1"/>
      <c r="J429" s="1"/>
      <c r="K429" s="1"/>
      <c r="L429" s="1"/>
      <c r="M429" s="1"/>
      <c r="N429" s="1"/>
      <c r="O429" s="1"/>
      <c r="P429" s="1"/>
      <c r="Q429" s="1"/>
      <c r="R429" s="1"/>
      <c r="S429" s="1"/>
      <c r="T429" s="1"/>
      <c r="U429" s="1"/>
      <c r="V429" s="1"/>
      <c r="W429" s="1"/>
      <c r="X429" s="1" t="str">
        <f>IFERROR(__xludf.DUMMYFUNCTION("""COMPUTED_VALUE"""),"Immune")</f>
        <v>Immune</v>
      </c>
      <c r="Y429" s="1" t="str">
        <f>IFERROR(__xludf.DUMMYFUNCTION("""COMPUTED_VALUE"""),"Immune")</f>
        <v>Immune</v>
      </c>
      <c r="Z429" s="1"/>
      <c r="AA429" s="1" t="str">
        <f>IFERROR(__xludf.DUMMYFUNCTION("""COMPUTED_VALUE"""),"Immune")</f>
        <v>Immune</v>
      </c>
      <c r="AB429" s="1"/>
      <c r="AC429" s="1"/>
      <c r="AD429" s="1"/>
      <c r="AE429" s="1"/>
      <c r="AF429" s="1"/>
      <c r="AG429" s="1"/>
      <c r="AH429" s="1"/>
      <c r="AI429" s="1"/>
      <c r="AJ429" s="1"/>
      <c r="AK429" s="1"/>
      <c r="AL429" s="1"/>
    </row>
    <row r="430">
      <c r="A430" s="1" t="str">
        <f>IFERROR(__xludf.DUMMYFUNCTION("""COMPUTED_VALUE"""),"Ancient Delta Dragon")</f>
        <v>Ancient Delta Dragon</v>
      </c>
      <c r="B430" s="1"/>
      <c r="C430" s="1"/>
      <c r="D430" s="1"/>
      <c r="E430" s="1"/>
      <c r="F430" s="1"/>
      <c r="G430" s="1"/>
      <c r="H430" s="1"/>
      <c r="I430" s="1"/>
      <c r="J430" s="1"/>
      <c r="K430" s="1"/>
      <c r="L430" s="1"/>
      <c r="M430" s="1"/>
      <c r="N430" s="1"/>
      <c r="O430" s="1"/>
      <c r="P430" s="1"/>
      <c r="Q430" s="1"/>
      <c r="R430" s="1"/>
      <c r="S430" s="1"/>
      <c r="T430" s="1"/>
      <c r="U430" s="1"/>
      <c r="V430" s="1"/>
      <c r="W430" s="1"/>
      <c r="X430" s="1" t="str">
        <f>IFERROR(__xludf.DUMMYFUNCTION("""COMPUTED_VALUE"""),"Immune")</f>
        <v>Immune</v>
      </c>
      <c r="Y430" s="1" t="str">
        <f>IFERROR(__xludf.DUMMYFUNCTION("""COMPUTED_VALUE"""),"Immune")</f>
        <v>Immune</v>
      </c>
      <c r="Z430" s="1"/>
      <c r="AA430" s="1" t="str">
        <f>IFERROR(__xludf.DUMMYFUNCTION("""COMPUTED_VALUE"""),"Immune")</f>
        <v>Immune</v>
      </c>
      <c r="AB430" s="1"/>
      <c r="AC430" s="1"/>
      <c r="AD430" s="1"/>
      <c r="AE430" s="1"/>
      <c r="AF430" s="1"/>
      <c r="AG430" s="1"/>
      <c r="AH430" s="1"/>
      <c r="AI430" s="1"/>
      <c r="AJ430" s="1"/>
      <c r="AK430" s="1"/>
      <c r="AL430" s="1"/>
    </row>
    <row r="431">
      <c r="A431" s="1" t="str">
        <f>IFERROR(__xludf.DUMMYFUNCTION("""COMPUTED_VALUE"""),"Ancient Forest Dragon")</f>
        <v>Ancient Forest Dragon</v>
      </c>
      <c r="B431" s="1"/>
      <c r="C431" s="1"/>
      <c r="D431" s="1"/>
      <c r="E431" s="1"/>
      <c r="F431" s="1"/>
      <c r="G431" s="1"/>
      <c r="H431" s="1"/>
      <c r="I431" s="1"/>
      <c r="J431" s="1"/>
      <c r="K431" s="1" t="str">
        <f>IFERROR(__xludf.DUMMYFUNCTION("""COMPUTED_VALUE"""),"Immune")</f>
        <v>Immune</v>
      </c>
      <c r="L431" s="1"/>
      <c r="M431" s="1"/>
      <c r="N431" s="1"/>
      <c r="O431" s="1"/>
      <c r="P431" s="1"/>
      <c r="Q431" s="1"/>
      <c r="R431" s="1"/>
      <c r="S431" s="1"/>
      <c r="T431" s="1"/>
      <c r="U431" s="1"/>
      <c r="V431" s="1"/>
      <c r="W431" s="1"/>
      <c r="X431" s="1" t="str">
        <f>IFERROR(__xludf.DUMMYFUNCTION("""COMPUTED_VALUE"""),"Immune")</f>
        <v>Immune</v>
      </c>
      <c r="Y431" s="1" t="str">
        <f>IFERROR(__xludf.DUMMYFUNCTION("""COMPUTED_VALUE"""),"Immune")</f>
        <v>Immune</v>
      </c>
      <c r="Z431" s="1"/>
      <c r="AA431" s="1" t="str">
        <f>IFERROR(__xludf.DUMMYFUNCTION("""COMPUTED_VALUE"""),"Immune")</f>
        <v>Immune</v>
      </c>
      <c r="AB431" s="1"/>
      <c r="AC431" s="1"/>
      <c r="AD431" s="1"/>
      <c r="AE431" s="1"/>
      <c r="AF431" s="1"/>
      <c r="AG431" s="1"/>
      <c r="AH431" s="1"/>
      <c r="AI431" s="1"/>
      <c r="AJ431" s="1"/>
      <c r="AK431" s="1"/>
      <c r="AL431" s="1"/>
    </row>
    <row r="432">
      <c r="A432" s="1" t="str">
        <f>IFERROR(__xludf.DUMMYFUNCTION("""COMPUTED_VALUE"""),"Ancient Frost Dragon")</f>
        <v>Ancient Frost Dragon</v>
      </c>
      <c r="B432" s="1"/>
      <c r="C432" s="1" t="str">
        <f>IFERROR(__xludf.DUMMYFUNCTION("""COMPUTED_VALUE"""),"Immune")</f>
        <v>Immune</v>
      </c>
      <c r="D432" s="1"/>
      <c r="E432" s="1"/>
      <c r="F432" s="1"/>
      <c r="G432" s="1"/>
      <c r="H432" s="1"/>
      <c r="I432" s="1"/>
      <c r="J432" s="1"/>
      <c r="K432" s="1"/>
      <c r="L432" s="1"/>
      <c r="M432" s="1"/>
      <c r="N432" s="1"/>
      <c r="O432" s="1"/>
      <c r="P432" s="1"/>
      <c r="Q432" s="1"/>
      <c r="R432" s="1"/>
      <c r="S432" s="1"/>
      <c r="T432" s="1"/>
      <c r="U432" s="1"/>
      <c r="V432" s="1"/>
      <c r="W432" s="1"/>
      <c r="X432" s="1" t="str">
        <f>IFERROR(__xludf.DUMMYFUNCTION("""COMPUTED_VALUE"""),"Immune")</f>
        <v>Immune</v>
      </c>
      <c r="Y432" s="1" t="str">
        <f>IFERROR(__xludf.DUMMYFUNCTION("""COMPUTED_VALUE"""),"Immune")</f>
        <v>Immune</v>
      </c>
      <c r="Z432" s="1"/>
      <c r="AA432" s="1" t="str">
        <f>IFERROR(__xludf.DUMMYFUNCTION("""COMPUTED_VALUE"""),"Immune")</f>
        <v>Immune</v>
      </c>
      <c r="AB432" s="1"/>
      <c r="AC432" s="1"/>
      <c r="AD432" s="1"/>
      <c r="AE432" s="1"/>
      <c r="AF432" s="1"/>
      <c r="AG432" s="1"/>
      <c r="AH432" s="1"/>
      <c r="AI432" s="1"/>
      <c r="AJ432" s="1"/>
      <c r="AK432" s="1"/>
      <c r="AL432" s="1"/>
    </row>
    <row r="433">
      <c r="A433" s="1" t="str">
        <f>IFERROR(__xludf.DUMMYFUNCTION("""COMPUTED_VALUE"""),"Ancient Soul Dragon")</f>
        <v>Ancient Soul Dragon</v>
      </c>
      <c r="B433" s="1"/>
      <c r="C433" s="1"/>
      <c r="D433" s="1"/>
      <c r="E433" s="1"/>
      <c r="F433" s="1"/>
      <c r="G433" s="1" t="str">
        <f>IFERROR(__xludf.DUMMYFUNCTION("""COMPUTED_VALUE"""),"Immune")</f>
        <v>Immune</v>
      </c>
      <c r="H433" s="1"/>
      <c r="I433" s="1"/>
      <c r="J433" s="1"/>
      <c r="K433" s="1"/>
      <c r="L433" s="1"/>
      <c r="M433" s="1"/>
      <c r="N433" s="1"/>
      <c r="O433" s="1"/>
      <c r="P433" s="1"/>
      <c r="Q433" s="1"/>
      <c r="R433" s="1"/>
      <c r="S433" s="1"/>
      <c r="T433" s="1"/>
      <c r="U433" s="1"/>
      <c r="V433" s="1"/>
      <c r="W433" s="1"/>
      <c r="X433" s="1" t="str">
        <f>IFERROR(__xludf.DUMMYFUNCTION("""COMPUTED_VALUE"""),"Immune")</f>
        <v>Immune</v>
      </c>
      <c r="Y433" s="1" t="str">
        <f>IFERROR(__xludf.DUMMYFUNCTION("""COMPUTED_VALUE"""),"Immune")</f>
        <v>Immune</v>
      </c>
      <c r="Z433" s="1"/>
      <c r="AA433" s="1" t="str">
        <f>IFERROR(__xludf.DUMMYFUNCTION("""COMPUTED_VALUE"""),"Immune")</f>
        <v>Immune</v>
      </c>
      <c r="AB433" s="1"/>
      <c r="AC433" s="1"/>
      <c r="AD433" s="1"/>
      <c r="AE433" s="1"/>
      <c r="AF433" s="1"/>
      <c r="AG433" s="1"/>
      <c r="AH433" s="1"/>
      <c r="AI433" s="1"/>
      <c r="AJ433" s="1"/>
      <c r="AK433" s="1"/>
      <c r="AL433" s="1"/>
    </row>
    <row r="434">
      <c r="A434" s="1" t="str">
        <f>IFERROR(__xludf.DUMMYFUNCTION("""COMPUTED_VALUE"""),"Ancient Spirit Dragon")</f>
        <v>Ancient Spirit Dragon</v>
      </c>
      <c r="B434" s="1"/>
      <c r="C434" s="1"/>
      <c r="D434" s="1"/>
      <c r="E434" s="1"/>
      <c r="F434" s="1"/>
      <c r="G434" s="1" t="str">
        <f>IFERROR(__xludf.DUMMYFUNCTION("""COMPUTED_VALUE"""),"Immune")</f>
        <v>Immune</v>
      </c>
      <c r="H434" s="1"/>
      <c r="I434" s="1"/>
      <c r="J434" s="1"/>
      <c r="K434" s="1"/>
      <c r="L434" s="1"/>
      <c r="M434" s="1"/>
      <c r="N434" s="1"/>
      <c r="O434" s="1"/>
      <c r="P434" s="1"/>
      <c r="Q434" s="1"/>
      <c r="R434" s="1"/>
      <c r="S434" s="1"/>
      <c r="T434" s="1"/>
      <c r="U434" s="1"/>
      <c r="V434" s="1"/>
      <c r="W434" s="1"/>
      <c r="X434" s="1" t="str">
        <f>IFERROR(__xludf.DUMMYFUNCTION("""COMPUTED_VALUE"""),"Immune")</f>
        <v>Immune</v>
      </c>
      <c r="Y434" s="1" t="str">
        <f>IFERROR(__xludf.DUMMYFUNCTION("""COMPUTED_VALUE"""),"Immune")</f>
        <v>Immune</v>
      </c>
      <c r="Z434" s="1"/>
      <c r="AA434" s="1" t="str">
        <f>IFERROR(__xludf.DUMMYFUNCTION("""COMPUTED_VALUE"""),"Immune")</f>
        <v>Immune</v>
      </c>
      <c r="AB434" s="1"/>
      <c r="AC434" s="1"/>
      <c r="AD434" s="1"/>
      <c r="AE434" s="1"/>
      <c r="AF434" s="1"/>
      <c r="AG434" s="1"/>
      <c r="AH434" s="1"/>
      <c r="AI434" s="1"/>
      <c r="AJ434" s="1"/>
      <c r="AK434" s="1"/>
      <c r="AL434" s="1"/>
    </row>
    <row r="435">
      <c r="A435" s="1" t="str">
        <f>IFERROR(__xludf.DUMMYFUNCTION("""COMPUTED_VALUE"""),"Ancient Stone Dragon")</f>
        <v>Ancient Stone Dragon</v>
      </c>
      <c r="B435" s="1"/>
      <c r="C435" s="1"/>
      <c r="D435" s="1"/>
      <c r="E435" s="1" t="str">
        <f>IFERROR(__xludf.DUMMYFUNCTION("""COMPUTED_VALUE"""),"Immune")</f>
        <v>Immune</v>
      </c>
      <c r="F435" s="1"/>
      <c r="G435" s="1"/>
      <c r="H435" s="1"/>
      <c r="I435" s="1"/>
      <c r="J435" s="1"/>
      <c r="K435" s="1"/>
      <c r="L435" s="1"/>
      <c r="M435" s="1"/>
      <c r="N435" s="1"/>
      <c r="O435" s="1"/>
      <c r="P435" s="1"/>
      <c r="Q435" s="1"/>
      <c r="R435" s="1"/>
      <c r="S435" s="1"/>
      <c r="T435" s="1"/>
      <c r="U435" s="1"/>
      <c r="V435" s="1"/>
      <c r="W435" s="1"/>
      <c r="X435" s="1" t="str">
        <f>IFERROR(__xludf.DUMMYFUNCTION("""COMPUTED_VALUE"""),"Immune")</f>
        <v>Immune</v>
      </c>
      <c r="Y435" s="1" t="str">
        <f>IFERROR(__xludf.DUMMYFUNCTION("""COMPUTED_VALUE"""),"Immune")</f>
        <v>Immune</v>
      </c>
      <c r="Z435" s="1"/>
      <c r="AA435" s="1" t="str">
        <f>IFERROR(__xludf.DUMMYFUNCTION("""COMPUTED_VALUE"""),"Immune")</f>
        <v>Immune</v>
      </c>
      <c r="AB435" s="1"/>
      <c r="AC435" s="1"/>
      <c r="AD435" s="1"/>
      <c r="AE435" s="1"/>
      <c r="AF435" s="1"/>
      <c r="AG435" s="1"/>
      <c r="AH435" s="1"/>
      <c r="AI435" s="1"/>
      <c r="AJ435" s="1"/>
      <c r="AK435" s="1"/>
      <c r="AL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row>
    <row r="437">
      <c r="A437" s="1" t="str">
        <f>IFERROR(__xludf.DUMMYFUNCTION("""COMPUTED_VALUE"""),"Ancient Fire Dragon")</f>
        <v>Ancient Fire Dragon</v>
      </c>
      <c r="B437" s="1" t="str">
        <f>IFERROR(__xludf.DUMMYFUNCTION("""COMPUTED_VALUE"""),"Immune")</f>
        <v>Immune</v>
      </c>
      <c r="C437" s="1"/>
      <c r="D437" s="1"/>
      <c r="E437" s="1"/>
      <c r="F437" s="1"/>
      <c r="G437" s="1"/>
      <c r="H437" s="1"/>
      <c r="I437" s="1"/>
      <c r="J437" s="1"/>
      <c r="K437" s="1" t="str">
        <f>IFERROR(__xludf.DUMMYFUNCTION("""COMPUTED_VALUE"""),"Immune")</f>
        <v>Immune</v>
      </c>
      <c r="L437" s="1"/>
      <c r="M437" s="1"/>
      <c r="N437" s="1"/>
      <c r="O437" s="1"/>
      <c r="P437" s="1"/>
      <c r="Q437" s="1"/>
      <c r="R437" s="1"/>
      <c r="S437" s="1"/>
      <c r="T437" s="1"/>
      <c r="U437" s="1"/>
      <c r="V437" s="1"/>
      <c r="W437" s="1"/>
      <c r="X437" s="1" t="str">
        <f>IFERROR(__xludf.DUMMYFUNCTION("""COMPUTED_VALUE"""),"Immune")</f>
        <v>Immune</v>
      </c>
      <c r="Y437" s="1" t="str">
        <f>IFERROR(__xludf.DUMMYFUNCTION("""COMPUTED_VALUE"""),"Immune")</f>
        <v>Immune</v>
      </c>
      <c r="Z437" s="1"/>
      <c r="AA437" s="1" t="str">
        <f>IFERROR(__xludf.DUMMYFUNCTION("""COMPUTED_VALUE"""),"Immune")</f>
        <v>Immune</v>
      </c>
      <c r="AB437" s="1"/>
      <c r="AC437" s="1"/>
      <c r="AD437" s="1"/>
      <c r="AE437" s="1"/>
      <c r="AF437" s="1"/>
      <c r="AG437" s="1"/>
      <c r="AH437" s="1"/>
      <c r="AI437" s="1"/>
      <c r="AJ437" s="1"/>
      <c r="AK437" s="1"/>
      <c r="AL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row>
    <row r="439">
      <c r="A439" s="1" t="str">
        <f>IFERROR(__xludf.DUMMYFUNCTION("""COMPUTED_VALUE"""),"Ancient Undead Dragon")</f>
        <v>Ancient Undead Dragon</v>
      </c>
      <c r="B439" s="1"/>
      <c r="C439" s="1"/>
      <c r="D439" s="1"/>
      <c r="E439" s="1"/>
      <c r="F439" s="1"/>
      <c r="G439" s="1" t="str">
        <f>IFERROR(__xludf.DUMMYFUNCTION("""COMPUTED_VALUE"""),"Immune")</f>
        <v>Immune</v>
      </c>
      <c r="H439" s="1"/>
      <c r="I439" s="1"/>
      <c r="J439" s="1"/>
      <c r="K439" s="1"/>
      <c r="L439" s="1"/>
      <c r="M439" s="1"/>
      <c r="N439" s="1"/>
      <c r="O439" s="1"/>
      <c r="P439" s="1"/>
      <c r="Q439" s="1"/>
      <c r="R439" s="1"/>
      <c r="S439" s="1"/>
      <c r="T439" s="1"/>
      <c r="U439" s="1"/>
      <c r="V439" s="1"/>
      <c r="W439" s="1"/>
      <c r="X439" s="1" t="str">
        <f>IFERROR(__xludf.DUMMYFUNCTION("""COMPUTED_VALUE"""),"Immune")</f>
        <v>Immune</v>
      </c>
      <c r="Y439" s="1" t="str">
        <f>IFERROR(__xludf.DUMMYFUNCTION("""COMPUTED_VALUE"""),"Immune")</f>
        <v>Immune</v>
      </c>
      <c r="Z439" s="1"/>
      <c r="AA439" s="1" t="str">
        <f>IFERROR(__xludf.DUMMYFUNCTION("""COMPUTED_VALUE"""),"Immune")</f>
        <v>Immune</v>
      </c>
      <c r="AB439" s="1"/>
      <c r="AC439" s="1"/>
      <c r="AD439" s="1"/>
      <c r="AE439" s="1"/>
      <c r="AF439" s="1"/>
      <c r="AG439" s="1"/>
      <c r="AH439" s="1"/>
      <c r="AI439" s="1"/>
      <c r="AJ439" s="1"/>
      <c r="AK439" s="1"/>
      <c r="AL439" s="1"/>
    </row>
    <row r="440">
      <c r="A440" s="1" t="str">
        <f>IFERROR(__xludf.DUMMYFUNCTION("""COMPUTED_VALUE"""),"Ancient Crystal Dragon")</f>
        <v>Ancient Crystal Dragon</v>
      </c>
      <c r="B440" s="1"/>
      <c r="C440" s="1"/>
      <c r="D440" s="1"/>
      <c r="E440" s="1">
        <f>IFERROR(__xludf.DUMMYFUNCTION("""COMPUTED_VALUE"""),100.0)</f>
        <v>100</v>
      </c>
      <c r="F440" s="1"/>
      <c r="G440" s="1"/>
      <c r="H440" s="1"/>
      <c r="I440" s="1"/>
      <c r="J440" s="1"/>
      <c r="K440" s="1"/>
      <c r="L440" s="1"/>
      <c r="M440" s="1"/>
      <c r="N440" s="1"/>
      <c r="O440" s="1"/>
      <c r="P440" s="1"/>
      <c r="Q440" s="1"/>
      <c r="R440" s="1"/>
      <c r="S440" s="1"/>
      <c r="T440" s="1"/>
      <c r="U440" s="1"/>
      <c r="V440" s="1"/>
      <c r="W440" s="1"/>
      <c r="X440" s="1" t="str">
        <f>IFERROR(__xludf.DUMMYFUNCTION("""COMPUTED_VALUE"""),"Immune")</f>
        <v>Immune</v>
      </c>
      <c r="Y440" s="1" t="str">
        <f>IFERROR(__xludf.DUMMYFUNCTION("""COMPUTED_VALUE"""),"Immune")</f>
        <v>Immune</v>
      </c>
      <c r="Z440" s="1"/>
      <c r="AA440" s="1" t="str">
        <f>IFERROR(__xludf.DUMMYFUNCTION("""COMPUTED_VALUE"""),"Immune")</f>
        <v>Immune</v>
      </c>
      <c r="AB440" s="1"/>
      <c r="AC440" s="1"/>
      <c r="AD440" s="1"/>
      <c r="AE440" s="1"/>
      <c r="AF440" s="1"/>
      <c r="AG440" s="1"/>
      <c r="AH440" s="1"/>
      <c r="AI440" s="1"/>
      <c r="AJ440" s="1"/>
      <c r="AK440" s="1"/>
      <c r="AL440" s="1"/>
    </row>
    <row r="441">
      <c r="A441" s="1" t="str">
        <f>IFERROR(__xludf.DUMMYFUNCTION("""COMPUTED_VALUE"""),"Divine Acid Dragon")</f>
        <v>Divine Acid Dragon</v>
      </c>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row>
    <row r="442">
      <c r="A442" s="1" t="str">
        <f>IFERROR(__xludf.DUMMYFUNCTION("""COMPUTED_VALUE"""),"Divine Water Dragon")</f>
        <v>Divine Water Dragon</v>
      </c>
      <c r="B442" s="1" t="str">
        <f>IFERROR(__xludf.DUMMYFUNCTION("""COMPUTED_VALUE"""),"Immune")</f>
        <v>Immune</v>
      </c>
      <c r="C442" s="1" t="str">
        <f>IFERROR(__xludf.DUMMYFUNCTION("""COMPUTED_VALUE"""),"Immune")</f>
        <v>Immune</v>
      </c>
      <c r="D442" s="1"/>
      <c r="E442" s="1"/>
      <c r="F442" s="1"/>
      <c r="G442" s="1"/>
      <c r="H442" s="1"/>
      <c r="I442" s="1"/>
      <c r="J442" s="1"/>
      <c r="K442" s="1"/>
      <c r="L442" s="1"/>
      <c r="M442" s="1"/>
      <c r="N442" s="1"/>
      <c r="O442" s="1"/>
      <c r="P442" s="1"/>
      <c r="Q442" s="1"/>
      <c r="R442" s="1"/>
      <c r="S442" s="1"/>
      <c r="T442" s="1"/>
      <c r="U442" s="1"/>
      <c r="V442" s="1"/>
      <c r="W442" s="1"/>
      <c r="X442" s="1" t="str">
        <f>IFERROR(__xludf.DUMMYFUNCTION("""COMPUTED_VALUE"""),"Immune")</f>
        <v>Immune</v>
      </c>
      <c r="Y442" s="1" t="str">
        <f>IFERROR(__xludf.DUMMYFUNCTION("""COMPUTED_VALUE"""),"Immune")</f>
        <v>Immune</v>
      </c>
      <c r="Z442" s="1"/>
      <c r="AA442" s="1" t="str">
        <f>IFERROR(__xludf.DUMMYFUNCTION("""COMPUTED_VALUE"""),"Immune")</f>
        <v>Immune</v>
      </c>
      <c r="AB442" s="1"/>
      <c r="AC442" s="1"/>
      <c r="AD442" s="1"/>
      <c r="AE442" s="1"/>
      <c r="AF442" s="1"/>
      <c r="AG442" s="1"/>
      <c r="AH442" s="1"/>
      <c r="AI442" s="1"/>
      <c r="AJ442" s="1"/>
      <c r="AK442" s="1"/>
      <c r="AL442" s="1"/>
    </row>
    <row r="443">
      <c r="A443" s="1" t="str">
        <f>IFERROR(__xludf.DUMMYFUNCTION("""COMPUTED_VALUE"""),"Divine Astral Dragon")</f>
        <v>Divine Astral Dragon</v>
      </c>
      <c r="B443" s="1"/>
      <c r="C443" s="1"/>
      <c r="D443" s="1"/>
      <c r="E443" s="1"/>
      <c r="F443" s="1"/>
      <c r="G443" s="1"/>
      <c r="H443" s="1"/>
      <c r="I443" s="1"/>
      <c r="J443" s="1"/>
      <c r="K443" s="1"/>
      <c r="L443" s="1"/>
      <c r="M443" s="1"/>
      <c r="N443" s="1"/>
      <c r="O443" s="1"/>
      <c r="P443" s="1"/>
      <c r="Q443" s="1"/>
      <c r="R443" s="1"/>
      <c r="S443" s="1"/>
      <c r="T443" s="1"/>
      <c r="U443" s="1"/>
      <c r="V443" s="1" t="str">
        <f>IFERROR(__xludf.DUMMYFUNCTION("""COMPUTED_VALUE"""),"Immune")</f>
        <v>Immune</v>
      </c>
      <c r="W443" s="1"/>
      <c r="X443" s="1" t="str">
        <f>IFERROR(__xludf.DUMMYFUNCTION("""COMPUTED_VALUE"""),"Immune")</f>
        <v>Immune</v>
      </c>
      <c r="Y443" s="1" t="str">
        <f>IFERROR(__xludf.DUMMYFUNCTION("""COMPUTED_VALUE"""),"Immune")</f>
        <v>Immune</v>
      </c>
      <c r="Z443" s="1"/>
      <c r="AA443" s="1" t="str">
        <f>IFERROR(__xludf.DUMMYFUNCTION("""COMPUTED_VALUE"""),"Immune")</f>
        <v>Immune</v>
      </c>
      <c r="AB443" s="1"/>
      <c r="AC443" s="1"/>
      <c r="AD443" s="1"/>
      <c r="AE443" s="1"/>
      <c r="AF443" s="1"/>
      <c r="AG443" s="1"/>
      <c r="AH443" s="1"/>
      <c r="AI443" s="1"/>
      <c r="AJ443" s="1"/>
      <c r="AK443" s="1"/>
      <c r="AL443" s="1"/>
    </row>
    <row r="444">
      <c r="A444" s="1" t="str">
        <f>IFERROR(__xludf.DUMMYFUNCTION("""COMPUTED_VALUE"""),"Divine Celestial Dragon")</f>
        <v>Divine Celestial Dragon</v>
      </c>
      <c r="B444" s="1"/>
      <c r="C444" s="1"/>
      <c r="D444" s="1"/>
      <c r="E444" s="1"/>
      <c r="F444" s="1"/>
      <c r="G444" s="1"/>
      <c r="H444" s="1"/>
      <c r="I444" s="1"/>
      <c r="J444" s="1"/>
      <c r="K444" s="1"/>
      <c r="L444" s="1"/>
      <c r="M444" s="1"/>
      <c r="N444" s="1"/>
      <c r="O444" s="1"/>
      <c r="P444" s="1"/>
      <c r="Q444" s="1"/>
      <c r="R444" s="1"/>
      <c r="S444" s="1"/>
      <c r="T444" s="1"/>
      <c r="U444" s="1"/>
      <c r="V444" s="1"/>
      <c r="W444" s="1" t="str">
        <f>IFERROR(__xludf.DUMMYFUNCTION("""COMPUTED_VALUE"""),"Immune")</f>
        <v>Immune</v>
      </c>
      <c r="X444" s="1" t="str">
        <f>IFERROR(__xludf.DUMMYFUNCTION("""COMPUTED_VALUE"""),"Immune")</f>
        <v>Immune</v>
      </c>
      <c r="Y444" s="1" t="str">
        <f>IFERROR(__xludf.DUMMYFUNCTION("""COMPUTED_VALUE"""),"Immune")</f>
        <v>Immune</v>
      </c>
      <c r="Z444" s="1"/>
      <c r="AA444" s="1" t="str">
        <f>IFERROR(__xludf.DUMMYFUNCTION("""COMPUTED_VALUE"""),"Immune")</f>
        <v>Immune</v>
      </c>
      <c r="AB444" s="1"/>
      <c r="AC444" s="1"/>
      <c r="AD444" s="1"/>
      <c r="AE444" s="1"/>
      <c r="AF444" s="1"/>
      <c r="AG444" s="1"/>
      <c r="AH444" s="1"/>
      <c r="AI444" s="1"/>
      <c r="AJ444" s="1"/>
      <c r="AK444" s="1"/>
      <c r="AL444" s="1"/>
    </row>
    <row r="445">
      <c r="A445" s="1" t="str">
        <f>IFERROR(__xludf.DUMMYFUNCTION("""COMPUTED_VALUE"""),"Divine Chaos Dragon")</f>
        <v>Divine Chaos Dragon</v>
      </c>
      <c r="B445" s="1"/>
      <c r="C445" s="1"/>
      <c r="D445" s="1"/>
      <c r="E445" s="1"/>
      <c r="F445" s="1"/>
      <c r="G445" s="1"/>
      <c r="H445" s="1"/>
      <c r="I445" s="1"/>
      <c r="J445" s="1" t="str">
        <f>IFERROR(__xludf.DUMMYFUNCTION("""COMPUTED_VALUE"""),"Immune")</f>
        <v>Immune</v>
      </c>
      <c r="K445" s="1"/>
      <c r="L445" s="1"/>
      <c r="M445" s="1"/>
      <c r="N445" s="1"/>
      <c r="O445" s="1"/>
      <c r="P445" s="1"/>
      <c r="Q445" s="1"/>
      <c r="R445" s="1"/>
      <c r="S445" s="1"/>
      <c r="T445" s="1"/>
      <c r="U445" s="1"/>
      <c r="V445" s="1"/>
      <c r="W445" s="1"/>
      <c r="X445" s="1" t="str">
        <f>IFERROR(__xludf.DUMMYFUNCTION("""COMPUTED_VALUE"""),"Immune")</f>
        <v>Immune</v>
      </c>
      <c r="Y445" s="1" t="str">
        <f>IFERROR(__xludf.DUMMYFUNCTION("""COMPUTED_VALUE"""),"Immune")</f>
        <v>Immune</v>
      </c>
      <c r="Z445" s="1"/>
      <c r="AA445" s="1" t="str">
        <f>IFERROR(__xludf.DUMMYFUNCTION("""COMPUTED_VALUE"""),"Immune")</f>
        <v>Immune</v>
      </c>
      <c r="AB445" s="1"/>
      <c r="AC445" s="1"/>
      <c r="AD445" s="1"/>
      <c r="AE445" s="1"/>
      <c r="AF445" s="1"/>
      <c r="AG445" s="1"/>
      <c r="AH445" s="1"/>
      <c r="AI445" s="1"/>
      <c r="AJ445" s="1"/>
      <c r="AK445" s="1"/>
      <c r="AL445" s="1"/>
    </row>
    <row r="446">
      <c r="A446" s="1" t="str">
        <f>IFERROR(__xludf.DUMMYFUNCTION("""COMPUTED_VALUE"""),"Divine Dark Dragon")</f>
        <v>Divine Dark Dragon</v>
      </c>
      <c r="B446" s="1"/>
      <c r="C446" s="1"/>
      <c r="D446" s="1"/>
      <c r="E446" s="1"/>
      <c r="F446" s="1"/>
      <c r="G446" s="1" t="str">
        <f>IFERROR(__xludf.DUMMYFUNCTION("""COMPUTED_VALUE"""),"Immune")</f>
        <v>Immune</v>
      </c>
      <c r="H446" s="1"/>
      <c r="I446" s="1"/>
      <c r="J446" s="1"/>
      <c r="K446" s="1"/>
      <c r="L446" s="1"/>
      <c r="M446" s="1"/>
      <c r="N446" s="1"/>
      <c r="O446" s="1"/>
      <c r="P446" s="1"/>
      <c r="Q446" s="1"/>
      <c r="R446" s="1"/>
      <c r="S446" s="1"/>
      <c r="T446" s="1"/>
      <c r="U446" s="1"/>
      <c r="V446" s="1"/>
      <c r="W446" s="1"/>
      <c r="X446" s="1" t="str">
        <f>IFERROR(__xludf.DUMMYFUNCTION("""COMPUTED_VALUE"""),"Immune")</f>
        <v>Immune</v>
      </c>
      <c r="Y446" s="1" t="str">
        <f>IFERROR(__xludf.DUMMYFUNCTION("""COMPUTED_VALUE"""),"Immune")</f>
        <v>Immune</v>
      </c>
      <c r="Z446" s="1"/>
      <c r="AA446" s="1" t="str">
        <f>IFERROR(__xludf.DUMMYFUNCTION("""COMPUTED_VALUE"""),"Immune")</f>
        <v>Immune</v>
      </c>
      <c r="AB446" s="1"/>
      <c r="AC446" s="1"/>
      <c r="AD446" s="1"/>
      <c r="AE446" s="1"/>
      <c r="AF446" s="1"/>
      <c r="AG446" s="1"/>
      <c r="AH446" s="1"/>
      <c r="AI446" s="1"/>
      <c r="AJ446" s="1"/>
      <c r="AK446" s="1"/>
      <c r="AL446" s="1"/>
    </row>
    <row r="447">
      <c r="A447" s="1" t="str">
        <f>IFERROR(__xludf.DUMMYFUNCTION("""COMPUTED_VALUE"""),"Divine Delta Dragon")</f>
        <v>Divine Delta Dragon</v>
      </c>
      <c r="B447" s="1"/>
      <c r="C447" s="1"/>
      <c r="D447" s="1"/>
      <c r="E447" s="1"/>
      <c r="F447" s="1"/>
      <c r="G447" s="1"/>
      <c r="H447" s="1"/>
      <c r="I447" s="1"/>
      <c r="J447" s="1"/>
      <c r="K447" s="1"/>
      <c r="L447" s="1"/>
      <c r="M447" s="1"/>
      <c r="N447" s="1"/>
      <c r="O447" s="1"/>
      <c r="P447" s="1"/>
      <c r="Q447" s="1"/>
      <c r="R447" s="1"/>
      <c r="S447" s="1"/>
      <c r="T447" s="1"/>
      <c r="U447" s="1"/>
      <c r="V447" s="1"/>
      <c r="W447" s="1"/>
      <c r="X447" s="1" t="str">
        <f>IFERROR(__xludf.DUMMYFUNCTION("""COMPUTED_VALUE"""),"Immune")</f>
        <v>Immune</v>
      </c>
      <c r="Y447" s="1" t="str">
        <f>IFERROR(__xludf.DUMMYFUNCTION("""COMPUTED_VALUE"""),"Immune")</f>
        <v>Immune</v>
      </c>
      <c r="Z447" s="1"/>
      <c r="AA447" s="1" t="str">
        <f>IFERROR(__xludf.DUMMYFUNCTION("""COMPUTED_VALUE"""),"Immune")</f>
        <v>Immune</v>
      </c>
      <c r="AB447" s="1"/>
      <c r="AC447" s="1"/>
      <c r="AD447" s="1"/>
      <c r="AE447" s="1"/>
      <c r="AF447" s="1"/>
      <c r="AG447" s="1"/>
      <c r="AH447" s="1"/>
      <c r="AI447" s="1"/>
      <c r="AJ447" s="1"/>
      <c r="AK447" s="1"/>
      <c r="AL447" s="1"/>
    </row>
    <row r="448">
      <c r="A448" s="1" t="str">
        <f>IFERROR(__xludf.DUMMYFUNCTION("""COMPUTED_VALUE"""),"Divine Forest Dragon")</f>
        <v>Divine Forest Dragon</v>
      </c>
      <c r="B448" s="1"/>
      <c r="C448" s="1"/>
      <c r="D448" s="1"/>
      <c r="E448" s="1"/>
      <c r="F448" s="1"/>
      <c r="G448" s="1"/>
      <c r="H448" s="1"/>
      <c r="I448" s="1"/>
      <c r="J448" s="1"/>
      <c r="K448" s="1" t="str">
        <f>IFERROR(__xludf.DUMMYFUNCTION("""COMPUTED_VALUE"""),"Immune")</f>
        <v>Immune</v>
      </c>
      <c r="L448" s="1"/>
      <c r="M448" s="1"/>
      <c r="N448" s="1"/>
      <c r="O448" s="1"/>
      <c r="P448" s="1"/>
      <c r="Q448" s="1"/>
      <c r="R448" s="1"/>
      <c r="S448" s="1"/>
      <c r="T448" s="1"/>
      <c r="U448" s="1"/>
      <c r="V448" s="1"/>
      <c r="W448" s="1"/>
      <c r="X448" s="1" t="str">
        <f>IFERROR(__xludf.DUMMYFUNCTION("""COMPUTED_VALUE"""),"Immune")</f>
        <v>Immune</v>
      </c>
      <c r="Y448" s="1" t="str">
        <f>IFERROR(__xludf.DUMMYFUNCTION("""COMPUTED_VALUE"""),"Immune")</f>
        <v>Immune</v>
      </c>
      <c r="Z448" s="1"/>
      <c r="AA448" s="1" t="str">
        <f>IFERROR(__xludf.DUMMYFUNCTION("""COMPUTED_VALUE"""),"Immune")</f>
        <v>Immune</v>
      </c>
      <c r="AB448" s="1"/>
      <c r="AC448" s="1"/>
      <c r="AD448" s="1"/>
      <c r="AE448" s="1"/>
      <c r="AF448" s="1"/>
      <c r="AG448" s="1"/>
      <c r="AH448" s="1"/>
      <c r="AI448" s="1"/>
      <c r="AJ448" s="1"/>
      <c r="AK448" s="1"/>
      <c r="AL448" s="1"/>
    </row>
    <row r="449">
      <c r="A449" s="1" t="str">
        <f>IFERROR(__xludf.DUMMYFUNCTION("""COMPUTED_VALUE"""),"Divine Frost Dragon")</f>
        <v>Divine Frost Dragon</v>
      </c>
      <c r="B449" s="1"/>
      <c r="C449" s="1" t="str">
        <f>IFERROR(__xludf.DUMMYFUNCTION("""COMPUTED_VALUE"""),"Immune")</f>
        <v>Immune</v>
      </c>
      <c r="D449" s="1"/>
      <c r="E449" s="1"/>
      <c r="F449" s="1"/>
      <c r="G449" s="1"/>
      <c r="H449" s="1"/>
      <c r="I449" s="1"/>
      <c r="J449" s="1"/>
      <c r="K449" s="1"/>
      <c r="L449" s="1"/>
      <c r="M449" s="1"/>
      <c r="N449" s="1"/>
      <c r="O449" s="1"/>
      <c r="P449" s="1"/>
      <c r="Q449" s="1"/>
      <c r="R449" s="1"/>
      <c r="S449" s="1"/>
      <c r="T449" s="1"/>
      <c r="U449" s="1"/>
      <c r="V449" s="1"/>
      <c r="W449" s="1"/>
      <c r="X449" s="1" t="str">
        <f>IFERROR(__xludf.DUMMYFUNCTION("""COMPUTED_VALUE"""),"Immune")</f>
        <v>Immune</v>
      </c>
      <c r="Y449" s="1" t="str">
        <f>IFERROR(__xludf.DUMMYFUNCTION("""COMPUTED_VALUE"""),"Immune")</f>
        <v>Immune</v>
      </c>
      <c r="Z449" s="1"/>
      <c r="AA449" s="1" t="str">
        <f>IFERROR(__xludf.DUMMYFUNCTION("""COMPUTED_VALUE"""),"Immune")</f>
        <v>Immune</v>
      </c>
      <c r="AB449" s="1"/>
      <c r="AC449" s="1"/>
      <c r="AD449" s="1"/>
      <c r="AE449" s="1"/>
      <c r="AF449" s="1"/>
      <c r="AG449" s="1"/>
      <c r="AH449" s="1"/>
      <c r="AI449" s="1"/>
      <c r="AJ449" s="1"/>
      <c r="AK449" s="1"/>
      <c r="AL449" s="1"/>
    </row>
    <row r="450">
      <c r="A450" s="1" t="str">
        <f>IFERROR(__xludf.DUMMYFUNCTION("""COMPUTED_VALUE"""),"Divine Soul Dragon")</f>
        <v>Divine Soul Dragon</v>
      </c>
      <c r="B450" s="1"/>
      <c r="C450" s="1"/>
      <c r="D450" s="1"/>
      <c r="E450" s="1"/>
      <c r="F450" s="1"/>
      <c r="G450" s="1" t="str">
        <f>IFERROR(__xludf.DUMMYFUNCTION("""COMPUTED_VALUE"""),"Immune")</f>
        <v>Immune</v>
      </c>
      <c r="H450" s="1"/>
      <c r="I450" s="1"/>
      <c r="J450" s="1"/>
      <c r="K450" s="1"/>
      <c r="L450" s="1"/>
      <c r="M450" s="1"/>
      <c r="N450" s="1"/>
      <c r="O450" s="1"/>
      <c r="P450" s="1"/>
      <c r="Q450" s="1"/>
      <c r="R450" s="1"/>
      <c r="S450" s="1"/>
      <c r="T450" s="1"/>
      <c r="U450" s="1"/>
      <c r="V450" s="1"/>
      <c r="W450" s="1"/>
      <c r="X450" s="1" t="str">
        <f>IFERROR(__xludf.DUMMYFUNCTION("""COMPUTED_VALUE"""),"Immune")</f>
        <v>Immune</v>
      </c>
      <c r="Y450" s="1" t="str">
        <f>IFERROR(__xludf.DUMMYFUNCTION("""COMPUTED_VALUE"""),"Immune")</f>
        <v>Immune</v>
      </c>
      <c r="Z450" s="1"/>
      <c r="AA450" s="1" t="str">
        <f>IFERROR(__xludf.DUMMYFUNCTION("""COMPUTED_VALUE"""),"Immune")</f>
        <v>Immune</v>
      </c>
      <c r="AB450" s="1"/>
      <c r="AC450" s="1"/>
      <c r="AD450" s="1"/>
      <c r="AE450" s="1"/>
      <c r="AF450" s="1"/>
      <c r="AG450" s="1"/>
      <c r="AH450" s="1"/>
      <c r="AI450" s="1"/>
      <c r="AJ450" s="1"/>
      <c r="AK450" s="1"/>
      <c r="AL450" s="1"/>
    </row>
    <row r="451">
      <c r="A451" s="1" t="str">
        <f>IFERROR(__xludf.DUMMYFUNCTION("""COMPUTED_VALUE"""),"Divine Spirit Dragon")</f>
        <v>Divine Spirit Dragon</v>
      </c>
      <c r="B451" s="1"/>
      <c r="C451" s="1"/>
      <c r="D451" s="1"/>
      <c r="E451" s="1"/>
      <c r="F451" s="1"/>
      <c r="G451" s="1" t="str">
        <f>IFERROR(__xludf.DUMMYFUNCTION("""COMPUTED_VALUE"""),"Immune")</f>
        <v>Immune</v>
      </c>
      <c r="H451" s="1"/>
      <c r="I451" s="1"/>
      <c r="J451" s="1"/>
      <c r="K451" s="1"/>
      <c r="L451" s="1"/>
      <c r="M451" s="1"/>
      <c r="N451" s="1"/>
      <c r="O451" s="1"/>
      <c r="P451" s="1"/>
      <c r="Q451" s="1"/>
      <c r="R451" s="1"/>
      <c r="S451" s="1"/>
      <c r="T451" s="1"/>
      <c r="U451" s="1"/>
      <c r="V451" s="1"/>
      <c r="W451" s="1"/>
      <c r="X451" s="1" t="str">
        <f>IFERROR(__xludf.DUMMYFUNCTION("""COMPUTED_VALUE"""),"Immune")</f>
        <v>Immune</v>
      </c>
      <c r="Y451" s="1" t="str">
        <f>IFERROR(__xludf.DUMMYFUNCTION("""COMPUTED_VALUE"""),"Immune")</f>
        <v>Immune</v>
      </c>
      <c r="Z451" s="1"/>
      <c r="AA451" s="1" t="str">
        <f>IFERROR(__xludf.DUMMYFUNCTION("""COMPUTED_VALUE"""),"Immune")</f>
        <v>Immune</v>
      </c>
      <c r="AB451" s="1"/>
      <c r="AC451" s="1"/>
      <c r="AD451" s="1"/>
      <c r="AE451" s="1"/>
      <c r="AF451" s="1"/>
      <c r="AG451" s="1"/>
      <c r="AH451" s="1"/>
      <c r="AI451" s="1"/>
      <c r="AJ451" s="1"/>
      <c r="AK451" s="1"/>
      <c r="AL451" s="1"/>
    </row>
    <row r="452">
      <c r="A452" s="1" t="str">
        <f>IFERROR(__xludf.DUMMYFUNCTION("""COMPUTED_VALUE"""),"Divine Stone Dragon")</f>
        <v>Divine Stone Dragon</v>
      </c>
      <c r="B452" s="1"/>
      <c r="C452" s="1"/>
      <c r="D452" s="1"/>
      <c r="E452" s="1" t="str">
        <f>IFERROR(__xludf.DUMMYFUNCTION("""COMPUTED_VALUE"""),"Immune")</f>
        <v>Immune</v>
      </c>
      <c r="F452" s="1"/>
      <c r="G452" s="1"/>
      <c r="H452" s="1"/>
      <c r="I452" s="1"/>
      <c r="J452" s="1"/>
      <c r="K452" s="1"/>
      <c r="L452" s="1"/>
      <c r="M452" s="1"/>
      <c r="N452" s="1"/>
      <c r="O452" s="1"/>
      <c r="P452" s="1"/>
      <c r="Q452" s="1"/>
      <c r="R452" s="1"/>
      <c r="S452" s="1"/>
      <c r="T452" s="1"/>
      <c r="U452" s="1"/>
      <c r="V452" s="1"/>
      <c r="W452" s="1"/>
      <c r="X452" s="1" t="str">
        <f>IFERROR(__xludf.DUMMYFUNCTION("""COMPUTED_VALUE"""),"Immune")</f>
        <v>Immune</v>
      </c>
      <c r="Y452" s="1" t="str">
        <f>IFERROR(__xludf.DUMMYFUNCTION("""COMPUTED_VALUE"""),"Immune")</f>
        <v>Immune</v>
      </c>
      <c r="Z452" s="1"/>
      <c r="AA452" s="1" t="str">
        <f>IFERROR(__xludf.DUMMYFUNCTION("""COMPUTED_VALUE"""),"Immune")</f>
        <v>Immune</v>
      </c>
      <c r="AB452" s="1"/>
      <c r="AC452" s="1"/>
      <c r="AD452" s="1"/>
      <c r="AE452" s="1"/>
      <c r="AF452" s="1"/>
      <c r="AG452" s="1"/>
      <c r="AH452" s="1"/>
      <c r="AI452" s="1"/>
      <c r="AJ452" s="1"/>
      <c r="AK452" s="1"/>
      <c r="AL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row>
    <row r="454">
      <c r="A454" s="1" t="str">
        <f>IFERROR(__xludf.DUMMYFUNCTION("""COMPUTED_VALUE"""),"Divine Fire Dragon")</f>
        <v>Divine Fire Dragon</v>
      </c>
      <c r="B454" s="1" t="str">
        <f>IFERROR(__xludf.DUMMYFUNCTION("""COMPUTED_VALUE"""),"Immune")</f>
        <v>Immune</v>
      </c>
      <c r="C454" s="1"/>
      <c r="D454" s="1"/>
      <c r="E454" s="1"/>
      <c r="F454" s="1"/>
      <c r="G454" s="1"/>
      <c r="H454" s="1"/>
      <c r="I454" s="1"/>
      <c r="J454" s="1"/>
      <c r="K454" s="1" t="str">
        <f>IFERROR(__xludf.DUMMYFUNCTION("""COMPUTED_VALUE"""),"Immune")</f>
        <v>Immune</v>
      </c>
      <c r="L454" s="1"/>
      <c r="M454" s="1"/>
      <c r="N454" s="1"/>
      <c r="O454" s="1"/>
      <c r="P454" s="1"/>
      <c r="Q454" s="1"/>
      <c r="R454" s="1"/>
      <c r="S454" s="1"/>
      <c r="T454" s="1"/>
      <c r="U454" s="1"/>
      <c r="V454" s="1"/>
      <c r="W454" s="1"/>
      <c r="X454" s="1" t="str">
        <f>IFERROR(__xludf.DUMMYFUNCTION("""COMPUTED_VALUE"""),"Immune")</f>
        <v>Immune</v>
      </c>
      <c r="Y454" s="1" t="str">
        <f>IFERROR(__xludf.DUMMYFUNCTION("""COMPUTED_VALUE"""),"Immune")</f>
        <v>Immune</v>
      </c>
      <c r="Z454" s="1"/>
      <c r="AA454" s="1" t="str">
        <f>IFERROR(__xludf.DUMMYFUNCTION("""COMPUTED_VALUE"""),"Immune")</f>
        <v>Immune</v>
      </c>
      <c r="AB454" s="1"/>
      <c r="AC454" s="1"/>
      <c r="AD454" s="1"/>
      <c r="AE454" s="1"/>
      <c r="AF454" s="1"/>
      <c r="AG454" s="1"/>
      <c r="AH454" s="1"/>
      <c r="AI454" s="1"/>
      <c r="AJ454" s="1"/>
      <c r="AK454" s="1"/>
      <c r="AL454" s="1"/>
    </row>
    <row r="455">
      <c r="A455" s="1" t="str">
        <f>IFERROR(__xludf.DUMMYFUNCTION("""COMPUTED_VALUE"""),"Divine Void Dragon")</f>
        <v>Divine Void Dragon</v>
      </c>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row>
    <row r="456">
      <c r="A456" s="1" t="str">
        <f>IFERROR(__xludf.DUMMYFUNCTION("""COMPUTED_VALUE"""),"Divine Undead Dragon")</f>
        <v>Divine Undead Dragon</v>
      </c>
      <c r="B456" s="1"/>
      <c r="C456" s="1"/>
      <c r="D456" s="1"/>
      <c r="E456" s="1"/>
      <c r="F456" s="1"/>
      <c r="G456" s="1" t="str">
        <f>IFERROR(__xludf.DUMMYFUNCTION("""COMPUTED_VALUE"""),"Immune")</f>
        <v>Immune</v>
      </c>
      <c r="H456" s="1"/>
      <c r="I456" s="1"/>
      <c r="J456" s="1"/>
      <c r="K456" s="1"/>
      <c r="L456" s="1"/>
      <c r="M456" s="1"/>
      <c r="N456" s="1"/>
      <c r="O456" s="1"/>
      <c r="P456" s="1"/>
      <c r="Q456" s="1"/>
      <c r="R456" s="1"/>
      <c r="S456" s="1"/>
      <c r="T456" s="1"/>
      <c r="U456" s="1"/>
      <c r="V456" s="1"/>
      <c r="W456" s="1"/>
      <c r="X456" s="1" t="str">
        <f>IFERROR(__xludf.DUMMYFUNCTION("""COMPUTED_VALUE"""),"Immune")</f>
        <v>Immune</v>
      </c>
      <c r="Y456" s="1" t="str">
        <f>IFERROR(__xludf.DUMMYFUNCTION("""COMPUTED_VALUE"""),"Immune")</f>
        <v>Immune</v>
      </c>
      <c r="Z456" s="1"/>
      <c r="AA456" s="1" t="str">
        <f>IFERROR(__xludf.DUMMYFUNCTION("""COMPUTED_VALUE"""),"Immune")</f>
        <v>Immune</v>
      </c>
      <c r="AB456" s="1"/>
      <c r="AC456" s="1"/>
      <c r="AD456" s="1"/>
      <c r="AE456" s="1"/>
      <c r="AF456" s="1"/>
      <c r="AG456" s="1"/>
      <c r="AH456" s="1"/>
      <c r="AI456" s="1"/>
      <c r="AJ456" s="1"/>
      <c r="AK456" s="1"/>
      <c r="AL456" s="1"/>
    </row>
    <row r="457">
      <c r="A457" s="1" t="str">
        <f>IFERROR(__xludf.DUMMYFUNCTION("""COMPUTED_VALUE"""),"Divine Crystal Dragon")</f>
        <v>Divine Crystal Dragon</v>
      </c>
      <c r="B457" s="1"/>
      <c r="C457" s="1"/>
      <c r="D457" s="1"/>
      <c r="E457" s="1">
        <f>IFERROR(__xludf.DUMMYFUNCTION("""COMPUTED_VALUE"""),100.0)</f>
        <v>100</v>
      </c>
      <c r="F457" s="1"/>
      <c r="G457" s="1"/>
      <c r="H457" s="1"/>
      <c r="I457" s="1"/>
      <c r="J457" s="1"/>
      <c r="K457" s="1"/>
      <c r="L457" s="1"/>
      <c r="M457" s="1"/>
      <c r="N457" s="1"/>
      <c r="O457" s="1"/>
      <c r="P457" s="1"/>
      <c r="Q457" s="1"/>
      <c r="R457" s="1"/>
      <c r="S457" s="1"/>
      <c r="T457" s="1"/>
      <c r="U457" s="1"/>
      <c r="V457" s="1"/>
      <c r="W457" s="1"/>
      <c r="X457" s="1" t="str">
        <f>IFERROR(__xludf.DUMMYFUNCTION("""COMPUTED_VALUE"""),"Immune")</f>
        <v>Immune</v>
      </c>
      <c r="Y457" s="1" t="str">
        <f>IFERROR(__xludf.DUMMYFUNCTION("""COMPUTED_VALUE"""),"Immune")</f>
        <v>Immune</v>
      </c>
      <c r="Z457" s="1"/>
      <c r="AA457" s="1" t="str">
        <f>IFERROR(__xludf.DUMMYFUNCTION("""COMPUTED_VALUE"""),"Immune")</f>
        <v>Immune</v>
      </c>
      <c r="AB457" s="1"/>
      <c r="AC457" s="1"/>
      <c r="AD457" s="1"/>
      <c r="AE457" s="1"/>
      <c r="AF457" s="1"/>
      <c r="AG457" s="1"/>
      <c r="AH457" s="1"/>
      <c r="AI457" s="1"/>
      <c r="AJ457" s="1"/>
      <c r="AK457" s="1"/>
      <c r="AL457" s="1"/>
    </row>
    <row r="458">
      <c r="A458" s="1" t="str">
        <f>IFERROR(__xludf.DUMMYFUNCTION("""COMPUTED_VALUE"""),"Acid Wyrm")</f>
        <v>Acid Wyrm</v>
      </c>
      <c r="B458" s="1"/>
      <c r="C458" s="1"/>
      <c r="D458" s="1"/>
      <c r="E458" s="1"/>
      <c r="F458" s="1"/>
      <c r="G458" s="1"/>
      <c r="H458" s="1"/>
      <c r="I458" s="1"/>
      <c r="J458" s="1"/>
      <c r="K458" s="1" t="str">
        <f>IFERROR(__xludf.DUMMYFUNCTION("""COMPUTED_VALUE"""),"Immune")</f>
        <v>Immune</v>
      </c>
      <c r="L458" s="1"/>
      <c r="M458" s="1"/>
      <c r="N458" s="1"/>
      <c r="O458" s="1"/>
      <c r="P458" s="1"/>
      <c r="Q458" s="1"/>
      <c r="R458" s="1"/>
      <c r="S458" s="1"/>
      <c r="T458" s="1"/>
      <c r="U458" s="1"/>
      <c r="V458" s="1"/>
      <c r="W458" s="1"/>
      <c r="X458" s="1" t="str">
        <f>IFERROR(__xludf.DUMMYFUNCTION("""COMPUTED_VALUE"""),"Immune")</f>
        <v>Immune</v>
      </c>
      <c r="Y458" s="1" t="str">
        <f>IFERROR(__xludf.DUMMYFUNCTION("""COMPUTED_VALUE"""),"Immune")</f>
        <v>Immune</v>
      </c>
      <c r="Z458" s="1"/>
      <c r="AA458" s="1" t="str">
        <f>IFERROR(__xludf.DUMMYFUNCTION("""COMPUTED_VALUE"""),"Immune")</f>
        <v>Immune</v>
      </c>
      <c r="AB458" s="1"/>
      <c r="AC458" s="1"/>
      <c r="AD458" s="1"/>
      <c r="AE458" s="1"/>
      <c r="AF458" s="1"/>
      <c r="AG458" s="1"/>
      <c r="AH458" s="1"/>
      <c r="AI458" s="1"/>
      <c r="AJ458" s="1"/>
      <c r="AK458" s="1"/>
      <c r="AL458" s="1"/>
    </row>
    <row r="459">
      <c r="A459" s="1" t="str">
        <f>IFERROR(__xludf.DUMMYFUNCTION("""COMPUTED_VALUE"""),"Astral Wyrm")</f>
        <v>Astral Wyrm</v>
      </c>
      <c r="B459" s="1"/>
      <c r="C459" s="1"/>
      <c r="D459" s="1"/>
      <c r="E459" s="1"/>
      <c r="F459" s="1"/>
      <c r="G459" s="1"/>
      <c r="H459" s="1"/>
      <c r="I459" s="1"/>
      <c r="J459" s="1"/>
      <c r="K459" s="1"/>
      <c r="L459" s="1"/>
      <c r="M459" s="1"/>
      <c r="N459" s="1"/>
      <c r="O459" s="1"/>
      <c r="P459" s="1"/>
      <c r="Q459" s="1"/>
      <c r="R459" s="1"/>
      <c r="S459" s="1"/>
      <c r="T459" s="1"/>
      <c r="U459" s="1"/>
      <c r="V459" s="1">
        <f>IFERROR(__xludf.DUMMYFUNCTION("""COMPUTED_VALUE"""),50.0)</f>
        <v>50</v>
      </c>
      <c r="W459" s="1"/>
      <c r="X459" s="1" t="str">
        <f>IFERROR(__xludf.DUMMYFUNCTION("""COMPUTED_VALUE"""),"Immune")</f>
        <v>Immune</v>
      </c>
      <c r="Y459" s="1" t="str">
        <f>IFERROR(__xludf.DUMMYFUNCTION("""COMPUTED_VALUE"""),"Immune")</f>
        <v>Immune</v>
      </c>
      <c r="Z459" s="1"/>
      <c r="AA459" s="1" t="str">
        <f>IFERROR(__xludf.DUMMYFUNCTION("""COMPUTED_VALUE"""),"Immune")</f>
        <v>Immune</v>
      </c>
      <c r="AB459" s="1"/>
      <c r="AC459" s="1"/>
      <c r="AD459" s="1"/>
      <c r="AE459" s="1"/>
      <c r="AF459" s="1"/>
      <c r="AG459" s="1"/>
      <c r="AH459" s="1"/>
      <c r="AI459" s="1"/>
      <c r="AJ459" s="1"/>
      <c r="AK459" s="1"/>
      <c r="AL459" s="1"/>
    </row>
    <row r="460">
      <c r="A460" s="1" t="str">
        <f>IFERROR(__xludf.DUMMYFUNCTION("""COMPUTED_VALUE"""),"Celestial Wyrm")</f>
        <v>Celestial Wyrm</v>
      </c>
      <c r="B460" s="1"/>
      <c r="C460" s="1"/>
      <c r="D460" s="1"/>
      <c r="E460" s="1"/>
      <c r="F460" s="1"/>
      <c r="G460" s="1"/>
      <c r="H460" s="1"/>
      <c r="I460" s="1"/>
      <c r="J460" s="1"/>
      <c r="K460" s="1"/>
      <c r="L460" s="1"/>
      <c r="M460" s="1"/>
      <c r="N460" s="1"/>
      <c r="O460" s="1"/>
      <c r="P460" s="1"/>
      <c r="Q460" s="1"/>
      <c r="R460" s="1"/>
      <c r="S460" s="1"/>
      <c r="T460" s="1"/>
      <c r="U460" s="1"/>
      <c r="V460" s="1"/>
      <c r="W460" s="1">
        <f>IFERROR(__xludf.DUMMYFUNCTION("""COMPUTED_VALUE"""),50.0)</f>
        <v>50</v>
      </c>
      <c r="X460" s="1"/>
      <c r="Y460" s="1"/>
      <c r="Z460" s="1"/>
      <c r="AA460" s="1"/>
      <c r="AB460" s="1"/>
      <c r="AC460" s="1"/>
      <c r="AD460" s="1"/>
      <c r="AE460" s="1"/>
      <c r="AF460" s="1"/>
      <c r="AG460" s="1"/>
      <c r="AH460" s="1"/>
      <c r="AI460" s="1"/>
      <c r="AJ460" s="1"/>
      <c r="AK460" s="1"/>
      <c r="AL460" s="1"/>
    </row>
    <row r="461">
      <c r="A461" s="1" t="str">
        <f>IFERROR(__xludf.DUMMYFUNCTION("""COMPUTED_VALUE"""),"Chaos Wyrm")</f>
        <v>Chaos Wyrm</v>
      </c>
      <c r="B461" s="1"/>
      <c r="C461" s="1"/>
      <c r="D461" s="1"/>
      <c r="E461" s="1"/>
      <c r="F461" s="1"/>
      <c r="G461" s="1"/>
      <c r="H461" s="1"/>
      <c r="I461" s="1"/>
      <c r="J461" s="1">
        <f>IFERROR(__xludf.DUMMYFUNCTION("""COMPUTED_VALUE"""),50.0)</f>
        <v>50</v>
      </c>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row>
    <row r="462">
      <c r="A462" s="1" t="str">
        <f>IFERROR(__xludf.DUMMYFUNCTION("""COMPUTED_VALUE"""),"Dark Wyrm")</f>
        <v>Dark Wyrm</v>
      </c>
      <c r="B462" s="1"/>
      <c r="C462" s="1"/>
      <c r="D462" s="1"/>
      <c r="E462" s="1"/>
      <c r="F462" s="1"/>
      <c r="G462" s="1">
        <f>IFERROR(__xludf.DUMMYFUNCTION("""COMPUTED_VALUE"""),50.0)</f>
        <v>50</v>
      </c>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row>
    <row r="463">
      <c r="A463" s="1" t="str">
        <f>IFERROR(__xludf.DUMMYFUNCTION("""COMPUTED_VALUE"""),"Delta Wyrm")</f>
        <v>Delta Wyrm</v>
      </c>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row>
    <row r="464">
      <c r="A464" s="1" t="str">
        <f>IFERROR(__xludf.DUMMYFUNCTION("""COMPUTED_VALUE"""),"Frost Wyrm")</f>
        <v>Frost Wyrm</v>
      </c>
      <c r="B464" s="1"/>
      <c r="C464" s="1">
        <f>IFERROR(__xludf.DUMMYFUNCTION("""COMPUTED_VALUE"""),50.0)</f>
        <v>50</v>
      </c>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row>
    <row r="465">
      <c r="A465" s="1" t="str">
        <f>IFERROR(__xludf.DUMMYFUNCTION("""COMPUTED_VALUE"""),"Soul Wyrm")</f>
        <v>Soul Wyrm</v>
      </c>
      <c r="B465" s="1"/>
      <c r="C465" s="1"/>
      <c r="D465" s="1"/>
      <c r="E465" s="1"/>
      <c r="F465" s="1"/>
      <c r="G465" s="1"/>
      <c r="H465" s="1">
        <f>IFERROR(__xludf.DUMMYFUNCTION("""COMPUTED_VALUE"""),50.0)</f>
        <v>50</v>
      </c>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row>
    <row r="466">
      <c r="A466" s="1" t="str">
        <f>IFERROR(__xludf.DUMMYFUNCTION("""COMPUTED_VALUE"""),"Spirit Wyrm")</f>
        <v>Spirit Wyrm</v>
      </c>
      <c r="B466" s="1"/>
      <c r="C466" s="1"/>
      <c r="D466" s="1"/>
      <c r="E466" s="1"/>
      <c r="F466" s="1"/>
      <c r="G466" s="1"/>
      <c r="H466" s="1">
        <f>IFERROR(__xludf.DUMMYFUNCTION("""COMPUTED_VALUE"""),50.0)</f>
        <v>50</v>
      </c>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row>
    <row r="467">
      <c r="A467" s="1" t="str">
        <f>IFERROR(__xludf.DUMMYFUNCTION("""COMPUTED_VALUE"""),"Komodo Dragon")</f>
        <v>Komodo Dragon</v>
      </c>
      <c r="B467" s="1"/>
      <c r="C467" s="1"/>
      <c r="D467" s="1"/>
      <c r="E467" s="1"/>
      <c r="F467" s="1"/>
      <c r="G467" s="1"/>
      <c r="H467" s="1"/>
      <c r="I467" s="1"/>
      <c r="J467" s="1"/>
      <c r="K467" s="1" t="str">
        <f>IFERROR(__xludf.DUMMYFUNCTION("""COMPUTED_VALUE"""),"Immune")</f>
        <v>Immune</v>
      </c>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row>
    <row r="469">
      <c r="A469" s="1" t="str">
        <f>IFERROR(__xludf.DUMMYFUNCTION("""COMPUTED_VALUE"""),"Undead Wyrm")</f>
        <v>Undead Wyrm</v>
      </c>
      <c r="B469" s="1"/>
      <c r="C469" s="1"/>
      <c r="D469" s="1"/>
      <c r="E469" s="1"/>
      <c r="F469" s="1"/>
      <c r="G469" s="1" t="str">
        <f>IFERROR(__xludf.DUMMYFUNCTION("""COMPUTED_VALUE"""),"Immune")</f>
        <v>Immune</v>
      </c>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row>
    <row r="470">
      <c r="A470" s="1" t="str">
        <f>IFERROR(__xludf.DUMMYFUNCTION("""COMPUTED_VALUE"""),"Crystal Wyrm")</f>
        <v>Crystal Wyrm</v>
      </c>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row>
    <row r="471">
      <c r="A471" s="1" t="str">
        <f>IFERROR(__xludf.DUMMYFUNCTION("""COMPUTED_VALUE"""),"Lizardfolk Wizard")</f>
        <v>Lizardfolk Wizard</v>
      </c>
      <c r="B471" s="1" t="str">
        <f>IFERROR(__xludf.DUMMYFUNCTION("""COMPUTED_VALUE"""),"Immune")</f>
        <v>Immune</v>
      </c>
      <c r="C471" s="1" t="str">
        <f>IFERROR(__xludf.DUMMYFUNCTION("""COMPUTED_VALUE"""),"Immune")</f>
        <v>Immune</v>
      </c>
      <c r="D471" s="1" t="str">
        <f>IFERROR(__xludf.DUMMYFUNCTION("""COMPUTED_VALUE"""),"Immune")</f>
        <v>Immune</v>
      </c>
      <c r="E471" s="1" t="str">
        <f>IFERROR(__xludf.DUMMYFUNCTION("""COMPUTED_VALUE"""),"Immune")</f>
        <v>Immune</v>
      </c>
      <c r="F471" s="1"/>
      <c r="G471" s="1"/>
      <c r="H471" s="1"/>
      <c r="I471" s="1"/>
      <c r="J471" s="1"/>
      <c r="K471" s="1" t="str">
        <f>IFERROR(__xludf.DUMMYFUNCTION("""COMPUTED_VALUE"""),"Immune")</f>
        <v>Immune</v>
      </c>
      <c r="L471" s="1"/>
      <c r="M471" s="1"/>
      <c r="N471" s="1"/>
      <c r="O471" s="1"/>
      <c r="P471" s="1"/>
      <c r="Q471" s="1"/>
      <c r="R471" s="1"/>
      <c r="S471" s="1"/>
      <c r="T471" s="1"/>
      <c r="U471" s="1"/>
      <c r="V471" s="1"/>
      <c r="W471" s="1"/>
      <c r="X471" s="1" t="str">
        <f>IFERROR(__xludf.DUMMYFUNCTION("""COMPUTED_VALUE"""),"Immune")</f>
        <v>Immune</v>
      </c>
      <c r="Y471" s="1"/>
      <c r="Z471" s="1"/>
      <c r="AA471" s="1"/>
      <c r="AB471" s="1"/>
      <c r="AC471" s="1"/>
      <c r="AD471" s="1"/>
      <c r="AE471" s="1"/>
      <c r="AF471" s="1"/>
      <c r="AG471" s="1"/>
      <c r="AH471" s="1"/>
      <c r="AI471" s="1"/>
      <c r="AJ471" s="1"/>
      <c r="AK471" s="1"/>
      <c r="AL471" s="1"/>
    </row>
    <row r="472">
      <c r="A472" s="1" t="str">
        <f>IFERROR(__xludf.DUMMYFUNCTION("""COMPUTED_VALUE"""),"Lizardfolk Thief")</f>
        <v>Lizardfolk Thief</v>
      </c>
      <c r="B472" s="1"/>
      <c r="C472" s="1"/>
      <c r="D472" s="1"/>
      <c r="E472" s="1"/>
      <c r="F472" s="1"/>
      <c r="G472" s="1"/>
      <c r="H472" s="1"/>
      <c r="I472" s="1"/>
      <c r="J472" s="1"/>
      <c r="K472" s="1" t="str">
        <f>IFERROR(__xludf.DUMMYFUNCTION("""COMPUTED_VALUE"""),"Immune")</f>
        <v>Immune</v>
      </c>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row>
    <row r="473">
      <c r="A473" s="1" t="str">
        <f>IFERROR(__xludf.DUMMYFUNCTION("""COMPUTED_VALUE"""),"Lizardfolk Warrior")</f>
        <v>Lizardfolk Warrior</v>
      </c>
      <c r="B473" s="1"/>
      <c r="C473" s="1"/>
      <c r="D473" s="1"/>
      <c r="E473" s="1"/>
      <c r="F473" s="1"/>
      <c r="G473" s="1"/>
      <c r="H473" s="1"/>
      <c r="I473" s="1"/>
      <c r="J473" s="1"/>
      <c r="K473" s="1" t="str">
        <f>IFERROR(__xludf.DUMMYFUNCTION("""COMPUTED_VALUE"""),"Immune")</f>
        <v>Immune</v>
      </c>
      <c r="L473" s="1">
        <f>IFERROR(__xludf.DUMMYFUNCTION("""COMPUTED_VALUE"""),100.0)</f>
        <v>100</v>
      </c>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row>
    <row r="474">
      <c r="A474" s="1" t="str">
        <f>IFERROR(__xludf.DUMMYFUNCTION("""COMPUTED_VALUE"""),"Iguanian  Assassin")</f>
        <v>Iguanian  Assassin</v>
      </c>
      <c r="B474" s="1"/>
      <c r="C474" s="1">
        <f>IFERROR(__xludf.DUMMYFUNCTION("""COMPUTED_VALUE"""),100.0)</f>
        <v>100</v>
      </c>
      <c r="D474" s="1"/>
      <c r="E474" s="1"/>
      <c r="F474" s="1"/>
      <c r="G474" s="1"/>
      <c r="H474" s="1"/>
      <c r="I474" s="1"/>
      <c r="J474" s="1"/>
      <c r="K474" s="1"/>
      <c r="L474" s="1"/>
      <c r="M474" s="1"/>
      <c r="N474" s="1"/>
      <c r="O474" s="1"/>
      <c r="P474" s="1"/>
      <c r="Q474" s="1"/>
      <c r="R474" s="1"/>
      <c r="S474" s="1"/>
      <c r="T474" s="1"/>
      <c r="U474" s="1"/>
      <c r="V474" s="1"/>
      <c r="W474" s="1"/>
      <c r="X474" s="1" t="str">
        <f>IFERROR(__xludf.DUMMYFUNCTION("""COMPUTED_VALUE"""),"Immune")</f>
        <v>Immune</v>
      </c>
      <c r="Y474" s="1"/>
      <c r="Z474" s="1"/>
      <c r="AA474" s="1"/>
      <c r="AB474" s="1"/>
      <c r="AC474" s="1"/>
      <c r="AD474" s="1"/>
      <c r="AE474" s="1"/>
      <c r="AF474" s="1"/>
      <c r="AG474" s="1"/>
      <c r="AH474" s="1"/>
      <c r="AI474" s="1"/>
      <c r="AJ474" s="1"/>
      <c r="AK474" s="1"/>
      <c r="AL474" s="1"/>
    </row>
    <row r="475">
      <c r="A475" s="1" t="str">
        <f>IFERROR(__xludf.DUMMYFUNCTION("""COMPUTED_VALUE"""),"Iguanian Brawler")</f>
        <v>Iguanian Brawler</v>
      </c>
      <c r="B475" s="1"/>
      <c r="C475" s="1">
        <f>IFERROR(__xludf.DUMMYFUNCTION("""COMPUTED_VALUE"""),100.0)</f>
        <v>100</v>
      </c>
      <c r="D475" s="1"/>
      <c r="E475" s="1"/>
      <c r="F475" s="1"/>
      <c r="G475" s="1"/>
      <c r="H475" s="1"/>
      <c r="I475" s="1"/>
      <c r="J475" s="1"/>
      <c r="K475" s="1"/>
      <c r="L475" s="1">
        <f>IFERROR(__xludf.DUMMYFUNCTION("""COMPUTED_VALUE"""),100.0)</f>
        <v>100</v>
      </c>
      <c r="M475" s="1"/>
      <c r="N475" s="1"/>
      <c r="O475" s="1"/>
      <c r="P475" s="1"/>
      <c r="Q475" s="1"/>
      <c r="R475" s="1"/>
      <c r="S475" s="1"/>
      <c r="T475" s="1"/>
      <c r="U475" s="1"/>
      <c r="V475" s="1"/>
      <c r="W475" s="1"/>
      <c r="X475" s="1"/>
      <c r="Y475" s="1"/>
      <c r="Z475" s="1" t="str">
        <f>IFERROR(__xludf.DUMMYFUNCTION("""COMPUTED_VALUE"""),"Immune")</f>
        <v>Immune</v>
      </c>
      <c r="AA475" s="1"/>
      <c r="AB475" s="1"/>
      <c r="AC475" s="1"/>
      <c r="AD475" s="1"/>
      <c r="AE475" s="1"/>
      <c r="AF475" s="1"/>
      <c r="AG475" s="1"/>
      <c r="AH475" s="1"/>
      <c r="AI475" s="1"/>
      <c r="AJ475" s="1"/>
      <c r="AK475" s="1"/>
      <c r="AL475" s="1"/>
    </row>
    <row r="476">
      <c r="A476" s="1" t="str">
        <f>IFERROR(__xludf.DUMMYFUNCTION("""COMPUTED_VALUE"""),"Iguanian Mage")</f>
        <v>Iguanian Mage</v>
      </c>
      <c r="B476" s="1"/>
      <c r="C476" s="1">
        <f>IFERROR(__xludf.DUMMYFUNCTION("""COMPUTED_VALUE"""),100.0)</f>
        <v>100</v>
      </c>
      <c r="D476" s="1"/>
      <c r="E476" s="1"/>
      <c r="F476" s="1"/>
      <c r="G476" s="1"/>
      <c r="H476" s="1"/>
      <c r="I476" s="1"/>
      <c r="J476" s="1"/>
      <c r="K476" s="1"/>
      <c r="L476" s="1"/>
      <c r="M476" s="1"/>
      <c r="N476" s="1"/>
      <c r="O476" s="1"/>
      <c r="P476" s="1"/>
      <c r="Q476" s="1"/>
      <c r="R476" s="1">
        <f>IFERROR(__xludf.DUMMYFUNCTION("""COMPUTED_VALUE"""),100.0)</f>
        <v>100</v>
      </c>
      <c r="S476" s="1"/>
      <c r="T476" s="1"/>
      <c r="U476" s="1"/>
      <c r="V476" s="1"/>
      <c r="W476" s="1"/>
      <c r="X476" s="1"/>
      <c r="Y476" s="1"/>
      <c r="Z476" s="1"/>
      <c r="AA476" s="1"/>
      <c r="AB476" s="1"/>
      <c r="AC476" s="1"/>
      <c r="AD476" s="1"/>
      <c r="AE476" s="1"/>
      <c r="AF476" s="1"/>
      <c r="AG476" s="1"/>
      <c r="AH476" s="1"/>
      <c r="AI476" s="1"/>
      <c r="AJ476" s="1"/>
      <c r="AK476" s="1"/>
      <c r="AL476" s="1"/>
    </row>
    <row r="477">
      <c r="A477" s="1" t="str">
        <f>IFERROR(__xludf.DUMMYFUNCTION("""COMPUTED_VALUE"""),"Salamandrith Ranger")</f>
        <v>Salamandrith Ranger</v>
      </c>
      <c r="B477" s="1">
        <f>IFERROR(__xludf.DUMMYFUNCTION("""COMPUTED_VALUE"""),100.0)</f>
        <v>100</v>
      </c>
      <c r="C477" s="1"/>
      <c r="D477" s="1"/>
      <c r="E477" s="1"/>
      <c r="F477" s="1"/>
      <c r="G477" s="1"/>
      <c r="H477" s="1"/>
      <c r="I477" s="1"/>
      <c r="J477" s="1"/>
      <c r="K477" s="1">
        <f>IFERROR(__xludf.DUMMYFUNCTION("""COMPUTED_VALUE"""),100.0)</f>
        <v>100</v>
      </c>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row>
    <row r="478">
      <c r="A478" s="1" t="str">
        <f>IFERROR(__xludf.DUMMYFUNCTION("""COMPUTED_VALUE"""),"Salamandrith Cultist")</f>
        <v>Salamandrith Cultist</v>
      </c>
      <c r="B478" s="1">
        <f>IFERROR(__xludf.DUMMYFUNCTION("""COMPUTED_VALUE"""),100.0)</f>
        <v>100</v>
      </c>
      <c r="C478" s="1"/>
      <c r="D478" s="1"/>
      <c r="E478" s="1"/>
      <c r="F478" s="1"/>
      <c r="G478" s="1">
        <f>IFERROR(__xludf.DUMMYFUNCTION("""COMPUTED_VALUE"""),100.0)</f>
        <v>100</v>
      </c>
      <c r="H478" s="1"/>
      <c r="I478" s="1"/>
      <c r="J478" s="1"/>
      <c r="K478" s="1">
        <f>IFERROR(__xludf.DUMMYFUNCTION("""COMPUTED_VALUE"""),100.0)</f>
        <v>100</v>
      </c>
      <c r="L478" s="1"/>
      <c r="M478" s="1"/>
      <c r="N478" s="1"/>
      <c r="O478" s="1"/>
      <c r="P478" s="1"/>
      <c r="Q478" s="1"/>
      <c r="R478" s="1"/>
      <c r="S478" s="1"/>
      <c r="T478" s="1"/>
      <c r="U478" s="1"/>
      <c r="V478" s="1"/>
      <c r="W478" s="1"/>
      <c r="X478" s="1" t="str">
        <f>IFERROR(__xludf.DUMMYFUNCTION("""COMPUTED_VALUE"""),"Immune")</f>
        <v>Immune</v>
      </c>
      <c r="Y478" s="1"/>
      <c r="Z478" s="1"/>
      <c r="AA478" s="1"/>
      <c r="AB478" s="1"/>
      <c r="AC478" s="1"/>
      <c r="AD478" s="1"/>
      <c r="AE478" s="1"/>
      <c r="AF478" s="1"/>
      <c r="AG478" s="1"/>
      <c r="AH478" s="1"/>
      <c r="AI478" s="1"/>
      <c r="AJ478" s="1"/>
      <c r="AK478" s="1"/>
      <c r="AL478" s="1"/>
    </row>
    <row r="479">
      <c r="A479" s="1" t="str">
        <f>IFERROR(__xludf.DUMMYFUNCTION("""COMPUTED_VALUE"""),"Salamandrith Shaman")</f>
        <v>Salamandrith Shaman</v>
      </c>
      <c r="B479" s="1">
        <f>IFERROR(__xludf.DUMMYFUNCTION("""COMPUTED_VALUE"""),100.0)</f>
        <v>100</v>
      </c>
      <c r="C479" s="1"/>
      <c r="D479" s="1"/>
      <c r="E479" s="1"/>
      <c r="F479" s="1"/>
      <c r="G479" s="1"/>
      <c r="H479" s="1"/>
      <c r="I479" s="1"/>
      <c r="J479" s="1"/>
      <c r="K479" s="1">
        <f>IFERROR(__xludf.DUMMYFUNCTION("""COMPUTED_VALUE"""),100.0)</f>
        <v>100</v>
      </c>
      <c r="L479" s="1"/>
      <c r="M479" s="1"/>
      <c r="N479" s="1"/>
      <c r="O479" s="1"/>
      <c r="P479" s="1"/>
      <c r="Q479" s="1">
        <f>IFERROR(__xludf.DUMMYFUNCTION("""COMPUTED_VALUE"""),100.0)</f>
        <v>100</v>
      </c>
      <c r="R479" s="1"/>
      <c r="S479" s="1"/>
      <c r="T479" s="1"/>
      <c r="U479" s="1"/>
      <c r="V479" s="1"/>
      <c r="W479" s="1"/>
      <c r="X479" s="1"/>
      <c r="Y479" s="1"/>
      <c r="Z479" s="1"/>
      <c r="AA479" s="1"/>
      <c r="AB479" s="1"/>
      <c r="AC479" s="1"/>
      <c r="AD479" s="1"/>
      <c r="AE479" s="1"/>
      <c r="AF479" s="1"/>
      <c r="AG479" s="1"/>
      <c r="AH479" s="1"/>
      <c r="AI479" s="1"/>
      <c r="AJ479" s="1"/>
      <c r="AK479" s="1"/>
      <c r="AL479" s="1"/>
    </row>
    <row r="480">
      <c r="A480" s="1" t="str">
        <f>IFERROR(__xludf.DUMMYFUNCTION("""COMPUTED_VALUE"""),"Geckorian Wandering Sword")</f>
        <v>Geckorian Wandering Sword</v>
      </c>
      <c r="B480" s="1"/>
      <c r="C480" s="1"/>
      <c r="D480" s="1"/>
      <c r="E480" s="1"/>
      <c r="F480" s="1">
        <f>IFERROR(__xludf.DUMMYFUNCTION("""COMPUTED_VALUE"""),100.0)</f>
        <v>100</v>
      </c>
      <c r="G480" s="1"/>
      <c r="H480" s="1"/>
      <c r="I480" s="1"/>
      <c r="J480" s="1"/>
      <c r="K480" s="1"/>
      <c r="L480" s="1"/>
      <c r="M480" s="1"/>
      <c r="N480" s="1"/>
      <c r="O480" s="1"/>
      <c r="P480" s="1"/>
      <c r="Q480" s="1"/>
      <c r="R480" s="1"/>
      <c r="S480" s="1"/>
      <c r="T480" s="1">
        <f>IFERROR(__xludf.DUMMYFUNCTION("""COMPUTED_VALUE"""),100.0)</f>
        <v>100</v>
      </c>
      <c r="U480" s="1"/>
      <c r="V480" s="1"/>
      <c r="W480" s="1"/>
      <c r="X480" s="1"/>
      <c r="Y480" s="1"/>
      <c r="Z480" s="1"/>
      <c r="AA480" s="1"/>
      <c r="AB480" s="1"/>
      <c r="AC480" s="1"/>
      <c r="AD480" s="1"/>
      <c r="AE480" s="1"/>
      <c r="AF480" s="1"/>
      <c r="AG480" s="1"/>
      <c r="AH480" s="1"/>
      <c r="AI480" s="1"/>
      <c r="AJ480" s="1"/>
      <c r="AK480" s="1"/>
      <c r="AL480" s="1"/>
    </row>
    <row r="481">
      <c r="A481" s="1" t="str">
        <f>IFERROR(__xludf.DUMMYFUNCTION("""COMPUTED_VALUE"""),"Geckorian Minstrel")</f>
        <v>Geckorian Minstrel</v>
      </c>
      <c r="B481" s="1"/>
      <c r="C481" s="1"/>
      <c r="D481" s="1"/>
      <c r="E481" s="1"/>
      <c r="F481" s="1">
        <f>IFERROR(__xludf.DUMMYFUNCTION("""COMPUTED_VALUE"""),100.0)</f>
        <v>100</v>
      </c>
      <c r="G481" s="1"/>
      <c r="H481" s="1"/>
      <c r="I481" s="1"/>
      <c r="J481" s="1"/>
      <c r="K481" s="1"/>
      <c r="L481" s="1"/>
      <c r="M481" s="1"/>
      <c r="N481" s="1"/>
      <c r="O481" s="1"/>
      <c r="P481" s="1"/>
      <c r="Q481" s="1"/>
      <c r="R481" s="1"/>
      <c r="S481" s="1"/>
      <c r="T481" s="1"/>
      <c r="U481" s="1"/>
      <c r="V481" s="1"/>
      <c r="W481" s="1"/>
      <c r="X481" s="1"/>
      <c r="Y481" s="1"/>
      <c r="Z481" s="1"/>
      <c r="AA481" s="1"/>
      <c r="AB481" s="1"/>
      <c r="AC481" s="1">
        <f>IFERROR(__xludf.DUMMYFUNCTION("""COMPUTED_VALUE"""),100.0)</f>
        <v>100</v>
      </c>
      <c r="AD481" s="1"/>
      <c r="AE481" s="1"/>
      <c r="AF481" s="1"/>
      <c r="AG481" s="1"/>
      <c r="AH481" s="1"/>
      <c r="AI481" s="1"/>
      <c r="AJ481" s="1"/>
      <c r="AK481" s="1"/>
      <c r="AL481" s="1"/>
    </row>
    <row r="482">
      <c r="A482" s="1" t="str">
        <f>IFERROR(__xludf.DUMMYFUNCTION("""COMPUTED_VALUE"""),"Geckorian Warden")</f>
        <v>Geckorian Warden</v>
      </c>
      <c r="B482" s="1"/>
      <c r="C482" s="1"/>
      <c r="D482" s="1"/>
      <c r="E482" s="1"/>
      <c r="F482" s="1">
        <f>IFERROR(__xludf.DUMMYFUNCTION("""COMPUTED_VALUE"""),100.0)</f>
        <v>100</v>
      </c>
      <c r="G482" s="1"/>
      <c r="H482" s="1"/>
      <c r="I482" s="1">
        <f>IFERROR(__xludf.DUMMYFUNCTION("""COMPUTED_VALUE"""),100.0)</f>
        <v>100</v>
      </c>
      <c r="J482" s="1"/>
      <c r="K482" s="1"/>
      <c r="L482" s="1">
        <f>IFERROR(__xludf.DUMMYFUNCTION("""COMPUTED_VALUE"""),100.0)</f>
        <v>100</v>
      </c>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row>
    <row r="483">
      <c r="A483" s="1" t="str">
        <f>IFERROR(__xludf.DUMMYFUNCTION("""COMPUTED_VALUE"""),"Chameldrian Infiltrator")</f>
        <v>Chameldrian Infiltrator</v>
      </c>
      <c r="B483" s="1"/>
      <c r="C483" s="1"/>
      <c r="D483" s="1"/>
      <c r="E483" s="1"/>
      <c r="F483" s="1"/>
      <c r="G483" s="1"/>
      <c r="H483" s="1"/>
      <c r="I483" s="1"/>
      <c r="J483" s="1"/>
      <c r="K483" s="1"/>
      <c r="L483" s="1">
        <f>IFERROR(__xludf.DUMMYFUNCTION("""COMPUTED_VALUE"""),100.0)</f>
        <v>100</v>
      </c>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row>
    <row r="484">
      <c r="A484" s="1" t="str">
        <f>IFERROR(__xludf.DUMMYFUNCTION("""COMPUTED_VALUE"""),"Chameldrian Druid")</f>
        <v>Chameldrian Druid</v>
      </c>
      <c r="B484" s="1"/>
      <c r="C484" s="1"/>
      <c r="D484" s="1"/>
      <c r="E484" s="1"/>
      <c r="F484" s="1"/>
      <c r="G484" s="1"/>
      <c r="H484" s="1"/>
      <c r="I484" s="1"/>
      <c r="J484" s="1"/>
      <c r="K484" s="1">
        <f>IFERROR(__xludf.DUMMYFUNCTION("""COMPUTED_VALUE"""),100.0)</f>
        <v>100</v>
      </c>
      <c r="L484" s="1">
        <f>IFERROR(__xludf.DUMMYFUNCTION("""COMPUTED_VALUE"""),100.0)</f>
        <v>100</v>
      </c>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row>
    <row r="485">
      <c r="A485" s="1" t="str">
        <f>IFERROR(__xludf.DUMMYFUNCTION("""COMPUTED_VALUE"""),"Chameldrian Berserker")</f>
        <v>Chameldrian Berserker</v>
      </c>
      <c r="B485" s="1"/>
      <c r="C485" s="1"/>
      <c r="D485" s="1"/>
      <c r="E485" s="1"/>
      <c r="F485" s="1"/>
      <c r="G485" s="1"/>
      <c r="H485" s="1"/>
      <c r="I485" s="1"/>
      <c r="J485" s="1"/>
      <c r="K485" s="1"/>
      <c r="L485" s="1">
        <f>IFERROR(__xludf.DUMMYFUNCTION("""COMPUTED_VALUE"""),100.0)</f>
        <v>100</v>
      </c>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row>
    <row r="486">
      <c r="A486" s="1" t="str">
        <f>IFERROR(__xludf.DUMMYFUNCTION("""COMPUTED_VALUE"""),"Ancient Wood Dragon")</f>
        <v>Ancient Wood Dragon</v>
      </c>
      <c r="B486" s="1"/>
      <c r="C486" s="1">
        <f>IFERROR(__xludf.DUMMYFUNCTION("""COMPUTED_VALUE"""),100.0)</f>
        <v>100</v>
      </c>
      <c r="D486" s="1"/>
      <c r="E486" s="1"/>
      <c r="F486" s="1"/>
      <c r="G486" s="1"/>
      <c r="H486" s="1"/>
      <c r="I486" s="1"/>
      <c r="J486" s="1"/>
      <c r="K486" s="1" t="str">
        <f>IFERROR(__xludf.DUMMYFUNCTION("""COMPUTED_VALUE"""),"Immune")</f>
        <v>Immune</v>
      </c>
      <c r="L486" s="1"/>
      <c r="M486" s="1"/>
      <c r="N486" s="1"/>
      <c r="O486" s="1"/>
      <c r="P486" s="1"/>
      <c r="Q486" s="1"/>
      <c r="R486" s="1"/>
      <c r="S486" s="1"/>
      <c r="T486" s="1"/>
      <c r="U486" s="1"/>
      <c r="V486" s="1"/>
      <c r="W486" s="1"/>
      <c r="X486" s="1" t="str">
        <f>IFERROR(__xludf.DUMMYFUNCTION("""COMPUTED_VALUE"""),"Immune")</f>
        <v>Immune</v>
      </c>
      <c r="Y486" s="1" t="str">
        <f>IFERROR(__xludf.DUMMYFUNCTION("""COMPUTED_VALUE"""),"Immune")</f>
        <v>Immune</v>
      </c>
      <c r="Z486" s="1"/>
      <c r="AA486" s="1" t="str">
        <f>IFERROR(__xludf.DUMMYFUNCTION("""COMPUTED_VALUE"""),"Immune")</f>
        <v>Immune</v>
      </c>
      <c r="AB486" s="1"/>
      <c r="AC486" s="1"/>
      <c r="AD486" s="1"/>
      <c r="AE486" s="1"/>
      <c r="AF486" s="1"/>
      <c r="AG486" s="1"/>
      <c r="AH486" s="1"/>
      <c r="AI486" s="1"/>
      <c r="AJ486" s="1"/>
      <c r="AK486" s="1"/>
      <c r="AL486" s="1"/>
    </row>
    <row r="487">
      <c r="A487" s="1" t="str">
        <f>IFERROR(__xludf.DUMMYFUNCTION("""COMPUTED_VALUE"""),"Nature Elemental")</f>
        <v>Nature Elemental</v>
      </c>
      <c r="B487" s="1"/>
      <c r="C487" s="1" t="str">
        <f>IFERROR(__xludf.DUMMYFUNCTION("""COMPUTED_VALUE"""),"Immune")</f>
        <v>Immune</v>
      </c>
      <c r="D487" s="1"/>
      <c r="E487" s="1"/>
      <c r="F487" s="1"/>
      <c r="G487" s="1"/>
      <c r="H487" s="1"/>
      <c r="I487" s="1"/>
      <c r="J487" s="1"/>
      <c r="K487" s="1" t="str">
        <f>IFERROR(__xludf.DUMMYFUNCTION("""COMPUTED_VALUE"""),"Immune")</f>
        <v>Immune</v>
      </c>
      <c r="L487" s="1"/>
      <c r="M487" s="1"/>
      <c r="N487" s="1"/>
      <c r="O487" s="1"/>
      <c r="P487" s="1"/>
      <c r="Q487" s="1"/>
      <c r="R487" s="1" t="str">
        <f>IFERROR(__xludf.DUMMYFUNCTION("""COMPUTED_VALUE"""),"Immune")</f>
        <v>Immune</v>
      </c>
      <c r="S487" s="1"/>
      <c r="T487" s="1"/>
      <c r="U487" s="1"/>
      <c r="V487" s="1"/>
      <c r="W487" s="1"/>
      <c r="X487" s="1" t="str">
        <f>IFERROR(__xludf.DUMMYFUNCTION("""COMPUTED_VALUE"""),"Immune")</f>
        <v>Immune</v>
      </c>
      <c r="Y487" s="1"/>
      <c r="Z487" s="1"/>
      <c r="AA487" s="1" t="str">
        <f>IFERROR(__xludf.DUMMYFUNCTION("""COMPUTED_VALUE"""),"Immune")</f>
        <v>Immune</v>
      </c>
      <c r="AB487" s="1"/>
      <c r="AC487" s="1"/>
      <c r="AD487" s="1"/>
      <c r="AE487" s="1"/>
      <c r="AF487" s="1"/>
      <c r="AG487" s="1"/>
      <c r="AH487" s="1"/>
      <c r="AI487" s="1"/>
      <c r="AJ487" s="1"/>
      <c r="AK487" s="1"/>
      <c r="AL487" s="1"/>
    </row>
    <row r="488">
      <c r="A488" s="1" t="str">
        <f>IFERROR(__xludf.DUMMYFUNCTION("""COMPUTED_VALUE"""),"Forest Elemental")</f>
        <v>Forest Elemental</v>
      </c>
      <c r="B488" s="1"/>
      <c r="C488" s="1" t="str">
        <f>IFERROR(__xludf.DUMMYFUNCTION("""COMPUTED_VALUE"""),"Immune")</f>
        <v>Immune</v>
      </c>
      <c r="D488" s="1"/>
      <c r="E488" s="1"/>
      <c r="F488" s="1"/>
      <c r="G488" s="1"/>
      <c r="H488" s="1"/>
      <c r="I488" s="1"/>
      <c r="J488" s="1"/>
      <c r="K488" s="1" t="str">
        <f>IFERROR(__xludf.DUMMYFUNCTION("""COMPUTED_VALUE"""),"Immune")</f>
        <v>Immune</v>
      </c>
      <c r="L488" s="1"/>
      <c r="M488" s="1"/>
      <c r="N488" s="1"/>
      <c r="O488" s="1"/>
      <c r="P488" s="1"/>
      <c r="Q488" s="1"/>
      <c r="R488" s="1" t="str">
        <f>IFERROR(__xludf.DUMMYFUNCTION("""COMPUTED_VALUE"""),"Immune")</f>
        <v>Immune</v>
      </c>
      <c r="S488" s="1"/>
      <c r="T488" s="1"/>
      <c r="U488" s="1"/>
      <c r="V488" s="1"/>
      <c r="W488" s="1"/>
      <c r="X488" s="1" t="str">
        <f>IFERROR(__xludf.DUMMYFUNCTION("""COMPUTED_VALUE"""),"Immune")</f>
        <v>Immune</v>
      </c>
      <c r="Y488" s="1"/>
      <c r="Z488" s="1"/>
      <c r="AA488" s="1" t="str">
        <f>IFERROR(__xludf.DUMMYFUNCTION("""COMPUTED_VALUE"""),"Immune")</f>
        <v>Immune</v>
      </c>
      <c r="AB488" s="1"/>
      <c r="AC488" s="1"/>
      <c r="AD488" s="1"/>
      <c r="AE488" s="1"/>
      <c r="AF488" s="1"/>
      <c r="AG488" s="1"/>
      <c r="AH488" s="1"/>
      <c r="AI488" s="1"/>
      <c r="AJ488" s="1"/>
      <c r="AK488" s="1"/>
      <c r="AL488" s="1"/>
    </row>
    <row r="489">
      <c r="A489" s="1" t="str">
        <f>IFERROR(__xludf.DUMMYFUNCTION("""COMPUTED_VALUE"""),"Ancient Nature Elemental")</f>
        <v>Ancient Nature Elemental</v>
      </c>
      <c r="B489" s="1"/>
      <c r="C489" s="1" t="str">
        <f>IFERROR(__xludf.DUMMYFUNCTION("""COMPUTED_VALUE"""),"Immune")</f>
        <v>Immune</v>
      </c>
      <c r="D489" s="1"/>
      <c r="E489" s="1"/>
      <c r="F489" s="1"/>
      <c r="G489" s="1"/>
      <c r="H489" s="1"/>
      <c r="I489" s="1"/>
      <c r="J489" s="1"/>
      <c r="K489" s="1" t="str">
        <f>IFERROR(__xludf.DUMMYFUNCTION("""COMPUTED_VALUE"""),"Immune")</f>
        <v>Immune</v>
      </c>
      <c r="L489" s="1"/>
      <c r="M489" s="1"/>
      <c r="N489" s="1"/>
      <c r="O489" s="1"/>
      <c r="P489" s="1"/>
      <c r="Q489" s="1"/>
      <c r="R489" s="1" t="str">
        <f>IFERROR(__xludf.DUMMYFUNCTION("""COMPUTED_VALUE"""),"Immune")</f>
        <v>Immune</v>
      </c>
      <c r="S489" s="1"/>
      <c r="T489" s="1"/>
      <c r="U489" s="1"/>
      <c r="V489" s="1"/>
      <c r="W489" s="1"/>
      <c r="X489" s="1" t="str">
        <f>IFERROR(__xludf.DUMMYFUNCTION("""COMPUTED_VALUE"""),"Immune")</f>
        <v>Immune</v>
      </c>
      <c r="Y489" s="1" t="str">
        <f>IFERROR(__xludf.DUMMYFUNCTION("""COMPUTED_VALUE"""),"Immune")</f>
        <v>Immune</v>
      </c>
      <c r="Z489" s="1"/>
      <c r="AA489" s="1" t="str">
        <f>IFERROR(__xludf.DUMMYFUNCTION("""COMPUTED_VALUE"""),"Immune")</f>
        <v>Immune</v>
      </c>
      <c r="AB489" s="1"/>
      <c r="AC489" s="1"/>
      <c r="AD489" s="1"/>
      <c r="AE489" s="1"/>
      <c r="AF489" s="1"/>
      <c r="AG489" s="1"/>
      <c r="AH489" s="1"/>
      <c r="AI489" s="1"/>
      <c r="AJ489" s="1"/>
      <c r="AK489" s="1"/>
      <c r="AL489" s="1"/>
    </row>
    <row r="490">
      <c r="A490" s="1" t="str">
        <f>IFERROR(__xludf.DUMMYFUNCTION("""COMPUTED_VALUE"""),"Earth Elemental")</f>
        <v>Earth Elemental</v>
      </c>
      <c r="B490" s="1" t="str">
        <f>IFERROR(__xludf.DUMMYFUNCTION("""COMPUTED_VALUE"""),"Immune")</f>
        <v>Immune</v>
      </c>
      <c r="C490" s="1"/>
      <c r="D490" s="1"/>
      <c r="E490" s="1"/>
      <c r="F490" s="1"/>
      <c r="G490" s="1"/>
      <c r="H490" s="1"/>
      <c r="I490" s="1"/>
      <c r="J490" s="1"/>
      <c r="K490" s="1"/>
      <c r="L490" s="1"/>
      <c r="M490" s="1"/>
      <c r="N490" s="1"/>
      <c r="O490" s="1"/>
      <c r="P490" s="1"/>
      <c r="Q490" s="1"/>
      <c r="R490" s="1" t="str">
        <f>IFERROR(__xludf.DUMMYFUNCTION("""COMPUTED_VALUE"""),"Immune")</f>
        <v>Immune</v>
      </c>
      <c r="S490" s="1"/>
      <c r="T490" s="1"/>
      <c r="U490" s="1"/>
      <c r="V490" s="1"/>
      <c r="W490" s="1"/>
      <c r="X490" s="1" t="str">
        <f>IFERROR(__xludf.DUMMYFUNCTION("""COMPUTED_VALUE"""),"Immune")</f>
        <v>Immune</v>
      </c>
      <c r="Y490" s="1"/>
      <c r="Z490" s="1"/>
      <c r="AA490" s="1" t="str">
        <f>IFERROR(__xludf.DUMMYFUNCTION("""COMPUTED_VALUE"""),"Immune")</f>
        <v>Immune</v>
      </c>
      <c r="AB490" s="1"/>
      <c r="AC490" s="1"/>
      <c r="AD490" s="1"/>
      <c r="AE490" s="1"/>
      <c r="AF490" s="1"/>
      <c r="AG490" s="1"/>
      <c r="AH490" s="1"/>
      <c r="AI490" s="1"/>
      <c r="AJ490" s="1"/>
      <c r="AK490" s="1"/>
      <c r="AL490" s="1"/>
    </row>
    <row r="491">
      <c r="A491" s="1" t="str">
        <f>IFERROR(__xludf.DUMMYFUNCTION("""COMPUTED_VALUE"""),"Mountain Elemental")</f>
        <v>Mountain Elemental</v>
      </c>
      <c r="B491" s="1" t="str">
        <f>IFERROR(__xludf.DUMMYFUNCTION("""COMPUTED_VALUE"""),"Immune")</f>
        <v>Immune</v>
      </c>
      <c r="C491" s="1"/>
      <c r="D491" s="1"/>
      <c r="E491" s="1"/>
      <c r="F491" s="1"/>
      <c r="G491" s="1"/>
      <c r="H491" s="1"/>
      <c r="I491" s="1"/>
      <c r="J491" s="1"/>
      <c r="K491" s="1"/>
      <c r="L491" s="1"/>
      <c r="M491" s="1"/>
      <c r="N491" s="1"/>
      <c r="O491" s="1"/>
      <c r="P491" s="1"/>
      <c r="Q491" s="1"/>
      <c r="R491" s="1" t="str">
        <f>IFERROR(__xludf.DUMMYFUNCTION("""COMPUTED_VALUE"""),"Immune")</f>
        <v>Immune</v>
      </c>
      <c r="S491" s="1"/>
      <c r="T491" s="1"/>
      <c r="U491" s="1"/>
      <c r="V491" s="1"/>
      <c r="W491" s="1"/>
      <c r="X491" s="1" t="str">
        <f>IFERROR(__xludf.DUMMYFUNCTION("""COMPUTED_VALUE"""),"Immune")</f>
        <v>Immune</v>
      </c>
      <c r="Y491" s="1"/>
      <c r="Z491" s="1"/>
      <c r="AA491" s="1" t="str">
        <f>IFERROR(__xludf.DUMMYFUNCTION("""COMPUTED_VALUE"""),"Immune")</f>
        <v>Immune</v>
      </c>
      <c r="AB491" s="1"/>
      <c r="AC491" s="1"/>
      <c r="AD491" s="1"/>
      <c r="AE491" s="1"/>
      <c r="AF491" s="1"/>
      <c r="AG491" s="1"/>
      <c r="AH491" s="1"/>
      <c r="AI491" s="1"/>
      <c r="AJ491" s="1"/>
      <c r="AK491" s="1"/>
      <c r="AL491" s="1"/>
    </row>
    <row r="492">
      <c r="A492" s="1" t="str">
        <f>IFERROR(__xludf.DUMMYFUNCTION("""COMPUTED_VALUE"""),"Ancient Earth Elemental")</f>
        <v>Ancient Earth Elemental</v>
      </c>
      <c r="B492" s="1" t="str">
        <f>IFERROR(__xludf.DUMMYFUNCTION("""COMPUTED_VALUE"""),"Immune")</f>
        <v>Immune</v>
      </c>
      <c r="C492" s="1"/>
      <c r="D492" s="1"/>
      <c r="E492" s="1"/>
      <c r="F492" s="1"/>
      <c r="G492" s="1"/>
      <c r="H492" s="1"/>
      <c r="I492" s="1"/>
      <c r="J492" s="1"/>
      <c r="K492" s="1"/>
      <c r="L492" s="1"/>
      <c r="M492" s="1"/>
      <c r="N492" s="1"/>
      <c r="O492" s="1"/>
      <c r="P492" s="1"/>
      <c r="Q492" s="1"/>
      <c r="R492" s="1" t="str">
        <f>IFERROR(__xludf.DUMMYFUNCTION("""COMPUTED_VALUE"""),"Immune")</f>
        <v>Immune</v>
      </c>
      <c r="S492" s="1"/>
      <c r="T492" s="1"/>
      <c r="U492" s="1"/>
      <c r="V492" s="1"/>
      <c r="W492" s="1"/>
      <c r="X492" s="1" t="str">
        <f>IFERROR(__xludf.DUMMYFUNCTION("""COMPUTED_VALUE"""),"Immune")</f>
        <v>Immune</v>
      </c>
      <c r="Y492" s="1" t="str">
        <f>IFERROR(__xludf.DUMMYFUNCTION("""COMPUTED_VALUE"""),"Immune")</f>
        <v>Immune</v>
      </c>
      <c r="Z492" s="1"/>
      <c r="AA492" s="1" t="str">
        <f>IFERROR(__xludf.DUMMYFUNCTION("""COMPUTED_VALUE"""),"Immune")</f>
        <v>Immune</v>
      </c>
      <c r="AB492" s="1"/>
      <c r="AC492" s="1"/>
      <c r="AD492" s="1"/>
      <c r="AE492" s="1"/>
      <c r="AF492" s="1"/>
      <c r="AG492" s="1"/>
      <c r="AH492" s="1"/>
      <c r="AI492" s="1"/>
      <c r="AJ492" s="1"/>
      <c r="AK492" s="1"/>
      <c r="AL492" s="1"/>
    </row>
    <row r="493">
      <c r="A493" s="1" t="str">
        <f>IFERROR(__xludf.DUMMYFUNCTION("""COMPUTED_VALUE"""),"Storm Elemental")</f>
        <v>Storm Elemental</v>
      </c>
      <c r="B493" s="1"/>
      <c r="C493" s="1"/>
      <c r="D493" s="1" t="str">
        <f>IFERROR(__xludf.DUMMYFUNCTION("""COMPUTED_VALUE"""),"Immune")</f>
        <v>Immune</v>
      </c>
      <c r="E493" s="1" t="str">
        <f>IFERROR(__xludf.DUMMYFUNCTION("""COMPUTED_VALUE"""),"Immune")</f>
        <v>Immune</v>
      </c>
      <c r="F493" s="1"/>
      <c r="G493" s="1"/>
      <c r="H493" s="1"/>
      <c r="I493" s="1"/>
      <c r="J493" s="1"/>
      <c r="K493" s="1" t="str">
        <f>IFERROR(__xludf.DUMMYFUNCTION("""COMPUTED_VALUE"""),"Immune")</f>
        <v>Immune</v>
      </c>
      <c r="L493" s="1"/>
      <c r="M493" s="1"/>
      <c r="N493" s="1"/>
      <c r="O493" s="1"/>
      <c r="P493" s="1"/>
      <c r="Q493" s="1"/>
      <c r="R493" s="1" t="str">
        <f>IFERROR(__xludf.DUMMYFUNCTION("""COMPUTED_VALUE"""),"Immune")</f>
        <v>Immune</v>
      </c>
      <c r="S493" s="1"/>
      <c r="T493" s="1"/>
      <c r="U493" s="1"/>
      <c r="V493" s="1"/>
      <c r="W493" s="1"/>
      <c r="X493" s="1" t="str">
        <f>IFERROR(__xludf.DUMMYFUNCTION("""COMPUTED_VALUE"""),"Immune")</f>
        <v>Immune</v>
      </c>
      <c r="Y493" s="1"/>
      <c r="Z493" s="1"/>
      <c r="AA493" s="1" t="str">
        <f>IFERROR(__xludf.DUMMYFUNCTION("""COMPUTED_VALUE"""),"Immune")</f>
        <v>Immune</v>
      </c>
      <c r="AB493" s="1"/>
      <c r="AC493" s="1"/>
      <c r="AD493" s="1"/>
      <c r="AE493" s="1"/>
      <c r="AF493" s="1"/>
      <c r="AG493" s="1"/>
      <c r="AH493" s="1"/>
      <c r="AI493" s="1"/>
      <c r="AJ493" s="1"/>
      <c r="AK493" s="1"/>
      <c r="AL493" s="1"/>
    </row>
    <row r="494">
      <c r="A494" s="1" t="str">
        <f>IFERROR(__xludf.DUMMYFUNCTION("""COMPUTED_VALUE"""),"Lightning Elemental")</f>
        <v>Lightning Elemental</v>
      </c>
      <c r="B494" s="1"/>
      <c r="C494" s="1"/>
      <c r="D494" s="1" t="str">
        <f>IFERROR(__xludf.DUMMYFUNCTION("""COMPUTED_VALUE"""),"Immune")</f>
        <v>Immune</v>
      </c>
      <c r="E494" s="1" t="str">
        <f>IFERROR(__xludf.DUMMYFUNCTION("""COMPUTED_VALUE"""),"Immune")</f>
        <v>Immune</v>
      </c>
      <c r="F494" s="1"/>
      <c r="G494" s="1"/>
      <c r="H494" s="1"/>
      <c r="I494" s="1"/>
      <c r="J494" s="1"/>
      <c r="K494" s="1" t="str">
        <f>IFERROR(__xludf.DUMMYFUNCTION("""COMPUTED_VALUE"""),"Immune")</f>
        <v>Immune</v>
      </c>
      <c r="L494" s="1"/>
      <c r="M494" s="1"/>
      <c r="N494" s="1"/>
      <c r="O494" s="1"/>
      <c r="P494" s="1"/>
      <c r="Q494" s="1"/>
      <c r="R494" s="1" t="str">
        <f>IFERROR(__xludf.DUMMYFUNCTION("""COMPUTED_VALUE"""),"Immune")</f>
        <v>Immune</v>
      </c>
      <c r="S494" s="1"/>
      <c r="T494" s="1"/>
      <c r="U494" s="1"/>
      <c r="V494" s="1"/>
      <c r="W494" s="1"/>
      <c r="X494" s="1" t="str">
        <f>IFERROR(__xludf.DUMMYFUNCTION("""COMPUTED_VALUE"""),"Immune")</f>
        <v>Immune</v>
      </c>
      <c r="Y494" s="1"/>
      <c r="Z494" s="1"/>
      <c r="AA494" s="1" t="str">
        <f>IFERROR(__xludf.DUMMYFUNCTION("""COMPUTED_VALUE"""),"Immune")</f>
        <v>Immune</v>
      </c>
      <c r="AB494" s="1"/>
      <c r="AC494" s="1"/>
      <c r="AD494" s="1"/>
      <c r="AE494" s="1"/>
      <c r="AF494" s="1"/>
      <c r="AG494" s="1"/>
      <c r="AH494" s="1"/>
      <c r="AI494" s="1"/>
      <c r="AJ494" s="1"/>
      <c r="AK494" s="1"/>
      <c r="AL494" s="1"/>
    </row>
    <row r="495">
      <c r="A495" s="1" t="str">
        <f>IFERROR(__xludf.DUMMYFUNCTION("""COMPUTED_VALUE"""),"Ancient Storm Elemental")</f>
        <v>Ancient Storm Elemental</v>
      </c>
      <c r="B495" s="1"/>
      <c r="C495" s="1"/>
      <c r="D495" s="1" t="str">
        <f>IFERROR(__xludf.DUMMYFUNCTION("""COMPUTED_VALUE"""),"Immune")</f>
        <v>Immune</v>
      </c>
      <c r="E495" s="1" t="str">
        <f>IFERROR(__xludf.DUMMYFUNCTION("""COMPUTED_VALUE"""),"Immune")</f>
        <v>Immune</v>
      </c>
      <c r="F495" s="1"/>
      <c r="G495" s="1"/>
      <c r="H495" s="1"/>
      <c r="I495" s="1"/>
      <c r="J495" s="1"/>
      <c r="K495" s="1" t="str">
        <f>IFERROR(__xludf.DUMMYFUNCTION("""COMPUTED_VALUE"""),"Immune")</f>
        <v>Immune</v>
      </c>
      <c r="L495" s="1"/>
      <c r="M495" s="1"/>
      <c r="N495" s="1"/>
      <c r="O495" s="1"/>
      <c r="P495" s="1"/>
      <c r="Q495" s="1"/>
      <c r="R495" s="1" t="str">
        <f>IFERROR(__xludf.DUMMYFUNCTION("""COMPUTED_VALUE"""),"Immune")</f>
        <v>Immune</v>
      </c>
      <c r="S495" s="1"/>
      <c r="T495" s="1"/>
      <c r="U495" s="1"/>
      <c r="V495" s="1"/>
      <c r="W495" s="1"/>
      <c r="X495" s="1" t="str">
        <f>IFERROR(__xludf.DUMMYFUNCTION("""COMPUTED_VALUE"""),"Immune")</f>
        <v>Immune</v>
      </c>
      <c r="Y495" s="1" t="str">
        <f>IFERROR(__xludf.DUMMYFUNCTION("""COMPUTED_VALUE"""),"Immune")</f>
        <v>Immune</v>
      </c>
      <c r="Z495" s="1"/>
      <c r="AA495" s="1" t="str">
        <f>IFERROR(__xludf.DUMMYFUNCTION("""COMPUTED_VALUE"""),"Immune")</f>
        <v>Immune</v>
      </c>
      <c r="AB495" s="1"/>
      <c r="AC495" s="1"/>
      <c r="AD495" s="1"/>
      <c r="AE495" s="1"/>
      <c r="AF495" s="1"/>
      <c r="AG495" s="1"/>
      <c r="AH495" s="1"/>
      <c r="AI495" s="1"/>
      <c r="AJ495" s="1"/>
      <c r="AK495" s="1"/>
      <c r="AL495" s="1"/>
    </row>
    <row r="496">
      <c r="A496" s="1" t="str">
        <f>IFERROR(__xludf.DUMMYFUNCTION("""COMPUTED_VALUE"""),"Lathom, Ancient Penumbral Elemental of Insanity")</f>
        <v>Lathom, Ancient Penumbral Elemental of Insanity</v>
      </c>
      <c r="B496" s="1">
        <f>IFERROR(__xludf.DUMMYFUNCTION("""COMPUTED_VALUE"""),250.0)</f>
        <v>250</v>
      </c>
      <c r="C496" s="1">
        <f>IFERROR(__xludf.DUMMYFUNCTION("""COMPUTED_VALUE"""),250.0)</f>
        <v>250</v>
      </c>
      <c r="D496" s="1">
        <f>IFERROR(__xludf.DUMMYFUNCTION("""COMPUTED_VALUE"""),250.0)</f>
        <v>250</v>
      </c>
      <c r="E496" s="1">
        <f>IFERROR(__xludf.DUMMYFUNCTION("""COMPUTED_VALUE"""),250.0)</f>
        <v>250</v>
      </c>
      <c r="F496" s="1"/>
      <c r="G496" s="1" t="str">
        <f>IFERROR(__xludf.DUMMYFUNCTION("""COMPUTED_VALUE"""),"Immune")</f>
        <v>Immune</v>
      </c>
      <c r="H496" s="1"/>
      <c r="I496" s="1"/>
      <c r="J496" s="1" t="str">
        <f>IFERROR(__xludf.DUMMYFUNCTION("""COMPUTED_VALUE"""),"Immune")</f>
        <v>Immune</v>
      </c>
      <c r="K496" s="1">
        <f>IFERROR(__xludf.DUMMYFUNCTION("""COMPUTED_VALUE"""),250.0)</f>
        <v>250</v>
      </c>
      <c r="L496" s="1"/>
      <c r="M496" s="1"/>
      <c r="N496" s="1"/>
      <c r="O496" s="1"/>
      <c r="P496" s="1"/>
      <c r="Q496" s="1"/>
      <c r="R496" s="1" t="str">
        <f>IFERROR(__xludf.DUMMYFUNCTION("""COMPUTED_VALUE"""),"Immune")</f>
        <v>Immune</v>
      </c>
      <c r="S496" s="1"/>
      <c r="T496" s="1"/>
      <c r="U496" s="1"/>
      <c r="V496" s="1"/>
      <c r="W496" s="1"/>
      <c r="X496" s="1" t="str">
        <f>IFERROR(__xludf.DUMMYFUNCTION("""COMPUTED_VALUE"""),"Immune")</f>
        <v>Immune</v>
      </c>
      <c r="Y496" s="1" t="str">
        <f>IFERROR(__xludf.DUMMYFUNCTION("""COMPUTED_VALUE"""),"Immune")</f>
        <v>Immune</v>
      </c>
      <c r="Z496" s="1"/>
      <c r="AA496" s="1" t="str">
        <f>IFERROR(__xludf.DUMMYFUNCTION("""COMPUTED_VALUE"""),"Immune")</f>
        <v>Immune</v>
      </c>
      <c r="AB496" s="1"/>
      <c r="AC496" s="1"/>
      <c r="AD496" s="1"/>
      <c r="AE496" s="1"/>
      <c r="AF496" s="1"/>
      <c r="AG496" s="1"/>
      <c r="AH496" s="1"/>
      <c r="AI496" s="1"/>
      <c r="AJ496" s="1"/>
      <c r="AK496" s="1"/>
      <c r="AL496" s="1"/>
    </row>
    <row r="497">
      <c r="A497" s="1" t="str">
        <f>IFERROR(__xludf.DUMMYFUNCTION("""COMPUTED_VALUE"""),"Aspect of The First Dragon Keeper (Easy)")</f>
        <v>Aspect of The First Dragon Keeper (Easy)</v>
      </c>
      <c r="B497" s="1">
        <f>IFERROR(__xludf.DUMMYFUNCTION("""COMPUTED_VALUE"""),250.0)</f>
        <v>250</v>
      </c>
      <c r="C497" s="1">
        <f>IFERROR(__xludf.DUMMYFUNCTION("""COMPUTED_VALUE"""),250.0)</f>
        <v>250</v>
      </c>
      <c r="D497" s="1">
        <f>IFERROR(__xludf.DUMMYFUNCTION("""COMPUTED_VALUE"""),250.0)</f>
        <v>250</v>
      </c>
      <c r="E497" s="1">
        <f>IFERROR(__xludf.DUMMYFUNCTION("""COMPUTED_VALUE"""),250.0)</f>
        <v>250</v>
      </c>
      <c r="F497" s="1">
        <f>IFERROR(__xludf.DUMMYFUNCTION("""COMPUTED_VALUE"""),250.0)</f>
        <v>250</v>
      </c>
      <c r="G497" s="1">
        <f>IFERROR(__xludf.DUMMYFUNCTION("""COMPUTED_VALUE"""),250.0)</f>
        <v>250</v>
      </c>
      <c r="H497" s="1">
        <f>IFERROR(__xludf.DUMMYFUNCTION("""COMPUTED_VALUE"""),250.0)</f>
        <v>250</v>
      </c>
      <c r="I497" s="1">
        <f>IFERROR(__xludf.DUMMYFUNCTION("""COMPUTED_VALUE"""),250.0)</f>
        <v>250</v>
      </c>
      <c r="J497" s="1">
        <f>IFERROR(__xludf.DUMMYFUNCTION("""COMPUTED_VALUE"""),250.0)</f>
        <v>250</v>
      </c>
      <c r="K497" s="1">
        <f>IFERROR(__xludf.DUMMYFUNCTION("""COMPUTED_VALUE"""),250.0)</f>
        <v>250</v>
      </c>
      <c r="L497" s="1"/>
      <c r="M497" s="1"/>
      <c r="N497" s="1"/>
      <c r="O497" s="1">
        <f>IFERROR(__xludf.DUMMYFUNCTION("""COMPUTED_VALUE"""),250.0)</f>
        <v>250</v>
      </c>
      <c r="P497" s="1">
        <f>IFERROR(__xludf.DUMMYFUNCTION("""COMPUTED_VALUE"""),250.0)</f>
        <v>250</v>
      </c>
      <c r="Q497" s="1">
        <f>IFERROR(__xludf.DUMMYFUNCTION("""COMPUTED_VALUE"""),250.0)</f>
        <v>250</v>
      </c>
      <c r="R497" s="1">
        <f>IFERROR(__xludf.DUMMYFUNCTION("""COMPUTED_VALUE"""),250.0)</f>
        <v>250</v>
      </c>
      <c r="S497" s="1">
        <f>IFERROR(__xludf.DUMMYFUNCTION("""COMPUTED_VALUE"""),250.0)</f>
        <v>250</v>
      </c>
      <c r="T497" s="1">
        <f>IFERROR(__xludf.DUMMYFUNCTION("""COMPUTED_VALUE"""),250.0)</f>
        <v>250</v>
      </c>
      <c r="U497" s="1">
        <f>IFERROR(__xludf.DUMMYFUNCTION("""COMPUTED_VALUE"""),250.0)</f>
        <v>250</v>
      </c>
      <c r="V497" s="1">
        <f>IFERROR(__xludf.DUMMYFUNCTION("""COMPUTED_VALUE"""),250.0)</f>
        <v>250</v>
      </c>
      <c r="W497" s="1">
        <f>IFERROR(__xludf.DUMMYFUNCTION("""COMPUTED_VALUE"""),250.0)</f>
        <v>250</v>
      </c>
      <c r="X497" s="1" t="str">
        <f>IFERROR(__xludf.DUMMYFUNCTION("""COMPUTED_VALUE"""),"Immune")</f>
        <v>Immune</v>
      </c>
      <c r="Y497" s="1" t="str">
        <f>IFERROR(__xludf.DUMMYFUNCTION("""COMPUTED_VALUE"""),"Immune")</f>
        <v>Immune</v>
      </c>
      <c r="Z497" s="1"/>
      <c r="AA497" s="1" t="str">
        <f>IFERROR(__xludf.DUMMYFUNCTION("""COMPUTED_VALUE"""),"Immune")</f>
        <v>Immune</v>
      </c>
      <c r="AB497" s="1"/>
      <c r="AC497" s="1">
        <f>IFERROR(__xludf.DUMMYFUNCTION("""COMPUTED_VALUE"""),250.0)</f>
        <v>250</v>
      </c>
      <c r="AD497" s="1"/>
      <c r="AE497" s="1"/>
      <c r="AF497" s="1"/>
      <c r="AG497" s="1"/>
      <c r="AH497" s="1"/>
      <c r="AI497" s="1"/>
      <c r="AJ497" s="1"/>
      <c r="AK497" s="1"/>
      <c r="AL497" s="1"/>
    </row>
    <row r="498">
      <c r="A498" s="1" t="str">
        <f>IFERROR(__xludf.DUMMYFUNCTION("""COMPUTED_VALUE"""),"Aspect of The First Dragon Keeper (Medium)")</f>
        <v>Aspect of The First Dragon Keeper (Medium)</v>
      </c>
      <c r="B498" s="1">
        <f>IFERROR(__xludf.DUMMYFUNCTION("""COMPUTED_VALUE"""),500.0)</f>
        <v>500</v>
      </c>
      <c r="C498" s="1">
        <f>IFERROR(__xludf.DUMMYFUNCTION("""COMPUTED_VALUE"""),500.0)</f>
        <v>500</v>
      </c>
      <c r="D498" s="1">
        <f>IFERROR(__xludf.DUMMYFUNCTION("""COMPUTED_VALUE"""),500.0)</f>
        <v>500</v>
      </c>
      <c r="E498" s="1">
        <f>IFERROR(__xludf.DUMMYFUNCTION("""COMPUTED_VALUE"""),500.0)</f>
        <v>500</v>
      </c>
      <c r="F498" s="1">
        <f>IFERROR(__xludf.DUMMYFUNCTION("""COMPUTED_VALUE"""),500.0)</f>
        <v>500</v>
      </c>
      <c r="G498" s="1">
        <f>IFERROR(__xludf.DUMMYFUNCTION("""COMPUTED_VALUE"""),500.0)</f>
        <v>500</v>
      </c>
      <c r="H498" s="1">
        <f>IFERROR(__xludf.DUMMYFUNCTION("""COMPUTED_VALUE"""),500.0)</f>
        <v>500</v>
      </c>
      <c r="I498" s="1">
        <f>IFERROR(__xludf.DUMMYFUNCTION("""COMPUTED_VALUE"""),500.0)</f>
        <v>500</v>
      </c>
      <c r="J498" s="1">
        <f>IFERROR(__xludf.DUMMYFUNCTION("""COMPUTED_VALUE"""),500.0)</f>
        <v>500</v>
      </c>
      <c r="K498" s="1">
        <f>IFERROR(__xludf.DUMMYFUNCTION("""COMPUTED_VALUE"""),500.0)</f>
        <v>500</v>
      </c>
      <c r="L498" s="1"/>
      <c r="M498" s="1"/>
      <c r="N498" s="1"/>
      <c r="O498" s="1">
        <f>IFERROR(__xludf.DUMMYFUNCTION("""COMPUTED_VALUE"""),500.0)</f>
        <v>500</v>
      </c>
      <c r="P498" s="1">
        <f>IFERROR(__xludf.DUMMYFUNCTION("""COMPUTED_VALUE"""),500.0)</f>
        <v>500</v>
      </c>
      <c r="Q498" s="1">
        <f>IFERROR(__xludf.DUMMYFUNCTION("""COMPUTED_VALUE"""),500.0)</f>
        <v>500</v>
      </c>
      <c r="R498" s="1">
        <f>IFERROR(__xludf.DUMMYFUNCTION("""COMPUTED_VALUE"""),500.0)</f>
        <v>500</v>
      </c>
      <c r="S498" s="1">
        <f>IFERROR(__xludf.DUMMYFUNCTION("""COMPUTED_VALUE"""),500.0)</f>
        <v>500</v>
      </c>
      <c r="T498" s="1">
        <f>IFERROR(__xludf.DUMMYFUNCTION("""COMPUTED_VALUE"""),500.0)</f>
        <v>500</v>
      </c>
      <c r="U498" s="1">
        <f>IFERROR(__xludf.DUMMYFUNCTION("""COMPUTED_VALUE"""),500.0)</f>
        <v>500</v>
      </c>
      <c r="V498" s="1">
        <f>IFERROR(__xludf.DUMMYFUNCTION("""COMPUTED_VALUE"""),500.0)</f>
        <v>500</v>
      </c>
      <c r="W498" s="1">
        <f>IFERROR(__xludf.DUMMYFUNCTION("""COMPUTED_VALUE"""),500.0)</f>
        <v>500</v>
      </c>
      <c r="X498" s="1" t="str">
        <f>IFERROR(__xludf.DUMMYFUNCTION("""COMPUTED_VALUE"""),"Immune")</f>
        <v>Immune</v>
      </c>
      <c r="Y498" s="1" t="str">
        <f>IFERROR(__xludf.DUMMYFUNCTION("""COMPUTED_VALUE"""),"Immune")</f>
        <v>Immune</v>
      </c>
      <c r="Z498" s="1"/>
      <c r="AA498" s="1" t="str">
        <f>IFERROR(__xludf.DUMMYFUNCTION("""COMPUTED_VALUE"""),"Immune")</f>
        <v>Immune</v>
      </c>
      <c r="AB498" s="1"/>
      <c r="AC498" s="1">
        <f>IFERROR(__xludf.DUMMYFUNCTION("""COMPUTED_VALUE"""),500.0)</f>
        <v>500</v>
      </c>
      <c r="AD498" s="1"/>
      <c r="AE498" s="1"/>
      <c r="AF498" s="1"/>
      <c r="AG498" s="1"/>
      <c r="AH498" s="1"/>
      <c r="AI498" s="1"/>
      <c r="AJ498" s="1"/>
      <c r="AK498" s="1"/>
      <c r="AL498" s="1"/>
    </row>
    <row r="499">
      <c r="A499" s="1" t="str">
        <f>IFERROR(__xludf.DUMMYFUNCTION("""COMPUTED_VALUE"""),"Aspect of The First Dragon Keeper (Hard)")</f>
        <v>Aspect of The First Dragon Keeper (Hard)</v>
      </c>
      <c r="B499" s="1">
        <f>IFERROR(__xludf.DUMMYFUNCTION("""COMPUTED_VALUE"""),750.0)</f>
        <v>750</v>
      </c>
      <c r="C499" s="1">
        <f>IFERROR(__xludf.DUMMYFUNCTION("""COMPUTED_VALUE"""),750.0)</f>
        <v>750</v>
      </c>
      <c r="D499" s="1">
        <f>IFERROR(__xludf.DUMMYFUNCTION("""COMPUTED_VALUE"""),750.0)</f>
        <v>750</v>
      </c>
      <c r="E499" s="1">
        <f>IFERROR(__xludf.DUMMYFUNCTION("""COMPUTED_VALUE"""),750.0)</f>
        <v>750</v>
      </c>
      <c r="F499" s="1">
        <f>IFERROR(__xludf.DUMMYFUNCTION("""COMPUTED_VALUE"""),750.0)</f>
        <v>750</v>
      </c>
      <c r="G499" s="1">
        <f>IFERROR(__xludf.DUMMYFUNCTION("""COMPUTED_VALUE"""),750.0)</f>
        <v>750</v>
      </c>
      <c r="H499" s="1">
        <f>IFERROR(__xludf.DUMMYFUNCTION("""COMPUTED_VALUE"""),750.0)</f>
        <v>750</v>
      </c>
      <c r="I499" s="1">
        <f>IFERROR(__xludf.DUMMYFUNCTION("""COMPUTED_VALUE"""),750.0)</f>
        <v>750</v>
      </c>
      <c r="J499" s="1">
        <f>IFERROR(__xludf.DUMMYFUNCTION("""COMPUTED_VALUE"""),750.0)</f>
        <v>750</v>
      </c>
      <c r="K499" s="1">
        <f>IFERROR(__xludf.DUMMYFUNCTION("""COMPUTED_VALUE"""),750.0)</f>
        <v>750</v>
      </c>
      <c r="L499" s="1"/>
      <c r="M499" s="1"/>
      <c r="N499" s="1"/>
      <c r="O499" s="1">
        <f>IFERROR(__xludf.DUMMYFUNCTION("""COMPUTED_VALUE"""),750.0)</f>
        <v>750</v>
      </c>
      <c r="P499" s="1">
        <f>IFERROR(__xludf.DUMMYFUNCTION("""COMPUTED_VALUE"""),750.0)</f>
        <v>750</v>
      </c>
      <c r="Q499" s="1">
        <f>IFERROR(__xludf.DUMMYFUNCTION("""COMPUTED_VALUE"""),750.0)</f>
        <v>750</v>
      </c>
      <c r="R499" s="1">
        <f>IFERROR(__xludf.DUMMYFUNCTION("""COMPUTED_VALUE"""),750.0)</f>
        <v>750</v>
      </c>
      <c r="S499" s="1">
        <f>IFERROR(__xludf.DUMMYFUNCTION("""COMPUTED_VALUE"""),750.0)</f>
        <v>750</v>
      </c>
      <c r="T499" s="1">
        <f>IFERROR(__xludf.DUMMYFUNCTION("""COMPUTED_VALUE"""),750.0)</f>
        <v>750</v>
      </c>
      <c r="U499" s="1">
        <f>IFERROR(__xludf.DUMMYFUNCTION("""COMPUTED_VALUE"""),750.0)</f>
        <v>750</v>
      </c>
      <c r="V499" s="1">
        <f>IFERROR(__xludf.DUMMYFUNCTION("""COMPUTED_VALUE"""),750.0)</f>
        <v>750</v>
      </c>
      <c r="W499" s="1">
        <f>IFERROR(__xludf.DUMMYFUNCTION("""COMPUTED_VALUE"""),750.0)</f>
        <v>750</v>
      </c>
      <c r="X499" s="1" t="str">
        <f>IFERROR(__xludf.DUMMYFUNCTION("""COMPUTED_VALUE"""),"Immune")</f>
        <v>Immune</v>
      </c>
      <c r="Y499" s="1" t="str">
        <f>IFERROR(__xludf.DUMMYFUNCTION("""COMPUTED_VALUE"""),"Immune")</f>
        <v>Immune</v>
      </c>
      <c r="Z499" s="1"/>
      <c r="AA499" s="1" t="str">
        <f>IFERROR(__xludf.DUMMYFUNCTION("""COMPUTED_VALUE"""),"Immune")</f>
        <v>Immune</v>
      </c>
      <c r="AB499" s="1"/>
      <c r="AC499" s="1">
        <f>IFERROR(__xludf.DUMMYFUNCTION("""COMPUTED_VALUE"""),750.0)</f>
        <v>750</v>
      </c>
      <c r="AD499" s="1"/>
      <c r="AE499" s="1"/>
      <c r="AF499" s="1"/>
      <c r="AG499" s="1"/>
      <c r="AH499" s="1"/>
      <c r="AI499" s="1"/>
      <c r="AJ499" s="1"/>
      <c r="AK499" s="1"/>
      <c r="AL499" s="1"/>
    </row>
    <row r="500">
      <c r="A500" s="1" t="str">
        <f>IFERROR(__xludf.DUMMYFUNCTION("""COMPUTED_VALUE"""),"Aspect of The First Dragon Keeper (Insane)")</f>
        <v>Aspect of The First Dragon Keeper (Insane)</v>
      </c>
      <c r="B500" s="1">
        <f>IFERROR(__xludf.DUMMYFUNCTION("""COMPUTED_VALUE"""),1000.0)</f>
        <v>1000</v>
      </c>
      <c r="C500" s="1">
        <f>IFERROR(__xludf.DUMMYFUNCTION("""COMPUTED_VALUE"""),1000.0)</f>
        <v>1000</v>
      </c>
      <c r="D500" s="1">
        <f>IFERROR(__xludf.DUMMYFUNCTION("""COMPUTED_VALUE"""),1000.0)</f>
        <v>1000</v>
      </c>
      <c r="E500" s="1">
        <f>IFERROR(__xludf.DUMMYFUNCTION("""COMPUTED_VALUE"""),1000.0)</f>
        <v>1000</v>
      </c>
      <c r="F500" s="1">
        <f>IFERROR(__xludf.DUMMYFUNCTION("""COMPUTED_VALUE"""),1000.0)</f>
        <v>1000</v>
      </c>
      <c r="G500" s="1">
        <f>IFERROR(__xludf.DUMMYFUNCTION("""COMPUTED_VALUE"""),1000.0)</f>
        <v>1000</v>
      </c>
      <c r="H500" s="1">
        <f>IFERROR(__xludf.DUMMYFUNCTION("""COMPUTED_VALUE"""),1000.0)</f>
        <v>1000</v>
      </c>
      <c r="I500" s="1">
        <f>IFERROR(__xludf.DUMMYFUNCTION("""COMPUTED_VALUE"""),1000.0)</f>
        <v>1000</v>
      </c>
      <c r="J500" s="1">
        <f>IFERROR(__xludf.DUMMYFUNCTION("""COMPUTED_VALUE"""),1000.0)</f>
        <v>1000</v>
      </c>
      <c r="K500" s="1">
        <f>IFERROR(__xludf.DUMMYFUNCTION("""COMPUTED_VALUE"""),1000.0)</f>
        <v>1000</v>
      </c>
      <c r="L500" s="1"/>
      <c r="M500" s="1"/>
      <c r="N500" s="1"/>
      <c r="O500" s="1">
        <f>IFERROR(__xludf.DUMMYFUNCTION("""COMPUTED_VALUE"""),1000.0)</f>
        <v>1000</v>
      </c>
      <c r="P500" s="1">
        <f>IFERROR(__xludf.DUMMYFUNCTION("""COMPUTED_VALUE"""),1000.0)</f>
        <v>1000</v>
      </c>
      <c r="Q500" s="1">
        <f>IFERROR(__xludf.DUMMYFUNCTION("""COMPUTED_VALUE"""),1000.0)</f>
        <v>1000</v>
      </c>
      <c r="R500" s="1">
        <f>IFERROR(__xludf.DUMMYFUNCTION("""COMPUTED_VALUE"""),1000.0)</f>
        <v>1000</v>
      </c>
      <c r="S500" s="1">
        <f>IFERROR(__xludf.DUMMYFUNCTION("""COMPUTED_VALUE"""),1000.0)</f>
        <v>1000</v>
      </c>
      <c r="T500" s="1">
        <f>IFERROR(__xludf.DUMMYFUNCTION("""COMPUTED_VALUE"""),1000.0)</f>
        <v>1000</v>
      </c>
      <c r="U500" s="1">
        <f>IFERROR(__xludf.DUMMYFUNCTION("""COMPUTED_VALUE"""),1000.0)</f>
        <v>1000</v>
      </c>
      <c r="V500" s="1">
        <f>IFERROR(__xludf.DUMMYFUNCTION("""COMPUTED_VALUE"""),1000.0)</f>
        <v>1000</v>
      </c>
      <c r="W500" s="1">
        <f>IFERROR(__xludf.DUMMYFUNCTION("""COMPUTED_VALUE"""),1000.0)</f>
        <v>1000</v>
      </c>
      <c r="X500" s="1" t="str">
        <f>IFERROR(__xludf.DUMMYFUNCTION("""COMPUTED_VALUE"""),"Immune")</f>
        <v>Immune</v>
      </c>
      <c r="Y500" s="1" t="str">
        <f>IFERROR(__xludf.DUMMYFUNCTION("""COMPUTED_VALUE"""),"Immune")</f>
        <v>Immune</v>
      </c>
      <c r="Z500" s="1"/>
      <c r="AA500" s="1" t="str">
        <f>IFERROR(__xludf.DUMMYFUNCTION("""COMPUTED_VALUE"""),"Immune")</f>
        <v>Immune</v>
      </c>
      <c r="AB500" s="1"/>
      <c r="AC500" s="1">
        <f>IFERROR(__xludf.DUMMYFUNCTION("""COMPUTED_VALUE"""),1000.0)</f>
        <v>1000</v>
      </c>
      <c r="AD500" s="1"/>
      <c r="AE500" s="1"/>
      <c r="AF500" s="1"/>
      <c r="AG500" s="1"/>
      <c r="AH500" s="1"/>
      <c r="AI500" s="1"/>
      <c r="AJ500" s="1"/>
      <c r="AK500" s="1"/>
      <c r="AL500" s="1"/>
    </row>
    <row r="501">
      <c r="A501" s="1" t="str">
        <f>IFERROR(__xludf.DUMMYFUNCTION("""COMPUTED_VALUE"""),"The First Dragon Keeper")</f>
        <v>The First Dragon Keeper</v>
      </c>
      <c r="B501" s="1"/>
      <c r="C501" s="1"/>
      <c r="D501" s="1"/>
      <c r="E501" s="1"/>
      <c r="F501" s="1"/>
      <c r="G501" s="1"/>
      <c r="H501" s="1"/>
      <c r="I501" s="1"/>
      <c r="J501" s="1"/>
      <c r="K501" s="1"/>
      <c r="L501" s="1"/>
      <c r="M501" s="1"/>
      <c r="N501" s="1"/>
      <c r="O501" s="1"/>
      <c r="P501" s="1"/>
      <c r="Q501" s="1"/>
      <c r="R501" s="1"/>
      <c r="S501" s="1"/>
      <c r="T501" s="1"/>
      <c r="U501" s="1"/>
      <c r="V501" s="1"/>
      <c r="W501" s="1"/>
      <c r="X501" s="1" t="str">
        <f>IFERROR(__xludf.DUMMYFUNCTION("""COMPUTED_VALUE"""),"Immune")</f>
        <v>Immune</v>
      </c>
      <c r="Y501" s="1" t="str">
        <f>IFERROR(__xludf.DUMMYFUNCTION("""COMPUTED_VALUE"""),"Immune")</f>
        <v>Immune</v>
      </c>
      <c r="Z501" s="1"/>
      <c r="AA501" s="1" t="str">
        <f>IFERROR(__xludf.DUMMYFUNCTION("""COMPUTED_VALUE"""),"Immune")</f>
        <v>Immune</v>
      </c>
      <c r="AB501" s="1"/>
      <c r="AC501" s="1"/>
      <c r="AD501" s="1"/>
      <c r="AE501" s="1"/>
      <c r="AF501" s="1"/>
      <c r="AG501" s="1"/>
      <c r="AH501" s="1"/>
      <c r="AI501" s="1"/>
      <c r="AJ501" s="1"/>
      <c r="AK501" s="1"/>
      <c r="AL501" s="1"/>
    </row>
    <row r="502">
      <c r="A502" s="1" t="str">
        <f>IFERROR(__xludf.DUMMYFUNCTION("""COMPUTED_VALUE"""),"Dragonian Warden")</f>
        <v>Dragonian Warden</v>
      </c>
      <c r="B502" s="1"/>
      <c r="C502" s="1"/>
      <c r="D502" s="1"/>
      <c r="E502" s="1"/>
      <c r="F502" s="1"/>
      <c r="G502" s="1"/>
      <c r="H502" s="1"/>
      <c r="I502" s="1"/>
      <c r="J502" s="1">
        <f>IFERROR(__xludf.DUMMYFUNCTION("""COMPUTED_VALUE"""),100.0)</f>
        <v>100</v>
      </c>
      <c r="K502" s="1"/>
      <c r="L502" s="1"/>
      <c r="M502" s="1"/>
      <c r="N502" s="1"/>
      <c r="O502" s="1"/>
      <c r="P502" s="1"/>
      <c r="Q502" s="1"/>
      <c r="R502" s="1"/>
      <c r="S502" s="1"/>
      <c r="T502" s="1"/>
      <c r="U502" s="1"/>
      <c r="V502" s="1"/>
      <c r="W502" s="1"/>
      <c r="X502" s="1" t="str">
        <f>IFERROR(__xludf.DUMMYFUNCTION("""COMPUTED_VALUE"""),"Immune")</f>
        <v>Immune</v>
      </c>
      <c r="Y502" s="1" t="str">
        <f>IFERROR(__xludf.DUMMYFUNCTION("""COMPUTED_VALUE"""),"Immune")</f>
        <v>Immune</v>
      </c>
      <c r="Z502" s="1"/>
      <c r="AA502" s="1"/>
      <c r="AB502" s="1"/>
      <c r="AC502" s="1"/>
      <c r="AD502" s="1"/>
      <c r="AE502" s="1"/>
      <c r="AF502" s="1"/>
      <c r="AG502" s="1"/>
      <c r="AH502" s="1"/>
      <c r="AI502" s="1"/>
      <c r="AJ502" s="1"/>
      <c r="AK502" s="1"/>
      <c r="AL502" s="1"/>
    </row>
    <row r="503">
      <c r="A503" s="1" t="str">
        <f>IFERROR(__xludf.DUMMYFUNCTION("""COMPUTED_VALUE"""),"Dragonian Inmate")</f>
        <v>Dragonian Inmate</v>
      </c>
      <c r="B503" s="1"/>
      <c r="C503" s="1"/>
      <c r="D503" s="1"/>
      <c r="E503" s="1"/>
      <c r="F503" s="1"/>
      <c r="G503" s="1"/>
      <c r="H503" s="1"/>
      <c r="I503" s="1">
        <f>IFERROR(__xludf.DUMMYFUNCTION("""COMPUTED_VALUE"""),100.0)</f>
        <v>100</v>
      </c>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row>
    <row r="504">
      <c r="A504" s="1" t="str">
        <f>IFERROR(__xludf.DUMMYFUNCTION("""COMPUTED_VALUE"""),"Sand Worm Queen")</f>
        <v>Sand Worm Queen</v>
      </c>
      <c r="B504" s="1" t="str">
        <f>IFERROR(__xludf.DUMMYFUNCTION("""COMPUTED_VALUE"""),"Immune")</f>
        <v>Immune</v>
      </c>
      <c r="C504" s="1" t="str">
        <f>IFERROR(__xludf.DUMMYFUNCTION("""COMPUTED_VALUE"""),"Immune")</f>
        <v>Immune</v>
      </c>
      <c r="D504" s="1"/>
      <c r="E504" s="1"/>
      <c r="F504" s="1"/>
      <c r="G504" s="1"/>
      <c r="H504" s="1"/>
      <c r="I504" s="1"/>
      <c r="J504" s="1"/>
      <c r="K504" s="1"/>
      <c r="L504" s="1"/>
      <c r="M504" s="1"/>
      <c r="N504" s="1"/>
      <c r="O504" s="1"/>
      <c r="P504" s="1"/>
      <c r="Q504" s="1"/>
      <c r="R504" s="1"/>
      <c r="S504" s="1"/>
      <c r="T504" s="1"/>
      <c r="U504" s="1"/>
      <c r="V504" s="1"/>
      <c r="W504" s="1"/>
      <c r="X504" s="1" t="str">
        <f>IFERROR(__xludf.DUMMYFUNCTION("""COMPUTED_VALUE"""),"Immune")</f>
        <v>Immune</v>
      </c>
      <c r="Y504" s="1" t="str">
        <f>IFERROR(__xludf.DUMMYFUNCTION("""COMPUTED_VALUE"""),"Immune")</f>
        <v>Immune</v>
      </c>
      <c r="Z504" s="1"/>
      <c r="AA504" s="1" t="str">
        <f>IFERROR(__xludf.DUMMYFUNCTION("""COMPUTED_VALUE"""),"Immune")</f>
        <v>Immune</v>
      </c>
      <c r="AB504" s="1"/>
      <c r="AC504" s="1"/>
      <c r="AD504" s="1"/>
      <c r="AE504" s="1"/>
      <c r="AF504" s="1"/>
      <c r="AG504" s="1"/>
      <c r="AH504" s="1"/>
      <c r="AI504" s="1"/>
      <c r="AJ504" s="1"/>
      <c r="AK504" s="1"/>
      <c r="AL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tr">
        <f>IFERROR(__xludf.DUMMYFUNCTION("IMPORTRANGE(""https://docs.google.com/spreadsheets/d/1HXoAI5UG3zq1UHqU5n7fPdbQk93qOha2VQb1r7iRi1o"",""Vulnerabilities!A:BJ"")"),"Mob")</f>
        <v>Mob</v>
      </c>
      <c r="B1" s="1" t="str">
        <f>IFERROR(__xludf.DUMMYFUNCTION("""COMPUTED_VALUE"""),"Fire")</f>
        <v>Fire</v>
      </c>
      <c r="C1" s="1" t="str">
        <f>IFERROR(__xludf.DUMMYFUNCTION("""COMPUTED_VALUE"""),"Water")</f>
        <v>Water</v>
      </c>
      <c r="D1" s="1" t="str">
        <f>IFERROR(__xludf.DUMMYFUNCTION("""COMPUTED_VALUE"""),"Storm")</f>
        <v>Storm</v>
      </c>
      <c r="E1" s="1" t="str">
        <f>IFERROR(__xludf.DUMMYFUNCTION("""COMPUTED_VALUE"""),"Earth")</f>
        <v>Earth</v>
      </c>
      <c r="F1" s="1" t="str">
        <f>IFERROR(__xludf.DUMMYFUNCTION("""COMPUTED_VALUE"""),"Light")</f>
        <v>Light</v>
      </c>
      <c r="G1" s="1" t="str">
        <f>IFERROR(__xludf.DUMMYFUNCTION("""COMPUTED_VALUE"""),"Dark")</f>
        <v>Dark</v>
      </c>
      <c r="H1" s="1" t="str">
        <f>IFERROR(__xludf.DUMMYFUNCTION("""COMPUTED_VALUE"""),"Spirit")</f>
        <v>Spirit</v>
      </c>
      <c r="I1" s="1" t="str">
        <f>IFERROR(__xludf.DUMMYFUNCTION("""COMPUTED_VALUE"""),"Order")</f>
        <v>Order</v>
      </c>
      <c r="J1" s="1" t="str">
        <f>IFERROR(__xludf.DUMMYFUNCTION("""COMPUTED_VALUE"""),"Chaos")</f>
        <v>Chaos</v>
      </c>
      <c r="K1" s="1" t="str">
        <f>IFERROR(__xludf.DUMMYFUNCTION("""COMPUTED_VALUE"""),"Nature")</f>
        <v>Nature</v>
      </c>
      <c r="L1" s="1" t="str">
        <f>IFERROR(__xludf.DUMMYFUNCTION("""COMPUTED_VALUE"""),"Physical")</f>
        <v>Physical</v>
      </c>
      <c r="M1" s="1" t="str">
        <f>IFERROR(__xludf.DUMMYFUNCTION("""COMPUTED_VALUE"""),"Melee")</f>
        <v>Melee</v>
      </c>
      <c r="N1" s="1" t="str">
        <f>IFERROR(__xludf.DUMMYFUNCTION("""COMPUTED_VALUE"""),"Ranged")</f>
        <v>Ranged</v>
      </c>
      <c r="O1" s="1" t="str">
        <f>IFERROR(__xludf.DUMMYFUNCTION("""COMPUTED_VALUE"""),"Stasis")</f>
        <v>Stasis</v>
      </c>
      <c r="P1" s="1" t="str">
        <f>IFERROR(__xludf.DUMMYFUNCTION("""COMPUTED_VALUE"""),"Twilight")</f>
        <v>Twilight</v>
      </c>
      <c r="Q1" s="1" t="str">
        <f>IFERROR(__xludf.DUMMYFUNCTION("""COMPUTED_VALUE"""),"Voodoo")</f>
        <v>Voodoo</v>
      </c>
      <c r="R1" s="1" t="str">
        <f>IFERROR(__xludf.DUMMYFUNCTION("""COMPUTED_VALUE"""),"Blood")</f>
        <v>Blood</v>
      </c>
      <c r="S1" s="1" t="str">
        <f>IFERROR(__xludf.DUMMYFUNCTION("""COMPUTED_VALUE"""),"Delta")</f>
        <v>Delta</v>
      </c>
      <c r="T1" s="1" t="str">
        <f>IFERROR(__xludf.DUMMYFUNCTION("""COMPUTED_VALUE"""),"Zen")</f>
        <v>Zen</v>
      </c>
      <c r="U1" s="1" t="str">
        <f>IFERROR(__xludf.DUMMYFUNCTION("""COMPUTED_VALUE"""),"Time")</f>
        <v>Time</v>
      </c>
      <c r="V1" s="1" t="str">
        <f>IFERROR(__xludf.DUMMYFUNCTION("""COMPUTED_VALUE"""),"Astral")</f>
        <v>Astral</v>
      </c>
      <c r="W1" s="1" t="str">
        <f>IFERROR(__xludf.DUMMYFUNCTION("""COMPUTED_VALUE"""),"Celestial")</f>
        <v>Celestial</v>
      </c>
      <c r="X1" s="1" t="str">
        <f>IFERROR(__xludf.DUMMYFUNCTION("""COMPUTED_VALUE"""),"Acoustic")</f>
        <v>Acoustic</v>
      </c>
      <c r="Y1" s="1"/>
      <c r="Z1" s="1"/>
    </row>
    <row r="2">
      <c r="A2" s="1" t="str">
        <f>IFERROR(__xludf.DUMMYFUNCTION("""COMPUTED_VALUE"""),"Acid Dragon")</f>
        <v>Acid Dragon</v>
      </c>
      <c r="B2" s="1">
        <f>IFERROR(__xludf.DUMMYFUNCTION("""COMPUTED_VALUE"""),100.0)</f>
        <v>100</v>
      </c>
      <c r="C2" s="1"/>
      <c r="D2" s="1">
        <f>IFERROR(__xludf.DUMMYFUNCTION("""COMPUTED_VALUE"""),100.0)</f>
        <v>100</v>
      </c>
      <c r="E2" s="1"/>
      <c r="F2" s="1"/>
      <c r="G2" s="1"/>
      <c r="H2" s="1"/>
      <c r="I2" s="1"/>
      <c r="J2" s="1"/>
      <c r="K2" s="1"/>
      <c r="L2" s="1"/>
      <c r="M2" s="1"/>
      <c r="N2" s="1"/>
      <c r="O2" s="1"/>
      <c r="P2" s="1"/>
      <c r="Q2" s="1"/>
      <c r="R2" s="1"/>
      <c r="S2" s="1"/>
      <c r="T2" s="1"/>
      <c r="U2" s="1"/>
      <c r="V2" s="1"/>
      <c r="W2" s="1"/>
      <c r="X2" s="1"/>
      <c r="Y2" s="1"/>
      <c r="Z2" s="1"/>
    </row>
    <row r="3">
      <c r="A3" s="1" t="str">
        <f>IFERROR(__xludf.DUMMYFUNCTION("""COMPUTED_VALUE"""),"Acid Slime")</f>
        <v>Acid Slime</v>
      </c>
      <c r="B3" s="1"/>
      <c r="C3" s="1"/>
      <c r="D3" s="1"/>
      <c r="E3" s="1"/>
      <c r="F3" s="1"/>
      <c r="G3" s="1"/>
      <c r="H3" s="1"/>
      <c r="I3" s="1"/>
      <c r="J3" s="1"/>
      <c r="K3" s="1"/>
      <c r="L3" s="1"/>
      <c r="M3" s="1"/>
      <c r="N3" s="1"/>
      <c r="O3" s="1"/>
      <c r="P3" s="1"/>
      <c r="Q3" s="1"/>
      <c r="R3" s="1"/>
      <c r="S3" s="1"/>
      <c r="T3" s="1"/>
      <c r="U3" s="1"/>
      <c r="V3" s="1"/>
      <c r="W3" s="1"/>
      <c r="X3" s="1"/>
      <c r="Y3" s="1"/>
      <c r="Z3" s="1"/>
    </row>
    <row r="4">
      <c r="A4" s="1" t="str">
        <f>IFERROR(__xludf.DUMMYFUNCTION("""COMPUTED_VALUE"""),"Ancient Colossal Frost Spider")</f>
        <v>Ancient Colossal Frost Spider</v>
      </c>
      <c r="B4" s="1">
        <f>IFERROR(__xludf.DUMMYFUNCTION("""COMPUTED_VALUE"""),100.0)</f>
        <v>100</v>
      </c>
      <c r="C4" s="1"/>
      <c r="D4" s="1"/>
      <c r="E4" s="1"/>
      <c r="F4" s="1"/>
      <c r="G4" s="1"/>
      <c r="H4" s="1"/>
      <c r="I4" s="1"/>
      <c r="J4" s="1"/>
      <c r="K4" s="1">
        <f>IFERROR(__xludf.DUMMYFUNCTION("""COMPUTED_VALUE"""),100.0)</f>
        <v>100</v>
      </c>
      <c r="L4" s="1"/>
      <c r="M4" s="1"/>
      <c r="N4" s="1"/>
      <c r="O4" s="1"/>
      <c r="P4" s="1"/>
      <c r="Q4" s="1"/>
      <c r="R4" s="1"/>
      <c r="S4" s="1"/>
      <c r="T4" s="1"/>
      <c r="U4" s="1"/>
      <c r="V4" s="1"/>
      <c r="W4" s="1"/>
      <c r="X4" s="1"/>
      <c r="Y4" s="1"/>
      <c r="Z4" s="1"/>
    </row>
    <row r="5">
      <c r="A5" s="1" t="str">
        <f>IFERROR(__xludf.DUMMYFUNCTION("""COMPUTED_VALUE"""),"Ancient Deer Of The Forest")</f>
        <v>Ancient Deer Of The Forest</v>
      </c>
      <c r="B5" s="1">
        <f>IFERROR(__xludf.DUMMYFUNCTION("""COMPUTED_VALUE"""),100.0)</f>
        <v>100</v>
      </c>
      <c r="C5" s="1"/>
      <c r="D5" s="1">
        <f>IFERROR(__xludf.DUMMYFUNCTION("""COMPUTED_VALUE"""),100.0)</f>
        <v>100</v>
      </c>
      <c r="E5" s="1"/>
      <c r="F5" s="1"/>
      <c r="G5" s="1"/>
      <c r="H5" s="1"/>
      <c r="I5" s="1"/>
      <c r="J5" s="1"/>
      <c r="K5" s="1"/>
      <c r="L5" s="1"/>
      <c r="M5" s="1"/>
      <c r="N5" s="1"/>
      <c r="O5" s="1"/>
      <c r="P5" s="1"/>
      <c r="Q5" s="1"/>
      <c r="R5" s="1"/>
      <c r="S5" s="1"/>
      <c r="T5" s="1"/>
      <c r="U5" s="1"/>
      <c r="V5" s="1"/>
      <c r="W5" s="1"/>
      <c r="X5" s="1"/>
      <c r="Y5" s="1"/>
      <c r="Z5" s="1"/>
    </row>
    <row r="6">
      <c r="A6" s="1" t="str">
        <f>IFERROR(__xludf.DUMMYFUNCTION("""COMPUTED_VALUE"""),"Demon Snowman")</f>
        <v>Demon Snowman</v>
      </c>
      <c r="B6" s="1">
        <f>IFERROR(__xludf.DUMMYFUNCTION("""COMPUTED_VALUE"""),100.0)</f>
        <v>100</v>
      </c>
      <c r="C6" s="1"/>
      <c r="D6" s="1"/>
      <c r="E6" s="1"/>
      <c r="F6" s="1"/>
      <c r="G6" s="1"/>
      <c r="H6" s="1"/>
      <c r="I6" s="1"/>
      <c r="J6" s="1"/>
      <c r="K6" s="1">
        <f>IFERROR(__xludf.DUMMYFUNCTION("""COMPUTED_VALUE"""),100.0)</f>
        <v>100</v>
      </c>
      <c r="L6" s="1"/>
      <c r="M6" s="1"/>
      <c r="N6" s="1"/>
      <c r="O6" s="1"/>
      <c r="P6" s="1"/>
      <c r="Q6" s="1"/>
      <c r="R6" s="1"/>
      <c r="S6" s="1"/>
      <c r="T6" s="1"/>
      <c r="U6" s="1"/>
      <c r="V6" s="1"/>
      <c r="W6" s="1"/>
      <c r="X6" s="1"/>
      <c r="Y6" s="1"/>
      <c r="Z6" s="1"/>
    </row>
    <row r="7">
      <c r="A7" s="1" t="str">
        <f>IFERROR(__xludf.DUMMYFUNCTION("""COMPUTED_VALUE"""),"Ancient Desert Serpent")</f>
        <v>Ancient Desert Serpent</v>
      </c>
      <c r="B7" s="1"/>
      <c r="C7" s="1">
        <f>IFERROR(__xludf.DUMMYFUNCTION("""COMPUTED_VALUE"""),100.0)</f>
        <v>100</v>
      </c>
      <c r="D7" s="1">
        <f>IFERROR(__xludf.DUMMYFUNCTION("""COMPUTED_VALUE"""),100.0)</f>
        <v>100</v>
      </c>
      <c r="E7" s="1"/>
      <c r="F7" s="1"/>
      <c r="G7" s="1"/>
      <c r="H7" s="1"/>
      <c r="I7" s="1"/>
      <c r="J7" s="1"/>
      <c r="K7" s="1"/>
      <c r="L7" s="1"/>
      <c r="M7" s="1"/>
      <c r="N7" s="1"/>
      <c r="O7" s="1"/>
      <c r="P7" s="1"/>
      <c r="Q7" s="1"/>
      <c r="R7" s="1"/>
      <c r="S7" s="1"/>
      <c r="T7" s="1"/>
      <c r="U7" s="1"/>
      <c r="V7" s="1"/>
      <c r="W7" s="1"/>
      <c r="X7" s="1"/>
      <c r="Y7" s="1"/>
      <c r="Z7" s="1"/>
    </row>
    <row r="8">
      <c r="A8" s="1" t="str">
        <f>IFERROR(__xludf.DUMMYFUNCTION("""COMPUTED_VALUE"""),"Ancient Fire Sentinel")</f>
        <v>Ancient Fire Sentinel</v>
      </c>
      <c r="B8" s="1"/>
      <c r="C8" s="1">
        <f>IFERROR(__xludf.DUMMYFUNCTION("""COMPUTED_VALUE"""),100.0)</f>
        <v>100</v>
      </c>
      <c r="D8" s="1"/>
      <c r="E8" s="1">
        <f>IFERROR(__xludf.DUMMYFUNCTION("""COMPUTED_VALUE"""),100.0)</f>
        <v>100</v>
      </c>
      <c r="F8" s="1"/>
      <c r="G8" s="1"/>
      <c r="H8" s="1"/>
      <c r="I8" s="1"/>
      <c r="J8" s="1"/>
      <c r="K8" s="1"/>
      <c r="L8" s="1"/>
      <c r="M8" s="1"/>
      <c r="N8" s="1"/>
      <c r="O8" s="1"/>
      <c r="P8" s="1"/>
      <c r="Q8" s="1"/>
      <c r="R8" s="1"/>
      <c r="S8" s="1"/>
      <c r="T8" s="1"/>
      <c r="U8" s="1"/>
      <c r="V8" s="1"/>
      <c r="W8" s="1"/>
      <c r="X8" s="1"/>
      <c r="Y8" s="1"/>
      <c r="Z8" s="1"/>
    </row>
    <row r="9">
      <c r="A9" s="1" t="str">
        <f>IFERROR(__xludf.DUMMYFUNCTION("""COMPUTED_VALUE"""),"Ancient Fire Serpent")</f>
        <v>Ancient Fire Serpent</v>
      </c>
      <c r="B9" s="1"/>
      <c r="C9" s="1">
        <f>IFERROR(__xludf.DUMMYFUNCTION("""COMPUTED_VALUE"""),100.0)</f>
        <v>100</v>
      </c>
      <c r="D9" s="1"/>
      <c r="E9" s="1"/>
      <c r="F9" s="1"/>
      <c r="G9" s="1"/>
      <c r="H9" s="1"/>
      <c r="I9" s="1"/>
      <c r="J9" s="1"/>
      <c r="K9" s="1"/>
      <c r="L9" s="1"/>
      <c r="M9" s="1"/>
      <c r="N9" s="1"/>
      <c r="O9" s="1"/>
      <c r="P9" s="1"/>
      <c r="Q9" s="1"/>
      <c r="R9" s="1"/>
      <c r="S9" s="1"/>
      <c r="T9" s="1"/>
      <c r="U9" s="1"/>
      <c r="V9" s="1"/>
      <c r="W9" s="1"/>
      <c r="X9" s="1"/>
      <c r="Y9" s="1"/>
      <c r="Z9" s="1"/>
    </row>
    <row r="10">
      <c r="A10" s="1" t="str">
        <f>IFERROR(__xludf.DUMMYFUNCTION("""COMPUTED_VALUE"""),"Flame Ostrich")</f>
        <v>Flame Ostrich</v>
      </c>
      <c r="B10" s="1"/>
      <c r="C10" s="1">
        <f>IFERROR(__xludf.DUMMYFUNCTION("""COMPUTED_VALUE"""),100.0)</f>
        <v>100</v>
      </c>
      <c r="D10" s="1"/>
      <c r="E10" s="1"/>
      <c r="F10" s="1"/>
      <c r="G10" s="1"/>
      <c r="H10" s="1"/>
      <c r="I10" s="1"/>
      <c r="J10" s="1"/>
      <c r="K10" s="1"/>
      <c r="L10" s="1"/>
      <c r="M10" s="1"/>
      <c r="N10" s="1"/>
      <c r="O10" s="1"/>
      <c r="P10" s="1"/>
      <c r="Q10" s="1"/>
      <c r="R10" s="1"/>
      <c r="S10" s="1"/>
      <c r="T10" s="1"/>
      <c r="U10" s="1"/>
      <c r="V10" s="1"/>
      <c r="W10" s="1"/>
      <c r="X10" s="1"/>
      <c r="Y10" s="1"/>
      <c r="Z10" s="1"/>
    </row>
    <row r="11">
      <c r="A11" s="1" t="str">
        <f>IFERROR(__xludf.DUMMYFUNCTION("""COMPUTED_VALUE"""),"Ancient Forest Colossus")</f>
        <v>Ancient Forest Colossus</v>
      </c>
      <c r="B11" s="1">
        <f>IFERROR(__xludf.DUMMYFUNCTION("""COMPUTED_VALUE"""),100.0)</f>
        <v>100</v>
      </c>
      <c r="C11" s="1"/>
      <c r="D11" s="1">
        <f>IFERROR(__xludf.DUMMYFUNCTION("""COMPUTED_VALUE"""),100.0)</f>
        <v>100</v>
      </c>
      <c r="E11" s="1"/>
      <c r="F11" s="1"/>
      <c r="G11" s="1"/>
      <c r="H11" s="1"/>
      <c r="I11" s="1"/>
      <c r="J11" s="1"/>
      <c r="K11" s="1"/>
      <c r="L11" s="1"/>
      <c r="M11" s="1"/>
      <c r="N11" s="1"/>
      <c r="O11" s="1"/>
      <c r="P11" s="1"/>
      <c r="Q11" s="1"/>
      <c r="R11" s="1"/>
      <c r="S11" s="1"/>
      <c r="T11" s="1"/>
      <c r="U11" s="1"/>
      <c r="V11" s="1"/>
      <c r="W11" s="1"/>
      <c r="X11" s="1"/>
      <c r="Y11" s="1"/>
      <c r="Z11" s="1"/>
    </row>
    <row r="12">
      <c r="A12" s="1" t="str">
        <f>IFERROR(__xludf.DUMMYFUNCTION("""COMPUTED_VALUE"""),"Frost Colossus")</f>
        <v>Frost Colossus</v>
      </c>
      <c r="B12" s="1">
        <f>IFERROR(__xludf.DUMMYFUNCTION("""COMPUTED_VALUE"""),100.0)</f>
        <v>100</v>
      </c>
      <c r="C12" s="1"/>
      <c r="D12" s="1"/>
      <c r="E12" s="1"/>
      <c r="F12" s="1"/>
      <c r="G12" s="1"/>
      <c r="H12" s="1"/>
      <c r="I12" s="1"/>
      <c r="J12" s="1"/>
      <c r="K12" s="1">
        <f>IFERROR(__xludf.DUMMYFUNCTION("""COMPUTED_VALUE"""),100.0)</f>
        <v>100</v>
      </c>
      <c r="L12" s="1"/>
      <c r="M12" s="1"/>
      <c r="N12" s="1"/>
      <c r="O12" s="1"/>
      <c r="P12" s="1"/>
      <c r="Q12" s="1"/>
      <c r="R12" s="1"/>
      <c r="S12" s="1"/>
      <c r="T12" s="1"/>
      <c r="U12" s="1"/>
      <c r="V12" s="1"/>
      <c r="W12" s="1"/>
      <c r="X12" s="1"/>
      <c r="Y12" s="1"/>
      <c r="Z12" s="1"/>
    </row>
    <row r="13">
      <c r="A13" s="1" t="str">
        <f>IFERROR(__xludf.DUMMYFUNCTION("""COMPUTED_VALUE"""),"Frost Cyclops")</f>
        <v>Frost Cyclops</v>
      </c>
      <c r="B13" s="1">
        <f>IFERROR(__xludf.DUMMYFUNCTION("""COMPUTED_VALUE"""),100.0)</f>
        <v>100</v>
      </c>
      <c r="C13" s="1"/>
      <c r="D13" s="1"/>
      <c r="E13" s="1"/>
      <c r="F13" s="1"/>
      <c r="G13" s="1"/>
      <c r="H13" s="1"/>
      <c r="I13" s="1"/>
      <c r="J13" s="1"/>
      <c r="K13" s="1">
        <f>IFERROR(__xludf.DUMMYFUNCTION("""COMPUTED_VALUE"""),100.0)</f>
        <v>100</v>
      </c>
      <c r="L13" s="1"/>
      <c r="M13" s="1"/>
      <c r="N13" s="1"/>
      <c r="O13" s="1"/>
      <c r="P13" s="1"/>
      <c r="Q13" s="1"/>
      <c r="R13" s="1"/>
      <c r="S13" s="1"/>
      <c r="T13" s="1"/>
      <c r="U13" s="1"/>
      <c r="V13" s="1"/>
      <c r="W13" s="1"/>
      <c r="X13" s="1"/>
      <c r="Y13" s="1"/>
      <c r="Z13" s="1"/>
    </row>
    <row r="14">
      <c r="A14" s="1" t="str">
        <f>IFERROR(__xludf.DUMMYFUNCTION("""COMPUTED_VALUE"""),"Frost Grand Mage")</f>
        <v>Frost Grand Mage</v>
      </c>
      <c r="B14" s="1">
        <f>IFERROR(__xludf.DUMMYFUNCTION("""COMPUTED_VALUE"""),100.0)</f>
        <v>100</v>
      </c>
      <c r="C14" s="1"/>
      <c r="D14" s="1"/>
      <c r="E14" s="1"/>
      <c r="F14" s="1"/>
      <c r="G14" s="1"/>
      <c r="H14" s="1"/>
      <c r="I14" s="1"/>
      <c r="J14" s="1"/>
      <c r="K14" s="1">
        <f>IFERROR(__xludf.DUMMYFUNCTION("""COMPUTED_VALUE"""),100.0)</f>
        <v>100</v>
      </c>
      <c r="L14" s="1"/>
      <c r="M14" s="1"/>
      <c r="N14" s="1"/>
      <c r="O14" s="1"/>
      <c r="P14" s="1"/>
      <c r="Q14" s="1"/>
      <c r="R14" s="1"/>
      <c r="S14" s="1"/>
      <c r="T14" s="1"/>
      <c r="U14" s="1"/>
      <c r="V14" s="1"/>
      <c r="W14" s="1"/>
      <c r="X14" s="1"/>
      <c r="Y14" s="1"/>
      <c r="Z14" s="1"/>
    </row>
    <row r="15">
      <c r="A15" s="1" t="str">
        <f>IFERROR(__xludf.DUMMYFUNCTION("""COMPUTED_VALUE"""),"Frost King")</f>
        <v>Frost King</v>
      </c>
      <c r="B15" s="1">
        <f>IFERROR(__xludf.DUMMYFUNCTION("""COMPUTED_VALUE"""),100.0)</f>
        <v>100</v>
      </c>
      <c r="C15" s="1"/>
      <c r="D15" s="1"/>
      <c r="E15" s="1"/>
      <c r="F15" s="1"/>
      <c r="G15" s="1"/>
      <c r="H15" s="1"/>
      <c r="I15" s="1"/>
      <c r="J15" s="1"/>
      <c r="K15" s="1">
        <f>IFERROR(__xludf.DUMMYFUNCTION("""COMPUTED_VALUE"""),100.0)</f>
        <v>100</v>
      </c>
      <c r="L15" s="1"/>
      <c r="M15" s="1"/>
      <c r="N15" s="1"/>
      <c r="O15" s="1"/>
      <c r="P15" s="1"/>
      <c r="Q15" s="1"/>
      <c r="R15" s="1"/>
      <c r="S15" s="1"/>
      <c r="T15" s="1"/>
      <c r="U15" s="1"/>
      <c r="V15" s="1"/>
      <c r="W15" s="1"/>
      <c r="X15" s="1"/>
      <c r="Y15" s="1"/>
      <c r="Z15" s="1"/>
    </row>
    <row r="16">
      <c r="A16" s="1" t="str">
        <f>IFERROR(__xludf.DUMMYFUNCTION("""COMPUTED_VALUE"""),"Frost Queen")</f>
        <v>Frost Queen</v>
      </c>
      <c r="B16" s="1">
        <f>IFERROR(__xludf.DUMMYFUNCTION("""COMPUTED_VALUE"""),100.0)</f>
        <v>100</v>
      </c>
      <c r="C16" s="1"/>
      <c r="D16" s="1"/>
      <c r="E16" s="1"/>
      <c r="F16" s="1"/>
      <c r="G16" s="1"/>
      <c r="H16" s="1"/>
      <c r="I16" s="1"/>
      <c r="J16" s="1"/>
      <c r="K16" s="1">
        <f>IFERROR(__xludf.DUMMYFUNCTION("""COMPUTED_VALUE"""),100.0)</f>
        <v>100</v>
      </c>
      <c r="L16" s="1"/>
      <c r="M16" s="1"/>
      <c r="N16" s="1"/>
      <c r="O16" s="1"/>
      <c r="P16" s="1"/>
      <c r="Q16" s="1"/>
      <c r="R16" s="1"/>
      <c r="S16" s="1"/>
      <c r="T16" s="1"/>
      <c r="U16" s="1"/>
      <c r="V16" s="1"/>
      <c r="W16" s="1"/>
      <c r="X16" s="1"/>
      <c r="Y16" s="1"/>
      <c r="Z16" s="1"/>
    </row>
    <row r="17">
      <c r="A17" s="1" t="str">
        <f>IFERROR(__xludf.DUMMYFUNCTION("""COMPUTED_VALUE"""),"Sea Dinosaur (WD)")</f>
        <v>Sea Dinosaur (WD)</v>
      </c>
      <c r="B17" s="1"/>
      <c r="C17" s="1"/>
      <c r="D17" s="1"/>
      <c r="E17" s="1"/>
      <c r="F17" s="1"/>
      <c r="G17" s="1"/>
      <c r="H17" s="1"/>
      <c r="I17" s="1"/>
      <c r="J17" s="1"/>
      <c r="K17" s="1">
        <f>IFERROR(__xludf.DUMMYFUNCTION("""COMPUTED_VALUE"""),100.0)</f>
        <v>100</v>
      </c>
      <c r="L17" s="1"/>
      <c r="M17" s="1"/>
      <c r="N17" s="1"/>
      <c r="O17" s="1"/>
      <c r="P17" s="1"/>
      <c r="Q17" s="1"/>
      <c r="R17" s="1"/>
      <c r="S17" s="1"/>
      <c r="T17" s="1"/>
      <c r="U17" s="1"/>
      <c r="V17" s="1"/>
      <c r="W17" s="1"/>
      <c r="X17" s="1"/>
      <c r="Y17" s="1"/>
      <c r="Z17" s="1"/>
    </row>
    <row r="18">
      <c r="A18" s="1" t="str">
        <f>IFERROR(__xludf.DUMMYFUNCTION("""COMPUTED_VALUE"""),"Sea Dinosaur (WD) (Enhanced)")</f>
        <v>Sea Dinosaur (WD) (Enhanced)</v>
      </c>
      <c r="B18" s="1"/>
      <c r="C18" s="1"/>
      <c r="D18" s="1"/>
      <c r="E18" s="1"/>
      <c r="F18" s="1"/>
      <c r="G18" s="1"/>
      <c r="H18" s="1"/>
      <c r="I18" s="1"/>
      <c r="J18" s="1"/>
      <c r="K18" s="1">
        <f>IFERROR(__xludf.DUMMYFUNCTION("""COMPUTED_VALUE"""),100.0)</f>
        <v>100</v>
      </c>
      <c r="L18" s="1"/>
      <c r="M18" s="1"/>
      <c r="N18" s="1"/>
      <c r="O18" s="1"/>
      <c r="P18" s="1"/>
      <c r="Q18" s="1"/>
      <c r="R18" s="1"/>
      <c r="S18" s="1"/>
      <c r="T18" s="1"/>
      <c r="U18" s="1"/>
      <c r="V18" s="1"/>
      <c r="W18" s="1"/>
      <c r="X18" s="1"/>
      <c r="Y18" s="1"/>
      <c r="Z18" s="1"/>
    </row>
    <row r="19">
      <c r="A19" s="1" t="str">
        <f>IFERROR(__xludf.DUMMYFUNCTION("""COMPUTED_VALUE"""),"Ancient Skeleton Colossus")</f>
        <v>Ancient Skeleton Colossus</v>
      </c>
      <c r="B19" s="1">
        <f>IFERROR(__xludf.DUMMYFUNCTION("""COMPUTED_VALUE"""),100.0)</f>
        <v>100</v>
      </c>
      <c r="C19" s="1"/>
      <c r="D19" s="1"/>
      <c r="E19" s="1"/>
      <c r="F19" s="1">
        <f>IFERROR(__xludf.DUMMYFUNCTION("""COMPUTED_VALUE"""),100.0)</f>
        <v>100</v>
      </c>
      <c r="G19" s="1"/>
      <c r="H19" s="1"/>
      <c r="I19" s="1"/>
      <c r="J19" s="1"/>
      <c r="K19" s="1"/>
      <c r="L19" s="1"/>
      <c r="M19" s="1"/>
      <c r="N19" s="1"/>
      <c r="O19" s="1"/>
      <c r="P19" s="1"/>
      <c r="Q19" s="1"/>
      <c r="R19" s="1"/>
      <c r="S19" s="1"/>
      <c r="T19" s="1"/>
      <c r="U19" s="1"/>
      <c r="V19" s="1"/>
      <c r="W19" s="1"/>
      <c r="X19" s="1"/>
      <c r="Y19" s="1"/>
      <c r="Z19" s="1"/>
    </row>
    <row r="20">
      <c r="A20" s="1" t="str">
        <f>IFERROR(__xludf.DUMMYFUNCTION("""COMPUTED_VALUE"""),"Ancient Stone Guard")</f>
        <v>Ancient Stone Guard</v>
      </c>
      <c r="B20" s="1"/>
      <c r="C20" s="1">
        <f>IFERROR(__xludf.DUMMYFUNCTION("""COMPUTED_VALUE"""),100.0)</f>
        <v>100</v>
      </c>
      <c r="D20" s="1">
        <f>IFERROR(__xludf.DUMMYFUNCTION("""COMPUTED_VALUE"""),100.0)</f>
        <v>100</v>
      </c>
      <c r="E20" s="1"/>
      <c r="F20" s="1"/>
      <c r="G20" s="1">
        <f>IFERROR(__xludf.DUMMYFUNCTION("""COMPUTED_VALUE"""),100.0)</f>
        <v>100</v>
      </c>
      <c r="H20" s="1"/>
      <c r="I20" s="1"/>
      <c r="J20" s="1">
        <f>IFERROR(__xludf.DUMMYFUNCTION("""COMPUTED_VALUE"""),100.0)</f>
        <v>100</v>
      </c>
      <c r="K20" s="1"/>
      <c r="L20" s="1"/>
      <c r="M20" s="1"/>
      <c r="N20" s="1"/>
      <c r="O20" s="1"/>
      <c r="P20" s="1"/>
      <c r="Q20" s="1"/>
      <c r="R20" s="1"/>
      <c r="S20" s="1"/>
      <c r="T20" s="1"/>
      <c r="U20" s="1"/>
      <c r="V20" s="1"/>
      <c r="W20" s="1"/>
      <c r="X20" s="1"/>
      <c r="Y20" s="1"/>
      <c r="Z20" s="1"/>
    </row>
    <row r="21">
      <c r="A21" s="1" t="str">
        <f>IFERROR(__xludf.DUMMYFUNCTION("""COMPUTED_VALUE"""),"Ancient Tree Of Flames")</f>
        <v>Ancient Tree Of Flames</v>
      </c>
      <c r="B21" s="1"/>
      <c r="C21" s="1">
        <f>IFERROR(__xludf.DUMMYFUNCTION("""COMPUTED_VALUE"""),100.0)</f>
        <v>100</v>
      </c>
      <c r="D21" s="1"/>
      <c r="E21" s="1"/>
      <c r="F21" s="1"/>
      <c r="G21" s="1"/>
      <c r="H21" s="1"/>
      <c r="I21" s="1"/>
      <c r="J21" s="1"/>
      <c r="K21" s="1"/>
      <c r="L21" s="1"/>
      <c r="M21" s="1"/>
      <c r="N21" s="1"/>
      <c r="O21" s="1"/>
      <c r="P21" s="1"/>
      <c r="Q21" s="1"/>
      <c r="R21" s="1"/>
      <c r="S21" s="1"/>
      <c r="T21" s="1"/>
      <c r="U21" s="1"/>
      <c r="V21" s="1"/>
      <c r="W21" s="1"/>
      <c r="X21" s="1"/>
      <c r="Y21" s="1"/>
      <c r="Z21" s="1"/>
    </row>
    <row r="22">
      <c r="A22" s="1" t="str">
        <f>IFERROR(__xludf.DUMMYFUNCTION("""COMPUTED_VALUE"""),"Volcanic Worm")</f>
        <v>Volcanic Worm</v>
      </c>
      <c r="B22" s="1"/>
      <c r="C22" s="1">
        <f>IFERROR(__xludf.DUMMYFUNCTION("""COMPUTED_VALUE"""),100.0)</f>
        <v>100</v>
      </c>
      <c r="D22" s="1"/>
      <c r="E22" s="1"/>
      <c r="F22" s="1"/>
      <c r="G22" s="1"/>
      <c r="H22" s="1"/>
      <c r="I22" s="1"/>
      <c r="J22" s="1"/>
      <c r="K22" s="1"/>
      <c r="L22" s="1"/>
      <c r="M22" s="1"/>
      <c r="N22" s="1"/>
      <c r="O22" s="1"/>
      <c r="P22" s="1"/>
      <c r="Q22" s="1"/>
      <c r="R22" s="1"/>
      <c r="S22" s="1"/>
      <c r="T22" s="1"/>
      <c r="U22" s="1"/>
      <c r="V22" s="1"/>
      <c r="W22" s="1"/>
      <c r="X22" s="1"/>
      <c r="Y22" s="1"/>
      <c r="Z22" s="1"/>
    </row>
    <row r="23">
      <c r="A23" s="1" t="str">
        <f>IFERROR(__xludf.DUMMYFUNCTION("""COMPUTED_VALUE"""),"Water Dragon (WD)")</f>
        <v>Water Dragon (WD)</v>
      </c>
      <c r="B23" s="1"/>
      <c r="C23" s="1"/>
      <c r="D23" s="1"/>
      <c r="E23" s="1"/>
      <c r="F23" s="1"/>
      <c r="G23" s="1"/>
      <c r="H23" s="1"/>
      <c r="I23" s="1"/>
      <c r="J23" s="1"/>
      <c r="K23" s="1">
        <f>IFERROR(__xludf.DUMMYFUNCTION("""COMPUTED_VALUE"""),100.0)</f>
        <v>100</v>
      </c>
      <c r="L23" s="1"/>
      <c r="M23" s="1"/>
      <c r="N23" s="1"/>
      <c r="O23" s="1"/>
      <c r="P23" s="1"/>
      <c r="Q23" s="1"/>
      <c r="R23" s="1"/>
      <c r="S23" s="1"/>
      <c r="T23" s="1"/>
      <c r="U23" s="1"/>
      <c r="V23" s="1"/>
      <c r="W23" s="1"/>
      <c r="X23" s="1"/>
      <c r="Y23" s="1"/>
      <c r="Z23" s="1"/>
    </row>
    <row r="24">
      <c r="A24" s="1"/>
      <c r="B24" s="1"/>
      <c r="C24" s="1"/>
      <c r="D24" s="1"/>
      <c r="E24" s="1"/>
      <c r="F24" s="1"/>
      <c r="G24" s="1"/>
      <c r="H24" s="1"/>
      <c r="I24" s="1"/>
      <c r="J24" s="1"/>
      <c r="K24" s="1">
        <f>IFERROR(__xludf.DUMMYFUNCTION("""COMPUTED_VALUE"""),100.0)</f>
        <v>100</v>
      </c>
      <c r="L24" s="1"/>
      <c r="M24" s="1"/>
      <c r="N24" s="1"/>
      <c r="O24" s="1"/>
      <c r="P24" s="1"/>
      <c r="Q24" s="1"/>
      <c r="R24" s="1"/>
      <c r="S24" s="1"/>
      <c r="T24" s="1"/>
      <c r="U24" s="1"/>
      <c r="V24" s="1"/>
      <c r="W24" s="1"/>
      <c r="X24" s="1"/>
      <c r="Y24" s="1"/>
      <c r="Z24" s="1"/>
    </row>
    <row r="25">
      <c r="A25" s="1" t="str">
        <f>IFERROR(__xludf.DUMMYFUNCTION("""COMPUTED_VALUE"""),"Aonbharr of Manannán")</f>
        <v>Aonbharr of Manannán</v>
      </c>
      <c r="B25" s="1"/>
      <c r="C25" s="1"/>
      <c r="D25" s="1"/>
      <c r="E25" s="1"/>
      <c r="F25" s="1"/>
      <c r="G25" s="1"/>
      <c r="H25" s="1"/>
      <c r="I25" s="1"/>
      <c r="J25" s="1"/>
      <c r="K25" s="1"/>
      <c r="L25" s="1"/>
      <c r="M25" s="1"/>
      <c r="N25" s="1"/>
      <c r="O25" s="1"/>
      <c r="P25" s="1"/>
      <c r="Q25" s="1"/>
      <c r="R25" s="1"/>
      <c r="S25" s="1"/>
      <c r="T25" s="1"/>
      <c r="U25" s="1"/>
      <c r="V25" s="1"/>
      <c r="W25" s="1"/>
      <c r="X25" s="1"/>
      <c r="Y25" s="1"/>
      <c r="Z25" s="1"/>
    </row>
    <row r="26">
      <c r="A26" s="1" t="str">
        <f>IFERROR(__xludf.DUMMYFUNCTION("""COMPUTED_VALUE"""),"Aquatic Serpent")</f>
        <v>Aquatic Serpent</v>
      </c>
      <c r="B26" s="1"/>
      <c r="C26" s="1"/>
      <c r="D26" s="1"/>
      <c r="E26" s="1"/>
      <c r="F26" s="1"/>
      <c r="G26" s="1"/>
      <c r="H26" s="1"/>
      <c r="I26" s="1"/>
      <c r="J26" s="1"/>
      <c r="K26" s="1">
        <f>IFERROR(__xludf.DUMMYFUNCTION("""COMPUTED_VALUE"""),100.0)</f>
        <v>100</v>
      </c>
      <c r="L26" s="1"/>
      <c r="M26" s="1"/>
      <c r="N26" s="1"/>
      <c r="O26" s="1"/>
      <c r="P26" s="1"/>
      <c r="Q26" s="1"/>
      <c r="R26" s="1"/>
      <c r="S26" s="1"/>
      <c r="T26" s="1"/>
      <c r="U26" s="1"/>
      <c r="V26" s="1"/>
      <c r="W26" s="1"/>
      <c r="X26" s="1"/>
      <c r="Y26" s="1"/>
      <c r="Z26" s="1"/>
    </row>
    <row r="27">
      <c r="A27" s="1" t="str">
        <f>IFERROR(__xludf.DUMMYFUNCTION("""COMPUTED_VALUE"""),"Astral Dragon")</f>
        <v>Astral Dragon</v>
      </c>
      <c r="B27" s="1"/>
      <c r="C27" s="1"/>
      <c r="D27" s="1"/>
      <c r="E27" s="1"/>
      <c r="F27" s="1"/>
      <c r="G27" s="1"/>
      <c r="H27" s="1"/>
      <c r="I27" s="1"/>
      <c r="J27" s="1"/>
      <c r="K27" s="1"/>
      <c r="L27" s="1"/>
      <c r="M27" s="1"/>
      <c r="N27" s="1"/>
      <c r="O27" s="1"/>
      <c r="P27" s="1"/>
      <c r="Q27" s="1"/>
      <c r="R27" s="1"/>
      <c r="S27" s="1"/>
      <c r="T27" s="1"/>
      <c r="U27" s="1"/>
      <c r="V27" s="1"/>
      <c r="W27" s="1">
        <f>IFERROR(__xludf.DUMMYFUNCTION("""COMPUTED_VALUE"""),100.0)</f>
        <v>100</v>
      </c>
      <c r="X27" s="1"/>
      <c r="Y27" s="1"/>
      <c r="Z27" s="1"/>
    </row>
    <row r="28">
      <c r="A28" s="1" t="str">
        <f>IFERROR(__xludf.DUMMYFUNCTION("""COMPUTED_VALUE"""),"Baboon")</f>
        <v>Baboon</v>
      </c>
      <c r="B28" s="1"/>
      <c r="C28" s="1"/>
      <c r="D28" s="1"/>
      <c r="E28" s="1"/>
      <c r="F28" s="1"/>
      <c r="G28" s="1"/>
      <c r="H28" s="1"/>
      <c r="I28" s="1"/>
      <c r="J28" s="1"/>
      <c r="K28" s="1"/>
      <c r="L28" s="1"/>
      <c r="M28" s="1"/>
      <c r="N28" s="1"/>
      <c r="O28" s="1"/>
      <c r="P28" s="1"/>
      <c r="Q28" s="1"/>
      <c r="R28" s="1"/>
      <c r="S28" s="1"/>
      <c r="T28" s="1"/>
      <c r="U28" s="1"/>
      <c r="V28" s="1"/>
      <c r="W28" s="1"/>
      <c r="X28" s="1"/>
      <c r="Y28" s="1"/>
      <c r="Z28" s="1"/>
    </row>
    <row r="29">
      <c r="A29" s="1" t="str">
        <f>IFERROR(__xludf.DUMMYFUNCTION("""COMPUTED_VALUE"""),"Bandit")</f>
        <v>Bandit</v>
      </c>
      <c r="B29" s="1"/>
      <c r="C29" s="1"/>
      <c r="D29" s="1"/>
      <c r="E29" s="1"/>
      <c r="F29" s="1"/>
      <c r="G29" s="1"/>
      <c r="H29" s="1"/>
      <c r="I29" s="1"/>
      <c r="J29" s="1"/>
      <c r="K29" s="1"/>
      <c r="L29" s="1"/>
      <c r="M29" s="1"/>
      <c r="N29" s="1"/>
      <c r="O29" s="1"/>
      <c r="P29" s="1"/>
      <c r="Q29" s="1"/>
      <c r="R29" s="1"/>
      <c r="S29" s="1"/>
      <c r="T29" s="1"/>
      <c r="U29" s="1"/>
      <c r="V29" s="1"/>
      <c r="W29" s="1"/>
      <c r="X29" s="1"/>
      <c r="Y29" s="1"/>
      <c r="Z29" s="1"/>
    </row>
    <row r="30">
      <c r="A30" s="1" t="str">
        <f>IFERROR(__xludf.DUMMYFUNCTION("""COMPUTED_VALUE"""),"Bees")</f>
        <v>Bees</v>
      </c>
      <c r="B30" s="1">
        <f>IFERROR(__xludf.DUMMYFUNCTION("""COMPUTED_VALUE"""),100.0)</f>
        <v>100</v>
      </c>
      <c r="C30" s="1">
        <f>IFERROR(__xludf.DUMMYFUNCTION("""COMPUTED_VALUE"""),100.0)</f>
        <v>100</v>
      </c>
      <c r="D30" s="1"/>
      <c r="E30" s="1"/>
      <c r="F30" s="1"/>
      <c r="G30" s="1"/>
      <c r="H30" s="1"/>
      <c r="I30" s="1"/>
      <c r="J30" s="1"/>
      <c r="K30" s="1"/>
      <c r="L30" s="1"/>
      <c r="M30" s="1"/>
      <c r="N30" s="1"/>
      <c r="O30" s="1"/>
      <c r="P30" s="1"/>
      <c r="Q30" s="1"/>
      <c r="R30" s="1"/>
      <c r="S30" s="1"/>
      <c r="T30" s="1"/>
      <c r="U30" s="1"/>
      <c r="V30" s="1"/>
      <c r="W30" s="1"/>
      <c r="X30" s="1"/>
      <c r="Y30" s="1"/>
      <c r="Z30" s="1"/>
    </row>
    <row r="31">
      <c r="A31" s="1" t="str">
        <f>IFERROR(__xludf.DUMMYFUNCTION("""COMPUTED_VALUE"""),"Big Frost Owl")</f>
        <v>Big Frost Owl</v>
      </c>
      <c r="B31" s="1">
        <f>IFERROR(__xludf.DUMMYFUNCTION("""COMPUTED_VALUE"""),100.0)</f>
        <v>100</v>
      </c>
      <c r="C31" s="1"/>
      <c r="D31" s="1"/>
      <c r="E31" s="1"/>
      <c r="F31" s="1"/>
      <c r="G31" s="1"/>
      <c r="H31" s="1"/>
      <c r="I31" s="1"/>
      <c r="J31" s="1"/>
      <c r="K31" s="1">
        <f>IFERROR(__xludf.DUMMYFUNCTION("""COMPUTED_VALUE"""),100.0)</f>
        <v>100</v>
      </c>
      <c r="L31" s="1"/>
      <c r="M31" s="1"/>
      <c r="N31" s="1"/>
      <c r="O31" s="1"/>
      <c r="P31" s="1"/>
      <c r="Q31" s="1"/>
      <c r="R31" s="1"/>
      <c r="S31" s="1"/>
      <c r="T31" s="1"/>
      <c r="U31" s="1"/>
      <c r="V31" s="1"/>
      <c r="W31" s="1"/>
      <c r="X31" s="1"/>
      <c r="Y31" s="1"/>
      <c r="Z31" s="1"/>
    </row>
    <row r="32">
      <c r="A32" s="1" t="str">
        <f>IFERROR(__xludf.DUMMYFUNCTION("""COMPUTED_VALUE"""),"Black Soul")</f>
        <v>Black Soul</v>
      </c>
      <c r="B32" s="1">
        <f>IFERROR(__xludf.DUMMYFUNCTION("""COMPUTED_VALUE"""),100.0)</f>
        <v>100</v>
      </c>
      <c r="C32" s="1"/>
      <c r="D32" s="1"/>
      <c r="E32" s="1"/>
      <c r="F32" s="1">
        <f>IFERROR(__xludf.DUMMYFUNCTION("""COMPUTED_VALUE"""),100.0)</f>
        <v>100</v>
      </c>
      <c r="G32" s="1"/>
      <c r="H32" s="1"/>
      <c r="I32" s="1"/>
      <c r="J32" s="1"/>
      <c r="K32" s="1"/>
      <c r="L32" s="1"/>
      <c r="M32" s="1"/>
      <c r="N32" s="1"/>
      <c r="O32" s="1"/>
      <c r="P32" s="1"/>
      <c r="Q32" s="1"/>
      <c r="R32" s="1"/>
      <c r="S32" s="1"/>
      <c r="T32" s="1"/>
      <c r="U32" s="1"/>
      <c r="V32" s="1"/>
      <c r="W32" s="1"/>
      <c r="X32" s="1"/>
      <c r="Y32" s="1"/>
      <c r="Z32" s="1"/>
    </row>
    <row r="33">
      <c r="A33" s="1" t="str">
        <f>IFERROR(__xludf.DUMMYFUNCTION("""COMPUTED_VALUE"""),"Blood Monk")</f>
        <v>Blood Monk</v>
      </c>
      <c r="B33" s="1">
        <f>IFERROR(__xludf.DUMMYFUNCTION("""COMPUTED_VALUE"""),100.0)</f>
        <v>100</v>
      </c>
      <c r="C33" s="1"/>
      <c r="D33" s="1"/>
      <c r="E33" s="1"/>
      <c r="F33" s="1">
        <f>IFERROR(__xludf.DUMMYFUNCTION("""COMPUTED_VALUE"""),100.0)</f>
        <v>100</v>
      </c>
      <c r="G33" s="1"/>
      <c r="H33" s="1"/>
      <c r="I33" s="1"/>
      <c r="J33" s="1"/>
      <c r="K33" s="1"/>
      <c r="L33" s="1"/>
      <c r="M33" s="1"/>
      <c r="N33" s="1"/>
      <c r="O33" s="1"/>
      <c r="P33" s="1"/>
      <c r="Q33" s="1">
        <f>IFERROR(__xludf.DUMMYFUNCTION("""COMPUTED_VALUE"""),100.0)</f>
        <v>100</v>
      </c>
      <c r="R33" s="1"/>
      <c r="S33" s="1"/>
      <c r="T33" s="1"/>
      <c r="U33" s="1"/>
      <c r="V33" s="1"/>
      <c r="W33" s="1"/>
      <c r="X33" s="1"/>
      <c r="Y33" s="1"/>
      <c r="Z33" s="1"/>
    </row>
    <row r="34">
      <c r="A34" s="1" t="str">
        <f>IFERROR(__xludf.DUMMYFUNCTION("""COMPUTED_VALUE"""),"Blue Soul")</f>
        <v>Blue Soul</v>
      </c>
      <c r="B34" s="1"/>
      <c r="C34" s="1"/>
      <c r="D34" s="1"/>
      <c r="E34" s="1"/>
      <c r="F34" s="1"/>
      <c r="G34" s="1"/>
      <c r="H34" s="1"/>
      <c r="I34" s="1"/>
      <c r="J34" s="1"/>
      <c r="K34" s="1">
        <f>IFERROR(__xludf.DUMMYFUNCTION("""COMPUTED_VALUE"""),100.0)</f>
        <v>100</v>
      </c>
      <c r="L34" s="1"/>
      <c r="M34" s="1"/>
      <c r="N34" s="1"/>
      <c r="O34" s="1"/>
      <c r="P34" s="1"/>
      <c r="Q34" s="1"/>
      <c r="R34" s="1"/>
      <c r="S34" s="1"/>
      <c r="T34" s="1"/>
      <c r="U34" s="1"/>
      <c r="V34" s="1"/>
      <c r="W34" s="1"/>
      <c r="X34" s="1"/>
      <c r="Y34" s="1"/>
      <c r="Z34" s="1"/>
    </row>
    <row r="35">
      <c r="A35" s="1" t="str">
        <f>IFERROR(__xludf.DUMMYFUNCTION("""COMPUTED_VALUE"""),"Boar")</f>
        <v>Boar</v>
      </c>
      <c r="B35" s="1"/>
      <c r="C35" s="1"/>
      <c r="D35" s="1"/>
      <c r="E35" s="1"/>
      <c r="F35" s="1"/>
      <c r="G35" s="1"/>
      <c r="H35" s="1"/>
      <c r="I35" s="1"/>
      <c r="J35" s="1"/>
      <c r="K35" s="1"/>
      <c r="L35" s="1"/>
      <c r="M35" s="1"/>
      <c r="N35" s="1"/>
      <c r="O35" s="1"/>
      <c r="P35" s="1"/>
      <c r="Q35" s="1"/>
      <c r="R35" s="1"/>
      <c r="S35" s="1"/>
      <c r="T35" s="1"/>
      <c r="U35" s="1"/>
      <c r="V35" s="1"/>
      <c r="W35" s="1"/>
      <c r="X35" s="1"/>
      <c r="Y35" s="1"/>
      <c r="Z35" s="1"/>
    </row>
    <row r="36">
      <c r="A36" s="1" t="str">
        <f>IFERROR(__xludf.DUMMYFUNCTION("""COMPUTED_VALUE"""),"Bounty Hunter")</f>
        <v>Bounty Hunter</v>
      </c>
      <c r="B36" s="1"/>
      <c r="C36" s="1"/>
      <c r="D36" s="1"/>
      <c r="E36" s="1"/>
      <c r="F36" s="1">
        <f>IFERROR(__xludf.DUMMYFUNCTION("""COMPUTED_VALUE"""),100.0)</f>
        <v>100</v>
      </c>
      <c r="G36" s="1"/>
      <c r="H36" s="1"/>
      <c r="I36" s="1"/>
      <c r="J36" s="1"/>
      <c r="K36" s="1"/>
      <c r="L36" s="1"/>
      <c r="M36" s="1"/>
      <c r="N36" s="1"/>
      <c r="O36" s="1"/>
      <c r="P36" s="1"/>
      <c r="Q36" s="1"/>
      <c r="R36" s="1"/>
      <c r="S36" s="1"/>
      <c r="T36" s="1"/>
      <c r="U36" s="1"/>
      <c r="V36" s="1"/>
      <c r="W36" s="1"/>
      <c r="X36" s="1"/>
      <c r="Y36" s="1"/>
      <c r="Z36" s="1"/>
    </row>
    <row r="37">
      <c r="A37" s="1" t="str">
        <f>IFERROR(__xludf.DUMMYFUNCTION("""COMPUTED_VALUE"""),"Brown Soul")</f>
        <v>Brown Soul</v>
      </c>
      <c r="B37" s="1">
        <f>IFERROR(__xludf.DUMMYFUNCTION("""COMPUTED_VALUE"""),100.0)</f>
        <v>100</v>
      </c>
      <c r="C37" s="1"/>
      <c r="D37" s="1"/>
      <c r="E37" s="1"/>
      <c r="F37" s="1">
        <f>IFERROR(__xludf.DUMMYFUNCTION("""COMPUTED_VALUE"""),100.0)</f>
        <v>100</v>
      </c>
      <c r="G37" s="1"/>
      <c r="H37" s="1"/>
      <c r="I37" s="1"/>
      <c r="J37" s="1"/>
      <c r="K37" s="1"/>
      <c r="L37" s="1"/>
      <c r="M37" s="1"/>
      <c r="N37" s="1"/>
      <c r="O37" s="1"/>
      <c r="P37" s="1"/>
      <c r="Q37" s="1"/>
      <c r="R37" s="1"/>
      <c r="S37" s="1"/>
      <c r="T37" s="1"/>
      <c r="U37" s="1"/>
      <c r="V37" s="1"/>
      <c r="W37" s="1"/>
      <c r="X37" s="1"/>
      <c r="Y37" s="1"/>
      <c r="Z37" s="1"/>
    </row>
    <row r="38">
      <c r="A38" s="1" t="str">
        <f>IFERROR(__xludf.DUMMYFUNCTION("""COMPUTED_VALUE"""),"Bull")</f>
        <v>Bull</v>
      </c>
      <c r="B38" s="1"/>
      <c r="C38" s="1"/>
      <c r="D38" s="1"/>
      <c r="E38" s="1"/>
      <c r="F38" s="1"/>
      <c r="G38" s="1"/>
      <c r="H38" s="1"/>
      <c r="I38" s="1"/>
      <c r="J38" s="1"/>
      <c r="K38" s="1"/>
      <c r="L38" s="1"/>
      <c r="M38" s="1"/>
      <c r="N38" s="1"/>
      <c r="O38" s="1"/>
      <c r="P38" s="1"/>
      <c r="Q38" s="1"/>
      <c r="R38" s="1"/>
      <c r="S38" s="1"/>
      <c r="T38" s="1"/>
      <c r="U38" s="1"/>
      <c r="V38" s="1"/>
      <c r="W38" s="1"/>
      <c r="X38" s="1"/>
      <c r="Y38" s="1"/>
      <c r="Z38" s="1"/>
    </row>
    <row r="39">
      <c r="A39" s="1" t="str">
        <f>IFERROR(__xludf.DUMMYFUNCTION("""COMPUTED_VALUE"""),"Celestial Dragon")</f>
        <v>Celestial Dragon</v>
      </c>
      <c r="B39" s="1"/>
      <c r="C39" s="1"/>
      <c r="D39" s="1"/>
      <c r="E39" s="1"/>
      <c r="F39" s="1"/>
      <c r="G39" s="1"/>
      <c r="H39" s="1"/>
      <c r="I39" s="1"/>
      <c r="J39" s="1"/>
      <c r="K39" s="1"/>
      <c r="L39" s="1"/>
      <c r="M39" s="1"/>
      <c r="N39" s="1"/>
      <c r="O39" s="1"/>
      <c r="P39" s="1"/>
      <c r="Q39" s="1"/>
      <c r="R39" s="1"/>
      <c r="S39" s="1"/>
      <c r="T39" s="1"/>
      <c r="U39" s="1"/>
      <c r="V39" s="1">
        <f>IFERROR(__xludf.DUMMYFUNCTION("""COMPUTED_VALUE"""),100.0)</f>
        <v>100</v>
      </c>
      <c r="W39" s="1"/>
      <c r="X39" s="1"/>
      <c r="Y39" s="1"/>
      <c r="Z39" s="1"/>
    </row>
    <row r="40">
      <c r="A40" s="1" t="str">
        <f>IFERROR(__xludf.DUMMYFUNCTION("""COMPUTED_VALUE"""),"Cerberus Gatekeeper of Souls")</f>
        <v>Cerberus Gatekeeper of Souls</v>
      </c>
      <c r="B40" s="1"/>
      <c r="C40" s="1"/>
      <c r="D40" s="1"/>
      <c r="E40" s="1"/>
      <c r="F40" s="1">
        <f>IFERROR(__xludf.DUMMYFUNCTION("""COMPUTED_VALUE"""),100.0)</f>
        <v>100</v>
      </c>
      <c r="G40" s="1"/>
      <c r="H40" s="1"/>
      <c r="I40" s="1">
        <f>IFERROR(__xludf.DUMMYFUNCTION("""COMPUTED_VALUE"""),100.0)</f>
        <v>100</v>
      </c>
      <c r="J40" s="1"/>
      <c r="K40" s="1"/>
      <c r="L40" s="1"/>
      <c r="M40" s="1"/>
      <c r="N40" s="1"/>
      <c r="O40" s="1"/>
      <c r="P40" s="1"/>
      <c r="Q40" s="1"/>
      <c r="R40" s="1"/>
      <c r="S40" s="1"/>
      <c r="T40" s="1"/>
      <c r="U40" s="1"/>
      <c r="V40" s="1"/>
      <c r="W40" s="1"/>
      <c r="X40" s="1"/>
      <c r="Y40" s="1"/>
      <c r="Z40" s="1"/>
    </row>
    <row r="41">
      <c r="A41" s="1" t="str">
        <f>IFERROR(__xludf.DUMMYFUNCTION("""COMPUTED_VALUE"""),"Chaos Dragon")</f>
        <v>Chaos Dragon</v>
      </c>
      <c r="B41" s="1"/>
      <c r="C41" s="1"/>
      <c r="D41" s="1"/>
      <c r="E41" s="1"/>
      <c r="F41" s="1"/>
      <c r="G41" s="1"/>
      <c r="H41" s="1"/>
      <c r="I41" s="1">
        <f>IFERROR(__xludf.DUMMYFUNCTION("""COMPUTED_VALUE"""),100.0)</f>
        <v>100</v>
      </c>
      <c r="J41" s="1"/>
      <c r="K41" s="1"/>
      <c r="L41" s="1"/>
      <c r="M41" s="1"/>
      <c r="N41" s="1"/>
      <c r="O41" s="1"/>
      <c r="P41" s="1"/>
      <c r="Q41" s="1"/>
      <c r="R41" s="1"/>
      <c r="S41" s="1"/>
      <c r="T41" s="1"/>
      <c r="U41" s="1"/>
      <c r="V41" s="1"/>
      <c r="W41" s="1"/>
      <c r="X41" s="1"/>
      <c r="Y41" s="1"/>
      <c r="Z41" s="1"/>
    </row>
    <row r="42">
      <c r="A42" s="1" t="str">
        <f>IFERROR(__xludf.DUMMYFUNCTION("""COMPUTED_VALUE"""),"Chaotic Shadow Gnome")</f>
        <v>Chaotic Shadow Gnome</v>
      </c>
      <c r="B42" s="1"/>
      <c r="C42" s="1"/>
      <c r="D42" s="1"/>
      <c r="E42" s="1"/>
      <c r="F42" s="1"/>
      <c r="G42" s="1"/>
      <c r="H42" s="1"/>
      <c r="I42" s="1"/>
      <c r="J42" s="1"/>
      <c r="K42" s="1"/>
      <c r="L42" s="1"/>
      <c r="M42" s="1"/>
      <c r="N42" s="1"/>
      <c r="O42" s="1"/>
      <c r="P42" s="1"/>
      <c r="Q42" s="1"/>
      <c r="R42" s="1"/>
      <c r="S42" s="1"/>
      <c r="T42" s="1"/>
      <c r="U42" s="1"/>
      <c r="V42" s="1"/>
      <c r="W42" s="1"/>
      <c r="X42" s="1"/>
      <c r="Y42" s="1"/>
      <c r="Z42" s="1"/>
    </row>
    <row r="43">
      <c r="A43" s="1" t="str">
        <f>IFERROR(__xludf.DUMMYFUNCTION("""COMPUTED_VALUE"""),"Chaotic Shadow Golem")</f>
        <v>Chaotic Shadow Golem</v>
      </c>
      <c r="B43" s="1">
        <f>IFERROR(__xludf.DUMMYFUNCTION("""COMPUTED_VALUE"""),100.0)</f>
        <v>100</v>
      </c>
      <c r="C43" s="1"/>
      <c r="D43" s="1"/>
      <c r="E43" s="1"/>
      <c r="F43" s="1">
        <f>IFERROR(__xludf.DUMMYFUNCTION("""COMPUTED_VALUE"""),100.0)</f>
        <v>100</v>
      </c>
      <c r="G43" s="1"/>
      <c r="H43" s="1"/>
      <c r="I43" s="1">
        <f>IFERROR(__xludf.DUMMYFUNCTION("""COMPUTED_VALUE"""),100.0)</f>
        <v>100</v>
      </c>
      <c r="J43" s="1"/>
      <c r="K43" s="1"/>
      <c r="L43" s="1"/>
      <c r="M43" s="1"/>
      <c r="N43" s="1"/>
      <c r="O43" s="1"/>
      <c r="P43" s="1"/>
      <c r="Q43" s="1"/>
      <c r="R43" s="1"/>
      <c r="S43" s="1"/>
      <c r="T43" s="1"/>
      <c r="U43" s="1"/>
      <c r="V43" s="1"/>
      <c r="W43" s="1"/>
      <c r="X43" s="1"/>
      <c r="Y43" s="1"/>
      <c r="Z43" s="1"/>
    </row>
    <row r="44">
      <c r="A44" s="1" t="str">
        <f>IFERROR(__xludf.DUMMYFUNCTION("""COMPUTED_VALUE"""),"Chaotic Shadow Phantom")</f>
        <v>Chaotic Shadow Phantom</v>
      </c>
      <c r="B44" s="1">
        <f>IFERROR(__xludf.DUMMYFUNCTION("""COMPUTED_VALUE"""),100.0)</f>
        <v>100</v>
      </c>
      <c r="C44" s="1"/>
      <c r="D44" s="1"/>
      <c r="E44" s="1"/>
      <c r="F44" s="1">
        <f>IFERROR(__xludf.DUMMYFUNCTION("""COMPUTED_VALUE"""),100.0)</f>
        <v>100</v>
      </c>
      <c r="G44" s="1"/>
      <c r="H44" s="1"/>
      <c r="I44" s="1">
        <f>IFERROR(__xludf.DUMMYFUNCTION("""COMPUTED_VALUE"""),100.0)</f>
        <v>100</v>
      </c>
      <c r="J44" s="1"/>
      <c r="K44" s="1"/>
      <c r="L44" s="1"/>
      <c r="M44" s="1"/>
      <c r="N44" s="1"/>
      <c r="O44" s="1"/>
      <c r="P44" s="1"/>
      <c r="Q44" s="1"/>
      <c r="R44" s="1"/>
      <c r="S44" s="1"/>
      <c r="T44" s="1"/>
      <c r="U44" s="1"/>
      <c r="V44" s="1"/>
      <c r="W44" s="1"/>
      <c r="X44" s="1"/>
      <c r="Y44" s="1"/>
      <c r="Z44" s="1"/>
    </row>
    <row r="45">
      <c r="A45" s="1" t="str">
        <f>IFERROR(__xludf.DUMMYFUNCTION("""COMPUTED_VALUE"""),"Chaotic Shadow Royal Knight")</f>
        <v>Chaotic Shadow Royal Knight</v>
      </c>
      <c r="B45" s="1">
        <f>IFERROR(__xludf.DUMMYFUNCTION("""COMPUTED_VALUE"""),100.0)</f>
        <v>100</v>
      </c>
      <c r="C45" s="1"/>
      <c r="D45" s="1"/>
      <c r="E45" s="1"/>
      <c r="F45" s="1">
        <f>IFERROR(__xludf.DUMMYFUNCTION("""COMPUTED_VALUE"""),100.0)</f>
        <v>100</v>
      </c>
      <c r="G45" s="1"/>
      <c r="H45" s="1"/>
      <c r="I45" s="1">
        <f>IFERROR(__xludf.DUMMYFUNCTION("""COMPUTED_VALUE"""),100.0)</f>
        <v>100</v>
      </c>
      <c r="J45" s="1"/>
      <c r="K45" s="1"/>
      <c r="L45" s="1"/>
      <c r="M45" s="1"/>
      <c r="N45" s="1"/>
      <c r="O45" s="1"/>
      <c r="P45" s="1"/>
      <c r="Q45" s="1"/>
      <c r="R45" s="1"/>
      <c r="S45" s="1"/>
      <c r="T45" s="1"/>
      <c r="U45" s="1"/>
      <c r="V45" s="1"/>
      <c r="W45" s="1"/>
      <c r="X45" s="1"/>
      <c r="Y45" s="1"/>
      <c r="Z45" s="1"/>
    </row>
    <row r="46">
      <c r="A46" s="1" t="str">
        <f>IFERROR(__xludf.DUMMYFUNCTION("""COMPUTED_VALUE"""),"colossus suit of armor")</f>
        <v>colossus suit of armor</v>
      </c>
      <c r="B46" s="1"/>
      <c r="C46" s="1"/>
      <c r="D46" s="1"/>
      <c r="E46" s="1"/>
      <c r="F46" s="1"/>
      <c r="G46" s="1"/>
      <c r="H46" s="1"/>
      <c r="I46" s="1"/>
      <c r="J46" s="1">
        <f>IFERROR(__xludf.DUMMYFUNCTION("""COMPUTED_VALUE"""),100.0)</f>
        <v>100</v>
      </c>
      <c r="K46" s="1"/>
      <c r="L46" s="1"/>
      <c r="M46" s="1"/>
      <c r="N46" s="1"/>
      <c r="O46" s="1"/>
      <c r="P46" s="1"/>
      <c r="Q46" s="1"/>
      <c r="R46" s="1"/>
      <c r="S46" s="1"/>
      <c r="T46" s="1"/>
      <c r="U46" s="1"/>
      <c r="V46" s="1"/>
      <c r="W46" s="1"/>
      <c r="X46" s="1"/>
      <c r="Y46" s="1"/>
      <c r="Z46" s="1"/>
    </row>
    <row r="47">
      <c r="A47" s="1" t="str">
        <f>IFERROR(__xludf.DUMMYFUNCTION("""COMPUTED_VALUE"""),"Corrupted Twilight Knight")</f>
        <v>Corrupted Twilight Knight</v>
      </c>
      <c r="B47" s="1"/>
      <c r="C47" s="1"/>
      <c r="D47" s="1"/>
      <c r="E47" s="1"/>
      <c r="F47" s="1"/>
      <c r="G47" s="1"/>
      <c r="H47" s="1"/>
      <c r="I47" s="1"/>
      <c r="J47" s="1"/>
      <c r="K47" s="1"/>
      <c r="L47" s="1"/>
      <c r="M47" s="1"/>
      <c r="N47" s="1"/>
      <c r="O47" s="1"/>
      <c r="P47" s="1"/>
      <c r="Q47" s="1"/>
      <c r="R47" s="1"/>
      <c r="S47" s="1"/>
      <c r="T47" s="1"/>
      <c r="U47" s="1"/>
      <c r="V47" s="1"/>
      <c r="W47" s="1"/>
      <c r="X47" s="1"/>
      <c r="Y47" s="1"/>
      <c r="Z47" s="1"/>
    </row>
    <row r="48">
      <c r="A48" s="1" t="str">
        <f>IFERROR(__xludf.DUMMYFUNCTION("""COMPUTED_VALUE"""),"Corrupted Twilight Knight")</f>
        <v>Corrupted Twilight Knight</v>
      </c>
      <c r="B48" s="1"/>
      <c r="C48" s="1"/>
      <c r="D48" s="1"/>
      <c r="E48" s="1"/>
      <c r="F48" s="1"/>
      <c r="G48" s="1"/>
      <c r="H48" s="1"/>
      <c r="I48" s="1"/>
      <c r="J48" s="1"/>
      <c r="K48" s="1"/>
      <c r="L48" s="1"/>
      <c r="M48" s="1"/>
      <c r="N48" s="1"/>
      <c r="O48" s="1"/>
      <c r="P48" s="1"/>
      <c r="Q48" s="1"/>
      <c r="R48" s="1"/>
      <c r="S48" s="1"/>
      <c r="T48" s="1"/>
      <c r="U48" s="1"/>
      <c r="V48" s="1"/>
      <c r="W48" s="1"/>
      <c r="X48" s="1"/>
      <c r="Y48" s="1"/>
      <c r="Z48" s="1"/>
    </row>
    <row r="49">
      <c r="A49" s="1" t="str">
        <f>IFERROR(__xludf.DUMMYFUNCTION("""COMPUTED_VALUE"""),"Cremagetion")</f>
        <v>Cremagetion</v>
      </c>
      <c r="B49" s="1"/>
      <c r="C49" s="1">
        <f>IFERROR(__xludf.DUMMYFUNCTION("""COMPUTED_VALUE"""),100.0)</f>
        <v>100</v>
      </c>
      <c r="D49" s="1"/>
      <c r="E49" s="1"/>
      <c r="F49" s="1"/>
      <c r="G49" s="1"/>
      <c r="H49" s="1"/>
      <c r="I49" s="1"/>
      <c r="J49" s="1"/>
      <c r="K49" s="1"/>
      <c r="L49" s="1"/>
      <c r="M49" s="1"/>
      <c r="N49" s="1"/>
      <c r="O49" s="1"/>
      <c r="P49" s="1"/>
      <c r="Q49" s="1"/>
      <c r="R49" s="1"/>
      <c r="S49" s="1"/>
      <c r="T49" s="1"/>
      <c r="U49" s="1"/>
      <c r="V49" s="1"/>
      <c r="W49" s="1"/>
      <c r="X49" s="1"/>
      <c r="Y49" s="1"/>
      <c r="Z49" s="1"/>
    </row>
    <row r="50">
      <c r="A50" s="1" t="str">
        <f>IFERROR(__xludf.DUMMYFUNCTION("""COMPUTED_VALUE"""),"Crow")</f>
        <v>Crow</v>
      </c>
      <c r="B50" s="1"/>
      <c r="C50" s="1"/>
      <c r="D50" s="1"/>
      <c r="E50" s="1"/>
      <c r="F50" s="1"/>
      <c r="G50" s="1"/>
      <c r="H50" s="1"/>
      <c r="I50" s="1"/>
      <c r="J50" s="1"/>
      <c r="K50" s="1"/>
      <c r="L50" s="1"/>
      <c r="M50" s="1"/>
      <c r="N50" s="1"/>
      <c r="O50" s="1"/>
      <c r="P50" s="1"/>
      <c r="Q50" s="1"/>
      <c r="R50" s="1"/>
      <c r="S50" s="1"/>
      <c r="T50" s="1"/>
      <c r="U50" s="1"/>
      <c r="V50" s="1"/>
      <c r="W50" s="1"/>
      <c r="X50" s="1"/>
      <c r="Y50" s="1"/>
      <c r="Z50" s="1"/>
    </row>
    <row r="51">
      <c r="A51" s="1" t="str">
        <f>IFERROR(__xludf.DUMMYFUNCTION("""COMPUTED_VALUE"""),"Crystal Dragon")</f>
        <v>Crystal Dragon</v>
      </c>
      <c r="B51" s="1"/>
      <c r="C51" s="1">
        <f>IFERROR(__xludf.DUMMYFUNCTION("""COMPUTED_VALUE"""),100.0)</f>
        <v>100</v>
      </c>
      <c r="D51" s="1">
        <f>IFERROR(__xludf.DUMMYFUNCTION("""COMPUTED_VALUE"""),100.0)</f>
        <v>100</v>
      </c>
      <c r="E51" s="1"/>
      <c r="F51" s="1"/>
      <c r="G51" s="1"/>
      <c r="H51" s="1"/>
      <c r="I51" s="1"/>
      <c r="J51" s="1"/>
      <c r="K51" s="1"/>
      <c r="L51" s="1"/>
      <c r="M51" s="1"/>
      <c r="N51" s="1"/>
      <c r="O51" s="1"/>
      <c r="P51" s="1"/>
      <c r="Q51" s="1"/>
      <c r="R51" s="1"/>
      <c r="S51" s="1"/>
      <c r="T51" s="1"/>
      <c r="U51" s="1"/>
      <c r="V51" s="1"/>
      <c r="W51" s="1"/>
      <c r="X51" s="1"/>
      <c r="Y51" s="1"/>
      <c r="Z51" s="1"/>
    </row>
    <row r="52">
      <c r="A52" s="1"/>
      <c r="B52" s="1"/>
      <c r="C52" s="1">
        <f>IFERROR(__xludf.DUMMYFUNCTION("""COMPUTED_VALUE"""),100.0)</f>
        <v>100</v>
      </c>
      <c r="D52" s="1">
        <f>IFERROR(__xludf.DUMMYFUNCTION("""COMPUTED_VALUE"""),100.0)</f>
        <v>100</v>
      </c>
      <c r="E52" s="1"/>
      <c r="F52" s="1"/>
      <c r="G52" s="1"/>
      <c r="H52" s="1"/>
      <c r="I52" s="1"/>
      <c r="J52" s="1"/>
      <c r="K52" s="1"/>
      <c r="L52" s="1"/>
      <c r="M52" s="1"/>
      <c r="N52" s="1"/>
      <c r="O52" s="1"/>
      <c r="P52" s="1"/>
      <c r="Q52" s="1"/>
      <c r="R52" s="1"/>
      <c r="S52" s="1"/>
      <c r="T52" s="1"/>
      <c r="U52" s="1"/>
      <c r="V52" s="1"/>
      <c r="W52" s="1"/>
      <c r="X52" s="1"/>
      <c r="Y52" s="1"/>
      <c r="Z52" s="1"/>
    </row>
    <row r="53">
      <c r="A53" s="1" t="str">
        <f>IFERROR(__xludf.DUMMYFUNCTION("""COMPUTED_VALUE"""),"Cthulhu")</f>
        <v>Cthulhu</v>
      </c>
      <c r="B53" s="1"/>
      <c r="C53" s="1"/>
      <c r="D53" s="1">
        <f>IFERROR(__xludf.DUMMYFUNCTION("""COMPUTED_VALUE"""),100.0)</f>
        <v>100</v>
      </c>
      <c r="E53" s="1"/>
      <c r="F53" s="1">
        <f>IFERROR(__xludf.DUMMYFUNCTION("""COMPUTED_VALUE"""),100.0)</f>
        <v>100</v>
      </c>
      <c r="G53" s="1"/>
      <c r="H53" s="1"/>
      <c r="I53" s="1"/>
      <c r="J53" s="1"/>
      <c r="K53" s="1">
        <f>IFERROR(__xludf.DUMMYFUNCTION("""COMPUTED_VALUE"""),100.0)</f>
        <v>100</v>
      </c>
      <c r="L53" s="1"/>
      <c r="M53" s="1"/>
      <c r="N53" s="1"/>
      <c r="O53" s="1"/>
      <c r="P53" s="1"/>
      <c r="Q53" s="1"/>
      <c r="R53" s="1"/>
      <c r="S53" s="1"/>
      <c r="T53" s="1"/>
      <c r="U53" s="1"/>
      <c r="V53" s="1"/>
      <c r="W53" s="1">
        <f>IFERROR(__xludf.DUMMYFUNCTION("""COMPUTED_VALUE"""),100.0)</f>
        <v>100</v>
      </c>
      <c r="X53" s="1"/>
      <c r="Y53" s="1"/>
      <c r="Z53" s="1"/>
    </row>
    <row r="54">
      <c r="A54" s="1" t="str">
        <f>IFERROR(__xludf.DUMMYFUNCTION("""COMPUTED_VALUE"""),"Cultist of Dreadful")</f>
        <v>Cultist of Dreadful</v>
      </c>
      <c r="B54" s="1"/>
      <c r="C54" s="1"/>
      <c r="D54" s="1"/>
      <c r="E54" s="1"/>
      <c r="F54" s="1">
        <f>IFERROR(__xludf.DUMMYFUNCTION("""COMPUTED_VALUE"""),100.0)</f>
        <v>100</v>
      </c>
      <c r="G54" s="1"/>
      <c r="H54" s="1"/>
      <c r="I54" s="1">
        <f>IFERROR(__xludf.DUMMYFUNCTION("""COMPUTED_VALUE"""),100.0)</f>
        <v>100</v>
      </c>
      <c r="J54" s="1"/>
      <c r="K54" s="1"/>
      <c r="L54" s="1"/>
      <c r="M54" s="1"/>
      <c r="N54" s="1"/>
      <c r="O54" s="1"/>
      <c r="P54" s="1"/>
      <c r="Q54" s="1"/>
      <c r="R54" s="1"/>
      <c r="S54" s="1"/>
      <c r="T54" s="1"/>
      <c r="U54" s="1"/>
      <c r="V54" s="1"/>
      <c r="W54" s="1"/>
      <c r="X54" s="1"/>
      <c r="Y54" s="1"/>
      <c r="Z54" s="1"/>
    </row>
    <row r="55">
      <c r="A55" s="1" t="str">
        <f>IFERROR(__xludf.DUMMYFUNCTION("""COMPUTED_VALUE"""),"Cultist Leader")</f>
        <v>Cultist Leader</v>
      </c>
      <c r="B55" s="1"/>
      <c r="C55" s="1"/>
      <c r="D55" s="1"/>
      <c r="E55" s="1"/>
      <c r="F55" s="1">
        <f>IFERROR(__xludf.DUMMYFUNCTION("""COMPUTED_VALUE"""),100.0)</f>
        <v>100</v>
      </c>
      <c r="G55" s="1"/>
      <c r="H55" s="1"/>
      <c r="I55" s="1">
        <f>IFERROR(__xludf.DUMMYFUNCTION("""COMPUTED_VALUE"""),100.0)</f>
        <v>100</v>
      </c>
      <c r="J55" s="1"/>
      <c r="K55" s="1"/>
      <c r="L55" s="1"/>
      <c r="M55" s="1"/>
      <c r="N55" s="1"/>
      <c r="O55" s="1"/>
      <c r="P55" s="1"/>
      <c r="Q55" s="1"/>
      <c r="R55" s="1"/>
      <c r="S55" s="1"/>
      <c r="T55" s="1"/>
      <c r="U55" s="1"/>
      <c r="V55" s="1"/>
      <c r="W55" s="1"/>
      <c r="X55" s="1"/>
      <c r="Y55" s="1"/>
      <c r="Z55" s="1"/>
    </row>
    <row r="56">
      <c r="A56" s="1" t="str">
        <f>IFERROR(__xludf.DUMMYFUNCTION("""COMPUTED_VALUE"""),"Cursed Ronin")</f>
        <v>Cursed Ronin</v>
      </c>
      <c r="B56" s="1"/>
      <c r="C56" s="1"/>
      <c r="D56" s="1"/>
      <c r="E56" s="1"/>
      <c r="F56" s="1">
        <f>IFERROR(__xludf.DUMMYFUNCTION("""COMPUTED_VALUE"""),100.0)</f>
        <v>100</v>
      </c>
      <c r="G56" s="1"/>
      <c r="H56" s="1"/>
      <c r="I56" s="1">
        <f>IFERROR(__xludf.DUMMYFUNCTION("""COMPUTED_VALUE"""),100.0)</f>
        <v>100</v>
      </c>
      <c r="J56" s="1"/>
      <c r="K56" s="1"/>
      <c r="L56" s="1"/>
      <c r="M56" s="1"/>
      <c r="N56" s="1"/>
      <c r="O56" s="1"/>
      <c r="P56" s="1"/>
      <c r="Q56" s="1"/>
      <c r="R56" s="1"/>
      <c r="S56" s="1"/>
      <c r="T56" s="1"/>
      <c r="U56" s="1"/>
      <c r="V56" s="1"/>
      <c r="W56" s="1"/>
      <c r="X56" s="1"/>
      <c r="Y56" s="1"/>
      <c r="Z56" s="1"/>
    </row>
    <row r="57">
      <c r="A57" s="1" t="str">
        <f>IFERROR(__xludf.DUMMYFUNCTION("""COMPUTED_VALUE"""),"Cursed Samurai")</f>
        <v>Cursed Samurai</v>
      </c>
      <c r="B57" s="1">
        <f>IFERROR(__xludf.DUMMYFUNCTION("""COMPUTED_VALUE"""),100.0)</f>
        <v>100</v>
      </c>
      <c r="C57" s="1"/>
      <c r="D57" s="1"/>
      <c r="E57" s="1"/>
      <c r="F57" s="1">
        <f>IFERROR(__xludf.DUMMYFUNCTION("""COMPUTED_VALUE"""),100.0)</f>
        <v>100</v>
      </c>
      <c r="G57" s="1"/>
      <c r="H57" s="1"/>
      <c r="I57" s="1"/>
      <c r="J57" s="1"/>
      <c r="K57" s="1"/>
      <c r="L57" s="1"/>
      <c r="M57" s="1"/>
      <c r="N57" s="1"/>
      <c r="O57" s="1"/>
      <c r="P57" s="1"/>
      <c r="Q57" s="1"/>
      <c r="R57" s="1"/>
      <c r="S57" s="1"/>
      <c r="T57" s="1"/>
      <c r="U57" s="1"/>
      <c r="V57" s="1"/>
      <c r="W57" s="1"/>
      <c r="X57" s="1"/>
      <c r="Y57" s="1"/>
      <c r="Z57" s="1"/>
    </row>
    <row r="58">
      <c r="A58" s="1" t="str">
        <f>IFERROR(__xludf.DUMMYFUNCTION("""COMPUTED_VALUE"""),"Cyclops")</f>
        <v>Cyclops</v>
      </c>
      <c r="B58" s="1"/>
      <c r="C58" s="1"/>
      <c r="D58" s="1"/>
      <c r="E58" s="1"/>
      <c r="F58" s="1"/>
      <c r="G58" s="1"/>
      <c r="H58" s="1"/>
      <c r="I58" s="1"/>
      <c r="J58" s="1"/>
      <c r="K58" s="1"/>
      <c r="L58" s="1"/>
      <c r="M58" s="1"/>
      <c r="N58" s="1"/>
      <c r="O58" s="1"/>
      <c r="P58" s="1"/>
      <c r="Q58" s="1"/>
      <c r="R58" s="1"/>
      <c r="S58" s="1"/>
      <c r="T58" s="1"/>
      <c r="U58" s="1"/>
      <c r="V58" s="1"/>
      <c r="W58" s="1"/>
      <c r="X58" s="1"/>
      <c r="Y58" s="1"/>
      <c r="Z58" s="1"/>
    </row>
    <row r="59">
      <c r="A59" s="1" t="str">
        <f>IFERROR(__xludf.DUMMYFUNCTION("""COMPUTED_VALUE"""),"Dark Dragon")</f>
        <v>Dark Dragon</v>
      </c>
      <c r="B59" s="1">
        <f>IFERROR(__xludf.DUMMYFUNCTION("""COMPUTED_VALUE"""),100.0)</f>
        <v>100</v>
      </c>
      <c r="C59" s="1"/>
      <c r="D59" s="1"/>
      <c r="E59" s="1"/>
      <c r="F59" s="1">
        <f>IFERROR(__xludf.DUMMYFUNCTION("""COMPUTED_VALUE"""),100.0)</f>
        <v>100</v>
      </c>
      <c r="G59" s="1"/>
      <c r="H59" s="1"/>
      <c r="I59" s="1"/>
      <c r="J59" s="1"/>
      <c r="K59" s="1"/>
      <c r="L59" s="1"/>
      <c r="M59" s="1"/>
      <c r="N59" s="1"/>
      <c r="O59" s="1"/>
      <c r="P59" s="1"/>
      <c r="Q59" s="1"/>
      <c r="R59" s="1"/>
      <c r="S59" s="1"/>
      <c r="T59" s="1"/>
      <c r="U59" s="1"/>
      <c r="V59" s="1"/>
      <c r="W59" s="1"/>
      <c r="X59" s="1"/>
      <c r="Y59" s="1"/>
      <c r="Z59" s="1"/>
    </row>
    <row r="60">
      <c r="A60" s="1" t="str">
        <f>IFERROR(__xludf.DUMMYFUNCTION("""COMPUTED_VALUE"""),"Dark Snow Warrior")</f>
        <v>Dark Snow Warrior</v>
      </c>
      <c r="B60" s="1">
        <f>IFERROR(__xludf.DUMMYFUNCTION("""COMPUTED_VALUE"""),100.0)</f>
        <v>100</v>
      </c>
      <c r="C60" s="1"/>
      <c r="D60" s="1"/>
      <c r="E60" s="1"/>
      <c r="F60" s="1"/>
      <c r="G60" s="1"/>
      <c r="H60" s="1"/>
      <c r="I60" s="1"/>
      <c r="J60" s="1"/>
      <c r="K60" s="1"/>
      <c r="L60" s="1"/>
      <c r="M60" s="1"/>
      <c r="N60" s="1"/>
      <c r="O60" s="1"/>
      <c r="P60" s="1"/>
      <c r="Q60" s="1"/>
      <c r="R60" s="1"/>
      <c r="S60" s="1"/>
      <c r="T60" s="1"/>
      <c r="U60" s="1"/>
      <c r="V60" s="1"/>
      <c r="W60" s="1"/>
      <c r="X60" s="1"/>
      <c r="Y60" s="1"/>
      <c r="Z60" s="1"/>
    </row>
    <row r="61">
      <c r="A61" s="1" t="str">
        <f>IFERROR(__xludf.DUMMYFUNCTION("""COMPUTED_VALUE"""),"Dark Wizard")</f>
        <v>Dark Wizard</v>
      </c>
      <c r="B61" s="1"/>
      <c r="C61" s="1"/>
      <c r="D61" s="1"/>
      <c r="E61" s="1"/>
      <c r="F61" s="1">
        <f>IFERROR(__xludf.DUMMYFUNCTION("""COMPUTED_VALUE"""),100.0)</f>
        <v>100</v>
      </c>
      <c r="G61" s="1"/>
      <c r="H61" s="1"/>
      <c r="I61" s="1"/>
      <c r="J61" s="1"/>
      <c r="K61" s="1"/>
      <c r="L61" s="1"/>
      <c r="M61" s="1"/>
      <c r="N61" s="1"/>
      <c r="O61" s="1"/>
      <c r="P61" s="1"/>
      <c r="Q61" s="1"/>
      <c r="R61" s="1"/>
      <c r="S61" s="1"/>
      <c r="T61" s="1"/>
      <c r="U61" s="1"/>
      <c r="V61" s="1"/>
      <c r="W61" s="1"/>
      <c r="X61" s="1"/>
      <c r="Y61" s="1"/>
      <c r="Z61" s="1"/>
    </row>
    <row r="62">
      <c r="A62" s="1" t="str">
        <f>IFERROR(__xludf.DUMMYFUNCTION("""COMPUTED_VALUE"""),"Death's Royal Guard")</f>
        <v>Death's Royal Guard</v>
      </c>
      <c r="B62" s="1">
        <f>IFERROR(__xludf.DUMMYFUNCTION("""COMPUTED_VALUE"""),100.0)</f>
        <v>100</v>
      </c>
      <c r="C62" s="1"/>
      <c r="D62" s="1"/>
      <c r="E62" s="1"/>
      <c r="F62" s="1">
        <f>IFERROR(__xludf.DUMMYFUNCTION("""COMPUTED_VALUE"""),100.0)</f>
        <v>100</v>
      </c>
      <c r="G62" s="1"/>
      <c r="H62" s="1"/>
      <c r="I62" s="1">
        <f>IFERROR(__xludf.DUMMYFUNCTION("""COMPUTED_VALUE"""),100.0)</f>
        <v>100</v>
      </c>
      <c r="J62" s="1"/>
      <c r="K62" s="1"/>
      <c r="L62" s="1"/>
      <c r="M62" s="1"/>
      <c r="N62" s="1"/>
      <c r="O62" s="1"/>
      <c r="P62" s="1"/>
      <c r="Q62" s="1"/>
      <c r="R62" s="1"/>
      <c r="S62" s="1"/>
      <c r="T62" s="1"/>
      <c r="U62" s="1"/>
      <c r="V62" s="1"/>
      <c r="W62" s="1"/>
      <c r="X62" s="1"/>
      <c r="Y62" s="1"/>
      <c r="Z62" s="1"/>
    </row>
    <row r="63">
      <c r="A63" s="1" t="str">
        <f>IFERROR(__xludf.DUMMYFUNCTION("""COMPUTED_VALUE"""),"Deathblade The Dragon Hunter")</f>
        <v>Deathblade The Dragon Hunter</v>
      </c>
      <c r="B63" s="1">
        <f>IFERROR(__xludf.DUMMYFUNCTION("""COMPUTED_VALUE"""),100.0)</f>
        <v>100</v>
      </c>
      <c r="C63" s="1"/>
      <c r="D63" s="1"/>
      <c r="E63" s="1"/>
      <c r="F63" s="1">
        <f>IFERROR(__xludf.DUMMYFUNCTION("""COMPUTED_VALUE"""),100.0)</f>
        <v>100</v>
      </c>
      <c r="G63" s="1"/>
      <c r="H63" s="1"/>
      <c r="I63" s="1">
        <f>IFERROR(__xludf.DUMMYFUNCTION("""COMPUTED_VALUE"""),100.0)</f>
        <v>100</v>
      </c>
      <c r="J63" s="1"/>
      <c r="K63" s="1"/>
      <c r="L63" s="1"/>
      <c r="M63" s="1"/>
      <c r="N63" s="1"/>
      <c r="O63" s="1"/>
      <c r="P63" s="1"/>
      <c r="Q63" s="1"/>
      <c r="R63" s="1"/>
      <c r="S63" s="1"/>
      <c r="T63" s="1"/>
      <c r="U63" s="1"/>
      <c r="V63" s="1"/>
      <c r="W63" s="1"/>
      <c r="X63" s="1"/>
      <c r="Y63" s="1"/>
      <c r="Z63" s="1"/>
    </row>
    <row r="64">
      <c r="A64" s="1" t="str">
        <f>IFERROR(__xludf.DUMMYFUNCTION("""COMPUTED_VALUE"""),"DeathBlade The Dragon Hunter")</f>
        <v>DeathBlade The Dragon Hunter</v>
      </c>
      <c r="B64" s="1">
        <f>IFERROR(__xludf.DUMMYFUNCTION("""COMPUTED_VALUE"""),100.0)</f>
        <v>100</v>
      </c>
      <c r="C64" s="1"/>
      <c r="D64" s="1"/>
      <c r="E64" s="1"/>
      <c r="F64" s="1">
        <f>IFERROR(__xludf.DUMMYFUNCTION("""COMPUTED_VALUE"""),100.0)</f>
        <v>100</v>
      </c>
      <c r="G64" s="1"/>
      <c r="H64" s="1"/>
      <c r="I64" s="1">
        <f>IFERROR(__xludf.DUMMYFUNCTION("""COMPUTED_VALUE"""),100.0)</f>
        <v>100</v>
      </c>
      <c r="J64" s="1"/>
      <c r="K64" s="1"/>
      <c r="L64" s="1"/>
      <c r="M64" s="1"/>
      <c r="N64" s="1"/>
      <c r="O64" s="1"/>
      <c r="P64" s="1"/>
      <c r="Q64" s="1"/>
      <c r="R64" s="1"/>
      <c r="S64" s="1"/>
      <c r="T64" s="1"/>
      <c r="U64" s="1"/>
      <c r="V64" s="1"/>
      <c r="W64" s="1"/>
      <c r="X64" s="1"/>
      <c r="Y64" s="1"/>
      <c r="Z64" s="1"/>
    </row>
    <row r="65">
      <c r="A65" s="1" t="str">
        <f>IFERROR(__xludf.DUMMYFUNCTION("""COMPUTED_VALUE"""),"Defensive Rock Giant")</f>
        <v>Defensive Rock Giant</v>
      </c>
      <c r="B65" s="1"/>
      <c r="C65" s="1">
        <f>IFERROR(__xludf.DUMMYFUNCTION("""COMPUTED_VALUE"""),100.0)</f>
        <v>100</v>
      </c>
      <c r="D65" s="1"/>
      <c r="E65" s="1"/>
      <c r="F65" s="1"/>
      <c r="G65" s="1"/>
      <c r="H65" s="1"/>
      <c r="I65" s="1"/>
      <c r="J65" s="1"/>
      <c r="K65" s="1">
        <f>IFERROR(__xludf.DUMMYFUNCTION("""COMPUTED_VALUE"""),100.0)</f>
        <v>100</v>
      </c>
      <c r="L65" s="1"/>
      <c r="M65" s="1"/>
      <c r="N65" s="1"/>
      <c r="O65" s="1"/>
      <c r="P65" s="1"/>
      <c r="Q65" s="1"/>
      <c r="R65" s="1"/>
      <c r="S65" s="1"/>
      <c r="T65" s="1"/>
      <c r="U65" s="1"/>
      <c r="V65" s="1"/>
      <c r="W65" s="1"/>
      <c r="X65" s="1"/>
      <c r="Y65" s="1"/>
      <c r="Z65" s="1"/>
    </row>
    <row r="66">
      <c r="A66" s="1" t="str">
        <f>IFERROR(__xludf.DUMMYFUNCTION("""COMPUTED_VALUE"""),"Deimos")</f>
        <v>Deimos</v>
      </c>
      <c r="B66" s="1"/>
      <c r="C66" s="1">
        <f>IFERROR(__xludf.DUMMYFUNCTION("""COMPUTED_VALUE"""),100.0)</f>
        <v>100</v>
      </c>
      <c r="D66" s="1"/>
      <c r="E66" s="1"/>
      <c r="F66" s="1">
        <f>IFERROR(__xludf.DUMMYFUNCTION("""COMPUTED_VALUE"""),100.0)</f>
        <v>100</v>
      </c>
      <c r="G66" s="1"/>
      <c r="H66" s="1"/>
      <c r="I66" s="1">
        <f>IFERROR(__xludf.DUMMYFUNCTION("""COMPUTED_VALUE"""),100.0)</f>
        <v>100</v>
      </c>
      <c r="J66" s="1"/>
      <c r="K66" s="1"/>
      <c r="L66" s="1"/>
      <c r="M66" s="1"/>
      <c r="N66" s="1"/>
      <c r="O66" s="1"/>
      <c r="P66" s="1"/>
      <c r="Q66" s="1"/>
      <c r="R66" s="1"/>
      <c r="S66" s="1"/>
      <c r="T66" s="1"/>
      <c r="U66" s="1"/>
      <c r="V66" s="1"/>
      <c r="W66" s="1">
        <f>IFERROR(__xludf.DUMMYFUNCTION("""COMPUTED_VALUE"""),100.0)</f>
        <v>100</v>
      </c>
      <c r="X66" s="1"/>
      <c r="Y66" s="1"/>
      <c r="Z66" s="1"/>
    </row>
    <row r="67">
      <c r="A67" s="1" t="str">
        <f>IFERROR(__xludf.DUMMYFUNCTION("""COMPUTED_VALUE"""),"Delta Dragon")</f>
        <v>Delta Dragon</v>
      </c>
      <c r="B67" s="1"/>
      <c r="C67" s="1"/>
      <c r="D67" s="1"/>
      <c r="E67" s="1"/>
      <c r="F67" s="1"/>
      <c r="G67" s="1"/>
      <c r="H67" s="1"/>
      <c r="I67" s="1"/>
      <c r="J67" s="1"/>
      <c r="K67" s="1"/>
      <c r="L67" s="1"/>
      <c r="M67" s="1"/>
      <c r="N67" s="1"/>
      <c r="O67" s="1"/>
      <c r="P67" s="1"/>
      <c r="Q67" s="1"/>
      <c r="R67" s="1"/>
      <c r="S67" s="1"/>
      <c r="T67" s="1"/>
      <c r="U67" s="1"/>
      <c r="V67" s="1"/>
      <c r="W67" s="1"/>
      <c r="X67" s="1"/>
      <c r="Y67" s="1"/>
      <c r="Z67" s="1"/>
    </row>
    <row r="68">
      <c r="A68" s="1" t="str">
        <f>IFERROR(__xludf.DUMMYFUNCTION("""COMPUTED_VALUE"""),"Demon ")</f>
        <v>Demon </v>
      </c>
      <c r="B68" s="1"/>
      <c r="C68" s="1">
        <f>IFERROR(__xludf.DUMMYFUNCTION("""COMPUTED_VALUE"""),100.0)</f>
        <v>100</v>
      </c>
      <c r="D68" s="1"/>
      <c r="E68" s="1"/>
      <c r="F68" s="1">
        <f>IFERROR(__xludf.DUMMYFUNCTION("""COMPUTED_VALUE"""),100.0)</f>
        <v>100</v>
      </c>
      <c r="G68" s="1"/>
      <c r="H68" s="1"/>
      <c r="I68" s="1"/>
      <c r="J68" s="1"/>
      <c r="K68" s="1"/>
      <c r="L68" s="1"/>
      <c r="M68" s="1"/>
      <c r="N68" s="1"/>
      <c r="O68" s="1"/>
      <c r="P68" s="1"/>
      <c r="Q68" s="1"/>
      <c r="R68" s="1"/>
      <c r="S68" s="1"/>
      <c r="T68" s="1"/>
      <c r="U68" s="1"/>
      <c r="V68" s="1"/>
      <c r="W68" s="1"/>
      <c r="X68" s="1"/>
      <c r="Y68" s="1"/>
      <c r="Z68" s="1"/>
    </row>
    <row r="69">
      <c r="A69" s="1" t="str">
        <f>IFERROR(__xludf.DUMMYFUNCTION("""COMPUTED_VALUE"""),"Demon Of Heatmore")</f>
        <v>Demon Of Heatmore</v>
      </c>
      <c r="B69" s="1"/>
      <c r="C69" s="1">
        <f>IFERROR(__xludf.DUMMYFUNCTION("""COMPUTED_VALUE"""),100.0)</f>
        <v>100</v>
      </c>
      <c r="D69" s="1"/>
      <c r="E69" s="1"/>
      <c r="F69" s="1"/>
      <c r="G69" s="1"/>
      <c r="H69" s="1"/>
      <c r="I69" s="1"/>
      <c r="J69" s="1"/>
      <c r="K69" s="1"/>
      <c r="L69" s="1"/>
      <c r="M69" s="1"/>
      <c r="N69" s="1"/>
      <c r="O69" s="1"/>
      <c r="P69" s="1"/>
      <c r="Q69" s="1"/>
      <c r="R69" s="1"/>
      <c r="S69" s="1"/>
      <c r="T69" s="1"/>
      <c r="U69" s="1"/>
      <c r="V69" s="1"/>
      <c r="W69" s="1"/>
      <c r="X69" s="1"/>
      <c r="Y69" s="1"/>
      <c r="Z69" s="1"/>
    </row>
    <row r="70">
      <c r="A70" s="1" t="str">
        <f>IFERROR(__xludf.DUMMYFUNCTION("""COMPUTED_VALUE"""),"Desert Demon")</f>
        <v>Desert Demon</v>
      </c>
      <c r="B70" s="1"/>
      <c r="C70" s="1">
        <f>IFERROR(__xludf.DUMMYFUNCTION("""COMPUTED_VALUE"""),100.0)</f>
        <v>100</v>
      </c>
      <c r="D70" s="1">
        <f>IFERROR(__xludf.DUMMYFUNCTION("""COMPUTED_VALUE"""),100.0)</f>
        <v>100</v>
      </c>
      <c r="E70" s="1"/>
      <c r="F70" s="1">
        <f>IFERROR(__xludf.DUMMYFUNCTION("""COMPUTED_VALUE"""),100.0)</f>
        <v>100</v>
      </c>
      <c r="G70" s="1"/>
      <c r="H70" s="1"/>
      <c r="I70" s="1"/>
      <c r="J70" s="1"/>
      <c r="K70" s="1"/>
      <c r="L70" s="1"/>
      <c r="M70" s="1"/>
      <c r="N70" s="1"/>
      <c r="O70" s="1"/>
      <c r="P70" s="1"/>
      <c r="Q70" s="1"/>
      <c r="R70" s="1"/>
      <c r="S70" s="1"/>
      <c r="T70" s="1"/>
      <c r="U70" s="1"/>
      <c r="V70" s="1"/>
      <c r="W70" s="1"/>
      <c r="X70" s="1"/>
      <c r="Y70" s="1"/>
      <c r="Z70" s="1"/>
    </row>
    <row r="71">
      <c r="A71" s="1" t="str">
        <f>IFERROR(__xludf.DUMMYFUNCTION("""COMPUTED_VALUE"""),"Desert Hunter")</f>
        <v>Desert Hunter</v>
      </c>
      <c r="B71" s="1"/>
      <c r="C71" s="1">
        <f>IFERROR(__xludf.DUMMYFUNCTION("""COMPUTED_VALUE"""),100.0)</f>
        <v>100</v>
      </c>
      <c r="D71" s="1">
        <f>IFERROR(__xludf.DUMMYFUNCTION("""COMPUTED_VALUE"""),100.0)</f>
        <v>100</v>
      </c>
      <c r="E71" s="1"/>
      <c r="F71" s="1"/>
      <c r="G71" s="1"/>
      <c r="H71" s="1"/>
      <c r="I71" s="1"/>
      <c r="J71" s="1"/>
      <c r="K71" s="1"/>
      <c r="L71" s="1"/>
      <c r="M71" s="1"/>
      <c r="N71" s="1"/>
      <c r="O71" s="1"/>
      <c r="P71" s="1"/>
      <c r="Q71" s="1"/>
      <c r="R71" s="1"/>
      <c r="S71" s="1"/>
      <c r="T71" s="1"/>
      <c r="U71" s="1"/>
      <c r="V71" s="1"/>
      <c r="W71" s="1"/>
      <c r="X71" s="1"/>
      <c r="Y71" s="1"/>
      <c r="Z71" s="1"/>
    </row>
    <row r="72">
      <c r="A72" s="1" t="str">
        <f>IFERROR(__xludf.DUMMYFUNCTION("""COMPUTED_VALUE"""),"Desert Titan")</f>
        <v>Desert Titan</v>
      </c>
      <c r="B72" s="1"/>
      <c r="C72" s="1">
        <f>IFERROR(__xludf.DUMMYFUNCTION("""COMPUTED_VALUE"""),100.0)</f>
        <v>100</v>
      </c>
      <c r="D72" s="1">
        <f>IFERROR(__xludf.DUMMYFUNCTION("""COMPUTED_VALUE"""),100.0)</f>
        <v>100</v>
      </c>
      <c r="E72" s="1"/>
      <c r="F72" s="1"/>
      <c r="G72" s="1"/>
      <c r="H72" s="1"/>
      <c r="I72" s="1"/>
      <c r="J72" s="1"/>
      <c r="K72" s="1"/>
      <c r="L72" s="1"/>
      <c r="M72" s="1"/>
      <c r="N72" s="1"/>
      <c r="O72" s="1"/>
      <c r="P72" s="1"/>
      <c r="Q72" s="1"/>
      <c r="R72" s="1"/>
      <c r="S72" s="1"/>
      <c r="T72" s="1"/>
      <c r="U72" s="1"/>
      <c r="V72" s="1"/>
      <c r="W72" s="1"/>
      <c r="X72" s="1"/>
      <c r="Y72" s="1"/>
      <c r="Z72" s="1"/>
    </row>
    <row r="73">
      <c r="A73" s="1" t="str">
        <f>IFERROR(__xludf.DUMMYFUNCTION("""COMPUTED_VALUE"""),"Diamond Dragon")</f>
        <v>Diamond Dragon</v>
      </c>
      <c r="B73" s="1"/>
      <c r="C73" s="1">
        <f>IFERROR(__xludf.DUMMYFUNCTION("""COMPUTED_VALUE"""),100.0)</f>
        <v>100</v>
      </c>
      <c r="D73" s="1">
        <f>IFERROR(__xludf.DUMMYFUNCTION("""COMPUTED_VALUE"""),100.0)</f>
        <v>100</v>
      </c>
      <c r="E73" s="1"/>
      <c r="F73" s="1"/>
      <c r="G73" s="1"/>
      <c r="H73" s="1"/>
      <c r="I73" s="1"/>
      <c r="J73" s="1"/>
      <c r="K73" s="1"/>
      <c r="L73" s="1"/>
      <c r="M73" s="1"/>
      <c r="N73" s="1"/>
      <c r="O73" s="1"/>
      <c r="P73" s="1"/>
      <c r="Q73" s="1"/>
      <c r="R73" s="1"/>
      <c r="S73" s="1"/>
      <c r="T73" s="1"/>
      <c r="U73" s="1"/>
      <c r="V73" s="1"/>
      <c r="W73" s="1"/>
      <c r="X73" s="1"/>
      <c r="Y73" s="1"/>
      <c r="Z73" s="1"/>
    </row>
    <row r="74">
      <c r="A74" s="1" t="str">
        <f>IFERROR(__xludf.DUMMYFUNCTION("""COMPUTED_VALUE"""),"Dio The Time Dragon")</f>
        <v>Dio The Time Dragon</v>
      </c>
      <c r="B74" s="1"/>
      <c r="C74" s="1"/>
      <c r="D74" s="1"/>
      <c r="E74" s="1"/>
      <c r="F74" s="1"/>
      <c r="G74" s="1"/>
      <c r="H74" s="1"/>
      <c r="I74" s="1"/>
      <c r="J74" s="1"/>
      <c r="K74" s="1"/>
      <c r="L74" s="1"/>
      <c r="M74" s="1"/>
      <c r="N74" s="1"/>
      <c r="O74" s="1"/>
      <c r="P74" s="1"/>
      <c r="Q74" s="1"/>
      <c r="R74" s="1"/>
      <c r="S74" s="1"/>
      <c r="T74" s="1"/>
      <c r="U74" s="1"/>
      <c r="V74" s="1"/>
      <c r="W74" s="1"/>
      <c r="X74" s="1"/>
      <c r="Y74" s="1"/>
      <c r="Z74" s="1"/>
    </row>
    <row r="75">
      <c r="A75" s="1" t="str">
        <f>IFERROR(__xludf.DUMMYFUNCTION("""COMPUTED_VALUE"""),"Divine Dragon Of The Flames")</f>
        <v>Divine Dragon Of The Flames</v>
      </c>
      <c r="B75" s="1"/>
      <c r="C75" s="1">
        <f>IFERROR(__xludf.DUMMYFUNCTION("""COMPUTED_VALUE"""),100.0)</f>
        <v>100</v>
      </c>
      <c r="D75" s="1"/>
      <c r="E75" s="1"/>
      <c r="F75" s="1"/>
      <c r="G75" s="1"/>
      <c r="H75" s="1"/>
      <c r="I75" s="1"/>
      <c r="J75" s="1"/>
      <c r="K75" s="1"/>
      <c r="L75" s="1"/>
      <c r="M75" s="1"/>
      <c r="N75" s="1"/>
      <c r="O75" s="1"/>
      <c r="P75" s="1"/>
      <c r="Q75" s="1"/>
      <c r="R75" s="1"/>
      <c r="S75" s="1"/>
      <c r="T75" s="1"/>
      <c r="U75" s="1"/>
      <c r="V75" s="1"/>
      <c r="W75" s="1"/>
      <c r="X75" s="1"/>
      <c r="Y75" s="1"/>
      <c r="Z75" s="1"/>
    </row>
    <row r="76">
      <c r="A76" s="1" t="str">
        <f>IFERROR(__xludf.DUMMYFUNCTION("""COMPUTED_VALUE"""),"Donkey")</f>
        <v>Donkey</v>
      </c>
      <c r="B76" s="1"/>
      <c r="C76" s="1"/>
      <c r="D76" s="1"/>
      <c r="E76" s="1"/>
      <c r="F76" s="1"/>
      <c r="G76" s="1"/>
      <c r="H76" s="1"/>
      <c r="I76" s="1"/>
      <c r="J76" s="1"/>
      <c r="K76" s="1"/>
      <c r="L76" s="1"/>
      <c r="M76" s="1"/>
      <c r="N76" s="1"/>
      <c r="O76" s="1"/>
      <c r="P76" s="1"/>
      <c r="Q76" s="1"/>
      <c r="R76" s="1"/>
      <c r="S76" s="1"/>
      <c r="T76" s="1"/>
      <c r="U76" s="1"/>
      <c r="V76" s="1"/>
      <c r="W76" s="1"/>
      <c r="X76" s="1"/>
      <c r="Y76" s="1"/>
      <c r="Z76" s="1"/>
    </row>
    <row r="77">
      <c r="A77" s="1" t="str">
        <f>IFERROR(__xludf.DUMMYFUNCTION("""COMPUTED_VALUE"""),"Dragon Summoner")</f>
        <v>Dragon Summoner</v>
      </c>
      <c r="B77" s="1"/>
      <c r="C77" s="1"/>
      <c r="D77" s="1"/>
      <c r="E77" s="1"/>
      <c r="F77" s="1"/>
      <c r="G77" s="1"/>
      <c r="H77" s="1"/>
      <c r="I77" s="1"/>
      <c r="J77" s="1"/>
      <c r="K77" s="1"/>
      <c r="L77" s="1"/>
      <c r="M77" s="1"/>
      <c r="N77" s="1"/>
      <c r="O77" s="1"/>
      <c r="P77" s="1"/>
      <c r="Q77" s="1"/>
      <c r="R77" s="1"/>
      <c r="S77" s="1"/>
      <c r="T77" s="1"/>
      <c r="U77" s="1"/>
      <c r="V77" s="1"/>
      <c r="W77" s="1"/>
      <c r="X77" s="1"/>
      <c r="Y77" s="1"/>
      <c r="Z77" s="1"/>
    </row>
    <row r="78">
      <c r="A78" s="1" t="str">
        <f>IFERROR(__xludf.DUMMYFUNCTION("""COMPUTED_VALUE"""),"Dreading Fire Lich")</f>
        <v>Dreading Fire Lich</v>
      </c>
      <c r="B78" s="1"/>
      <c r="C78" s="1">
        <f>IFERROR(__xludf.DUMMYFUNCTION("""COMPUTED_VALUE"""),100.0)</f>
        <v>100</v>
      </c>
      <c r="D78" s="1"/>
      <c r="E78" s="1"/>
      <c r="F78" s="1"/>
      <c r="G78" s="1"/>
      <c r="H78" s="1"/>
      <c r="I78" s="1"/>
      <c r="J78" s="1"/>
      <c r="K78" s="1"/>
      <c r="L78" s="1"/>
      <c r="M78" s="1"/>
      <c r="N78" s="1"/>
      <c r="O78" s="1"/>
      <c r="P78" s="1"/>
      <c r="Q78" s="1"/>
      <c r="R78" s="1"/>
      <c r="S78" s="1"/>
      <c r="T78" s="1"/>
      <c r="U78" s="1"/>
      <c r="V78" s="1"/>
      <c r="W78" s="1"/>
      <c r="X78" s="1"/>
      <c r="Y78" s="1"/>
      <c r="Z78" s="1"/>
    </row>
    <row r="79">
      <c r="A79" s="1" t="str">
        <f>IFERROR(__xludf.DUMMYFUNCTION("""COMPUTED_VALUE"""),"Dweller Of The Abyss ")</f>
        <v>Dweller Of The Abyss </v>
      </c>
      <c r="B79" s="1"/>
      <c r="C79" s="1"/>
      <c r="D79" s="1"/>
      <c r="E79" s="1"/>
      <c r="F79" s="1">
        <f>IFERROR(__xludf.DUMMYFUNCTION("""COMPUTED_VALUE"""),100.0)</f>
        <v>100</v>
      </c>
      <c r="G79" s="1"/>
      <c r="H79" s="1"/>
      <c r="I79" s="1"/>
      <c r="J79" s="1"/>
      <c r="K79" s="1">
        <f>IFERROR(__xludf.DUMMYFUNCTION("""COMPUTED_VALUE"""),100.0)</f>
        <v>100</v>
      </c>
      <c r="L79" s="1"/>
      <c r="M79" s="1"/>
      <c r="N79" s="1"/>
      <c r="O79" s="1"/>
      <c r="P79" s="1"/>
      <c r="Q79" s="1"/>
      <c r="R79" s="1"/>
      <c r="S79" s="1"/>
      <c r="T79" s="1"/>
      <c r="U79" s="1"/>
      <c r="V79" s="1"/>
      <c r="W79" s="1">
        <f>IFERROR(__xludf.DUMMYFUNCTION("""COMPUTED_VALUE"""),100.0)</f>
        <v>100</v>
      </c>
      <c r="X79" s="1"/>
      <c r="Y79" s="1"/>
      <c r="Z79" s="1"/>
    </row>
    <row r="80">
      <c r="A80" s="1" t="str">
        <f>IFERROR(__xludf.DUMMYFUNCTION("""COMPUTED_VALUE"""),"Eagle")</f>
        <v>Eagle</v>
      </c>
      <c r="B80" s="1"/>
      <c r="C80" s="1"/>
      <c r="D80" s="1"/>
      <c r="E80" s="1"/>
      <c r="F80" s="1"/>
      <c r="G80" s="1"/>
      <c r="H80" s="1"/>
      <c r="I80" s="1"/>
      <c r="J80" s="1"/>
      <c r="K80" s="1"/>
      <c r="L80" s="1"/>
      <c r="M80" s="1"/>
      <c r="N80" s="1"/>
      <c r="O80" s="1"/>
      <c r="P80" s="1"/>
      <c r="Q80" s="1"/>
      <c r="R80" s="1"/>
      <c r="S80" s="1"/>
      <c r="T80" s="1"/>
      <c r="U80" s="1"/>
      <c r="V80" s="1"/>
      <c r="W80" s="1"/>
      <c r="X80" s="1"/>
      <c r="Y80" s="1"/>
      <c r="Z80" s="1"/>
    </row>
    <row r="81">
      <c r="A81" s="1" t="str">
        <f>IFERROR(__xludf.DUMMYFUNCTION("""COMPUTED_VALUE"""),"Eagle (Enhanced)")</f>
        <v>Eagle (Enhanced)</v>
      </c>
      <c r="B81" s="1"/>
      <c r="C81" s="1"/>
      <c r="D81" s="1"/>
      <c r="E81" s="1"/>
      <c r="F81" s="1"/>
      <c r="G81" s="1"/>
      <c r="H81" s="1"/>
      <c r="I81" s="1"/>
      <c r="J81" s="1"/>
      <c r="K81" s="1"/>
      <c r="L81" s="1"/>
      <c r="M81" s="1"/>
      <c r="N81" s="1"/>
      <c r="O81" s="1"/>
      <c r="P81" s="1"/>
      <c r="Q81" s="1"/>
      <c r="R81" s="1"/>
      <c r="S81" s="1"/>
      <c r="T81" s="1"/>
      <c r="U81" s="1"/>
      <c r="V81" s="1"/>
      <c r="W81" s="1"/>
      <c r="X81" s="1"/>
      <c r="Y81" s="1"/>
      <c r="Z81" s="1"/>
    </row>
    <row r="82">
      <c r="A82" s="1" t="str">
        <f>IFERROR(__xludf.DUMMYFUNCTION("""COMPUTED_VALUE"""),"Elder Monk Kenyu")</f>
        <v>Elder Monk Kenyu</v>
      </c>
      <c r="B82" s="1"/>
      <c r="C82" s="1"/>
      <c r="D82" s="1"/>
      <c r="E82" s="1"/>
      <c r="F82" s="1"/>
      <c r="G82" s="1">
        <f>IFERROR(__xludf.DUMMYFUNCTION("""COMPUTED_VALUE"""),100.0)</f>
        <v>100</v>
      </c>
      <c r="H82" s="1"/>
      <c r="I82" s="1"/>
      <c r="J82" s="1">
        <f>IFERROR(__xludf.DUMMYFUNCTION("""COMPUTED_VALUE"""),100.0)</f>
        <v>100</v>
      </c>
      <c r="K82" s="1"/>
      <c r="L82" s="1"/>
      <c r="M82" s="1"/>
      <c r="N82" s="1"/>
      <c r="O82" s="1"/>
      <c r="P82" s="1"/>
      <c r="Q82" s="1">
        <f>IFERROR(__xludf.DUMMYFUNCTION("""COMPUTED_VALUE"""),100.0)</f>
        <v>100</v>
      </c>
      <c r="R82" s="1"/>
      <c r="S82" s="1"/>
      <c r="T82" s="1"/>
      <c r="U82" s="1"/>
      <c r="V82" s="1">
        <f>IFERROR(__xludf.DUMMYFUNCTION("""COMPUTED_VALUE"""),100.0)</f>
        <v>100</v>
      </c>
      <c r="W82" s="1"/>
      <c r="X82" s="1"/>
      <c r="Y82" s="1"/>
      <c r="Z82" s="1"/>
    </row>
    <row r="83">
      <c r="A83" s="1" t="str">
        <f>IFERROR(__xludf.DUMMYFUNCTION("""COMPUTED_VALUE"""),"Emerald Dragon")</f>
        <v>Emerald Dragon</v>
      </c>
      <c r="B83" s="1">
        <f>IFERROR(__xludf.DUMMYFUNCTION("""COMPUTED_VALUE"""),100.0)</f>
        <v>100</v>
      </c>
      <c r="C83" s="1">
        <f>IFERROR(__xludf.DUMMYFUNCTION("""COMPUTED_VALUE"""),100.0)</f>
        <v>100</v>
      </c>
      <c r="D83" s="1">
        <f>IFERROR(__xludf.DUMMYFUNCTION("""COMPUTED_VALUE"""),100.0)</f>
        <v>100</v>
      </c>
      <c r="E83" s="1"/>
      <c r="F83" s="1"/>
      <c r="G83" s="1"/>
      <c r="H83" s="1"/>
      <c r="I83" s="1"/>
      <c r="J83" s="1"/>
      <c r="K83" s="1"/>
      <c r="L83" s="1"/>
      <c r="M83" s="1"/>
      <c r="N83" s="1"/>
      <c r="O83" s="1"/>
      <c r="P83" s="1"/>
      <c r="Q83" s="1"/>
      <c r="R83" s="1"/>
      <c r="S83" s="1"/>
      <c r="T83" s="1"/>
      <c r="U83" s="1"/>
      <c r="V83" s="1"/>
      <c r="W83" s="1"/>
      <c r="X83" s="1"/>
      <c r="Y83" s="1"/>
      <c r="Z83" s="1"/>
    </row>
    <row r="84">
      <c r="A84" s="1" t="str">
        <f>IFERROR(__xludf.DUMMYFUNCTION("""COMPUTED_VALUE"""),"Endless Dark Dragon")</f>
        <v>Endless Dark Dragon</v>
      </c>
      <c r="B84" s="1"/>
      <c r="C84" s="1"/>
      <c r="D84" s="1"/>
      <c r="E84" s="1"/>
      <c r="F84" s="1">
        <f>IFERROR(__xludf.DUMMYFUNCTION("""COMPUTED_VALUE"""),100.0)</f>
        <v>100</v>
      </c>
      <c r="G84" s="1"/>
      <c r="H84" s="1"/>
      <c r="I84" s="1">
        <f>IFERROR(__xludf.DUMMYFUNCTION("""COMPUTED_VALUE"""),100.0)</f>
        <v>100</v>
      </c>
      <c r="J84" s="1"/>
      <c r="K84" s="1"/>
      <c r="L84" s="1"/>
      <c r="M84" s="1"/>
      <c r="N84" s="1"/>
      <c r="O84" s="1"/>
      <c r="P84" s="1"/>
      <c r="Q84" s="1"/>
      <c r="R84" s="1"/>
      <c r="S84" s="1"/>
      <c r="T84" s="1"/>
      <c r="U84" s="1"/>
      <c r="V84" s="1"/>
      <c r="W84" s="1"/>
      <c r="X84" s="1"/>
      <c r="Y84" s="1"/>
      <c r="Z84" s="1"/>
    </row>
    <row r="85">
      <c r="A85" s="1" t="str">
        <f>IFERROR(__xludf.DUMMYFUNCTION("""COMPUTED_VALUE"""),"Evil Clown")</f>
        <v>Evil Clown</v>
      </c>
      <c r="B85" s="1"/>
      <c r="C85" s="1"/>
      <c r="D85" s="1"/>
      <c r="E85" s="1"/>
      <c r="F85" s="1">
        <f>IFERROR(__xludf.DUMMYFUNCTION("""COMPUTED_VALUE"""),100.0)</f>
        <v>100</v>
      </c>
      <c r="G85" s="1"/>
      <c r="H85" s="1"/>
      <c r="I85" s="1"/>
      <c r="J85" s="1"/>
      <c r="K85" s="1"/>
      <c r="L85" s="1"/>
      <c r="M85" s="1"/>
      <c r="N85" s="1"/>
      <c r="O85" s="1"/>
      <c r="P85" s="1"/>
      <c r="Q85" s="1"/>
      <c r="R85" s="1"/>
      <c r="S85" s="1"/>
      <c r="T85" s="1"/>
      <c r="U85" s="1"/>
      <c r="V85" s="1"/>
      <c r="W85" s="1"/>
      <c r="X85" s="1"/>
      <c r="Y85" s="1"/>
      <c r="Z85" s="1"/>
    </row>
    <row r="86">
      <c r="A86" s="1" t="str">
        <f>IFERROR(__xludf.DUMMYFUNCTION("""COMPUTED_VALUE"""),"Failinis")</f>
        <v>Failinis</v>
      </c>
      <c r="B86" s="1"/>
      <c r="C86" s="1"/>
      <c r="D86" s="1"/>
      <c r="E86" s="1"/>
      <c r="F86" s="1"/>
      <c r="G86" s="1"/>
      <c r="H86" s="1"/>
      <c r="I86" s="1"/>
      <c r="J86" s="1"/>
      <c r="K86" s="1"/>
      <c r="L86" s="1"/>
      <c r="M86" s="1"/>
      <c r="N86" s="1"/>
      <c r="O86" s="1"/>
      <c r="P86" s="1"/>
      <c r="Q86" s="1"/>
      <c r="R86" s="1"/>
      <c r="S86" s="1"/>
      <c r="T86" s="1"/>
      <c r="U86" s="1"/>
      <c r="V86" s="1"/>
      <c r="W86" s="1"/>
      <c r="X86" s="1"/>
      <c r="Y86" s="1"/>
      <c r="Z86" s="1"/>
    </row>
    <row r="87">
      <c r="A87" s="1" t="str">
        <f>IFERROR(__xludf.DUMMYFUNCTION("""COMPUTED_VALUE"""),"Fire Dragon")</f>
        <v>Fire Dragon</v>
      </c>
      <c r="B87" s="1"/>
      <c r="C87" s="1">
        <f>IFERROR(__xludf.DUMMYFUNCTION("""COMPUTED_VALUE"""),100.0)</f>
        <v>100</v>
      </c>
      <c r="D87" s="1"/>
      <c r="E87" s="1"/>
      <c r="F87" s="1"/>
      <c r="G87" s="1"/>
      <c r="H87" s="1"/>
      <c r="I87" s="1"/>
      <c r="J87" s="1"/>
      <c r="K87" s="1"/>
      <c r="L87" s="1"/>
      <c r="M87" s="1"/>
      <c r="N87" s="1"/>
      <c r="O87" s="1"/>
      <c r="P87" s="1"/>
      <c r="Q87" s="1"/>
      <c r="R87" s="1"/>
      <c r="S87" s="1"/>
      <c r="T87" s="1"/>
      <c r="U87" s="1"/>
      <c r="V87" s="1"/>
      <c r="W87" s="1"/>
      <c r="X87" s="1"/>
      <c r="Y87" s="1"/>
      <c r="Z87" s="1"/>
    </row>
    <row r="88">
      <c r="A88" s="1" t="str">
        <f>IFERROR(__xludf.DUMMYFUNCTION("""COMPUTED_VALUE"""),"Fire Mage")</f>
        <v>Fire Mage</v>
      </c>
      <c r="B88" s="1"/>
      <c r="C88" s="1">
        <f>IFERROR(__xludf.DUMMYFUNCTION("""COMPUTED_VALUE"""),100.0)</f>
        <v>100</v>
      </c>
      <c r="D88" s="1"/>
      <c r="E88" s="1"/>
      <c r="F88" s="1"/>
      <c r="G88" s="1"/>
      <c r="H88" s="1"/>
      <c r="I88" s="1"/>
      <c r="J88" s="1"/>
      <c r="K88" s="1"/>
      <c r="L88" s="1"/>
      <c r="M88" s="1"/>
      <c r="N88" s="1"/>
      <c r="O88" s="1"/>
      <c r="P88" s="1"/>
      <c r="Q88" s="1"/>
      <c r="R88" s="1"/>
      <c r="S88" s="1"/>
      <c r="T88" s="1"/>
      <c r="U88" s="1"/>
      <c r="V88" s="1"/>
      <c r="W88" s="1"/>
      <c r="X88" s="1"/>
      <c r="Y88" s="1"/>
      <c r="Z88" s="1"/>
    </row>
    <row r="89">
      <c r="A89" s="1" t="str">
        <f>IFERROR(__xludf.DUMMYFUNCTION("""COMPUTED_VALUE"""),"Fire Soldier")</f>
        <v>Fire Soldier</v>
      </c>
      <c r="B89" s="1"/>
      <c r="C89" s="1">
        <f>IFERROR(__xludf.DUMMYFUNCTION("""COMPUTED_VALUE"""),100.0)</f>
        <v>100</v>
      </c>
      <c r="D89" s="1"/>
      <c r="E89" s="1"/>
      <c r="F89" s="1"/>
      <c r="G89" s="1"/>
      <c r="H89" s="1"/>
      <c r="I89" s="1"/>
      <c r="J89" s="1"/>
      <c r="K89" s="1"/>
      <c r="L89" s="1"/>
      <c r="M89" s="1"/>
      <c r="N89" s="1"/>
      <c r="O89" s="1"/>
      <c r="P89" s="1"/>
      <c r="Q89" s="1"/>
      <c r="R89" s="1"/>
      <c r="S89" s="1"/>
      <c r="T89" s="1"/>
      <c r="U89" s="1"/>
      <c r="V89" s="1"/>
      <c r="W89" s="1"/>
      <c r="X89" s="1"/>
      <c r="Y89" s="1"/>
      <c r="Z89" s="1"/>
    </row>
    <row r="90">
      <c r="A90" s="1" t="str">
        <f>IFERROR(__xludf.DUMMYFUNCTION("""COMPUTED_VALUE"""),"Fire Warrior")</f>
        <v>Fire Warrior</v>
      </c>
      <c r="B90" s="1"/>
      <c r="C90" s="1">
        <f>IFERROR(__xludf.DUMMYFUNCTION("""COMPUTED_VALUE"""),100.0)</f>
        <v>100</v>
      </c>
      <c r="D90" s="1"/>
      <c r="E90" s="1"/>
      <c r="F90" s="1"/>
      <c r="G90" s="1"/>
      <c r="H90" s="1"/>
      <c r="I90" s="1"/>
      <c r="J90" s="1"/>
      <c r="K90" s="1"/>
      <c r="L90" s="1"/>
      <c r="M90" s="1"/>
      <c r="N90" s="1"/>
      <c r="O90" s="1"/>
      <c r="P90" s="1"/>
      <c r="Q90" s="1"/>
      <c r="R90" s="1"/>
      <c r="S90" s="1"/>
      <c r="T90" s="1"/>
      <c r="U90" s="1"/>
      <c r="V90" s="1"/>
      <c r="W90" s="1"/>
      <c r="X90" s="1"/>
      <c r="Y90" s="1"/>
      <c r="Z90" s="1"/>
    </row>
    <row r="91">
      <c r="A91" s="1" t="str">
        <f>IFERROR(__xludf.DUMMYFUNCTION("""COMPUTED_VALUE"""),"Fireflies")</f>
        <v>Fireflies</v>
      </c>
      <c r="B91" s="1"/>
      <c r="C91" s="1"/>
      <c r="D91" s="1"/>
      <c r="E91" s="1"/>
      <c r="F91" s="1"/>
      <c r="G91" s="1"/>
      <c r="H91" s="1"/>
      <c r="I91" s="1"/>
      <c r="J91" s="1"/>
      <c r="K91" s="1"/>
      <c r="L91" s="1"/>
      <c r="M91" s="1"/>
      <c r="N91" s="1"/>
      <c r="O91" s="1"/>
      <c r="P91" s="1"/>
      <c r="Q91" s="1"/>
      <c r="R91" s="1"/>
      <c r="S91" s="1"/>
      <c r="T91" s="1"/>
      <c r="U91" s="1"/>
      <c r="V91" s="1"/>
      <c r="W91" s="1"/>
      <c r="X91" s="1"/>
      <c r="Y91" s="1"/>
      <c r="Z91" s="1"/>
    </row>
    <row r="92">
      <c r="A92" s="1" t="str">
        <f>IFERROR(__xludf.DUMMYFUNCTION("""COMPUTED_VALUE"""),"Flaming Behemoth")</f>
        <v>Flaming Behemoth</v>
      </c>
      <c r="B92" s="1"/>
      <c r="C92" s="1">
        <f>IFERROR(__xludf.DUMMYFUNCTION("""COMPUTED_VALUE"""),100.0)</f>
        <v>100</v>
      </c>
      <c r="D92" s="1"/>
      <c r="E92" s="1"/>
      <c r="F92" s="1"/>
      <c r="G92" s="1"/>
      <c r="H92" s="1"/>
      <c r="I92" s="1"/>
      <c r="J92" s="1"/>
      <c r="K92" s="1"/>
      <c r="L92" s="1"/>
      <c r="M92" s="1"/>
      <c r="N92" s="1"/>
      <c r="O92" s="1"/>
      <c r="P92" s="1"/>
      <c r="Q92" s="1"/>
      <c r="R92" s="1"/>
      <c r="S92" s="1"/>
      <c r="T92" s="1"/>
      <c r="U92" s="1"/>
      <c r="V92" s="1"/>
      <c r="W92" s="1"/>
      <c r="X92" s="1"/>
      <c r="Y92" s="1"/>
      <c r="Z92" s="1"/>
    </row>
    <row r="93">
      <c r="A93" s="1" t="str">
        <f>IFERROR(__xludf.DUMMYFUNCTION("""COMPUTED_VALUE"""),"Flaming Buffalo")</f>
        <v>Flaming Buffalo</v>
      </c>
      <c r="B93" s="1"/>
      <c r="C93" s="1">
        <f>IFERROR(__xludf.DUMMYFUNCTION("""COMPUTED_VALUE"""),100.0)</f>
        <v>100</v>
      </c>
      <c r="D93" s="1"/>
      <c r="E93" s="1"/>
      <c r="F93" s="1"/>
      <c r="G93" s="1"/>
      <c r="H93" s="1"/>
      <c r="I93" s="1"/>
      <c r="J93" s="1"/>
      <c r="K93" s="1"/>
      <c r="L93" s="1"/>
      <c r="M93" s="1"/>
      <c r="N93" s="1"/>
      <c r="O93" s="1"/>
      <c r="P93" s="1"/>
      <c r="Q93" s="1"/>
      <c r="R93" s="1"/>
      <c r="S93" s="1"/>
      <c r="T93" s="1"/>
      <c r="U93" s="1"/>
      <c r="V93" s="1"/>
      <c r="W93" s="1"/>
      <c r="X93" s="1"/>
      <c r="Y93" s="1"/>
      <c r="Z93" s="1"/>
    </row>
    <row r="94">
      <c r="A94" s="1" t="str">
        <f>IFERROR(__xludf.DUMMYFUNCTION("""COMPUTED_VALUE"""),"Flaming Cactus")</f>
        <v>Flaming Cactus</v>
      </c>
      <c r="B94" s="1"/>
      <c r="C94" s="1">
        <f>IFERROR(__xludf.DUMMYFUNCTION("""COMPUTED_VALUE"""),100.0)</f>
        <v>100</v>
      </c>
      <c r="D94" s="1"/>
      <c r="E94" s="1"/>
      <c r="F94" s="1"/>
      <c r="G94" s="1"/>
      <c r="H94" s="1"/>
      <c r="I94" s="1"/>
      <c r="J94" s="1"/>
      <c r="K94" s="1"/>
      <c r="L94" s="1"/>
      <c r="M94" s="1"/>
      <c r="N94" s="1"/>
      <c r="O94" s="1"/>
      <c r="P94" s="1"/>
      <c r="Q94" s="1"/>
      <c r="R94" s="1"/>
      <c r="S94" s="1"/>
      <c r="T94" s="1"/>
      <c r="U94" s="1"/>
      <c r="V94" s="1"/>
      <c r="W94" s="1"/>
      <c r="X94" s="1"/>
      <c r="Y94" s="1"/>
      <c r="Z94" s="1"/>
    </row>
    <row r="95">
      <c r="A95" s="1" t="str">
        <f>IFERROR(__xludf.DUMMYFUNCTION("""COMPUTED_VALUE"""),"flaming dragon Knight")</f>
        <v>flaming dragon Knight</v>
      </c>
      <c r="B95" s="1"/>
      <c r="C95" s="1">
        <f>IFERROR(__xludf.DUMMYFUNCTION("""COMPUTED_VALUE"""),100.0)</f>
        <v>100</v>
      </c>
      <c r="D95" s="1"/>
      <c r="E95" s="1"/>
      <c r="F95" s="1"/>
      <c r="G95" s="1"/>
      <c r="H95" s="1"/>
      <c r="I95" s="1"/>
      <c r="J95" s="1"/>
      <c r="K95" s="1"/>
      <c r="L95" s="1"/>
      <c r="M95" s="1"/>
      <c r="N95" s="1"/>
      <c r="O95" s="1"/>
      <c r="P95" s="1"/>
      <c r="Q95" s="1"/>
      <c r="R95" s="1"/>
      <c r="S95" s="1"/>
      <c r="T95" s="1"/>
      <c r="U95" s="1"/>
      <c r="V95" s="1"/>
      <c r="W95" s="1"/>
      <c r="X95" s="1"/>
      <c r="Y95" s="1"/>
      <c r="Z95" s="1"/>
    </row>
    <row r="96">
      <c r="A96" s="1" t="str">
        <f>IFERROR(__xludf.DUMMYFUNCTION("""COMPUTED_VALUE"""),"Flaming Duck")</f>
        <v>Flaming Duck</v>
      </c>
      <c r="B96" s="1"/>
      <c r="C96" s="1">
        <f>IFERROR(__xludf.DUMMYFUNCTION("""COMPUTED_VALUE"""),100.0)</f>
        <v>100</v>
      </c>
      <c r="D96" s="1"/>
      <c r="E96" s="1"/>
      <c r="F96" s="1"/>
      <c r="G96" s="1"/>
      <c r="H96" s="1"/>
      <c r="I96" s="1"/>
      <c r="J96" s="1"/>
      <c r="K96" s="1"/>
      <c r="L96" s="1"/>
      <c r="M96" s="1"/>
      <c r="N96" s="1"/>
      <c r="O96" s="1"/>
      <c r="P96" s="1"/>
      <c r="Q96" s="1"/>
      <c r="R96" s="1"/>
      <c r="S96" s="1"/>
      <c r="T96" s="1"/>
      <c r="U96" s="1"/>
      <c r="V96" s="1"/>
      <c r="W96" s="1"/>
      <c r="X96" s="1"/>
      <c r="Y96" s="1"/>
      <c r="Z96" s="1"/>
    </row>
    <row r="97">
      <c r="A97" s="1" t="str">
        <f>IFERROR(__xludf.DUMMYFUNCTION("""COMPUTED_VALUE"""),"Flaming King Duck")</f>
        <v>Flaming King Duck</v>
      </c>
      <c r="B97" s="1"/>
      <c r="C97" s="1">
        <f>IFERROR(__xludf.DUMMYFUNCTION("""COMPUTED_VALUE"""),100.0)</f>
        <v>100</v>
      </c>
      <c r="D97" s="1"/>
      <c r="E97" s="1"/>
      <c r="F97" s="1"/>
      <c r="G97" s="1"/>
      <c r="H97" s="1"/>
      <c r="I97" s="1"/>
      <c r="J97" s="1"/>
      <c r="K97" s="1"/>
      <c r="L97" s="1"/>
      <c r="M97" s="1"/>
      <c r="N97" s="1"/>
      <c r="O97" s="1"/>
      <c r="P97" s="1"/>
      <c r="Q97" s="1"/>
      <c r="R97" s="1"/>
      <c r="S97" s="1"/>
      <c r="T97" s="1"/>
      <c r="U97" s="1"/>
      <c r="V97" s="1"/>
      <c r="W97" s="1"/>
      <c r="X97" s="1"/>
      <c r="Y97" s="1"/>
      <c r="Z97" s="1"/>
    </row>
    <row r="98">
      <c r="A98" s="1" t="str">
        <f>IFERROR(__xludf.DUMMYFUNCTION("""COMPUTED_VALUE"""),"Flaming monkey")</f>
        <v>Flaming monkey</v>
      </c>
      <c r="B98" s="1"/>
      <c r="C98" s="1">
        <f>IFERROR(__xludf.DUMMYFUNCTION("""COMPUTED_VALUE"""),100.0)</f>
        <v>100</v>
      </c>
      <c r="D98" s="1"/>
      <c r="E98" s="1"/>
      <c r="F98" s="1"/>
      <c r="G98" s="1"/>
      <c r="H98" s="1"/>
      <c r="I98" s="1"/>
      <c r="J98" s="1"/>
      <c r="K98" s="1"/>
      <c r="L98" s="1"/>
      <c r="M98" s="1"/>
      <c r="N98" s="1"/>
      <c r="O98" s="1"/>
      <c r="P98" s="1"/>
      <c r="Q98" s="1"/>
      <c r="R98" s="1"/>
      <c r="S98" s="1"/>
      <c r="T98" s="1"/>
      <c r="U98" s="1"/>
      <c r="V98" s="1"/>
      <c r="W98" s="1"/>
      <c r="X98" s="1"/>
      <c r="Y98" s="1"/>
      <c r="Z98" s="1"/>
    </row>
    <row r="99">
      <c r="A99" s="1" t="str">
        <f>IFERROR(__xludf.DUMMYFUNCTION("""COMPUTED_VALUE"""),"Flaming Yak")</f>
        <v>Flaming Yak</v>
      </c>
      <c r="B99" s="1"/>
      <c r="C99" s="1">
        <f>IFERROR(__xludf.DUMMYFUNCTION("""COMPUTED_VALUE"""),100.0)</f>
        <v>100</v>
      </c>
      <c r="D99" s="1"/>
      <c r="E99" s="1"/>
      <c r="F99" s="1"/>
      <c r="G99" s="1"/>
      <c r="H99" s="1"/>
      <c r="I99" s="1"/>
      <c r="J99" s="1"/>
      <c r="K99" s="1"/>
      <c r="L99" s="1"/>
      <c r="M99" s="1"/>
      <c r="N99" s="1"/>
      <c r="O99" s="1"/>
      <c r="P99" s="1"/>
      <c r="Q99" s="1"/>
      <c r="R99" s="1"/>
      <c r="S99" s="1"/>
      <c r="T99" s="1"/>
      <c r="U99" s="1"/>
      <c r="V99" s="1"/>
      <c r="W99" s="1"/>
      <c r="X99" s="1"/>
      <c r="Y99" s="1"/>
      <c r="Z99" s="1"/>
    </row>
    <row r="100">
      <c r="A100" s="1" t="str">
        <f>IFERROR(__xludf.DUMMYFUNCTION("""COMPUTED_VALUE"""),"Floating Skull")</f>
        <v>Floating Skull</v>
      </c>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t="str">
        <f>IFERROR(__xludf.DUMMYFUNCTION("""COMPUTED_VALUE"""),"Forest Dragon")</f>
        <v>Forest Dragon</v>
      </c>
      <c r="B101" s="1">
        <f>IFERROR(__xludf.DUMMYFUNCTION("""COMPUTED_VALUE"""),100.0)</f>
        <v>100</v>
      </c>
      <c r="C101" s="1"/>
      <c r="D101" s="1">
        <f>IFERROR(__xludf.DUMMYFUNCTION("""COMPUTED_VALUE"""),100.0)</f>
        <v>100</v>
      </c>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f>IFERROR(__xludf.DUMMYFUNCTION("""COMPUTED_VALUE"""),100.0)</f>
        <v>100</v>
      </c>
      <c r="E102" s="1"/>
      <c r="F102" s="1"/>
      <c r="G102" s="1"/>
      <c r="H102" s="1"/>
      <c r="I102" s="1"/>
      <c r="J102" s="1"/>
      <c r="K102" s="1"/>
      <c r="L102" s="1"/>
      <c r="M102" s="1"/>
      <c r="N102" s="1"/>
      <c r="O102" s="1"/>
      <c r="P102" s="1"/>
      <c r="Q102" s="1"/>
      <c r="R102" s="1"/>
      <c r="S102" s="1"/>
      <c r="T102" s="1"/>
      <c r="U102" s="1"/>
      <c r="V102" s="1"/>
      <c r="W102" s="1"/>
      <c r="X102" s="1"/>
      <c r="Y102" s="1"/>
      <c r="Z102" s="1"/>
    </row>
    <row r="103">
      <c r="A103" s="1" t="str">
        <f>IFERROR(__xludf.DUMMYFUNCTION("""COMPUTED_VALUE"""),"Forest Elf")</f>
        <v>Forest Elf</v>
      </c>
      <c r="B103" s="1">
        <f>IFERROR(__xludf.DUMMYFUNCTION("""COMPUTED_VALUE"""),100.0)</f>
        <v>100</v>
      </c>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t="str">
        <f>IFERROR(__xludf.DUMMYFUNCTION("""COMPUTED_VALUE"""),"Forest Guardian")</f>
        <v>Forest Guardian</v>
      </c>
      <c r="B104" s="1">
        <f>IFERROR(__xludf.DUMMYFUNCTION("""COMPUTED_VALUE"""),100.0)</f>
        <v>100</v>
      </c>
      <c r="C104" s="1"/>
      <c r="D104" s="1">
        <f>IFERROR(__xludf.DUMMYFUNCTION("""COMPUTED_VALUE"""),100.0)</f>
        <v>100</v>
      </c>
      <c r="E104" s="1"/>
      <c r="F104" s="1"/>
      <c r="G104" s="1"/>
      <c r="H104" s="1"/>
      <c r="I104" s="1"/>
      <c r="J104" s="1"/>
      <c r="K104" s="1"/>
      <c r="L104" s="1"/>
      <c r="M104" s="1"/>
      <c r="N104" s="1"/>
      <c r="O104" s="1"/>
      <c r="P104" s="1"/>
      <c r="Q104" s="1"/>
      <c r="R104" s="1"/>
      <c r="S104" s="1"/>
      <c r="T104" s="1"/>
      <c r="U104" s="1"/>
      <c r="V104" s="1"/>
      <c r="W104" s="1"/>
      <c r="X104" s="1"/>
      <c r="Y104" s="1"/>
      <c r="Z104" s="1"/>
    </row>
    <row r="105">
      <c r="A105" s="1" t="str">
        <f>IFERROR(__xludf.DUMMYFUNCTION("""COMPUTED_VALUE"""),"Frost Dragon")</f>
        <v>Frost Dragon</v>
      </c>
      <c r="B105" s="1">
        <f>IFERROR(__xludf.DUMMYFUNCTION("""COMPUTED_VALUE"""),100.0)</f>
        <v>100</v>
      </c>
      <c r="C105" s="1"/>
      <c r="D105" s="1"/>
      <c r="E105" s="1"/>
      <c r="F105" s="1"/>
      <c r="G105" s="1"/>
      <c r="H105" s="1"/>
      <c r="I105" s="1"/>
      <c r="J105" s="1"/>
      <c r="K105" s="1">
        <f>IFERROR(__xludf.DUMMYFUNCTION("""COMPUTED_VALUE"""),100.0)</f>
        <v>100</v>
      </c>
      <c r="L105" s="1"/>
      <c r="M105" s="1"/>
      <c r="N105" s="1"/>
      <c r="O105" s="1"/>
      <c r="P105" s="1"/>
      <c r="Q105" s="1"/>
      <c r="R105" s="1"/>
      <c r="S105" s="1"/>
      <c r="T105" s="1"/>
      <c r="U105" s="1"/>
      <c r="V105" s="1"/>
      <c r="W105" s="1"/>
      <c r="X105" s="1"/>
      <c r="Y105" s="1"/>
      <c r="Z105" s="1"/>
    </row>
    <row r="106">
      <c r="A106" s="1" t="str">
        <f>IFERROR(__xludf.DUMMYFUNCTION("""COMPUTED_VALUE"""),"Frost Knight")</f>
        <v>Frost Knight</v>
      </c>
      <c r="B106" s="1">
        <f>IFERROR(__xludf.DUMMYFUNCTION("""COMPUTED_VALUE"""),100.0)</f>
        <v>100</v>
      </c>
      <c r="C106" s="1"/>
      <c r="D106" s="1"/>
      <c r="E106" s="1"/>
      <c r="F106" s="1"/>
      <c r="G106" s="1"/>
      <c r="H106" s="1"/>
      <c r="I106" s="1"/>
      <c r="J106" s="1"/>
      <c r="K106" s="1">
        <f>IFERROR(__xludf.DUMMYFUNCTION("""COMPUTED_VALUE"""),100.0)</f>
        <v>100</v>
      </c>
      <c r="L106" s="1"/>
      <c r="M106" s="1"/>
      <c r="N106" s="1"/>
      <c r="O106" s="1"/>
      <c r="P106" s="1"/>
      <c r="Q106" s="1"/>
      <c r="R106" s="1"/>
      <c r="S106" s="1"/>
      <c r="T106" s="1"/>
      <c r="U106" s="1"/>
      <c r="V106" s="1"/>
      <c r="W106" s="1"/>
      <c r="X106" s="1"/>
      <c r="Y106" s="1"/>
      <c r="Z106" s="1"/>
    </row>
    <row r="107">
      <c r="A107" s="1" t="str">
        <f>IFERROR(__xludf.DUMMYFUNCTION("""COMPUTED_VALUE"""),"Giant")</f>
        <v>Giant</v>
      </c>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t="str">
        <f>IFERROR(__xludf.DUMMYFUNCTION("""COMPUTED_VALUE"""),"Giant Alligator (WD)")</f>
        <v>Giant Alligator (WD)</v>
      </c>
      <c r="B108" s="1"/>
      <c r="C108" s="1"/>
      <c r="D108" s="1"/>
      <c r="E108" s="1"/>
      <c r="F108" s="1"/>
      <c r="G108" s="1"/>
      <c r="H108" s="1"/>
      <c r="I108" s="1"/>
      <c r="J108" s="1"/>
      <c r="K108" s="1">
        <f>IFERROR(__xludf.DUMMYFUNCTION("""COMPUTED_VALUE"""),100.0)</f>
        <v>100</v>
      </c>
      <c r="L108" s="1"/>
      <c r="M108" s="1"/>
      <c r="N108" s="1"/>
      <c r="O108" s="1"/>
      <c r="P108" s="1"/>
      <c r="Q108" s="1"/>
      <c r="R108" s="1"/>
      <c r="S108" s="1"/>
      <c r="T108" s="1"/>
      <c r="U108" s="1"/>
      <c r="V108" s="1"/>
      <c r="W108" s="1"/>
      <c r="X108" s="1"/>
      <c r="Y108" s="1"/>
      <c r="Z108" s="1"/>
    </row>
    <row r="109">
      <c r="A109" s="1" t="str">
        <f>IFERROR(__xludf.DUMMYFUNCTION("""COMPUTED_VALUE"""),"Giant Alligator (WD) (Enhanced)")</f>
        <v>Giant Alligator (WD) (Enhanced)</v>
      </c>
      <c r="B109" s="1"/>
      <c r="C109" s="1"/>
      <c r="D109" s="1"/>
      <c r="E109" s="1"/>
      <c r="F109" s="1"/>
      <c r="G109" s="1"/>
      <c r="H109" s="1"/>
      <c r="I109" s="1"/>
      <c r="J109" s="1"/>
      <c r="K109" s="1">
        <f>IFERROR(__xludf.DUMMYFUNCTION("""COMPUTED_VALUE"""),100.0)</f>
        <v>100</v>
      </c>
      <c r="L109" s="1"/>
      <c r="M109" s="1"/>
      <c r="N109" s="1"/>
      <c r="O109" s="1"/>
      <c r="P109" s="1"/>
      <c r="Q109" s="1"/>
      <c r="R109" s="1"/>
      <c r="S109" s="1"/>
      <c r="T109" s="1"/>
      <c r="U109" s="1"/>
      <c r="V109" s="1"/>
      <c r="W109" s="1"/>
      <c r="X109" s="1"/>
      <c r="Y109" s="1"/>
      <c r="Z109" s="1"/>
    </row>
    <row r="110">
      <c r="A110" s="1" t="str">
        <f>IFERROR(__xludf.DUMMYFUNCTION("""COMPUTED_VALUE"""),"Giant Ancient Frost Troll")</f>
        <v>Giant Ancient Frost Troll</v>
      </c>
      <c r="B110" s="1">
        <f>IFERROR(__xludf.DUMMYFUNCTION("""COMPUTED_VALUE"""),100.0)</f>
        <v>100</v>
      </c>
      <c r="C110" s="1"/>
      <c r="D110" s="1"/>
      <c r="E110" s="1"/>
      <c r="F110" s="1"/>
      <c r="G110" s="1"/>
      <c r="H110" s="1"/>
      <c r="I110" s="1"/>
      <c r="J110" s="1"/>
      <c r="K110" s="1">
        <f>IFERROR(__xludf.DUMMYFUNCTION("""COMPUTED_VALUE"""),100.0)</f>
        <v>100</v>
      </c>
      <c r="L110" s="1"/>
      <c r="M110" s="1"/>
      <c r="N110" s="1"/>
      <c r="O110" s="1"/>
      <c r="P110" s="1"/>
      <c r="Q110" s="1"/>
      <c r="R110" s="1"/>
      <c r="S110" s="1"/>
      <c r="T110" s="1"/>
      <c r="U110" s="1"/>
      <c r="V110" s="1"/>
      <c r="W110" s="1"/>
      <c r="X110" s="1"/>
      <c r="Y110" s="1"/>
      <c r="Z110" s="1"/>
    </row>
    <row r="111">
      <c r="A111" s="1" t="str">
        <f>IFERROR(__xludf.DUMMYFUNCTION("""COMPUTED_VALUE"""),"Giant Chaotic Shadow Spider")</f>
        <v>Giant Chaotic Shadow Spider</v>
      </c>
      <c r="B111" s="1">
        <f>IFERROR(__xludf.DUMMYFUNCTION("""COMPUTED_VALUE"""),100.0)</f>
        <v>100</v>
      </c>
      <c r="C111" s="1"/>
      <c r="D111" s="1"/>
      <c r="E111" s="1"/>
      <c r="F111" s="1">
        <f>IFERROR(__xludf.DUMMYFUNCTION("""COMPUTED_VALUE"""),100.0)</f>
        <v>100</v>
      </c>
      <c r="G111" s="1"/>
      <c r="H111" s="1"/>
      <c r="I111" s="1">
        <f>IFERROR(__xludf.DUMMYFUNCTION("""COMPUTED_VALUE"""),100.0)</f>
        <v>100</v>
      </c>
      <c r="J111" s="1"/>
      <c r="K111" s="1"/>
      <c r="L111" s="1"/>
      <c r="M111" s="1"/>
      <c r="N111" s="1"/>
      <c r="O111" s="1"/>
      <c r="P111" s="1"/>
      <c r="Q111" s="1"/>
      <c r="R111" s="1"/>
      <c r="S111" s="1"/>
      <c r="T111" s="1"/>
      <c r="U111" s="1"/>
      <c r="V111" s="1"/>
      <c r="W111" s="1"/>
      <c r="X111" s="1"/>
      <c r="Y111" s="1"/>
      <c r="Z111" s="1"/>
    </row>
    <row r="112">
      <c r="A112" s="1" t="str">
        <f>IFERROR(__xludf.DUMMYFUNCTION("""COMPUTED_VALUE"""),"Giant Eagle")</f>
        <v>Giant Eagle</v>
      </c>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t="str">
        <f>IFERROR(__xludf.DUMMYFUNCTION("""COMPUTED_VALUE"""),"Giant Lava Frog ")</f>
        <v>Giant Lava Frog </v>
      </c>
      <c r="B113" s="1"/>
      <c r="C113" s="1">
        <f>IFERROR(__xludf.DUMMYFUNCTION("""COMPUTED_VALUE"""),100.0)</f>
        <v>100</v>
      </c>
      <c r="D113" s="1"/>
      <c r="E113" s="1"/>
      <c r="F113" s="1"/>
      <c r="G113" s="1"/>
      <c r="H113" s="1"/>
      <c r="I113" s="1"/>
      <c r="J113" s="1"/>
      <c r="K113" s="1"/>
      <c r="L113" s="1"/>
      <c r="M113" s="1"/>
      <c r="N113" s="1"/>
      <c r="O113" s="1"/>
      <c r="P113" s="1"/>
      <c r="Q113" s="1"/>
      <c r="R113" s="1"/>
      <c r="S113" s="1"/>
      <c r="T113" s="1"/>
      <c r="U113" s="1"/>
      <c r="V113" s="1"/>
      <c r="W113" s="1"/>
      <c r="X113" s="1"/>
      <c r="Y113" s="1"/>
      <c r="Z113" s="1"/>
    </row>
    <row r="114">
      <c r="A114" s="1" t="str">
        <f>IFERROR(__xludf.DUMMYFUNCTION("""COMPUTED_VALUE"""),"Giant Mutated Eel Shark")</f>
        <v>Giant Mutated Eel Shark</v>
      </c>
      <c r="B114" s="1"/>
      <c r="C114" s="1"/>
      <c r="D114" s="1"/>
      <c r="E114" s="1"/>
      <c r="F114" s="1"/>
      <c r="G114" s="1"/>
      <c r="H114" s="1"/>
      <c r="I114" s="1"/>
      <c r="J114" s="1"/>
      <c r="K114" s="1">
        <f>IFERROR(__xludf.DUMMYFUNCTION("""COMPUTED_VALUE"""),100.0)</f>
        <v>100</v>
      </c>
      <c r="L114" s="1"/>
      <c r="M114" s="1"/>
      <c r="N114" s="1"/>
      <c r="O114" s="1"/>
      <c r="P114" s="1"/>
      <c r="Q114" s="1"/>
      <c r="R114" s="1"/>
      <c r="S114" s="1"/>
      <c r="T114" s="1"/>
      <c r="U114" s="1"/>
      <c r="V114" s="1"/>
      <c r="W114" s="1"/>
      <c r="X114" s="1"/>
      <c r="Y114" s="1"/>
      <c r="Z114" s="1"/>
    </row>
    <row r="115">
      <c r="A115" s="1" t="str">
        <f>IFERROR(__xludf.DUMMYFUNCTION("""COMPUTED_VALUE"""),"Giant Scorpion")</f>
        <v>Giant Scorpion</v>
      </c>
      <c r="B115" s="1">
        <f>IFERROR(__xludf.DUMMYFUNCTION("""COMPUTED_VALUE"""),100.0)</f>
        <v>100</v>
      </c>
      <c r="C115" s="1"/>
      <c r="D115" s="1">
        <f>IFERROR(__xludf.DUMMYFUNCTION("""COMPUTED_VALUE"""),100.0)</f>
        <v>100</v>
      </c>
      <c r="E115" s="1"/>
      <c r="F115" s="1"/>
      <c r="G115" s="1"/>
      <c r="H115" s="1"/>
      <c r="I115" s="1"/>
      <c r="J115" s="1"/>
      <c r="K115" s="1"/>
      <c r="L115" s="1"/>
      <c r="M115" s="1"/>
      <c r="N115" s="1"/>
      <c r="O115" s="1"/>
      <c r="P115" s="1"/>
      <c r="Q115" s="1"/>
      <c r="R115" s="1"/>
      <c r="S115" s="1"/>
      <c r="T115" s="1"/>
      <c r="U115" s="1"/>
      <c r="V115" s="1"/>
      <c r="W115" s="1"/>
      <c r="X115" s="1"/>
      <c r="Y115" s="1"/>
      <c r="Z115" s="1"/>
    </row>
    <row r="116">
      <c r="A116" s="1" t="str">
        <f>IFERROR(__xludf.DUMMYFUNCTION("""COMPUTED_VALUE"""),"Giant Snow Spider")</f>
        <v>Giant Snow Spider</v>
      </c>
      <c r="B116" s="1">
        <f>IFERROR(__xludf.DUMMYFUNCTION("""COMPUTED_VALUE"""),100.0)</f>
        <v>100</v>
      </c>
      <c r="C116" s="1"/>
      <c r="D116" s="1"/>
      <c r="E116" s="1"/>
      <c r="F116" s="1"/>
      <c r="G116" s="1"/>
      <c r="H116" s="1"/>
      <c r="I116" s="1"/>
      <c r="J116" s="1">
        <f>IFERROR(__xludf.DUMMYFUNCTION("""COMPUTED_VALUE"""),100.0)</f>
        <v>100</v>
      </c>
      <c r="K116" s="1"/>
      <c r="L116" s="1"/>
      <c r="M116" s="1"/>
      <c r="N116" s="1"/>
      <c r="O116" s="1"/>
      <c r="P116" s="1"/>
      <c r="Q116" s="1"/>
      <c r="R116" s="1"/>
      <c r="S116" s="1"/>
      <c r="T116" s="1"/>
      <c r="U116" s="1"/>
      <c r="V116" s="1"/>
      <c r="W116" s="1"/>
      <c r="X116" s="1"/>
      <c r="Y116" s="1"/>
      <c r="Z116" s="1"/>
    </row>
    <row r="117">
      <c r="A117" s="1" t="str">
        <f>IFERROR(__xludf.DUMMYFUNCTION("""COMPUTED_VALUE"""),"Giant Spider")</f>
        <v>Giant Spider</v>
      </c>
      <c r="B117" s="1">
        <f>IFERROR(__xludf.DUMMYFUNCTION("""COMPUTED_VALUE"""),100.0)</f>
        <v>100</v>
      </c>
      <c r="C117" s="1"/>
      <c r="D117" s="1">
        <f>IFERROR(__xludf.DUMMYFUNCTION("""COMPUTED_VALUE"""),100.0)</f>
        <v>100</v>
      </c>
      <c r="E117" s="1"/>
      <c r="F117" s="1"/>
      <c r="G117" s="1"/>
      <c r="H117" s="1"/>
      <c r="I117" s="1"/>
      <c r="J117" s="1"/>
      <c r="K117" s="1"/>
      <c r="L117" s="1"/>
      <c r="M117" s="1"/>
      <c r="N117" s="1"/>
      <c r="O117" s="1"/>
      <c r="P117" s="1"/>
      <c r="Q117" s="1"/>
      <c r="R117" s="1"/>
      <c r="S117" s="1"/>
      <c r="T117" s="1"/>
      <c r="U117" s="1"/>
      <c r="V117" s="1"/>
      <c r="W117" s="1"/>
      <c r="X117" s="1"/>
      <c r="Y117" s="1"/>
      <c r="Z117" s="1"/>
    </row>
    <row r="118">
      <c r="A118" s="1" t="str">
        <f>IFERROR(__xludf.DUMMYFUNCTION("""COMPUTED_VALUE"""),"Giant Volcanic Spider")</f>
        <v>Giant Volcanic Spider</v>
      </c>
      <c r="B118" s="1"/>
      <c r="C118" s="1">
        <f>IFERROR(__xludf.DUMMYFUNCTION("""COMPUTED_VALUE"""),100.0)</f>
        <v>100</v>
      </c>
      <c r="D118" s="1"/>
      <c r="E118" s="1"/>
      <c r="F118" s="1"/>
      <c r="G118" s="1"/>
      <c r="H118" s="1"/>
      <c r="I118" s="1"/>
      <c r="J118" s="1"/>
      <c r="K118" s="1"/>
      <c r="L118" s="1"/>
      <c r="M118" s="1"/>
      <c r="N118" s="1"/>
      <c r="O118" s="1"/>
      <c r="P118" s="1"/>
      <c r="Q118" s="1"/>
      <c r="R118" s="1"/>
      <c r="S118" s="1"/>
      <c r="T118" s="1"/>
      <c r="U118" s="1"/>
      <c r="V118" s="1"/>
      <c r="W118" s="1"/>
      <c r="X118" s="1"/>
      <c r="Y118" s="1"/>
      <c r="Z118" s="1"/>
    </row>
    <row r="119">
      <c r="A119" s="1" t="str">
        <f>IFERROR(__xludf.DUMMYFUNCTION("""COMPUTED_VALUE"""),"Girl Of The Crow")</f>
        <v>Girl Of The Crow</v>
      </c>
      <c r="B119" s="1">
        <f>IFERROR(__xludf.DUMMYFUNCTION("""COMPUTED_VALUE"""),100.0)</f>
        <v>100</v>
      </c>
      <c r="C119" s="1"/>
      <c r="D119" s="1"/>
      <c r="E119" s="1"/>
      <c r="F119" s="1">
        <f>IFERROR(__xludf.DUMMYFUNCTION("""COMPUTED_VALUE"""),100.0)</f>
        <v>100</v>
      </c>
      <c r="G119" s="1"/>
      <c r="H119" s="1"/>
      <c r="I119" s="1"/>
      <c r="J119" s="1"/>
      <c r="K119" s="1"/>
      <c r="L119" s="1"/>
      <c r="M119" s="1"/>
      <c r="N119" s="1"/>
      <c r="O119" s="1"/>
      <c r="P119" s="1"/>
      <c r="Q119" s="1"/>
      <c r="R119" s="1"/>
      <c r="S119" s="1"/>
      <c r="T119" s="1"/>
      <c r="U119" s="1"/>
      <c r="V119" s="1"/>
      <c r="W119" s="1"/>
      <c r="X119" s="1"/>
      <c r="Y119" s="1"/>
      <c r="Z119" s="1"/>
    </row>
    <row r="120">
      <c r="A120" s="1" t="str">
        <f>IFERROR(__xludf.DUMMYFUNCTION("""COMPUTED_VALUE"""),"Goblin")</f>
        <v>Goblin</v>
      </c>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t="str">
        <f>IFERROR(__xludf.DUMMYFUNCTION("""COMPUTED_VALUE"""),"Grand Dark &amp; Fire Mage")</f>
        <v>Grand Dark &amp; Fire Mage</v>
      </c>
      <c r="B121" s="1"/>
      <c r="C121" s="1">
        <f>IFERROR(__xludf.DUMMYFUNCTION("""COMPUTED_VALUE"""),100.0)</f>
        <v>100</v>
      </c>
      <c r="D121" s="1"/>
      <c r="E121" s="1"/>
      <c r="F121" s="1">
        <f>IFERROR(__xludf.DUMMYFUNCTION("""COMPUTED_VALUE"""),100.0)</f>
        <v>100</v>
      </c>
      <c r="G121" s="1"/>
      <c r="H121" s="1"/>
      <c r="I121" s="1"/>
      <c r="J121" s="1"/>
      <c r="K121" s="1"/>
      <c r="L121" s="1"/>
      <c r="M121" s="1"/>
      <c r="N121" s="1"/>
      <c r="O121" s="1"/>
      <c r="P121" s="1"/>
      <c r="Q121" s="1"/>
      <c r="R121" s="1"/>
      <c r="S121" s="1"/>
      <c r="T121" s="1"/>
      <c r="U121" s="1"/>
      <c r="V121" s="1"/>
      <c r="W121" s="1"/>
      <c r="X121" s="1"/>
      <c r="Y121" s="1"/>
      <c r="Z121" s="1"/>
    </row>
    <row r="122">
      <c r="A122" s="1" t="str">
        <f>IFERROR(__xludf.DUMMYFUNCTION("""COMPUTED_VALUE"""),"Grand Fire Elemental")</f>
        <v>Grand Fire Elemental</v>
      </c>
      <c r="B122" s="1"/>
      <c r="C122" s="1">
        <f>IFERROR(__xludf.DUMMYFUNCTION("""COMPUTED_VALUE"""),100.0)</f>
        <v>100</v>
      </c>
      <c r="D122" s="1"/>
      <c r="E122" s="1"/>
      <c r="F122" s="1"/>
      <c r="G122" s="1"/>
      <c r="H122" s="1"/>
      <c r="I122" s="1"/>
      <c r="J122" s="1"/>
      <c r="K122" s="1"/>
      <c r="L122" s="1"/>
      <c r="M122" s="1"/>
      <c r="N122" s="1"/>
      <c r="O122" s="1"/>
      <c r="P122" s="1"/>
      <c r="Q122" s="1"/>
      <c r="R122" s="1"/>
      <c r="S122" s="1"/>
      <c r="T122" s="1"/>
      <c r="U122" s="1"/>
      <c r="V122" s="1"/>
      <c r="W122" s="1"/>
      <c r="X122" s="1"/>
      <c r="Y122" s="1"/>
      <c r="Z122" s="1"/>
    </row>
    <row r="123">
      <c r="A123" s="1" t="str">
        <f>IFERROR(__xludf.DUMMYFUNCTION("""COMPUTED_VALUE"""),"Gray Soul")</f>
        <v>Gray Soul</v>
      </c>
      <c r="B123" s="1">
        <f>IFERROR(__xludf.DUMMYFUNCTION("""COMPUTED_VALUE"""),100.0)</f>
        <v>100</v>
      </c>
      <c r="C123" s="1"/>
      <c r="D123" s="1"/>
      <c r="E123" s="1"/>
      <c r="F123" s="1">
        <f>IFERROR(__xludf.DUMMYFUNCTION("""COMPUTED_VALUE"""),100.0)</f>
        <v>100</v>
      </c>
      <c r="G123" s="1"/>
      <c r="H123" s="1"/>
      <c r="I123" s="1"/>
      <c r="J123" s="1"/>
      <c r="K123" s="1"/>
      <c r="L123" s="1"/>
      <c r="M123" s="1"/>
      <c r="N123" s="1"/>
      <c r="O123" s="1"/>
      <c r="P123" s="1"/>
      <c r="Q123" s="1"/>
      <c r="R123" s="1"/>
      <c r="S123" s="1"/>
      <c r="T123" s="1"/>
      <c r="U123" s="1"/>
      <c r="V123" s="1"/>
      <c r="W123" s="1"/>
      <c r="X123" s="1"/>
      <c r="Y123" s="1"/>
      <c r="Z123" s="1"/>
    </row>
    <row r="124">
      <c r="A124" s="1" t="str">
        <f>IFERROR(__xludf.DUMMYFUNCTION("""COMPUTED_VALUE"""),"Green Soul")</f>
        <v>Green Soul</v>
      </c>
      <c r="B124" s="1">
        <f>IFERROR(__xludf.DUMMYFUNCTION("""COMPUTED_VALUE"""),100.0)</f>
        <v>100</v>
      </c>
      <c r="C124" s="1"/>
      <c r="D124" s="1"/>
      <c r="E124" s="1"/>
      <c r="F124" s="1">
        <f>IFERROR(__xludf.DUMMYFUNCTION("""COMPUTED_VALUE"""),100.0)</f>
        <v>100</v>
      </c>
      <c r="G124" s="1"/>
      <c r="H124" s="1"/>
      <c r="I124" s="1"/>
      <c r="J124" s="1"/>
      <c r="K124" s="1"/>
      <c r="L124" s="1"/>
      <c r="M124" s="1"/>
      <c r="N124" s="1"/>
      <c r="O124" s="1"/>
      <c r="P124" s="1"/>
      <c r="Q124" s="1"/>
      <c r="R124" s="1"/>
      <c r="S124" s="1"/>
      <c r="T124" s="1"/>
      <c r="U124" s="1"/>
      <c r="V124" s="1"/>
      <c r="W124" s="1"/>
      <c r="X124" s="1"/>
      <c r="Y124" s="1"/>
      <c r="Z124" s="1"/>
    </row>
    <row r="125">
      <c r="A125" s="1" t="str">
        <f>IFERROR(__xludf.DUMMYFUNCTION("""COMPUTED_VALUE"""),"Griffin")</f>
        <v>Griffin</v>
      </c>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t="str">
        <f>IFERROR(__xludf.DUMMYFUNCTION("""COMPUTED_VALUE"""),"Ground Tiger")</f>
        <v>Ground Tiger</v>
      </c>
      <c r="B126" s="1"/>
      <c r="C126" s="1">
        <f>IFERROR(__xludf.DUMMYFUNCTION("""COMPUTED_VALUE"""),100.0)</f>
        <v>100</v>
      </c>
      <c r="D126" s="1"/>
      <c r="E126" s="1"/>
      <c r="F126" s="1"/>
      <c r="G126" s="1"/>
      <c r="H126" s="1"/>
      <c r="I126" s="1"/>
      <c r="J126" s="1"/>
      <c r="K126" s="1"/>
      <c r="L126" s="1"/>
      <c r="M126" s="1"/>
      <c r="N126" s="1"/>
      <c r="O126" s="1"/>
      <c r="P126" s="1"/>
      <c r="Q126" s="1"/>
      <c r="R126" s="1"/>
      <c r="S126" s="1"/>
      <c r="T126" s="1"/>
      <c r="U126" s="1"/>
      <c r="V126" s="1"/>
      <c r="W126" s="1"/>
      <c r="X126" s="1"/>
      <c r="Y126" s="1"/>
      <c r="Z126" s="1"/>
    </row>
    <row r="127">
      <c r="A127" s="1" t="str">
        <f>IFERROR(__xludf.DUMMYFUNCTION("""COMPUTED_VALUE"""),"Guard Tier III")</f>
        <v>Guard Tier III</v>
      </c>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t="str">
        <f>IFERROR(__xludf.DUMMYFUNCTION("""COMPUTED_VALUE"""),"Guard Tier II")</f>
        <v>Guard Tier II</v>
      </c>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t="str">
        <f>IFERROR(__xludf.DUMMYFUNCTION("""COMPUTED_VALUE"""),"Guard Tier I")</f>
        <v>Guard Tier I</v>
      </c>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t="str">
        <f>IFERROR(__xludf.DUMMYFUNCTION("""COMPUTED_VALUE"""),"Ninja Trainee (Dragonscale)")</f>
        <v>Ninja Trainee (Dragonscale)</v>
      </c>
      <c r="B130" s="1"/>
      <c r="C130" s="1"/>
      <c r="D130" s="1"/>
      <c r="E130" s="1"/>
      <c r="F130" s="1">
        <f>IFERROR(__xludf.DUMMYFUNCTION("""COMPUTED_VALUE"""),500.0)</f>
        <v>500</v>
      </c>
      <c r="G130" s="1"/>
      <c r="H130" s="1"/>
      <c r="I130" s="1">
        <f>IFERROR(__xludf.DUMMYFUNCTION("""COMPUTED_VALUE"""),500.0)</f>
        <v>500</v>
      </c>
      <c r="J130" s="1"/>
      <c r="K130" s="1"/>
      <c r="L130" s="1"/>
      <c r="M130" s="1"/>
      <c r="N130" s="1"/>
      <c r="O130" s="1"/>
      <c r="P130" s="1"/>
      <c r="Q130" s="1"/>
      <c r="R130" s="1"/>
      <c r="S130" s="1"/>
      <c r="T130" s="1"/>
      <c r="U130" s="1"/>
      <c r="V130" s="1"/>
      <c r="W130" s="1"/>
      <c r="X130" s="1"/>
      <c r="Y130" s="1"/>
      <c r="Z130" s="1"/>
    </row>
    <row r="131">
      <c r="A131" s="1" t="str">
        <f>IFERROR(__xludf.DUMMYFUNCTION("""COMPUTED_VALUE"""),"Ninja Ambusher (Dragonscale)")</f>
        <v>Ninja Ambusher (Dragonscale)</v>
      </c>
      <c r="B131" s="1"/>
      <c r="C131" s="1"/>
      <c r="D131" s="1"/>
      <c r="E131" s="1"/>
      <c r="F131" s="1">
        <f>IFERROR(__xludf.DUMMYFUNCTION("""COMPUTED_VALUE"""),250.0)</f>
        <v>250</v>
      </c>
      <c r="G131" s="1"/>
      <c r="H131" s="1"/>
      <c r="I131" s="1">
        <f>IFERROR(__xludf.DUMMYFUNCTION("""COMPUTED_VALUE"""),250.0)</f>
        <v>250</v>
      </c>
      <c r="J131" s="1"/>
      <c r="K131" s="1"/>
      <c r="L131" s="1"/>
      <c r="M131" s="1"/>
      <c r="N131" s="1"/>
      <c r="O131" s="1"/>
      <c r="P131" s="1"/>
      <c r="Q131" s="1"/>
      <c r="R131" s="1"/>
      <c r="S131" s="1"/>
      <c r="T131" s="1"/>
      <c r="U131" s="1"/>
      <c r="V131" s="1"/>
      <c r="W131" s="1"/>
      <c r="X131" s="1"/>
      <c r="Y131" s="1"/>
      <c r="Z131" s="1"/>
    </row>
    <row r="132">
      <c r="A132" s="1" t="str">
        <f>IFERROR(__xludf.DUMMYFUNCTION("""COMPUTED_VALUE"""),"Ninja Poison Master (Dragonscale)")</f>
        <v>Ninja Poison Master (Dragonscale)</v>
      </c>
      <c r="B132" s="1"/>
      <c r="C132" s="1"/>
      <c r="D132" s="1"/>
      <c r="E132" s="1"/>
      <c r="F132" s="1">
        <f>IFERROR(__xludf.DUMMYFUNCTION("""COMPUTED_VALUE"""),250.0)</f>
        <v>250</v>
      </c>
      <c r="G132" s="1"/>
      <c r="H132" s="1"/>
      <c r="I132" s="1">
        <f>IFERROR(__xludf.DUMMYFUNCTION("""COMPUTED_VALUE"""),250.0)</f>
        <v>250</v>
      </c>
      <c r="J132" s="1"/>
      <c r="K132" s="1"/>
      <c r="L132" s="1"/>
      <c r="M132" s="1"/>
      <c r="N132" s="1"/>
      <c r="O132" s="1"/>
      <c r="P132" s="1"/>
      <c r="Q132" s="1"/>
      <c r="R132" s="1"/>
      <c r="S132" s="1"/>
      <c r="T132" s="1"/>
      <c r="U132" s="1"/>
      <c r="V132" s="1"/>
      <c r="W132" s="1"/>
      <c r="X132" s="1"/>
      <c r="Y132" s="1"/>
      <c r="Z132" s="1"/>
    </row>
    <row r="133">
      <c r="A133" s="1" t="str">
        <f>IFERROR(__xludf.DUMMYFUNCTION("""COMPUTED_VALUE"""),"Ninja Master (Dragonscale)")</f>
        <v>Ninja Master (Dragonscale)</v>
      </c>
      <c r="B133" s="1"/>
      <c r="C133" s="1"/>
      <c r="D133" s="1"/>
      <c r="E133" s="1"/>
      <c r="F133" s="1">
        <f>IFERROR(__xludf.DUMMYFUNCTION("""COMPUTED_VALUE"""),100.0)</f>
        <v>100</v>
      </c>
      <c r="G133" s="1"/>
      <c r="H133" s="1"/>
      <c r="I133" s="1">
        <f>IFERROR(__xludf.DUMMYFUNCTION("""COMPUTED_VALUE"""),100.0)</f>
        <v>100</v>
      </c>
      <c r="J133" s="1"/>
      <c r="K133" s="1"/>
      <c r="L133" s="1"/>
      <c r="M133" s="1"/>
      <c r="N133" s="1"/>
      <c r="O133" s="1"/>
      <c r="P133" s="1"/>
      <c r="Q133" s="1"/>
      <c r="R133" s="1"/>
      <c r="S133" s="1"/>
      <c r="T133" s="1"/>
      <c r="U133" s="1"/>
      <c r="V133" s="1"/>
      <c r="W133" s="1"/>
      <c r="X133" s="1"/>
      <c r="Y133" s="1"/>
      <c r="Z133" s="1"/>
    </row>
    <row r="134">
      <c r="A134" s="1" t="str">
        <f>IFERROR(__xludf.DUMMYFUNCTION("""COMPUTED_VALUE"""),"Wolf")</f>
        <v>Wolf</v>
      </c>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t="str">
        <f>IFERROR(__xludf.DUMMYFUNCTION("""COMPUTED_VALUE"""),"Fire Wyrm")</f>
        <v>Fire Wyrm</v>
      </c>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t="str">
        <f>IFERROR(__xludf.DUMMYFUNCTION("""COMPUTED_VALUE"""),"Storm Wyrm")</f>
        <v>Storm Wyrm</v>
      </c>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t="str">
        <f>IFERROR(__xludf.DUMMYFUNCTION("""COMPUTED_VALUE"""),"Earth Wyrm")</f>
        <v>Earth Wyrm</v>
      </c>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t="str">
        <f>IFERROR(__xludf.DUMMYFUNCTION("""COMPUTED_VALUE"""),"Water Wyrm")</f>
        <v>Water Wyrm</v>
      </c>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t="str">
        <f>IFERROR(__xludf.DUMMYFUNCTION("""COMPUTED_VALUE"""),"Nature Wyrm")</f>
        <v>Nature Wyrm</v>
      </c>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t="str">
        <f>IFERROR(__xludf.DUMMYFUNCTION("""COMPUTED_VALUE"""),"Imp")</f>
        <v>Imp</v>
      </c>
      <c r="B140" s="1"/>
      <c r="C140" s="1"/>
      <c r="D140" s="1"/>
      <c r="E140" s="1"/>
      <c r="F140" s="1">
        <f>IFERROR(__xludf.DUMMYFUNCTION("""COMPUTED_VALUE"""),50.0)</f>
        <v>50</v>
      </c>
      <c r="G140" s="1"/>
      <c r="H140" s="1"/>
      <c r="I140" s="1">
        <f>IFERROR(__xludf.DUMMYFUNCTION("""COMPUTED_VALUE"""),50.0)</f>
        <v>50</v>
      </c>
      <c r="J140" s="1"/>
      <c r="K140" s="1"/>
      <c r="L140" s="1"/>
      <c r="M140" s="1"/>
      <c r="N140" s="1"/>
      <c r="O140" s="1"/>
      <c r="P140" s="1"/>
      <c r="Q140" s="1"/>
      <c r="R140" s="1"/>
      <c r="S140" s="1"/>
      <c r="T140" s="1"/>
      <c r="U140" s="1"/>
      <c r="V140" s="1"/>
      <c r="W140" s="1"/>
      <c r="X140" s="1"/>
      <c r="Y140" s="1"/>
      <c r="Z140" s="1"/>
    </row>
    <row r="141">
      <c r="A141" s="1" t="str">
        <f>IFERROR(__xludf.DUMMYFUNCTION("""COMPUTED_VALUE"""),"Lesser tengu")</f>
        <v>Lesser tengu</v>
      </c>
      <c r="B141" s="1"/>
      <c r="C141" s="1"/>
      <c r="D141" s="1"/>
      <c r="E141" s="1"/>
      <c r="F141" s="1"/>
      <c r="G141" s="1">
        <f>IFERROR(__xludf.DUMMYFUNCTION("""COMPUTED_VALUE"""),50.0)</f>
        <v>50</v>
      </c>
      <c r="H141" s="1"/>
      <c r="I141" s="1"/>
      <c r="J141" s="1">
        <f>IFERROR(__xludf.DUMMYFUNCTION("""COMPUTED_VALUE"""),50.0)</f>
        <v>50</v>
      </c>
      <c r="K141" s="1"/>
      <c r="L141" s="1"/>
      <c r="M141" s="1"/>
      <c r="N141" s="1"/>
      <c r="O141" s="1"/>
      <c r="P141" s="1"/>
      <c r="Q141" s="1"/>
      <c r="R141" s="1"/>
      <c r="S141" s="1"/>
      <c r="T141" s="1"/>
      <c r="U141" s="1"/>
      <c r="V141" s="1"/>
      <c r="W141" s="1"/>
      <c r="X141" s="1"/>
      <c r="Y141" s="1"/>
      <c r="Z141" s="1"/>
    </row>
    <row r="142">
      <c r="A142" s="1" t="str">
        <f>IFERROR(__xludf.DUMMYFUNCTION("""COMPUTED_VALUE"""),"Salamander, King Of The Fire Elementals")</f>
        <v>Salamander, King Of The Fire Elementals</v>
      </c>
      <c r="B142" s="1"/>
      <c r="C142" s="1">
        <f>IFERROR(__xludf.DUMMYFUNCTION("""COMPUTED_VALUE"""),250.0)</f>
        <v>250</v>
      </c>
      <c r="D142" s="1"/>
      <c r="E142" s="1"/>
      <c r="F142" s="1"/>
      <c r="G142" s="1"/>
      <c r="H142" s="1">
        <f>IFERROR(__xludf.DUMMYFUNCTION("""COMPUTED_VALUE"""),100.0)</f>
        <v>100</v>
      </c>
      <c r="I142" s="1"/>
      <c r="J142" s="1"/>
      <c r="K142" s="1"/>
      <c r="L142" s="1"/>
      <c r="M142" s="1"/>
      <c r="N142" s="1"/>
      <c r="O142" s="1"/>
      <c r="P142" s="1"/>
      <c r="Q142" s="1"/>
      <c r="R142" s="1"/>
      <c r="S142" s="1"/>
      <c r="T142" s="1"/>
      <c r="U142" s="1"/>
      <c r="V142" s="1"/>
      <c r="W142" s="1"/>
      <c r="X142" s="1"/>
      <c r="Y142" s="1"/>
      <c r="Z142" s="1"/>
    </row>
    <row r="143">
      <c r="A143" s="1" t="str">
        <f>IFERROR(__xludf.DUMMYFUNCTION("""COMPUTED_VALUE"""),"Beast of Gévaudan")</f>
        <v>Beast of Gévaudan</v>
      </c>
      <c r="B143" s="1"/>
      <c r="C143" s="1"/>
      <c r="D143" s="1"/>
      <c r="E143" s="1"/>
      <c r="F143" s="1"/>
      <c r="G143" s="1"/>
      <c r="H143" s="1">
        <f>IFERROR(__xludf.DUMMYFUNCTION("""COMPUTED_VALUE"""),100.0)</f>
        <v>100</v>
      </c>
      <c r="I143" s="1"/>
      <c r="J143" s="1"/>
      <c r="K143" s="1"/>
      <c r="L143" s="1"/>
      <c r="M143" s="1"/>
      <c r="N143" s="1"/>
      <c r="O143" s="1"/>
      <c r="P143" s="1"/>
      <c r="Q143" s="1"/>
      <c r="R143" s="1"/>
      <c r="S143" s="1"/>
      <c r="T143" s="1"/>
      <c r="U143" s="1"/>
      <c r="V143" s="1"/>
      <c r="W143" s="1"/>
      <c r="X143" s="1"/>
      <c r="Y143" s="1"/>
      <c r="Z143" s="1"/>
    </row>
    <row r="144">
      <c r="A144" s="1" t="str">
        <f>IFERROR(__xludf.DUMMYFUNCTION("""COMPUTED_VALUE"""),"Karduk, King of the Earth Elementals")</f>
        <v>Karduk, King of the Earth Elementals</v>
      </c>
      <c r="B144" s="1"/>
      <c r="C144" s="1">
        <f>IFERROR(__xludf.DUMMYFUNCTION("""COMPUTED_VALUE"""),250.0)</f>
        <v>250</v>
      </c>
      <c r="D144" s="1">
        <f>IFERROR(__xludf.DUMMYFUNCTION("""COMPUTED_VALUE"""),250.0)</f>
        <v>250</v>
      </c>
      <c r="E144" s="1"/>
      <c r="F144" s="1"/>
      <c r="G144" s="1"/>
      <c r="H144" s="1">
        <f>IFERROR(__xludf.DUMMYFUNCTION("""COMPUTED_VALUE"""),100.0)</f>
        <v>100</v>
      </c>
      <c r="I144" s="1"/>
      <c r="J144" s="1"/>
      <c r="K144" s="1"/>
      <c r="L144" s="1"/>
      <c r="M144" s="1"/>
      <c r="N144" s="1"/>
      <c r="O144" s="1"/>
      <c r="P144" s="1"/>
      <c r="Q144" s="1"/>
      <c r="R144" s="1"/>
      <c r="S144" s="1"/>
      <c r="T144" s="1"/>
      <c r="U144" s="1"/>
      <c r="V144" s="1"/>
      <c r="W144" s="1"/>
      <c r="X144" s="1"/>
      <c r="Y144" s="1"/>
      <c r="Z144" s="1"/>
    </row>
    <row r="145">
      <c r="A145" s="1" t="str">
        <f>IFERROR(__xludf.DUMMYFUNCTION("""COMPUTED_VALUE"""),"Undyne, Queen of the Water Elementals")</f>
        <v>Undyne, Queen of the Water Elementals</v>
      </c>
      <c r="B145" s="1"/>
      <c r="C145" s="1"/>
      <c r="D145" s="1">
        <f>IFERROR(__xludf.DUMMYFUNCTION("""COMPUTED_VALUE"""),250.0)</f>
        <v>250</v>
      </c>
      <c r="E145" s="1"/>
      <c r="F145" s="1"/>
      <c r="G145" s="1"/>
      <c r="H145" s="1">
        <f>IFERROR(__xludf.DUMMYFUNCTION("""COMPUTED_VALUE"""),100.0)</f>
        <v>100</v>
      </c>
      <c r="I145" s="1"/>
      <c r="J145" s="1"/>
      <c r="K145" s="1">
        <f>IFERROR(__xludf.DUMMYFUNCTION("""COMPUTED_VALUE"""),250.0)</f>
        <v>250</v>
      </c>
      <c r="L145" s="1"/>
      <c r="M145" s="1"/>
      <c r="N145" s="1"/>
      <c r="O145" s="1"/>
      <c r="P145" s="1"/>
      <c r="Q145" s="1"/>
      <c r="R145" s="1"/>
      <c r="S145" s="1"/>
      <c r="T145" s="1"/>
      <c r="U145" s="1"/>
      <c r="V145" s="1"/>
      <c r="W145" s="1"/>
      <c r="X145" s="1"/>
      <c r="Y145" s="1"/>
      <c r="Z145" s="1"/>
    </row>
    <row r="146">
      <c r="A146" s="1" t="str">
        <f>IFERROR(__xludf.DUMMYFUNCTION("""COMPUTED_VALUE"""),"Sylph, Queen of the Nature Elementals")</f>
        <v>Sylph, Queen of the Nature Elementals</v>
      </c>
      <c r="B146" s="1">
        <f>IFERROR(__xludf.DUMMYFUNCTION("""COMPUTED_VALUE"""),250.0)</f>
        <v>250</v>
      </c>
      <c r="C146" s="1"/>
      <c r="D146" s="1">
        <f>IFERROR(__xludf.DUMMYFUNCTION("""COMPUTED_VALUE"""),250.0)</f>
        <v>250</v>
      </c>
      <c r="E146" s="1"/>
      <c r="F146" s="1"/>
      <c r="G146" s="1"/>
      <c r="H146" s="1">
        <f>IFERROR(__xludf.DUMMYFUNCTION("""COMPUTED_VALUE"""),100.0)</f>
        <v>100</v>
      </c>
      <c r="I146" s="1"/>
      <c r="J146" s="1"/>
      <c r="K146" s="1"/>
      <c r="L146" s="1"/>
      <c r="M146" s="1"/>
      <c r="N146" s="1"/>
      <c r="O146" s="1"/>
      <c r="P146" s="1"/>
      <c r="Q146" s="1"/>
      <c r="R146" s="1"/>
      <c r="S146" s="1"/>
      <c r="T146" s="1"/>
      <c r="U146" s="1"/>
      <c r="V146" s="1"/>
      <c r="W146" s="1"/>
      <c r="X146" s="1"/>
      <c r="Y146" s="1"/>
      <c r="Z146" s="1"/>
    </row>
    <row r="147">
      <c r="A147" s="1" t="str">
        <f>IFERROR(__xludf.DUMMYFUNCTION("""COMPUTED_VALUE"""),"Raijin, King of the Storm Elementals")</f>
        <v>Raijin, King of the Storm Elementals</v>
      </c>
      <c r="B147" s="1"/>
      <c r="C147" s="1"/>
      <c r="D147" s="1"/>
      <c r="E147" s="1"/>
      <c r="F147" s="1"/>
      <c r="G147" s="1"/>
      <c r="H147" s="1">
        <f>IFERROR(__xludf.DUMMYFUNCTION("""COMPUTED_VALUE"""),100.0)</f>
        <v>100</v>
      </c>
      <c r="I147" s="1"/>
      <c r="J147" s="1"/>
      <c r="K147" s="1"/>
      <c r="L147" s="1"/>
      <c r="M147" s="1"/>
      <c r="N147" s="1"/>
      <c r="O147" s="1"/>
      <c r="P147" s="1"/>
      <c r="Q147" s="1"/>
      <c r="R147" s="1"/>
      <c r="S147" s="1"/>
      <c r="T147" s="1"/>
      <c r="U147" s="1"/>
      <c r="V147" s="1"/>
      <c r="W147" s="1"/>
      <c r="X147" s="1"/>
      <c r="Y147" s="1"/>
      <c r="Z147" s="1"/>
    </row>
    <row r="148">
      <c r="A148" s="1" t="str">
        <f>IFERROR(__xludf.DUMMYFUNCTION("""COMPUTED_VALUE"""),"Plague Doctor, Kaillon")</f>
        <v>Plague Doctor, Kaillon</v>
      </c>
      <c r="B148" s="1">
        <f>IFERROR(__xludf.DUMMYFUNCTION("""COMPUTED_VALUE"""),100.0)</f>
        <v>100</v>
      </c>
      <c r="C148" s="1"/>
      <c r="D148" s="1"/>
      <c r="E148" s="1"/>
      <c r="F148" s="1">
        <f>IFERROR(__xludf.DUMMYFUNCTION("""COMPUTED_VALUE"""),100.0)</f>
        <v>100</v>
      </c>
      <c r="G148" s="1"/>
      <c r="H148" s="1"/>
      <c r="I148" s="1"/>
      <c r="J148" s="1"/>
      <c r="K148" s="1"/>
      <c r="L148" s="1"/>
      <c r="M148" s="1">
        <f>IFERROR(__xludf.DUMMYFUNCTION("""COMPUTED_VALUE"""),100.0)</f>
        <v>100</v>
      </c>
      <c r="N148" s="1"/>
      <c r="O148" s="1"/>
      <c r="P148" s="1"/>
      <c r="Q148" s="1"/>
      <c r="R148" s="1"/>
      <c r="S148" s="1"/>
      <c r="T148" s="1"/>
      <c r="U148" s="1"/>
      <c r="V148" s="1"/>
      <c r="W148" s="1"/>
      <c r="X148" s="1"/>
      <c r="Y148" s="1"/>
      <c r="Z148" s="1"/>
    </row>
    <row r="149">
      <c r="A149" s="1" t="str">
        <f>IFERROR(__xludf.DUMMYFUNCTION("""COMPUTED_VALUE"""),"Fire Elemental")</f>
        <v>Fire Elemental</v>
      </c>
      <c r="B149" s="1"/>
      <c r="C149" s="1">
        <f>IFERROR(__xludf.DUMMYFUNCTION("""COMPUTED_VALUE"""),100.0)</f>
        <v>100</v>
      </c>
      <c r="D149" s="1"/>
      <c r="E149" s="1"/>
      <c r="F149" s="1"/>
      <c r="G149" s="1"/>
      <c r="H149" s="1">
        <f>IFERROR(__xludf.DUMMYFUNCTION("""COMPUTED_VALUE"""),100.0)</f>
        <v>100</v>
      </c>
      <c r="I149" s="1"/>
      <c r="J149" s="1"/>
      <c r="K149" s="1"/>
      <c r="L149" s="1"/>
      <c r="M149" s="1"/>
      <c r="N149" s="1"/>
      <c r="O149" s="1"/>
      <c r="P149" s="1"/>
      <c r="Q149" s="1"/>
      <c r="R149" s="1"/>
      <c r="S149" s="1"/>
      <c r="T149" s="1"/>
      <c r="U149" s="1"/>
      <c r="V149" s="1"/>
      <c r="W149" s="1"/>
      <c r="X149" s="1"/>
      <c r="Y149" s="1"/>
      <c r="Z149" s="1"/>
    </row>
    <row r="150">
      <c r="A150" s="1" t="str">
        <f>IFERROR(__xludf.DUMMYFUNCTION("""COMPUTED_VALUE"""),"Volcanic Elemental")</f>
        <v>Volcanic Elemental</v>
      </c>
      <c r="B150" s="1"/>
      <c r="C150" s="1">
        <f>IFERROR(__xludf.DUMMYFUNCTION("""COMPUTED_VALUE"""),50.0)</f>
        <v>50</v>
      </c>
      <c r="D150" s="1"/>
      <c r="E150" s="1"/>
      <c r="F150" s="1"/>
      <c r="G150" s="1"/>
      <c r="H150" s="1">
        <f>IFERROR(__xludf.DUMMYFUNCTION("""COMPUTED_VALUE"""),50.0)</f>
        <v>50</v>
      </c>
      <c r="I150" s="1"/>
      <c r="J150" s="1"/>
      <c r="K150" s="1"/>
      <c r="L150" s="1"/>
      <c r="M150" s="1"/>
      <c r="N150" s="1"/>
      <c r="O150" s="1"/>
      <c r="P150" s="1"/>
      <c r="Q150" s="1"/>
      <c r="R150" s="1"/>
      <c r="S150" s="1"/>
      <c r="T150" s="1"/>
      <c r="U150" s="1"/>
      <c r="V150" s="1"/>
      <c r="W150" s="1"/>
      <c r="X150" s="1"/>
      <c r="Y150" s="1"/>
      <c r="Z150" s="1"/>
    </row>
    <row r="151">
      <c r="A151" s="1" t="str">
        <f>IFERROR(__xludf.DUMMYFUNCTION("""COMPUTED_VALUE"""),"Gytras: The Lord Of Jellyfish")</f>
        <v>Gytras: The Lord Of Jellyfish</v>
      </c>
      <c r="B151" s="1"/>
      <c r="C151" s="1"/>
      <c r="D151" s="1"/>
      <c r="E151" s="1"/>
      <c r="F151" s="1"/>
      <c r="G151" s="1"/>
      <c r="H151" s="1"/>
      <c r="I151" s="1"/>
      <c r="J151" s="1"/>
      <c r="K151" s="1">
        <f>IFERROR(__xludf.DUMMYFUNCTION("""COMPUTED_VALUE"""),100.0)</f>
        <v>100</v>
      </c>
      <c r="L151" s="1"/>
      <c r="M151" s="1"/>
      <c r="N151" s="1"/>
      <c r="O151" s="1"/>
      <c r="P151" s="1"/>
      <c r="Q151" s="1"/>
      <c r="R151" s="1"/>
      <c r="S151" s="1"/>
      <c r="T151" s="1"/>
      <c r="U151" s="1"/>
      <c r="V151" s="1"/>
      <c r="W151" s="1"/>
      <c r="X151" s="1"/>
      <c r="Y151" s="1"/>
      <c r="Z151" s="1"/>
    </row>
    <row r="152">
      <c r="A152" s="1" t="str">
        <f>IFERROR(__xludf.DUMMYFUNCTION("""COMPUTED_VALUE"""),"Haunted Scarecrow")</f>
        <v>Haunted Scarecrow</v>
      </c>
      <c r="B152" s="1">
        <f>IFERROR(__xludf.DUMMYFUNCTION("""COMPUTED_VALUE"""),100.0)</f>
        <v>100</v>
      </c>
      <c r="C152" s="1"/>
      <c r="D152" s="1"/>
      <c r="E152" s="1"/>
      <c r="F152" s="1">
        <f>IFERROR(__xludf.DUMMYFUNCTION("""COMPUTED_VALUE"""),100.0)</f>
        <v>100</v>
      </c>
      <c r="G152" s="1"/>
      <c r="H152" s="1"/>
      <c r="I152" s="1"/>
      <c r="J152" s="1"/>
      <c r="K152" s="1"/>
      <c r="L152" s="1"/>
      <c r="M152" s="1"/>
      <c r="N152" s="1"/>
      <c r="O152" s="1"/>
      <c r="P152" s="1"/>
      <c r="Q152" s="1"/>
      <c r="R152" s="1"/>
      <c r="S152" s="1"/>
      <c r="T152" s="1"/>
      <c r="U152" s="1"/>
      <c r="V152" s="1"/>
      <c r="W152" s="1"/>
      <c r="X152" s="1"/>
      <c r="Y152" s="1"/>
      <c r="Z152" s="1"/>
    </row>
    <row r="153">
      <c r="A153" s="1" t="str">
        <f>IFERROR(__xludf.DUMMYFUNCTION("""COMPUTED_VALUE"""),"Ancient Fire Elemental")</f>
        <v>Ancient Fire Elemental</v>
      </c>
      <c r="B153" s="1"/>
      <c r="C153" s="1">
        <f>IFERROR(__xludf.DUMMYFUNCTION("""COMPUTED_VALUE"""),50.0)</f>
        <v>50</v>
      </c>
      <c r="D153" s="1"/>
      <c r="E153" s="1"/>
      <c r="F153" s="1"/>
      <c r="G153" s="1"/>
      <c r="H153" s="1">
        <f>IFERROR(__xludf.DUMMYFUNCTION("""COMPUTED_VALUE"""),50.0)</f>
        <v>50</v>
      </c>
      <c r="I153" s="1"/>
      <c r="J153" s="1"/>
      <c r="K153" s="1"/>
      <c r="L153" s="1"/>
      <c r="M153" s="1"/>
      <c r="N153" s="1"/>
      <c r="O153" s="1"/>
      <c r="P153" s="1"/>
      <c r="Q153" s="1"/>
      <c r="R153" s="1"/>
      <c r="S153" s="1"/>
      <c r="T153" s="1"/>
      <c r="U153" s="1"/>
      <c r="V153" s="1"/>
      <c r="W153" s="1"/>
      <c r="X153" s="1"/>
      <c r="Y153" s="1"/>
      <c r="Z153" s="1"/>
    </row>
    <row r="154">
      <c r="A154" s="1" t="str">
        <f>IFERROR(__xludf.DUMMYFUNCTION("""COMPUTED_VALUE"""),"Heatmore Flame Golem")</f>
        <v>Heatmore Flame Golem</v>
      </c>
      <c r="B154" s="1"/>
      <c r="C154" s="1">
        <f>IFERROR(__xludf.DUMMYFUNCTION("""COMPUTED_VALUE"""),100.0)</f>
        <v>100</v>
      </c>
      <c r="D154" s="1"/>
      <c r="E154" s="1"/>
      <c r="F154" s="1"/>
      <c r="G154" s="1"/>
      <c r="H154" s="1"/>
      <c r="I154" s="1"/>
      <c r="J154" s="1"/>
      <c r="K154" s="1"/>
      <c r="L154" s="1"/>
      <c r="M154" s="1"/>
      <c r="N154" s="1"/>
      <c r="O154" s="1"/>
      <c r="P154" s="1"/>
      <c r="Q154" s="1"/>
      <c r="R154" s="1"/>
      <c r="S154" s="1"/>
      <c r="T154" s="1"/>
      <c r="U154" s="1"/>
      <c r="V154" s="1"/>
      <c r="W154" s="1"/>
      <c r="X154" s="1"/>
      <c r="Y154" s="1"/>
      <c r="Z154" s="1"/>
    </row>
    <row r="155">
      <c r="A155" s="1" t="str">
        <f>IFERROR(__xludf.DUMMYFUNCTION("""COMPUTED_VALUE"""),"Heatmore Royal Keeper")</f>
        <v>Heatmore Royal Keeper</v>
      </c>
      <c r="B155" s="1"/>
      <c r="C155" s="1">
        <f>IFERROR(__xludf.DUMMYFUNCTION("""COMPUTED_VALUE"""),100.0)</f>
        <v>100</v>
      </c>
      <c r="D155" s="1"/>
      <c r="E155" s="1"/>
      <c r="F155" s="1"/>
      <c r="G155" s="1"/>
      <c r="H155" s="1"/>
      <c r="I155" s="1"/>
      <c r="J155" s="1"/>
      <c r="K155" s="1"/>
      <c r="L155" s="1"/>
      <c r="M155" s="1"/>
      <c r="N155" s="1"/>
      <c r="O155" s="1"/>
      <c r="P155" s="1"/>
      <c r="Q155" s="1"/>
      <c r="R155" s="1"/>
      <c r="S155" s="1"/>
      <c r="T155" s="1"/>
      <c r="U155" s="1"/>
      <c r="V155" s="1"/>
      <c r="W155" s="1"/>
      <c r="X155" s="1"/>
      <c r="Y155" s="1"/>
      <c r="Z155" s="1"/>
    </row>
    <row r="156">
      <c r="A156" s="1" t="str">
        <f>IFERROR(__xludf.DUMMYFUNCTION("""COMPUTED_VALUE"""),"Heatmore Underling")</f>
        <v>Heatmore Underling</v>
      </c>
      <c r="B156" s="1"/>
      <c r="C156" s="1">
        <f>IFERROR(__xludf.DUMMYFUNCTION("""COMPUTED_VALUE"""),100.0)</f>
        <v>100</v>
      </c>
      <c r="D156" s="1"/>
      <c r="E156" s="1"/>
      <c r="F156" s="1"/>
      <c r="G156" s="1"/>
      <c r="H156" s="1"/>
      <c r="I156" s="1"/>
      <c r="J156" s="1"/>
      <c r="K156" s="1"/>
      <c r="L156" s="1"/>
      <c r="M156" s="1"/>
      <c r="N156" s="1"/>
      <c r="O156" s="1"/>
      <c r="P156" s="1"/>
      <c r="Q156" s="1"/>
      <c r="R156" s="1"/>
      <c r="S156" s="1"/>
      <c r="T156" s="1"/>
      <c r="U156" s="1"/>
      <c r="V156" s="1"/>
      <c r="W156" s="1"/>
      <c r="X156" s="1"/>
      <c r="Y156" s="1"/>
      <c r="Z156" s="1"/>
    </row>
    <row r="157">
      <c r="A157" s="1" t="str">
        <f>IFERROR(__xludf.DUMMYFUNCTION("""COMPUTED_VALUE"""),"Hellmore The Soul keeper")</f>
        <v>Hellmore The Soul keeper</v>
      </c>
      <c r="B157" s="1">
        <f>IFERROR(__xludf.DUMMYFUNCTION("""COMPUTED_VALUE"""),100.0)</f>
        <v>100</v>
      </c>
      <c r="C157" s="1"/>
      <c r="D157" s="1"/>
      <c r="E157" s="1"/>
      <c r="F157" s="1">
        <f>IFERROR(__xludf.DUMMYFUNCTION("""COMPUTED_VALUE"""),100.0)</f>
        <v>100</v>
      </c>
      <c r="G157" s="1"/>
      <c r="H157" s="1"/>
      <c r="I157" s="1">
        <f>IFERROR(__xludf.DUMMYFUNCTION("""COMPUTED_VALUE"""),100.0)</f>
        <v>100</v>
      </c>
      <c r="J157" s="1"/>
      <c r="K157" s="1"/>
      <c r="L157" s="1"/>
      <c r="M157" s="1"/>
      <c r="N157" s="1"/>
      <c r="O157" s="1"/>
      <c r="P157" s="1"/>
      <c r="Q157" s="1"/>
      <c r="R157" s="1"/>
      <c r="S157" s="1"/>
      <c r="T157" s="1"/>
      <c r="U157" s="1"/>
      <c r="V157" s="1"/>
      <c r="W157" s="1">
        <f>IFERROR(__xludf.DUMMYFUNCTION("""COMPUTED_VALUE"""),100.0)</f>
        <v>100</v>
      </c>
      <c r="X157" s="1"/>
      <c r="Y157" s="1"/>
      <c r="Z157" s="1"/>
    </row>
    <row r="158">
      <c r="A158" s="1" t="str">
        <f>IFERROR(__xludf.DUMMYFUNCTION("""COMPUTED_VALUE"""),"Hydra Cobra")</f>
        <v>Hydra Cobra</v>
      </c>
      <c r="B158" s="1">
        <f>IFERROR(__xludf.DUMMYFUNCTION("""COMPUTED_VALUE"""),100.0)</f>
        <v>100</v>
      </c>
      <c r="C158" s="1"/>
      <c r="D158" s="1"/>
      <c r="E158" s="1"/>
      <c r="F158" s="1">
        <f>IFERROR(__xludf.DUMMYFUNCTION("""COMPUTED_VALUE"""),100.0)</f>
        <v>100</v>
      </c>
      <c r="G158" s="1"/>
      <c r="H158" s="1"/>
      <c r="I158" s="1">
        <f>IFERROR(__xludf.DUMMYFUNCTION("""COMPUTED_VALUE"""),100.0)</f>
        <v>100</v>
      </c>
      <c r="J158" s="1"/>
      <c r="K158" s="1"/>
      <c r="L158" s="1"/>
      <c r="M158" s="1"/>
      <c r="N158" s="1"/>
      <c r="O158" s="1"/>
      <c r="P158" s="1"/>
      <c r="Q158" s="1"/>
      <c r="R158" s="1"/>
      <c r="S158" s="1"/>
      <c r="T158" s="1"/>
      <c r="U158" s="1"/>
      <c r="V158" s="1"/>
      <c r="W158" s="1"/>
      <c r="X158" s="1"/>
      <c r="Y158" s="1"/>
      <c r="Z158" s="1"/>
    </row>
    <row r="159">
      <c r="A159" s="1" t="str">
        <f>IFERROR(__xludf.DUMMYFUNCTION("""COMPUTED_VALUE"""),"Hyena")</f>
        <v>Hyena</v>
      </c>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t="str">
        <f>IFERROR(__xludf.DUMMYFUNCTION("""COMPUTED_VALUE"""),"Ice Golem")</f>
        <v>Ice Golem</v>
      </c>
      <c r="B160" s="1">
        <f>IFERROR(__xludf.DUMMYFUNCTION("""COMPUTED_VALUE"""),100.0)</f>
        <v>100</v>
      </c>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t="str">
        <f>IFERROR(__xludf.DUMMYFUNCTION("""COMPUTED_VALUE"""),"Ice Slime")</f>
        <v>Ice Slime</v>
      </c>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t="str">
        <f>IFERROR(__xludf.DUMMYFUNCTION("""COMPUTED_VALUE"""),"Ice Yak")</f>
        <v>Ice Yak</v>
      </c>
      <c r="B162" s="1">
        <f>IFERROR(__xludf.DUMMYFUNCTION("""COMPUTED_VALUE"""),100.0)</f>
        <v>100</v>
      </c>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t="str">
        <f>IFERROR(__xludf.DUMMYFUNCTION("""COMPUTED_VALUE"""),"Imperial Judge")</f>
        <v>Imperial Judge</v>
      </c>
      <c r="B163" s="1"/>
      <c r="C163" s="1"/>
      <c r="D163" s="1"/>
      <c r="E163" s="1"/>
      <c r="F163" s="1"/>
      <c r="G163" s="1">
        <f>IFERROR(__xludf.DUMMYFUNCTION("""COMPUTED_VALUE"""),100.0)</f>
        <v>100</v>
      </c>
      <c r="H163" s="1"/>
      <c r="I163" s="1"/>
      <c r="J163" s="1"/>
      <c r="K163" s="1"/>
      <c r="L163" s="1"/>
      <c r="M163" s="1"/>
      <c r="N163" s="1"/>
      <c r="O163" s="1"/>
      <c r="P163" s="1"/>
      <c r="Q163" s="1"/>
      <c r="R163" s="1"/>
      <c r="S163" s="1"/>
      <c r="T163" s="1"/>
      <c r="U163" s="1"/>
      <c r="V163" s="1"/>
      <c r="W163" s="1"/>
      <c r="X163" s="1"/>
      <c r="Y163" s="1"/>
      <c r="Z163" s="1"/>
    </row>
    <row r="164">
      <c r="A164" s="1" t="str">
        <f>IFERROR(__xludf.DUMMYFUNCTION("""COMPUTED_VALUE"""),"Inferno Tree Walker")</f>
        <v>Inferno Tree Walker</v>
      </c>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t="str">
        <f>IFERROR(__xludf.DUMMYFUNCTION("""COMPUTED_VALUE"""),"Inferno Vulture")</f>
        <v>Inferno Vulture</v>
      </c>
      <c r="B165" s="1"/>
      <c r="C165" s="1">
        <f>IFERROR(__xludf.DUMMYFUNCTION("""COMPUTED_VALUE"""),100.0)</f>
        <v>100</v>
      </c>
      <c r="D165" s="1"/>
      <c r="E165" s="1"/>
      <c r="F165" s="1"/>
      <c r="G165" s="1"/>
      <c r="H165" s="1"/>
      <c r="I165" s="1"/>
      <c r="J165" s="1"/>
      <c r="K165" s="1"/>
      <c r="L165" s="1"/>
      <c r="M165" s="1"/>
      <c r="N165" s="1"/>
      <c r="O165" s="1"/>
      <c r="P165" s="1"/>
      <c r="Q165" s="1"/>
      <c r="R165" s="1"/>
      <c r="S165" s="1"/>
      <c r="T165" s="1"/>
      <c r="U165" s="1"/>
      <c r="V165" s="1"/>
      <c r="W165" s="1"/>
      <c r="X165" s="1"/>
      <c r="Y165" s="1"/>
      <c r="Z165" s="1"/>
    </row>
    <row r="166">
      <c r="A166" s="1" t="str">
        <f>IFERROR(__xludf.DUMMYFUNCTION("""COMPUTED_VALUE"""),"Jack Haggerson")</f>
        <v>Jack Haggerson</v>
      </c>
      <c r="B166" s="1">
        <f>IFERROR(__xludf.DUMMYFUNCTION("""COMPUTED_VALUE"""),100.0)</f>
        <v>100</v>
      </c>
      <c r="C166" s="1"/>
      <c r="D166" s="1"/>
      <c r="E166" s="1"/>
      <c r="F166" s="1">
        <f>IFERROR(__xludf.DUMMYFUNCTION("""COMPUTED_VALUE"""),100.0)</f>
        <v>100</v>
      </c>
      <c r="G166" s="1"/>
      <c r="H166" s="1"/>
      <c r="I166" s="1">
        <f>IFERROR(__xludf.DUMMYFUNCTION("""COMPUTED_VALUE"""),100.0)</f>
        <v>100</v>
      </c>
      <c r="J166" s="1"/>
      <c r="K166" s="1"/>
      <c r="L166" s="1"/>
      <c r="M166" s="1"/>
      <c r="N166" s="1"/>
      <c r="O166" s="1"/>
      <c r="P166" s="1"/>
      <c r="Q166" s="1"/>
      <c r="R166" s="1"/>
      <c r="S166" s="1"/>
      <c r="T166" s="1">
        <f>IFERROR(__xludf.DUMMYFUNCTION("""COMPUTED_VALUE"""),100.0)</f>
        <v>100</v>
      </c>
      <c r="U166" s="1"/>
      <c r="V166" s="1"/>
      <c r="W166" s="1">
        <f>IFERROR(__xludf.DUMMYFUNCTION("""COMPUTED_VALUE"""),100.0)</f>
        <v>100</v>
      </c>
      <c r="X166" s="1"/>
      <c r="Y166" s="1"/>
      <c r="Z166" s="1"/>
    </row>
    <row r="167">
      <c r="A167" s="1" t="str">
        <f>IFERROR(__xludf.DUMMYFUNCTION("""COMPUTED_VALUE"""),"Jelly Fish (WD)")</f>
        <v>Jelly Fish (WD)</v>
      </c>
      <c r="B167" s="1"/>
      <c r="C167" s="1"/>
      <c r="D167" s="1"/>
      <c r="E167" s="1"/>
      <c r="F167" s="1"/>
      <c r="G167" s="1"/>
      <c r="H167" s="1"/>
      <c r="I167" s="1"/>
      <c r="J167" s="1"/>
      <c r="K167" s="1">
        <f>IFERROR(__xludf.DUMMYFUNCTION("""COMPUTED_VALUE"""),100.0)</f>
        <v>100</v>
      </c>
      <c r="L167" s="1"/>
      <c r="M167" s="1"/>
      <c r="N167" s="1"/>
      <c r="O167" s="1"/>
      <c r="P167" s="1"/>
      <c r="Q167" s="1"/>
      <c r="R167" s="1"/>
      <c r="S167" s="1"/>
      <c r="T167" s="1"/>
      <c r="U167" s="1"/>
      <c r="V167" s="1"/>
      <c r="W167" s="1"/>
      <c r="X167" s="1"/>
      <c r="Y167" s="1"/>
      <c r="Z167" s="1"/>
    </row>
    <row r="168">
      <c r="A168" s="1" t="str">
        <f>IFERROR(__xludf.DUMMYFUNCTION("""COMPUTED_VALUE"""),"Jelly Fish (WD) (Enhanced)")</f>
        <v>Jelly Fish (WD) (Enhanced)</v>
      </c>
      <c r="B168" s="1"/>
      <c r="C168" s="1"/>
      <c r="D168" s="1"/>
      <c r="E168" s="1"/>
      <c r="F168" s="1"/>
      <c r="G168" s="1"/>
      <c r="H168" s="1"/>
      <c r="I168" s="1"/>
      <c r="J168" s="1"/>
      <c r="K168" s="1">
        <f>IFERROR(__xludf.DUMMYFUNCTION("""COMPUTED_VALUE"""),100.0)</f>
        <v>100</v>
      </c>
      <c r="L168" s="1"/>
      <c r="M168" s="1"/>
      <c r="N168" s="1"/>
      <c r="O168" s="1"/>
      <c r="P168" s="1"/>
      <c r="Q168" s="1"/>
      <c r="R168" s="1"/>
      <c r="S168" s="1"/>
      <c r="T168" s="1"/>
      <c r="U168" s="1"/>
      <c r="V168" s="1"/>
      <c r="W168" s="1"/>
      <c r="X168" s="1"/>
      <c r="Y168" s="1"/>
      <c r="Z168" s="1"/>
    </row>
    <row r="169">
      <c r="A169" s="1" t="str">
        <f>IFERROR(__xludf.DUMMYFUNCTION("""COMPUTED_VALUE"""),"King Goose")</f>
        <v>King Goose</v>
      </c>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t="str">
        <f>IFERROR(__xludf.DUMMYFUNCTION("""COMPUTED_VALUE"""),"King Of Mekana (Robotic Guardian of the 5th, No. 5)")</f>
        <v>King Of Mekana (Robotic Guardian of the 5th, No. 5)</v>
      </c>
      <c r="B170" s="1">
        <f>IFERROR(__xludf.DUMMYFUNCTION("""COMPUTED_VALUE"""),100.0)</f>
        <v>100</v>
      </c>
      <c r="C170" s="1">
        <f>IFERROR(__xludf.DUMMYFUNCTION("""COMPUTED_VALUE"""),100.0)</f>
        <v>100</v>
      </c>
      <c r="D170" s="1"/>
      <c r="E170" s="1"/>
      <c r="F170" s="1"/>
      <c r="G170" s="1"/>
      <c r="H170" s="1"/>
      <c r="I170" s="1"/>
      <c r="J170" s="1"/>
      <c r="K170" s="1"/>
      <c r="L170" s="1"/>
      <c r="M170" s="1"/>
      <c r="N170" s="1"/>
      <c r="O170" s="1"/>
      <c r="P170" s="1"/>
      <c r="Q170" s="1"/>
      <c r="R170" s="1"/>
      <c r="S170" s="1"/>
      <c r="T170" s="1"/>
      <c r="U170" s="1"/>
      <c r="V170" s="1"/>
      <c r="W170" s="1"/>
      <c r="X170" s="1"/>
      <c r="Y170" s="1"/>
      <c r="Z170" s="1"/>
    </row>
    <row r="171">
      <c r="A171" s="1" t="str">
        <f>IFERROR(__xludf.DUMMYFUNCTION("""COMPUTED_VALUE"""),"Knight Of Chaotic Shadows")</f>
        <v>Knight Of Chaotic Shadows</v>
      </c>
      <c r="B171" s="1">
        <f>IFERROR(__xludf.DUMMYFUNCTION("""COMPUTED_VALUE"""),100.0)</f>
        <v>100</v>
      </c>
      <c r="C171" s="1"/>
      <c r="D171" s="1"/>
      <c r="E171" s="1"/>
      <c r="F171" s="1">
        <f>IFERROR(__xludf.DUMMYFUNCTION("""COMPUTED_VALUE"""),100.0)</f>
        <v>100</v>
      </c>
      <c r="G171" s="1"/>
      <c r="H171" s="1"/>
      <c r="I171" s="1">
        <f>IFERROR(__xludf.DUMMYFUNCTION("""COMPUTED_VALUE"""),100.0)</f>
        <v>100</v>
      </c>
      <c r="J171" s="1"/>
      <c r="K171" s="1"/>
      <c r="L171" s="1"/>
      <c r="M171" s="1"/>
      <c r="N171" s="1"/>
      <c r="O171" s="1"/>
      <c r="P171" s="1"/>
      <c r="Q171" s="1"/>
      <c r="R171" s="1"/>
      <c r="S171" s="1"/>
      <c r="T171" s="1"/>
      <c r="U171" s="1"/>
      <c r="V171" s="1"/>
      <c r="W171" s="1"/>
      <c r="X171" s="1"/>
      <c r="Y171" s="1"/>
      <c r="Z171" s="1"/>
    </row>
    <row r="172">
      <c r="A172" s="1" t="str">
        <f>IFERROR(__xludf.DUMMYFUNCTION("""COMPUTED_VALUE"""),"Lamia ")</f>
        <v>Lamia </v>
      </c>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t="str">
        <f>IFERROR(__xludf.DUMMYFUNCTION("""COMPUTED_VALUE"""),"Lava Kraken")</f>
        <v>Lava Kraken</v>
      </c>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t="str">
        <f>IFERROR(__xludf.DUMMYFUNCTION("""COMPUTED_VALUE"""),"Lava Lizard")</f>
        <v>Lava Lizard</v>
      </c>
      <c r="B174" s="1"/>
      <c r="C174" s="1">
        <f>IFERROR(__xludf.DUMMYFUNCTION("""COMPUTED_VALUE"""),100.0)</f>
        <v>100</v>
      </c>
      <c r="D174" s="1"/>
      <c r="E174" s="1"/>
      <c r="F174" s="1"/>
      <c r="G174" s="1"/>
      <c r="H174" s="1"/>
      <c r="I174" s="1"/>
      <c r="J174" s="1"/>
      <c r="K174" s="1"/>
      <c r="L174" s="1"/>
      <c r="M174" s="1"/>
      <c r="N174" s="1"/>
      <c r="O174" s="1"/>
      <c r="P174" s="1"/>
      <c r="Q174" s="1"/>
      <c r="R174" s="1"/>
      <c r="S174" s="1"/>
      <c r="T174" s="1"/>
      <c r="U174" s="1"/>
      <c r="V174" s="1"/>
      <c r="W174" s="1"/>
      <c r="X174" s="1"/>
      <c r="Y174" s="1"/>
      <c r="Z174" s="1"/>
    </row>
    <row r="175">
      <c r="A175" s="1" t="str">
        <f>IFERROR(__xludf.DUMMYFUNCTION("""COMPUTED_VALUE"""),"Lava Moth")</f>
        <v>Lava Moth</v>
      </c>
      <c r="B175" s="1"/>
      <c r="C175" s="1">
        <f>IFERROR(__xludf.DUMMYFUNCTION("""COMPUTED_VALUE"""),100.0)</f>
        <v>100</v>
      </c>
      <c r="D175" s="1"/>
      <c r="E175" s="1"/>
      <c r="F175" s="1"/>
      <c r="G175" s="1"/>
      <c r="H175" s="1"/>
      <c r="I175" s="1"/>
      <c r="J175" s="1"/>
      <c r="K175" s="1"/>
      <c r="L175" s="1"/>
      <c r="M175" s="1"/>
      <c r="N175" s="1"/>
      <c r="O175" s="1"/>
      <c r="P175" s="1"/>
      <c r="Q175" s="1"/>
      <c r="R175" s="1"/>
      <c r="S175" s="1"/>
      <c r="T175" s="1"/>
      <c r="U175" s="1"/>
      <c r="V175" s="1"/>
      <c r="W175" s="1"/>
      <c r="X175" s="1"/>
      <c r="Y175" s="1"/>
      <c r="Z175" s="1"/>
    </row>
    <row r="176">
      <c r="A176" s="1" t="str">
        <f>IFERROR(__xludf.DUMMYFUNCTION("""COMPUTED_VALUE"""),"Lava Panther")</f>
        <v>Lava Panther</v>
      </c>
      <c r="B176" s="1"/>
      <c r="C176" s="1">
        <f>IFERROR(__xludf.DUMMYFUNCTION("""COMPUTED_VALUE"""),100.0)</f>
        <v>100</v>
      </c>
      <c r="D176" s="1"/>
      <c r="E176" s="1"/>
      <c r="F176" s="1"/>
      <c r="G176" s="1"/>
      <c r="H176" s="1"/>
      <c r="I176" s="1"/>
      <c r="J176" s="1"/>
      <c r="K176" s="1"/>
      <c r="L176" s="1"/>
      <c r="M176" s="1"/>
      <c r="N176" s="1"/>
      <c r="O176" s="1"/>
      <c r="P176" s="1"/>
      <c r="Q176" s="1"/>
      <c r="R176" s="1"/>
      <c r="S176" s="1"/>
      <c r="T176" s="1"/>
      <c r="U176" s="1"/>
      <c r="V176" s="1"/>
      <c r="W176" s="1"/>
      <c r="X176" s="1"/>
      <c r="Y176" s="1"/>
      <c r="Z176" s="1"/>
    </row>
    <row r="177">
      <c r="A177" s="1" t="str">
        <f>IFERROR(__xludf.DUMMYFUNCTION("""COMPUTED_VALUE"""),"Lava Rat")</f>
        <v>Lava Rat</v>
      </c>
      <c r="B177" s="1"/>
      <c r="C177" s="1">
        <f>IFERROR(__xludf.DUMMYFUNCTION("""COMPUTED_VALUE"""),100.0)</f>
        <v>100</v>
      </c>
      <c r="D177" s="1"/>
      <c r="E177" s="1"/>
      <c r="F177" s="1"/>
      <c r="G177" s="1"/>
      <c r="H177" s="1"/>
      <c r="I177" s="1"/>
      <c r="J177" s="1"/>
      <c r="K177" s="1"/>
      <c r="L177" s="1"/>
      <c r="M177" s="1"/>
      <c r="N177" s="1"/>
      <c r="O177" s="1"/>
      <c r="P177" s="1"/>
      <c r="Q177" s="1"/>
      <c r="R177" s="1"/>
      <c r="S177" s="1"/>
      <c r="T177" s="1"/>
      <c r="U177" s="1"/>
      <c r="V177" s="1"/>
      <c r="W177" s="1"/>
      <c r="X177" s="1"/>
      <c r="Y177" s="1"/>
      <c r="Z177" s="1"/>
    </row>
    <row r="178">
      <c r="A178" s="1" t="str">
        <f>IFERROR(__xludf.DUMMYFUNCTION("""COMPUTED_VALUE"""),"Rat King")</f>
        <v>Rat King</v>
      </c>
      <c r="B178" s="1"/>
      <c r="C178" s="1"/>
      <c r="D178" s="1"/>
      <c r="E178" s="1"/>
      <c r="F178" s="1">
        <f>IFERROR(__xludf.DUMMYFUNCTION("""COMPUTED_VALUE"""),100.0)</f>
        <v>100</v>
      </c>
      <c r="G178" s="1"/>
      <c r="H178" s="1"/>
      <c r="I178" s="1">
        <f>IFERROR(__xludf.DUMMYFUNCTION("""COMPUTED_VALUE"""),100.0)</f>
        <v>100</v>
      </c>
      <c r="J178" s="1"/>
      <c r="K178" s="1"/>
      <c r="L178" s="1"/>
      <c r="M178" s="1"/>
      <c r="N178" s="1"/>
      <c r="O178" s="1"/>
      <c r="P178" s="1"/>
      <c r="Q178" s="1"/>
      <c r="R178" s="1"/>
      <c r="S178" s="1"/>
      <c r="T178" s="1"/>
      <c r="U178" s="1"/>
      <c r="V178" s="1"/>
      <c r="W178" s="1"/>
      <c r="X178" s="1"/>
      <c r="Y178" s="1"/>
      <c r="Z178" s="1"/>
    </row>
    <row r="179">
      <c r="A179" s="1" t="str">
        <f>IFERROR(__xludf.DUMMYFUNCTION("""COMPUTED_VALUE"""),"Lava Tiger")</f>
        <v>Lava Tiger</v>
      </c>
      <c r="B179" s="1"/>
      <c r="C179" s="1">
        <f>IFERROR(__xludf.DUMMYFUNCTION("""COMPUTED_VALUE"""),100.0)</f>
        <v>100</v>
      </c>
      <c r="D179" s="1"/>
      <c r="E179" s="1"/>
      <c r="F179" s="1"/>
      <c r="G179" s="1"/>
      <c r="H179" s="1"/>
      <c r="I179" s="1"/>
      <c r="J179" s="1"/>
      <c r="K179" s="1"/>
      <c r="L179" s="1"/>
      <c r="M179" s="1"/>
      <c r="N179" s="1"/>
      <c r="O179" s="1"/>
      <c r="P179" s="1"/>
      <c r="Q179" s="1"/>
      <c r="R179" s="1"/>
      <c r="S179" s="1"/>
      <c r="T179" s="1"/>
      <c r="U179" s="1"/>
      <c r="V179" s="1"/>
      <c r="W179" s="1"/>
      <c r="X179" s="1"/>
      <c r="Y179" s="1"/>
      <c r="Z179" s="1"/>
    </row>
    <row r="180">
      <c r="A180" s="1" t="str">
        <f>IFERROR(__xludf.DUMMYFUNCTION("""COMPUTED_VALUE"""),"Legendary Treant")</f>
        <v>Legendary Treant</v>
      </c>
      <c r="B180" s="1">
        <f>IFERROR(__xludf.DUMMYFUNCTION("""COMPUTED_VALUE"""),100.0)</f>
        <v>100</v>
      </c>
      <c r="C180" s="1"/>
      <c r="D180" s="1">
        <f>IFERROR(__xludf.DUMMYFUNCTION("""COMPUTED_VALUE"""),100.0)</f>
        <v>100</v>
      </c>
      <c r="E180" s="1"/>
      <c r="F180" s="1"/>
      <c r="G180" s="1"/>
      <c r="H180" s="1"/>
      <c r="I180" s="1"/>
      <c r="J180" s="1"/>
      <c r="K180" s="1"/>
      <c r="L180" s="1"/>
      <c r="M180" s="1"/>
      <c r="N180" s="1"/>
      <c r="O180" s="1"/>
      <c r="P180" s="1"/>
      <c r="Q180" s="1"/>
      <c r="R180" s="1"/>
      <c r="S180" s="1"/>
      <c r="T180" s="1"/>
      <c r="U180" s="1"/>
      <c r="V180" s="1"/>
      <c r="W180" s="1"/>
      <c r="X180" s="1"/>
      <c r="Y180" s="1"/>
      <c r="Z180" s="1"/>
    </row>
    <row r="181">
      <c r="A181" s="1" t="str">
        <f>IFERROR(__xludf.DUMMYFUNCTION("""COMPUTED_VALUE"""),"Locust Swarm")</f>
        <v>Locust Swarm</v>
      </c>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t="str">
        <f>IFERROR(__xludf.DUMMYFUNCTION("""COMPUTED_VALUE"""),"Lord Dreadful (Form 1)")</f>
        <v>Lord Dreadful (Form 1)</v>
      </c>
      <c r="B182" s="1">
        <f>IFERROR(__xludf.DUMMYFUNCTION("""COMPUTED_VALUE"""),100.0)</f>
        <v>100</v>
      </c>
      <c r="C182" s="1"/>
      <c r="D182" s="1"/>
      <c r="E182" s="1"/>
      <c r="F182" s="1">
        <f>IFERROR(__xludf.DUMMYFUNCTION("""COMPUTED_VALUE"""),100.0)</f>
        <v>100</v>
      </c>
      <c r="G182" s="1"/>
      <c r="H182" s="1"/>
      <c r="I182" s="1">
        <f>IFERROR(__xludf.DUMMYFUNCTION("""COMPUTED_VALUE"""),100.0)</f>
        <v>100</v>
      </c>
      <c r="J182" s="1"/>
      <c r="K182" s="1"/>
      <c r="L182" s="1"/>
      <c r="M182" s="1"/>
      <c r="N182" s="1"/>
      <c r="O182" s="1"/>
      <c r="P182" s="1"/>
      <c r="Q182" s="1"/>
      <c r="R182" s="1"/>
      <c r="S182" s="1"/>
      <c r="T182" s="1"/>
      <c r="U182" s="1"/>
      <c r="V182" s="1"/>
      <c r="W182" s="1"/>
      <c r="X182" s="1"/>
      <c r="Y182" s="1"/>
      <c r="Z182" s="1"/>
    </row>
    <row r="183">
      <c r="A183" s="1" t="str">
        <f>IFERROR(__xludf.DUMMYFUNCTION("""COMPUTED_VALUE"""),"Lord Dreadful (Lord Zude) (Form 2)")</f>
        <v>Lord Dreadful (Lord Zude) (Form 2)</v>
      </c>
      <c r="B183" s="1">
        <f>IFERROR(__xludf.DUMMYFUNCTION("""COMPUTED_VALUE"""),100.0)</f>
        <v>100</v>
      </c>
      <c r="C183" s="1"/>
      <c r="D183" s="1"/>
      <c r="E183" s="1"/>
      <c r="F183" s="1">
        <f>IFERROR(__xludf.DUMMYFUNCTION("""COMPUTED_VALUE"""),100.0)</f>
        <v>100</v>
      </c>
      <c r="G183" s="1"/>
      <c r="H183" s="1"/>
      <c r="I183" s="1">
        <f>IFERROR(__xludf.DUMMYFUNCTION("""COMPUTED_VALUE"""),100.0)</f>
        <v>100</v>
      </c>
      <c r="J183" s="1"/>
      <c r="K183" s="1"/>
      <c r="L183" s="1"/>
      <c r="M183" s="1"/>
      <c r="N183" s="1"/>
      <c r="O183" s="1"/>
      <c r="P183" s="1"/>
      <c r="Q183" s="1"/>
      <c r="R183" s="1"/>
      <c r="S183" s="1"/>
      <c r="T183" s="1"/>
      <c r="U183" s="1"/>
      <c r="V183" s="1"/>
      <c r="W183" s="1"/>
      <c r="X183" s="1"/>
      <c r="Y183" s="1"/>
      <c r="Z183" s="1"/>
    </row>
    <row r="184">
      <c r="A184" s="1" t="str">
        <f>IFERROR(__xludf.DUMMYFUNCTION("""COMPUTED_VALUE"""),"Lord Goose")</f>
        <v>Lord Goose</v>
      </c>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t="str">
        <f>IFERROR(__xludf.DUMMYFUNCTION("""COMPUTED_VALUE"""),"Lord Of The Bandits")</f>
        <v>Lord Of The Bandits</v>
      </c>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t="str">
        <f>IFERROR(__xludf.DUMMYFUNCTION("""COMPUTED_VALUE"""),"Chaotic Shadow Servant")</f>
        <v>Chaotic Shadow Servant</v>
      </c>
      <c r="B186" s="1">
        <f>IFERROR(__xludf.DUMMYFUNCTION("""COMPUTED_VALUE"""),100.0)</f>
        <v>100</v>
      </c>
      <c r="C186" s="1"/>
      <c r="D186" s="1"/>
      <c r="E186" s="1"/>
      <c r="F186" s="1">
        <f>IFERROR(__xludf.DUMMYFUNCTION("""COMPUTED_VALUE"""),100.0)</f>
        <v>100</v>
      </c>
      <c r="G186" s="1"/>
      <c r="H186" s="1"/>
      <c r="I186" s="1">
        <f>IFERROR(__xludf.DUMMYFUNCTION("""COMPUTED_VALUE"""),100.0)</f>
        <v>100</v>
      </c>
      <c r="J186" s="1"/>
      <c r="K186" s="1"/>
      <c r="L186" s="1"/>
      <c r="M186" s="1"/>
      <c r="N186" s="1"/>
      <c r="O186" s="1"/>
      <c r="P186" s="1"/>
      <c r="Q186" s="1"/>
      <c r="R186" s="1"/>
      <c r="S186" s="1"/>
      <c r="T186" s="1"/>
      <c r="U186" s="1"/>
      <c r="V186" s="1"/>
      <c r="W186" s="1"/>
      <c r="X186" s="1"/>
      <c r="Y186" s="1"/>
      <c r="Z186" s="1"/>
    </row>
    <row r="187">
      <c r="A187" s="1" t="str">
        <f>IFERROR(__xludf.DUMMYFUNCTION("""COMPUTED_VALUE"""),"Lugh")</f>
        <v>Lugh</v>
      </c>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t="str">
        <f>IFERROR(__xludf.DUMMYFUNCTION("""COMPUTED_VALUE"""),"Madem Hagbottom")</f>
        <v>Madem Hagbottom</v>
      </c>
      <c r="B188" s="1">
        <f>IFERROR(__xludf.DUMMYFUNCTION("""COMPUTED_VALUE"""),100.0)</f>
        <v>100</v>
      </c>
      <c r="C188" s="1"/>
      <c r="D188" s="1"/>
      <c r="E188" s="1"/>
      <c r="F188" s="1">
        <f>IFERROR(__xludf.DUMMYFUNCTION("""COMPUTED_VALUE"""),100.0)</f>
        <v>100</v>
      </c>
      <c r="G188" s="1"/>
      <c r="H188" s="1"/>
      <c r="I188" s="1">
        <f>IFERROR(__xludf.DUMMYFUNCTION("""COMPUTED_VALUE"""),100.0)</f>
        <v>100</v>
      </c>
      <c r="J188" s="1"/>
      <c r="K188" s="1"/>
      <c r="L188" s="1"/>
      <c r="M188" s="1"/>
      <c r="N188" s="1"/>
      <c r="O188" s="1"/>
      <c r="P188" s="1"/>
      <c r="Q188" s="1"/>
      <c r="R188" s="1"/>
      <c r="S188" s="1"/>
      <c r="T188" s="1">
        <f>IFERROR(__xludf.DUMMYFUNCTION("""COMPUTED_VALUE"""),100.0)</f>
        <v>100</v>
      </c>
      <c r="U188" s="1"/>
      <c r="V188" s="1"/>
      <c r="W188" s="1">
        <f>IFERROR(__xludf.DUMMYFUNCTION("""COMPUTED_VALUE"""),100.0)</f>
        <v>100</v>
      </c>
      <c r="X188" s="1"/>
      <c r="Y188" s="1"/>
      <c r="Z188" s="1"/>
    </row>
    <row r="189">
      <c r="A189" s="1" t="str">
        <f>IFERROR(__xludf.DUMMYFUNCTION("""COMPUTED_VALUE"""),"Magma Bear")</f>
        <v>Magma Bear</v>
      </c>
      <c r="B189" s="1"/>
      <c r="C189" s="1">
        <f>IFERROR(__xludf.DUMMYFUNCTION("""COMPUTED_VALUE"""),100.0)</f>
        <v>100</v>
      </c>
      <c r="D189" s="1"/>
      <c r="E189" s="1"/>
      <c r="F189" s="1"/>
      <c r="G189" s="1"/>
      <c r="H189" s="1"/>
      <c r="I189" s="1"/>
      <c r="J189" s="1"/>
      <c r="K189" s="1"/>
      <c r="L189" s="1"/>
      <c r="M189" s="1"/>
      <c r="N189" s="1"/>
      <c r="O189" s="1"/>
      <c r="P189" s="1"/>
      <c r="Q189" s="1"/>
      <c r="R189" s="1"/>
      <c r="S189" s="1"/>
      <c r="T189" s="1"/>
      <c r="U189" s="1"/>
      <c r="V189" s="1"/>
      <c r="W189" s="1"/>
      <c r="X189" s="1"/>
      <c r="Y189" s="1"/>
      <c r="Z189" s="1"/>
    </row>
    <row r="190">
      <c r="A190" s="1" t="str">
        <f>IFERROR(__xludf.DUMMYFUNCTION("""COMPUTED_VALUE"""),"Magma Slime")</f>
        <v>Magma Slime</v>
      </c>
      <c r="B190" s="1"/>
      <c r="C190" s="1">
        <f>IFERROR(__xludf.DUMMYFUNCTION("""COMPUTED_VALUE"""),100.0)</f>
        <v>100</v>
      </c>
      <c r="D190" s="1"/>
      <c r="E190" s="1"/>
      <c r="F190" s="1"/>
      <c r="G190" s="1"/>
      <c r="H190" s="1"/>
      <c r="I190" s="1"/>
      <c r="J190" s="1"/>
      <c r="K190" s="1"/>
      <c r="L190" s="1"/>
      <c r="M190" s="1"/>
      <c r="N190" s="1"/>
      <c r="O190" s="1"/>
      <c r="P190" s="1"/>
      <c r="Q190" s="1"/>
      <c r="R190" s="1"/>
      <c r="S190" s="1"/>
      <c r="T190" s="1"/>
      <c r="U190" s="1"/>
      <c r="V190" s="1"/>
      <c r="W190" s="1"/>
      <c r="X190" s="1"/>
      <c r="Y190" s="1"/>
      <c r="Z190" s="1"/>
    </row>
    <row r="191">
      <c r="A191" s="1" t="str">
        <f>IFERROR(__xludf.DUMMYFUNCTION("""COMPUTED_VALUE"""),"Manticore")</f>
        <v>Manticore</v>
      </c>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t="str">
        <f>IFERROR(__xludf.DUMMYFUNCTION("""COMPUTED_VALUE"""),"Master Monk Warrior")</f>
        <v>Master Monk Warrior</v>
      </c>
      <c r="B192" s="1"/>
      <c r="C192" s="1"/>
      <c r="D192" s="1"/>
      <c r="E192" s="1"/>
      <c r="F192" s="1"/>
      <c r="G192" s="1">
        <f>IFERROR(__xludf.DUMMYFUNCTION("""COMPUTED_VALUE"""),100.0)</f>
        <v>100</v>
      </c>
      <c r="H192" s="1"/>
      <c r="I192" s="1"/>
      <c r="J192" s="1">
        <f>IFERROR(__xludf.DUMMYFUNCTION("""COMPUTED_VALUE"""),100.0)</f>
        <v>100</v>
      </c>
      <c r="K192" s="1"/>
      <c r="L192" s="1"/>
      <c r="M192" s="1"/>
      <c r="N192" s="1"/>
      <c r="O192" s="1"/>
      <c r="P192" s="1"/>
      <c r="Q192" s="1">
        <f>IFERROR(__xludf.DUMMYFUNCTION("""COMPUTED_VALUE"""),100.0)</f>
        <v>100</v>
      </c>
      <c r="R192" s="1"/>
      <c r="S192" s="1"/>
      <c r="T192" s="1"/>
      <c r="U192" s="1"/>
      <c r="V192" s="1"/>
      <c r="W192" s="1"/>
      <c r="X192" s="1"/>
      <c r="Y192" s="1"/>
      <c r="Z192" s="1"/>
    </row>
    <row r="193">
      <c r="A193" s="1" t="str">
        <f>IFERROR(__xludf.DUMMYFUNCTION("""COMPUTED_VALUE"""),"Master Sawoogo")</f>
        <v>Master Sawoogo</v>
      </c>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t="str">
        <f>IFERROR(__xludf.DUMMYFUNCTION("""COMPUTED_VALUE"""),"Megalodon (WD)")</f>
        <v>Megalodon (WD)</v>
      </c>
      <c r="B194" s="1"/>
      <c r="C194" s="1"/>
      <c r="D194" s="1"/>
      <c r="E194" s="1"/>
      <c r="F194" s="1"/>
      <c r="G194" s="1"/>
      <c r="H194" s="1"/>
      <c r="I194" s="1"/>
      <c r="J194" s="1"/>
      <c r="K194" s="1">
        <f>IFERROR(__xludf.DUMMYFUNCTION("""COMPUTED_VALUE"""),100.0)</f>
        <v>100</v>
      </c>
      <c r="L194" s="1"/>
      <c r="M194" s="1"/>
      <c r="N194" s="1"/>
      <c r="O194" s="1"/>
      <c r="P194" s="1"/>
      <c r="Q194" s="1"/>
      <c r="R194" s="1"/>
      <c r="S194" s="1"/>
      <c r="T194" s="1"/>
      <c r="U194" s="1"/>
      <c r="V194" s="1"/>
      <c r="W194" s="1"/>
      <c r="X194" s="1"/>
      <c r="Y194" s="1"/>
      <c r="Z194" s="1"/>
    </row>
    <row r="195">
      <c r="A195" s="1" t="str">
        <f>IFERROR(__xludf.DUMMYFUNCTION("""COMPUTED_VALUE"""),"Megalodon (WD) (Enhanced)")</f>
        <v>Megalodon (WD) (Enhanced)</v>
      </c>
      <c r="B195" s="1"/>
      <c r="C195" s="1"/>
      <c r="D195" s="1"/>
      <c r="E195" s="1"/>
      <c r="F195" s="1"/>
      <c r="G195" s="1"/>
      <c r="H195" s="1"/>
      <c r="I195" s="1"/>
      <c r="J195" s="1"/>
      <c r="K195" s="1">
        <f>IFERROR(__xludf.DUMMYFUNCTION("""COMPUTED_VALUE"""),100.0)</f>
        <v>100</v>
      </c>
      <c r="L195" s="1"/>
      <c r="M195" s="1"/>
      <c r="N195" s="1"/>
      <c r="O195" s="1"/>
      <c r="P195" s="1"/>
      <c r="Q195" s="1"/>
      <c r="R195" s="1"/>
      <c r="S195" s="1"/>
      <c r="T195" s="1"/>
      <c r="U195" s="1"/>
      <c r="V195" s="1"/>
      <c r="W195" s="1"/>
      <c r="X195" s="1"/>
      <c r="Y195" s="1"/>
      <c r="Z195" s="1"/>
    </row>
    <row r="196">
      <c r="A196" s="1" t="str">
        <f>IFERROR(__xludf.DUMMYFUNCTION("""COMPUTED_VALUE"""),"Merk the undying sand Goblin")</f>
        <v>Merk the undying sand Goblin</v>
      </c>
      <c r="B196" s="1"/>
      <c r="C196" s="1">
        <f>IFERROR(__xludf.DUMMYFUNCTION("""COMPUTED_VALUE"""),100.0)</f>
        <v>100</v>
      </c>
      <c r="D196" s="1">
        <f>IFERROR(__xludf.DUMMYFUNCTION("""COMPUTED_VALUE"""),100.0)</f>
        <v>100</v>
      </c>
      <c r="E196" s="1"/>
      <c r="F196" s="1"/>
      <c r="G196" s="1"/>
      <c r="H196" s="1"/>
      <c r="I196" s="1"/>
      <c r="J196" s="1"/>
      <c r="K196" s="1"/>
      <c r="L196" s="1"/>
      <c r="M196" s="1"/>
      <c r="N196" s="1"/>
      <c r="O196" s="1"/>
      <c r="P196" s="1"/>
      <c r="Q196" s="1"/>
      <c r="R196" s="1"/>
      <c r="S196" s="1"/>
      <c r="T196" s="1"/>
      <c r="U196" s="1"/>
      <c r="V196" s="1"/>
      <c r="W196" s="1"/>
      <c r="X196" s="1"/>
      <c r="Y196" s="1"/>
      <c r="Z196" s="1"/>
    </row>
    <row r="197">
      <c r="A197" s="1" t="str">
        <f>IFERROR(__xludf.DUMMYFUNCTION("""COMPUTED_VALUE"""),"Mod ""The Evil Seahag From Hagstown""")</f>
        <v>Mod "The Evil Seahag From Hagstown"</v>
      </c>
      <c r="B197" s="1">
        <f>IFERROR(__xludf.DUMMYFUNCTION("""COMPUTED_VALUE"""),100.0)</f>
        <v>100</v>
      </c>
      <c r="C197" s="1"/>
      <c r="D197" s="1"/>
      <c r="E197" s="1"/>
      <c r="F197" s="1">
        <f>IFERROR(__xludf.DUMMYFUNCTION("""COMPUTED_VALUE"""),100.0)</f>
        <v>100</v>
      </c>
      <c r="G197" s="1"/>
      <c r="H197" s="1"/>
      <c r="I197" s="1">
        <f>IFERROR(__xludf.DUMMYFUNCTION("""COMPUTED_VALUE"""),100.0)</f>
        <v>100</v>
      </c>
      <c r="J197" s="1"/>
      <c r="K197" s="1"/>
      <c r="L197" s="1"/>
      <c r="M197" s="1"/>
      <c r="N197" s="1"/>
      <c r="O197" s="1"/>
      <c r="P197" s="1"/>
      <c r="Q197" s="1"/>
      <c r="R197" s="1"/>
      <c r="S197" s="1"/>
      <c r="T197" s="1">
        <f>IFERROR(__xludf.DUMMYFUNCTION("""COMPUTED_VALUE"""),100.0)</f>
        <v>100</v>
      </c>
      <c r="U197" s="1"/>
      <c r="V197" s="1"/>
      <c r="W197" s="1">
        <f>IFERROR(__xludf.DUMMYFUNCTION("""COMPUTED_VALUE"""),100.0)</f>
        <v>100</v>
      </c>
      <c r="X197" s="1"/>
      <c r="Y197" s="1"/>
      <c r="Z197" s="1"/>
    </row>
    <row r="198">
      <c r="A198" s="1" t="str">
        <f>IFERROR(__xludf.DUMMYFUNCTION("""COMPUTED_VALUE"""),"Moonlight Unicorn")</f>
        <v>Moonlight Unicorn</v>
      </c>
      <c r="B198" s="1"/>
      <c r="C198" s="1"/>
      <c r="D198" s="1"/>
      <c r="E198" s="1"/>
      <c r="F198" s="1"/>
      <c r="G198" s="1"/>
      <c r="H198" s="1"/>
      <c r="I198" s="1"/>
      <c r="J198" s="1"/>
      <c r="K198" s="1"/>
      <c r="L198" s="1"/>
      <c r="M198" s="1"/>
      <c r="N198" s="1"/>
      <c r="O198" s="1"/>
      <c r="P198" s="1"/>
      <c r="Q198" s="1"/>
      <c r="R198" s="1"/>
      <c r="S198" s="1"/>
      <c r="T198" s="1"/>
      <c r="U198" s="1"/>
      <c r="V198" s="1"/>
      <c r="W198" s="1">
        <f>IFERROR(__xludf.DUMMYFUNCTION("""COMPUTED_VALUE"""),100.0)</f>
        <v>100</v>
      </c>
      <c r="X198" s="1"/>
      <c r="Y198" s="1"/>
      <c r="Z198" s="1"/>
    </row>
    <row r="199">
      <c r="A199" s="1" t="str">
        <f>IFERROR(__xludf.DUMMYFUNCTION("""COMPUTED_VALUE"""),"Moonstone Dragon")</f>
        <v>Moonstone Dragon</v>
      </c>
      <c r="B199" s="1"/>
      <c r="C199" s="1">
        <f>IFERROR(__xludf.DUMMYFUNCTION("""COMPUTED_VALUE"""),100.0)</f>
        <v>100</v>
      </c>
      <c r="D199" s="1">
        <f>IFERROR(__xludf.DUMMYFUNCTION("""COMPUTED_VALUE"""),100.0)</f>
        <v>100</v>
      </c>
      <c r="E199" s="1"/>
      <c r="F199" s="1"/>
      <c r="G199" s="1"/>
      <c r="H199" s="1"/>
      <c r="I199" s="1"/>
      <c r="J199" s="1"/>
      <c r="K199" s="1"/>
      <c r="L199" s="1"/>
      <c r="M199" s="1"/>
      <c r="N199" s="1"/>
      <c r="O199" s="1"/>
      <c r="P199" s="1"/>
      <c r="Q199" s="1"/>
      <c r="R199" s="1"/>
      <c r="S199" s="1"/>
      <c r="T199" s="1"/>
      <c r="U199" s="1"/>
      <c r="V199" s="1"/>
      <c r="W199" s="1">
        <f>IFERROR(__xludf.DUMMYFUNCTION("""COMPUTED_VALUE"""),100.0)</f>
        <v>100</v>
      </c>
      <c r="X199" s="1"/>
      <c r="Y199" s="1"/>
      <c r="Z199" s="1"/>
    </row>
    <row r="200">
      <c r="A200" s="1" t="str">
        <f>IFERROR(__xludf.DUMMYFUNCTION("""COMPUTED_VALUE"""),"Mr. Skeleton")</f>
        <v>Mr. Skeleton</v>
      </c>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t="str">
        <f>IFERROR(__xludf.DUMMYFUNCTION("""COMPUTED_VALUE"""),"Multi Headed Chaotic Shadow Dragon")</f>
        <v>Multi Headed Chaotic Shadow Dragon</v>
      </c>
      <c r="B201" s="1">
        <f>IFERROR(__xludf.DUMMYFUNCTION("""COMPUTED_VALUE"""),100.0)</f>
        <v>100</v>
      </c>
      <c r="C201" s="1"/>
      <c r="D201" s="1"/>
      <c r="E201" s="1"/>
      <c r="F201" s="1">
        <f>IFERROR(__xludf.DUMMYFUNCTION("""COMPUTED_VALUE"""),100.0)</f>
        <v>100</v>
      </c>
      <c r="G201" s="1"/>
      <c r="H201" s="1"/>
      <c r="I201" s="1">
        <f>IFERROR(__xludf.DUMMYFUNCTION("""COMPUTED_VALUE"""),100.0)</f>
        <v>100</v>
      </c>
      <c r="J201" s="1"/>
      <c r="K201" s="1"/>
      <c r="L201" s="1"/>
      <c r="M201" s="1"/>
      <c r="N201" s="1"/>
      <c r="O201" s="1"/>
      <c r="P201" s="1"/>
      <c r="Q201" s="1"/>
      <c r="R201" s="1"/>
      <c r="S201" s="1"/>
      <c r="T201" s="1"/>
      <c r="U201" s="1"/>
      <c r="V201" s="1"/>
      <c r="W201" s="1"/>
      <c r="X201" s="1"/>
      <c r="Y201" s="1"/>
      <c r="Z201" s="1"/>
    </row>
    <row r="202">
      <c r="A202" s="1" t="str">
        <f>IFERROR(__xludf.DUMMYFUNCTION("""COMPUTED_VALUE"""),"Mummy Guardian")</f>
        <v>Mummy Guardian</v>
      </c>
      <c r="B202" s="1">
        <f>IFERROR(__xludf.DUMMYFUNCTION("""COMPUTED_VALUE"""),100.0)</f>
        <v>100</v>
      </c>
      <c r="C202" s="1"/>
      <c r="D202" s="1"/>
      <c r="E202" s="1"/>
      <c r="F202" s="1">
        <f>IFERROR(__xludf.DUMMYFUNCTION("""COMPUTED_VALUE"""),100.0)</f>
        <v>100</v>
      </c>
      <c r="G202" s="1"/>
      <c r="H202" s="1"/>
      <c r="I202" s="1"/>
      <c r="J202" s="1"/>
      <c r="K202" s="1"/>
      <c r="L202" s="1"/>
      <c r="M202" s="1"/>
      <c r="N202" s="1"/>
      <c r="O202" s="1"/>
      <c r="P202" s="1"/>
      <c r="Q202" s="1"/>
      <c r="R202" s="1"/>
      <c r="S202" s="1"/>
      <c r="T202" s="1"/>
      <c r="U202" s="1"/>
      <c r="V202" s="1"/>
      <c r="W202" s="1"/>
      <c r="X202" s="1"/>
      <c r="Y202" s="1"/>
      <c r="Z202" s="1"/>
    </row>
    <row r="203">
      <c r="A203" s="1" t="str">
        <f>IFERROR(__xludf.DUMMYFUNCTION("""COMPUTED_VALUE"""),"Mummy King")</f>
        <v>Mummy King</v>
      </c>
      <c r="B203" s="1">
        <f>IFERROR(__xludf.DUMMYFUNCTION("""COMPUTED_VALUE"""),100.0)</f>
        <v>100</v>
      </c>
      <c r="C203" s="1"/>
      <c r="D203" s="1"/>
      <c r="E203" s="1"/>
      <c r="F203" s="1">
        <f>IFERROR(__xludf.DUMMYFUNCTION("""COMPUTED_VALUE"""),100.0)</f>
        <v>100</v>
      </c>
      <c r="G203" s="1"/>
      <c r="H203" s="1"/>
      <c r="I203" s="1"/>
      <c r="J203" s="1"/>
      <c r="K203" s="1"/>
      <c r="L203" s="1"/>
      <c r="M203" s="1"/>
      <c r="N203" s="1"/>
      <c r="O203" s="1"/>
      <c r="P203" s="1"/>
      <c r="Q203" s="1"/>
      <c r="R203" s="1"/>
      <c r="S203" s="1"/>
      <c r="T203" s="1"/>
      <c r="U203" s="1"/>
      <c r="V203" s="1"/>
      <c r="W203" s="1"/>
      <c r="X203" s="1"/>
      <c r="Y203" s="1"/>
      <c r="Z203" s="1"/>
    </row>
    <row r="204">
      <c r="A204" s="1" t="str">
        <f>IFERROR(__xludf.DUMMYFUNCTION("""COMPUTED_VALUE"""),"Mummy Queen")</f>
        <v>Mummy Queen</v>
      </c>
      <c r="B204" s="1">
        <f>IFERROR(__xludf.DUMMYFUNCTION("""COMPUTED_VALUE"""),100.0)</f>
        <v>100</v>
      </c>
      <c r="C204" s="1"/>
      <c r="D204" s="1"/>
      <c r="E204" s="1"/>
      <c r="F204" s="1">
        <f>IFERROR(__xludf.DUMMYFUNCTION("""COMPUTED_VALUE"""),100.0)</f>
        <v>100</v>
      </c>
      <c r="G204" s="1"/>
      <c r="H204" s="1"/>
      <c r="I204" s="1"/>
      <c r="J204" s="1"/>
      <c r="K204" s="1"/>
      <c r="L204" s="1"/>
      <c r="M204" s="1"/>
      <c r="N204" s="1"/>
      <c r="O204" s="1"/>
      <c r="P204" s="1"/>
      <c r="Q204" s="1"/>
      <c r="R204" s="1"/>
      <c r="S204" s="1"/>
      <c r="T204" s="1"/>
      <c r="U204" s="1"/>
      <c r="V204" s="1"/>
      <c r="W204" s="1"/>
      <c r="X204" s="1"/>
      <c r="Y204" s="1"/>
      <c r="Z204" s="1"/>
    </row>
    <row r="205">
      <c r="A205" s="1" t="str">
        <f>IFERROR(__xludf.DUMMYFUNCTION("""COMPUTED_VALUE"""),"Mummy Soldier")</f>
        <v>Mummy Soldier</v>
      </c>
      <c r="B205" s="1">
        <f>IFERROR(__xludf.DUMMYFUNCTION("""COMPUTED_VALUE"""),100.0)</f>
        <v>100</v>
      </c>
      <c r="C205" s="1"/>
      <c r="D205" s="1"/>
      <c r="E205" s="1"/>
      <c r="F205" s="1">
        <f>IFERROR(__xludf.DUMMYFUNCTION("""COMPUTED_VALUE"""),100.0)</f>
        <v>100</v>
      </c>
      <c r="G205" s="1"/>
      <c r="H205" s="1"/>
      <c r="I205" s="1"/>
      <c r="J205" s="1"/>
      <c r="K205" s="1"/>
      <c r="L205" s="1"/>
      <c r="M205" s="1"/>
      <c r="N205" s="1"/>
      <c r="O205" s="1"/>
      <c r="P205" s="1"/>
      <c r="Q205" s="1"/>
      <c r="R205" s="1"/>
      <c r="S205" s="1"/>
      <c r="T205" s="1"/>
      <c r="U205" s="1"/>
      <c r="V205" s="1"/>
      <c r="W205" s="1"/>
      <c r="X205" s="1"/>
      <c r="Y205" s="1"/>
      <c r="Z205" s="1"/>
    </row>
    <row r="206">
      <c r="A206" s="1" t="str">
        <f>IFERROR(__xludf.DUMMYFUNCTION("""COMPUTED_VALUE"""),"Mummy Warrior")</f>
        <v>Mummy Warrior</v>
      </c>
      <c r="B206" s="1">
        <f>IFERROR(__xludf.DUMMYFUNCTION("""COMPUTED_VALUE"""),100.0)</f>
        <v>100</v>
      </c>
      <c r="C206" s="1"/>
      <c r="D206" s="1"/>
      <c r="E206" s="1"/>
      <c r="F206" s="1">
        <f>IFERROR(__xludf.DUMMYFUNCTION("""COMPUTED_VALUE"""),100.0)</f>
        <v>100</v>
      </c>
      <c r="G206" s="1"/>
      <c r="H206" s="1"/>
      <c r="I206" s="1"/>
      <c r="J206" s="1"/>
      <c r="K206" s="1"/>
      <c r="L206" s="1"/>
      <c r="M206" s="1"/>
      <c r="N206" s="1"/>
      <c r="O206" s="1"/>
      <c r="P206" s="1"/>
      <c r="Q206" s="1"/>
      <c r="R206" s="1"/>
      <c r="S206" s="1"/>
      <c r="T206" s="1"/>
      <c r="U206" s="1"/>
      <c r="V206" s="1"/>
      <c r="W206" s="1"/>
      <c r="X206" s="1"/>
      <c r="Y206" s="1"/>
      <c r="Z206" s="1"/>
    </row>
    <row r="207">
      <c r="A207" s="1" t="str">
        <f>IFERROR(__xludf.DUMMYFUNCTION("""COMPUTED_VALUE"""),"Octopi (WD)")</f>
        <v>Octopi (WD)</v>
      </c>
      <c r="B207" s="1"/>
      <c r="C207" s="1"/>
      <c r="D207" s="1"/>
      <c r="E207" s="1"/>
      <c r="F207" s="1"/>
      <c r="G207" s="1"/>
      <c r="H207" s="1"/>
      <c r="I207" s="1"/>
      <c r="J207" s="1"/>
      <c r="K207" s="1">
        <f>IFERROR(__xludf.DUMMYFUNCTION("""COMPUTED_VALUE"""),100.0)</f>
        <v>100</v>
      </c>
      <c r="L207" s="1"/>
      <c r="M207" s="1"/>
      <c r="N207" s="1"/>
      <c r="O207" s="1"/>
      <c r="P207" s="1"/>
      <c r="Q207" s="1"/>
      <c r="R207" s="1"/>
      <c r="S207" s="1"/>
      <c r="T207" s="1"/>
      <c r="U207" s="1"/>
      <c r="V207" s="1"/>
      <c r="W207" s="1"/>
      <c r="X207" s="1"/>
      <c r="Y207" s="1"/>
      <c r="Z207" s="1"/>
    </row>
    <row r="208">
      <c r="A208" s="1" t="str">
        <f>IFERROR(__xludf.DUMMYFUNCTION("""COMPUTED_VALUE"""),"Octopi (WD) (Enhanced)")</f>
        <v>Octopi (WD) (Enhanced)</v>
      </c>
      <c r="B208" s="1"/>
      <c r="C208" s="1"/>
      <c r="D208" s="1">
        <f>IFERROR(__xludf.DUMMYFUNCTION("""COMPUTED_VALUE"""),100.0)</f>
        <v>100</v>
      </c>
      <c r="E208" s="1"/>
      <c r="F208" s="1"/>
      <c r="G208" s="1"/>
      <c r="H208" s="1"/>
      <c r="I208" s="1"/>
      <c r="J208" s="1"/>
      <c r="K208" s="1">
        <f>IFERROR(__xludf.DUMMYFUNCTION("""COMPUTED_VALUE"""),100.0)</f>
        <v>100</v>
      </c>
      <c r="L208" s="1"/>
      <c r="M208" s="1"/>
      <c r="N208" s="1"/>
      <c r="O208" s="1"/>
      <c r="P208" s="1"/>
      <c r="Q208" s="1"/>
      <c r="R208" s="1"/>
      <c r="S208" s="1"/>
      <c r="T208" s="1"/>
      <c r="U208" s="1"/>
      <c r="V208" s="1"/>
      <c r="W208" s="1"/>
      <c r="X208" s="1"/>
      <c r="Y208" s="1"/>
      <c r="Z208" s="1"/>
    </row>
    <row r="209">
      <c r="A209" s="1" t="str">
        <f>IFERROR(__xludf.DUMMYFUNCTION("""COMPUTED_VALUE"""),"Ox")</f>
        <v>Ox</v>
      </c>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t="str">
        <f>IFERROR(__xludf.DUMMYFUNCTION("""COMPUTED_VALUE"""),"Phantom")</f>
        <v>Phantom</v>
      </c>
      <c r="B210" s="1"/>
      <c r="C210" s="1"/>
      <c r="D210" s="1"/>
      <c r="E210" s="1"/>
      <c r="F210" s="1">
        <f>IFERROR(__xludf.DUMMYFUNCTION("""COMPUTED_VALUE"""),100.0)</f>
        <v>100</v>
      </c>
      <c r="G210" s="1"/>
      <c r="H210" s="1"/>
      <c r="I210" s="1"/>
      <c r="J210" s="1"/>
      <c r="K210" s="1"/>
      <c r="L210" s="1"/>
      <c r="M210" s="1"/>
      <c r="N210" s="1"/>
      <c r="O210" s="1"/>
      <c r="P210" s="1"/>
      <c r="Q210" s="1"/>
      <c r="R210" s="1"/>
      <c r="S210" s="1"/>
      <c r="T210" s="1"/>
      <c r="U210" s="1"/>
      <c r="V210" s="1"/>
      <c r="W210" s="1"/>
      <c r="X210" s="1"/>
      <c r="Y210" s="1"/>
      <c r="Z210" s="1"/>
    </row>
    <row r="211">
      <c r="A211" s="1" t="str">
        <f>IFERROR(__xludf.DUMMYFUNCTION("""COMPUTED_VALUE"""),"Phantom of lord dreadful")</f>
        <v>Phantom of lord dreadful</v>
      </c>
      <c r="B211" s="1">
        <f>IFERROR(__xludf.DUMMYFUNCTION("""COMPUTED_VALUE"""),100.0)</f>
        <v>100</v>
      </c>
      <c r="C211" s="1"/>
      <c r="D211" s="1"/>
      <c r="E211" s="1"/>
      <c r="F211" s="1">
        <f>IFERROR(__xludf.DUMMYFUNCTION("""COMPUTED_VALUE"""),100.0)</f>
        <v>100</v>
      </c>
      <c r="G211" s="1"/>
      <c r="H211" s="1"/>
      <c r="I211" s="1"/>
      <c r="J211" s="1"/>
      <c r="K211" s="1"/>
      <c r="L211" s="1"/>
      <c r="M211" s="1"/>
      <c r="N211" s="1"/>
      <c r="O211" s="1"/>
      <c r="P211" s="1"/>
      <c r="Q211" s="1"/>
      <c r="R211" s="1"/>
      <c r="S211" s="1"/>
      <c r="T211" s="1"/>
      <c r="U211" s="1"/>
      <c r="V211" s="1"/>
      <c r="W211" s="1"/>
      <c r="X211" s="1"/>
      <c r="Y211" s="1"/>
      <c r="Z211" s="1"/>
    </row>
    <row r="212">
      <c r="A212" s="1" t="str">
        <f>IFERROR(__xludf.DUMMYFUNCTION("""COMPUTED_VALUE"""),"Piranhas (WD)")</f>
        <v>Piranhas (WD)</v>
      </c>
      <c r="B212" s="1"/>
      <c r="C212" s="1"/>
      <c r="D212" s="1"/>
      <c r="E212" s="1"/>
      <c r="F212" s="1"/>
      <c r="G212" s="1"/>
      <c r="H212" s="1"/>
      <c r="I212" s="1"/>
      <c r="J212" s="1"/>
      <c r="K212" s="1">
        <f>IFERROR(__xludf.DUMMYFUNCTION("""COMPUTED_VALUE"""),100.0)</f>
        <v>100</v>
      </c>
      <c r="L212" s="1"/>
      <c r="M212" s="1"/>
      <c r="N212" s="1"/>
      <c r="O212" s="1"/>
      <c r="P212" s="1"/>
      <c r="Q212" s="1"/>
      <c r="R212" s="1"/>
      <c r="S212" s="1"/>
      <c r="T212" s="1"/>
      <c r="U212" s="1"/>
      <c r="V212" s="1"/>
      <c r="W212" s="1"/>
      <c r="X212" s="1"/>
      <c r="Y212" s="1"/>
      <c r="Z212" s="1"/>
    </row>
    <row r="213">
      <c r="A213" s="1" t="str">
        <f>IFERROR(__xludf.DUMMYFUNCTION("""COMPUTED_VALUE"""),"Piranhas (WD) (Enhanced)")</f>
        <v>Piranhas (WD) (Enhanced)</v>
      </c>
      <c r="B213" s="1"/>
      <c r="C213" s="1"/>
      <c r="D213" s="1"/>
      <c r="E213" s="1"/>
      <c r="F213" s="1"/>
      <c r="G213" s="1"/>
      <c r="H213" s="1"/>
      <c r="I213" s="1"/>
      <c r="J213" s="1"/>
      <c r="K213" s="1">
        <f>IFERROR(__xludf.DUMMYFUNCTION("""COMPUTED_VALUE"""),100.0)</f>
        <v>100</v>
      </c>
      <c r="L213" s="1"/>
      <c r="M213" s="1"/>
      <c r="N213" s="1"/>
      <c r="O213" s="1"/>
      <c r="P213" s="1"/>
      <c r="Q213" s="1"/>
      <c r="R213" s="1"/>
      <c r="S213" s="1"/>
      <c r="T213" s="1"/>
      <c r="U213" s="1"/>
      <c r="V213" s="1"/>
      <c r="W213" s="1"/>
      <c r="X213" s="1"/>
      <c r="Y213" s="1"/>
      <c r="Z213" s="1"/>
    </row>
    <row r="214">
      <c r="A214" s="1" t="str">
        <f>IFERROR(__xludf.DUMMYFUNCTION("""COMPUTED_VALUE"""),"Poison Warrior")</f>
        <v>Poison Warrior</v>
      </c>
      <c r="B214" s="1">
        <f>IFERROR(__xludf.DUMMYFUNCTION("""COMPUTED_VALUE"""),100.0)</f>
        <v>100</v>
      </c>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t="str">
        <f>IFERROR(__xludf.DUMMYFUNCTION("""COMPUTED_VALUE"""),"Possessed Pumpkin")</f>
        <v>Possessed Pumpkin</v>
      </c>
      <c r="B215" s="1"/>
      <c r="C215" s="1"/>
      <c r="D215" s="1"/>
      <c r="E215" s="1"/>
      <c r="F215" s="1">
        <f>IFERROR(__xludf.DUMMYFUNCTION("""COMPUTED_VALUE"""),100.0)</f>
        <v>100</v>
      </c>
      <c r="G215" s="1"/>
      <c r="H215" s="1"/>
      <c r="I215" s="1"/>
      <c r="J215" s="1"/>
      <c r="K215" s="1"/>
      <c r="L215" s="1"/>
      <c r="M215" s="1"/>
      <c r="N215" s="1"/>
      <c r="O215" s="1"/>
      <c r="P215" s="1"/>
      <c r="Q215" s="1"/>
      <c r="R215" s="1"/>
      <c r="S215" s="1"/>
      <c r="T215" s="1"/>
      <c r="U215" s="1"/>
      <c r="V215" s="1"/>
      <c r="W215" s="1"/>
      <c r="X215" s="1"/>
      <c r="Y215" s="1"/>
      <c r="Z215" s="1"/>
    </row>
    <row r="216">
      <c r="A216" s="1" t="str">
        <f>IFERROR(__xludf.DUMMYFUNCTION("""COMPUTED_VALUE"""),"Possesed Clown")</f>
        <v>Possesed Clown</v>
      </c>
      <c r="B216" s="1"/>
      <c r="C216" s="1"/>
      <c r="D216" s="1"/>
      <c r="E216" s="1"/>
      <c r="F216" s="1">
        <f>IFERROR(__xludf.DUMMYFUNCTION("""COMPUTED_VALUE"""),100.0)</f>
        <v>100</v>
      </c>
      <c r="G216" s="1"/>
      <c r="H216" s="1"/>
      <c r="I216" s="1"/>
      <c r="J216" s="1"/>
      <c r="K216" s="1"/>
      <c r="L216" s="1"/>
      <c r="M216" s="1"/>
      <c r="N216" s="1"/>
      <c r="O216" s="1"/>
      <c r="P216" s="1"/>
      <c r="Q216" s="1"/>
      <c r="R216" s="1"/>
      <c r="S216" s="1"/>
      <c r="T216" s="1"/>
      <c r="U216" s="1"/>
      <c r="V216" s="1"/>
      <c r="W216" s="1"/>
      <c r="X216" s="1"/>
      <c r="Y216" s="1"/>
      <c r="Z216" s="1"/>
    </row>
    <row r="217">
      <c r="A217" s="1" t="str">
        <f>IFERROR(__xludf.DUMMYFUNCTION("""COMPUTED_VALUE"""),"Pumpkin King")</f>
        <v>Pumpkin King</v>
      </c>
      <c r="B217" s="1"/>
      <c r="C217" s="1"/>
      <c r="D217" s="1"/>
      <c r="E217" s="1"/>
      <c r="F217" s="1">
        <f>IFERROR(__xludf.DUMMYFUNCTION("""COMPUTED_VALUE"""),100.0)</f>
        <v>100</v>
      </c>
      <c r="G217" s="1"/>
      <c r="H217" s="1"/>
      <c r="I217" s="1"/>
      <c r="J217" s="1"/>
      <c r="K217" s="1"/>
      <c r="L217" s="1"/>
      <c r="M217" s="1"/>
      <c r="N217" s="1"/>
      <c r="O217" s="1"/>
      <c r="P217" s="1"/>
      <c r="Q217" s="1"/>
      <c r="R217" s="1"/>
      <c r="S217" s="1"/>
      <c r="T217" s="1"/>
      <c r="U217" s="1"/>
      <c r="V217" s="1"/>
      <c r="W217" s="1"/>
      <c r="X217" s="1"/>
      <c r="Y217" s="1"/>
      <c r="Z217" s="1"/>
    </row>
    <row r="218">
      <c r="A218" s="1" t="str">
        <f>IFERROR(__xludf.DUMMYFUNCTION("""COMPUTED_VALUE"""),"Pumpkin Lord")</f>
        <v>Pumpkin Lord</v>
      </c>
      <c r="B218" s="1"/>
      <c r="C218" s="1"/>
      <c r="D218" s="1"/>
      <c r="E218" s="1"/>
      <c r="F218" s="1">
        <f>IFERROR(__xludf.DUMMYFUNCTION("""COMPUTED_VALUE"""),100.0)</f>
        <v>100</v>
      </c>
      <c r="G218" s="1"/>
      <c r="H218" s="1"/>
      <c r="I218" s="1"/>
      <c r="J218" s="1"/>
      <c r="K218" s="1"/>
      <c r="L218" s="1"/>
      <c r="M218" s="1"/>
      <c r="N218" s="1"/>
      <c r="O218" s="1"/>
      <c r="P218" s="1"/>
      <c r="Q218" s="1"/>
      <c r="R218" s="1"/>
      <c r="S218" s="1"/>
      <c r="T218" s="1"/>
      <c r="U218" s="1"/>
      <c r="V218" s="1"/>
      <c r="W218" s="1"/>
      <c r="X218" s="1"/>
      <c r="Y218" s="1"/>
      <c r="Z218" s="1"/>
    </row>
    <row r="219">
      <c r="A219" s="1" t="str">
        <f>IFERROR(__xludf.DUMMYFUNCTION("""COMPUTED_VALUE"""),"Puppet")</f>
        <v>Puppet</v>
      </c>
      <c r="B219" s="1">
        <f>IFERROR(__xludf.DUMMYFUNCTION("""COMPUTED_VALUE"""),100.0)</f>
        <v>100</v>
      </c>
      <c r="C219" s="1"/>
      <c r="D219" s="1"/>
      <c r="E219" s="1"/>
      <c r="F219" s="1">
        <f>IFERROR(__xludf.DUMMYFUNCTION("""COMPUTED_VALUE"""),100.0)</f>
        <v>100</v>
      </c>
      <c r="G219" s="1"/>
      <c r="H219" s="1"/>
      <c r="I219" s="1">
        <f>IFERROR(__xludf.DUMMYFUNCTION("""COMPUTED_VALUE"""),100.0)</f>
        <v>100</v>
      </c>
      <c r="J219" s="1"/>
      <c r="K219" s="1"/>
      <c r="L219" s="1"/>
      <c r="M219" s="1"/>
      <c r="N219" s="1"/>
      <c r="O219" s="1"/>
      <c r="P219" s="1"/>
      <c r="Q219" s="1"/>
      <c r="R219" s="1"/>
      <c r="S219" s="1"/>
      <c r="T219" s="1"/>
      <c r="U219" s="1"/>
      <c r="V219" s="1"/>
      <c r="W219" s="1"/>
      <c r="X219" s="1"/>
      <c r="Y219" s="1"/>
      <c r="Z219" s="1"/>
    </row>
    <row r="220">
      <c r="A220" s="1" t="str">
        <f>IFERROR(__xludf.DUMMYFUNCTION("""COMPUTED_VALUE"""),"Master Inugima of the Amphibuki")</f>
        <v>Master Inugima of the Amphibuki</v>
      </c>
      <c r="B220" s="1"/>
      <c r="C220" s="1"/>
      <c r="D220" s="1"/>
      <c r="E220" s="1"/>
      <c r="F220" s="1">
        <f>IFERROR(__xludf.DUMMYFUNCTION("""COMPUTED_VALUE"""),50.0)</f>
        <v>50</v>
      </c>
      <c r="G220" s="1"/>
      <c r="H220" s="1"/>
      <c r="I220" s="1">
        <f>IFERROR(__xludf.DUMMYFUNCTION("""COMPUTED_VALUE"""),50.0)</f>
        <v>50</v>
      </c>
      <c r="J220" s="1"/>
      <c r="K220" s="1"/>
      <c r="L220" s="1"/>
      <c r="M220" s="1"/>
      <c r="N220" s="1"/>
      <c r="O220" s="1"/>
      <c r="P220" s="1"/>
      <c r="Q220" s="1"/>
      <c r="R220" s="1"/>
      <c r="S220" s="1"/>
      <c r="T220" s="1"/>
      <c r="U220" s="1"/>
      <c r="V220" s="1"/>
      <c r="W220" s="1"/>
      <c r="X220" s="1"/>
      <c r="Y220" s="1"/>
      <c r="Z220" s="1"/>
    </row>
    <row r="221">
      <c r="A221" s="1" t="str">
        <f>IFERROR(__xludf.DUMMYFUNCTION("""COMPUTED_VALUE"""),"Red Footed Beast")</f>
        <v>Red Footed Beast</v>
      </c>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t="str">
        <f>IFERROR(__xludf.DUMMYFUNCTION("""COMPUTED_VALUE"""),"Red Soul")</f>
        <v>Red Soul</v>
      </c>
      <c r="B222" s="1"/>
      <c r="C222" s="1">
        <f>IFERROR(__xludf.DUMMYFUNCTION("""COMPUTED_VALUE"""),100.0)</f>
        <v>100</v>
      </c>
      <c r="D222" s="1"/>
      <c r="E222" s="1"/>
      <c r="F222" s="1">
        <f>IFERROR(__xludf.DUMMYFUNCTION("""COMPUTED_VALUE"""),100.0)</f>
        <v>100</v>
      </c>
      <c r="G222" s="1"/>
      <c r="H222" s="1"/>
      <c r="I222" s="1"/>
      <c r="J222" s="1"/>
      <c r="K222" s="1"/>
      <c r="L222" s="1"/>
      <c r="M222" s="1"/>
      <c r="N222" s="1"/>
      <c r="O222" s="1"/>
      <c r="P222" s="1"/>
      <c r="Q222" s="1"/>
      <c r="R222" s="1"/>
      <c r="S222" s="1"/>
      <c r="T222" s="1"/>
      <c r="U222" s="1"/>
      <c r="V222" s="1"/>
      <c r="W222" s="1"/>
      <c r="X222" s="1"/>
      <c r="Y222" s="1"/>
      <c r="Z222" s="1"/>
    </row>
    <row r="223">
      <c r="A223" s="1" t="str">
        <f>IFERROR(__xludf.DUMMYFUNCTION("""COMPUTED_VALUE"""),"Rhino")</f>
        <v>Rhino</v>
      </c>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t="str">
        <f>IFERROR(__xludf.DUMMYFUNCTION("""COMPUTED_VALUE"""),"Robotic Guardian of the 5th, No. 1")</f>
        <v>Robotic Guardian of the 5th, No. 1</v>
      </c>
      <c r="B224" s="1">
        <f>IFERROR(__xludf.DUMMYFUNCTION("""COMPUTED_VALUE"""),100.0)</f>
        <v>100</v>
      </c>
      <c r="C224" s="1">
        <f>IFERROR(__xludf.DUMMYFUNCTION("""COMPUTED_VALUE"""),100.0)</f>
        <v>100</v>
      </c>
      <c r="D224" s="1"/>
      <c r="E224" s="1"/>
      <c r="F224" s="1"/>
      <c r="G224" s="1"/>
      <c r="H224" s="1"/>
      <c r="I224" s="1"/>
      <c r="J224" s="1"/>
      <c r="K224" s="1"/>
      <c r="L224" s="1"/>
      <c r="M224" s="1"/>
      <c r="N224" s="1"/>
      <c r="O224" s="1"/>
      <c r="P224" s="1"/>
      <c r="Q224" s="1"/>
      <c r="R224" s="1"/>
      <c r="S224" s="1"/>
      <c r="T224" s="1"/>
      <c r="U224" s="1"/>
      <c r="V224" s="1"/>
      <c r="W224" s="1"/>
      <c r="X224" s="1"/>
      <c r="Y224" s="1"/>
      <c r="Z224" s="1"/>
    </row>
    <row r="225">
      <c r="A225" s="1" t="str">
        <f>IFERROR(__xludf.DUMMYFUNCTION("""COMPUTED_VALUE"""),"Robotic Guardian of the 5th, No. 2")</f>
        <v>Robotic Guardian of the 5th, No. 2</v>
      </c>
      <c r="B225" s="1">
        <f>IFERROR(__xludf.DUMMYFUNCTION("""COMPUTED_VALUE"""),100.0)</f>
        <v>100</v>
      </c>
      <c r="C225" s="1">
        <f>IFERROR(__xludf.DUMMYFUNCTION("""COMPUTED_VALUE"""),100.0)</f>
        <v>100</v>
      </c>
      <c r="D225" s="1"/>
      <c r="E225" s="1"/>
      <c r="F225" s="1"/>
      <c r="G225" s="1"/>
      <c r="H225" s="1"/>
      <c r="I225" s="1"/>
      <c r="J225" s="1"/>
      <c r="K225" s="1"/>
      <c r="L225" s="1"/>
      <c r="M225" s="1"/>
      <c r="N225" s="1"/>
      <c r="O225" s="1"/>
      <c r="P225" s="1"/>
      <c r="Q225" s="1"/>
      <c r="R225" s="1"/>
      <c r="S225" s="1"/>
      <c r="T225" s="1"/>
      <c r="U225" s="1"/>
      <c r="V225" s="1"/>
      <c r="W225" s="1"/>
      <c r="X225" s="1"/>
      <c r="Y225" s="1"/>
      <c r="Z225" s="1"/>
    </row>
    <row r="226">
      <c r="A226" s="1" t="str">
        <f>IFERROR(__xludf.DUMMYFUNCTION("""COMPUTED_VALUE"""),"Robotic Guardian of the 5th, No. 3")</f>
        <v>Robotic Guardian of the 5th, No. 3</v>
      </c>
      <c r="B226" s="1">
        <f>IFERROR(__xludf.DUMMYFUNCTION("""COMPUTED_VALUE"""),100.0)</f>
        <v>100</v>
      </c>
      <c r="C226" s="1">
        <f>IFERROR(__xludf.DUMMYFUNCTION("""COMPUTED_VALUE"""),100.0)</f>
        <v>100</v>
      </c>
      <c r="D226" s="1"/>
      <c r="E226" s="1"/>
      <c r="F226" s="1"/>
      <c r="G226" s="1"/>
      <c r="H226" s="1"/>
      <c r="I226" s="1"/>
      <c r="J226" s="1"/>
      <c r="K226" s="1"/>
      <c r="L226" s="1"/>
      <c r="M226" s="1"/>
      <c r="N226" s="1"/>
      <c r="O226" s="1"/>
      <c r="P226" s="1"/>
      <c r="Q226" s="1"/>
      <c r="R226" s="1"/>
      <c r="S226" s="1"/>
      <c r="T226" s="1"/>
      <c r="U226" s="1"/>
      <c r="V226" s="1"/>
      <c r="W226" s="1"/>
      <c r="X226" s="1"/>
      <c r="Y226" s="1"/>
      <c r="Z226" s="1"/>
    </row>
    <row r="227">
      <c r="A227" s="1" t="str">
        <f>IFERROR(__xludf.DUMMYFUNCTION("""COMPUTED_VALUE"""),"Robotic Guardian of the 5th, No. 4")</f>
        <v>Robotic Guardian of the 5th, No. 4</v>
      </c>
      <c r="B227" s="1">
        <f>IFERROR(__xludf.DUMMYFUNCTION("""COMPUTED_VALUE"""),100.0)</f>
        <v>100</v>
      </c>
      <c r="C227" s="1">
        <f>IFERROR(__xludf.DUMMYFUNCTION("""COMPUTED_VALUE"""),100.0)</f>
        <v>100</v>
      </c>
      <c r="D227" s="1"/>
      <c r="E227" s="1"/>
      <c r="F227" s="1"/>
      <c r="G227" s="1"/>
      <c r="H227" s="1"/>
      <c r="I227" s="1"/>
      <c r="J227" s="1"/>
      <c r="K227" s="1"/>
      <c r="L227" s="1"/>
      <c r="M227" s="1"/>
      <c r="N227" s="1"/>
      <c r="O227" s="1"/>
      <c r="P227" s="1"/>
      <c r="Q227" s="1"/>
      <c r="R227" s="1"/>
      <c r="S227" s="1"/>
      <c r="T227" s="1"/>
      <c r="U227" s="1"/>
      <c r="V227" s="1"/>
      <c r="W227" s="1"/>
      <c r="X227" s="1"/>
      <c r="Y227" s="1"/>
      <c r="Z227" s="1"/>
    </row>
    <row r="228">
      <c r="A228" s="1" t="str">
        <f>IFERROR(__xludf.DUMMYFUNCTION("""COMPUTED_VALUE"""),"Rock Snake")</f>
        <v>Rock Snake</v>
      </c>
      <c r="B228" s="1"/>
      <c r="C228" s="1">
        <f>IFERROR(__xludf.DUMMYFUNCTION("""COMPUTED_VALUE"""),100.0)</f>
        <v>100</v>
      </c>
      <c r="D228" s="1"/>
      <c r="E228" s="1"/>
      <c r="F228" s="1"/>
      <c r="G228" s="1"/>
      <c r="H228" s="1"/>
      <c r="I228" s="1"/>
      <c r="J228" s="1"/>
      <c r="K228" s="1"/>
      <c r="L228" s="1"/>
      <c r="M228" s="1"/>
      <c r="N228" s="1"/>
      <c r="O228" s="1"/>
      <c r="P228" s="1"/>
      <c r="Q228" s="1"/>
      <c r="R228" s="1"/>
      <c r="S228" s="1"/>
      <c r="T228" s="1"/>
      <c r="U228" s="1"/>
      <c r="V228" s="1"/>
      <c r="W228" s="1"/>
      <c r="X228" s="1"/>
      <c r="Y228" s="1"/>
      <c r="Z228" s="1"/>
    </row>
    <row r="229">
      <c r="A229" s="1" t="str">
        <f>IFERROR(__xludf.DUMMYFUNCTION("""COMPUTED_VALUE"""),"Rooster")</f>
        <v>Rooster</v>
      </c>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t="str">
        <f>IFERROR(__xludf.DUMMYFUNCTION("""COMPUTED_VALUE"""),"Rowboat")</f>
        <v>Rowboat</v>
      </c>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t="str">
        <f>IFERROR(__xludf.DUMMYFUNCTION("""COMPUTED_VALUE"""),"Ruby Dragon")</f>
        <v>Ruby Dragon</v>
      </c>
      <c r="B231" s="1"/>
      <c r="C231" s="1">
        <f>IFERROR(__xludf.DUMMYFUNCTION("""COMPUTED_VALUE"""),100.0)</f>
        <v>100</v>
      </c>
      <c r="D231" s="1">
        <f>IFERROR(__xludf.DUMMYFUNCTION("""COMPUTED_VALUE"""),100.0)</f>
        <v>100</v>
      </c>
      <c r="E231" s="1"/>
      <c r="F231" s="1"/>
      <c r="G231" s="1"/>
      <c r="H231" s="1"/>
      <c r="I231" s="1"/>
      <c r="J231" s="1"/>
      <c r="K231" s="1"/>
      <c r="L231" s="1"/>
      <c r="M231" s="1"/>
      <c r="N231" s="1"/>
      <c r="O231" s="1"/>
      <c r="P231" s="1"/>
      <c r="Q231" s="1"/>
      <c r="R231" s="1"/>
      <c r="S231" s="1"/>
      <c r="T231" s="1"/>
      <c r="U231" s="1"/>
      <c r="V231" s="1"/>
      <c r="W231" s="1"/>
      <c r="X231" s="1"/>
      <c r="Y231" s="1"/>
      <c r="Z231" s="1"/>
    </row>
    <row r="232">
      <c r="A232" s="1" t="str">
        <f>IFERROR(__xludf.DUMMYFUNCTION("""COMPUTED_VALUE"""),"Saber Toothed Cat")</f>
        <v>Saber Toothed Cat</v>
      </c>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t="str">
        <f>IFERROR(__xludf.DUMMYFUNCTION("""COMPUTED_VALUE"""),"Sandmite")</f>
        <v>Sandmite</v>
      </c>
      <c r="B233" s="1"/>
      <c r="C233" s="1">
        <f>IFERROR(__xludf.DUMMYFUNCTION("""COMPUTED_VALUE"""),100.0)</f>
        <v>100</v>
      </c>
      <c r="D233" s="1"/>
      <c r="E233" s="1"/>
      <c r="F233" s="1"/>
      <c r="G233" s="1"/>
      <c r="H233" s="1"/>
      <c r="I233" s="1"/>
      <c r="J233" s="1"/>
      <c r="K233" s="1"/>
      <c r="L233" s="1"/>
      <c r="M233" s="1"/>
      <c r="N233" s="1"/>
      <c r="O233" s="1"/>
      <c r="P233" s="1"/>
      <c r="Q233" s="1"/>
      <c r="R233" s="1"/>
      <c r="S233" s="1"/>
      <c r="T233" s="1"/>
      <c r="U233" s="1"/>
      <c r="V233" s="1"/>
      <c r="W233" s="1"/>
      <c r="X233" s="1"/>
      <c r="Y233" s="1"/>
      <c r="Z233" s="1"/>
    </row>
    <row r="234">
      <c r="A234" s="1" t="str">
        <f>IFERROR(__xludf.DUMMYFUNCTION("""COMPUTED_VALUE"""),"Sapphire Dragon")</f>
        <v>Sapphire Dragon</v>
      </c>
      <c r="B234" s="1"/>
      <c r="C234" s="1"/>
      <c r="D234" s="1">
        <f>IFERROR(__xludf.DUMMYFUNCTION("""COMPUTED_VALUE"""),100.0)</f>
        <v>100</v>
      </c>
      <c r="E234" s="1"/>
      <c r="F234" s="1"/>
      <c r="G234" s="1"/>
      <c r="H234" s="1"/>
      <c r="I234" s="1"/>
      <c r="J234" s="1"/>
      <c r="K234" s="1">
        <f>IFERROR(__xludf.DUMMYFUNCTION("""COMPUTED_VALUE"""),100.0)</f>
        <v>100</v>
      </c>
      <c r="L234" s="1"/>
      <c r="M234" s="1"/>
      <c r="N234" s="1"/>
      <c r="O234" s="1"/>
      <c r="P234" s="1"/>
      <c r="Q234" s="1"/>
      <c r="R234" s="1"/>
      <c r="S234" s="1"/>
      <c r="T234" s="1"/>
      <c r="U234" s="1"/>
      <c r="V234" s="1"/>
      <c r="W234" s="1"/>
      <c r="X234" s="1"/>
      <c r="Y234" s="1"/>
      <c r="Z234" s="1"/>
    </row>
    <row r="235">
      <c r="A235" s="1" t="str">
        <f>IFERROR(__xludf.DUMMYFUNCTION("""COMPUTED_VALUE"""),"Sea Serpent (WD)")</f>
        <v>Sea Serpent (WD)</v>
      </c>
      <c r="B235" s="1"/>
      <c r="C235" s="1"/>
      <c r="D235" s="1"/>
      <c r="E235" s="1"/>
      <c r="F235" s="1"/>
      <c r="G235" s="1"/>
      <c r="H235" s="1"/>
      <c r="I235" s="1"/>
      <c r="J235" s="1"/>
      <c r="K235" s="1">
        <f>IFERROR(__xludf.DUMMYFUNCTION("""COMPUTED_VALUE"""),100.0)</f>
        <v>100</v>
      </c>
      <c r="L235" s="1"/>
      <c r="M235" s="1"/>
      <c r="N235" s="1"/>
      <c r="O235" s="1"/>
      <c r="P235" s="1"/>
      <c r="Q235" s="1"/>
      <c r="R235" s="1"/>
      <c r="S235" s="1"/>
      <c r="T235" s="1"/>
      <c r="U235" s="1"/>
      <c r="V235" s="1"/>
      <c r="W235" s="1"/>
      <c r="X235" s="1"/>
      <c r="Y235" s="1"/>
      <c r="Z235" s="1"/>
    </row>
    <row r="236">
      <c r="A236" s="1" t="str">
        <f>IFERROR(__xludf.DUMMYFUNCTION("""COMPUTED_VALUE"""),"Sea Serpent (WD) (Enhanced)")</f>
        <v>Sea Serpent (WD) (Enhanced)</v>
      </c>
      <c r="B236" s="1"/>
      <c r="C236" s="1"/>
      <c r="D236" s="1"/>
      <c r="E236" s="1"/>
      <c r="F236" s="1"/>
      <c r="G236" s="1"/>
      <c r="H236" s="1"/>
      <c r="I236" s="1"/>
      <c r="J236" s="1"/>
      <c r="K236" s="1">
        <f>IFERROR(__xludf.DUMMYFUNCTION("""COMPUTED_VALUE"""),100.0)</f>
        <v>100</v>
      </c>
      <c r="L236" s="1"/>
      <c r="M236" s="1"/>
      <c r="N236" s="1"/>
      <c r="O236" s="1"/>
      <c r="P236" s="1"/>
      <c r="Q236" s="1"/>
      <c r="R236" s="1"/>
      <c r="S236" s="1"/>
      <c r="T236" s="1"/>
      <c r="U236" s="1"/>
      <c r="V236" s="1"/>
      <c r="W236" s="1"/>
      <c r="X236" s="1"/>
      <c r="Y236" s="1"/>
      <c r="Z236" s="1"/>
    </row>
    <row r="237">
      <c r="A237" s="1" t="str">
        <f>IFERROR(__xludf.DUMMYFUNCTION("""COMPUTED_VALUE"""),"Sea Worm (WD)")</f>
        <v>Sea Worm (WD)</v>
      </c>
      <c r="B237" s="1"/>
      <c r="C237" s="1"/>
      <c r="D237" s="1"/>
      <c r="E237" s="1"/>
      <c r="F237" s="1"/>
      <c r="G237" s="1"/>
      <c r="H237" s="1"/>
      <c r="I237" s="1"/>
      <c r="J237" s="1"/>
      <c r="K237" s="1">
        <f>IFERROR(__xludf.DUMMYFUNCTION("""COMPUTED_VALUE"""),100.0)</f>
        <v>100</v>
      </c>
      <c r="L237" s="1"/>
      <c r="M237" s="1"/>
      <c r="N237" s="1"/>
      <c r="O237" s="1"/>
      <c r="P237" s="1"/>
      <c r="Q237" s="1"/>
      <c r="R237" s="1"/>
      <c r="S237" s="1"/>
      <c r="T237" s="1"/>
      <c r="U237" s="1"/>
      <c r="V237" s="1"/>
      <c r="W237" s="1"/>
      <c r="X237" s="1"/>
      <c r="Y237" s="1"/>
      <c r="Z237" s="1"/>
    </row>
    <row r="238">
      <c r="A238" s="1" t="str">
        <f>IFERROR(__xludf.DUMMYFUNCTION("""COMPUTED_VALUE"""),"Sea Worm (WD) (Enhanced)")</f>
        <v>Sea Worm (WD) (Enhanced)</v>
      </c>
      <c r="B238" s="1"/>
      <c r="C238" s="1"/>
      <c r="D238" s="1"/>
      <c r="E238" s="1"/>
      <c r="F238" s="1"/>
      <c r="G238" s="1"/>
      <c r="H238" s="1"/>
      <c r="I238" s="1"/>
      <c r="J238" s="1"/>
      <c r="K238" s="1">
        <f>IFERROR(__xludf.DUMMYFUNCTION("""COMPUTED_VALUE"""),100.0)</f>
        <v>100</v>
      </c>
      <c r="L238" s="1"/>
      <c r="M238" s="1"/>
      <c r="N238" s="1"/>
      <c r="O238" s="1"/>
      <c r="P238" s="1"/>
      <c r="Q238" s="1"/>
      <c r="R238" s="1"/>
      <c r="S238" s="1"/>
      <c r="T238" s="1"/>
      <c r="U238" s="1"/>
      <c r="V238" s="1"/>
      <c r="W238" s="1"/>
      <c r="X238" s="1"/>
      <c r="Y238" s="1"/>
      <c r="Z238" s="1"/>
    </row>
    <row r="239">
      <c r="A239" s="1" t="str">
        <f>IFERROR(__xludf.DUMMYFUNCTION("""COMPUTED_VALUE"""),"Seraph")</f>
        <v>Seraph</v>
      </c>
      <c r="B239" s="1"/>
      <c r="C239" s="1"/>
      <c r="D239" s="1"/>
      <c r="E239" s="1"/>
      <c r="F239" s="1"/>
      <c r="G239" s="1">
        <f>IFERROR(__xludf.DUMMYFUNCTION("""COMPUTED_VALUE"""),100.0)</f>
        <v>100</v>
      </c>
      <c r="H239" s="1"/>
      <c r="I239" s="1"/>
      <c r="J239" s="1">
        <f>IFERROR(__xludf.DUMMYFUNCTION("""COMPUTED_VALUE"""),100.0)</f>
        <v>100</v>
      </c>
      <c r="K239" s="1"/>
      <c r="L239" s="1"/>
      <c r="M239" s="1"/>
      <c r="N239" s="1"/>
      <c r="O239" s="1"/>
      <c r="P239" s="1"/>
      <c r="Q239" s="1">
        <f>IFERROR(__xludf.DUMMYFUNCTION("""COMPUTED_VALUE"""),100.0)</f>
        <v>100</v>
      </c>
      <c r="R239" s="1"/>
      <c r="S239" s="1"/>
      <c r="T239" s="1"/>
      <c r="U239" s="1"/>
      <c r="V239" s="1"/>
      <c r="W239" s="1"/>
      <c r="X239" s="1"/>
      <c r="Y239" s="1"/>
      <c r="Z239" s="1"/>
    </row>
    <row r="240">
      <c r="A240" s="1" t="str">
        <f>IFERROR(__xludf.DUMMYFUNCTION("""COMPUTED_VALUE"""),"Shadow King")</f>
        <v>Shadow King</v>
      </c>
      <c r="B240" s="1">
        <f>IFERROR(__xludf.DUMMYFUNCTION("""COMPUTED_VALUE"""),100.0)</f>
        <v>100</v>
      </c>
      <c r="C240" s="1"/>
      <c r="D240" s="1"/>
      <c r="E240" s="1"/>
      <c r="F240" s="1">
        <f>IFERROR(__xludf.DUMMYFUNCTION("""COMPUTED_VALUE"""),100.0)</f>
        <v>100</v>
      </c>
      <c r="G240" s="1"/>
      <c r="H240" s="1"/>
      <c r="I240" s="1"/>
      <c r="J240" s="1"/>
      <c r="K240" s="1"/>
      <c r="L240" s="1"/>
      <c r="M240" s="1"/>
      <c r="N240" s="1"/>
      <c r="O240" s="1"/>
      <c r="P240" s="1"/>
      <c r="Q240" s="1"/>
      <c r="R240" s="1"/>
      <c r="S240" s="1"/>
      <c r="T240" s="1"/>
      <c r="U240" s="1"/>
      <c r="V240" s="1"/>
      <c r="W240" s="1"/>
      <c r="X240" s="1"/>
      <c r="Y240" s="1"/>
      <c r="Z240" s="1"/>
    </row>
    <row r="241">
      <c r="A241" s="1" t="str">
        <f>IFERROR(__xludf.DUMMYFUNCTION("""COMPUTED_VALUE"""),"Shadow King")</f>
        <v>Shadow King</v>
      </c>
      <c r="B241" s="1">
        <f>IFERROR(__xludf.DUMMYFUNCTION("""COMPUTED_VALUE"""),100.0)</f>
        <v>100</v>
      </c>
      <c r="C241" s="1"/>
      <c r="D241" s="1"/>
      <c r="E241" s="1"/>
      <c r="F241" s="1">
        <f>IFERROR(__xludf.DUMMYFUNCTION("""COMPUTED_VALUE"""),100.0)</f>
        <v>100</v>
      </c>
      <c r="G241" s="1"/>
      <c r="H241" s="1"/>
      <c r="I241" s="1"/>
      <c r="J241" s="1"/>
      <c r="K241" s="1"/>
      <c r="L241" s="1"/>
      <c r="M241" s="1"/>
      <c r="N241" s="1"/>
      <c r="O241" s="1"/>
      <c r="P241" s="1"/>
      <c r="Q241" s="1"/>
      <c r="R241" s="1"/>
      <c r="S241" s="1"/>
      <c r="T241" s="1"/>
      <c r="U241" s="1"/>
      <c r="V241" s="1"/>
      <c r="W241" s="1"/>
      <c r="X241" s="1"/>
      <c r="Y241" s="1"/>
      <c r="Z241" s="1"/>
    </row>
    <row r="242">
      <c r="A242" s="1" t="str">
        <f>IFERROR(__xludf.DUMMYFUNCTION("""COMPUTED_VALUE"""),"Shadow Suit of armor")</f>
        <v>Shadow Suit of armor</v>
      </c>
      <c r="B242" s="1"/>
      <c r="C242" s="1"/>
      <c r="D242" s="1"/>
      <c r="E242" s="1"/>
      <c r="F242" s="1">
        <f>IFERROR(__xludf.DUMMYFUNCTION("""COMPUTED_VALUE"""),100.0)</f>
        <v>100</v>
      </c>
      <c r="G242" s="1"/>
      <c r="H242" s="1"/>
      <c r="I242" s="1"/>
      <c r="J242" s="1"/>
      <c r="K242" s="1"/>
      <c r="L242" s="1"/>
      <c r="M242" s="1"/>
      <c r="N242" s="1"/>
      <c r="O242" s="1"/>
      <c r="P242" s="1"/>
      <c r="Q242" s="1"/>
      <c r="R242" s="1"/>
      <c r="S242" s="1"/>
      <c r="T242" s="1"/>
      <c r="U242" s="1"/>
      <c r="V242" s="1"/>
      <c r="W242" s="1"/>
      <c r="X242" s="1"/>
      <c r="Y242" s="1"/>
      <c r="Z242" s="1"/>
    </row>
    <row r="243">
      <c r="A243" s="1" t="str">
        <f>IFERROR(__xludf.DUMMYFUNCTION("""COMPUTED_VALUE"""),"Shadow Suit of armor")</f>
        <v>Shadow Suit of armor</v>
      </c>
      <c r="B243" s="1">
        <f>IFERROR(__xludf.DUMMYFUNCTION("""COMPUTED_VALUE"""),100.0)</f>
        <v>100</v>
      </c>
      <c r="C243" s="1"/>
      <c r="D243" s="1"/>
      <c r="E243" s="1"/>
      <c r="F243" s="1">
        <f>IFERROR(__xludf.DUMMYFUNCTION("""COMPUTED_VALUE"""),100.0)</f>
        <v>100</v>
      </c>
      <c r="G243" s="1"/>
      <c r="H243" s="1"/>
      <c r="I243" s="1"/>
      <c r="J243" s="1"/>
      <c r="K243" s="1"/>
      <c r="L243" s="1"/>
      <c r="M243" s="1"/>
      <c r="N243" s="1"/>
      <c r="O243" s="1"/>
      <c r="P243" s="1"/>
      <c r="Q243" s="1"/>
      <c r="R243" s="1"/>
      <c r="S243" s="1"/>
      <c r="T243" s="1"/>
      <c r="U243" s="1"/>
      <c r="V243" s="1"/>
      <c r="W243" s="1"/>
      <c r="X243" s="1"/>
      <c r="Y243" s="1"/>
      <c r="Z243" s="1"/>
    </row>
    <row r="244">
      <c r="A244" s="1" t="str">
        <f>IFERROR(__xludf.DUMMYFUNCTION("""COMPUTED_VALUE"""),"Shark (WD)")</f>
        <v>Shark (WD)</v>
      </c>
      <c r="B244" s="1"/>
      <c r="C244" s="1"/>
      <c r="D244" s="1"/>
      <c r="E244" s="1"/>
      <c r="F244" s="1"/>
      <c r="G244" s="1"/>
      <c r="H244" s="1"/>
      <c r="I244" s="1"/>
      <c r="J244" s="1"/>
      <c r="K244" s="1">
        <f>IFERROR(__xludf.DUMMYFUNCTION("""COMPUTED_VALUE"""),100.0)</f>
        <v>100</v>
      </c>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f>IFERROR(__xludf.DUMMYFUNCTION("""COMPUTED_VALUE"""),100.0)</f>
        <v>100</v>
      </c>
      <c r="L245" s="1"/>
      <c r="M245" s="1"/>
      <c r="N245" s="1"/>
      <c r="O245" s="1"/>
      <c r="P245" s="1"/>
      <c r="Q245" s="1"/>
      <c r="R245" s="1"/>
      <c r="S245" s="1"/>
      <c r="T245" s="1"/>
      <c r="U245" s="1"/>
      <c r="V245" s="1"/>
      <c r="W245" s="1"/>
      <c r="X245" s="1"/>
      <c r="Y245" s="1"/>
      <c r="Z245" s="1"/>
    </row>
    <row r="246">
      <c r="A246" s="1" t="str">
        <f>IFERROR(__xludf.DUMMYFUNCTION("""COMPUTED_VALUE"""),"Skeletal Warrior")</f>
        <v>Skeletal Warrior</v>
      </c>
      <c r="B246" s="1"/>
      <c r="C246" s="1"/>
      <c r="D246" s="1"/>
      <c r="E246" s="1"/>
      <c r="F246" s="1">
        <f>IFERROR(__xludf.DUMMYFUNCTION("""COMPUTED_VALUE"""),100.0)</f>
        <v>100</v>
      </c>
      <c r="G246" s="1"/>
      <c r="H246" s="1"/>
      <c r="I246" s="1"/>
      <c r="J246" s="1"/>
      <c r="K246" s="1"/>
      <c r="L246" s="1"/>
      <c r="M246" s="1"/>
      <c r="N246" s="1"/>
      <c r="O246" s="1"/>
      <c r="P246" s="1"/>
      <c r="Q246" s="1"/>
      <c r="R246" s="1"/>
      <c r="S246" s="1"/>
      <c r="T246" s="1"/>
      <c r="U246" s="1"/>
      <c r="V246" s="1"/>
      <c r="W246" s="1"/>
      <c r="X246" s="1"/>
      <c r="Y246" s="1"/>
      <c r="Z246" s="1"/>
    </row>
    <row r="247">
      <c r="A247" s="1" t="str">
        <f>IFERROR(__xludf.DUMMYFUNCTION("""COMPUTED_VALUE"""),"Ancient Skeleton Colossus")</f>
        <v>Ancient Skeleton Colossus</v>
      </c>
      <c r="B247" s="1">
        <f>IFERROR(__xludf.DUMMYFUNCTION("""COMPUTED_VALUE"""),100.0)</f>
        <v>100</v>
      </c>
      <c r="C247" s="1"/>
      <c r="D247" s="1"/>
      <c r="E247" s="1"/>
      <c r="F247" s="1">
        <f>IFERROR(__xludf.DUMMYFUNCTION("""COMPUTED_VALUE"""),100.0)</f>
        <v>100</v>
      </c>
      <c r="G247" s="1"/>
      <c r="H247" s="1"/>
      <c r="I247" s="1"/>
      <c r="J247" s="1"/>
      <c r="K247" s="1"/>
      <c r="L247" s="1"/>
      <c r="M247" s="1"/>
      <c r="N247" s="1"/>
      <c r="O247" s="1"/>
      <c r="P247" s="1"/>
      <c r="Q247" s="1"/>
      <c r="R247" s="1"/>
      <c r="S247" s="1"/>
      <c r="T247" s="1"/>
      <c r="U247" s="1"/>
      <c r="V247" s="1"/>
      <c r="W247" s="1"/>
      <c r="X247" s="1"/>
      <c r="Y247" s="1"/>
      <c r="Z247" s="1"/>
    </row>
    <row r="248">
      <c r="A248" s="1" t="str">
        <f>IFERROR(__xludf.DUMMYFUNCTION("""COMPUTED_VALUE"""),"Skeleton Lord")</f>
        <v>Skeleton Lord</v>
      </c>
      <c r="B248" s="1"/>
      <c r="C248" s="1"/>
      <c r="D248" s="1"/>
      <c r="E248" s="1"/>
      <c r="F248" s="1">
        <f>IFERROR(__xludf.DUMMYFUNCTION("""COMPUTED_VALUE"""),100.0)</f>
        <v>100</v>
      </c>
      <c r="G248" s="1"/>
      <c r="H248" s="1"/>
      <c r="I248" s="1"/>
      <c r="J248" s="1"/>
      <c r="K248" s="1"/>
      <c r="L248" s="1"/>
      <c r="M248" s="1"/>
      <c r="N248" s="1"/>
      <c r="O248" s="1"/>
      <c r="P248" s="1"/>
      <c r="Q248" s="1"/>
      <c r="R248" s="1"/>
      <c r="S248" s="1"/>
      <c r="T248" s="1"/>
      <c r="U248" s="1"/>
      <c r="V248" s="1"/>
      <c r="W248" s="1"/>
      <c r="X248" s="1"/>
      <c r="Y248" s="1"/>
      <c r="Z248" s="1"/>
    </row>
    <row r="249">
      <c r="A249" s="1" t="str">
        <f>IFERROR(__xludf.DUMMYFUNCTION("""COMPUTED_VALUE"""),"Skilled Robot Soldier (King Of Mekanas Companion)")</f>
        <v>Skilled Robot Soldier (King Of Mekanas Companion)</v>
      </c>
      <c r="B249" s="1">
        <f>IFERROR(__xludf.DUMMYFUNCTION("""COMPUTED_VALUE"""),100.0)</f>
        <v>100</v>
      </c>
      <c r="C249" s="1">
        <f>IFERROR(__xludf.DUMMYFUNCTION("""COMPUTED_VALUE"""),100.0)</f>
        <v>100</v>
      </c>
      <c r="D249" s="1"/>
      <c r="E249" s="1"/>
      <c r="F249" s="1"/>
      <c r="G249" s="1"/>
      <c r="H249" s="1"/>
      <c r="I249" s="1"/>
      <c r="J249" s="1"/>
      <c r="K249" s="1"/>
      <c r="L249" s="1"/>
      <c r="M249" s="1"/>
      <c r="N249" s="1"/>
      <c r="O249" s="1"/>
      <c r="P249" s="1"/>
      <c r="Q249" s="1"/>
      <c r="R249" s="1"/>
      <c r="S249" s="1"/>
      <c r="T249" s="1"/>
      <c r="U249" s="1"/>
      <c r="V249" s="1"/>
      <c r="W249" s="1"/>
      <c r="X249" s="1"/>
      <c r="Y249" s="1"/>
      <c r="Z249" s="1"/>
    </row>
    <row r="250">
      <c r="A250" s="1" t="str">
        <f>IFERROR(__xludf.DUMMYFUNCTION("""COMPUTED_VALUE"""),"Slime")</f>
        <v>Slime</v>
      </c>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t="str">
        <f>IFERROR(__xludf.DUMMYFUNCTION("""COMPUTED_VALUE"""),"Sorana- Demon Of The Cycle")</f>
        <v>Sorana- Demon Of The Cycle</v>
      </c>
      <c r="B251" s="1">
        <f>IFERROR(__xludf.DUMMYFUNCTION("""COMPUTED_VALUE"""),100.0)</f>
        <v>100</v>
      </c>
      <c r="C251" s="1"/>
      <c r="D251" s="1"/>
      <c r="E251" s="1"/>
      <c r="F251" s="1">
        <f>IFERROR(__xludf.DUMMYFUNCTION("""COMPUTED_VALUE"""),100.0)</f>
        <v>100</v>
      </c>
      <c r="G251" s="1"/>
      <c r="H251" s="1"/>
      <c r="I251" s="1">
        <f>IFERROR(__xludf.DUMMYFUNCTION("""COMPUTED_VALUE"""),100.0)</f>
        <v>100</v>
      </c>
      <c r="J251" s="1"/>
      <c r="K251" s="1"/>
      <c r="L251" s="1"/>
      <c r="M251" s="1"/>
      <c r="N251" s="1"/>
      <c r="O251" s="1"/>
      <c r="P251" s="1"/>
      <c r="Q251" s="1"/>
      <c r="R251" s="1"/>
      <c r="S251" s="1"/>
      <c r="T251" s="1"/>
      <c r="U251" s="1"/>
      <c r="V251" s="1"/>
      <c r="W251" s="1"/>
      <c r="X251" s="1"/>
      <c r="Y251" s="1"/>
      <c r="Z251" s="1"/>
    </row>
    <row r="252">
      <c r="A252" s="1" t="str">
        <f>IFERROR(__xludf.DUMMYFUNCTION("""COMPUTED_VALUE"""),"Soul Dragon")</f>
        <v>Soul Dragon</v>
      </c>
      <c r="B252" s="1">
        <f>IFERROR(__xludf.DUMMYFUNCTION("""COMPUTED_VALUE"""),100.0)</f>
        <v>100</v>
      </c>
      <c r="C252" s="1"/>
      <c r="D252" s="1"/>
      <c r="E252" s="1"/>
      <c r="F252" s="1">
        <f>IFERROR(__xludf.DUMMYFUNCTION("""COMPUTED_VALUE"""),100.0)</f>
        <v>100</v>
      </c>
      <c r="G252" s="1"/>
      <c r="H252" s="1"/>
      <c r="I252" s="1"/>
      <c r="J252" s="1"/>
      <c r="K252" s="1"/>
      <c r="L252" s="1"/>
      <c r="M252" s="1"/>
      <c r="N252" s="1"/>
      <c r="O252" s="1"/>
      <c r="P252" s="1"/>
      <c r="Q252" s="1"/>
      <c r="R252" s="1"/>
      <c r="S252" s="1"/>
      <c r="T252" s="1"/>
      <c r="U252" s="1"/>
      <c r="V252" s="1"/>
      <c r="W252" s="1"/>
      <c r="X252" s="1"/>
      <c r="Y252" s="1"/>
      <c r="Z252" s="1"/>
    </row>
    <row r="253">
      <c r="A253" s="1" t="str">
        <f>IFERROR(__xludf.DUMMYFUNCTION("""COMPUTED_VALUE"""),"Spirit Dragon")</f>
        <v>Spirit Dragon</v>
      </c>
      <c r="B253" s="1">
        <f>IFERROR(__xludf.DUMMYFUNCTION("""COMPUTED_VALUE"""),100.0)</f>
        <v>100</v>
      </c>
      <c r="C253" s="1"/>
      <c r="D253" s="1"/>
      <c r="E253" s="1"/>
      <c r="F253" s="1">
        <f>IFERROR(__xludf.DUMMYFUNCTION("""COMPUTED_VALUE"""),100.0)</f>
        <v>100</v>
      </c>
      <c r="G253" s="1"/>
      <c r="H253" s="1"/>
      <c r="I253" s="1"/>
      <c r="J253" s="1"/>
      <c r="K253" s="1"/>
      <c r="L253" s="1"/>
      <c r="M253" s="1"/>
      <c r="N253" s="1"/>
      <c r="O253" s="1"/>
      <c r="P253" s="1"/>
      <c r="Q253" s="1"/>
      <c r="R253" s="1"/>
      <c r="S253" s="1"/>
      <c r="T253" s="1"/>
      <c r="U253" s="1"/>
      <c r="V253" s="1"/>
      <c r="W253" s="1"/>
      <c r="X253" s="1"/>
      <c r="Y253" s="1"/>
      <c r="Z253" s="1"/>
    </row>
    <row r="254">
      <c r="A254" s="1" t="str">
        <f>IFERROR(__xludf.DUMMYFUNCTION("""COMPUTED_VALUE"""),"Spirit Warrior")</f>
        <v>Spirit Warrior</v>
      </c>
      <c r="B254" s="1"/>
      <c r="C254" s="1"/>
      <c r="D254" s="1"/>
      <c r="E254" s="1"/>
      <c r="F254" s="1">
        <f>IFERROR(__xludf.DUMMYFUNCTION("""COMPUTED_VALUE"""),100.0)</f>
        <v>100</v>
      </c>
      <c r="G254" s="1"/>
      <c r="H254" s="1"/>
      <c r="I254" s="1"/>
      <c r="J254" s="1"/>
      <c r="K254" s="1"/>
      <c r="L254" s="1"/>
      <c r="M254" s="1"/>
      <c r="N254" s="1"/>
      <c r="O254" s="1"/>
      <c r="P254" s="1"/>
      <c r="Q254" s="1"/>
      <c r="R254" s="1"/>
      <c r="S254" s="1"/>
      <c r="T254" s="1"/>
      <c r="U254" s="1"/>
      <c r="V254" s="1"/>
      <c r="W254" s="1"/>
      <c r="X254" s="1"/>
      <c r="Y254" s="1"/>
      <c r="Z254" s="1"/>
    </row>
    <row r="255">
      <c r="A255" s="1" t="str">
        <f>IFERROR(__xludf.DUMMYFUNCTION("""COMPUTED_VALUE"""),"Squid (WD)")</f>
        <v>Squid (WD)</v>
      </c>
      <c r="B255" s="1"/>
      <c r="C255" s="1"/>
      <c r="D255" s="1"/>
      <c r="E255" s="1"/>
      <c r="F255" s="1"/>
      <c r="G255" s="1"/>
      <c r="H255" s="1"/>
      <c r="I255" s="1"/>
      <c r="J255" s="1"/>
      <c r="K255" s="1">
        <f>IFERROR(__xludf.DUMMYFUNCTION("""COMPUTED_VALUE"""),100.0)</f>
        <v>100</v>
      </c>
      <c r="L255" s="1"/>
      <c r="M255" s="1"/>
      <c r="N255" s="1"/>
      <c r="O255" s="1"/>
      <c r="P255" s="1"/>
      <c r="Q255" s="1"/>
      <c r="R255" s="1"/>
      <c r="S255" s="1"/>
      <c r="T255" s="1"/>
      <c r="U255" s="1"/>
      <c r="V255" s="1"/>
      <c r="W255" s="1"/>
      <c r="X255" s="1"/>
      <c r="Y255" s="1"/>
      <c r="Z255" s="1"/>
    </row>
    <row r="256">
      <c r="A256" s="1" t="str">
        <f>IFERROR(__xludf.DUMMYFUNCTION("""COMPUTED_VALUE"""),"Squid (WD) (Enhanced)")</f>
        <v>Squid (WD) (Enhanced)</v>
      </c>
      <c r="B256" s="1"/>
      <c r="C256" s="1"/>
      <c r="D256" s="1"/>
      <c r="E256" s="1"/>
      <c r="F256" s="1"/>
      <c r="G256" s="1"/>
      <c r="H256" s="1"/>
      <c r="I256" s="1"/>
      <c r="J256" s="1"/>
      <c r="K256" s="1">
        <f>IFERROR(__xludf.DUMMYFUNCTION("""COMPUTED_VALUE"""),100.0)</f>
        <v>100</v>
      </c>
      <c r="L256" s="1"/>
      <c r="M256" s="1"/>
      <c r="N256" s="1"/>
      <c r="O256" s="1"/>
      <c r="P256" s="1"/>
      <c r="Q256" s="1"/>
      <c r="R256" s="1"/>
      <c r="S256" s="1"/>
      <c r="T256" s="1"/>
      <c r="U256" s="1"/>
      <c r="V256" s="1"/>
      <c r="W256" s="1"/>
      <c r="X256" s="1"/>
      <c r="Y256" s="1"/>
      <c r="Z256" s="1"/>
    </row>
    <row r="257">
      <c r="A257" s="1" t="str">
        <f>IFERROR(__xludf.DUMMYFUNCTION("""COMPUTED_VALUE"""),"Stag")</f>
        <v>Stag</v>
      </c>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t="str">
        <f>IFERROR(__xludf.DUMMYFUNCTION("""COMPUTED_VALUE"""),"Steed")</f>
        <v>Steed</v>
      </c>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t="str">
        <f>IFERROR(__xludf.DUMMYFUNCTION("""COMPUTED_VALUE"""),"Stone Dragon")</f>
        <v>Stone Dragon</v>
      </c>
      <c r="B259" s="1"/>
      <c r="C259" s="1">
        <f>IFERROR(__xludf.DUMMYFUNCTION("""COMPUTED_VALUE"""),100.0)</f>
        <v>100</v>
      </c>
      <c r="D259" s="1">
        <f>IFERROR(__xludf.DUMMYFUNCTION("""COMPUTED_VALUE"""),100.0)</f>
        <v>100</v>
      </c>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f>IFERROR(__xludf.DUMMYFUNCTION("""COMPUTED_VALUE"""),100.0)</f>
        <v>100</v>
      </c>
      <c r="D260" s="1">
        <f>IFERROR(__xludf.DUMMYFUNCTION("""COMPUTED_VALUE"""),100.0)</f>
        <v>100</v>
      </c>
      <c r="E260" s="1"/>
      <c r="F260" s="1"/>
      <c r="G260" s="1"/>
      <c r="H260" s="1"/>
      <c r="I260" s="1"/>
      <c r="J260" s="1"/>
      <c r="K260" s="1"/>
      <c r="L260" s="1"/>
      <c r="M260" s="1"/>
      <c r="N260" s="1"/>
      <c r="O260" s="1"/>
      <c r="P260" s="1"/>
      <c r="Q260" s="1"/>
      <c r="R260" s="1"/>
      <c r="S260" s="1"/>
      <c r="T260" s="1"/>
      <c r="U260" s="1"/>
      <c r="V260" s="1"/>
      <c r="W260" s="1"/>
      <c r="X260" s="1"/>
      <c r="Y260" s="1"/>
      <c r="Z260" s="1"/>
    </row>
    <row r="261">
      <c r="A261" s="1" t="str">
        <f>IFERROR(__xludf.DUMMYFUNCTION("""COMPUTED_VALUE"""),"Storm Dragon")</f>
        <v>Storm Dragon</v>
      </c>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t="str">
        <f>IFERROR(__xludf.DUMMYFUNCTION("""COMPUTED_VALUE"""),"Straitzo The Vampire Warrior")</f>
        <v>Straitzo The Vampire Warrior</v>
      </c>
      <c r="B262" s="1">
        <f>IFERROR(__xludf.DUMMYFUNCTION("""COMPUTED_VALUE"""),100.0)</f>
        <v>100</v>
      </c>
      <c r="C262" s="1"/>
      <c r="D262" s="1"/>
      <c r="E262" s="1"/>
      <c r="F262" s="1">
        <f>IFERROR(__xludf.DUMMYFUNCTION("""COMPUTED_VALUE"""),100.0)</f>
        <v>100</v>
      </c>
      <c r="G262" s="1"/>
      <c r="H262" s="1"/>
      <c r="I262" s="1"/>
      <c r="J262" s="1"/>
      <c r="K262" s="1"/>
      <c r="L262" s="1"/>
      <c r="M262" s="1"/>
      <c r="N262" s="1"/>
      <c r="O262" s="1"/>
      <c r="P262" s="1"/>
      <c r="Q262" s="1"/>
      <c r="R262" s="1"/>
      <c r="S262" s="1"/>
      <c r="T262" s="1"/>
      <c r="U262" s="1"/>
      <c r="V262" s="1"/>
      <c r="W262" s="1"/>
      <c r="X262" s="1"/>
      <c r="Y262" s="1"/>
      <c r="Z262" s="1"/>
    </row>
    <row r="263">
      <c r="A263" s="1" t="str">
        <f>IFERROR(__xludf.DUMMYFUNCTION("""COMPUTED_VALUE"""),"Sunstone Dragon")</f>
        <v>Sunstone Dragon</v>
      </c>
      <c r="B263" s="1"/>
      <c r="C263" s="1"/>
      <c r="D263" s="1"/>
      <c r="E263" s="1"/>
      <c r="F263" s="1"/>
      <c r="G263" s="1"/>
      <c r="H263" s="1"/>
      <c r="I263" s="1"/>
      <c r="J263" s="1"/>
      <c r="K263" s="1"/>
      <c r="L263" s="1"/>
      <c r="M263" s="1"/>
      <c r="N263" s="1"/>
      <c r="O263" s="1"/>
      <c r="P263" s="1"/>
      <c r="Q263" s="1"/>
      <c r="R263" s="1"/>
      <c r="S263" s="1"/>
      <c r="T263" s="1"/>
      <c r="U263" s="1"/>
      <c r="V263" s="1">
        <f>IFERROR(__xludf.DUMMYFUNCTION("""COMPUTED_VALUE"""),100.0)</f>
        <v>100</v>
      </c>
      <c r="W263" s="1"/>
      <c r="X263" s="1"/>
      <c r="Y263" s="1"/>
      <c r="Z263" s="1"/>
    </row>
    <row r="264">
      <c r="A264" s="1" t="str">
        <f>IFERROR(__xludf.DUMMYFUNCTION("""COMPUTED_VALUE"""),"Swamp Dragon")</f>
        <v>Swamp Dragon</v>
      </c>
      <c r="B264" s="1">
        <f>IFERROR(__xludf.DUMMYFUNCTION("""COMPUTED_VALUE"""),100.0)</f>
        <v>100</v>
      </c>
      <c r="C264" s="1"/>
      <c r="D264" s="1">
        <f>IFERROR(__xludf.DUMMYFUNCTION("""COMPUTED_VALUE"""),100.0)</f>
        <v>100</v>
      </c>
      <c r="E264" s="1"/>
      <c r="F264" s="1"/>
      <c r="G264" s="1"/>
      <c r="H264" s="1"/>
      <c r="I264" s="1"/>
      <c r="J264" s="1"/>
      <c r="K264" s="1"/>
      <c r="L264" s="1"/>
      <c r="M264" s="1"/>
      <c r="N264" s="1"/>
      <c r="O264" s="1"/>
      <c r="P264" s="1"/>
      <c r="Q264" s="1"/>
      <c r="R264" s="1"/>
      <c r="S264" s="1"/>
      <c r="T264" s="1"/>
      <c r="U264" s="1"/>
      <c r="V264" s="1"/>
      <c r="W264" s="1"/>
      <c r="X264" s="1"/>
      <c r="Y264" s="1"/>
      <c r="Z264" s="1"/>
    </row>
    <row r="265">
      <c r="A265" s="1" t="str">
        <f>IFERROR(__xludf.DUMMYFUNCTION("""COMPUTED_VALUE"""),"Swamp Dragon")</f>
        <v>Swamp Dragon</v>
      </c>
      <c r="B265" s="1">
        <f>IFERROR(__xludf.DUMMYFUNCTION("""COMPUTED_VALUE"""),100.0)</f>
        <v>100</v>
      </c>
      <c r="C265" s="1"/>
      <c r="D265" s="1">
        <f>IFERROR(__xludf.DUMMYFUNCTION("""COMPUTED_VALUE"""),100.0)</f>
        <v>100</v>
      </c>
      <c r="E265" s="1"/>
      <c r="F265" s="1"/>
      <c r="G265" s="1"/>
      <c r="H265" s="1"/>
      <c r="I265" s="1"/>
      <c r="J265" s="1"/>
      <c r="K265" s="1"/>
      <c r="L265" s="1"/>
      <c r="M265" s="1"/>
      <c r="N265" s="1"/>
      <c r="O265" s="1"/>
      <c r="P265" s="1"/>
      <c r="Q265" s="1"/>
      <c r="R265" s="1"/>
      <c r="S265" s="1"/>
      <c r="T265" s="1"/>
      <c r="U265" s="1"/>
      <c r="V265" s="1"/>
      <c r="W265" s="1"/>
      <c r="X265" s="1"/>
      <c r="Y265" s="1"/>
      <c r="Z265" s="1"/>
    </row>
    <row r="266">
      <c r="A266" s="1" t="str">
        <f>IFERROR(__xludf.DUMMYFUNCTION("""COMPUTED_VALUE"""),"Swamp Portal Guard")</f>
        <v>Swamp Portal Guard</v>
      </c>
      <c r="B266" s="1">
        <f>IFERROR(__xludf.DUMMYFUNCTION("""COMPUTED_VALUE"""),100.0)</f>
        <v>100</v>
      </c>
      <c r="C266" s="1"/>
      <c r="D266" s="1">
        <f>IFERROR(__xludf.DUMMYFUNCTION("""COMPUTED_VALUE"""),100.0)</f>
        <v>100</v>
      </c>
      <c r="E266" s="1"/>
      <c r="F266" s="1"/>
      <c r="G266" s="1"/>
      <c r="H266" s="1"/>
      <c r="I266" s="1"/>
      <c r="J266" s="1"/>
      <c r="K266" s="1"/>
      <c r="L266" s="1"/>
      <c r="M266" s="1"/>
      <c r="N266" s="1"/>
      <c r="O266" s="1"/>
      <c r="P266" s="1"/>
      <c r="Q266" s="1"/>
      <c r="R266" s="1"/>
      <c r="S266" s="1"/>
      <c r="T266" s="1"/>
      <c r="U266" s="1"/>
      <c r="V266" s="1"/>
      <c r="W266" s="1"/>
      <c r="X266" s="1"/>
      <c r="Y266" s="1"/>
      <c r="Z266" s="1"/>
    </row>
    <row r="267">
      <c r="A267" s="1" t="str">
        <f>IFERROR(__xludf.DUMMYFUNCTION("""COMPUTED_VALUE"""),"The Ancient Colossal Dragon of Spira")</f>
        <v>The Ancient Colossal Dragon of Spira</v>
      </c>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t="str">
        <f>IFERROR(__xludf.DUMMYFUNCTION("""COMPUTED_VALUE"""),"The Black And White Dragon")</f>
        <v>The Black And White Dragon</v>
      </c>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t="str">
        <f>IFERROR(__xludf.DUMMYFUNCTION("""COMPUTED_VALUE"""),"The Black Demon")</f>
        <v>The Black Demon</v>
      </c>
      <c r="B269" s="1">
        <f>IFERROR(__xludf.DUMMYFUNCTION("""COMPUTED_VALUE"""),100.0)</f>
        <v>100</v>
      </c>
      <c r="C269" s="1"/>
      <c r="D269" s="1"/>
      <c r="E269" s="1"/>
      <c r="F269" s="1">
        <f>IFERROR(__xludf.DUMMYFUNCTION("""COMPUTED_VALUE"""),100.0)</f>
        <v>100</v>
      </c>
      <c r="G269" s="1"/>
      <c r="H269" s="1"/>
      <c r="I269" s="1"/>
      <c r="J269" s="1"/>
      <c r="K269" s="1"/>
      <c r="L269" s="1"/>
      <c r="M269" s="1"/>
      <c r="N269" s="1"/>
      <c r="O269" s="1"/>
      <c r="P269" s="1"/>
      <c r="Q269" s="1"/>
      <c r="R269" s="1"/>
      <c r="S269" s="1"/>
      <c r="T269" s="1"/>
      <c r="U269" s="1"/>
      <c r="V269" s="1"/>
      <c r="W269" s="1"/>
      <c r="X269" s="1"/>
      <c r="Y269" s="1"/>
      <c r="Z269" s="1"/>
    </row>
    <row r="270">
      <c r="A270" s="1" t="str">
        <f>IFERROR(__xludf.DUMMYFUNCTION("""COMPUTED_VALUE"""),"The Clown King")</f>
        <v>The Clown King</v>
      </c>
      <c r="B270" s="1"/>
      <c r="C270" s="1"/>
      <c r="D270" s="1"/>
      <c r="E270" s="1"/>
      <c r="F270" s="1">
        <f>IFERROR(__xludf.DUMMYFUNCTION("""COMPUTED_VALUE"""),100.0)</f>
        <v>100</v>
      </c>
      <c r="G270" s="1"/>
      <c r="H270" s="1"/>
      <c r="I270" s="1"/>
      <c r="J270" s="1"/>
      <c r="K270" s="1"/>
      <c r="L270" s="1"/>
      <c r="M270" s="1"/>
      <c r="N270" s="1"/>
      <c r="O270" s="1"/>
      <c r="P270" s="1"/>
      <c r="Q270" s="1"/>
      <c r="R270" s="1"/>
      <c r="S270" s="1"/>
      <c r="T270" s="1"/>
      <c r="U270" s="1"/>
      <c r="V270" s="1"/>
      <c r="W270" s="1"/>
      <c r="X270" s="1"/>
      <c r="Y270" s="1"/>
      <c r="Z270" s="1"/>
    </row>
    <row r="271">
      <c r="A271" s="1" t="str">
        <f>IFERROR(__xludf.DUMMYFUNCTION("""COMPUTED_VALUE"""),"The Cursed Kraken")</f>
        <v>The Cursed Kraken</v>
      </c>
      <c r="B271" s="1"/>
      <c r="C271" s="1"/>
      <c r="D271" s="1"/>
      <c r="E271" s="1"/>
      <c r="F271" s="1"/>
      <c r="G271" s="1"/>
      <c r="H271" s="1"/>
      <c r="I271" s="1"/>
      <c r="J271" s="1"/>
      <c r="K271" s="1">
        <f>IFERROR(__xludf.DUMMYFUNCTION("""COMPUTED_VALUE"""),100.0)</f>
        <v>100</v>
      </c>
      <c r="L271" s="1"/>
      <c r="M271" s="1"/>
      <c r="N271" s="1"/>
      <c r="O271" s="1"/>
      <c r="P271" s="1"/>
      <c r="Q271" s="1"/>
      <c r="R271" s="1"/>
      <c r="S271" s="1"/>
      <c r="T271" s="1"/>
      <c r="U271" s="1"/>
      <c r="V271" s="1"/>
      <c r="W271" s="1"/>
      <c r="X271" s="1"/>
      <c r="Y271" s="1"/>
      <c r="Z271" s="1"/>
    </row>
    <row r="272">
      <c r="A272" s="1" t="str">
        <f>IFERROR(__xludf.DUMMYFUNCTION("""COMPUTED_VALUE"""),"Master Inugima Clone")</f>
        <v>Master Inugima Clone</v>
      </c>
      <c r="B272" s="1"/>
      <c r="C272" s="1"/>
      <c r="D272" s="1"/>
      <c r="E272" s="1"/>
      <c r="F272" s="1">
        <f>IFERROR(__xludf.DUMMYFUNCTION("""COMPUTED_VALUE"""),50.0)</f>
        <v>50</v>
      </c>
      <c r="G272" s="1"/>
      <c r="H272" s="1"/>
      <c r="I272" s="1">
        <f>IFERROR(__xludf.DUMMYFUNCTION("""COMPUTED_VALUE"""),50.0)</f>
        <v>50</v>
      </c>
      <c r="J272" s="1"/>
      <c r="K272" s="1"/>
      <c r="L272" s="1"/>
      <c r="M272" s="1"/>
      <c r="N272" s="1"/>
      <c r="O272" s="1"/>
      <c r="P272" s="1"/>
      <c r="Q272" s="1"/>
      <c r="R272" s="1"/>
      <c r="S272" s="1"/>
      <c r="T272" s="1"/>
      <c r="U272" s="1"/>
      <c r="V272" s="1"/>
      <c r="W272" s="1"/>
      <c r="X272" s="1"/>
      <c r="Y272" s="1"/>
      <c r="Z272" s="1"/>
    </row>
    <row r="273">
      <c r="A273" s="1" t="str">
        <f>IFERROR(__xludf.DUMMYFUNCTION("""COMPUTED_VALUE"""),"The God Of Birch")</f>
        <v>The God Of Birch</v>
      </c>
      <c r="B273" s="1">
        <f>IFERROR(__xludf.DUMMYFUNCTION("""COMPUTED_VALUE"""),100.0)</f>
        <v>100</v>
      </c>
      <c r="C273" s="1"/>
      <c r="D273" s="1">
        <f>IFERROR(__xludf.DUMMYFUNCTION("""COMPUTED_VALUE"""),100.0)</f>
        <v>100</v>
      </c>
      <c r="E273" s="1"/>
      <c r="F273" s="1"/>
      <c r="G273" s="1"/>
      <c r="H273" s="1"/>
      <c r="I273" s="1"/>
      <c r="J273" s="1"/>
      <c r="K273" s="1"/>
      <c r="L273" s="1"/>
      <c r="M273" s="1"/>
      <c r="N273" s="1"/>
      <c r="O273" s="1"/>
      <c r="P273" s="1"/>
      <c r="Q273" s="1"/>
      <c r="R273" s="1"/>
      <c r="S273" s="1"/>
      <c r="T273" s="1"/>
      <c r="U273" s="1"/>
      <c r="V273" s="1"/>
      <c r="W273" s="1"/>
      <c r="X273" s="1"/>
      <c r="Y273" s="1"/>
      <c r="Z273" s="1"/>
    </row>
    <row r="274">
      <c r="A274" s="1" t="str">
        <f>IFERROR(__xludf.DUMMYFUNCTION("""COMPUTED_VALUE"""),"The Grim Reaper")</f>
        <v>The Grim Reaper</v>
      </c>
      <c r="B274" s="1">
        <f>IFERROR(__xludf.DUMMYFUNCTION("""COMPUTED_VALUE"""),100.0)</f>
        <v>100</v>
      </c>
      <c r="C274" s="1"/>
      <c r="D274" s="1"/>
      <c r="E274" s="1"/>
      <c r="F274" s="1">
        <f>IFERROR(__xludf.DUMMYFUNCTION("""COMPUTED_VALUE"""),100.0)</f>
        <v>100</v>
      </c>
      <c r="G274" s="1"/>
      <c r="H274" s="1"/>
      <c r="I274" s="1"/>
      <c r="J274" s="1"/>
      <c r="K274" s="1"/>
      <c r="L274" s="1"/>
      <c r="M274" s="1"/>
      <c r="N274" s="1"/>
      <c r="O274" s="1"/>
      <c r="P274" s="1"/>
      <c r="Q274" s="1"/>
      <c r="R274" s="1"/>
      <c r="S274" s="1"/>
      <c r="T274" s="1"/>
      <c r="U274" s="1"/>
      <c r="V274" s="1"/>
      <c r="W274" s="1"/>
      <c r="X274" s="1"/>
      <c r="Y274" s="1"/>
      <c r="Z274" s="1"/>
    </row>
    <row r="275">
      <c r="A275" s="1" t="str">
        <f>IFERROR(__xludf.DUMMYFUNCTION("""COMPUTED_VALUE"""),"The Guardian Of Death")</f>
        <v>The Guardian Of Death</v>
      </c>
      <c r="B275" s="1">
        <f>IFERROR(__xludf.DUMMYFUNCTION("""COMPUTED_VALUE"""),100.0)</f>
        <v>100</v>
      </c>
      <c r="C275" s="1"/>
      <c r="D275" s="1"/>
      <c r="E275" s="1"/>
      <c r="F275" s="1">
        <f>IFERROR(__xludf.DUMMYFUNCTION("""COMPUTED_VALUE"""),100.0)</f>
        <v>100</v>
      </c>
      <c r="G275" s="1"/>
      <c r="H275" s="1"/>
      <c r="I275" s="1"/>
      <c r="J275" s="1"/>
      <c r="K275" s="1">
        <f>IFERROR(__xludf.DUMMYFUNCTION("""COMPUTED_VALUE"""),100.0)</f>
        <v>100</v>
      </c>
      <c r="L275" s="1"/>
      <c r="M275" s="1"/>
      <c r="N275" s="1"/>
      <c r="O275" s="1"/>
      <c r="P275" s="1"/>
      <c r="Q275" s="1"/>
      <c r="R275" s="1"/>
      <c r="S275" s="1"/>
      <c r="T275" s="1"/>
      <c r="U275" s="1"/>
      <c r="V275" s="1"/>
      <c r="W275" s="1"/>
      <c r="X275" s="1"/>
      <c r="Y275" s="1"/>
      <c r="Z275" s="1"/>
    </row>
    <row r="276">
      <c r="A276" s="1" t="str">
        <f>IFERROR(__xludf.DUMMYFUNCTION("""COMPUTED_VALUE"""),"The Guardian Of The Mystic Well")</f>
        <v>The Guardian Of The Mystic Well</v>
      </c>
      <c r="B276" s="1"/>
      <c r="C276" s="1"/>
      <c r="D276" s="1"/>
      <c r="E276" s="1"/>
      <c r="F276" s="1"/>
      <c r="G276" s="1"/>
      <c r="H276" s="1"/>
      <c r="I276" s="1"/>
      <c r="J276" s="1"/>
      <c r="K276" s="1">
        <f>IFERROR(__xludf.DUMMYFUNCTION("""COMPUTED_VALUE"""),100.0)</f>
        <v>100</v>
      </c>
      <c r="L276" s="1"/>
      <c r="M276" s="1"/>
      <c r="N276" s="1"/>
      <c r="O276" s="1"/>
      <c r="P276" s="1"/>
      <c r="Q276" s="1"/>
      <c r="R276" s="1"/>
      <c r="S276" s="1"/>
      <c r="T276" s="1"/>
      <c r="U276" s="1"/>
      <c r="V276" s="1"/>
      <c r="W276" s="1"/>
      <c r="X276" s="1"/>
      <c r="Y276" s="1"/>
      <c r="Z276" s="1"/>
    </row>
    <row r="277">
      <c r="A277" s="1"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t="str">
        <f>IFERROR(__xludf.DUMMYFUNCTION("""COMPUTED_VALUE"""),"The Horseman Of Lord Dreadful No. 2 This enemy will appear alongside The Horseman Of Lord Dreadful No. 1")</f>
        <v>The Horseman Of Lord Dreadful No. 2 This enemy will appear alongside The Horseman Of Lord Dreadful No. 1</v>
      </c>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t="str">
        <f>IFERROR(__xludf.DUMMYFUNCTION("""COMPUTED_VALUE"""),"The Kraken")</f>
        <v>The Kraken</v>
      </c>
      <c r="B279" s="1"/>
      <c r="C279" s="1"/>
      <c r="D279" s="1"/>
      <c r="E279" s="1"/>
      <c r="F279" s="1"/>
      <c r="G279" s="1"/>
      <c r="H279" s="1"/>
      <c r="I279" s="1"/>
      <c r="J279" s="1"/>
      <c r="K279" s="1">
        <f>IFERROR(__xludf.DUMMYFUNCTION("""COMPUTED_VALUE"""),100.0)</f>
        <v>100</v>
      </c>
      <c r="L279" s="1"/>
      <c r="M279" s="1"/>
      <c r="N279" s="1"/>
      <c r="O279" s="1"/>
      <c r="P279" s="1"/>
      <c r="Q279" s="1"/>
      <c r="R279" s="1"/>
      <c r="S279" s="1"/>
      <c r="T279" s="1"/>
      <c r="U279" s="1"/>
      <c r="V279" s="1"/>
      <c r="W279" s="1"/>
      <c r="X279" s="1"/>
      <c r="Y279" s="1"/>
      <c r="Z279" s="1"/>
    </row>
    <row r="280">
      <c r="A280" s="1" t="str">
        <f>IFERROR(__xludf.DUMMYFUNCTION("""COMPUTED_VALUE"""),"The Puppet Master")</f>
        <v>The Puppet Master</v>
      </c>
      <c r="B280" s="1">
        <f>IFERROR(__xludf.DUMMYFUNCTION("""COMPUTED_VALUE"""),100.0)</f>
        <v>100</v>
      </c>
      <c r="C280" s="1"/>
      <c r="D280" s="1"/>
      <c r="E280" s="1"/>
      <c r="F280" s="1">
        <f>IFERROR(__xludf.DUMMYFUNCTION("""COMPUTED_VALUE"""),100.0)</f>
        <v>100</v>
      </c>
      <c r="G280" s="1"/>
      <c r="H280" s="1"/>
      <c r="I280" s="1">
        <f>IFERROR(__xludf.DUMMYFUNCTION("""COMPUTED_VALUE"""),100.0)</f>
        <v>100</v>
      </c>
      <c r="J280" s="1"/>
      <c r="K280" s="1"/>
      <c r="L280" s="1"/>
      <c r="M280" s="1"/>
      <c r="N280" s="1"/>
      <c r="O280" s="1"/>
      <c r="P280" s="1"/>
      <c r="Q280" s="1"/>
      <c r="R280" s="1"/>
      <c r="S280" s="1"/>
      <c r="T280" s="1"/>
      <c r="U280" s="1"/>
      <c r="V280" s="1"/>
      <c r="W280" s="1"/>
      <c r="X280" s="1"/>
      <c r="Y280" s="1"/>
      <c r="Z280" s="1"/>
    </row>
    <row r="281">
      <c r="A281" s="1" t="str">
        <f>IFERROR(__xludf.DUMMYFUNCTION("""COMPUTED_VALUE"""),"The Purple Necromancer")</f>
        <v>The Purple Necromancer</v>
      </c>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t="str">
        <f>IFERROR(__xludf.DUMMYFUNCTION("""COMPUTED_VALUE"""),"The Ring King")</f>
        <v>The Ring King</v>
      </c>
      <c r="B282" s="1">
        <f>IFERROR(__xludf.DUMMYFUNCTION("""COMPUTED_VALUE"""),100.0)</f>
        <v>100</v>
      </c>
      <c r="C282" s="1"/>
      <c r="D282" s="1"/>
      <c r="E282" s="1"/>
      <c r="F282" s="1">
        <f>IFERROR(__xludf.DUMMYFUNCTION("""COMPUTED_VALUE"""),100.0)</f>
        <v>100</v>
      </c>
      <c r="G282" s="1"/>
      <c r="H282" s="1"/>
      <c r="I282" s="1">
        <f>IFERROR(__xludf.DUMMYFUNCTION("""COMPUTED_VALUE"""),100.0)</f>
        <v>100</v>
      </c>
      <c r="J282" s="1"/>
      <c r="K282" s="1"/>
      <c r="L282" s="1"/>
      <c r="M282" s="1"/>
      <c r="N282" s="1"/>
      <c r="O282" s="1"/>
      <c r="P282" s="1"/>
      <c r="Q282" s="1"/>
      <c r="R282" s="1"/>
      <c r="S282" s="1"/>
      <c r="T282" s="1"/>
      <c r="U282" s="1"/>
      <c r="V282" s="1"/>
      <c r="W282" s="1"/>
      <c r="X282" s="1"/>
      <c r="Y282" s="1"/>
      <c r="Z282" s="1"/>
    </row>
    <row r="283">
      <c r="A283" s="1" t="str">
        <f>IFERROR(__xludf.DUMMYFUNCTION("""COMPUTED_VALUE"""),"The Undead King")</f>
        <v>The Undead King</v>
      </c>
      <c r="B283" s="1"/>
      <c r="C283" s="1"/>
      <c r="D283" s="1"/>
      <c r="E283" s="1"/>
      <c r="F283" s="1">
        <f>IFERROR(__xludf.DUMMYFUNCTION("""COMPUTED_VALUE"""),100.0)</f>
        <v>100</v>
      </c>
      <c r="G283" s="1"/>
      <c r="H283" s="1"/>
      <c r="I283" s="1"/>
      <c r="J283" s="1"/>
      <c r="K283" s="1"/>
      <c r="L283" s="1"/>
      <c r="M283" s="1"/>
      <c r="N283" s="1"/>
      <c r="O283" s="1"/>
      <c r="P283" s="1"/>
      <c r="Q283" s="1"/>
      <c r="R283" s="1"/>
      <c r="S283" s="1"/>
      <c r="T283" s="1"/>
      <c r="U283" s="1"/>
      <c r="V283" s="1"/>
      <c r="W283" s="1"/>
      <c r="X283" s="1"/>
      <c r="Y283" s="1"/>
      <c r="Z283" s="1"/>
    </row>
    <row r="284">
      <c r="A284" s="1" t="str">
        <f>IFERROR(__xludf.DUMMYFUNCTION("""COMPUTED_VALUE"""),"Titonium The Destroyer")</f>
        <v>Titonium The Destroyer</v>
      </c>
      <c r="B284" s="1">
        <f>IFERROR(__xludf.DUMMYFUNCTION("""COMPUTED_VALUE"""),100.0)</f>
        <v>100</v>
      </c>
      <c r="C284" s="1">
        <f>IFERROR(__xludf.DUMMYFUNCTION("""COMPUTED_VALUE"""),100.0)</f>
        <v>100</v>
      </c>
      <c r="D284" s="1"/>
      <c r="E284" s="1"/>
      <c r="F284" s="1"/>
      <c r="G284" s="1"/>
      <c r="H284" s="1"/>
      <c r="I284" s="1"/>
      <c r="J284" s="1"/>
      <c r="K284" s="1"/>
      <c r="L284" s="1"/>
      <c r="M284" s="1"/>
      <c r="N284" s="1"/>
      <c r="O284" s="1"/>
      <c r="P284" s="1"/>
      <c r="Q284" s="1"/>
      <c r="R284" s="1"/>
      <c r="S284" s="1"/>
      <c r="T284" s="1"/>
      <c r="U284" s="1"/>
      <c r="V284" s="1"/>
      <c r="W284" s="1"/>
      <c r="X284" s="1"/>
      <c r="Y284" s="1"/>
      <c r="Z284" s="1"/>
    </row>
    <row r="285">
      <c r="A285" s="1" t="str">
        <f>IFERROR(__xludf.DUMMYFUNCTION("""COMPUTED_VALUE"""),"Turkey Hydra")</f>
        <v>Turkey Hydra</v>
      </c>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t="str">
        <f>IFERROR(__xludf.DUMMYFUNCTION("""COMPUTED_VALUE"""),"Twilight Cultist")</f>
        <v>Twilight Cultist</v>
      </c>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t="str">
        <f>IFERROR(__xludf.DUMMYFUNCTION("""COMPUTED_VALUE"""),"Twilight Shadow")</f>
        <v>Twilight Shadow</v>
      </c>
      <c r="B287" s="1"/>
      <c r="C287" s="1"/>
      <c r="D287" s="1"/>
      <c r="E287" s="1"/>
      <c r="F287" s="1">
        <f>IFERROR(__xludf.DUMMYFUNCTION("""COMPUTED_VALUE"""),100.0)</f>
        <v>100</v>
      </c>
      <c r="G287" s="1"/>
      <c r="H287" s="1"/>
      <c r="I287" s="1"/>
      <c r="J287" s="1"/>
      <c r="K287" s="1"/>
      <c r="L287" s="1"/>
      <c r="M287" s="1"/>
      <c r="N287" s="1"/>
      <c r="O287" s="1"/>
      <c r="P287" s="1"/>
      <c r="Q287" s="1"/>
      <c r="R287" s="1"/>
      <c r="S287" s="1"/>
      <c r="T287" s="1"/>
      <c r="U287" s="1"/>
      <c r="V287" s="1"/>
      <c r="W287" s="1"/>
      <c r="X287" s="1"/>
      <c r="Y287" s="1"/>
      <c r="Z287" s="1"/>
    </row>
    <row r="288">
      <c r="A288" s="1" t="str">
        <f>IFERROR(__xludf.DUMMYFUNCTION("""COMPUTED_VALUE"""),"Twilight Soldier")</f>
        <v>Twilight Soldier</v>
      </c>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t="str">
        <f>IFERROR(__xludf.DUMMYFUNCTION("""COMPUTED_VALUE"""),"Undead Dragon")</f>
        <v>Undead Dragon</v>
      </c>
      <c r="B289" s="1">
        <f>IFERROR(__xludf.DUMMYFUNCTION("""COMPUTED_VALUE"""),100.0)</f>
        <v>100</v>
      </c>
      <c r="C289" s="1"/>
      <c r="D289" s="1"/>
      <c r="E289" s="1"/>
      <c r="F289" s="1">
        <f>IFERROR(__xludf.DUMMYFUNCTION("""COMPUTED_VALUE"""),100.0)</f>
        <v>100</v>
      </c>
      <c r="G289" s="1"/>
      <c r="H289" s="1"/>
      <c r="I289" s="1"/>
      <c r="J289" s="1"/>
      <c r="K289" s="1"/>
      <c r="L289" s="1"/>
      <c r="M289" s="1"/>
      <c r="N289" s="1"/>
      <c r="O289" s="1"/>
      <c r="P289" s="1"/>
      <c r="Q289" s="1"/>
      <c r="R289" s="1"/>
      <c r="S289" s="1"/>
      <c r="T289" s="1"/>
      <c r="U289" s="1"/>
      <c r="V289" s="1"/>
      <c r="W289" s="1"/>
      <c r="X289" s="1"/>
      <c r="Y289" s="1"/>
      <c r="Z289" s="1"/>
    </row>
    <row r="290">
      <c r="A290" s="1" t="str">
        <f>IFERROR(__xludf.DUMMYFUNCTION("""COMPUTED_VALUE"""),"Vampire")</f>
        <v>Vampire</v>
      </c>
      <c r="B290" s="1">
        <f>IFERROR(__xludf.DUMMYFUNCTION("""COMPUTED_VALUE"""),100.0)</f>
        <v>100</v>
      </c>
      <c r="C290" s="1"/>
      <c r="D290" s="1"/>
      <c r="E290" s="1"/>
      <c r="F290" s="1">
        <f>IFERROR(__xludf.DUMMYFUNCTION("""COMPUTED_VALUE"""),100.0)</f>
        <v>100</v>
      </c>
      <c r="G290" s="1"/>
      <c r="H290" s="1"/>
      <c r="I290" s="1"/>
      <c r="J290" s="1"/>
      <c r="K290" s="1"/>
      <c r="L290" s="1"/>
      <c r="M290" s="1"/>
      <c r="N290" s="1"/>
      <c r="O290" s="1"/>
      <c r="P290" s="1"/>
      <c r="Q290" s="1"/>
      <c r="R290" s="1"/>
      <c r="S290" s="1"/>
      <c r="T290" s="1"/>
      <c r="U290" s="1"/>
      <c r="V290" s="1"/>
      <c r="W290" s="1"/>
      <c r="X290" s="1"/>
      <c r="Y290" s="1"/>
      <c r="Z290" s="1"/>
    </row>
    <row r="291">
      <c r="A291" s="1" t="str">
        <f>IFERROR(__xludf.DUMMYFUNCTION("""COMPUTED_VALUE"""),"Vampire King")</f>
        <v>Vampire King</v>
      </c>
      <c r="B291" s="1">
        <f>IFERROR(__xludf.DUMMYFUNCTION("""COMPUTED_VALUE"""),100.0)</f>
        <v>100</v>
      </c>
      <c r="C291" s="1"/>
      <c r="D291" s="1"/>
      <c r="E291" s="1"/>
      <c r="F291" s="1">
        <f>IFERROR(__xludf.DUMMYFUNCTION("""COMPUTED_VALUE"""),100.0)</f>
        <v>100</v>
      </c>
      <c r="G291" s="1"/>
      <c r="H291" s="1"/>
      <c r="I291" s="1"/>
      <c r="J291" s="1"/>
      <c r="K291" s="1"/>
      <c r="L291" s="1"/>
      <c r="M291" s="1"/>
      <c r="N291" s="1"/>
      <c r="O291" s="1"/>
      <c r="P291" s="1"/>
      <c r="Q291" s="1"/>
      <c r="R291" s="1"/>
      <c r="S291" s="1"/>
      <c r="T291" s="1"/>
      <c r="U291" s="1"/>
      <c r="V291" s="1"/>
      <c r="W291" s="1"/>
      <c r="X291" s="1"/>
      <c r="Y291" s="1"/>
      <c r="Z291" s="1"/>
    </row>
    <row r="292">
      <c r="A292" s="1" t="str">
        <f>IFERROR(__xludf.DUMMYFUNCTION("""COMPUTED_VALUE"""),"Vampire Lord")</f>
        <v>Vampire Lord</v>
      </c>
      <c r="B292" s="1">
        <f>IFERROR(__xludf.DUMMYFUNCTION("""COMPUTED_VALUE"""),100.0)</f>
        <v>100</v>
      </c>
      <c r="C292" s="1"/>
      <c r="D292" s="1"/>
      <c r="E292" s="1"/>
      <c r="F292" s="1">
        <f>IFERROR(__xludf.DUMMYFUNCTION("""COMPUTED_VALUE"""),100.0)</f>
        <v>100</v>
      </c>
      <c r="G292" s="1"/>
      <c r="H292" s="1"/>
      <c r="I292" s="1"/>
      <c r="J292" s="1"/>
      <c r="K292" s="1"/>
      <c r="L292" s="1"/>
      <c r="M292" s="1"/>
      <c r="N292" s="1"/>
      <c r="O292" s="1"/>
      <c r="P292" s="1"/>
      <c r="Q292" s="1"/>
      <c r="R292" s="1"/>
      <c r="S292" s="1"/>
      <c r="T292" s="1"/>
      <c r="U292" s="1"/>
      <c r="V292" s="1"/>
      <c r="W292" s="1"/>
      <c r="X292" s="1"/>
      <c r="Y292" s="1"/>
      <c r="Z292" s="1"/>
    </row>
    <row r="293">
      <c r="A293" s="1" t="str">
        <f>IFERROR(__xludf.DUMMYFUNCTION("""COMPUTED_VALUE"""),"Vampire Soldier")</f>
        <v>Vampire Soldier</v>
      </c>
      <c r="B293" s="1">
        <f>IFERROR(__xludf.DUMMYFUNCTION("""COMPUTED_VALUE"""),100.0)</f>
        <v>100</v>
      </c>
      <c r="C293" s="1"/>
      <c r="D293" s="1"/>
      <c r="E293" s="1"/>
      <c r="F293" s="1">
        <f>IFERROR(__xludf.DUMMYFUNCTION("""COMPUTED_VALUE"""),100.0)</f>
        <v>100</v>
      </c>
      <c r="G293" s="1"/>
      <c r="H293" s="1"/>
      <c r="I293" s="1"/>
      <c r="J293" s="1"/>
      <c r="K293" s="1"/>
      <c r="L293" s="1"/>
      <c r="M293" s="1"/>
      <c r="N293" s="1"/>
      <c r="O293" s="1"/>
      <c r="P293" s="1"/>
      <c r="Q293" s="1"/>
      <c r="R293" s="1"/>
      <c r="S293" s="1"/>
      <c r="T293" s="1"/>
      <c r="U293" s="1"/>
      <c r="V293" s="1"/>
      <c r="W293" s="1"/>
      <c r="X293" s="1"/>
      <c r="Y293" s="1"/>
      <c r="Z293" s="1"/>
    </row>
    <row r="294">
      <c r="A294" s="1" t="str">
        <f>IFERROR(__xludf.DUMMYFUNCTION("""COMPUTED_VALUE"""),"Volcanic Lava Dragon")</f>
        <v>Volcanic Lava Dragon</v>
      </c>
      <c r="B294" s="1"/>
      <c r="C294" s="1">
        <f>IFERROR(__xludf.DUMMYFUNCTION("""COMPUTED_VALUE"""),100.0)</f>
        <v>100</v>
      </c>
      <c r="D294" s="1"/>
      <c r="E294" s="1"/>
      <c r="F294" s="1"/>
      <c r="G294" s="1"/>
      <c r="H294" s="1"/>
      <c r="I294" s="1"/>
      <c r="J294" s="1"/>
      <c r="K294" s="1"/>
      <c r="L294" s="1"/>
      <c r="M294" s="1"/>
      <c r="N294" s="1"/>
      <c r="O294" s="1"/>
      <c r="P294" s="1"/>
      <c r="Q294" s="1"/>
      <c r="R294" s="1"/>
      <c r="S294" s="1"/>
      <c r="T294" s="1"/>
      <c r="U294" s="1"/>
      <c r="V294" s="1"/>
      <c r="W294" s="1"/>
      <c r="X294" s="1"/>
      <c r="Y294" s="1"/>
      <c r="Z294" s="1"/>
    </row>
    <row r="295">
      <c r="A295" s="1" t="str">
        <f>IFERROR(__xludf.DUMMYFUNCTION("""COMPUTED_VALUE"""),"Volcanic Serpent")</f>
        <v>Volcanic Serpent</v>
      </c>
      <c r="B295" s="1"/>
      <c r="C295" s="1">
        <f>IFERROR(__xludf.DUMMYFUNCTION("""COMPUTED_VALUE"""),100.0)</f>
        <v>100</v>
      </c>
      <c r="D295" s="1"/>
      <c r="E295" s="1"/>
      <c r="F295" s="1"/>
      <c r="G295" s="1"/>
      <c r="H295" s="1"/>
      <c r="I295" s="1"/>
      <c r="J295" s="1"/>
      <c r="K295" s="1"/>
      <c r="L295" s="1"/>
      <c r="M295" s="1"/>
      <c r="N295" s="1"/>
      <c r="O295" s="1"/>
      <c r="P295" s="1"/>
      <c r="Q295" s="1"/>
      <c r="R295" s="1"/>
      <c r="S295" s="1"/>
      <c r="T295" s="1"/>
      <c r="U295" s="1"/>
      <c r="V295" s="1"/>
      <c r="W295" s="1"/>
      <c r="X295" s="1"/>
      <c r="Y295" s="1"/>
      <c r="Z295" s="1"/>
    </row>
    <row r="296">
      <c r="A296" s="1" t="str">
        <f>IFERROR(__xludf.DUMMYFUNCTION("""COMPUTED_VALUE"""),"Volcanic Void Dragon")</f>
        <v>Volcanic Void Dragon</v>
      </c>
      <c r="B296" s="1"/>
      <c r="C296" s="1">
        <f>IFERROR(__xludf.DUMMYFUNCTION("""COMPUTED_VALUE"""),100.0)</f>
        <v>100</v>
      </c>
      <c r="D296" s="1"/>
      <c r="E296" s="1"/>
      <c r="F296" s="1"/>
      <c r="G296" s="1"/>
      <c r="H296" s="1"/>
      <c r="I296" s="1"/>
      <c r="J296" s="1"/>
      <c r="K296" s="1"/>
      <c r="L296" s="1"/>
      <c r="M296" s="1"/>
      <c r="N296" s="1"/>
      <c r="O296" s="1"/>
      <c r="P296" s="1"/>
      <c r="Q296" s="1"/>
      <c r="R296" s="1"/>
      <c r="S296" s="1"/>
      <c r="T296" s="1"/>
      <c r="U296" s="1"/>
      <c r="V296" s="1"/>
      <c r="W296" s="1"/>
      <c r="X296" s="1"/>
      <c r="Y296" s="1"/>
      <c r="Z296" s="1"/>
    </row>
    <row r="297">
      <c r="A297" s="1" t="str">
        <f>IFERROR(__xludf.DUMMYFUNCTION("""COMPUTED_VALUE"""),"Volcanic Void Dragon")</f>
        <v>Volcanic Void Dragon</v>
      </c>
      <c r="B297" s="1"/>
      <c r="C297" s="1">
        <f>IFERROR(__xludf.DUMMYFUNCTION("""COMPUTED_VALUE"""),100.0)</f>
        <v>100</v>
      </c>
      <c r="D297" s="1"/>
      <c r="E297" s="1"/>
      <c r="F297" s="1"/>
      <c r="G297" s="1"/>
      <c r="H297" s="1"/>
      <c r="I297" s="1"/>
      <c r="J297" s="1"/>
      <c r="K297" s="1"/>
      <c r="L297" s="1"/>
      <c r="M297" s="1"/>
      <c r="N297" s="1"/>
      <c r="O297" s="1"/>
      <c r="P297" s="1"/>
      <c r="Q297" s="1"/>
      <c r="R297" s="1"/>
      <c r="S297" s="1"/>
      <c r="T297" s="1"/>
      <c r="U297" s="1"/>
      <c r="V297" s="1"/>
      <c r="W297" s="1"/>
      <c r="X297" s="1"/>
      <c r="Y297" s="1"/>
      <c r="Z297" s="1"/>
    </row>
    <row r="298">
      <c r="A298" s="1" t="str">
        <f>IFERROR(__xludf.DUMMYFUNCTION("""COMPUTED_VALUE"""),"Voodoo Shameness")</f>
        <v>Voodoo Shameness</v>
      </c>
      <c r="B298" s="1"/>
      <c r="C298" s="1"/>
      <c r="D298" s="1"/>
      <c r="E298" s="1"/>
      <c r="F298" s="1">
        <f>IFERROR(__xludf.DUMMYFUNCTION("""COMPUTED_VALUE"""),100.0)</f>
        <v>100</v>
      </c>
      <c r="G298" s="1"/>
      <c r="H298" s="1"/>
      <c r="I298" s="1">
        <f>IFERROR(__xludf.DUMMYFUNCTION("""COMPUTED_VALUE"""),100.0)</f>
        <v>100</v>
      </c>
      <c r="J298" s="1"/>
      <c r="K298" s="1"/>
      <c r="L298" s="1"/>
      <c r="M298" s="1"/>
      <c r="N298" s="1"/>
      <c r="O298" s="1"/>
      <c r="P298" s="1"/>
      <c r="Q298" s="1"/>
      <c r="R298" s="1"/>
      <c r="S298" s="1"/>
      <c r="T298" s="1">
        <f>IFERROR(__xludf.DUMMYFUNCTION("""COMPUTED_VALUE"""),100.0)</f>
        <v>100</v>
      </c>
      <c r="U298" s="1"/>
      <c r="V298" s="1"/>
      <c r="W298" s="1"/>
      <c r="X298" s="1"/>
      <c r="Y298" s="1"/>
      <c r="Z298" s="1"/>
    </row>
    <row r="299">
      <c r="A299" s="1" t="str">
        <f>IFERROR(__xludf.DUMMYFUNCTION("""COMPUTED_VALUE"""),"Wandering Pumpkin")</f>
        <v>Wandering Pumpkin</v>
      </c>
      <c r="B299" s="1"/>
      <c r="C299" s="1"/>
      <c r="D299" s="1"/>
      <c r="E299" s="1"/>
      <c r="F299" s="1">
        <f>IFERROR(__xludf.DUMMYFUNCTION("""COMPUTED_VALUE"""),100.0)</f>
        <v>100</v>
      </c>
      <c r="G299" s="1"/>
      <c r="H299" s="1"/>
      <c r="I299" s="1"/>
      <c r="J299" s="1"/>
      <c r="K299" s="1"/>
      <c r="L299" s="1"/>
      <c r="M299" s="1"/>
      <c r="N299" s="1"/>
      <c r="O299" s="1"/>
      <c r="P299" s="1"/>
      <c r="Q299" s="1"/>
      <c r="R299" s="1"/>
      <c r="S299" s="1"/>
      <c r="T299" s="1"/>
      <c r="U299" s="1"/>
      <c r="V299" s="1"/>
      <c r="W299" s="1"/>
      <c r="X299" s="1"/>
      <c r="Y299" s="1"/>
      <c r="Z299" s="1"/>
    </row>
    <row r="300">
      <c r="A300" s="1" t="str">
        <f>IFERROR(__xludf.DUMMYFUNCTION("""COMPUTED_VALUE"""),"Werewolf")</f>
        <v>Werewolf</v>
      </c>
      <c r="B300" s="1">
        <f>IFERROR(__xludf.DUMMYFUNCTION("""COMPUTED_VALUE"""),100.0)</f>
        <v>100</v>
      </c>
      <c r="C300" s="1"/>
      <c r="D300" s="1"/>
      <c r="E300" s="1"/>
      <c r="F300" s="1">
        <f>IFERROR(__xludf.DUMMYFUNCTION("""COMPUTED_VALUE"""),100.0)</f>
        <v>100</v>
      </c>
      <c r="G300" s="1"/>
      <c r="H300" s="1"/>
      <c r="I300" s="1"/>
      <c r="J300" s="1"/>
      <c r="K300" s="1"/>
      <c r="L300" s="1"/>
      <c r="M300" s="1"/>
      <c r="N300" s="1"/>
      <c r="O300" s="1"/>
      <c r="P300" s="1"/>
      <c r="Q300" s="1"/>
      <c r="R300" s="1"/>
      <c r="S300" s="1"/>
      <c r="T300" s="1"/>
      <c r="U300" s="1"/>
      <c r="V300" s="1"/>
      <c r="W300" s="1"/>
      <c r="X300" s="1"/>
      <c r="Y300" s="1"/>
      <c r="Z300" s="1"/>
    </row>
    <row r="301">
      <c r="A301" s="1" t="str">
        <f>IFERROR(__xludf.DUMMYFUNCTION("""COMPUTED_VALUE"""),"White Soul")</f>
        <v>White Soul</v>
      </c>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t="str">
        <f>IFERROR(__xludf.DUMMYFUNCTION("""COMPUTED_VALUE"""),"Witch")</f>
        <v>Witch</v>
      </c>
      <c r="B302" s="1"/>
      <c r="C302" s="1"/>
      <c r="D302" s="1"/>
      <c r="E302" s="1"/>
      <c r="F302" s="1">
        <f>IFERROR(__xludf.DUMMYFUNCTION("""COMPUTED_VALUE"""),100.0)</f>
        <v>100</v>
      </c>
      <c r="G302" s="1"/>
      <c r="H302" s="1"/>
      <c r="I302" s="1">
        <f>IFERROR(__xludf.DUMMYFUNCTION("""COMPUTED_VALUE"""),100.0)</f>
        <v>100</v>
      </c>
      <c r="J302" s="1"/>
      <c r="K302" s="1"/>
      <c r="L302" s="1"/>
      <c r="M302" s="1"/>
      <c r="N302" s="1"/>
      <c r="O302" s="1"/>
      <c r="P302" s="1"/>
      <c r="Q302" s="1"/>
      <c r="R302" s="1"/>
      <c r="S302" s="1"/>
      <c r="T302" s="1"/>
      <c r="U302" s="1"/>
      <c r="V302" s="1"/>
      <c r="W302" s="1"/>
      <c r="X302" s="1"/>
      <c r="Y302" s="1"/>
      <c r="Z302" s="1"/>
    </row>
    <row r="303">
      <c r="A303" s="1" t="str">
        <f>IFERROR(__xludf.DUMMYFUNCTION("""COMPUTED_VALUE"""),"Yellow Soul")</f>
        <v>Yellow Soul</v>
      </c>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t="str">
        <f>IFERROR(__xludf.DUMMYFUNCTION("""COMPUTED_VALUE"""),"Zombie")</f>
        <v>Zombie</v>
      </c>
      <c r="B304" s="1"/>
      <c r="C304" s="1"/>
      <c r="D304" s="1"/>
      <c r="E304" s="1"/>
      <c r="F304" s="1">
        <f>IFERROR(__xludf.DUMMYFUNCTION("""COMPUTED_VALUE"""),100.0)</f>
        <v>100</v>
      </c>
      <c r="G304" s="1"/>
      <c r="H304" s="1"/>
      <c r="I304" s="1"/>
      <c r="J304" s="1"/>
      <c r="K304" s="1"/>
      <c r="L304" s="1"/>
      <c r="M304" s="1"/>
      <c r="N304" s="1"/>
      <c r="O304" s="1"/>
      <c r="P304" s="1"/>
      <c r="Q304" s="1"/>
      <c r="R304" s="1"/>
      <c r="S304" s="1"/>
      <c r="T304" s="1"/>
      <c r="U304" s="1"/>
      <c r="V304" s="1"/>
      <c r="W304" s="1"/>
      <c r="X304" s="1"/>
      <c r="Y304" s="1"/>
      <c r="Z304" s="1"/>
    </row>
    <row r="305">
      <c r="A305" s="1"/>
      <c r="B305" s="1">
        <f>IFERROR(__xludf.DUMMYFUNCTION("""COMPUTED_VALUE"""),100.0)</f>
        <v>100</v>
      </c>
      <c r="C305" s="1"/>
      <c r="D305" s="1"/>
      <c r="E305" s="1"/>
      <c r="F305" s="1">
        <f>IFERROR(__xludf.DUMMYFUNCTION("""COMPUTED_VALUE"""),100.0)</f>
        <v>100</v>
      </c>
      <c r="G305" s="1"/>
      <c r="H305" s="1"/>
      <c r="I305" s="1"/>
      <c r="J305" s="1"/>
      <c r="K305" s="1"/>
      <c r="L305" s="1"/>
      <c r="M305" s="1"/>
      <c r="N305" s="1"/>
      <c r="O305" s="1"/>
      <c r="P305" s="1"/>
      <c r="Q305" s="1"/>
      <c r="R305" s="1"/>
      <c r="S305" s="1"/>
      <c r="T305" s="1"/>
      <c r="U305" s="1"/>
      <c r="V305" s="1"/>
      <c r="W305" s="1"/>
      <c r="X305" s="1"/>
      <c r="Y305" s="1"/>
      <c r="Z305" s="1"/>
    </row>
    <row r="306">
      <c r="A306" s="1" t="str">
        <f>IFERROR(__xludf.DUMMYFUNCTION("""COMPUTED_VALUE"""),"Zombie Whale Shark")</f>
        <v>Zombie Whale Shark</v>
      </c>
      <c r="B306" s="1"/>
      <c r="C306" s="1"/>
      <c r="D306" s="1"/>
      <c r="E306" s="1"/>
      <c r="F306" s="1">
        <f>IFERROR(__xludf.DUMMYFUNCTION("""COMPUTED_VALUE"""),100.0)</f>
        <v>100</v>
      </c>
      <c r="G306" s="1"/>
      <c r="H306" s="1"/>
      <c r="I306" s="1"/>
      <c r="J306" s="1"/>
      <c r="K306" s="1"/>
      <c r="L306" s="1"/>
      <c r="M306" s="1"/>
      <c r="N306" s="1"/>
      <c r="O306" s="1"/>
      <c r="P306" s="1"/>
      <c r="Q306" s="1"/>
      <c r="R306" s="1"/>
      <c r="S306" s="1"/>
      <c r="T306" s="1"/>
      <c r="U306" s="1"/>
      <c r="V306" s="1"/>
      <c r="W306" s="1"/>
      <c r="X306" s="1"/>
      <c r="Y306" s="1"/>
      <c r="Z306" s="1"/>
    </row>
    <row r="307">
      <c r="A307" s="1" t="str">
        <f>IFERROR(__xludf.DUMMYFUNCTION("""COMPUTED_VALUE"""),"Pirate")</f>
        <v>Pirate</v>
      </c>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t="str">
        <f>IFERROR(__xludf.DUMMYFUNCTION("""COMPUTED_VALUE"""),"Pirate Captain")</f>
        <v>Pirate Captain</v>
      </c>
      <c r="B308" s="1"/>
      <c r="C308" s="1"/>
      <c r="D308" s="1"/>
      <c r="E308" s="1"/>
      <c r="F308" s="1"/>
      <c r="G308" s="1"/>
      <c r="H308" s="1"/>
      <c r="I308" s="1">
        <f>IFERROR(__xludf.DUMMYFUNCTION("""COMPUTED_VALUE"""),100.0)</f>
        <v>100</v>
      </c>
      <c r="J308" s="1"/>
      <c r="K308" s="1">
        <f>IFERROR(__xludf.DUMMYFUNCTION("""COMPUTED_VALUE"""),100.0)</f>
        <v>100</v>
      </c>
      <c r="L308" s="1"/>
      <c r="M308" s="1"/>
      <c r="N308" s="1"/>
      <c r="O308" s="1"/>
      <c r="P308" s="1"/>
      <c r="Q308" s="1"/>
      <c r="R308" s="1"/>
      <c r="S308" s="1"/>
      <c r="T308" s="1"/>
      <c r="U308" s="1"/>
      <c r="V308" s="1"/>
      <c r="W308" s="1"/>
      <c r="X308" s="1"/>
      <c r="Y308" s="1"/>
      <c r="Z308" s="1"/>
    </row>
    <row r="309">
      <c r="A309" s="1" t="str">
        <f>IFERROR(__xludf.DUMMYFUNCTION("""COMPUTED_VALUE"""),"The Crystal King")</f>
        <v>The Crystal King</v>
      </c>
      <c r="B309" s="1"/>
      <c r="C309" s="1"/>
      <c r="D309" s="1">
        <f>IFERROR(__xludf.DUMMYFUNCTION("""COMPUTED_VALUE"""),100.0)</f>
        <v>100</v>
      </c>
      <c r="E309" s="1"/>
      <c r="F309" s="1"/>
      <c r="G309" s="1"/>
      <c r="H309" s="1"/>
      <c r="I309" s="1"/>
      <c r="J309" s="1"/>
      <c r="K309" s="1"/>
      <c r="L309" s="1"/>
      <c r="M309" s="1"/>
      <c r="N309" s="1"/>
      <c r="O309" s="1"/>
      <c r="P309" s="1"/>
      <c r="Q309" s="1"/>
      <c r="R309" s="1"/>
      <c r="S309" s="1"/>
      <c r="T309" s="1"/>
      <c r="U309" s="1"/>
      <c r="V309" s="1"/>
      <c r="W309" s="1"/>
      <c r="X309" s="1"/>
      <c r="Y309" s="1"/>
      <c r="Z309" s="1"/>
    </row>
    <row r="310">
      <c r="A310" s="1" t="str">
        <f>IFERROR(__xludf.DUMMYFUNCTION("""COMPUTED_VALUE"""),"Sand Worm")</f>
        <v>Sand Worm</v>
      </c>
      <c r="B310" s="1"/>
      <c r="C310" s="1"/>
      <c r="D310" s="1">
        <f>IFERROR(__xludf.DUMMYFUNCTION("""COMPUTED_VALUE"""),100.0)</f>
        <v>100</v>
      </c>
      <c r="E310" s="1"/>
      <c r="F310" s="1"/>
      <c r="G310" s="1"/>
      <c r="H310" s="1"/>
      <c r="I310" s="1"/>
      <c r="J310" s="1"/>
      <c r="K310" s="1"/>
      <c r="L310" s="1"/>
      <c r="M310" s="1"/>
      <c r="N310" s="1"/>
      <c r="O310" s="1"/>
      <c r="P310" s="1"/>
      <c r="Q310" s="1"/>
      <c r="R310" s="1"/>
      <c r="S310" s="1"/>
      <c r="T310" s="1"/>
      <c r="U310" s="1"/>
      <c r="V310" s="1"/>
      <c r="W310" s="1"/>
      <c r="X310" s="1"/>
      <c r="Y310" s="1"/>
      <c r="Z310" s="1"/>
    </row>
    <row r="311">
      <c r="A311" s="1" t="str">
        <f>IFERROR(__xludf.DUMMYFUNCTION("""COMPUTED_VALUE"""),"Water Elemental")</f>
        <v>Water Elemental</v>
      </c>
      <c r="B311" s="1"/>
      <c r="C311" s="1"/>
      <c r="D311" s="1"/>
      <c r="E311" s="1"/>
      <c r="F311" s="1"/>
      <c r="G311" s="1"/>
      <c r="H311" s="1"/>
      <c r="I311" s="1"/>
      <c r="J311" s="1"/>
      <c r="K311" s="1">
        <f>IFERROR(__xludf.DUMMYFUNCTION("""COMPUTED_VALUE"""),100.0)</f>
        <v>100</v>
      </c>
      <c r="L311" s="1"/>
      <c r="M311" s="1"/>
      <c r="N311" s="1"/>
      <c r="O311" s="1"/>
      <c r="P311" s="1"/>
      <c r="Q311" s="1"/>
      <c r="R311" s="1"/>
      <c r="S311" s="1"/>
      <c r="T311" s="1"/>
      <c r="U311" s="1"/>
      <c r="V311" s="1"/>
      <c r="W311" s="1"/>
      <c r="X311" s="1"/>
      <c r="Y311" s="1"/>
      <c r="Z311" s="1"/>
    </row>
    <row r="312">
      <c r="A312" s="1" t="str">
        <f>IFERROR(__xludf.DUMMYFUNCTION("""COMPUTED_VALUE"""),"Mekanian Knight")</f>
        <v>Mekanian Knight</v>
      </c>
      <c r="B312" s="1">
        <f>IFERROR(__xludf.DUMMYFUNCTION("""COMPUTED_VALUE"""),100.0)</f>
        <v>100</v>
      </c>
      <c r="C312" s="1">
        <f>IFERROR(__xludf.DUMMYFUNCTION("""COMPUTED_VALUE"""),100.0)</f>
        <v>100</v>
      </c>
      <c r="D312" s="1"/>
      <c r="E312" s="1"/>
      <c r="F312" s="1"/>
      <c r="G312" s="1"/>
      <c r="H312" s="1"/>
      <c r="I312" s="1"/>
      <c r="J312" s="1"/>
      <c r="K312" s="1">
        <f>IFERROR(__xludf.DUMMYFUNCTION("""COMPUTED_VALUE"""),100.0)</f>
        <v>100</v>
      </c>
      <c r="L312" s="1"/>
      <c r="M312" s="1"/>
      <c r="N312" s="1"/>
      <c r="O312" s="1"/>
      <c r="P312" s="1"/>
      <c r="Q312" s="1"/>
      <c r="R312" s="1"/>
      <c r="S312" s="1"/>
      <c r="T312" s="1"/>
      <c r="U312" s="1"/>
      <c r="V312" s="1"/>
      <c r="W312" s="1"/>
      <c r="X312" s="1"/>
      <c r="Y312" s="1"/>
      <c r="Z312" s="1"/>
    </row>
    <row r="313">
      <c r="A313" s="1" t="str">
        <f>IFERROR(__xludf.DUMMYFUNCTION("""COMPUTED_VALUE"""),"Armored Car")</f>
        <v>Armored Car</v>
      </c>
      <c r="B313" s="1"/>
      <c r="C313" s="1"/>
      <c r="D313" s="1"/>
      <c r="E313" s="1"/>
      <c r="F313" s="1"/>
      <c r="G313" s="1"/>
      <c r="H313" s="1">
        <f>IFERROR(__xludf.DUMMYFUNCTION("""COMPUTED_VALUE"""),100.0)</f>
        <v>100</v>
      </c>
      <c r="I313" s="1"/>
      <c r="J313" s="1"/>
      <c r="K313" s="1"/>
      <c r="L313" s="1"/>
      <c r="M313" s="1"/>
      <c r="N313" s="1"/>
      <c r="O313" s="1"/>
      <c r="P313" s="1"/>
      <c r="Q313" s="1"/>
      <c r="R313" s="1"/>
      <c r="S313" s="1"/>
      <c r="T313" s="1"/>
      <c r="U313" s="1"/>
      <c r="V313" s="1"/>
      <c r="W313" s="1"/>
      <c r="X313" s="1"/>
      <c r="Y313" s="1"/>
      <c r="Z313" s="1"/>
    </row>
    <row r="314">
      <c r="A314" s="1" t="str">
        <f>IFERROR(__xludf.DUMMYFUNCTION("""COMPUTED_VALUE"""),"Tank")</f>
        <v>Tank</v>
      </c>
      <c r="B314" s="1"/>
      <c r="C314" s="1"/>
      <c r="D314" s="1"/>
      <c r="E314" s="1"/>
      <c r="F314" s="1"/>
      <c r="G314" s="1"/>
      <c r="H314" s="1">
        <f>IFERROR(__xludf.DUMMYFUNCTION("""COMPUTED_VALUE"""),100.0)</f>
        <v>100</v>
      </c>
      <c r="I314" s="1"/>
      <c r="J314" s="1"/>
      <c r="K314" s="1"/>
      <c r="L314" s="1"/>
      <c r="M314" s="1"/>
      <c r="N314" s="1"/>
      <c r="O314" s="1"/>
      <c r="P314" s="1"/>
      <c r="Q314" s="1"/>
      <c r="R314" s="1"/>
      <c r="S314" s="1"/>
      <c r="T314" s="1"/>
      <c r="U314" s="1"/>
      <c r="V314" s="1"/>
      <c r="W314" s="1"/>
      <c r="X314" s="1"/>
      <c r="Y314" s="1"/>
      <c r="Z314" s="1"/>
    </row>
    <row r="315">
      <c r="A315" s="1" t="str">
        <f>IFERROR(__xludf.DUMMYFUNCTION("""COMPUTED_VALUE"""),"ATV")</f>
        <v>ATV</v>
      </c>
      <c r="B315" s="1"/>
      <c r="C315" s="1"/>
      <c r="D315" s="1"/>
      <c r="E315" s="1"/>
      <c r="F315" s="1"/>
      <c r="G315" s="1"/>
      <c r="H315" s="1">
        <f>IFERROR(__xludf.DUMMYFUNCTION("""COMPUTED_VALUE"""),100.0)</f>
        <v>100</v>
      </c>
      <c r="I315" s="1"/>
      <c r="J315" s="1"/>
      <c r="K315" s="1"/>
      <c r="L315" s="1"/>
      <c r="M315" s="1"/>
      <c r="N315" s="1"/>
      <c r="O315" s="1"/>
      <c r="P315" s="1"/>
      <c r="Q315" s="1"/>
      <c r="R315" s="1"/>
      <c r="S315" s="1"/>
      <c r="T315" s="1"/>
      <c r="U315" s="1"/>
      <c r="V315" s="1"/>
      <c r="W315" s="1"/>
      <c r="X315" s="1"/>
      <c r="Y315" s="1"/>
      <c r="Z315" s="1"/>
    </row>
    <row r="316">
      <c r="A316" s="1" t="str">
        <f>IFERROR(__xludf.DUMMYFUNCTION("""COMPUTED_VALUE"""),"Battleship")</f>
        <v>Battleship</v>
      </c>
      <c r="B316" s="1"/>
      <c r="C316" s="1"/>
      <c r="D316" s="1"/>
      <c r="E316" s="1"/>
      <c r="F316" s="1"/>
      <c r="G316" s="1"/>
      <c r="H316" s="1">
        <f>IFERROR(__xludf.DUMMYFUNCTION("""COMPUTED_VALUE"""),100.0)</f>
        <v>100</v>
      </c>
      <c r="I316" s="1"/>
      <c r="J316" s="1"/>
      <c r="K316" s="1"/>
      <c r="L316" s="1"/>
      <c r="M316" s="1"/>
      <c r="N316" s="1"/>
      <c r="O316" s="1"/>
      <c r="P316" s="1"/>
      <c r="Q316" s="1"/>
      <c r="R316" s="1"/>
      <c r="S316" s="1"/>
      <c r="T316" s="1"/>
      <c r="U316" s="1"/>
      <c r="V316" s="1"/>
      <c r="W316" s="1"/>
      <c r="X316" s="1"/>
      <c r="Y316" s="1"/>
      <c r="Z316" s="1"/>
    </row>
    <row r="317">
      <c r="A317" s="1" t="str">
        <f>IFERROR(__xludf.DUMMYFUNCTION("""COMPUTED_VALUE"""),"Galleon")</f>
        <v>Galleon</v>
      </c>
      <c r="B317" s="1"/>
      <c r="C317" s="1"/>
      <c r="D317" s="1"/>
      <c r="E317" s="1"/>
      <c r="F317" s="1"/>
      <c r="G317" s="1"/>
      <c r="H317" s="1">
        <f>IFERROR(__xludf.DUMMYFUNCTION("""COMPUTED_VALUE"""),100.0)</f>
        <v>100</v>
      </c>
      <c r="I317" s="1"/>
      <c r="J317" s="1"/>
      <c r="K317" s="1"/>
      <c r="L317" s="1"/>
      <c r="M317" s="1"/>
      <c r="N317" s="1"/>
      <c r="O317" s="1"/>
      <c r="P317" s="1"/>
      <c r="Q317" s="1"/>
      <c r="R317" s="1"/>
      <c r="S317" s="1"/>
      <c r="T317" s="1"/>
      <c r="U317" s="1"/>
      <c r="V317" s="1"/>
      <c r="W317" s="1"/>
      <c r="X317" s="1"/>
      <c r="Y317" s="1"/>
      <c r="Z317" s="1"/>
    </row>
    <row r="318">
      <c r="A318" s="1" t="str">
        <f>IFERROR(__xludf.DUMMYFUNCTION("""COMPUTED_VALUE"""),"Submarine")</f>
        <v>Submarine</v>
      </c>
      <c r="B318" s="1"/>
      <c r="C318" s="1"/>
      <c r="D318" s="1"/>
      <c r="E318" s="1"/>
      <c r="F318" s="1"/>
      <c r="G318" s="1"/>
      <c r="H318" s="1">
        <f>IFERROR(__xludf.DUMMYFUNCTION("""COMPUTED_VALUE"""),100.0)</f>
        <v>100</v>
      </c>
      <c r="I318" s="1"/>
      <c r="J318" s="1"/>
      <c r="K318" s="1"/>
      <c r="L318" s="1"/>
      <c r="M318" s="1"/>
      <c r="N318" s="1"/>
      <c r="O318" s="1"/>
      <c r="P318" s="1"/>
      <c r="Q318" s="1"/>
      <c r="R318" s="1"/>
      <c r="S318" s="1"/>
      <c r="T318" s="1"/>
      <c r="U318" s="1"/>
      <c r="V318" s="1"/>
      <c r="W318" s="1"/>
      <c r="X318" s="1"/>
      <c r="Y318" s="1"/>
      <c r="Z318" s="1"/>
    </row>
    <row r="319">
      <c r="A319" s="1" t="str">
        <f>IFERROR(__xludf.DUMMYFUNCTION("""COMPUTED_VALUE"""),"Scarecrow Lord")</f>
        <v>Scarecrow Lord</v>
      </c>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t="str">
        <f>IFERROR(__xludf.DUMMYFUNCTION("""COMPUTED_VALUE"""),"Corrupted King Zorgod")</f>
        <v>Corrupted King Zorgod</v>
      </c>
      <c r="B320" s="1"/>
      <c r="C320" s="1"/>
      <c r="D320" s="1"/>
      <c r="E320" s="1"/>
      <c r="F320" s="1">
        <f>IFERROR(__xludf.DUMMYFUNCTION("""COMPUTED_VALUE"""),100.0)</f>
        <v>100</v>
      </c>
      <c r="G320" s="1"/>
      <c r="H320" s="1"/>
      <c r="I320" s="1"/>
      <c r="J320" s="1"/>
      <c r="K320" s="1"/>
      <c r="L320" s="1"/>
      <c r="M320" s="1"/>
      <c r="N320" s="1"/>
      <c r="O320" s="1"/>
      <c r="P320" s="1"/>
      <c r="Q320" s="1"/>
      <c r="R320" s="1"/>
      <c r="S320" s="1"/>
      <c r="T320" s="1"/>
      <c r="U320" s="1"/>
      <c r="V320" s="1"/>
      <c r="W320" s="1"/>
      <c r="X320" s="1"/>
      <c r="Y320" s="1"/>
      <c r="Z320" s="1"/>
    </row>
    <row r="321">
      <c r="A321" s="1" t="str">
        <f>IFERROR(__xludf.DUMMYFUNCTION("""COMPUTED_VALUE"""),"Vermouth The Sea Monkey King")</f>
        <v>Vermouth The Sea Monkey King</v>
      </c>
      <c r="B321" s="1"/>
      <c r="C321" s="1"/>
      <c r="D321" s="1"/>
      <c r="E321" s="1"/>
      <c r="F321" s="1"/>
      <c r="G321" s="1"/>
      <c r="H321" s="1"/>
      <c r="I321" s="1"/>
      <c r="J321" s="1"/>
      <c r="K321" s="1">
        <f>IFERROR(__xludf.DUMMYFUNCTION("""COMPUTED_VALUE"""),100.0)</f>
        <v>100</v>
      </c>
      <c r="L321" s="1"/>
      <c r="M321" s="1"/>
      <c r="N321" s="1"/>
      <c r="O321" s="1"/>
      <c r="P321" s="1"/>
      <c r="Q321" s="1"/>
      <c r="R321" s="1"/>
      <c r="S321" s="1"/>
      <c r="T321" s="1"/>
      <c r="U321" s="1"/>
      <c r="V321" s="1"/>
      <c r="W321" s="1"/>
      <c r="X321" s="1"/>
      <c r="Y321" s="1"/>
      <c r="Z321" s="1"/>
    </row>
    <row r="322">
      <c r="A322" s="1" t="str">
        <f>IFERROR(__xludf.DUMMYFUNCTION("""COMPUTED_VALUE"""),"Assassin Doll")</f>
        <v>Assassin Doll</v>
      </c>
      <c r="B322" s="1"/>
      <c r="C322" s="1"/>
      <c r="D322" s="1"/>
      <c r="E322" s="1"/>
      <c r="F322" s="1">
        <f>IFERROR(__xludf.DUMMYFUNCTION("""COMPUTED_VALUE"""),100.0)</f>
        <v>100</v>
      </c>
      <c r="G322" s="1"/>
      <c r="H322" s="1"/>
      <c r="I322" s="1"/>
      <c r="J322" s="1"/>
      <c r="K322" s="1"/>
      <c r="L322" s="1"/>
      <c r="M322" s="1"/>
      <c r="N322" s="1"/>
      <c r="O322" s="1"/>
      <c r="P322" s="1"/>
      <c r="Q322" s="1"/>
      <c r="R322" s="1"/>
      <c r="S322" s="1"/>
      <c r="T322" s="1"/>
      <c r="U322" s="1"/>
      <c r="V322" s="1"/>
      <c r="W322" s="1"/>
      <c r="X322" s="1"/>
      <c r="Y322" s="1"/>
      <c r="Z322" s="1"/>
    </row>
    <row r="323">
      <c r="A323" s="1" t="str">
        <f>IFERROR(__xludf.DUMMYFUNCTION("""COMPUTED_VALUE"""),"Black Serpent Dragon")</f>
        <v>Black Serpent Dragon</v>
      </c>
      <c r="B323" s="1"/>
      <c r="C323" s="1"/>
      <c r="D323" s="1"/>
      <c r="E323" s="1"/>
      <c r="F323" s="1">
        <f>IFERROR(__xludf.DUMMYFUNCTION("""COMPUTED_VALUE"""),100.0)</f>
        <v>100</v>
      </c>
      <c r="G323" s="1"/>
      <c r="H323" s="1"/>
      <c r="I323" s="1"/>
      <c r="J323" s="1"/>
      <c r="K323" s="1"/>
      <c r="L323" s="1"/>
      <c r="M323" s="1"/>
      <c r="N323" s="1"/>
      <c r="O323" s="1"/>
      <c r="P323" s="1"/>
      <c r="Q323" s="1"/>
      <c r="R323" s="1"/>
      <c r="S323" s="1"/>
      <c r="T323" s="1"/>
      <c r="U323" s="1"/>
      <c r="V323" s="1"/>
      <c r="W323" s="1"/>
      <c r="X323" s="1"/>
      <c r="Y323" s="1"/>
      <c r="Z323" s="1"/>
    </row>
    <row r="324">
      <c r="A324" s="1" t="str">
        <f>IFERROR(__xludf.DUMMYFUNCTION("""COMPUTED_VALUE"""),"Vermouth's Guard")</f>
        <v>Vermouth's Guard</v>
      </c>
      <c r="B324" s="1"/>
      <c r="C324" s="1"/>
      <c r="D324" s="1"/>
      <c r="E324" s="1"/>
      <c r="F324" s="1"/>
      <c r="G324" s="1"/>
      <c r="H324" s="1"/>
      <c r="I324" s="1"/>
      <c r="J324" s="1"/>
      <c r="K324" s="1">
        <f>IFERROR(__xludf.DUMMYFUNCTION("""COMPUTED_VALUE"""),100.0)</f>
        <v>100</v>
      </c>
      <c r="L324" s="1"/>
      <c r="M324" s="1"/>
      <c r="N324" s="1"/>
      <c r="O324" s="1"/>
      <c r="P324" s="1"/>
      <c r="Q324" s="1"/>
      <c r="R324" s="1"/>
      <c r="S324" s="1"/>
      <c r="T324" s="1"/>
      <c r="U324" s="1"/>
      <c r="V324" s="1"/>
      <c r="W324" s="1"/>
      <c r="X324" s="1"/>
      <c r="Y324" s="1"/>
      <c r="Z324" s="1"/>
    </row>
    <row r="325">
      <c r="A325" s="1" t="str">
        <f>IFERROR(__xludf.DUMMYFUNCTION("""COMPUTED_VALUE"""),"Crystal Guardian")</f>
        <v>Crystal Guardian</v>
      </c>
      <c r="B325" s="1"/>
      <c r="C325" s="1">
        <f>IFERROR(__xludf.DUMMYFUNCTION("""COMPUTED_VALUE"""),100.0)</f>
        <v>100</v>
      </c>
      <c r="D325" s="1">
        <f>IFERROR(__xludf.DUMMYFUNCTION("""COMPUTED_VALUE"""),100.0)</f>
        <v>100</v>
      </c>
      <c r="E325" s="1"/>
      <c r="F325" s="1"/>
      <c r="G325" s="1"/>
      <c r="H325" s="1"/>
      <c r="I325" s="1"/>
      <c r="J325" s="1"/>
      <c r="K325" s="1"/>
      <c r="L325" s="1"/>
      <c r="M325" s="1"/>
      <c r="N325" s="1"/>
      <c r="O325" s="1"/>
      <c r="P325" s="1"/>
      <c r="Q325" s="1"/>
      <c r="R325" s="1"/>
      <c r="S325" s="1"/>
      <c r="T325" s="1"/>
      <c r="U325" s="1"/>
      <c r="V325" s="1"/>
      <c r="W325" s="1"/>
      <c r="X325" s="1"/>
      <c r="Y325" s="1"/>
      <c r="Z325" s="1"/>
    </row>
    <row r="326">
      <c r="A326" s="1" t="str">
        <f>IFERROR(__xludf.DUMMYFUNCTION("""COMPUTED_VALUE"""),"Evil Moth")</f>
        <v>Evil Moth</v>
      </c>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t="str">
        <f>IFERROR(__xludf.DUMMYFUNCTION("""COMPUTED_VALUE"""),"Flamethrower Corpse")</f>
        <v>Flamethrower Corpse</v>
      </c>
      <c r="B327" s="1"/>
      <c r="C327" s="1">
        <f>IFERROR(__xludf.DUMMYFUNCTION("""COMPUTED_VALUE"""),100.0)</f>
        <v>100</v>
      </c>
      <c r="D327" s="1"/>
      <c r="E327" s="1"/>
      <c r="F327" s="1"/>
      <c r="G327" s="1"/>
      <c r="H327" s="1"/>
      <c r="I327" s="1"/>
      <c r="J327" s="1"/>
      <c r="K327" s="1"/>
      <c r="L327" s="1"/>
      <c r="M327" s="1"/>
      <c r="N327" s="1"/>
      <c r="O327" s="1"/>
      <c r="P327" s="1"/>
      <c r="Q327" s="1"/>
      <c r="R327" s="1"/>
      <c r="S327" s="1"/>
      <c r="T327" s="1"/>
      <c r="U327" s="1"/>
      <c r="V327" s="1"/>
      <c r="W327" s="1"/>
      <c r="X327" s="1"/>
      <c r="Y327" s="1"/>
      <c r="Z327" s="1"/>
    </row>
    <row r="328">
      <c r="A328" s="1" t="str">
        <f>IFERROR(__xludf.DUMMYFUNCTION("""COMPUTED_VALUE"""),"Headless Horseman ")</f>
        <v>Headless Horseman </v>
      </c>
      <c r="B328" s="1">
        <f>IFERROR(__xludf.DUMMYFUNCTION("""COMPUTED_VALUE"""),100.0)</f>
        <v>100</v>
      </c>
      <c r="C328" s="1"/>
      <c r="D328" s="1"/>
      <c r="E328" s="1"/>
      <c r="F328" s="1">
        <f>IFERROR(__xludf.DUMMYFUNCTION("""COMPUTED_VALUE"""),100.0)</f>
        <v>100</v>
      </c>
      <c r="G328" s="1"/>
      <c r="H328" s="1"/>
      <c r="I328" s="1">
        <f>IFERROR(__xludf.DUMMYFUNCTION("""COMPUTED_VALUE"""),100.0)</f>
        <v>100</v>
      </c>
      <c r="J328" s="1"/>
      <c r="K328" s="1"/>
      <c r="L328" s="1"/>
      <c r="M328" s="1"/>
      <c r="N328" s="1"/>
      <c r="O328" s="1"/>
      <c r="P328" s="1"/>
      <c r="Q328" s="1"/>
      <c r="R328" s="1"/>
      <c r="S328" s="1"/>
      <c r="T328" s="1"/>
      <c r="U328" s="1"/>
      <c r="V328" s="1"/>
      <c r="W328" s="1"/>
      <c r="X328" s="1"/>
      <c r="Y328" s="1"/>
      <c r="Z328" s="1"/>
    </row>
    <row r="329">
      <c r="A329" s="1" t="str">
        <f>IFERROR(__xludf.DUMMYFUNCTION("""COMPUTED_VALUE"""),"Mournful Mother")</f>
        <v>Mournful Mother</v>
      </c>
      <c r="B329" s="1"/>
      <c r="C329" s="1"/>
      <c r="D329" s="1"/>
      <c r="E329" s="1"/>
      <c r="F329" s="1">
        <f>IFERROR(__xludf.DUMMYFUNCTION("""COMPUTED_VALUE"""),100.0)</f>
        <v>100</v>
      </c>
      <c r="G329" s="1"/>
      <c r="H329" s="1"/>
      <c r="I329" s="1"/>
      <c r="J329" s="1"/>
      <c r="K329" s="1"/>
      <c r="L329" s="1"/>
      <c r="M329" s="1"/>
      <c r="N329" s="1"/>
      <c r="O329" s="1"/>
      <c r="P329" s="1"/>
      <c r="Q329" s="1"/>
      <c r="R329" s="1"/>
      <c r="S329" s="1"/>
      <c r="T329" s="1"/>
      <c r="U329" s="1"/>
      <c r="V329" s="1"/>
      <c r="W329" s="1"/>
      <c r="X329" s="1"/>
      <c r="Y329" s="1"/>
      <c r="Z329" s="1"/>
    </row>
    <row r="330">
      <c r="A330" s="1" t="str">
        <f>IFERROR(__xludf.DUMMYFUNCTION("""COMPUTED_VALUE"""),"Reaper Of Spira (25% chance of this enemy appearing when you complain about being targeted)")</f>
        <v>Reaper Of Spira (25% chance of this enemy appearing when you complain about being targeted)</v>
      </c>
      <c r="B330" s="1">
        <f>IFERROR(__xludf.DUMMYFUNCTION("""COMPUTED_VALUE"""),100.0)</f>
        <v>100</v>
      </c>
      <c r="C330" s="1"/>
      <c r="D330" s="1"/>
      <c r="E330" s="1"/>
      <c r="F330" s="1">
        <f>IFERROR(__xludf.DUMMYFUNCTION("""COMPUTED_VALUE"""),100.0)</f>
        <v>100</v>
      </c>
      <c r="G330" s="1"/>
      <c r="H330" s="1"/>
      <c r="I330" s="1">
        <f>IFERROR(__xludf.DUMMYFUNCTION("""COMPUTED_VALUE"""),100.0)</f>
        <v>100</v>
      </c>
      <c r="J330" s="1"/>
      <c r="K330" s="1"/>
      <c r="L330" s="1"/>
      <c r="M330" s="1"/>
      <c r="N330" s="1"/>
      <c r="O330" s="1"/>
      <c r="P330" s="1"/>
      <c r="Q330" s="1"/>
      <c r="R330" s="1"/>
      <c r="S330" s="1"/>
      <c r="T330" s="1"/>
      <c r="U330" s="1"/>
      <c r="V330" s="1"/>
      <c r="W330" s="1"/>
      <c r="X330" s="1"/>
      <c r="Y330" s="1"/>
      <c r="Z330" s="1"/>
    </row>
    <row r="331">
      <c r="A331" s="1" t="str">
        <f>IFERROR(__xludf.DUMMYFUNCTION("""COMPUTED_VALUE"""),"Giant Magma Snail")</f>
        <v>Giant Magma Snail</v>
      </c>
      <c r="B331" s="1"/>
      <c r="C331" s="1">
        <f>IFERROR(__xludf.DUMMYFUNCTION("""COMPUTED_VALUE"""),100.0)</f>
        <v>100</v>
      </c>
      <c r="D331" s="1"/>
      <c r="E331" s="1"/>
      <c r="F331" s="1"/>
      <c r="G331" s="1"/>
      <c r="H331" s="1"/>
      <c r="I331" s="1"/>
      <c r="J331" s="1"/>
      <c r="K331" s="1"/>
      <c r="L331" s="1"/>
      <c r="M331" s="1"/>
      <c r="N331" s="1"/>
      <c r="O331" s="1"/>
      <c r="P331" s="1"/>
      <c r="Q331" s="1"/>
      <c r="R331" s="1"/>
      <c r="S331" s="1"/>
      <c r="T331" s="1"/>
      <c r="U331" s="1"/>
      <c r="V331" s="1"/>
      <c r="W331" s="1"/>
      <c r="X331" s="1"/>
      <c r="Y331" s="1"/>
      <c r="Z331" s="1"/>
    </row>
    <row r="332">
      <c r="A332" s="1" t="str">
        <f>IFERROR(__xludf.DUMMYFUNCTION("""COMPUTED_VALUE"""),"Twilight Lord")</f>
        <v>Twilight Lord</v>
      </c>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t="str">
        <f>IFERROR(__xludf.DUMMYFUNCTION("""COMPUTED_VALUE"""),"Twilight Priest")</f>
        <v>Twilight Priest</v>
      </c>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t="str">
        <f>IFERROR(__xludf.DUMMYFUNCTION("""COMPUTED_VALUE"""),"Werewolf King")</f>
        <v>Werewolf King</v>
      </c>
      <c r="B334" s="1"/>
      <c r="C334" s="1"/>
      <c r="D334" s="1"/>
      <c r="E334" s="1"/>
      <c r="F334" s="1">
        <f>IFERROR(__xludf.DUMMYFUNCTION("""COMPUTED_VALUE"""),100.0)</f>
        <v>100</v>
      </c>
      <c r="G334" s="1"/>
      <c r="H334" s="1"/>
      <c r="I334" s="1"/>
      <c r="J334" s="1"/>
      <c r="K334" s="1"/>
      <c r="L334" s="1"/>
      <c r="M334" s="1"/>
      <c r="N334" s="1"/>
      <c r="O334" s="1"/>
      <c r="P334" s="1"/>
      <c r="Q334" s="1"/>
      <c r="R334" s="1"/>
      <c r="S334" s="1"/>
      <c r="T334" s="1"/>
      <c r="U334" s="1"/>
      <c r="V334" s="1"/>
      <c r="W334" s="1"/>
      <c r="X334" s="1"/>
      <c r="Y334" s="1"/>
      <c r="Z334" s="1"/>
    </row>
    <row r="335">
      <c r="A335" s="1" t="str">
        <f>IFERROR(__xludf.DUMMYFUNCTION("""COMPUTED_VALUE"""),"Mekanian Soldier")</f>
        <v>Mekanian Soldier</v>
      </c>
      <c r="B335" s="1"/>
      <c r="C335" s="1">
        <f>IFERROR(__xludf.DUMMYFUNCTION("""COMPUTED_VALUE"""),100.0)</f>
        <v>100</v>
      </c>
      <c r="D335" s="1">
        <f>IFERROR(__xludf.DUMMYFUNCTION("""COMPUTED_VALUE"""),100.0)</f>
        <v>100</v>
      </c>
      <c r="E335" s="1"/>
      <c r="F335" s="1"/>
      <c r="G335" s="1"/>
      <c r="H335" s="1"/>
      <c r="I335" s="1"/>
      <c r="J335" s="1"/>
      <c r="K335" s="1"/>
      <c r="L335" s="1"/>
      <c r="M335" s="1"/>
      <c r="N335" s="1"/>
      <c r="O335" s="1"/>
      <c r="P335" s="1"/>
      <c r="Q335" s="1"/>
      <c r="R335" s="1"/>
      <c r="S335" s="1"/>
      <c r="T335" s="1"/>
      <c r="U335" s="1"/>
      <c r="V335" s="1"/>
      <c r="W335" s="1"/>
      <c r="X335" s="1"/>
      <c r="Y335" s="1"/>
      <c r="Z335" s="1"/>
    </row>
    <row r="336">
      <c r="A336" s="1" t="str">
        <f>IFERROR(__xludf.DUMMYFUNCTION("""COMPUTED_VALUE"""),"Mekanian ")</f>
        <v>Mekanian </v>
      </c>
      <c r="B336" s="1"/>
      <c r="C336" s="1">
        <f>IFERROR(__xludf.DUMMYFUNCTION("""COMPUTED_VALUE"""),100.0)</f>
        <v>100</v>
      </c>
      <c r="D336" s="1">
        <f>IFERROR(__xludf.DUMMYFUNCTION("""COMPUTED_VALUE"""),100.0)</f>
        <v>100</v>
      </c>
      <c r="E336" s="1"/>
      <c r="F336" s="1"/>
      <c r="G336" s="1"/>
      <c r="H336" s="1"/>
      <c r="I336" s="1"/>
      <c r="J336" s="1"/>
      <c r="K336" s="1"/>
      <c r="L336" s="1"/>
      <c r="M336" s="1"/>
      <c r="N336" s="1"/>
      <c r="O336" s="1"/>
      <c r="P336" s="1"/>
      <c r="Q336" s="1"/>
      <c r="R336" s="1"/>
      <c r="S336" s="1"/>
      <c r="T336" s="1"/>
      <c r="U336" s="1"/>
      <c r="V336" s="1"/>
      <c r="W336" s="1"/>
      <c r="X336" s="1"/>
      <c r="Y336" s="1"/>
      <c r="Z336" s="1"/>
    </row>
    <row r="337">
      <c r="A337" s="1" t="str">
        <f>IFERROR(__xludf.DUMMYFUNCTION("""COMPUTED_VALUE"""),"Bashe The Cursed Sepent")</f>
        <v>Bashe The Cursed Sepent</v>
      </c>
      <c r="B337" s="1">
        <f>IFERROR(__xludf.DUMMYFUNCTION("""COMPUTED_VALUE"""),100.0)</f>
        <v>100</v>
      </c>
      <c r="C337" s="1"/>
      <c r="D337" s="1"/>
      <c r="E337" s="1"/>
      <c r="F337" s="1"/>
      <c r="G337" s="1"/>
      <c r="H337" s="1"/>
      <c r="I337" s="1"/>
      <c r="J337" s="1"/>
      <c r="K337" s="1">
        <f>IFERROR(__xludf.DUMMYFUNCTION("""COMPUTED_VALUE"""),100.0)</f>
        <v>100</v>
      </c>
      <c r="L337" s="1"/>
      <c r="M337" s="1"/>
      <c r="N337" s="1"/>
      <c r="O337" s="1"/>
      <c r="P337" s="1"/>
      <c r="Q337" s="1"/>
      <c r="R337" s="1"/>
      <c r="S337" s="1"/>
      <c r="T337" s="1"/>
      <c r="U337" s="1"/>
      <c r="V337" s="1"/>
      <c r="W337" s="1"/>
      <c r="X337" s="1"/>
      <c r="Y337" s="1"/>
      <c r="Z337" s="1"/>
    </row>
    <row r="338">
      <c r="A338" s="1" t="str">
        <f>IFERROR(__xludf.DUMMYFUNCTION("""COMPUTED_VALUE"""),"Grash, The Oni of Fiji")</f>
        <v>Grash, The Oni of Fiji</v>
      </c>
      <c r="B338" s="1"/>
      <c r="C338" s="1"/>
      <c r="D338" s="1"/>
      <c r="E338" s="1"/>
      <c r="F338" s="1">
        <f>IFERROR(__xludf.DUMMYFUNCTION("""COMPUTED_VALUE"""),100.0)</f>
        <v>100</v>
      </c>
      <c r="G338" s="1"/>
      <c r="H338" s="1"/>
      <c r="I338" s="1">
        <f>IFERROR(__xludf.DUMMYFUNCTION("""COMPUTED_VALUE"""),100.0)</f>
        <v>100</v>
      </c>
      <c r="J338" s="1"/>
      <c r="K338" s="1"/>
      <c r="L338" s="1">
        <f>IFERROR(__xludf.DUMMYFUNCTION("""COMPUTED_VALUE"""),100.0)</f>
        <v>100</v>
      </c>
      <c r="M338" s="1"/>
      <c r="N338" s="1"/>
      <c r="O338" s="1"/>
      <c r="P338" s="1"/>
      <c r="Q338" s="1"/>
      <c r="R338" s="1"/>
      <c r="S338" s="1"/>
      <c r="T338" s="1"/>
      <c r="U338" s="1"/>
      <c r="V338" s="1"/>
      <c r="W338" s="1"/>
      <c r="X338" s="1"/>
      <c r="Y338" s="1"/>
      <c r="Z338" s="1"/>
    </row>
    <row r="339">
      <c r="A339" s="1" t="str">
        <f>IFERROR(__xludf.DUMMYFUNCTION("""COMPUTED_VALUE"""),"The Black Tortoise ")</f>
        <v>The Black Tortoise </v>
      </c>
      <c r="B339" s="1"/>
      <c r="C339" s="1"/>
      <c r="D339" s="1"/>
      <c r="E339" s="1"/>
      <c r="F339" s="1">
        <f>IFERROR(__xludf.DUMMYFUNCTION("""COMPUTED_VALUE"""),100.0)</f>
        <v>100</v>
      </c>
      <c r="G339" s="1"/>
      <c r="H339" s="1"/>
      <c r="I339" s="1">
        <f>IFERROR(__xludf.DUMMYFUNCTION("""COMPUTED_VALUE"""),100.0)</f>
        <v>100</v>
      </c>
      <c r="J339" s="1"/>
      <c r="K339" s="1"/>
      <c r="L339" s="1"/>
      <c r="M339" s="1"/>
      <c r="N339" s="1"/>
      <c r="O339" s="1"/>
      <c r="P339" s="1"/>
      <c r="Q339" s="1"/>
      <c r="R339" s="1"/>
      <c r="S339" s="1"/>
      <c r="T339" s="1"/>
      <c r="U339" s="1"/>
      <c r="V339" s="1"/>
      <c r="W339" s="1"/>
      <c r="X339" s="1"/>
      <c r="Y339" s="1"/>
      <c r="Z339" s="1"/>
    </row>
    <row r="340">
      <c r="A340" s="1" t="str">
        <f>IFERROR(__xludf.DUMMYFUNCTION("""COMPUTED_VALUE"""),"PyroShell")</f>
        <v>PyroShell</v>
      </c>
      <c r="B340" s="1"/>
      <c r="C340" s="1">
        <f>IFERROR(__xludf.DUMMYFUNCTION("""COMPUTED_VALUE"""),100.0)</f>
        <v>100</v>
      </c>
      <c r="D340" s="1"/>
      <c r="E340" s="1">
        <f>IFERROR(__xludf.DUMMYFUNCTION("""COMPUTED_VALUE"""),100.0)</f>
        <v>100</v>
      </c>
      <c r="F340" s="1"/>
      <c r="G340" s="1"/>
      <c r="H340" s="1"/>
      <c r="I340" s="1"/>
      <c r="J340" s="1"/>
      <c r="K340" s="1"/>
      <c r="L340" s="1"/>
      <c r="M340" s="1"/>
      <c r="N340" s="1"/>
      <c r="O340" s="1"/>
      <c r="P340" s="1"/>
      <c r="Q340" s="1"/>
      <c r="R340" s="1"/>
      <c r="S340" s="1"/>
      <c r="T340" s="1"/>
      <c r="U340" s="1"/>
      <c r="V340" s="1"/>
      <c r="W340" s="1"/>
      <c r="X340" s="1"/>
      <c r="Y340" s="1"/>
      <c r="Z340" s="1"/>
    </row>
    <row r="341">
      <c r="A341" s="1" t="str">
        <f>IFERROR(__xludf.DUMMYFUNCTION("""COMPUTED_VALUE"""),"Dragonscale Guard (Tier III)")</f>
        <v>Dragonscale Guard (Tier III)</v>
      </c>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t="str">
        <f>IFERROR(__xludf.DUMMYFUNCTION("""COMPUTED_VALUE"""),"Dragonscale Guard (Tier II)")</f>
        <v>Dragonscale Guard (Tier II)</v>
      </c>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t="str">
        <f>IFERROR(__xludf.DUMMYFUNCTION("""COMPUTED_VALUE"""),"Dragonscale Guard (Tier I)")</f>
        <v>Dragonscale Guard (Tier I)</v>
      </c>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t="str">
        <f>IFERROR(__xludf.DUMMYFUNCTION("""COMPUTED_VALUE"""),"Abstara Guard (Tier IIl)")</f>
        <v>Abstara Guard (Tier IIl)</v>
      </c>
      <c r="B344" s="1"/>
      <c r="C344" s="1"/>
      <c r="D344" s="1"/>
      <c r="E344" s="1"/>
      <c r="F344" s="1">
        <f>IFERROR(__xludf.DUMMYFUNCTION("""COMPUTED_VALUE"""),100.0)</f>
        <v>100</v>
      </c>
      <c r="G344" s="1"/>
      <c r="H344" s="1"/>
      <c r="I344" s="1">
        <f>IFERROR(__xludf.DUMMYFUNCTION("""COMPUTED_VALUE"""),100.0)</f>
        <v>100</v>
      </c>
      <c r="J344" s="1"/>
      <c r="K344" s="1"/>
      <c r="L344" s="1"/>
      <c r="M344" s="1"/>
      <c r="N344" s="1"/>
      <c r="O344" s="1"/>
      <c r="P344" s="1"/>
      <c r="Q344" s="1"/>
      <c r="R344" s="1"/>
      <c r="S344" s="1"/>
      <c r="T344" s="1"/>
      <c r="U344" s="1"/>
      <c r="V344" s="1"/>
      <c r="W344" s="1"/>
      <c r="X344" s="1"/>
      <c r="Y344" s="1"/>
      <c r="Z344" s="1"/>
    </row>
    <row r="345">
      <c r="A345" s="1" t="str">
        <f>IFERROR(__xludf.DUMMYFUNCTION("""COMPUTED_VALUE"""),"Abstara Guard (Tier II)")</f>
        <v>Abstara Guard (Tier II)</v>
      </c>
      <c r="B345" s="1"/>
      <c r="C345" s="1"/>
      <c r="D345" s="1"/>
      <c r="E345" s="1"/>
      <c r="F345" s="1">
        <f>IFERROR(__xludf.DUMMYFUNCTION("""COMPUTED_VALUE"""),100.0)</f>
        <v>100</v>
      </c>
      <c r="G345" s="1"/>
      <c r="H345" s="1"/>
      <c r="I345" s="1">
        <f>IFERROR(__xludf.DUMMYFUNCTION("""COMPUTED_VALUE"""),100.0)</f>
        <v>100</v>
      </c>
      <c r="J345" s="1"/>
      <c r="K345" s="1"/>
      <c r="L345" s="1"/>
      <c r="M345" s="1"/>
      <c r="N345" s="1"/>
      <c r="O345" s="1"/>
      <c r="P345" s="1"/>
      <c r="Q345" s="1"/>
      <c r="R345" s="1"/>
      <c r="S345" s="1"/>
      <c r="T345" s="1"/>
      <c r="U345" s="1"/>
      <c r="V345" s="1"/>
      <c r="W345" s="1"/>
      <c r="X345" s="1"/>
      <c r="Y345" s="1"/>
      <c r="Z345" s="1"/>
    </row>
    <row r="346">
      <c r="A346" s="1" t="str">
        <f>IFERROR(__xludf.DUMMYFUNCTION("""COMPUTED_VALUE"""),"Abstara  Guard (Tier l)")</f>
        <v>Abstara  Guard (Tier l)</v>
      </c>
      <c r="B346" s="1"/>
      <c r="C346" s="1"/>
      <c r="D346" s="1"/>
      <c r="E346" s="1"/>
      <c r="F346" s="1">
        <f>IFERROR(__xludf.DUMMYFUNCTION("""COMPUTED_VALUE"""),100.0)</f>
        <v>100</v>
      </c>
      <c r="G346" s="1"/>
      <c r="H346" s="1"/>
      <c r="I346" s="1">
        <f>IFERROR(__xludf.DUMMYFUNCTION("""COMPUTED_VALUE"""),100.0)</f>
        <v>100</v>
      </c>
      <c r="J346" s="1"/>
      <c r="K346" s="1"/>
      <c r="L346" s="1"/>
      <c r="M346" s="1"/>
      <c r="N346" s="1"/>
      <c r="O346" s="1"/>
      <c r="P346" s="1"/>
      <c r="Q346" s="1"/>
      <c r="R346" s="1"/>
      <c r="S346" s="1"/>
      <c r="T346" s="1"/>
      <c r="U346" s="1"/>
      <c r="V346" s="1"/>
      <c r="W346" s="1"/>
      <c r="X346" s="1"/>
      <c r="Y346" s="1"/>
      <c r="Z346" s="1"/>
    </row>
    <row r="347">
      <c r="A347" s="1" t="str">
        <f>IFERROR(__xludf.DUMMYFUNCTION("""COMPUTED_VALUE"""),"Wave Rider Paladins")</f>
        <v>Wave Rider Paladins</v>
      </c>
      <c r="B347" s="1"/>
      <c r="C347" s="1"/>
      <c r="D347" s="1"/>
      <c r="E347" s="1"/>
      <c r="F347" s="1"/>
      <c r="G347" s="1"/>
      <c r="H347" s="1"/>
      <c r="I347" s="1"/>
      <c r="J347" s="1"/>
      <c r="K347" s="1">
        <f>IFERROR(__xludf.DUMMYFUNCTION("""COMPUTED_VALUE"""),100.0)</f>
        <v>100</v>
      </c>
      <c r="L347" s="1"/>
      <c r="M347" s="1"/>
      <c r="N347" s="1"/>
      <c r="O347" s="1"/>
      <c r="P347" s="1"/>
      <c r="Q347" s="1"/>
      <c r="R347" s="1"/>
      <c r="S347" s="1"/>
      <c r="T347" s="1"/>
      <c r="U347" s="1"/>
      <c r="V347" s="1"/>
      <c r="W347" s="1"/>
      <c r="X347" s="1"/>
      <c r="Y347" s="1"/>
      <c r="Z347" s="1"/>
    </row>
    <row r="348">
      <c r="A348" s="1" t="str">
        <f>IFERROR(__xludf.DUMMYFUNCTION("""COMPUTED_VALUE"""),"Urchin Swiffer Paladins")</f>
        <v>Urchin Swiffer Paladins</v>
      </c>
      <c r="B348" s="1"/>
      <c r="C348" s="1"/>
      <c r="D348" s="1"/>
      <c r="E348" s="1"/>
      <c r="F348" s="1"/>
      <c r="G348" s="1"/>
      <c r="H348" s="1"/>
      <c r="I348" s="1"/>
      <c r="J348" s="1"/>
      <c r="K348" s="1">
        <f>IFERROR(__xludf.DUMMYFUNCTION("""COMPUTED_VALUE"""),100.0)</f>
        <v>100</v>
      </c>
      <c r="L348" s="1"/>
      <c r="M348" s="1"/>
      <c r="N348" s="1"/>
      <c r="O348" s="1"/>
      <c r="P348" s="1"/>
      <c r="Q348" s="1"/>
      <c r="R348" s="1"/>
      <c r="S348" s="1"/>
      <c r="T348" s="1"/>
      <c r="U348" s="1"/>
      <c r="V348" s="1"/>
      <c r="W348" s="1"/>
      <c r="X348" s="1"/>
      <c r="Y348" s="1"/>
      <c r="Z348" s="1"/>
    </row>
    <row r="349">
      <c r="A349" s="1" t="str">
        <f>IFERROR(__xludf.DUMMYFUNCTION("""COMPUTED_VALUE"""),"The Bloodletters")</f>
        <v>The Bloodletters</v>
      </c>
      <c r="B349" s="1"/>
      <c r="C349" s="1"/>
      <c r="D349" s="1"/>
      <c r="E349" s="1"/>
      <c r="F349" s="1">
        <f>IFERROR(__xludf.DUMMYFUNCTION("""COMPUTED_VALUE"""),100.0)</f>
        <v>100</v>
      </c>
      <c r="G349" s="1"/>
      <c r="H349" s="1"/>
      <c r="I349" s="1">
        <f>IFERROR(__xludf.DUMMYFUNCTION("""COMPUTED_VALUE"""),100.0)</f>
        <v>100</v>
      </c>
      <c r="J349" s="1"/>
      <c r="K349" s="1"/>
      <c r="L349" s="1"/>
      <c r="M349" s="1"/>
      <c r="N349" s="1"/>
      <c r="O349" s="1"/>
      <c r="P349" s="1"/>
      <c r="Q349" s="1"/>
      <c r="R349" s="1"/>
      <c r="S349" s="1"/>
      <c r="T349" s="1"/>
      <c r="U349" s="1"/>
      <c r="V349" s="1"/>
      <c r="W349" s="1">
        <f>IFERROR(__xludf.DUMMYFUNCTION("""COMPUTED_VALUE"""),100.0)</f>
        <v>100</v>
      </c>
      <c r="X349" s="1"/>
      <c r="Y349" s="1"/>
      <c r="Z349" s="1"/>
    </row>
    <row r="350">
      <c r="A350" s="1" t="str">
        <f>IFERROR(__xludf.DUMMYFUNCTION("""COMPUTED_VALUE"""),"The Soulbound Royals")</f>
        <v>The Soulbound Royals</v>
      </c>
      <c r="B350" s="1"/>
      <c r="C350" s="1"/>
      <c r="D350" s="1"/>
      <c r="E350" s="1"/>
      <c r="F350" s="1">
        <f>IFERROR(__xludf.DUMMYFUNCTION("""COMPUTED_VALUE"""),100.0)</f>
        <v>100</v>
      </c>
      <c r="G350" s="1"/>
      <c r="H350" s="1"/>
      <c r="I350" s="1">
        <f>IFERROR(__xludf.DUMMYFUNCTION("""COMPUTED_VALUE"""),100.0)</f>
        <v>100</v>
      </c>
      <c r="J350" s="1"/>
      <c r="K350" s="1"/>
      <c r="L350" s="1"/>
      <c r="M350" s="1"/>
      <c r="N350" s="1"/>
      <c r="O350" s="1"/>
      <c r="P350" s="1"/>
      <c r="Q350" s="1"/>
      <c r="R350" s="1"/>
      <c r="S350" s="1"/>
      <c r="T350" s="1"/>
      <c r="U350" s="1"/>
      <c r="V350" s="1"/>
      <c r="W350" s="1">
        <f>IFERROR(__xludf.DUMMYFUNCTION("""COMPUTED_VALUE"""),100.0)</f>
        <v>100</v>
      </c>
      <c r="X350" s="1"/>
      <c r="Y350" s="1"/>
      <c r="Z350" s="1"/>
    </row>
    <row r="351">
      <c r="A351" s="1" t="str">
        <f>IFERROR(__xludf.DUMMYFUNCTION("""COMPUTED_VALUE"""),"The Exiled One")</f>
        <v>The Exiled One</v>
      </c>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t="str">
        <f>IFERROR(__xludf.DUMMYFUNCTION("""COMPUTED_VALUE"""),"Monk (Abbot)")</f>
        <v>Monk (Abbot)</v>
      </c>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t="str">
        <f>IFERROR(__xludf.DUMMYFUNCTION("""COMPUTED_VALUE"""),"Guardian Of Nature")</f>
        <v>Guardian Of Nature</v>
      </c>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t="str">
        <f>IFERROR(__xludf.DUMMYFUNCTION("""COMPUTED_VALUE"""),"Shark (WD) (Enhanced0")</f>
        <v>Shark (WD) (Enhanced0</v>
      </c>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t="str">
        <f>IFERROR(__xludf.DUMMYFUNCTION("""COMPUTED_VALUE"""),"Hades The god of the Underworld")</f>
        <v>Hades The god of the Underworld</v>
      </c>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t="str">
        <f>IFERROR(__xludf.DUMMYFUNCTION("""COMPUTED_VALUE"""),"Sataniel - Keeper of The Banished")</f>
        <v>Sataniel - Keeper of The Banished</v>
      </c>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t="str">
        <f>IFERROR(__xludf.DUMMYFUNCTION("""COMPUTED_VALUE"""),"Trap: Pendulum")</f>
        <v>Trap: Pendulum</v>
      </c>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t="str">
        <f>IFERROR(__xludf.DUMMYFUNCTION("""COMPUTED_VALUE"""),"Trap: Moving Saw Blade")</f>
        <v>Trap: Moving Saw Blade</v>
      </c>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t="str">
        <f>IFERROR(__xludf.DUMMYFUNCTION("""COMPUTED_VALUE"""),"Trap: Bear Trap")</f>
        <v>Trap: Bear Trap</v>
      </c>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t="str">
        <f>IFERROR(__xludf.DUMMYFUNCTION("""COMPUTED_VALUE"""),"Trap: Pitfall")</f>
        <v>Trap: Pitfall</v>
      </c>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t="str">
        <f>IFERROR(__xludf.DUMMYFUNCTION("""COMPUTED_VALUE"""),"Trap: Flaming Arrows")</f>
        <v>Trap: Flaming Arrows</v>
      </c>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t="str">
        <f>IFERROR(__xludf.DUMMYFUNCTION("""COMPUTED_VALUE"""),"Trap: Bolder")</f>
        <v>Trap: Bolder</v>
      </c>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t="str">
        <f>IFERROR(__xludf.DUMMYFUNCTION("""COMPUTED_VALUE"""),"Trap: Mimic")</f>
        <v>Trap: Mimic</v>
      </c>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t="str">
        <f>IFERROR(__xludf.DUMMYFUNCTION("""COMPUTED_VALUE"""),"Mimic (Mob)")</f>
        <v>Mimic (Mob)</v>
      </c>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t="str">
        <f>IFERROR(__xludf.DUMMYFUNCTION("""COMPUTED_VALUE"""),"Puzzle: Floating Underground Sphere")</f>
        <v>Puzzle: Floating Underground Sphere</v>
      </c>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t="str">
        <f>IFERROR(__xludf.DUMMYFUNCTION("""COMPUTED_VALUE"""),"Puzzle: Locked Stone Platform Entrance")</f>
        <v>Puzzle: Locked Stone Platform Entrance</v>
      </c>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t="str">
        <f>IFERROR(__xludf.DUMMYFUNCTION("""COMPUTED_VALUE"""),"Puzzle: Mysterious Symbol")</f>
        <v>Puzzle: Mysterious Symbol</v>
      </c>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t="str">
        <f>IFERROR(__xludf.DUMMYFUNCTION("""COMPUTED_VALUE"""),"Puzzle: Ancient Stone Statue")</f>
        <v>Puzzle: Ancient Stone Statue</v>
      </c>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t="str">
        <f>IFERROR(__xludf.DUMMYFUNCTION("""COMPUTED_VALUE"""),"Puzzle: The Chosen One")</f>
        <v>Puzzle: The Chosen One</v>
      </c>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t="str">
        <f>IFERROR(__xludf.DUMMYFUNCTION("""COMPUTED_VALUE"""),"Poseidon, God of Tritonoch")</f>
        <v>Poseidon, God of Tritonoch</v>
      </c>
      <c r="B370" s="1"/>
      <c r="C370" s="1"/>
      <c r="D370" s="1"/>
      <c r="E370" s="1"/>
      <c r="F370" s="1"/>
      <c r="G370" s="1"/>
      <c r="H370" s="1"/>
      <c r="I370" s="1"/>
      <c r="J370" s="1"/>
      <c r="K370" s="1"/>
      <c r="L370" s="1"/>
      <c r="M370" s="1"/>
      <c r="N370" s="1"/>
      <c r="O370" s="1"/>
      <c r="P370" s="1"/>
      <c r="Q370" s="1"/>
      <c r="R370" s="1"/>
      <c r="S370" s="1"/>
      <c r="T370" s="1"/>
      <c r="U370" s="1"/>
      <c r="V370" s="1"/>
      <c r="W370" s="1">
        <f>IFERROR(__xludf.DUMMYFUNCTION("""COMPUTED_VALUE"""),100.0)</f>
        <v>100</v>
      </c>
      <c r="X370" s="1"/>
      <c r="Y370" s="1"/>
      <c r="Z370" s="1"/>
    </row>
    <row r="371">
      <c r="A371" s="1" t="str">
        <f>IFERROR(__xludf.DUMMYFUNCTION("""COMPUTED_VALUE"""),"Neptune, God of Atlotopia")</f>
        <v>Neptune, God of Atlotopia</v>
      </c>
      <c r="B371" s="1"/>
      <c r="C371" s="1"/>
      <c r="D371" s="1"/>
      <c r="E371" s="1"/>
      <c r="F371" s="1"/>
      <c r="G371" s="1"/>
      <c r="H371" s="1"/>
      <c r="I371" s="1"/>
      <c r="J371" s="1"/>
      <c r="K371" s="1"/>
      <c r="L371" s="1"/>
      <c r="M371" s="1"/>
      <c r="N371" s="1"/>
      <c r="O371" s="1"/>
      <c r="P371" s="1"/>
      <c r="Q371" s="1"/>
      <c r="R371" s="1"/>
      <c r="S371" s="1"/>
      <c r="T371" s="1"/>
      <c r="U371" s="1"/>
      <c r="V371" s="1"/>
      <c r="W371" s="1">
        <f>IFERROR(__xludf.DUMMYFUNCTION("""COMPUTED_VALUE"""),100.0)</f>
        <v>100</v>
      </c>
      <c r="X371" s="1"/>
      <c r="Y371" s="1"/>
      <c r="Z371" s="1"/>
    </row>
    <row r="372">
      <c r="A372" s="1" t="str">
        <f>IFERROR(__xludf.DUMMYFUNCTION("""COMPUTED_VALUE"""),"Dionysus, The Eternal Party")</f>
        <v>Dionysus, The Eternal Party</v>
      </c>
      <c r="B372" s="1"/>
      <c r="C372" s="1"/>
      <c r="D372" s="1"/>
      <c r="E372" s="1"/>
      <c r="F372" s="1"/>
      <c r="G372" s="1"/>
      <c r="H372" s="1"/>
      <c r="I372" s="1"/>
      <c r="J372" s="1"/>
      <c r="K372" s="1"/>
      <c r="L372" s="1"/>
      <c r="M372" s="1"/>
      <c r="N372" s="1"/>
      <c r="O372" s="1"/>
      <c r="P372" s="1"/>
      <c r="Q372" s="1"/>
      <c r="R372" s="1"/>
      <c r="S372" s="1"/>
      <c r="T372" s="1"/>
      <c r="U372" s="1"/>
      <c r="V372" s="1"/>
      <c r="W372" s="1">
        <f>IFERROR(__xludf.DUMMYFUNCTION("""COMPUTED_VALUE"""),100.0)</f>
        <v>100</v>
      </c>
      <c r="X372" s="1"/>
      <c r="Y372" s="1"/>
      <c r="Z372" s="1"/>
    </row>
    <row r="373">
      <c r="A373" s="1" t="str">
        <f>IFERROR(__xludf.DUMMYFUNCTION("""COMPUTED_VALUE"""),"The Storm Bloods")</f>
        <v>The Storm Bloods</v>
      </c>
      <c r="B373" s="1"/>
      <c r="C373" s="1"/>
      <c r="D373" s="1"/>
      <c r="E373" s="1"/>
      <c r="F373" s="1"/>
      <c r="G373" s="1"/>
      <c r="H373" s="1"/>
      <c r="I373" s="1"/>
      <c r="J373" s="1"/>
      <c r="K373" s="1"/>
      <c r="L373" s="1"/>
      <c r="M373" s="1"/>
      <c r="N373" s="1"/>
      <c r="O373" s="1"/>
      <c r="P373" s="1"/>
      <c r="Q373" s="1"/>
      <c r="R373" s="1"/>
      <c r="S373" s="1"/>
      <c r="T373" s="1"/>
      <c r="U373" s="1"/>
      <c r="V373" s="1"/>
      <c r="W373" s="1">
        <f>IFERROR(__xludf.DUMMYFUNCTION("""COMPUTED_VALUE"""),100.0)</f>
        <v>100</v>
      </c>
      <c r="X373" s="1"/>
      <c r="Y373" s="1"/>
      <c r="Z373" s="1"/>
    </row>
    <row r="374">
      <c r="A374" s="1" t="str">
        <f>IFERROR(__xludf.DUMMYFUNCTION("""COMPUTED_VALUE"""),"The Astrologians")</f>
        <v>The Astrologians</v>
      </c>
      <c r="B374" s="1"/>
      <c r="C374" s="1"/>
      <c r="D374" s="1"/>
      <c r="E374" s="1"/>
      <c r="F374" s="1"/>
      <c r="G374" s="1"/>
      <c r="H374" s="1"/>
      <c r="I374" s="1"/>
      <c r="J374" s="1"/>
      <c r="K374" s="1"/>
      <c r="L374" s="1"/>
      <c r="M374" s="1"/>
      <c r="N374" s="1"/>
      <c r="O374" s="1"/>
      <c r="P374" s="1"/>
      <c r="Q374" s="1"/>
      <c r="R374" s="1"/>
      <c r="S374" s="1"/>
      <c r="T374" s="1"/>
      <c r="U374" s="1"/>
      <c r="V374" s="1"/>
      <c r="W374" s="1">
        <f>IFERROR(__xludf.DUMMYFUNCTION("""COMPUTED_VALUE"""),100.0)</f>
        <v>100</v>
      </c>
      <c r="X374" s="1"/>
      <c r="Y374" s="1"/>
      <c r="Z374" s="1"/>
    </row>
    <row r="375">
      <c r="A375" s="1" t="str">
        <f>IFERROR(__xludf.DUMMYFUNCTION("""COMPUTED_VALUE"""),"The Harbingers of The Voidwoken (Spira)")</f>
        <v>The Harbingers of The Voidwoken (Spira)</v>
      </c>
      <c r="B375" s="1"/>
      <c r="C375" s="1"/>
      <c r="D375" s="1"/>
      <c r="E375" s="1"/>
      <c r="F375" s="1"/>
      <c r="G375" s="1"/>
      <c r="H375" s="1"/>
      <c r="I375" s="1"/>
      <c r="J375" s="1"/>
      <c r="K375" s="1"/>
      <c r="L375" s="1"/>
      <c r="M375" s="1"/>
      <c r="N375" s="1"/>
      <c r="O375" s="1"/>
      <c r="P375" s="1"/>
      <c r="Q375" s="1"/>
      <c r="R375" s="1"/>
      <c r="S375" s="1"/>
      <c r="T375" s="1"/>
      <c r="U375" s="1"/>
      <c r="V375" s="1"/>
      <c r="W375" s="1">
        <f>IFERROR(__xludf.DUMMYFUNCTION("""COMPUTED_VALUE"""),100.0)</f>
        <v>100</v>
      </c>
      <c r="X375" s="1"/>
      <c r="Y375" s="1"/>
      <c r="Z375" s="1"/>
    </row>
    <row r="376">
      <c r="A376" s="1" t="str">
        <f>IFERROR(__xludf.DUMMYFUNCTION("""COMPUTED_VALUE"""),"Imphigenia, Betrayed Goddess Of The Moon")</f>
        <v>Imphigenia, Betrayed Goddess Of The Moon</v>
      </c>
      <c r="B376" s="1"/>
      <c r="C376" s="1"/>
      <c r="D376" s="1"/>
      <c r="E376" s="1"/>
      <c r="F376" s="1"/>
      <c r="G376" s="1"/>
      <c r="H376" s="1"/>
      <c r="I376" s="1"/>
      <c r="J376" s="1"/>
      <c r="K376" s="1"/>
      <c r="L376" s="1"/>
      <c r="M376" s="1"/>
      <c r="N376" s="1"/>
      <c r="O376" s="1"/>
      <c r="P376" s="1"/>
      <c r="Q376" s="1"/>
      <c r="R376" s="1"/>
      <c r="S376" s="1"/>
      <c r="T376" s="1"/>
      <c r="U376" s="1"/>
      <c r="V376" s="1"/>
      <c r="W376" s="1">
        <f>IFERROR(__xludf.DUMMYFUNCTION("""COMPUTED_VALUE"""),100.0)</f>
        <v>100</v>
      </c>
      <c r="X376" s="1"/>
      <c r="Y376" s="1"/>
      <c r="Z376" s="1"/>
    </row>
    <row r="377">
      <c r="A377" s="1" t="str">
        <f>IFERROR(__xludf.DUMMYFUNCTION("""COMPUTED_VALUE"""),"Imphigenia, Harbinger of Revenge")</f>
        <v>Imphigenia, Harbinger of Revenge</v>
      </c>
      <c r="B377" s="1"/>
      <c r="C377" s="1"/>
      <c r="D377" s="1"/>
      <c r="E377" s="1"/>
      <c r="F377" s="1"/>
      <c r="G377" s="1"/>
      <c r="H377" s="1"/>
      <c r="I377" s="1"/>
      <c r="J377" s="1"/>
      <c r="K377" s="1"/>
      <c r="L377" s="1"/>
      <c r="M377" s="1"/>
      <c r="N377" s="1"/>
      <c r="O377" s="1"/>
      <c r="P377" s="1"/>
      <c r="Q377" s="1"/>
      <c r="R377" s="1"/>
      <c r="S377" s="1"/>
      <c r="T377" s="1"/>
      <c r="U377" s="1"/>
      <c r="V377" s="1"/>
      <c r="W377" s="1">
        <f>IFERROR(__xludf.DUMMYFUNCTION("""COMPUTED_VALUE"""),100.0)</f>
        <v>100</v>
      </c>
      <c r="X377" s="1"/>
      <c r="Y377" s="1"/>
      <c r="Z377" s="1"/>
    </row>
    <row r="378">
      <c r="A378" s="1" t="str">
        <f>IFERROR(__xludf.DUMMYFUNCTION("""COMPUTED_VALUE"""),"Lunarion, Faithful Hound of Imphigenia")</f>
        <v>Lunarion, Faithful Hound of Imphigenia</v>
      </c>
      <c r="B378" s="1"/>
      <c r="C378" s="1"/>
      <c r="D378" s="1"/>
      <c r="E378" s="1"/>
      <c r="F378" s="1"/>
      <c r="G378" s="1"/>
      <c r="H378" s="1"/>
      <c r="I378" s="1"/>
      <c r="J378" s="1"/>
      <c r="K378" s="1"/>
      <c r="L378" s="1"/>
      <c r="M378" s="1"/>
      <c r="N378" s="1"/>
      <c r="O378" s="1"/>
      <c r="P378" s="1"/>
      <c r="Q378" s="1"/>
      <c r="R378" s="1"/>
      <c r="S378" s="1"/>
      <c r="T378" s="1"/>
      <c r="U378" s="1"/>
      <c r="V378" s="1"/>
      <c r="W378" s="1">
        <f>IFERROR(__xludf.DUMMYFUNCTION("""COMPUTED_VALUE"""),100.0)</f>
        <v>100</v>
      </c>
      <c r="X378" s="1"/>
      <c r="Y378" s="1"/>
      <c r="Z378" s="1"/>
    </row>
    <row r="379">
      <c r="A379" s="1" t="str">
        <f>IFERROR(__xludf.DUMMYFUNCTION("""COMPUTED_VALUE"""),"The Harbingers of The Voidwoken (DragonScale)")</f>
        <v>The Harbingers of The Voidwoken (DragonScale)</v>
      </c>
      <c r="B379" s="1"/>
      <c r="C379" s="1"/>
      <c r="D379" s="1"/>
      <c r="E379" s="1"/>
      <c r="F379" s="1"/>
      <c r="G379" s="1"/>
      <c r="H379" s="1"/>
      <c r="I379" s="1"/>
      <c r="J379" s="1"/>
      <c r="K379" s="1"/>
      <c r="L379" s="1"/>
      <c r="M379" s="1"/>
      <c r="N379" s="1"/>
      <c r="O379" s="1"/>
      <c r="P379" s="1"/>
      <c r="Q379" s="1"/>
      <c r="R379" s="1"/>
      <c r="S379" s="1"/>
      <c r="T379" s="1"/>
      <c r="U379" s="1"/>
      <c r="V379" s="1"/>
      <c r="W379" s="1">
        <f>IFERROR(__xludf.DUMMYFUNCTION("""COMPUTED_VALUE"""),100.0)</f>
        <v>100</v>
      </c>
      <c r="X379" s="1"/>
      <c r="Y379" s="1"/>
      <c r="Z379" s="1"/>
    </row>
    <row r="380">
      <c r="A380" s="1" t="str">
        <f>IFERROR(__xludf.DUMMYFUNCTION("""COMPUTED_VALUE"""),"The Harbingers of The Voidwoken (Abstara)")</f>
        <v>The Harbingers of The Voidwoken (Abstara)</v>
      </c>
      <c r="B380" s="1"/>
      <c r="C380" s="1"/>
      <c r="D380" s="1"/>
      <c r="E380" s="1"/>
      <c r="F380" s="1"/>
      <c r="G380" s="1"/>
      <c r="H380" s="1"/>
      <c r="I380" s="1"/>
      <c r="J380" s="1"/>
      <c r="K380" s="1"/>
      <c r="L380" s="1"/>
      <c r="M380" s="1"/>
      <c r="N380" s="1"/>
      <c r="O380" s="1"/>
      <c r="P380" s="1"/>
      <c r="Q380" s="1"/>
      <c r="R380" s="1"/>
      <c r="S380" s="1"/>
      <c r="T380" s="1"/>
      <c r="U380" s="1"/>
      <c r="V380" s="1"/>
      <c r="W380" s="1">
        <f>IFERROR(__xludf.DUMMYFUNCTION("""COMPUTED_VALUE"""),100.0)</f>
        <v>100</v>
      </c>
      <c r="X380" s="1"/>
      <c r="Y380" s="1"/>
      <c r="Z380" s="1"/>
    </row>
    <row r="381">
      <c r="A381" s="1" t="str">
        <f>IFERROR(__xludf.DUMMYFUNCTION("""COMPUTED_VALUE"""),"The Harbingers of The Voidwoken (Solreach)")</f>
        <v>The Harbingers of The Voidwoken (Solreach)</v>
      </c>
      <c r="B381" s="1"/>
      <c r="C381" s="1"/>
      <c r="D381" s="1"/>
      <c r="E381" s="1"/>
      <c r="F381" s="1"/>
      <c r="G381" s="1"/>
      <c r="H381" s="1"/>
      <c r="I381" s="1"/>
      <c r="J381" s="1"/>
      <c r="K381" s="1"/>
      <c r="L381" s="1"/>
      <c r="M381" s="1"/>
      <c r="N381" s="1"/>
      <c r="O381" s="1"/>
      <c r="P381" s="1"/>
      <c r="Q381" s="1"/>
      <c r="R381" s="1"/>
      <c r="S381" s="1"/>
      <c r="T381" s="1"/>
      <c r="U381" s="1"/>
      <c r="V381" s="1"/>
      <c r="W381" s="1">
        <f>IFERROR(__xludf.DUMMYFUNCTION("""COMPUTED_VALUE"""),100.0)</f>
        <v>100</v>
      </c>
      <c r="X381" s="1"/>
      <c r="Y381" s="1"/>
      <c r="Z381" s="1"/>
    </row>
    <row r="382">
      <c r="A382" s="1" t="str">
        <f>IFERROR(__xludf.DUMMYFUNCTION("""COMPUTED_VALUE"""),"Nereid")</f>
        <v>Nereid</v>
      </c>
      <c r="B382" s="1"/>
      <c r="C382" s="1"/>
      <c r="D382" s="1"/>
      <c r="E382" s="1"/>
      <c r="F382" s="1"/>
      <c r="G382" s="1"/>
      <c r="H382" s="1">
        <f>IFERROR(__xludf.DUMMYFUNCTION("""COMPUTED_VALUE"""),100.0)</f>
        <v>100</v>
      </c>
      <c r="I382" s="1"/>
      <c r="J382" s="1"/>
      <c r="K382" s="1">
        <f>IFERROR(__xludf.DUMMYFUNCTION("""COMPUTED_VALUE"""),100.0)</f>
        <v>100</v>
      </c>
      <c r="L382" s="1"/>
      <c r="M382" s="1"/>
      <c r="N382" s="1"/>
      <c r="O382" s="1"/>
      <c r="P382" s="1"/>
      <c r="Q382" s="1"/>
      <c r="R382" s="1"/>
      <c r="S382" s="1"/>
      <c r="T382" s="1"/>
      <c r="U382" s="1"/>
      <c r="V382" s="1"/>
      <c r="W382" s="1"/>
      <c r="X382" s="1"/>
      <c r="Y382" s="1"/>
      <c r="Z382" s="1"/>
    </row>
    <row r="383">
      <c r="A383" s="1" t="str">
        <f>IFERROR(__xludf.DUMMYFUNCTION("""COMPUTED_VALUE"""),"Ancient Water Elemental")</f>
        <v>Ancient Water Elemental</v>
      </c>
      <c r="B383" s="1"/>
      <c r="C383" s="1"/>
      <c r="D383" s="1"/>
      <c r="E383" s="1"/>
      <c r="F383" s="1"/>
      <c r="G383" s="1"/>
      <c r="H383" s="1">
        <f>IFERROR(__xludf.DUMMYFUNCTION("""COMPUTED_VALUE"""),50.0)</f>
        <v>50</v>
      </c>
      <c r="I383" s="1"/>
      <c r="J383" s="1"/>
      <c r="K383" s="1">
        <f>IFERROR(__xludf.DUMMYFUNCTION("""COMPUTED_VALUE"""),50.0)</f>
        <v>50</v>
      </c>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t="str">
        <f>IFERROR(__xludf.DUMMYFUNCTION("""COMPUTED_VALUE"""),"Crystal Colossus")</f>
        <v>Crystal Colossus</v>
      </c>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t="str">
        <f>IFERROR(__xludf.DUMMYFUNCTION("""COMPUTED_VALUE"""),"The Great Storm Kaiju")</f>
        <v>The Great Storm Kaiju</v>
      </c>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t="str">
        <f>IFERROR(__xludf.DUMMYFUNCTION("""COMPUTED_VALUE"""),"Gaia, Goddess of Earth")</f>
        <v>Gaia, Goddess of Earth</v>
      </c>
      <c r="B389" s="1"/>
      <c r="C389" s="1">
        <f>IFERROR(__xludf.DUMMYFUNCTION("""COMPUTED_VALUE"""),100.0)</f>
        <v>100</v>
      </c>
      <c r="D389" s="1">
        <f>IFERROR(__xludf.DUMMYFUNCTION("""COMPUTED_VALUE"""),100.0)</f>
        <v>100</v>
      </c>
      <c r="E389" s="1"/>
      <c r="F389" s="1"/>
      <c r="G389" s="1">
        <f>IFERROR(__xludf.DUMMYFUNCTION("""COMPUTED_VALUE"""),100.0)</f>
        <v>100</v>
      </c>
      <c r="H389" s="1"/>
      <c r="I389" s="1"/>
      <c r="J389" s="1">
        <f>IFERROR(__xludf.DUMMYFUNCTION("""COMPUTED_VALUE"""),100.0)</f>
        <v>100</v>
      </c>
      <c r="K389" s="1"/>
      <c r="L389" s="1"/>
      <c r="M389" s="1"/>
      <c r="N389" s="1"/>
      <c r="O389" s="1"/>
      <c r="P389" s="1"/>
      <c r="Q389" s="1"/>
      <c r="R389" s="1"/>
      <c r="S389" s="1"/>
      <c r="T389" s="1"/>
      <c r="U389" s="1">
        <f>IFERROR(__xludf.DUMMYFUNCTION("""COMPUTED_VALUE"""),100.0)</f>
        <v>100</v>
      </c>
      <c r="V389" s="1"/>
      <c r="W389" s="1"/>
      <c r="X389" s="1"/>
      <c r="Y389" s="1"/>
      <c r="Z389" s="1"/>
    </row>
    <row r="390">
      <c r="A390" s="1" t="str">
        <f>IFERROR(__xludf.DUMMYFUNCTION("""COMPUTED_VALUE"""),"Ninja of Bashe")</f>
        <v>Ninja of Bashe</v>
      </c>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t="str">
        <f>IFERROR(__xludf.DUMMYFUNCTION("""COMPUTED_VALUE"""),"Bahamut, Beast of the Endless Void (First Phase)")</f>
        <v>Bahamut, Beast of the Endless Void (First Phase)</v>
      </c>
      <c r="B391" s="1"/>
      <c r="C391" s="1"/>
      <c r="D391" s="1"/>
      <c r="E391" s="1"/>
      <c r="F391" s="1"/>
      <c r="G391" s="1"/>
      <c r="H391" s="1"/>
      <c r="I391" s="1">
        <f>IFERROR(__xludf.DUMMYFUNCTION("""COMPUTED_VALUE"""),50.0)</f>
        <v>50</v>
      </c>
      <c r="J391" s="1"/>
      <c r="K391" s="1"/>
      <c r="L391" s="1"/>
      <c r="M391" s="1"/>
      <c r="N391" s="1"/>
      <c r="O391" s="1"/>
      <c r="P391" s="1"/>
      <c r="Q391" s="1"/>
      <c r="R391" s="1"/>
      <c r="S391" s="1"/>
      <c r="T391" s="1">
        <f>IFERROR(__xludf.DUMMYFUNCTION("""COMPUTED_VALUE"""),50.0)</f>
        <v>50</v>
      </c>
      <c r="U391" s="1">
        <f>IFERROR(__xludf.DUMMYFUNCTION("""COMPUTED_VALUE"""),50.0)</f>
        <v>50</v>
      </c>
      <c r="V391" s="1"/>
      <c r="W391" s="1"/>
      <c r="X391" s="1"/>
      <c r="Y391" s="1"/>
      <c r="Z391" s="1"/>
    </row>
    <row r="392">
      <c r="A392" s="1" t="str">
        <f>IFERROR(__xludf.DUMMYFUNCTION("""COMPUTED_VALUE"""),"Orgroth - The Volcanic Guardian of Fire Tiki Mountain")</f>
        <v>Orgroth - The Volcanic Guardian of Fire Tiki Mountain</v>
      </c>
      <c r="B392" s="1"/>
      <c r="C392" s="1">
        <f>IFERROR(__xludf.DUMMYFUNCTION("""COMPUTED_VALUE"""),100.0)</f>
        <v>100</v>
      </c>
      <c r="D392" s="1">
        <f>IFERROR(__xludf.DUMMYFUNCTION("""COMPUTED_VALUE"""),100.0)</f>
        <v>100</v>
      </c>
      <c r="E392" s="1"/>
      <c r="F392" s="1"/>
      <c r="G392" s="1"/>
      <c r="H392" s="1"/>
      <c r="I392" s="1"/>
      <c r="J392" s="1"/>
      <c r="K392" s="1"/>
      <c r="L392" s="1"/>
      <c r="M392" s="1"/>
      <c r="N392" s="1"/>
      <c r="O392" s="1"/>
      <c r="P392" s="1"/>
      <c r="Q392" s="1"/>
      <c r="R392" s="1"/>
      <c r="S392" s="1"/>
      <c r="T392" s="1"/>
      <c r="U392" s="1"/>
      <c r="V392" s="1"/>
      <c r="W392" s="1"/>
      <c r="X392" s="1"/>
      <c r="Y392" s="1"/>
      <c r="Z392" s="1"/>
    </row>
    <row r="393">
      <c r="A393" s="1" t="str">
        <f>IFERROR(__xludf.DUMMYFUNCTION("""COMPUTED_VALUE"""),"Zor - The Volcanic Golem")</f>
        <v>Zor - The Volcanic Golem</v>
      </c>
      <c r="B393" s="1"/>
      <c r="C393" s="1">
        <f>IFERROR(__xludf.DUMMYFUNCTION("""COMPUTED_VALUE"""),100.0)</f>
        <v>100</v>
      </c>
      <c r="D393" s="1">
        <f>IFERROR(__xludf.DUMMYFUNCTION("""COMPUTED_VALUE"""),100.0)</f>
        <v>100</v>
      </c>
      <c r="E393" s="1"/>
      <c r="F393" s="1"/>
      <c r="G393" s="1"/>
      <c r="H393" s="1"/>
      <c r="I393" s="1"/>
      <c r="J393" s="1"/>
      <c r="K393" s="1"/>
      <c r="L393" s="1"/>
      <c r="M393" s="1"/>
      <c r="N393" s="1"/>
      <c r="O393" s="1"/>
      <c r="P393" s="1"/>
      <c r="Q393" s="1"/>
      <c r="R393" s="1"/>
      <c r="S393" s="1"/>
      <c r="T393" s="1"/>
      <c r="U393" s="1"/>
      <c r="V393" s="1"/>
      <c r="W393" s="1"/>
      <c r="X393" s="1"/>
      <c r="Y393" s="1"/>
      <c r="Z393" s="1"/>
    </row>
    <row r="394">
      <c r="A394" s="1" t="str">
        <f>IFERROR(__xludf.DUMMYFUNCTION("""COMPUTED_VALUE"""),"Talthos - The Towering Kaiju")</f>
        <v>Talthos - The Towering Kaiju</v>
      </c>
      <c r="B394" s="1"/>
      <c r="C394" s="1">
        <f>IFERROR(__xludf.DUMMYFUNCTION("""COMPUTED_VALUE"""),100.0)</f>
        <v>100</v>
      </c>
      <c r="D394" s="1">
        <f>IFERROR(__xludf.DUMMYFUNCTION("""COMPUTED_VALUE"""),100.0)</f>
        <v>100</v>
      </c>
      <c r="E394" s="1"/>
      <c r="F394" s="1"/>
      <c r="G394" s="1"/>
      <c r="H394" s="1"/>
      <c r="I394" s="1"/>
      <c r="J394" s="1"/>
      <c r="K394" s="1"/>
      <c r="L394" s="1"/>
      <c r="M394" s="1"/>
      <c r="N394" s="1"/>
      <c r="O394" s="1"/>
      <c r="P394" s="1"/>
      <c r="Q394" s="1"/>
      <c r="R394" s="1"/>
      <c r="S394" s="1"/>
      <c r="T394" s="1"/>
      <c r="U394" s="1"/>
      <c r="V394" s="1"/>
      <c r="W394" s="1"/>
      <c r="X394" s="1"/>
      <c r="Y394" s="1"/>
      <c r="Z394" s="1"/>
    </row>
    <row r="395">
      <c r="A395" s="1" t="str">
        <f>IFERROR(__xludf.DUMMYFUNCTION("""COMPUTED_VALUE"""),"Cloudius - The Smoke Elemental")</f>
        <v>Cloudius - The Smoke Elemental</v>
      </c>
      <c r="B395" s="1"/>
      <c r="C395" s="1">
        <f>IFERROR(__xludf.DUMMYFUNCTION("""COMPUTED_VALUE"""),100.0)</f>
        <v>100</v>
      </c>
      <c r="D395" s="1">
        <f>IFERROR(__xludf.DUMMYFUNCTION("""COMPUTED_VALUE"""),100.0)</f>
        <v>100</v>
      </c>
      <c r="E395" s="1"/>
      <c r="F395" s="1"/>
      <c r="G395" s="1"/>
      <c r="H395" s="1"/>
      <c r="I395" s="1"/>
      <c r="J395" s="1"/>
      <c r="K395" s="1"/>
      <c r="L395" s="1"/>
      <c r="M395" s="1"/>
      <c r="N395" s="1"/>
      <c r="O395" s="1"/>
      <c r="P395" s="1"/>
      <c r="Q395" s="1"/>
      <c r="R395" s="1"/>
      <c r="S395" s="1"/>
      <c r="T395" s="1"/>
      <c r="U395" s="1"/>
      <c r="V395" s="1"/>
      <c r="W395" s="1"/>
      <c r="X395" s="1"/>
      <c r="Y395" s="1"/>
      <c r="Z395" s="1"/>
    </row>
    <row r="396">
      <c r="A396" s="1" t="str">
        <f>IFERROR(__xludf.DUMMYFUNCTION("""COMPUTED_VALUE"""),"Grisaia - The Head Paladin of Gaia")</f>
        <v>Grisaia - The Head Paladin of Gaia</v>
      </c>
      <c r="B396" s="1">
        <f>IFERROR(__xludf.DUMMYFUNCTION("""COMPUTED_VALUE"""),50.0)</f>
        <v>50</v>
      </c>
      <c r="C396" s="1">
        <f>IFERROR(__xludf.DUMMYFUNCTION("""COMPUTED_VALUE"""),50.0)</f>
        <v>50</v>
      </c>
      <c r="D396" s="1"/>
      <c r="E396" s="1"/>
      <c r="F396" s="1"/>
      <c r="G396" s="1"/>
      <c r="H396" s="1"/>
      <c r="I396" s="1"/>
      <c r="J396" s="1"/>
      <c r="K396" s="1"/>
      <c r="L396" s="1"/>
      <c r="M396" s="1"/>
      <c r="N396" s="1"/>
      <c r="O396" s="1"/>
      <c r="P396" s="1"/>
      <c r="Q396" s="1"/>
      <c r="R396" s="1"/>
      <c r="S396" s="1"/>
      <c r="T396" s="1"/>
      <c r="U396" s="1"/>
      <c r="V396" s="1"/>
      <c r="W396" s="1"/>
      <c r="X396" s="1"/>
      <c r="Y396" s="1"/>
      <c r="Z396" s="1"/>
    </row>
    <row r="397">
      <c r="A397" s="1" t="str">
        <f>IFERROR(__xludf.DUMMYFUNCTION("""COMPUTED_VALUE"""),"Gaia's Paladins")</f>
        <v>Gaia's Paladins</v>
      </c>
      <c r="B397" s="1">
        <f>IFERROR(__xludf.DUMMYFUNCTION("""COMPUTED_VALUE"""),100.0)</f>
        <v>100</v>
      </c>
      <c r="C397" s="1">
        <f>IFERROR(__xludf.DUMMYFUNCTION("""COMPUTED_VALUE"""),100.0)</f>
        <v>100</v>
      </c>
      <c r="D397" s="1"/>
      <c r="E397" s="1"/>
      <c r="F397" s="1"/>
      <c r="G397" s="1"/>
      <c r="H397" s="1"/>
      <c r="I397" s="1"/>
      <c r="J397" s="1"/>
      <c r="K397" s="1"/>
      <c r="L397" s="1"/>
      <c r="M397" s="1"/>
      <c r="N397" s="1"/>
      <c r="O397" s="1"/>
      <c r="P397" s="1"/>
      <c r="Q397" s="1"/>
      <c r="R397" s="1"/>
      <c r="S397" s="1"/>
      <c r="T397" s="1"/>
      <c r="U397" s="1"/>
      <c r="V397" s="1"/>
      <c r="W397" s="1"/>
      <c r="X397" s="1"/>
      <c r="Y397" s="1"/>
      <c r="Z397" s="1"/>
    </row>
    <row r="398">
      <c r="A398" s="1" t="str">
        <f>IFERROR(__xludf.DUMMYFUNCTION("""COMPUTED_VALUE"""),"Earth Golem")</f>
        <v>Earth Golem</v>
      </c>
      <c r="B398" s="1">
        <f>IFERROR(__xludf.DUMMYFUNCTION("""COMPUTED_VALUE"""),100.0)</f>
        <v>100</v>
      </c>
      <c r="C398" s="1">
        <f>IFERROR(__xludf.DUMMYFUNCTION("""COMPUTED_VALUE"""),100.0)</f>
        <v>100</v>
      </c>
      <c r="D398" s="1"/>
      <c r="E398" s="1"/>
      <c r="F398" s="1"/>
      <c r="G398" s="1"/>
      <c r="H398" s="1"/>
      <c r="I398" s="1"/>
      <c r="J398" s="1"/>
      <c r="K398" s="1"/>
      <c r="L398" s="1"/>
      <c r="M398" s="1"/>
      <c r="N398" s="1"/>
      <c r="O398" s="1"/>
      <c r="P398" s="1"/>
      <c r="Q398" s="1"/>
      <c r="R398" s="1"/>
      <c r="S398" s="1">
        <f>IFERROR(__xludf.DUMMYFUNCTION("""COMPUTED_VALUE"""),100.0)</f>
        <v>100</v>
      </c>
      <c r="T398" s="1"/>
      <c r="U398" s="1"/>
      <c r="V398" s="1"/>
      <c r="W398" s="1"/>
      <c r="X398" s="1"/>
      <c r="Y398" s="1"/>
      <c r="Z398" s="1"/>
    </row>
    <row r="399">
      <c r="A399" s="1" t="str">
        <f>IFERROR(__xludf.DUMMYFUNCTION("""COMPUTED_VALUE"""),"Crystal Spider")</f>
        <v>Crystal Spider</v>
      </c>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t="str">
        <f>IFERROR(__xludf.DUMMYFUNCTION("""COMPUTED_VALUE"""),"Hephaestus, The God of The Forge")</f>
        <v>Hephaestus, The God of The Forge</v>
      </c>
      <c r="B400" s="1"/>
      <c r="C400" s="1">
        <f>IFERROR(__xludf.DUMMYFUNCTION("""COMPUTED_VALUE"""),500.0)</f>
        <v>500</v>
      </c>
      <c r="D400" s="1"/>
      <c r="E400" s="1"/>
      <c r="F400" s="1"/>
      <c r="G400" s="1"/>
      <c r="H400" s="1"/>
      <c r="I400" s="1">
        <f>IFERROR(__xludf.DUMMYFUNCTION("""COMPUTED_VALUE"""),500.0)</f>
        <v>500</v>
      </c>
      <c r="J400" s="1"/>
      <c r="K400" s="1"/>
      <c r="L400" s="1"/>
      <c r="M400" s="1"/>
      <c r="N400" s="1"/>
      <c r="O400" s="1"/>
      <c r="P400" s="1"/>
      <c r="Q400" s="1"/>
      <c r="R400" s="1"/>
      <c r="S400" s="1"/>
      <c r="T400" s="1"/>
      <c r="U400" s="1"/>
      <c r="V400" s="1"/>
      <c r="W400" s="1"/>
      <c r="X400" s="1"/>
      <c r="Y400" s="1"/>
      <c r="Z400" s="1"/>
    </row>
    <row r="401">
      <c r="A401" s="1" t="str">
        <f>IFERROR(__xludf.DUMMYFUNCTION("""COMPUTED_VALUE"""),"Artemis, Goddess of the Forest (First Phase)")</f>
        <v>Artemis, Goddess of the Forest (First Phase)</v>
      </c>
      <c r="B401" s="1">
        <f>IFERROR(__xludf.DUMMYFUNCTION("""COMPUTED_VALUE"""),500.0)</f>
        <v>500</v>
      </c>
      <c r="C401" s="1"/>
      <c r="D401" s="1"/>
      <c r="E401" s="1"/>
      <c r="F401" s="1"/>
      <c r="G401" s="1"/>
      <c r="H401" s="1"/>
      <c r="I401" s="1">
        <f>IFERROR(__xludf.DUMMYFUNCTION("""COMPUTED_VALUE"""),500.0)</f>
        <v>500</v>
      </c>
      <c r="J401" s="1"/>
      <c r="K401" s="1"/>
      <c r="L401" s="1"/>
      <c r="M401" s="1"/>
      <c r="N401" s="1"/>
      <c r="O401" s="1"/>
      <c r="P401" s="1"/>
      <c r="Q401" s="1"/>
      <c r="R401" s="1"/>
      <c r="S401" s="1">
        <f>IFERROR(__xludf.DUMMYFUNCTION("""COMPUTED_VALUE"""),100.0)</f>
        <v>100</v>
      </c>
      <c r="T401" s="1"/>
      <c r="U401" s="1"/>
      <c r="V401" s="1"/>
      <c r="W401" s="1"/>
      <c r="X401" s="1"/>
      <c r="Y401" s="1"/>
      <c r="Z401" s="1"/>
    </row>
    <row r="402">
      <c r="A402" s="1" t="str">
        <f>IFERROR(__xludf.DUMMYFUNCTION("""COMPUTED_VALUE"""),"Artemis, Nature's Wrathful Avatar (Second Phase)")</f>
        <v>Artemis, Nature's Wrathful Avatar (Second Phase)</v>
      </c>
      <c r="B402" s="1">
        <f>IFERROR(__xludf.DUMMYFUNCTION("""COMPUTED_VALUE"""),500.0)</f>
        <v>500</v>
      </c>
      <c r="C402" s="1"/>
      <c r="D402" s="1"/>
      <c r="E402" s="1"/>
      <c r="F402" s="1"/>
      <c r="G402" s="1"/>
      <c r="H402" s="1"/>
      <c r="I402" s="1">
        <f>IFERROR(__xludf.DUMMYFUNCTION("""COMPUTED_VALUE"""),500.0)</f>
        <v>500</v>
      </c>
      <c r="J402" s="1"/>
      <c r="K402" s="1"/>
      <c r="L402" s="1"/>
      <c r="M402" s="1"/>
      <c r="N402" s="1"/>
      <c r="O402" s="1"/>
      <c r="P402" s="1"/>
      <c r="Q402" s="1"/>
      <c r="R402" s="1"/>
      <c r="S402" s="1">
        <f>IFERROR(__xludf.DUMMYFUNCTION("""COMPUTED_VALUE"""),100.0)</f>
        <v>100</v>
      </c>
      <c r="T402" s="1"/>
      <c r="U402" s="1"/>
      <c r="V402" s="1"/>
      <c r="W402" s="1"/>
      <c r="X402" s="1"/>
      <c r="Y402" s="1"/>
      <c r="Z402" s="1"/>
    </row>
    <row r="403">
      <c r="A403" s="1" t="str">
        <f>IFERROR(__xludf.DUMMYFUNCTION("""COMPUTED_VALUE"""),"The Gods' Quiver")</f>
        <v>The Gods' Quiver</v>
      </c>
      <c r="B403" s="1">
        <f>IFERROR(__xludf.DUMMYFUNCTION("""COMPUTED_VALUE"""),500.0)</f>
        <v>500</v>
      </c>
      <c r="C403" s="1"/>
      <c r="D403" s="1"/>
      <c r="E403" s="1"/>
      <c r="F403" s="1"/>
      <c r="G403" s="1"/>
      <c r="H403" s="1"/>
      <c r="I403" s="1">
        <f>IFERROR(__xludf.DUMMYFUNCTION("""COMPUTED_VALUE"""),500.0)</f>
        <v>500</v>
      </c>
      <c r="J403" s="1"/>
      <c r="K403" s="1"/>
      <c r="L403" s="1"/>
      <c r="M403" s="1"/>
      <c r="N403" s="1"/>
      <c r="O403" s="1"/>
      <c r="P403" s="1"/>
      <c r="Q403" s="1"/>
      <c r="R403" s="1"/>
      <c r="S403" s="1">
        <f>IFERROR(__xludf.DUMMYFUNCTION("""COMPUTED_VALUE"""),100.0)</f>
        <v>100</v>
      </c>
      <c r="T403" s="1"/>
      <c r="U403" s="1"/>
      <c r="V403" s="1"/>
      <c r="W403" s="1"/>
      <c r="X403" s="1"/>
      <c r="Y403" s="1"/>
      <c r="Z403" s="1"/>
    </row>
    <row r="404">
      <c r="A404" s="1" t="str">
        <f>IFERROR(__xludf.DUMMYFUNCTION("""COMPUTED_VALUE"""),"Jenos, Head Paladin of Artemis")</f>
        <v>Jenos, Head Paladin of Artemis</v>
      </c>
      <c r="B404" s="1">
        <f>IFERROR(__xludf.DUMMYFUNCTION("""COMPUTED_VALUE"""),500.0)</f>
        <v>500</v>
      </c>
      <c r="C404" s="1"/>
      <c r="D404" s="1"/>
      <c r="E404" s="1"/>
      <c r="F404" s="1"/>
      <c r="G404" s="1"/>
      <c r="H404" s="1"/>
      <c r="I404" s="1">
        <f>IFERROR(__xludf.DUMMYFUNCTION("""COMPUTED_VALUE"""),500.0)</f>
        <v>500</v>
      </c>
      <c r="J404" s="1"/>
      <c r="K404" s="1"/>
      <c r="L404" s="1"/>
      <c r="M404" s="1"/>
      <c r="N404" s="1"/>
      <c r="O404" s="1"/>
      <c r="P404" s="1"/>
      <c r="Q404" s="1"/>
      <c r="R404" s="1"/>
      <c r="S404" s="1">
        <f>IFERROR(__xludf.DUMMYFUNCTION("""COMPUTED_VALUE"""),100.0)</f>
        <v>100</v>
      </c>
      <c r="T404" s="1"/>
      <c r="U404" s="1"/>
      <c r="V404" s="1"/>
      <c r="W404" s="1"/>
      <c r="X404" s="1"/>
      <c r="Y404" s="1"/>
      <c r="Z404" s="1"/>
    </row>
    <row r="405">
      <c r="A405" s="1" t="str">
        <f>IFERROR(__xludf.DUMMYFUNCTION("""COMPUTED_VALUE"""),"The Forged Ones")</f>
        <v>The Forged Ones</v>
      </c>
      <c r="B405" s="1"/>
      <c r="C405" s="1">
        <f>IFERROR(__xludf.DUMMYFUNCTION("""COMPUTED_VALUE"""),500.0)</f>
        <v>500</v>
      </c>
      <c r="D405" s="1"/>
      <c r="E405" s="1"/>
      <c r="F405" s="1"/>
      <c r="G405" s="1"/>
      <c r="H405" s="1"/>
      <c r="I405" s="1"/>
      <c r="J405" s="1"/>
      <c r="K405" s="1"/>
      <c r="L405" s="1"/>
      <c r="M405" s="1"/>
      <c r="N405" s="1"/>
      <c r="O405" s="1"/>
      <c r="P405" s="1"/>
      <c r="Q405" s="1"/>
      <c r="R405" s="1"/>
      <c r="S405" s="1"/>
      <c r="T405" s="1"/>
      <c r="U405" s="1"/>
      <c r="V405" s="1"/>
      <c r="W405" s="1"/>
      <c r="X405" s="1"/>
      <c r="Y405" s="1"/>
      <c r="Z405" s="1"/>
    </row>
    <row r="406">
      <c r="A406" s="1" t="str">
        <f>IFERROR(__xludf.DUMMYFUNCTION("""COMPUTED_VALUE"""),"The Ambrosian Paladins")</f>
        <v>The Ambrosian Paladins</v>
      </c>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t="str">
        <f>IFERROR(__xludf.DUMMYFUNCTION("""COMPUTED_VALUE"""),"Cargo Ship")</f>
        <v>Cargo Ship</v>
      </c>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t="str">
        <f>IFERROR(__xludf.DUMMYFUNCTION("""COMPUTED_VALUE"""),"Ghost Ship")</f>
        <v>Ghost Ship</v>
      </c>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t="str">
        <f>IFERROR(__xludf.DUMMYFUNCTION("""COMPUTED_VALUE"""),"Brigantine")</f>
        <v>Brigantine</v>
      </c>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t="str">
        <f>IFERROR(__xludf.DUMMYFUNCTION("""COMPUTED_VALUE"""),"Sloop")</f>
        <v>Sloop</v>
      </c>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t="str">
        <f>IFERROR(__xludf.DUMMYFUNCTION("""COMPUTED_VALUE"""),"Elder Acid Dragon")</f>
        <v>Elder Acid Dragon</v>
      </c>
      <c r="B411" s="1">
        <f>IFERROR(__xludf.DUMMYFUNCTION("""COMPUTED_VALUE"""),100.0)</f>
        <v>100</v>
      </c>
      <c r="C411" s="1"/>
      <c r="D411" s="1">
        <f>IFERROR(__xludf.DUMMYFUNCTION("""COMPUTED_VALUE"""),100.0)</f>
        <v>100</v>
      </c>
      <c r="E411" s="1"/>
      <c r="F411" s="1"/>
      <c r="G411" s="1"/>
      <c r="H411" s="1"/>
      <c r="I411" s="1"/>
      <c r="J411" s="1"/>
      <c r="K411" s="1"/>
      <c r="L411" s="1"/>
      <c r="M411" s="1"/>
      <c r="N411" s="1"/>
      <c r="O411" s="1"/>
      <c r="P411" s="1"/>
      <c r="Q411" s="1"/>
      <c r="R411" s="1"/>
      <c r="S411" s="1"/>
      <c r="T411" s="1"/>
      <c r="U411" s="1"/>
      <c r="V411" s="1"/>
      <c r="W411" s="1"/>
      <c r="X411" s="1"/>
      <c r="Y411" s="1"/>
      <c r="Z411" s="1"/>
    </row>
    <row r="412">
      <c r="A412" s="1" t="str">
        <f>IFERROR(__xludf.DUMMYFUNCTION("""COMPUTED_VALUE"""),"Elder Water Dragon")</f>
        <v>Elder Water Dragon</v>
      </c>
      <c r="B412" s="1"/>
      <c r="C412" s="1"/>
      <c r="D412" s="1"/>
      <c r="E412" s="1"/>
      <c r="F412" s="1"/>
      <c r="G412" s="1"/>
      <c r="H412" s="1"/>
      <c r="I412" s="1"/>
      <c r="J412" s="1"/>
      <c r="K412" s="1">
        <f>IFERROR(__xludf.DUMMYFUNCTION("""COMPUTED_VALUE"""),100.0)</f>
        <v>100</v>
      </c>
      <c r="L412" s="1"/>
      <c r="M412" s="1"/>
      <c r="N412" s="1"/>
      <c r="O412" s="1"/>
      <c r="P412" s="1"/>
      <c r="Q412" s="1"/>
      <c r="R412" s="1"/>
      <c r="S412" s="1"/>
      <c r="T412" s="1"/>
      <c r="U412" s="1"/>
      <c r="V412" s="1"/>
      <c r="W412" s="1"/>
      <c r="X412" s="1"/>
      <c r="Y412" s="1"/>
      <c r="Z412" s="1"/>
    </row>
    <row r="413">
      <c r="A413" s="1" t="str">
        <f>IFERROR(__xludf.DUMMYFUNCTION("""COMPUTED_VALUE"""),"Elder Astral Dragon")</f>
        <v>Elder Astral Dragon</v>
      </c>
      <c r="B413" s="1"/>
      <c r="C413" s="1"/>
      <c r="D413" s="1"/>
      <c r="E413" s="1"/>
      <c r="F413" s="1"/>
      <c r="G413" s="1"/>
      <c r="H413" s="1"/>
      <c r="I413" s="1"/>
      <c r="J413" s="1"/>
      <c r="K413" s="1"/>
      <c r="L413" s="1"/>
      <c r="M413" s="1"/>
      <c r="N413" s="1"/>
      <c r="O413" s="1"/>
      <c r="P413" s="1"/>
      <c r="Q413" s="1"/>
      <c r="R413" s="1"/>
      <c r="S413" s="1"/>
      <c r="T413" s="1"/>
      <c r="U413" s="1"/>
      <c r="V413" s="1"/>
      <c r="W413" s="1">
        <f>IFERROR(__xludf.DUMMYFUNCTION("""COMPUTED_VALUE"""),100.0)</f>
        <v>100</v>
      </c>
      <c r="X413" s="1"/>
      <c r="Y413" s="1"/>
      <c r="Z413" s="1"/>
    </row>
    <row r="414">
      <c r="A414" s="1" t="str">
        <f>IFERROR(__xludf.DUMMYFUNCTION("""COMPUTED_VALUE"""),"Elder Celestial Dragon")</f>
        <v>Elder Celestial Dragon</v>
      </c>
      <c r="B414" s="1"/>
      <c r="C414" s="1"/>
      <c r="D414" s="1"/>
      <c r="E414" s="1"/>
      <c r="F414" s="1"/>
      <c r="G414" s="1"/>
      <c r="H414" s="1"/>
      <c r="I414" s="1"/>
      <c r="J414" s="1"/>
      <c r="K414" s="1"/>
      <c r="L414" s="1"/>
      <c r="M414" s="1"/>
      <c r="N414" s="1"/>
      <c r="O414" s="1"/>
      <c r="P414" s="1"/>
      <c r="Q414" s="1"/>
      <c r="R414" s="1"/>
      <c r="S414" s="1"/>
      <c r="T414" s="1"/>
      <c r="U414" s="1"/>
      <c r="V414" s="1">
        <f>IFERROR(__xludf.DUMMYFUNCTION("""COMPUTED_VALUE"""),100.0)</f>
        <v>100</v>
      </c>
      <c r="W414" s="1"/>
      <c r="X414" s="1"/>
      <c r="Y414" s="1"/>
      <c r="Z414" s="1"/>
    </row>
    <row r="415">
      <c r="A415" s="1" t="str">
        <f>IFERROR(__xludf.DUMMYFUNCTION("""COMPUTED_VALUE"""),"Elder Chaos Dragon")</f>
        <v>Elder Chaos Dragon</v>
      </c>
      <c r="B415" s="1"/>
      <c r="C415" s="1"/>
      <c r="D415" s="1"/>
      <c r="E415" s="1"/>
      <c r="F415" s="1"/>
      <c r="G415" s="1"/>
      <c r="H415" s="1"/>
      <c r="I415" s="1">
        <f>IFERROR(__xludf.DUMMYFUNCTION("""COMPUTED_VALUE"""),100.0)</f>
        <v>100</v>
      </c>
      <c r="J415" s="1"/>
      <c r="K415" s="1"/>
      <c r="L415" s="1"/>
      <c r="M415" s="1"/>
      <c r="N415" s="1"/>
      <c r="O415" s="1"/>
      <c r="P415" s="1"/>
      <c r="Q415" s="1"/>
      <c r="R415" s="1"/>
      <c r="S415" s="1"/>
      <c r="T415" s="1"/>
      <c r="U415" s="1"/>
      <c r="V415" s="1"/>
      <c r="W415" s="1"/>
      <c r="X415" s="1"/>
      <c r="Y415" s="1"/>
      <c r="Z415" s="1"/>
    </row>
    <row r="416">
      <c r="A416" s="1" t="str">
        <f>IFERROR(__xludf.DUMMYFUNCTION("""COMPUTED_VALUE"""),"Elder Dark Dragon")</f>
        <v>Elder Dark Dragon</v>
      </c>
      <c r="B416" s="1"/>
      <c r="C416" s="1"/>
      <c r="D416" s="1"/>
      <c r="E416" s="1"/>
      <c r="F416" s="1">
        <f>IFERROR(__xludf.DUMMYFUNCTION("""COMPUTED_VALUE"""),100.0)</f>
        <v>100</v>
      </c>
      <c r="G416" s="1"/>
      <c r="H416" s="1"/>
      <c r="I416" s="1"/>
      <c r="J416" s="1"/>
      <c r="K416" s="1"/>
      <c r="L416" s="1"/>
      <c r="M416" s="1"/>
      <c r="N416" s="1"/>
      <c r="O416" s="1"/>
      <c r="P416" s="1"/>
      <c r="Q416" s="1"/>
      <c r="R416" s="1"/>
      <c r="S416" s="1"/>
      <c r="T416" s="1"/>
      <c r="U416" s="1"/>
      <c r="V416" s="1"/>
      <c r="W416" s="1"/>
      <c r="X416" s="1"/>
      <c r="Y416" s="1"/>
      <c r="Z416" s="1"/>
    </row>
    <row r="417">
      <c r="A417" s="1" t="str">
        <f>IFERROR(__xludf.DUMMYFUNCTION("""COMPUTED_VALUE"""),"Elder Delta Dragon")</f>
        <v>Elder Delta Dragon</v>
      </c>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t="str">
        <f>IFERROR(__xludf.DUMMYFUNCTION("""COMPUTED_VALUE"""),"Elder Forest Dragon")</f>
        <v>Elder Forest Dragon</v>
      </c>
      <c r="B418" s="1">
        <f>IFERROR(__xludf.DUMMYFUNCTION("""COMPUTED_VALUE"""),100.0)</f>
        <v>100</v>
      </c>
      <c r="C418" s="1"/>
      <c r="D418" s="1">
        <f>IFERROR(__xludf.DUMMYFUNCTION("""COMPUTED_VALUE"""),100.0)</f>
        <v>100</v>
      </c>
      <c r="E418" s="1"/>
      <c r="F418" s="1"/>
      <c r="G418" s="1"/>
      <c r="H418" s="1"/>
      <c r="I418" s="1"/>
      <c r="J418" s="1"/>
      <c r="K418" s="1"/>
      <c r="L418" s="1"/>
      <c r="M418" s="1"/>
      <c r="N418" s="1"/>
      <c r="O418" s="1"/>
      <c r="P418" s="1"/>
      <c r="Q418" s="1"/>
      <c r="R418" s="1"/>
      <c r="S418" s="1"/>
      <c r="T418" s="1"/>
      <c r="U418" s="1"/>
      <c r="V418" s="1"/>
      <c r="W418" s="1"/>
      <c r="X418" s="1"/>
      <c r="Y418" s="1"/>
      <c r="Z418" s="1"/>
    </row>
    <row r="419">
      <c r="A419" s="1" t="str">
        <f>IFERROR(__xludf.DUMMYFUNCTION("""COMPUTED_VALUE"""),"Elder Frost Dragon")</f>
        <v>Elder Frost Dragon</v>
      </c>
      <c r="B419" s="1">
        <f>IFERROR(__xludf.DUMMYFUNCTION("""COMPUTED_VALUE"""),100.0)</f>
        <v>100</v>
      </c>
      <c r="C419" s="1"/>
      <c r="D419" s="1"/>
      <c r="E419" s="1"/>
      <c r="F419" s="1"/>
      <c r="G419" s="1"/>
      <c r="H419" s="1"/>
      <c r="I419" s="1"/>
      <c r="J419" s="1"/>
      <c r="K419" s="1">
        <f>IFERROR(__xludf.DUMMYFUNCTION("""COMPUTED_VALUE"""),100.0)</f>
        <v>100</v>
      </c>
      <c r="L419" s="1"/>
      <c r="M419" s="1"/>
      <c r="N419" s="1"/>
      <c r="O419" s="1"/>
      <c r="P419" s="1"/>
      <c r="Q419" s="1"/>
      <c r="R419" s="1"/>
      <c r="S419" s="1"/>
      <c r="T419" s="1"/>
      <c r="U419" s="1"/>
      <c r="V419" s="1"/>
      <c r="W419" s="1"/>
      <c r="X419" s="1"/>
      <c r="Y419" s="1"/>
      <c r="Z419" s="1"/>
    </row>
    <row r="420">
      <c r="A420" s="1" t="str">
        <f>IFERROR(__xludf.DUMMYFUNCTION("""COMPUTED_VALUE"""),"Elder Soul Dragon")</f>
        <v>Elder Soul Dragon</v>
      </c>
      <c r="B420" s="1">
        <f>IFERROR(__xludf.DUMMYFUNCTION("""COMPUTED_VALUE"""),100.0)</f>
        <v>100</v>
      </c>
      <c r="C420" s="1"/>
      <c r="D420" s="1"/>
      <c r="E420" s="1"/>
      <c r="F420" s="1">
        <f>IFERROR(__xludf.DUMMYFUNCTION("""COMPUTED_VALUE"""),100.0)</f>
        <v>100</v>
      </c>
      <c r="G420" s="1"/>
      <c r="H420" s="1"/>
      <c r="I420" s="1"/>
      <c r="J420" s="1"/>
      <c r="K420" s="1"/>
      <c r="L420" s="1"/>
      <c r="M420" s="1"/>
      <c r="N420" s="1"/>
      <c r="O420" s="1"/>
      <c r="P420" s="1"/>
      <c r="Q420" s="1"/>
      <c r="R420" s="1"/>
      <c r="S420" s="1"/>
      <c r="T420" s="1"/>
      <c r="U420" s="1"/>
      <c r="V420" s="1"/>
      <c r="W420" s="1"/>
      <c r="X420" s="1"/>
      <c r="Y420" s="1"/>
      <c r="Z420" s="1"/>
    </row>
    <row r="421">
      <c r="A421" s="1" t="str">
        <f>IFERROR(__xludf.DUMMYFUNCTION("""COMPUTED_VALUE"""),"Elder Spirit Dragon")</f>
        <v>Elder Spirit Dragon</v>
      </c>
      <c r="B421" s="1">
        <f>IFERROR(__xludf.DUMMYFUNCTION("""COMPUTED_VALUE"""),100.0)</f>
        <v>100</v>
      </c>
      <c r="C421" s="1"/>
      <c r="D421" s="1"/>
      <c r="E421" s="1"/>
      <c r="F421" s="1">
        <f>IFERROR(__xludf.DUMMYFUNCTION("""COMPUTED_VALUE"""),100.0)</f>
        <v>100</v>
      </c>
      <c r="G421" s="1"/>
      <c r="H421" s="1"/>
      <c r="I421" s="1"/>
      <c r="J421" s="1"/>
      <c r="K421" s="1"/>
      <c r="L421" s="1"/>
      <c r="M421" s="1"/>
      <c r="N421" s="1"/>
      <c r="O421" s="1"/>
      <c r="P421" s="1"/>
      <c r="Q421" s="1"/>
      <c r="R421" s="1"/>
      <c r="S421" s="1"/>
      <c r="T421" s="1"/>
      <c r="U421" s="1"/>
      <c r="V421" s="1"/>
      <c r="W421" s="1"/>
      <c r="X421" s="1"/>
      <c r="Y421" s="1"/>
      <c r="Z421" s="1"/>
    </row>
    <row r="422">
      <c r="A422" s="1" t="str">
        <f>IFERROR(__xludf.DUMMYFUNCTION("""COMPUTED_VALUE"""),"Elder Stone Dragon")</f>
        <v>Elder Stone Dragon</v>
      </c>
      <c r="B422" s="1"/>
      <c r="C422" s="1">
        <f>IFERROR(__xludf.DUMMYFUNCTION("""COMPUTED_VALUE"""),100.0)</f>
        <v>100</v>
      </c>
      <c r="D422" s="1">
        <f>IFERROR(__xludf.DUMMYFUNCTION("""COMPUTED_VALUE"""),100.0)</f>
        <v>100</v>
      </c>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t="str">
        <f>IFERROR(__xludf.DUMMYFUNCTION("""COMPUTED_VALUE"""),"Elder Fire Dragon")</f>
        <v>Elder Fire Dragon</v>
      </c>
      <c r="B424" s="1"/>
      <c r="C424" s="1">
        <f>IFERROR(__xludf.DUMMYFUNCTION("""COMPUTED_VALUE"""),100.0)</f>
        <v>100</v>
      </c>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t="str">
        <f>IFERROR(__xludf.DUMMYFUNCTION("""COMPUTED_VALUE"""),"Elder Undead Dragon")</f>
        <v>Elder Undead Dragon</v>
      </c>
      <c r="B426" s="1">
        <f>IFERROR(__xludf.DUMMYFUNCTION("""COMPUTED_VALUE"""),100.0)</f>
        <v>100</v>
      </c>
      <c r="C426" s="1"/>
      <c r="D426" s="1"/>
      <c r="E426" s="1"/>
      <c r="F426" s="1">
        <f>IFERROR(__xludf.DUMMYFUNCTION("""COMPUTED_VALUE"""),100.0)</f>
        <v>100</v>
      </c>
      <c r="G426" s="1"/>
      <c r="H426" s="1"/>
      <c r="I426" s="1"/>
      <c r="J426" s="1"/>
      <c r="K426" s="1"/>
      <c r="L426" s="1"/>
      <c r="M426" s="1"/>
      <c r="N426" s="1"/>
      <c r="O426" s="1"/>
      <c r="P426" s="1"/>
      <c r="Q426" s="1"/>
      <c r="R426" s="1"/>
      <c r="S426" s="1"/>
      <c r="T426" s="1"/>
      <c r="U426" s="1"/>
      <c r="V426" s="1"/>
      <c r="W426" s="1"/>
      <c r="X426" s="1"/>
      <c r="Y426" s="1"/>
      <c r="Z426" s="1"/>
    </row>
    <row r="427">
      <c r="A427" s="1" t="str">
        <f>IFERROR(__xludf.DUMMYFUNCTION("""COMPUTED_VALUE"""),"Elder Crystal Dragon")</f>
        <v>Elder Crystal Dragon</v>
      </c>
      <c r="B427" s="1"/>
      <c r="C427" s="1">
        <f>IFERROR(__xludf.DUMMYFUNCTION("""COMPUTED_VALUE"""),100.0)</f>
        <v>100</v>
      </c>
      <c r="D427" s="1">
        <f>IFERROR(__xludf.DUMMYFUNCTION("""COMPUTED_VALUE"""),100.0)</f>
        <v>100</v>
      </c>
      <c r="E427" s="1"/>
      <c r="F427" s="1"/>
      <c r="G427" s="1"/>
      <c r="H427" s="1"/>
      <c r="I427" s="1"/>
      <c r="J427" s="1"/>
      <c r="K427" s="1"/>
      <c r="L427" s="1"/>
      <c r="M427" s="1"/>
      <c r="N427" s="1"/>
      <c r="O427" s="1"/>
      <c r="P427" s="1"/>
      <c r="Q427" s="1"/>
      <c r="R427" s="1"/>
      <c r="S427" s="1"/>
      <c r="T427" s="1"/>
      <c r="U427" s="1"/>
      <c r="V427" s="1"/>
      <c r="W427" s="1"/>
      <c r="X427" s="1"/>
      <c r="Y427" s="1"/>
      <c r="Z427" s="1"/>
    </row>
    <row r="428">
      <c r="A428" s="1" t="str">
        <f>IFERROR(__xludf.DUMMYFUNCTION("""COMPUTED_VALUE"""),"Ancient Acid Dragon")</f>
        <v>Ancient Acid Dragon</v>
      </c>
      <c r="B428" s="1">
        <f>IFERROR(__xludf.DUMMYFUNCTION("""COMPUTED_VALUE"""),100.0)</f>
        <v>100</v>
      </c>
      <c r="C428" s="1"/>
      <c r="D428" s="1">
        <f>IFERROR(__xludf.DUMMYFUNCTION("""COMPUTED_VALUE"""),100.0)</f>
        <v>100</v>
      </c>
      <c r="E428" s="1"/>
      <c r="F428" s="1"/>
      <c r="G428" s="1"/>
      <c r="H428" s="1"/>
      <c r="I428" s="1"/>
      <c r="J428" s="1"/>
      <c r="K428" s="1"/>
      <c r="L428" s="1"/>
      <c r="M428" s="1"/>
      <c r="N428" s="1"/>
      <c r="O428" s="1"/>
      <c r="P428" s="1"/>
      <c r="Q428" s="1"/>
      <c r="R428" s="1"/>
      <c r="S428" s="1"/>
      <c r="T428" s="1"/>
      <c r="U428" s="1"/>
      <c r="V428" s="1"/>
      <c r="W428" s="1"/>
      <c r="X428" s="1"/>
      <c r="Y428" s="1"/>
      <c r="Z428" s="1"/>
    </row>
    <row r="429">
      <c r="A429" s="1" t="str">
        <f>IFERROR(__xludf.DUMMYFUNCTION("""COMPUTED_VALUE"""),"Ancient Water Dragon")</f>
        <v>Ancient Water Dragon</v>
      </c>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t="str">
        <f>IFERROR(__xludf.DUMMYFUNCTION("""COMPUTED_VALUE"""),"Ancient Astral Dragon")</f>
        <v>Ancient Astral Dragon</v>
      </c>
      <c r="B430" s="1"/>
      <c r="C430" s="1"/>
      <c r="D430" s="1"/>
      <c r="E430" s="1"/>
      <c r="F430" s="1"/>
      <c r="G430" s="1"/>
      <c r="H430" s="1"/>
      <c r="I430" s="1"/>
      <c r="J430" s="1"/>
      <c r="K430" s="1"/>
      <c r="L430" s="1"/>
      <c r="M430" s="1"/>
      <c r="N430" s="1"/>
      <c r="O430" s="1"/>
      <c r="P430" s="1"/>
      <c r="Q430" s="1"/>
      <c r="R430" s="1"/>
      <c r="S430" s="1"/>
      <c r="T430" s="1"/>
      <c r="U430" s="1"/>
      <c r="V430" s="1"/>
      <c r="W430" s="1">
        <f>IFERROR(__xludf.DUMMYFUNCTION("""COMPUTED_VALUE"""),100.0)</f>
        <v>100</v>
      </c>
      <c r="X430" s="1"/>
      <c r="Y430" s="1"/>
      <c r="Z430" s="1"/>
    </row>
    <row r="431">
      <c r="A431" s="1" t="str">
        <f>IFERROR(__xludf.DUMMYFUNCTION("""COMPUTED_VALUE"""),"Ancient Celestial Dragon")</f>
        <v>Ancient Celestial Dragon</v>
      </c>
      <c r="B431" s="1"/>
      <c r="C431" s="1"/>
      <c r="D431" s="1"/>
      <c r="E431" s="1"/>
      <c r="F431" s="1"/>
      <c r="G431" s="1"/>
      <c r="H431" s="1"/>
      <c r="I431" s="1"/>
      <c r="J431" s="1"/>
      <c r="K431" s="1"/>
      <c r="L431" s="1"/>
      <c r="M431" s="1"/>
      <c r="N431" s="1"/>
      <c r="O431" s="1"/>
      <c r="P431" s="1"/>
      <c r="Q431" s="1"/>
      <c r="R431" s="1"/>
      <c r="S431" s="1"/>
      <c r="T431" s="1"/>
      <c r="U431" s="1"/>
      <c r="V431" s="1">
        <f>IFERROR(__xludf.DUMMYFUNCTION("""COMPUTED_VALUE"""),100.0)</f>
        <v>100</v>
      </c>
      <c r="W431" s="1"/>
      <c r="X431" s="1"/>
      <c r="Y431" s="1"/>
      <c r="Z431" s="1"/>
    </row>
    <row r="432">
      <c r="A432" s="1" t="str">
        <f>IFERROR(__xludf.DUMMYFUNCTION("""COMPUTED_VALUE"""),"Ancient Chaos Dragon")</f>
        <v>Ancient Chaos Dragon</v>
      </c>
      <c r="B432" s="1"/>
      <c r="C432" s="1"/>
      <c r="D432" s="1"/>
      <c r="E432" s="1"/>
      <c r="F432" s="1"/>
      <c r="G432" s="1"/>
      <c r="H432" s="1"/>
      <c r="I432" s="1">
        <f>IFERROR(__xludf.DUMMYFUNCTION("""COMPUTED_VALUE"""),100.0)</f>
        <v>100</v>
      </c>
      <c r="J432" s="1"/>
      <c r="K432" s="1"/>
      <c r="L432" s="1"/>
      <c r="M432" s="1"/>
      <c r="N432" s="1"/>
      <c r="O432" s="1"/>
      <c r="P432" s="1"/>
      <c r="Q432" s="1"/>
      <c r="R432" s="1"/>
      <c r="S432" s="1"/>
      <c r="T432" s="1"/>
      <c r="U432" s="1"/>
      <c r="V432" s="1"/>
      <c r="W432" s="1"/>
      <c r="X432" s="1"/>
      <c r="Y432" s="1"/>
      <c r="Z432" s="1"/>
    </row>
    <row r="433">
      <c r="A433" s="1" t="str">
        <f>IFERROR(__xludf.DUMMYFUNCTION("""COMPUTED_VALUE"""),"Ancient Dark Dragon")</f>
        <v>Ancient Dark Dragon</v>
      </c>
      <c r="B433" s="1"/>
      <c r="C433" s="1"/>
      <c r="D433" s="1"/>
      <c r="E433" s="1"/>
      <c r="F433" s="1">
        <f>IFERROR(__xludf.DUMMYFUNCTION("""COMPUTED_VALUE"""),100.0)</f>
        <v>100</v>
      </c>
      <c r="G433" s="1"/>
      <c r="H433" s="1"/>
      <c r="I433" s="1"/>
      <c r="J433" s="1"/>
      <c r="K433" s="1"/>
      <c r="L433" s="1"/>
      <c r="M433" s="1"/>
      <c r="N433" s="1"/>
      <c r="O433" s="1"/>
      <c r="P433" s="1"/>
      <c r="Q433" s="1"/>
      <c r="R433" s="1"/>
      <c r="S433" s="1"/>
      <c r="T433" s="1"/>
      <c r="U433" s="1"/>
      <c r="V433" s="1"/>
      <c r="W433" s="1"/>
      <c r="X433" s="1"/>
      <c r="Y433" s="1"/>
      <c r="Z433" s="1"/>
    </row>
    <row r="434">
      <c r="A434" s="1" t="str">
        <f>IFERROR(__xludf.DUMMYFUNCTION("""COMPUTED_VALUE"""),"Ancient Delta Dragon")</f>
        <v>Ancient Delta Dragon</v>
      </c>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t="str">
        <f>IFERROR(__xludf.DUMMYFUNCTION("""COMPUTED_VALUE"""),"Ancient Forest Dragon")</f>
        <v>Ancient Forest Dragon</v>
      </c>
      <c r="B435" s="1">
        <f>IFERROR(__xludf.DUMMYFUNCTION("""COMPUTED_VALUE"""),100.0)</f>
        <v>100</v>
      </c>
      <c r="C435" s="1"/>
      <c r="D435" s="1">
        <f>IFERROR(__xludf.DUMMYFUNCTION("""COMPUTED_VALUE"""),100.0)</f>
        <v>100</v>
      </c>
      <c r="E435" s="1"/>
      <c r="F435" s="1"/>
      <c r="G435" s="1"/>
      <c r="H435" s="1"/>
      <c r="I435" s="1"/>
      <c r="J435" s="1"/>
      <c r="K435" s="1"/>
      <c r="L435" s="1"/>
      <c r="M435" s="1"/>
      <c r="N435" s="1"/>
      <c r="O435" s="1"/>
      <c r="P435" s="1"/>
      <c r="Q435" s="1"/>
      <c r="R435" s="1"/>
      <c r="S435" s="1"/>
      <c r="T435" s="1"/>
      <c r="U435" s="1"/>
      <c r="V435" s="1"/>
      <c r="W435" s="1"/>
      <c r="X435" s="1"/>
      <c r="Y435" s="1"/>
      <c r="Z435" s="1"/>
    </row>
    <row r="436">
      <c r="A436" s="1" t="str">
        <f>IFERROR(__xludf.DUMMYFUNCTION("""COMPUTED_VALUE"""),"Ancient Frost Dragon")</f>
        <v>Ancient Frost Dragon</v>
      </c>
      <c r="B436" s="1">
        <f>IFERROR(__xludf.DUMMYFUNCTION("""COMPUTED_VALUE"""),100.0)</f>
        <v>100</v>
      </c>
      <c r="C436" s="1"/>
      <c r="D436" s="1"/>
      <c r="E436" s="1"/>
      <c r="F436" s="1"/>
      <c r="G436" s="1"/>
      <c r="H436" s="1"/>
      <c r="I436" s="1"/>
      <c r="J436" s="1"/>
      <c r="K436" s="1">
        <f>IFERROR(__xludf.DUMMYFUNCTION("""COMPUTED_VALUE"""),100.0)</f>
        <v>100</v>
      </c>
      <c r="L436" s="1"/>
      <c r="M436" s="1"/>
      <c r="N436" s="1"/>
      <c r="O436" s="1"/>
      <c r="P436" s="1"/>
      <c r="Q436" s="1"/>
      <c r="R436" s="1"/>
      <c r="S436" s="1"/>
      <c r="T436" s="1"/>
      <c r="U436" s="1"/>
      <c r="V436" s="1"/>
      <c r="W436" s="1"/>
      <c r="X436" s="1"/>
      <c r="Y436" s="1"/>
      <c r="Z436" s="1"/>
    </row>
    <row r="437">
      <c r="A437" s="1" t="str">
        <f>IFERROR(__xludf.DUMMYFUNCTION("""COMPUTED_VALUE"""),"Ancient Soul Dragon")</f>
        <v>Ancient Soul Dragon</v>
      </c>
      <c r="B437" s="1">
        <f>IFERROR(__xludf.DUMMYFUNCTION("""COMPUTED_VALUE"""),100.0)</f>
        <v>100</v>
      </c>
      <c r="C437" s="1"/>
      <c r="D437" s="1"/>
      <c r="E437" s="1"/>
      <c r="F437" s="1">
        <f>IFERROR(__xludf.DUMMYFUNCTION("""COMPUTED_VALUE"""),100.0)</f>
        <v>100</v>
      </c>
      <c r="G437" s="1"/>
      <c r="H437" s="1"/>
      <c r="I437" s="1"/>
      <c r="J437" s="1"/>
      <c r="K437" s="1"/>
      <c r="L437" s="1"/>
      <c r="M437" s="1"/>
      <c r="N437" s="1"/>
      <c r="O437" s="1"/>
      <c r="P437" s="1"/>
      <c r="Q437" s="1"/>
      <c r="R437" s="1"/>
      <c r="S437" s="1"/>
      <c r="T437" s="1"/>
      <c r="U437" s="1"/>
      <c r="V437" s="1"/>
      <c r="W437" s="1"/>
      <c r="X437" s="1"/>
      <c r="Y437" s="1"/>
      <c r="Z437" s="1"/>
    </row>
    <row r="438">
      <c r="A438" s="1" t="str">
        <f>IFERROR(__xludf.DUMMYFUNCTION("""COMPUTED_VALUE"""),"Ancient Spirit Dragon")</f>
        <v>Ancient Spirit Dragon</v>
      </c>
      <c r="B438" s="1">
        <f>IFERROR(__xludf.DUMMYFUNCTION("""COMPUTED_VALUE"""),100.0)</f>
        <v>100</v>
      </c>
      <c r="C438" s="1"/>
      <c r="D438" s="1"/>
      <c r="E438" s="1"/>
      <c r="F438" s="1">
        <f>IFERROR(__xludf.DUMMYFUNCTION("""COMPUTED_VALUE"""),100.0)</f>
        <v>100</v>
      </c>
      <c r="G438" s="1"/>
      <c r="H438" s="1"/>
      <c r="I438" s="1"/>
      <c r="J438" s="1"/>
      <c r="K438" s="1"/>
      <c r="L438" s="1"/>
      <c r="M438" s="1"/>
      <c r="N438" s="1"/>
      <c r="O438" s="1"/>
      <c r="P438" s="1"/>
      <c r="Q438" s="1"/>
      <c r="R438" s="1"/>
      <c r="S438" s="1"/>
      <c r="T438" s="1"/>
      <c r="U438" s="1"/>
      <c r="V438" s="1"/>
      <c r="W438" s="1"/>
      <c r="X438" s="1"/>
      <c r="Y438" s="1"/>
      <c r="Z438" s="1"/>
    </row>
    <row r="439">
      <c r="A439" s="1" t="str">
        <f>IFERROR(__xludf.DUMMYFUNCTION("""COMPUTED_VALUE"""),"Ancient Stone Dragon")</f>
        <v>Ancient Stone Dragon</v>
      </c>
      <c r="B439" s="1"/>
      <c r="C439" s="1">
        <f>IFERROR(__xludf.DUMMYFUNCTION("""COMPUTED_VALUE"""),100.0)</f>
        <v>100</v>
      </c>
      <c r="D439" s="1">
        <f>IFERROR(__xludf.DUMMYFUNCTION("""COMPUTED_VALUE"""),100.0)</f>
        <v>100</v>
      </c>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t="str">
        <f>IFERROR(__xludf.DUMMYFUNCTION("""COMPUTED_VALUE"""),"Ancient Fire Dragon")</f>
        <v>Ancient Fire Dragon</v>
      </c>
      <c r="B441" s="1"/>
      <c r="C441" s="1">
        <f>IFERROR(__xludf.DUMMYFUNCTION("""COMPUTED_VALUE"""),100.0)</f>
        <v>100</v>
      </c>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t="str">
        <f>IFERROR(__xludf.DUMMYFUNCTION("""COMPUTED_VALUE"""),"Ancient Undead Dragon")</f>
        <v>Ancient Undead Dragon</v>
      </c>
      <c r="B443" s="1">
        <f>IFERROR(__xludf.DUMMYFUNCTION("""COMPUTED_VALUE"""),100.0)</f>
        <v>100</v>
      </c>
      <c r="C443" s="1"/>
      <c r="D443" s="1"/>
      <c r="E443" s="1"/>
      <c r="F443" s="1">
        <f>IFERROR(__xludf.DUMMYFUNCTION("""COMPUTED_VALUE"""),100.0)</f>
        <v>100</v>
      </c>
      <c r="G443" s="1"/>
      <c r="H443" s="1"/>
      <c r="I443" s="1"/>
      <c r="J443" s="1"/>
      <c r="K443" s="1"/>
      <c r="L443" s="1"/>
      <c r="M443" s="1"/>
      <c r="N443" s="1"/>
      <c r="O443" s="1"/>
      <c r="P443" s="1"/>
      <c r="Q443" s="1"/>
      <c r="R443" s="1"/>
      <c r="S443" s="1"/>
      <c r="T443" s="1"/>
      <c r="U443" s="1"/>
      <c r="V443" s="1"/>
      <c r="W443" s="1"/>
      <c r="X443" s="1"/>
      <c r="Y443" s="1"/>
      <c r="Z443" s="1"/>
    </row>
    <row r="444">
      <c r="A444" s="1" t="str">
        <f>IFERROR(__xludf.DUMMYFUNCTION("""COMPUTED_VALUE"""),"Ancient Crystal Dragon")</f>
        <v>Ancient Crystal Dragon</v>
      </c>
      <c r="B444" s="1"/>
      <c r="C444" s="1">
        <f>IFERROR(__xludf.DUMMYFUNCTION("""COMPUTED_VALUE"""),100.0)</f>
        <v>100</v>
      </c>
      <c r="D444" s="1">
        <f>IFERROR(__xludf.DUMMYFUNCTION("""COMPUTED_VALUE"""),100.0)</f>
        <v>100</v>
      </c>
      <c r="E444" s="1"/>
      <c r="F444" s="1"/>
      <c r="G444" s="1"/>
      <c r="H444" s="1"/>
      <c r="I444" s="1"/>
      <c r="J444" s="1"/>
      <c r="K444" s="1"/>
      <c r="L444" s="1"/>
      <c r="M444" s="1"/>
      <c r="N444" s="1"/>
      <c r="O444" s="1"/>
      <c r="P444" s="1"/>
      <c r="Q444" s="1"/>
      <c r="R444" s="1"/>
      <c r="S444" s="1"/>
      <c r="T444" s="1"/>
      <c r="U444" s="1"/>
      <c r="V444" s="1"/>
      <c r="W444" s="1"/>
      <c r="X444" s="1"/>
      <c r="Y444" s="1"/>
      <c r="Z444" s="1"/>
    </row>
    <row r="445">
      <c r="A445" s="1" t="str">
        <f>IFERROR(__xludf.DUMMYFUNCTION("""COMPUTED_VALUE"""),"Divine Acid Dragon")</f>
        <v>Divine Acid Dragon</v>
      </c>
      <c r="B445" s="1">
        <f>IFERROR(__xludf.DUMMYFUNCTION("""COMPUTED_VALUE"""),100.0)</f>
        <v>100</v>
      </c>
      <c r="C445" s="1"/>
      <c r="D445" s="1">
        <f>IFERROR(__xludf.DUMMYFUNCTION("""COMPUTED_VALUE"""),100.0)</f>
        <v>100</v>
      </c>
      <c r="E445" s="1"/>
      <c r="F445" s="1"/>
      <c r="G445" s="1"/>
      <c r="H445" s="1"/>
      <c r="I445" s="1"/>
      <c r="J445" s="1"/>
      <c r="K445" s="1"/>
      <c r="L445" s="1"/>
      <c r="M445" s="1"/>
      <c r="N445" s="1"/>
      <c r="O445" s="1"/>
      <c r="P445" s="1"/>
      <c r="Q445" s="1"/>
      <c r="R445" s="1"/>
      <c r="S445" s="1"/>
      <c r="T445" s="1"/>
      <c r="U445" s="1"/>
      <c r="V445" s="1"/>
      <c r="W445" s="1"/>
      <c r="X445" s="1"/>
      <c r="Y445" s="1"/>
      <c r="Z445" s="1"/>
    </row>
    <row r="446">
      <c r="A446" s="1" t="str">
        <f>IFERROR(__xludf.DUMMYFUNCTION("""COMPUTED_VALUE"""),"Divine Water Dragon")</f>
        <v>Divine Water Dragon</v>
      </c>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t="str">
        <f>IFERROR(__xludf.DUMMYFUNCTION("""COMPUTED_VALUE"""),"Divine Astral Dragon")</f>
        <v>Divine Astral Dragon</v>
      </c>
      <c r="B447" s="1"/>
      <c r="C447" s="1"/>
      <c r="D447" s="1"/>
      <c r="E447" s="1"/>
      <c r="F447" s="1"/>
      <c r="G447" s="1"/>
      <c r="H447" s="1"/>
      <c r="I447" s="1"/>
      <c r="J447" s="1"/>
      <c r="K447" s="1"/>
      <c r="L447" s="1"/>
      <c r="M447" s="1"/>
      <c r="N447" s="1"/>
      <c r="O447" s="1"/>
      <c r="P447" s="1"/>
      <c r="Q447" s="1"/>
      <c r="R447" s="1"/>
      <c r="S447" s="1"/>
      <c r="T447" s="1"/>
      <c r="U447" s="1"/>
      <c r="V447" s="1"/>
      <c r="W447" s="1">
        <f>IFERROR(__xludf.DUMMYFUNCTION("""COMPUTED_VALUE"""),100.0)</f>
        <v>100</v>
      </c>
      <c r="X447" s="1"/>
      <c r="Y447" s="1"/>
      <c r="Z447" s="1"/>
    </row>
    <row r="448">
      <c r="A448" s="1" t="str">
        <f>IFERROR(__xludf.DUMMYFUNCTION("""COMPUTED_VALUE"""),"Divine Celestial Dragon")</f>
        <v>Divine Celestial Dragon</v>
      </c>
      <c r="B448" s="1"/>
      <c r="C448" s="1"/>
      <c r="D448" s="1"/>
      <c r="E448" s="1"/>
      <c r="F448" s="1"/>
      <c r="G448" s="1"/>
      <c r="H448" s="1"/>
      <c r="I448" s="1"/>
      <c r="J448" s="1"/>
      <c r="K448" s="1"/>
      <c r="L448" s="1"/>
      <c r="M448" s="1"/>
      <c r="N448" s="1"/>
      <c r="O448" s="1"/>
      <c r="P448" s="1"/>
      <c r="Q448" s="1"/>
      <c r="R448" s="1"/>
      <c r="S448" s="1"/>
      <c r="T448" s="1"/>
      <c r="U448" s="1"/>
      <c r="V448" s="1">
        <f>IFERROR(__xludf.DUMMYFUNCTION("""COMPUTED_VALUE"""),100.0)</f>
        <v>100</v>
      </c>
      <c r="W448" s="1"/>
      <c r="X448" s="1"/>
      <c r="Y448" s="1"/>
      <c r="Z448" s="1"/>
    </row>
    <row r="449">
      <c r="A449" s="1" t="str">
        <f>IFERROR(__xludf.DUMMYFUNCTION("""COMPUTED_VALUE"""),"Divine Chaos Dragon")</f>
        <v>Divine Chaos Dragon</v>
      </c>
      <c r="B449" s="1"/>
      <c r="C449" s="1"/>
      <c r="D449" s="1"/>
      <c r="E449" s="1"/>
      <c r="F449" s="1"/>
      <c r="G449" s="1"/>
      <c r="H449" s="1"/>
      <c r="I449" s="1">
        <f>IFERROR(__xludf.DUMMYFUNCTION("""COMPUTED_VALUE"""),100.0)</f>
        <v>100</v>
      </c>
      <c r="J449" s="1"/>
      <c r="K449" s="1"/>
      <c r="L449" s="1"/>
      <c r="M449" s="1"/>
      <c r="N449" s="1"/>
      <c r="O449" s="1"/>
      <c r="P449" s="1"/>
      <c r="Q449" s="1"/>
      <c r="R449" s="1"/>
      <c r="S449" s="1"/>
      <c r="T449" s="1"/>
      <c r="U449" s="1"/>
      <c r="V449" s="1"/>
      <c r="W449" s="1"/>
      <c r="X449" s="1"/>
      <c r="Y449" s="1"/>
      <c r="Z449" s="1"/>
    </row>
    <row r="450">
      <c r="A450" s="1" t="str">
        <f>IFERROR(__xludf.DUMMYFUNCTION("""COMPUTED_VALUE"""),"Divine Dark Dragon")</f>
        <v>Divine Dark Dragon</v>
      </c>
      <c r="B450" s="1">
        <f>IFERROR(__xludf.DUMMYFUNCTION("""COMPUTED_VALUE"""),100.0)</f>
        <v>100</v>
      </c>
      <c r="C450" s="1"/>
      <c r="D450" s="1"/>
      <c r="E450" s="1"/>
      <c r="F450" s="1">
        <f>IFERROR(__xludf.DUMMYFUNCTION("""COMPUTED_VALUE"""),100.0)</f>
        <v>100</v>
      </c>
      <c r="G450" s="1"/>
      <c r="H450" s="1"/>
      <c r="I450" s="1"/>
      <c r="J450" s="1"/>
      <c r="K450" s="1"/>
      <c r="L450" s="1"/>
      <c r="M450" s="1"/>
      <c r="N450" s="1"/>
      <c r="O450" s="1"/>
      <c r="P450" s="1"/>
      <c r="Q450" s="1"/>
      <c r="R450" s="1"/>
      <c r="S450" s="1"/>
      <c r="T450" s="1"/>
      <c r="U450" s="1"/>
      <c r="V450" s="1"/>
      <c r="W450" s="1"/>
      <c r="X450" s="1"/>
      <c r="Y450" s="1"/>
      <c r="Z450" s="1"/>
    </row>
    <row r="451">
      <c r="A451" s="1" t="str">
        <f>IFERROR(__xludf.DUMMYFUNCTION("""COMPUTED_VALUE"""),"Divine Delta Dragon")</f>
        <v>Divine Delta Dragon</v>
      </c>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t="str">
        <f>IFERROR(__xludf.DUMMYFUNCTION("""COMPUTED_VALUE"""),"Divine Forest Dragon")</f>
        <v>Divine Forest Dragon</v>
      </c>
      <c r="B452" s="1">
        <f>IFERROR(__xludf.DUMMYFUNCTION("""COMPUTED_VALUE"""),100.0)</f>
        <v>100</v>
      </c>
      <c r="C452" s="1"/>
      <c r="D452" s="1">
        <f>IFERROR(__xludf.DUMMYFUNCTION("""COMPUTED_VALUE"""),100.0)</f>
        <v>100</v>
      </c>
      <c r="E452" s="1"/>
      <c r="F452" s="1"/>
      <c r="G452" s="1"/>
      <c r="H452" s="1"/>
      <c r="I452" s="1"/>
      <c r="J452" s="1"/>
      <c r="K452" s="1"/>
      <c r="L452" s="1"/>
      <c r="M452" s="1"/>
      <c r="N452" s="1"/>
      <c r="O452" s="1"/>
      <c r="P452" s="1"/>
      <c r="Q452" s="1"/>
      <c r="R452" s="1"/>
      <c r="S452" s="1"/>
      <c r="T452" s="1"/>
      <c r="U452" s="1"/>
      <c r="V452" s="1"/>
      <c r="W452" s="1"/>
      <c r="X452" s="1"/>
      <c r="Y452" s="1"/>
      <c r="Z452" s="1"/>
    </row>
    <row r="453">
      <c r="A453" s="1" t="str">
        <f>IFERROR(__xludf.DUMMYFUNCTION("""COMPUTED_VALUE"""),"Divine Frost Dragon")</f>
        <v>Divine Frost Dragon</v>
      </c>
      <c r="B453" s="1">
        <f>IFERROR(__xludf.DUMMYFUNCTION("""COMPUTED_VALUE"""),100.0)</f>
        <v>100</v>
      </c>
      <c r="C453" s="1"/>
      <c r="D453" s="1"/>
      <c r="E453" s="1"/>
      <c r="F453" s="1"/>
      <c r="G453" s="1"/>
      <c r="H453" s="1"/>
      <c r="I453" s="1"/>
      <c r="J453" s="1"/>
      <c r="K453" s="1">
        <f>IFERROR(__xludf.DUMMYFUNCTION("""COMPUTED_VALUE"""),100.0)</f>
        <v>100</v>
      </c>
      <c r="L453" s="1"/>
      <c r="M453" s="1"/>
      <c r="N453" s="1"/>
      <c r="O453" s="1"/>
      <c r="P453" s="1"/>
      <c r="Q453" s="1"/>
      <c r="R453" s="1"/>
      <c r="S453" s="1"/>
      <c r="T453" s="1"/>
      <c r="U453" s="1"/>
      <c r="V453" s="1"/>
      <c r="W453" s="1"/>
      <c r="X453" s="1"/>
      <c r="Y453" s="1"/>
      <c r="Z453" s="1"/>
    </row>
    <row r="454">
      <c r="A454" s="1" t="str">
        <f>IFERROR(__xludf.DUMMYFUNCTION("""COMPUTED_VALUE"""),"Divine Soul Dragon")</f>
        <v>Divine Soul Dragon</v>
      </c>
      <c r="B454" s="1">
        <f>IFERROR(__xludf.DUMMYFUNCTION("""COMPUTED_VALUE"""),100.0)</f>
        <v>100</v>
      </c>
      <c r="C454" s="1"/>
      <c r="D454" s="1"/>
      <c r="E454" s="1"/>
      <c r="F454" s="1">
        <f>IFERROR(__xludf.DUMMYFUNCTION("""COMPUTED_VALUE"""),100.0)</f>
        <v>100</v>
      </c>
      <c r="G454" s="1"/>
      <c r="H454" s="1"/>
      <c r="I454" s="1"/>
      <c r="J454" s="1"/>
      <c r="K454" s="1"/>
      <c r="L454" s="1"/>
      <c r="M454" s="1"/>
      <c r="N454" s="1"/>
      <c r="O454" s="1"/>
      <c r="P454" s="1"/>
      <c r="Q454" s="1"/>
      <c r="R454" s="1"/>
      <c r="S454" s="1"/>
      <c r="T454" s="1"/>
      <c r="U454" s="1"/>
      <c r="V454" s="1"/>
      <c r="W454" s="1"/>
      <c r="X454" s="1"/>
      <c r="Y454" s="1"/>
      <c r="Z454" s="1"/>
    </row>
    <row r="455">
      <c r="A455" s="1" t="str">
        <f>IFERROR(__xludf.DUMMYFUNCTION("""COMPUTED_VALUE"""),"Divine Spirit Dragon")</f>
        <v>Divine Spirit Dragon</v>
      </c>
      <c r="B455" s="1">
        <f>IFERROR(__xludf.DUMMYFUNCTION("""COMPUTED_VALUE"""),100.0)</f>
        <v>100</v>
      </c>
      <c r="C455" s="1"/>
      <c r="D455" s="1"/>
      <c r="E455" s="1"/>
      <c r="F455" s="1">
        <f>IFERROR(__xludf.DUMMYFUNCTION("""COMPUTED_VALUE"""),100.0)</f>
        <v>100</v>
      </c>
      <c r="G455" s="1"/>
      <c r="H455" s="1"/>
      <c r="I455" s="1"/>
      <c r="J455" s="1"/>
      <c r="K455" s="1"/>
      <c r="L455" s="1"/>
      <c r="M455" s="1"/>
      <c r="N455" s="1"/>
      <c r="O455" s="1"/>
      <c r="P455" s="1"/>
      <c r="Q455" s="1"/>
      <c r="R455" s="1"/>
      <c r="S455" s="1"/>
      <c r="T455" s="1"/>
      <c r="U455" s="1"/>
      <c r="V455" s="1"/>
      <c r="W455" s="1"/>
      <c r="X455" s="1"/>
      <c r="Y455" s="1"/>
      <c r="Z455" s="1"/>
    </row>
    <row r="456">
      <c r="A456" s="1" t="str">
        <f>IFERROR(__xludf.DUMMYFUNCTION("""COMPUTED_VALUE"""),"Divine Stone Dragon")</f>
        <v>Divine Stone Dragon</v>
      </c>
      <c r="B456" s="1"/>
      <c r="C456" s="1">
        <f>IFERROR(__xludf.DUMMYFUNCTION("""COMPUTED_VALUE"""),100.0)</f>
        <v>100</v>
      </c>
      <c r="D456" s="1">
        <f>IFERROR(__xludf.DUMMYFUNCTION("""COMPUTED_VALUE"""),100.0)</f>
        <v>100</v>
      </c>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t="str">
        <f>IFERROR(__xludf.DUMMYFUNCTION("""COMPUTED_VALUE"""),"Divine Fire Dragon")</f>
        <v>Divine Fire Dragon</v>
      </c>
      <c r="B458" s="1"/>
      <c r="C458" s="1">
        <f>IFERROR(__xludf.DUMMYFUNCTION("""COMPUTED_VALUE"""),100.0)</f>
        <v>100</v>
      </c>
      <c r="D458" s="1"/>
      <c r="E458" s="1"/>
      <c r="F458" s="1"/>
      <c r="G458" s="1"/>
      <c r="H458" s="1"/>
      <c r="I458" s="1"/>
      <c r="J458" s="1"/>
      <c r="K458" s="1"/>
      <c r="L458" s="1"/>
      <c r="M458" s="1"/>
      <c r="N458" s="1"/>
      <c r="O458" s="1"/>
      <c r="P458" s="1"/>
      <c r="Q458" s="1"/>
      <c r="R458" s="1"/>
      <c r="S458" s="1"/>
      <c r="T458" s="1"/>
      <c r="U458" s="1"/>
      <c r="V458" s="1"/>
      <c r="W458" s="1"/>
      <c r="X458" s="1"/>
      <c r="Y458" s="1"/>
      <c r="Z458" s="1"/>
    </row>
    <row r="459">
      <c r="A459" s="1" t="str">
        <f>IFERROR(__xludf.DUMMYFUNCTION("""COMPUTED_VALUE"""),"Divine Void Dragon")</f>
        <v>Divine Void Dragon</v>
      </c>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t="str">
        <f>IFERROR(__xludf.DUMMYFUNCTION("""COMPUTED_VALUE"""),"Divine Undead Dragon")</f>
        <v>Divine Undead Dragon</v>
      </c>
      <c r="B460" s="1">
        <f>IFERROR(__xludf.DUMMYFUNCTION("""COMPUTED_VALUE"""),100.0)</f>
        <v>100</v>
      </c>
      <c r="C460" s="1"/>
      <c r="D460" s="1"/>
      <c r="E460" s="1"/>
      <c r="F460" s="1">
        <f>IFERROR(__xludf.DUMMYFUNCTION("""COMPUTED_VALUE"""),100.0)</f>
        <v>100</v>
      </c>
      <c r="G460" s="1"/>
      <c r="H460" s="1"/>
      <c r="I460" s="1"/>
      <c r="J460" s="1"/>
      <c r="K460" s="1"/>
      <c r="L460" s="1"/>
      <c r="M460" s="1"/>
      <c r="N460" s="1"/>
      <c r="O460" s="1"/>
      <c r="P460" s="1"/>
      <c r="Q460" s="1"/>
      <c r="R460" s="1"/>
      <c r="S460" s="1"/>
      <c r="T460" s="1"/>
      <c r="U460" s="1"/>
      <c r="V460" s="1"/>
      <c r="W460" s="1"/>
      <c r="X460" s="1"/>
      <c r="Y460" s="1"/>
      <c r="Z460" s="1"/>
    </row>
    <row r="461">
      <c r="A461" s="1" t="str">
        <f>IFERROR(__xludf.DUMMYFUNCTION("""COMPUTED_VALUE"""),"Divine Crystal Dragon")</f>
        <v>Divine Crystal Dragon</v>
      </c>
      <c r="B461" s="1"/>
      <c r="C461" s="1">
        <f>IFERROR(__xludf.DUMMYFUNCTION("""COMPUTED_VALUE"""),100.0)</f>
        <v>100</v>
      </c>
      <c r="D461" s="1">
        <f>IFERROR(__xludf.DUMMYFUNCTION("""COMPUTED_VALUE"""),100.0)</f>
        <v>100</v>
      </c>
      <c r="E461" s="1"/>
      <c r="F461" s="1"/>
      <c r="G461" s="1"/>
      <c r="H461" s="1"/>
      <c r="I461" s="1"/>
      <c r="J461" s="1"/>
      <c r="K461" s="1"/>
      <c r="L461" s="1"/>
      <c r="M461" s="1"/>
      <c r="N461" s="1"/>
      <c r="O461" s="1"/>
      <c r="P461" s="1"/>
      <c r="Q461" s="1"/>
      <c r="R461" s="1"/>
      <c r="S461" s="1"/>
      <c r="T461" s="1"/>
      <c r="U461" s="1"/>
      <c r="V461" s="1"/>
      <c r="W461" s="1"/>
      <c r="X461" s="1"/>
      <c r="Y461" s="1"/>
      <c r="Z461" s="1"/>
    </row>
    <row r="462">
      <c r="A462" s="1" t="str">
        <f>IFERROR(__xludf.DUMMYFUNCTION("""COMPUTED_VALUE"""),"Acid Wyrm")</f>
        <v>Acid Wyrm</v>
      </c>
      <c r="B462" s="1">
        <f>IFERROR(__xludf.DUMMYFUNCTION("""COMPUTED_VALUE"""),100.0)</f>
        <v>100</v>
      </c>
      <c r="C462" s="1"/>
      <c r="D462" s="1">
        <f>IFERROR(__xludf.DUMMYFUNCTION("""COMPUTED_VALUE"""),100.0)</f>
        <v>100</v>
      </c>
      <c r="E462" s="1"/>
      <c r="F462" s="1"/>
      <c r="G462" s="1"/>
      <c r="H462" s="1"/>
      <c r="I462" s="1"/>
      <c r="J462" s="1"/>
      <c r="K462" s="1"/>
      <c r="L462" s="1"/>
      <c r="M462" s="1"/>
      <c r="N462" s="1"/>
      <c r="O462" s="1"/>
      <c r="P462" s="1"/>
      <c r="Q462" s="1"/>
      <c r="R462" s="1"/>
      <c r="S462" s="1"/>
      <c r="T462" s="1"/>
      <c r="U462" s="1"/>
      <c r="V462" s="1"/>
      <c r="W462" s="1"/>
      <c r="X462" s="1"/>
      <c r="Y462" s="1"/>
      <c r="Z462" s="1"/>
    </row>
    <row r="463">
      <c r="A463" s="1" t="str">
        <f>IFERROR(__xludf.DUMMYFUNCTION("""COMPUTED_VALUE"""),"Astral Wyrm")</f>
        <v>Astral Wyrm</v>
      </c>
      <c r="B463" s="1"/>
      <c r="C463" s="1"/>
      <c r="D463" s="1"/>
      <c r="E463" s="1"/>
      <c r="F463" s="1"/>
      <c r="G463" s="1"/>
      <c r="H463" s="1"/>
      <c r="I463" s="1"/>
      <c r="J463" s="1"/>
      <c r="K463" s="1"/>
      <c r="L463" s="1"/>
      <c r="M463" s="1"/>
      <c r="N463" s="1"/>
      <c r="O463" s="1"/>
      <c r="P463" s="1"/>
      <c r="Q463" s="1"/>
      <c r="R463" s="1"/>
      <c r="S463" s="1"/>
      <c r="T463" s="1"/>
      <c r="U463" s="1"/>
      <c r="V463" s="1"/>
      <c r="W463" s="1">
        <f>IFERROR(__xludf.DUMMYFUNCTION("""COMPUTED_VALUE"""),100.0)</f>
        <v>100</v>
      </c>
      <c r="X463" s="1"/>
      <c r="Y463" s="1"/>
      <c r="Z463" s="1"/>
    </row>
    <row r="464">
      <c r="A464" s="1" t="str">
        <f>IFERROR(__xludf.DUMMYFUNCTION("""COMPUTED_VALUE"""),"Celestial Wyrm")</f>
        <v>Celestial Wyrm</v>
      </c>
      <c r="B464" s="1"/>
      <c r="C464" s="1"/>
      <c r="D464" s="1"/>
      <c r="E464" s="1"/>
      <c r="F464" s="1"/>
      <c r="G464" s="1"/>
      <c r="H464" s="1"/>
      <c r="I464" s="1"/>
      <c r="J464" s="1"/>
      <c r="K464" s="1"/>
      <c r="L464" s="1"/>
      <c r="M464" s="1"/>
      <c r="N464" s="1"/>
      <c r="O464" s="1"/>
      <c r="P464" s="1"/>
      <c r="Q464" s="1"/>
      <c r="R464" s="1"/>
      <c r="S464" s="1"/>
      <c r="T464" s="1"/>
      <c r="U464" s="1"/>
      <c r="V464" s="1">
        <f>IFERROR(__xludf.DUMMYFUNCTION("""COMPUTED_VALUE"""),100.0)</f>
        <v>100</v>
      </c>
      <c r="W464" s="1"/>
      <c r="X464" s="1"/>
      <c r="Y464" s="1"/>
      <c r="Z464" s="1"/>
    </row>
    <row r="465">
      <c r="A465" s="1" t="str">
        <f>IFERROR(__xludf.DUMMYFUNCTION("""COMPUTED_VALUE"""),"Chaos Wyrm")</f>
        <v>Chaos Wyrm</v>
      </c>
      <c r="B465" s="1"/>
      <c r="C465" s="1"/>
      <c r="D465" s="1"/>
      <c r="E465" s="1"/>
      <c r="F465" s="1"/>
      <c r="G465" s="1"/>
      <c r="H465" s="1"/>
      <c r="I465" s="1">
        <f>IFERROR(__xludf.DUMMYFUNCTION("""COMPUTED_VALUE"""),100.0)</f>
        <v>100</v>
      </c>
      <c r="J465" s="1"/>
      <c r="K465" s="1"/>
      <c r="L465" s="1"/>
      <c r="M465" s="1"/>
      <c r="N465" s="1"/>
      <c r="O465" s="1"/>
      <c r="P465" s="1"/>
      <c r="Q465" s="1"/>
      <c r="R465" s="1"/>
      <c r="S465" s="1"/>
      <c r="T465" s="1"/>
      <c r="U465" s="1"/>
      <c r="V465" s="1"/>
      <c r="W465" s="1"/>
      <c r="X465" s="1"/>
      <c r="Y465" s="1"/>
      <c r="Z465" s="1"/>
    </row>
    <row r="466">
      <c r="A466" s="1" t="str">
        <f>IFERROR(__xludf.DUMMYFUNCTION("""COMPUTED_VALUE"""),"Dark Wyrm")</f>
        <v>Dark Wyrm</v>
      </c>
      <c r="B466" s="1">
        <f>IFERROR(__xludf.DUMMYFUNCTION("""COMPUTED_VALUE"""),100.0)</f>
        <v>100</v>
      </c>
      <c r="C466" s="1"/>
      <c r="D466" s="1"/>
      <c r="E466" s="1"/>
      <c r="F466" s="1">
        <f>IFERROR(__xludf.DUMMYFUNCTION("""COMPUTED_VALUE"""),100.0)</f>
        <v>100</v>
      </c>
      <c r="G466" s="1"/>
      <c r="H466" s="1"/>
      <c r="I466" s="1"/>
      <c r="J466" s="1"/>
      <c r="K466" s="1"/>
      <c r="L466" s="1"/>
      <c r="M466" s="1"/>
      <c r="N466" s="1"/>
      <c r="O466" s="1"/>
      <c r="P466" s="1"/>
      <c r="Q466" s="1"/>
      <c r="R466" s="1"/>
      <c r="S466" s="1"/>
      <c r="T466" s="1"/>
      <c r="U466" s="1"/>
      <c r="V466" s="1"/>
      <c r="W466" s="1"/>
      <c r="X466" s="1"/>
      <c r="Y466" s="1"/>
      <c r="Z466" s="1"/>
    </row>
    <row r="467">
      <c r="A467" s="1" t="str">
        <f>IFERROR(__xludf.DUMMYFUNCTION("""COMPUTED_VALUE"""),"Delta Wyrm")</f>
        <v>Delta Wyrm</v>
      </c>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t="str">
        <f>IFERROR(__xludf.DUMMYFUNCTION("""COMPUTED_VALUE"""),"Frost Wyrm")</f>
        <v>Frost Wyrm</v>
      </c>
      <c r="B468" s="1">
        <f>IFERROR(__xludf.DUMMYFUNCTION("""COMPUTED_VALUE"""),100.0)</f>
        <v>100</v>
      </c>
      <c r="C468" s="1"/>
      <c r="D468" s="1"/>
      <c r="E468" s="1"/>
      <c r="F468" s="1"/>
      <c r="G468" s="1"/>
      <c r="H468" s="1"/>
      <c r="I468" s="1"/>
      <c r="J468" s="1"/>
      <c r="K468" s="1">
        <f>IFERROR(__xludf.DUMMYFUNCTION("""COMPUTED_VALUE"""),100.0)</f>
        <v>100</v>
      </c>
      <c r="L468" s="1"/>
      <c r="M468" s="1"/>
      <c r="N468" s="1"/>
      <c r="O468" s="1"/>
      <c r="P468" s="1"/>
      <c r="Q468" s="1"/>
      <c r="R468" s="1"/>
      <c r="S468" s="1"/>
      <c r="T468" s="1"/>
      <c r="U468" s="1"/>
      <c r="V468" s="1"/>
      <c r="W468" s="1"/>
      <c r="X468" s="1"/>
      <c r="Y468" s="1"/>
      <c r="Z468" s="1"/>
    </row>
    <row r="469">
      <c r="A469" s="1" t="str">
        <f>IFERROR(__xludf.DUMMYFUNCTION("""COMPUTED_VALUE"""),"Soul Wyrm")</f>
        <v>Soul Wyrm</v>
      </c>
      <c r="B469" s="1">
        <f>IFERROR(__xludf.DUMMYFUNCTION("""COMPUTED_VALUE"""),100.0)</f>
        <v>100</v>
      </c>
      <c r="C469" s="1"/>
      <c r="D469" s="1"/>
      <c r="E469" s="1"/>
      <c r="F469" s="1">
        <f>IFERROR(__xludf.DUMMYFUNCTION("""COMPUTED_VALUE"""),100.0)</f>
        <v>100</v>
      </c>
      <c r="G469" s="1"/>
      <c r="H469" s="1"/>
      <c r="I469" s="1"/>
      <c r="J469" s="1"/>
      <c r="K469" s="1"/>
      <c r="L469" s="1"/>
      <c r="M469" s="1"/>
      <c r="N469" s="1"/>
      <c r="O469" s="1"/>
      <c r="P469" s="1"/>
      <c r="Q469" s="1"/>
      <c r="R469" s="1"/>
      <c r="S469" s="1"/>
      <c r="T469" s="1"/>
      <c r="U469" s="1"/>
      <c r="V469" s="1"/>
      <c r="W469" s="1"/>
      <c r="X469" s="1"/>
      <c r="Y469" s="1"/>
      <c r="Z469" s="1"/>
    </row>
    <row r="470">
      <c r="A470" s="1" t="str">
        <f>IFERROR(__xludf.DUMMYFUNCTION("""COMPUTED_VALUE"""),"Spirit Wyrm")</f>
        <v>Spirit Wyrm</v>
      </c>
      <c r="B470" s="1">
        <f>IFERROR(__xludf.DUMMYFUNCTION("""COMPUTED_VALUE"""),100.0)</f>
        <v>100</v>
      </c>
      <c r="C470" s="1"/>
      <c r="D470" s="1"/>
      <c r="E470" s="1"/>
      <c r="F470" s="1">
        <f>IFERROR(__xludf.DUMMYFUNCTION("""COMPUTED_VALUE"""),100.0)</f>
        <v>100</v>
      </c>
      <c r="G470" s="1"/>
      <c r="H470" s="1"/>
      <c r="I470" s="1"/>
      <c r="J470" s="1"/>
      <c r="K470" s="1"/>
      <c r="L470" s="1"/>
      <c r="M470" s="1"/>
      <c r="N470" s="1"/>
      <c r="O470" s="1"/>
      <c r="P470" s="1"/>
      <c r="Q470" s="1"/>
      <c r="R470" s="1"/>
      <c r="S470" s="1"/>
      <c r="T470" s="1"/>
      <c r="U470" s="1"/>
      <c r="V470" s="1"/>
      <c r="W470" s="1"/>
      <c r="X470" s="1"/>
      <c r="Y470" s="1"/>
      <c r="Z470" s="1"/>
    </row>
    <row r="471">
      <c r="A471" s="1" t="str">
        <f>IFERROR(__xludf.DUMMYFUNCTION("""COMPUTED_VALUE"""),"Komodo Dragon")</f>
        <v>Komodo Dragon</v>
      </c>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t="str">
        <f>IFERROR(__xludf.DUMMYFUNCTION("""COMPUTED_VALUE"""),"Undead Wyrm")</f>
        <v>Undead Wyrm</v>
      </c>
      <c r="B473" s="1">
        <f>IFERROR(__xludf.DUMMYFUNCTION("""COMPUTED_VALUE"""),50.0)</f>
        <v>50</v>
      </c>
      <c r="C473" s="1"/>
      <c r="D473" s="1"/>
      <c r="E473" s="1"/>
      <c r="F473" s="1">
        <f>IFERROR(__xludf.DUMMYFUNCTION("""COMPUTED_VALUE"""),50.0)</f>
        <v>50</v>
      </c>
      <c r="G473" s="1"/>
      <c r="H473" s="1"/>
      <c r="I473" s="1"/>
      <c r="J473" s="1"/>
      <c r="K473" s="1"/>
      <c r="L473" s="1"/>
      <c r="M473" s="1"/>
      <c r="N473" s="1"/>
      <c r="O473" s="1"/>
      <c r="P473" s="1"/>
      <c r="Q473" s="1"/>
      <c r="R473" s="1"/>
      <c r="S473" s="1"/>
      <c r="T473" s="1"/>
      <c r="U473" s="1"/>
      <c r="V473" s="1"/>
      <c r="W473" s="1"/>
      <c r="X473" s="1"/>
      <c r="Y473" s="1"/>
      <c r="Z473" s="1"/>
    </row>
    <row r="474">
      <c r="A474" s="1" t="str">
        <f>IFERROR(__xludf.DUMMYFUNCTION("""COMPUTED_VALUE"""),"Crystal Wyrm")</f>
        <v>Crystal Wyrm</v>
      </c>
      <c r="B474" s="1"/>
      <c r="C474" s="1">
        <f>IFERROR(__xludf.DUMMYFUNCTION("""COMPUTED_VALUE"""),50.0)</f>
        <v>50</v>
      </c>
      <c r="D474" s="1">
        <f>IFERROR(__xludf.DUMMYFUNCTION("""COMPUTED_VALUE"""),100.0)</f>
        <v>100</v>
      </c>
      <c r="E474" s="1"/>
      <c r="F474" s="1"/>
      <c r="G474" s="1"/>
      <c r="H474" s="1"/>
      <c r="I474" s="1"/>
      <c r="J474" s="1"/>
      <c r="K474" s="1"/>
      <c r="L474" s="1"/>
      <c r="M474" s="1"/>
      <c r="N474" s="1"/>
      <c r="O474" s="1"/>
      <c r="P474" s="1"/>
      <c r="Q474" s="1"/>
      <c r="R474" s="1"/>
      <c r="S474" s="1"/>
      <c r="T474" s="1"/>
      <c r="U474" s="1"/>
      <c r="V474" s="1"/>
      <c r="W474" s="1"/>
      <c r="X474" s="1"/>
      <c r="Y474" s="1"/>
      <c r="Z474" s="1"/>
    </row>
    <row r="475">
      <c r="A475" s="1" t="str">
        <f>IFERROR(__xludf.DUMMYFUNCTION("""COMPUTED_VALUE"""),"Lizardfolk Wizard")</f>
        <v>Lizardfolk Wizard</v>
      </c>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t="str">
        <f>IFERROR(__xludf.DUMMYFUNCTION("""COMPUTED_VALUE"""),"Lizardfolk Thief")</f>
        <v>Lizardfolk Thief</v>
      </c>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t="str">
        <f>IFERROR(__xludf.DUMMYFUNCTION("""COMPUTED_VALUE"""),"Lizardfolk Warrior")</f>
        <v>Lizardfolk Warrior</v>
      </c>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t="str">
        <f>IFERROR(__xludf.DUMMYFUNCTION("""COMPUTED_VALUE"""),"Iguanian  Assassin")</f>
        <v>Iguanian  Assassin</v>
      </c>
      <c r="B478" s="1"/>
      <c r="C478" s="1"/>
      <c r="D478" s="1"/>
      <c r="E478" s="1"/>
      <c r="F478" s="1"/>
      <c r="G478" s="1"/>
      <c r="H478" s="1"/>
      <c r="I478" s="1"/>
      <c r="J478" s="1"/>
      <c r="K478" s="1">
        <f>IFERROR(__xludf.DUMMYFUNCTION("""COMPUTED_VALUE"""),100.0)</f>
        <v>100</v>
      </c>
      <c r="L478" s="1"/>
      <c r="M478" s="1"/>
      <c r="N478" s="1"/>
      <c r="O478" s="1"/>
      <c r="P478" s="1"/>
      <c r="Q478" s="1"/>
      <c r="R478" s="1"/>
      <c r="S478" s="1"/>
      <c r="T478" s="1"/>
      <c r="U478" s="1"/>
      <c r="V478" s="1"/>
      <c r="W478" s="1"/>
      <c r="X478" s="1"/>
      <c r="Y478" s="1"/>
      <c r="Z478" s="1"/>
    </row>
    <row r="479">
      <c r="A479" s="1" t="str">
        <f>IFERROR(__xludf.DUMMYFUNCTION("""COMPUTED_VALUE"""),"Iguanian Brawler")</f>
        <v>Iguanian Brawler</v>
      </c>
      <c r="B479" s="1"/>
      <c r="C479" s="1"/>
      <c r="D479" s="1"/>
      <c r="E479" s="1"/>
      <c r="F479" s="1"/>
      <c r="G479" s="1"/>
      <c r="H479" s="1"/>
      <c r="I479" s="1"/>
      <c r="J479" s="1"/>
      <c r="K479" s="1">
        <f>IFERROR(__xludf.DUMMYFUNCTION("""COMPUTED_VALUE"""),100.0)</f>
        <v>100</v>
      </c>
      <c r="L479" s="1"/>
      <c r="M479" s="1"/>
      <c r="N479" s="1"/>
      <c r="O479" s="1"/>
      <c r="P479" s="1"/>
      <c r="Q479" s="1"/>
      <c r="R479" s="1"/>
      <c r="S479" s="1"/>
      <c r="T479" s="1"/>
      <c r="U479" s="1"/>
      <c r="V479" s="1"/>
      <c r="W479" s="1"/>
      <c r="X479" s="1"/>
      <c r="Y479" s="1"/>
      <c r="Z479" s="1"/>
    </row>
    <row r="480">
      <c r="A480" s="1" t="str">
        <f>IFERROR(__xludf.DUMMYFUNCTION("""COMPUTED_VALUE"""),"Iguanian Mage")</f>
        <v>Iguanian Mage</v>
      </c>
      <c r="B480" s="1"/>
      <c r="C480" s="1"/>
      <c r="D480" s="1"/>
      <c r="E480" s="1"/>
      <c r="F480" s="1"/>
      <c r="G480" s="1"/>
      <c r="H480" s="1"/>
      <c r="I480" s="1"/>
      <c r="J480" s="1"/>
      <c r="K480" s="1">
        <f>IFERROR(__xludf.DUMMYFUNCTION("""COMPUTED_VALUE"""),100.0)</f>
        <v>100</v>
      </c>
      <c r="L480" s="1"/>
      <c r="M480" s="1"/>
      <c r="N480" s="1"/>
      <c r="O480" s="1"/>
      <c r="P480" s="1"/>
      <c r="Q480" s="1"/>
      <c r="R480" s="1"/>
      <c r="S480" s="1"/>
      <c r="T480" s="1"/>
      <c r="U480" s="1"/>
      <c r="V480" s="1"/>
      <c r="W480" s="1"/>
      <c r="X480" s="1"/>
      <c r="Y480" s="1"/>
      <c r="Z480" s="1"/>
    </row>
    <row r="481">
      <c r="A481" s="1" t="str">
        <f>IFERROR(__xludf.DUMMYFUNCTION("""COMPUTED_VALUE"""),"Salamandrith Ranger")</f>
        <v>Salamandrith Ranger</v>
      </c>
      <c r="B481" s="1"/>
      <c r="C481" s="1">
        <f>IFERROR(__xludf.DUMMYFUNCTION("""COMPUTED_VALUE"""),100.0)</f>
        <v>100</v>
      </c>
      <c r="D481" s="1"/>
      <c r="E481" s="1"/>
      <c r="F481" s="1"/>
      <c r="G481" s="1"/>
      <c r="H481" s="1"/>
      <c r="I481" s="1"/>
      <c r="J481" s="1"/>
      <c r="K481" s="1"/>
      <c r="L481" s="1"/>
      <c r="M481" s="1"/>
      <c r="N481" s="1"/>
      <c r="O481" s="1"/>
      <c r="P481" s="1"/>
      <c r="Q481" s="1"/>
      <c r="R481" s="1"/>
      <c r="S481" s="1"/>
      <c r="T481" s="1"/>
      <c r="U481" s="1"/>
      <c r="V481" s="1"/>
      <c r="W481" s="1"/>
      <c r="X481" s="1"/>
      <c r="Y481" s="1"/>
      <c r="Z481" s="1"/>
    </row>
    <row r="482">
      <c r="A482" s="1" t="str">
        <f>IFERROR(__xludf.DUMMYFUNCTION("""COMPUTED_VALUE"""),"Salamandrith Cultist")</f>
        <v>Salamandrith Cultist</v>
      </c>
      <c r="B482" s="1"/>
      <c r="C482" s="1">
        <f>IFERROR(__xludf.DUMMYFUNCTION("""COMPUTED_VALUE"""),100.0)</f>
        <v>100</v>
      </c>
      <c r="D482" s="1"/>
      <c r="E482" s="1"/>
      <c r="F482" s="1">
        <f>IFERROR(__xludf.DUMMYFUNCTION("""COMPUTED_VALUE"""),100.0)</f>
        <v>100</v>
      </c>
      <c r="G482" s="1"/>
      <c r="H482" s="1"/>
      <c r="I482" s="1"/>
      <c r="J482" s="1"/>
      <c r="K482" s="1"/>
      <c r="L482" s="1"/>
      <c r="M482" s="1"/>
      <c r="N482" s="1"/>
      <c r="O482" s="1"/>
      <c r="P482" s="1"/>
      <c r="Q482" s="1"/>
      <c r="R482" s="1"/>
      <c r="S482" s="1"/>
      <c r="T482" s="1"/>
      <c r="U482" s="1"/>
      <c r="V482" s="1"/>
      <c r="W482" s="1"/>
      <c r="X482" s="1"/>
      <c r="Y482" s="1"/>
      <c r="Z482" s="1"/>
    </row>
    <row r="483">
      <c r="A483" s="1" t="str">
        <f>IFERROR(__xludf.DUMMYFUNCTION("""COMPUTED_VALUE"""),"Salamandrith Shaman")</f>
        <v>Salamandrith Shaman</v>
      </c>
      <c r="B483" s="1"/>
      <c r="C483" s="1">
        <f>IFERROR(__xludf.DUMMYFUNCTION("""COMPUTED_VALUE"""),100.0)</f>
        <v>100</v>
      </c>
      <c r="D483" s="1"/>
      <c r="E483" s="1"/>
      <c r="F483" s="1"/>
      <c r="G483" s="1"/>
      <c r="H483" s="1">
        <f>IFERROR(__xludf.DUMMYFUNCTION("""COMPUTED_VALUE"""),100.0)</f>
        <v>100</v>
      </c>
      <c r="I483" s="1"/>
      <c r="J483" s="1"/>
      <c r="K483" s="1"/>
      <c r="L483" s="1"/>
      <c r="M483" s="1"/>
      <c r="N483" s="1"/>
      <c r="O483" s="1"/>
      <c r="P483" s="1"/>
      <c r="Q483" s="1"/>
      <c r="R483" s="1"/>
      <c r="S483" s="1"/>
      <c r="T483" s="1"/>
      <c r="U483" s="1"/>
      <c r="V483" s="1"/>
      <c r="W483" s="1"/>
      <c r="X483" s="1"/>
      <c r="Y483" s="1"/>
      <c r="Z483" s="1"/>
    </row>
    <row r="484">
      <c r="A484" s="1" t="str">
        <f>IFERROR(__xludf.DUMMYFUNCTION("""COMPUTED_VALUE"""),"Geckorian Wandering Sword")</f>
        <v>Geckorian Wandering Sword</v>
      </c>
      <c r="B484" s="1"/>
      <c r="C484" s="1"/>
      <c r="D484" s="1"/>
      <c r="E484" s="1"/>
      <c r="F484" s="1"/>
      <c r="G484" s="1">
        <f>IFERROR(__xludf.DUMMYFUNCTION("""COMPUTED_VALUE"""),100.0)</f>
        <v>100</v>
      </c>
      <c r="H484" s="1"/>
      <c r="I484" s="1"/>
      <c r="J484" s="1"/>
      <c r="K484" s="1"/>
      <c r="L484" s="1"/>
      <c r="M484" s="1"/>
      <c r="N484" s="1"/>
      <c r="O484" s="1"/>
      <c r="P484" s="1"/>
      <c r="Q484" s="1"/>
      <c r="R484" s="1"/>
      <c r="S484" s="1"/>
      <c r="T484" s="1"/>
      <c r="U484" s="1"/>
      <c r="V484" s="1"/>
      <c r="W484" s="1"/>
      <c r="X484" s="1"/>
      <c r="Y484" s="1"/>
      <c r="Z484" s="1"/>
    </row>
    <row r="485">
      <c r="A485" s="1" t="str">
        <f>IFERROR(__xludf.DUMMYFUNCTION("""COMPUTED_VALUE"""),"Geckorian Minstrel")</f>
        <v>Geckorian Minstrel</v>
      </c>
      <c r="B485" s="1"/>
      <c r="C485" s="1"/>
      <c r="D485" s="1"/>
      <c r="E485" s="1"/>
      <c r="F485" s="1"/>
      <c r="G485" s="1">
        <f>IFERROR(__xludf.DUMMYFUNCTION("""COMPUTED_VALUE"""),100.0)</f>
        <v>100</v>
      </c>
      <c r="H485" s="1"/>
      <c r="I485" s="1"/>
      <c r="J485" s="1"/>
      <c r="K485" s="1"/>
      <c r="L485" s="1"/>
      <c r="M485" s="1"/>
      <c r="N485" s="1"/>
      <c r="O485" s="1"/>
      <c r="P485" s="1"/>
      <c r="Q485" s="1"/>
      <c r="R485" s="1"/>
      <c r="S485" s="1"/>
      <c r="T485" s="1"/>
      <c r="U485" s="1"/>
      <c r="V485" s="1"/>
      <c r="W485" s="1"/>
      <c r="X485" s="1"/>
      <c r="Y485" s="1"/>
      <c r="Z485" s="1"/>
    </row>
    <row r="486">
      <c r="A486" s="1" t="str">
        <f>IFERROR(__xludf.DUMMYFUNCTION("""COMPUTED_VALUE"""),"Geckorian Warden")</f>
        <v>Geckorian Warden</v>
      </c>
      <c r="B486" s="1"/>
      <c r="C486" s="1"/>
      <c r="D486" s="1"/>
      <c r="E486" s="1"/>
      <c r="F486" s="1"/>
      <c r="G486" s="1">
        <f>IFERROR(__xludf.DUMMYFUNCTION("""COMPUTED_VALUE"""),100.0)</f>
        <v>100</v>
      </c>
      <c r="H486" s="1"/>
      <c r="I486" s="1"/>
      <c r="J486" s="1"/>
      <c r="K486" s="1"/>
      <c r="L486" s="1"/>
      <c r="M486" s="1"/>
      <c r="N486" s="1"/>
      <c r="O486" s="1"/>
      <c r="P486" s="1"/>
      <c r="Q486" s="1"/>
      <c r="R486" s="1"/>
      <c r="S486" s="1"/>
      <c r="T486" s="1"/>
      <c r="U486" s="1"/>
      <c r="V486" s="1"/>
      <c r="W486" s="1"/>
      <c r="X486" s="1"/>
      <c r="Y486" s="1"/>
      <c r="Z486" s="1"/>
    </row>
    <row r="487">
      <c r="A487" s="1" t="str">
        <f>IFERROR(__xludf.DUMMYFUNCTION("""COMPUTED_VALUE"""),"Chameldrian Infiltrator")</f>
        <v>Chameldrian Infiltrator</v>
      </c>
      <c r="B487" s="1"/>
      <c r="C487" s="1"/>
      <c r="D487" s="1"/>
      <c r="E487" s="1"/>
      <c r="F487" s="1"/>
      <c r="G487" s="1"/>
      <c r="H487" s="1"/>
      <c r="I487" s="1">
        <f>IFERROR(__xludf.DUMMYFUNCTION("""COMPUTED_VALUE"""),100.0)</f>
        <v>100</v>
      </c>
      <c r="J487" s="1"/>
      <c r="K487" s="1"/>
      <c r="L487" s="1"/>
      <c r="M487" s="1"/>
      <c r="N487" s="1"/>
      <c r="O487" s="1"/>
      <c r="P487" s="1"/>
      <c r="Q487" s="1"/>
      <c r="R487" s="1"/>
      <c r="S487" s="1"/>
      <c r="T487" s="1"/>
      <c r="U487" s="1"/>
      <c r="V487" s="1"/>
      <c r="W487" s="1"/>
      <c r="X487" s="1"/>
      <c r="Y487" s="1"/>
      <c r="Z487" s="1"/>
    </row>
    <row r="488">
      <c r="A488" s="1" t="str">
        <f>IFERROR(__xludf.DUMMYFUNCTION("""COMPUTED_VALUE"""),"Chameldrian Druid")</f>
        <v>Chameldrian Druid</v>
      </c>
      <c r="B488" s="1">
        <f>IFERROR(__xludf.DUMMYFUNCTION("""COMPUTED_VALUE"""),100.0)</f>
        <v>100</v>
      </c>
      <c r="C488" s="1"/>
      <c r="D488" s="1"/>
      <c r="E488" s="1"/>
      <c r="F488" s="1"/>
      <c r="G488" s="1"/>
      <c r="H488" s="1"/>
      <c r="I488" s="1">
        <f>IFERROR(__xludf.DUMMYFUNCTION("""COMPUTED_VALUE"""),100.0)</f>
        <v>100</v>
      </c>
      <c r="J488" s="1"/>
      <c r="K488" s="1"/>
      <c r="L488" s="1"/>
      <c r="M488" s="1"/>
      <c r="N488" s="1"/>
      <c r="O488" s="1"/>
      <c r="P488" s="1"/>
      <c r="Q488" s="1"/>
      <c r="R488" s="1"/>
      <c r="S488" s="1"/>
      <c r="T488" s="1"/>
      <c r="U488" s="1"/>
      <c r="V488" s="1"/>
      <c r="W488" s="1"/>
      <c r="X488" s="1"/>
      <c r="Y488" s="1"/>
      <c r="Z488" s="1"/>
    </row>
    <row r="489">
      <c r="A489" s="1" t="str">
        <f>IFERROR(__xludf.DUMMYFUNCTION("""COMPUTED_VALUE"""),"Chameldrian Berserker")</f>
        <v>Chameldrian Berserker</v>
      </c>
      <c r="B489" s="1"/>
      <c r="C489" s="1"/>
      <c r="D489" s="1"/>
      <c r="E489" s="1"/>
      <c r="F489" s="1"/>
      <c r="G489" s="1"/>
      <c r="H489" s="1"/>
      <c r="I489" s="1">
        <f>IFERROR(__xludf.DUMMYFUNCTION("""COMPUTED_VALUE"""),100.0)</f>
        <v>100</v>
      </c>
      <c r="J489" s="1"/>
      <c r="K489" s="1"/>
      <c r="L489" s="1"/>
      <c r="M489" s="1"/>
      <c r="N489" s="1"/>
      <c r="O489" s="1"/>
      <c r="P489" s="1"/>
      <c r="Q489" s="1"/>
      <c r="R489" s="1"/>
      <c r="S489" s="1"/>
      <c r="T489" s="1"/>
      <c r="U489" s="1"/>
      <c r="V489" s="1"/>
      <c r="W489" s="1"/>
      <c r="X489" s="1"/>
      <c r="Y489" s="1"/>
      <c r="Z489" s="1"/>
    </row>
    <row r="490">
      <c r="A490" s="1" t="str">
        <f>IFERROR(__xludf.DUMMYFUNCTION("""COMPUTED_VALUE"""),"Ancient Wood Dragon")</f>
        <v>Ancient Wood Dragon</v>
      </c>
      <c r="B490" s="1">
        <f>IFERROR(__xludf.DUMMYFUNCTION("""COMPUTED_VALUE"""),100.0)</f>
        <v>100</v>
      </c>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t="str">
        <f>IFERROR(__xludf.DUMMYFUNCTION("""COMPUTED_VALUE"""),"Nature Elemental")</f>
        <v>Nature Elemental</v>
      </c>
      <c r="B491" s="1">
        <f>IFERROR(__xludf.DUMMYFUNCTION("""COMPUTED_VALUE"""),150.0)</f>
        <v>150</v>
      </c>
      <c r="C491" s="1"/>
      <c r="D491" s="1">
        <f>IFERROR(__xludf.DUMMYFUNCTION("""COMPUTED_VALUE"""),150.0)</f>
        <v>150</v>
      </c>
      <c r="E491" s="1"/>
      <c r="F491" s="1"/>
      <c r="G491" s="1"/>
      <c r="H491" s="1">
        <f>IFERROR(__xludf.DUMMYFUNCTION("""COMPUTED_VALUE"""),150.0)</f>
        <v>150</v>
      </c>
      <c r="I491" s="1"/>
      <c r="J491" s="1"/>
      <c r="K491" s="1"/>
      <c r="L491" s="1"/>
      <c r="M491" s="1"/>
      <c r="N491" s="1"/>
      <c r="O491" s="1"/>
      <c r="P491" s="1"/>
      <c r="Q491" s="1"/>
      <c r="R491" s="1"/>
      <c r="S491" s="1"/>
      <c r="T491" s="1"/>
      <c r="U491" s="1"/>
      <c r="V491" s="1"/>
      <c r="W491" s="1"/>
      <c r="X491" s="1"/>
      <c r="Y491" s="1"/>
      <c r="Z491" s="1"/>
    </row>
    <row r="492">
      <c r="A492" s="1" t="str">
        <f>IFERROR(__xludf.DUMMYFUNCTION("""COMPUTED_VALUE"""),"Forest Elemental")</f>
        <v>Forest Elemental</v>
      </c>
      <c r="B492" s="1">
        <f>IFERROR(__xludf.DUMMYFUNCTION("""COMPUTED_VALUE"""),100.0)</f>
        <v>100</v>
      </c>
      <c r="C492" s="1"/>
      <c r="D492" s="1">
        <f>IFERROR(__xludf.DUMMYFUNCTION("""COMPUTED_VALUE"""),100.0)</f>
        <v>100</v>
      </c>
      <c r="E492" s="1"/>
      <c r="F492" s="1"/>
      <c r="G492" s="1"/>
      <c r="H492" s="1">
        <f>IFERROR(__xludf.DUMMYFUNCTION("""COMPUTED_VALUE"""),100.0)</f>
        <v>100</v>
      </c>
      <c r="I492" s="1"/>
      <c r="J492" s="1"/>
      <c r="K492" s="1"/>
      <c r="L492" s="1"/>
      <c r="M492" s="1"/>
      <c r="N492" s="1"/>
      <c r="O492" s="1"/>
      <c r="P492" s="1"/>
      <c r="Q492" s="1"/>
      <c r="R492" s="1"/>
      <c r="S492" s="1"/>
      <c r="T492" s="1"/>
      <c r="U492" s="1"/>
      <c r="V492" s="1"/>
      <c r="W492" s="1"/>
      <c r="X492" s="1"/>
      <c r="Y492" s="1"/>
      <c r="Z492" s="1"/>
    </row>
    <row r="493">
      <c r="A493" s="1" t="str">
        <f>IFERROR(__xludf.DUMMYFUNCTION("""COMPUTED_VALUE"""),"Ancient Nature Elemental")</f>
        <v>Ancient Nature Elemental</v>
      </c>
      <c r="B493" s="1">
        <f>IFERROR(__xludf.DUMMYFUNCTION("""COMPUTED_VALUE"""),50.0)</f>
        <v>50</v>
      </c>
      <c r="C493" s="1"/>
      <c r="D493" s="1">
        <f>IFERROR(__xludf.DUMMYFUNCTION("""COMPUTED_VALUE"""),50.0)</f>
        <v>50</v>
      </c>
      <c r="E493" s="1"/>
      <c r="F493" s="1"/>
      <c r="G493" s="1"/>
      <c r="H493" s="1">
        <f>IFERROR(__xludf.DUMMYFUNCTION("""COMPUTED_VALUE"""),50.0)</f>
        <v>50</v>
      </c>
      <c r="I493" s="1"/>
      <c r="J493" s="1"/>
      <c r="K493" s="1"/>
      <c r="L493" s="1"/>
      <c r="M493" s="1"/>
      <c r="N493" s="1"/>
      <c r="O493" s="1"/>
      <c r="P493" s="1"/>
      <c r="Q493" s="1"/>
      <c r="R493" s="1"/>
      <c r="S493" s="1"/>
      <c r="T493" s="1"/>
      <c r="U493" s="1"/>
      <c r="V493" s="1"/>
      <c r="W493" s="1"/>
      <c r="X493" s="1"/>
      <c r="Y493" s="1"/>
      <c r="Z493" s="1"/>
    </row>
    <row r="494">
      <c r="A494" s="1" t="str">
        <f>IFERROR(__xludf.DUMMYFUNCTION("""COMPUTED_VALUE"""),"Earth Elemental")</f>
        <v>Earth Elemental</v>
      </c>
      <c r="B494" s="1"/>
      <c r="C494" s="1">
        <f>IFERROR(__xludf.DUMMYFUNCTION("""COMPUTED_VALUE"""),150.0)</f>
        <v>150</v>
      </c>
      <c r="D494" s="1">
        <f>IFERROR(__xludf.DUMMYFUNCTION("""COMPUTED_VALUE"""),150.0)</f>
        <v>150</v>
      </c>
      <c r="E494" s="1"/>
      <c r="F494" s="1"/>
      <c r="G494" s="1"/>
      <c r="H494" s="1">
        <f>IFERROR(__xludf.DUMMYFUNCTION("""COMPUTED_VALUE"""),150.0)</f>
        <v>150</v>
      </c>
      <c r="I494" s="1"/>
      <c r="J494" s="1"/>
      <c r="K494" s="1"/>
      <c r="L494" s="1"/>
      <c r="M494" s="1"/>
      <c r="N494" s="1"/>
      <c r="O494" s="1"/>
      <c r="P494" s="1"/>
      <c r="Q494" s="1"/>
      <c r="R494" s="1"/>
      <c r="S494" s="1"/>
      <c r="T494" s="1"/>
      <c r="U494" s="1"/>
      <c r="V494" s="1"/>
      <c r="W494" s="1"/>
      <c r="X494" s="1"/>
      <c r="Y494" s="1"/>
      <c r="Z494" s="1"/>
    </row>
    <row r="495">
      <c r="A495" s="1" t="str">
        <f>IFERROR(__xludf.DUMMYFUNCTION("""COMPUTED_VALUE"""),"Mountain Elemental")</f>
        <v>Mountain Elemental</v>
      </c>
      <c r="B495" s="1"/>
      <c r="C495" s="1">
        <f>IFERROR(__xludf.DUMMYFUNCTION("""COMPUTED_VALUE"""),100.0)</f>
        <v>100</v>
      </c>
      <c r="D495" s="1">
        <f>IFERROR(__xludf.DUMMYFUNCTION("""COMPUTED_VALUE"""),100.0)</f>
        <v>100</v>
      </c>
      <c r="E495" s="1"/>
      <c r="F495" s="1"/>
      <c r="G495" s="1"/>
      <c r="H495" s="1">
        <f>IFERROR(__xludf.DUMMYFUNCTION("""COMPUTED_VALUE"""),100.0)</f>
        <v>100</v>
      </c>
      <c r="I495" s="1"/>
      <c r="J495" s="1"/>
      <c r="K495" s="1"/>
      <c r="L495" s="1"/>
      <c r="M495" s="1"/>
      <c r="N495" s="1"/>
      <c r="O495" s="1"/>
      <c r="P495" s="1"/>
      <c r="Q495" s="1"/>
      <c r="R495" s="1"/>
      <c r="S495" s="1"/>
      <c r="T495" s="1"/>
      <c r="U495" s="1"/>
      <c r="V495" s="1"/>
      <c r="W495" s="1"/>
      <c r="X495" s="1"/>
      <c r="Y495" s="1"/>
      <c r="Z495" s="1"/>
    </row>
    <row r="496">
      <c r="A496" s="1" t="str">
        <f>IFERROR(__xludf.DUMMYFUNCTION("""COMPUTED_VALUE"""),"Ancient Earth Elemental")</f>
        <v>Ancient Earth Elemental</v>
      </c>
      <c r="B496" s="1"/>
      <c r="C496" s="1">
        <f>IFERROR(__xludf.DUMMYFUNCTION("""COMPUTED_VALUE"""),50.0)</f>
        <v>50</v>
      </c>
      <c r="D496" s="1">
        <f>IFERROR(__xludf.DUMMYFUNCTION("""COMPUTED_VALUE"""),50.0)</f>
        <v>50</v>
      </c>
      <c r="E496" s="1"/>
      <c r="F496" s="1"/>
      <c r="G496" s="1"/>
      <c r="H496" s="1">
        <f>IFERROR(__xludf.DUMMYFUNCTION("""COMPUTED_VALUE"""),50.0)</f>
        <v>50</v>
      </c>
      <c r="I496" s="1"/>
      <c r="J496" s="1"/>
      <c r="K496" s="1"/>
      <c r="L496" s="1"/>
      <c r="M496" s="1"/>
      <c r="N496" s="1"/>
      <c r="O496" s="1"/>
      <c r="P496" s="1"/>
      <c r="Q496" s="1"/>
      <c r="R496" s="1"/>
      <c r="S496" s="1"/>
      <c r="T496" s="1"/>
      <c r="U496" s="1"/>
      <c r="V496" s="1"/>
      <c r="W496" s="1"/>
      <c r="X496" s="1"/>
      <c r="Y496" s="1"/>
      <c r="Z496" s="1"/>
    </row>
    <row r="497">
      <c r="A497" s="1" t="str">
        <f>IFERROR(__xludf.DUMMYFUNCTION("""COMPUTED_VALUE"""),"Storm Elemental")</f>
        <v>Storm Elemental</v>
      </c>
      <c r="B497" s="1"/>
      <c r="C497" s="1"/>
      <c r="D497" s="1"/>
      <c r="E497" s="1"/>
      <c r="F497" s="1"/>
      <c r="G497" s="1"/>
      <c r="H497" s="1">
        <f>IFERROR(__xludf.DUMMYFUNCTION("""COMPUTED_VALUE"""),150.0)</f>
        <v>150</v>
      </c>
      <c r="I497" s="1"/>
      <c r="J497" s="1"/>
      <c r="K497" s="1"/>
      <c r="L497" s="1"/>
      <c r="M497" s="1"/>
      <c r="N497" s="1"/>
      <c r="O497" s="1"/>
      <c r="P497" s="1"/>
      <c r="Q497" s="1"/>
      <c r="R497" s="1"/>
      <c r="S497" s="1"/>
      <c r="T497" s="1"/>
      <c r="U497" s="1"/>
      <c r="V497" s="1"/>
      <c r="W497" s="1"/>
      <c r="X497" s="1"/>
      <c r="Y497" s="1"/>
      <c r="Z497" s="1"/>
    </row>
    <row r="498">
      <c r="A498" s="1" t="str">
        <f>IFERROR(__xludf.DUMMYFUNCTION("""COMPUTED_VALUE"""),"Lightning Elemental")</f>
        <v>Lightning Elemental</v>
      </c>
      <c r="B498" s="1"/>
      <c r="C498" s="1"/>
      <c r="D498" s="1"/>
      <c r="E498" s="1"/>
      <c r="F498" s="1"/>
      <c r="G498" s="1"/>
      <c r="H498" s="1">
        <f>IFERROR(__xludf.DUMMYFUNCTION("""COMPUTED_VALUE"""),100.0)</f>
        <v>100</v>
      </c>
      <c r="I498" s="1"/>
      <c r="J498" s="1"/>
      <c r="K498" s="1"/>
      <c r="L498" s="1"/>
      <c r="M498" s="1"/>
      <c r="N498" s="1"/>
      <c r="O498" s="1"/>
      <c r="P498" s="1"/>
      <c r="Q498" s="1"/>
      <c r="R498" s="1"/>
      <c r="S498" s="1"/>
      <c r="T498" s="1"/>
      <c r="U498" s="1"/>
      <c r="V498" s="1"/>
      <c r="W498" s="1"/>
      <c r="X498" s="1"/>
      <c r="Y498" s="1"/>
      <c r="Z498" s="1"/>
    </row>
    <row r="499">
      <c r="A499" s="1" t="str">
        <f>IFERROR(__xludf.DUMMYFUNCTION("""COMPUTED_VALUE"""),"Ancient Storm Elemental")</f>
        <v>Ancient Storm Elemental</v>
      </c>
      <c r="B499" s="1"/>
      <c r="C499" s="1"/>
      <c r="D499" s="1"/>
      <c r="E499" s="1"/>
      <c r="F499" s="1"/>
      <c r="G499" s="1"/>
      <c r="H499" s="1">
        <f>IFERROR(__xludf.DUMMYFUNCTION("""COMPUTED_VALUE"""),50.0)</f>
        <v>50</v>
      </c>
      <c r="I499" s="1"/>
      <c r="J499" s="1"/>
      <c r="K499" s="1"/>
      <c r="L499" s="1"/>
      <c r="M499" s="1"/>
      <c r="N499" s="1"/>
      <c r="O499" s="1"/>
      <c r="P499" s="1"/>
      <c r="Q499" s="1"/>
      <c r="R499" s="1"/>
      <c r="S499" s="1"/>
      <c r="T499" s="1"/>
      <c r="U499" s="1"/>
      <c r="V499" s="1"/>
      <c r="W499" s="1"/>
      <c r="X499" s="1"/>
      <c r="Y499" s="1"/>
      <c r="Z499" s="1"/>
    </row>
    <row r="500">
      <c r="A500" s="1" t="str">
        <f>IFERROR(__xludf.DUMMYFUNCTION("""COMPUTED_VALUE"""),"Lathom, Ancient Penumbral Elemental of Insanity")</f>
        <v>Lathom, Ancient Penumbral Elemental of Insanity</v>
      </c>
      <c r="B500" s="1"/>
      <c r="C500" s="1"/>
      <c r="D500" s="1"/>
      <c r="E500" s="1"/>
      <c r="F500" s="1">
        <f>IFERROR(__xludf.DUMMYFUNCTION("""COMPUTED_VALUE"""),25.0)</f>
        <v>25</v>
      </c>
      <c r="G500" s="1"/>
      <c r="H500" s="1">
        <f>IFERROR(__xludf.DUMMYFUNCTION("""COMPUTED_VALUE"""),25.0)</f>
        <v>25</v>
      </c>
      <c r="I500" s="1">
        <f>IFERROR(__xludf.DUMMYFUNCTION("""COMPUTED_VALUE"""),25.0)</f>
        <v>25</v>
      </c>
      <c r="J500" s="1"/>
      <c r="K500" s="1"/>
      <c r="L500" s="1"/>
      <c r="M500" s="1"/>
      <c r="N500" s="1"/>
      <c r="O500" s="1"/>
      <c r="P500" s="1"/>
      <c r="Q500" s="1"/>
      <c r="R500" s="1"/>
      <c r="S500" s="1"/>
      <c r="T500" s="1"/>
      <c r="U500" s="1"/>
      <c r="V500" s="1"/>
      <c r="W500" s="1"/>
      <c r="X500" s="1"/>
      <c r="Y500" s="1"/>
      <c r="Z500" s="1"/>
    </row>
    <row r="501">
      <c r="A501" s="1" t="str">
        <f>IFERROR(__xludf.DUMMYFUNCTION("""COMPUTED_VALUE"""),"Aspect of The First Dragon Keeper (Easy)")</f>
        <v>Aspect of The First Dragon Keeper (Easy)</v>
      </c>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t="str">
        <f>IFERROR(__xludf.DUMMYFUNCTION("""COMPUTED_VALUE"""),"Aspect of The First Dragon Keeper (Medium)")</f>
        <v>Aspect of The First Dragon Keeper (Medium)</v>
      </c>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t="str">
        <f>IFERROR(__xludf.DUMMYFUNCTION("""COMPUTED_VALUE"""),"Aspect of The First Dragon Keeper (Hard)")</f>
        <v>Aspect of The First Dragon Keeper (Hard)</v>
      </c>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t="str">
        <f>IFERROR(__xludf.DUMMYFUNCTION("""COMPUTED_VALUE"""),"Aspect of The First Dragon Keeper (Insane)")</f>
        <v>Aspect of The First Dragon Keeper (Insane)</v>
      </c>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t="str">
        <f>IFERROR(__xludf.DUMMYFUNCTION("""COMPUTED_VALUE"""),"The First Dragon Keeper")</f>
        <v>The First Dragon Keeper</v>
      </c>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t="str">
        <f>IFERROR(__xludf.DUMMYFUNCTION("""COMPUTED_VALUE"""),"Dragonian Inmate")</f>
        <v>Dragonian Inmate</v>
      </c>
      <c r="B506" s="1"/>
      <c r="C506" s="1"/>
      <c r="D506" s="1"/>
      <c r="E506" s="1"/>
      <c r="F506" s="1"/>
      <c r="G506" s="1"/>
      <c r="H506" s="1"/>
      <c r="I506" s="1">
        <f>IFERROR(__xludf.DUMMYFUNCTION("""COMPUTED_VALUE"""),100.0)</f>
        <v>100</v>
      </c>
      <c r="J506" s="1"/>
      <c r="K506" s="1"/>
      <c r="L506" s="1"/>
      <c r="M506" s="1"/>
      <c r="N506" s="1"/>
      <c r="O506" s="1">
        <f>IFERROR(__xludf.DUMMYFUNCTION("""COMPUTED_VALUE"""),100.0)</f>
        <v>100</v>
      </c>
      <c r="P506" s="1"/>
      <c r="Q506" s="1"/>
      <c r="R506" s="1"/>
      <c r="S506" s="1"/>
      <c r="T506" s="1"/>
      <c r="U506" s="1"/>
      <c r="V506" s="1"/>
      <c r="W506" s="1"/>
      <c r="X506" s="1"/>
      <c r="Y506" s="1"/>
      <c r="Z506" s="1"/>
    </row>
    <row r="507">
      <c r="A507" s="1" t="str">
        <f>IFERROR(__xludf.DUMMYFUNCTION("""COMPUTED_VALUE"""),"Dragonian Warden")</f>
        <v>Dragonian Warden</v>
      </c>
      <c r="B507" s="1"/>
      <c r="C507" s="1"/>
      <c r="D507" s="1"/>
      <c r="E507" s="1"/>
      <c r="F507" s="1"/>
      <c r="G507" s="1">
        <f>IFERROR(__xludf.DUMMYFUNCTION("""COMPUTED_VALUE"""),100.0)</f>
        <v>100</v>
      </c>
      <c r="H507" s="1"/>
      <c r="I507" s="1"/>
      <c r="J507" s="1">
        <f>IFERROR(__xludf.DUMMYFUNCTION("""COMPUTED_VALUE"""),100.0)</f>
        <v>100</v>
      </c>
      <c r="K507" s="1"/>
      <c r="L507" s="1"/>
      <c r="M507" s="1"/>
      <c r="N507" s="1"/>
      <c r="O507" s="1"/>
      <c r="P507" s="1"/>
      <c r="Q507" s="1"/>
      <c r="R507" s="1"/>
      <c r="S507" s="1"/>
      <c r="T507" s="1"/>
      <c r="U507" s="1"/>
      <c r="V507" s="1"/>
      <c r="W507" s="1"/>
      <c r="X507" s="1"/>
      <c r="Y507" s="1"/>
      <c r="Z507" s="1"/>
    </row>
    <row r="508">
      <c r="A508" s="1" t="str">
        <f>IFERROR(__xludf.DUMMYFUNCTION("""COMPUTED_VALUE"""),"Sand Worm Queen")</f>
        <v>Sand Worm Queen</v>
      </c>
      <c r="B508" s="1"/>
      <c r="C508" s="1"/>
      <c r="D508" s="1">
        <f>IFERROR(__xludf.DUMMYFUNCTION("""COMPUTED_VALUE"""),100.0)</f>
        <v>100</v>
      </c>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tr">
        <f>IFERROR(__xludf.DUMMYFUNCTION("IMPORTRANGE(""https://docs.google.com/spreadsheets/d/1HXoAI5UG3zq1UHqU5n7fPdbQk93qOha2VQb1r7iRi1o"",""MobsPics!A:BJ"")"),"Name")</f>
        <v>Name</v>
      </c>
      <c r="B1" s="1" t="str">
        <f>IFERROR(__xludf.DUMMYFUNCTION("""COMPUTED_VALUE"""),"Pic URL")</f>
        <v>Pic URL</v>
      </c>
      <c r="C1" s="1"/>
      <c r="D1" s="1"/>
      <c r="E1" s="1"/>
      <c r="F1" s="1"/>
      <c r="G1" s="1"/>
      <c r="H1" s="1"/>
      <c r="I1" s="1"/>
      <c r="J1" s="1"/>
      <c r="K1" s="1"/>
      <c r="L1" s="1"/>
      <c r="M1" s="1"/>
      <c r="N1" s="1"/>
      <c r="O1" s="1"/>
      <c r="P1" s="1"/>
      <c r="Q1" s="1"/>
      <c r="R1" s="1"/>
      <c r="S1" s="1"/>
      <c r="T1" s="1"/>
      <c r="U1" s="1"/>
      <c r="V1" s="1"/>
      <c r="W1" s="1"/>
      <c r="X1" s="1"/>
      <c r="Y1" s="1"/>
      <c r="Z1" s="1"/>
    </row>
    <row r="2">
      <c r="A2" s="1" t="str">
        <f>IFERROR(__xludf.DUMMYFUNCTION("""COMPUTED_VALUE"""),"Acid Dragon")</f>
        <v>Acid Dragon</v>
      </c>
      <c r="B2" s="103" t="str">
        <f>IFERROR(__xludf.DUMMYFUNCTION("""COMPUTED_VALUE"""),"https://i.pinimg.com/originals/20/02/d3/2002d3214a41bc756183bbb74b1e2084.jpg")</f>
        <v>https://i.pinimg.com/originals/20/02/d3/2002d3214a41bc756183bbb74b1e2084.jpg</v>
      </c>
      <c r="C2" s="1"/>
      <c r="D2" s="1"/>
      <c r="E2" s="1"/>
      <c r="F2" s="1"/>
      <c r="G2" s="1"/>
      <c r="H2" s="1"/>
      <c r="I2" s="1"/>
      <c r="J2" s="1"/>
      <c r="K2" s="1"/>
      <c r="L2" s="1"/>
      <c r="M2" s="1"/>
      <c r="N2" s="1"/>
      <c r="O2" s="1"/>
      <c r="P2" s="1"/>
      <c r="Q2" s="1"/>
      <c r="R2" s="1"/>
      <c r="S2" s="1"/>
      <c r="T2" s="1"/>
      <c r="U2" s="1"/>
      <c r="V2" s="1"/>
      <c r="W2" s="1"/>
      <c r="X2" s="1"/>
      <c r="Y2" s="1"/>
      <c r="Z2" s="1"/>
    </row>
    <row r="3">
      <c r="A3" s="1" t="str">
        <f>IFERROR(__xludf.DUMMYFUNCTION("""COMPUTED_VALUE"""),"Acid Slime")</f>
        <v>Acid Slime</v>
      </c>
      <c r="B3" s="103" t="str">
        <f>IFERROR(__xludf.DUMMYFUNCTION("""COMPUTED_VALUE"""),"https://static.wikia.nocookie.net/gamelore/images/5/56/Acidic_Slime.jpg/revision/latest?cb=20130501112219")</f>
        <v>https://static.wikia.nocookie.net/gamelore/images/5/56/Acidic_Slime.jpg/revision/latest?cb=20130501112219</v>
      </c>
      <c r="C3" s="1"/>
      <c r="D3" s="1"/>
      <c r="E3" s="1"/>
      <c r="F3" s="1"/>
      <c r="G3" s="1"/>
      <c r="H3" s="1"/>
      <c r="I3" s="1"/>
      <c r="J3" s="1"/>
      <c r="K3" s="1"/>
      <c r="L3" s="1"/>
      <c r="M3" s="1"/>
      <c r="N3" s="1"/>
      <c r="O3" s="1"/>
      <c r="P3" s="1"/>
      <c r="Q3" s="1"/>
      <c r="R3" s="1"/>
      <c r="S3" s="1"/>
      <c r="T3" s="1"/>
      <c r="U3" s="1"/>
      <c r="V3" s="1"/>
      <c r="W3" s="1"/>
      <c r="X3" s="1"/>
      <c r="Y3" s="1"/>
      <c r="Z3" s="1"/>
    </row>
    <row r="4">
      <c r="A4" s="1" t="str">
        <f>IFERROR(__xludf.DUMMYFUNCTION("""COMPUTED_VALUE"""),"Ancient Colossal Frost Spider")</f>
        <v>Ancient Colossal Frost Spider</v>
      </c>
      <c r="B4" s="103" t="str">
        <f>IFERROR(__xludf.DUMMYFUNCTION("""COMPUTED_VALUE"""),"https://i.pinimg.com/originals/54/dd/67/54dd67aa6b91b1f2d03d68500cc4996c.jpg")</f>
        <v>https://i.pinimg.com/originals/54/dd/67/54dd67aa6b91b1f2d03d68500cc4996c.jpg</v>
      </c>
      <c r="C4" s="1"/>
      <c r="D4" s="1"/>
      <c r="E4" s="1"/>
      <c r="F4" s="1"/>
      <c r="G4" s="1"/>
      <c r="H4" s="1"/>
      <c r="I4" s="1"/>
      <c r="J4" s="1"/>
      <c r="K4" s="1"/>
      <c r="L4" s="1"/>
      <c r="M4" s="1"/>
      <c r="N4" s="1"/>
      <c r="O4" s="1"/>
      <c r="P4" s="1"/>
      <c r="Q4" s="1"/>
      <c r="R4" s="1"/>
      <c r="S4" s="1"/>
      <c r="T4" s="1"/>
      <c r="U4" s="1"/>
      <c r="V4" s="1"/>
      <c r="W4" s="1"/>
      <c r="X4" s="1"/>
      <c r="Y4" s="1"/>
      <c r="Z4" s="1"/>
    </row>
    <row r="5">
      <c r="A5" s="1" t="str">
        <f>IFERROR(__xludf.DUMMYFUNCTION("""COMPUTED_VALUE"""),"Ancient Deer Of The Forest")</f>
        <v>Ancient Deer Of The Forest</v>
      </c>
      <c r="B5" s="103" t="str">
        <f>IFERROR(__xludf.DUMMYFUNCTION("""COMPUTED_VALUE"""),"https://media.istockphoto.com/id/1172866617/vector/man-encountering-the-legendary-deer.jpg?s=612x612&amp;w=0&amp;k=20&amp;c=ApPEcMD-2uDxlPnX3UtiG5vHNDZMxiPjj3ma1gapdXU=")</f>
        <v>https://media.istockphoto.com/id/1172866617/vector/man-encountering-the-legendary-deer.jpg?s=612x612&amp;w=0&amp;k=20&amp;c=ApPEcMD-2uDxlPnX3UtiG5vHNDZMxiPjj3ma1gapdXU=</v>
      </c>
      <c r="C5" s="1"/>
      <c r="D5" s="1"/>
      <c r="E5" s="1"/>
      <c r="F5" s="1"/>
      <c r="G5" s="1"/>
      <c r="H5" s="1"/>
      <c r="I5" s="1"/>
      <c r="J5" s="1"/>
      <c r="K5" s="1"/>
      <c r="L5" s="1"/>
      <c r="M5" s="1"/>
      <c r="N5" s="1"/>
      <c r="O5" s="1"/>
      <c r="P5" s="1"/>
      <c r="Q5" s="1"/>
      <c r="R5" s="1"/>
      <c r="S5" s="1"/>
      <c r="T5" s="1"/>
      <c r="U5" s="1"/>
      <c r="V5" s="1"/>
      <c r="W5" s="1"/>
      <c r="X5" s="1"/>
      <c r="Y5" s="1"/>
      <c r="Z5" s="1"/>
    </row>
    <row r="6">
      <c r="A6" s="1" t="str">
        <f>IFERROR(__xludf.DUMMYFUNCTION("""COMPUTED_VALUE"""),"Demon Snowman")</f>
        <v>Demon Snowman</v>
      </c>
      <c r="B6" s="103" t="str">
        <f>IFERROR(__xludf.DUMMYFUNCTION("""COMPUTED_VALUE"""),"https://cdn.wallpapersafari.com/43/30/CH4uiU.jpg")</f>
        <v>https://cdn.wallpapersafari.com/43/30/CH4uiU.jpg</v>
      </c>
      <c r="C6" s="1"/>
      <c r="D6" s="1"/>
      <c r="E6" s="1"/>
      <c r="F6" s="1"/>
      <c r="G6" s="1"/>
      <c r="H6" s="1"/>
      <c r="I6" s="1"/>
      <c r="J6" s="1"/>
      <c r="K6" s="1"/>
      <c r="L6" s="1"/>
      <c r="M6" s="1"/>
      <c r="N6" s="1"/>
      <c r="O6" s="1"/>
      <c r="P6" s="1"/>
      <c r="Q6" s="1"/>
      <c r="R6" s="1"/>
      <c r="S6" s="1"/>
      <c r="T6" s="1"/>
      <c r="U6" s="1"/>
      <c r="V6" s="1"/>
      <c r="W6" s="1"/>
      <c r="X6" s="1"/>
      <c r="Y6" s="1"/>
      <c r="Z6" s="1"/>
    </row>
    <row r="7">
      <c r="A7" s="1" t="str">
        <f>IFERROR(__xludf.DUMMYFUNCTION("""COMPUTED_VALUE"""),"Ancient Desert Serpent")</f>
        <v>Ancient Desert Serpent</v>
      </c>
      <c r="B7" s="103" t="str">
        <f>IFERROR(__xludf.DUMMYFUNCTION("""COMPUTED_VALUE"""),"https://i.pinimg.com/550x/3e/98/72/3e98725d088b55632ed4a26bd9236948.jpg")</f>
        <v>https://i.pinimg.com/550x/3e/98/72/3e98725d088b55632ed4a26bd9236948.jpg</v>
      </c>
      <c r="C7" s="1"/>
      <c r="D7" s="1"/>
      <c r="E7" s="1"/>
      <c r="F7" s="1"/>
      <c r="G7" s="1"/>
      <c r="H7" s="1"/>
      <c r="I7" s="1"/>
      <c r="J7" s="1"/>
      <c r="K7" s="1"/>
      <c r="L7" s="1"/>
      <c r="M7" s="1"/>
      <c r="N7" s="1"/>
      <c r="O7" s="1"/>
      <c r="P7" s="1"/>
      <c r="Q7" s="1"/>
      <c r="R7" s="1"/>
      <c r="S7" s="1"/>
      <c r="T7" s="1"/>
      <c r="U7" s="1"/>
      <c r="V7" s="1"/>
      <c r="W7" s="1"/>
      <c r="X7" s="1"/>
      <c r="Y7" s="1"/>
      <c r="Z7" s="1"/>
    </row>
    <row r="8">
      <c r="A8" s="1" t="str">
        <f>IFERROR(__xludf.DUMMYFUNCTION("""COMPUTED_VALUE"""),"Ancient Fire Sentinel")</f>
        <v>Ancient Fire Sentinel</v>
      </c>
      <c r="B8" s="103" t="str">
        <f>IFERROR(__xludf.DUMMYFUNCTION("""COMPUTED_VALUE"""),"https://cdna.artstation.com/p/assets/images/images/041/588/730/large/thiago-almeida-fire-sentinel-09.jpg?1632142631")</f>
        <v>https://cdna.artstation.com/p/assets/images/images/041/588/730/large/thiago-almeida-fire-sentinel-09.jpg?1632142631</v>
      </c>
      <c r="C8" s="1"/>
      <c r="D8" s="1"/>
      <c r="E8" s="1"/>
      <c r="F8" s="1"/>
      <c r="G8" s="1"/>
      <c r="H8" s="1"/>
      <c r="I8" s="1"/>
      <c r="J8" s="1"/>
      <c r="K8" s="1"/>
      <c r="L8" s="1"/>
      <c r="M8" s="1"/>
      <c r="N8" s="1"/>
      <c r="O8" s="1"/>
      <c r="P8" s="1"/>
      <c r="Q8" s="1"/>
      <c r="R8" s="1"/>
      <c r="S8" s="1"/>
      <c r="T8" s="1"/>
      <c r="U8" s="1"/>
      <c r="V8" s="1"/>
      <c r="W8" s="1"/>
      <c r="X8" s="1"/>
      <c r="Y8" s="1"/>
      <c r="Z8" s="1"/>
    </row>
    <row r="9">
      <c r="A9" s="1" t="str">
        <f>IFERROR(__xludf.DUMMYFUNCTION("""COMPUTED_VALUE"""),"Ancient Fire Serpent")</f>
        <v>Ancient Fire Serpent</v>
      </c>
      <c r="B9" s="103" t="str">
        <f>IFERROR(__xludf.DUMMYFUNCTION("""COMPUTED_VALUE"""),"https://neural.love/cdn/thumbnails/1ed9580f-c542-62d2-8bea-dd9d118dc1b7/0fb9c331-f71a-51fe-ad3e-9cfea414f345.webp?Expires=1735689599&amp;Signature=KFEDcWZ8Bs2~TazisYakTl8tEmz0gO-msAmGlTgKhj0shVZNgaAN9Wi5FaoH9CCEQg03bdAjPNXDSgOetUB4ubiDJE4bi1ZKC3uaFuStPgSKuS6z"&amp;"iIiKTt88Uhm7VJ3tWdDLbaYN1TtoYh7GtBaJ2~lvmg6DQ5GE~IGiNJvazTOMDq6zDzH1HRNkd5HHuZ0RUUj0AmVMtu9Yo1loeDVQkKVKIRONtba2B~Gjf1ywR0Cp8zpWpHfO9fAHhlvt0WnqI43rUCjJ~Jy54dJe5GgQzQj7WMyvY9NaszyTDprhBziqkvzvhp0kdKDMv4LKKaw7Tvwvhc95bAag4l1z77uFJA__&amp;Key-Pair-Id=K2RFTOXRBN"&amp;"SROX")</f>
        <v>https://neural.love/cdn/thumbnails/1ed9580f-c542-62d2-8bea-dd9d118dc1b7/0fb9c331-f71a-51fe-ad3e-9cfea414f345.webp?Expires=1735689599&amp;Signature=KFEDcWZ8Bs2~TazisYakTl8tEmz0gO-msAmGlTgKhj0shVZNgaAN9Wi5FaoH9CCEQg03bdAjPNXDSgOetUB4ubiDJE4bi1ZKC3uaFuStPgSKuS6ziIiKTt88Uhm7VJ3tWdDLbaYN1TtoYh7GtBaJ2~lvmg6DQ5GE~IGiNJvazTOMDq6zDzH1HRNkd5HHuZ0RUUj0AmVMtu9Yo1loeDVQkKVKIRONtba2B~Gjf1ywR0Cp8zpWpHfO9fAHhlvt0WnqI43rUCjJ~Jy54dJe5GgQzQj7WMyvY9NaszyTDprhBziqkvzvhp0kdKDMv4LKKaw7Tvwvhc95bAag4l1z77uFJA__&amp;Key-Pair-Id=K2RFTOXRBNSROX</v>
      </c>
      <c r="C9" s="1"/>
      <c r="D9" s="1"/>
      <c r="E9" s="1"/>
      <c r="F9" s="1"/>
      <c r="G9" s="1"/>
      <c r="H9" s="1"/>
      <c r="I9" s="1"/>
      <c r="J9" s="1"/>
      <c r="K9" s="1"/>
      <c r="L9" s="1"/>
      <c r="M9" s="1"/>
      <c r="N9" s="1"/>
      <c r="O9" s="1"/>
      <c r="P9" s="1"/>
      <c r="Q9" s="1"/>
      <c r="R9" s="1"/>
      <c r="S9" s="1"/>
      <c r="T9" s="1"/>
      <c r="U9" s="1"/>
      <c r="V9" s="1"/>
      <c r="W9" s="1"/>
      <c r="X9" s="1"/>
      <c r="Y9" s="1"/>
      <c r="Z9" s="1"/>
    </row>
    <row r="10">
      <c r="A10" s="1" t="str">
        <f>IFERROR(__xludf.DUMMYFUNCTION("""COMPUTED_VALUE"""),"Flame Ostrich")</f>
        <v>Flame Ostrich</v>
      </c>
      <c r="B10" s="103" t="str">
        <f>IFERROR(__xludf.DUMMYFUNCTION("""COMPUTED_VALUE"""),"https://cdna.artstation.com/p/assets/images/images/021/098/140/large/martin-malek-fireballostrich09-b.jpg?1570394497")</f>
        <v>https://cdna.artstation.com/p/assets/images/images/021/098/140/large/martin-malek-fireballostrich09-b.jpg?1570394497</v>
      </c>
      <c r="C10" s="1"/>
      <c r="D10" s="1"/>
      <c r="E10" s="1"/>
      <c r="F10" s="1"/>
      <c r="G10" s="1"/>
      <c r="H10" s="1"/>
      <c r="I10" s="1"/>
      <c r="J10" s="1"/>
      <c r="K10" s="1"/>
      <c r="L10" s="1"/>
      <c r="M10" s="1"/>
      <c r="N10" s="1"/>
      <c r="O10" s="1"/>
      <c r="P10" s="1"/>
      <c r="Q10" s="1"/>
      <c r="R10" s="1"/>
      <c r="S10" s="1"/>
      <c r="T10" s="1"/>
      <c r="U10" s="1"/>
      <c r="V10" s="1"/>
      <c r="W10" s="1"/>
      <c r="X10" s="1"/>
      <c r="Y10" s="1"/>
      <c r="Z10" s="1"/>
    </row>
    <row r="11">
      <c r="A11" s="1" t="str">
        <f>IFERROR(__xludf.DUMMYFUNCTION("""COMPUTED_VALUE"""),"Ancient Forest Colossus")</f>
        <v>Ancient Forest Colossus</v>
      </c>
      <c r="B11" s="103" t="str">
        <f>IFERROR(__xludf.DUMMYFUNCTION("""COMPUTED_VALUE"""),"https://i.pinimg.com/originals/84/06/37/840637b0782d1f2f1130998b52323f2f.jpg")</f>
        <v>https://i.pinimg.com/originals/84/06/37/840637b0782d1f2f1130998b52323f2f.jpg</v>
      </c>
      <c r="C11" s="1"/>
      <c r="D11" s="1"/>
      <c r="E11" s="1"/>
      <c r="F11" s="1"/>
      <c r="G11" s="1"/>
      <c r="H11" s="1"/>
      <c r="I11" s="1"/>
      <c r="J11" s="1"/>
      <c r="K11" s="1"/>
      <c r="L11" s="1"/>
      <c r="M11" s="1"/>
      <c r="N11" s="1"/>
      <c r="O11" s="1"/>
      <c r="P11" s="1"/>
      <c r="Q11" s="1"/>
      <c r="R11" s="1"/>
      <c r="S11" s="1"/>
      <c r="T11" s="1"/>
      <c r="U11" s="1"/>
      <c r="V11" s="1"/>
      <c r="W11" s="1"/>
      <c r="X11" s="1"/>
      <c r="Y11" s="1"/>
      <c r="Z11" s="1"/>
    </row>
    <row r="12">
      <c r="A12" s="1" t="str">
        <f>IFERROR(__xludf.DUMMYFUNCTION("""COMPUTED_VALUE"""),"Frost Colossus")</f>
        <v>Frost Colossus</v>
      </c>
      <c r="B12" s="103" t="str">
        <f>IFERROR(__xludf.DUMMYFUNCTION("""COMPUTED_VALUE"""),"https://i.pinimg.com/236x/69/40/6c/69406c316f7785f1fe56576643bab2b3--mystic-heroes.jpg")</f>
        <v>https://i.pinimg.com/236x/69/40/6c/69406c316f7785f1fe56576643bab2b3--mystic-heroes.jpg</v>
      </c>
      <c r="C12" s="1"/>
      <c r="D12" s="1"/>
      <c r="E12" s="1"/>
      <c r="F12" s="1"/>
      <c r="G12" s="1"/>
      <c r="H12" s="1"/>
      <c r="I12" s="1"/>
      <c r="J12" s="1"/>
      <c r="K12" s="1"/>
      <c r="L12" s="1"/>
      <c r="M12" s="1"/>
      <c r="N12" s="1"/>
      <c r="O12" s="1"/>
      <c r="P12" s="1"/>
      <c r="Q12" s="1"/>
      <c r="R12" s="1"/>
      <c r="S12" s="1"/>
      <c r="T12" s="1"/>
      <c r="U12" s="1"/>
      <c r="V12" s="1"/>
      <c r="W12" s="1"/>
      <c r="X12" s="1"/>
      <c r="Y12" s="1"/>
      <c r="Z12" s="1"/>
    </row>
    <row r="13">
      <c r="A13" s="1" t="str">
        <f>IFERROR(__xludf.DUMMYFUNCTION("""COMPUTED_VALUE"""),"Frost Cyclops")</f>
        <v>Frost Cyclops</v>
      </c>
      <c r="B13" s="103" t="str">
        <f>IFERROR(__xludf.DUMMYFUNCTION("""COMPUTED_VALUE"""),"https://cdnb.artstation.com/p/assets/images/images/023/228/359/large/nail-enikeev-ogr-3.jpg?1578518907")</f>
        <v>https://cdnb.artstation.com/p/assets/images/images/023/228/359/large/nail-enikeev-ogr-3.jpg?1578518907</v>
      </c>
      <c r="C13" s="1"/>
      <c r="D13" s="1"/>
      <c r="E13" s="1"/>
      <c r="F13" s="1"/>
      <c r="G13" s="1"/>
      <c r="H13" s="1"/>
      <c r="I13" s="1"/>
      <c r="J13" s="1"/>
      <c r="K13" s="1"/>
      <c r="L13" s="1"/>
      <c r="M13" s="1"/>
      <c r="N13" s="1"/>
      <c r="O13" s="1"/>
      <c r="P13" s="1"/>
      <c r="Q13" s="1"/>
      <c r="R13" s="1"/>
      <c r="S13" s="1"/>
      <c r="T13" s="1"/>
      <c r="U13" s="1"/>
      <c r="V13" s="1"/>
      <c r="W13" s="1"/>
      <c r="X13" s="1"/>
      <c r="Y13" s="1"/>
      <c r="Z13" s="1"/>
    </row>
    <row r="14">
      <c r="A14" s="1" t="str">
        <f>IFERROR(__xludf.DUMMYFUNCTION("""COMPUTED_VALUE"""),"Frost Grand Mage")</f>
        <v>Frost Grand Mage</v>
      </c>
      <c r="B14" s="103" t="str">
        <f>IFERROR(__xludf.DUMMYFUNCTION("""COMPUTED_VALUE"""),"https://64.media.tumblr.com/933d3cacc2489301f26e3e0cdae7fc4a/tumblr_nfpl5mXmaN1tv3g49o1_640.jpg")</f>
        <v>https://64.media.tumblr.com/933d3cacc2489301f26e3e0cdae7fc4a/tumblr_nfpl5mXmaN1tv3g49o1_640.jpg</v>
      </c>
      <c r="C14" s="1"/>
      <c r="D14" s="1"/>
      <c r="E14" s="1"/>
      <c r="F14" s="1"/>
      <c r="G14" s="1"/>
      <c r="H14" s="1"/>
      <c r="I14" s="1"/>
      <c r="J14" s="1"/>
      <c r="K14" s="1"/>
      <c r="L14" s="1"/>
      <c r="M14" s="1"/>
      <c r="N14" s="1"/>
      <c r="O14" s="1"/>
      <c r="P14" s="1"/>
      <c r="Q14" s="1"/>
      <c r="R14" s="1"/>
      <c r="S14" s="1"/>
      <c r="T14" s="1"/>
      <c r="U14" s="1"/>
      <c r="V14" s="1"/>
      <c r="W14" s="1"/>
      <c r="X14" s="1"/>
      <c r="Y14" s="1"/>
      <c r="Z14" s="1"/>
    </row>
    <row r="15">
      <c r="A15" s="1" t="str">
        <f>IFERROR(__xludf.DUMMYFUNCTION("""COMPUTED_VALUE"""),"Frost King")</f>
        <v>Frost King</v>
      </c>
      <c r="B15" s="103" t="str">
        <f>IFERROR(__xludf.DUMMYFUNCTION("""COMPUTED_VALUE"""),"https://i.pinimg.com/564x/b9/d0/49/b9d0494a3876174ef259d340cf2b05fe.jpg")</f>
        <v>https://i.pinimg.com/564x/b9/d0/49/b9d0494a3876174ef259d340cf2b05fe.jpg</v>
      </c>
      <c r="C15" s="1"/>
      <c r="D15" s="1"/>
      <c r="E15" s="1"/>
      <c r="F15" s="1"/>
      <c r="G15" s="1"/>
      <c r="H15" s="1"/>
      <c r="I15" s="1"/>
      <c r="J15" s="1"/>
      <c r="K15" s="1"/>
      <c r="L15" s="1"/>
      <c r="M15" s="1"/>
      <c r="N15" s="1"/>
      <c r="O15" s="1"/>
      <c r="P15" s="1"/>
      <c r="Q15" s="1"/>
      <c r="R15" s="1"/>
      <c r="S15" s="1"/>
      <c r="T15" s="1"/>
      <c r="U15" s="1"/>
      <c r="V15" s="1"/>
      <c r="W15" s="1"/>
      <c r="X15" s="1"/>
      <c r="Y15" s="1"/>
      <c r="Z15" s="1"/>
    </row>
    <row r="16">
      <c r="A16" s="1" t="str">
        <f>IFERROR(__xludf.DUMMYFUNCTION("""COMPUTED_VALUE"""),"Frost Queen")</f>
        <v>Frost Queen</v>
      </c>
      <c r="B16" s="103" t="str">
        <f>IFERROR(__xludf.DUMMYFUNCTION("""COMPUTED_VALUE"""),"https://cdn.discordapp.com/attachments/1146968765842608128/1192328087749283901/artworks-eNG3jvcSA7BHeYJ1-0sK2gw-t500x500.png?ex=65a8ad10&amp;is=65963810&amp;hm=bb329c3861dd8ac0d0b50309b1a5a1f32325807073c3294f82a7ebb00b080a3d&amp;")</f>
        <v>https://cdn.discordapp.com/attachments/1146968765842608128/1192328087749283901/artworks-eNG3jvcSA7BHeYJ1-0sK2gw-t500x500.png?ex=65a8ad10&amp;is=65963810&amp;hm=bb329c3861dd8ac0d0b50309b1a5a1f32325807073c3294f82a7ebb00b080a3d&amp;</v>
      </c>
      <c r="C16" s="1"/>
      <c r="D16" s="1"/>
      <c r="E16" s="1"/>
      <c r="F16" s="1"/>
      <c r="G16" s="1"/>
      <c r="H16" s="1"/>
      <c r="I16" s="1"/>
      <c r="J16" s="1"/>
      <c r="K16" s="1"/>
      <c r="L16" s="1"/>
      <c r="M16" s="1"/>
      <c r="N16" s="1"/>
      <c r="O16" s="1"/>
      <c r="P16" s="1"/>
      <c r="Q16" s="1"/>
      <c r="R16" s="1"/>
      <c r="S16" s="1"/>
      <c r="T16" s="1"/>
      <c r="U16" s="1"/>
      <c r="V16" s="1"/>
      <c r="W16" s="1"/>
      <c r="X16" s="1"/>
      <c r="Y16" s="1"/>
      <c r="Z16" s="1"/>
    </row>
    <row r="17">
      <c r="A17" s="1" t="str">
        <f>IFERROR(__xludf.DUMMYFUNCTION("""COMPUTED_VALUE"""),"Sea Dinosaur (WD)")</f>
        <v>Sea Dinosaur (WD)</v>
      </c>
      <c r="B17" s="103" t="str">
        <f>IFERROR(__xludf.DUMMYFUNCTION("""COMPUTED_VALUE"""),"https://img.freepik.com/premium-photo/epic-fantasy-illustration-featuring-mythical-sea-creature-beautiful-magic-mysterious-tale-generative-ai_742252-9510.jpg?w=2000")</f>
        <v>https://img.freepik.com/premium-photo/epic-fantasy-illustration-featuring-mythical-sea-creature-beautiful-magic-mysterious-tale-generative-ai_742252-9510.jpg?w=2000</v>
      </c>
      <c r="C17" s="1"/>
      <c r="D17" s="1"/>
      <c r="E17" s="1"/>
      <c r="F17" s="1"/>
      <c r="G17" s="1"/>
      <c r="H17" s="1"/>
      <c r="I17" s="1"/>
      <c r="J17" s="1"/>
      <c r="K17" s="1"/>
      <c r="L17" s="1"/>
      <c r="M17" s="1"/>
      <c r="N17" s="1"/>
      <c r="O17" s="1"/>
      <c r="P17" s="1"/>
      <c r="Q17" s="1"/>
      <c r="R17" s="1"/>
      <c r="S17" s="1"/>
      <c r="T17" s="1"/>
      <c r="U17" s="1"/>
      <c r="V17" s="1"/>
      <c r="W17" s="1"/>
      <c r="X17" s="1"/>
      <c r="Y17" s="1"/>
      <c r="Z17" s="1"/>
    </row>
    <row r="18">
      <c r="A18" s="1" t="str">
        <f>IFERROR(__xludf.DUMMYFUNCTION("""COMPUTED_VALUE"""),"Sea Dinosaur (WD) (Enhanced)")</f>
        <v>Sea Dinosaur (WD) (Enhanced)</v>
      </c>
      <c r="B18" s="103" t="str">
        <f>IFERROR(__xludf.DUMMYFUNCTION("""COMPUTED_VALUE"""),"https://img.freepik.com/premium-photo/epic-fantasy-illustration-featuring-mythical-sea-creature-beautiful-magic-mysterious-tale-generative-ai_742252-9510.jpg?w=2000")</f>
        <v>https://img.freepik.com/premium-photo/epic-fantasy-illustration-featuring-mythical-sea-creature-beautiful-magic-mysterious-tale-generative-ai_742252-9510.jpg?w=2000</v>
      </c>
      <c r="C18" s="1"/>
      <c r="D18" s="1"/>
      <c r="E18" s="1"/>
      <c r="F18" s="1"/>
      <c r="G18" s="1"/>
      <c r="H18" s="1"/>
      <c r="I18" s="1"/>
      <c r="J18" s="1"/>
      <c r="K18" s="1"/>
      <c r="L18" s="1"/>
      <c r="M18" s="1"/>
      <c r="N18" s="1"/>
      <c r="O18" s="1"/>
      <c r="P18" s="1"/>
      <c r="Q18" s="1"/>
      <c r="R18" s="1"/>
      <c r="S18" s="1"/>
      <c r="T18" s="1"/>
      <c r="U18" s="1"/>
      <c r="V18" s="1"/>
      <c r="W18" s="1"/>
      <c r="X18" s="1"/>
      <c r="Y18" s="1"/>
      <c r="Z18" s="1"/>
    </row>
    <row r="19">
      <c r="A19" s="1" t="str">
        <f>IFERROR(__xludf.DUMMYFUNCTION("""COMPUTED_VALUE"""),"Ancient Skeleton Colossus")</f>
        <v>Ancient Skeleton Colossus</v>
      </c>
      <c r="B19" s="103" t="str">
        <f>IFERROR(__xludf.DUMMYFUNCTION("""COMPUTED_VALUE"""),"https://i.redd.it/saos4o2imfv11.jpg")</f>
        <v>https://i.redd.it/saos4o2imfv11.jpg</v>
      </c>
      <c r="C19" s="1"/>
      <c r="D19" s="1"/>
      <c r="E19" s="1"/>
      <c r="F19" s="1"/>
      <c r="G19" s="1"/>
      <c r="H19" s="1"/>
      <c r="I19" s="1"/>
      <c r="J19" s="1"/>
      <c r="K19" s="1"/>
      <c r="L19" s="1"/>
      <c r="M19" s="1"/>
      <c r="N19" s="1"/>
      <c r="O19" s="1"/>
      <c r="P19" s="1"/>
      <c r="Q19" s="1"/>
      <c r="R19" s="1"/>
      <c r="S19" s="1"/>
      <c r="T19" s="1"/>
      <c r="U19" s="1"/>
      <c r="V19" s="1"/>
      <c r="W19" s="1"/>
      <c r="X19" s="1"/>
      <c r="Y19" s="1"/>
      <c r="Z19" s="1"/>
    </row>
    <row r="20">
      <c r="A20" s="1" t="str">
        <f>IFERROR(__xludf.DUMMYFUNCTION("""COMPUTED_VALUE"""),"Ancient Stone Guard")</f>
        <v>Ancient Stone Guard</v>
      </c>
      <c r="B20" s="103" t="str">
        <f>IFERROR(__xludf.DUMMYFUNCTION("""COMPUTED_VALUE"""),"https://www.zastavki.com/pictures/originals/2015/Fantasy_Stone_guards_at_the_entrance_to_the_temple__fantasy_098084_.jpg")</f>
        <v>https://www.zastavki.com/pictures/originals/2015/Fantasy_Stone_guards_at_the_entrance_to_the_temple__fantasy_098084_.jpg</v>
      </c>
      <c r="C20" s="1"/>
      <c r="D20" s="1"/>
      <c r="E20" s="1"/>
      <c r="F20" s="1"/>
      <c r="G20" s="1"/>
      <c r="H20" s="1"/>
      <c r="I20" s="1"/>
      <c r="J20" s="1"/>
      <c r="K20" s="1"/>
      <c r="L20" s="1"/>
      <c r="M20" s="1"/>
      <c r="N20" s="1"/>
      <c r="O20" s="1"/>
      <c r="P20" s="1"/>
      <c r="Q20" s="1"/>
      <c r="R20" s="1"/>
      <c r="S20" s="1"/>
      <c r="T20" s="1"/>
      <c r="U20" s="1"/>
      <c r="V20" s="1"/>
      <c r="W20" s="1"/>
      <c r="X20" s="1"/>
      <c r="Y20" s="1"/>
      <c r="Z20" s="1"/>
    </row>
    <row r="21">
      <c r="A21" s="1" t="str">
        <f>IFERROR(__xludf.DUMMYFUNCTION("""COMPUTED_VALUE"""),"Ancient Tree Of Flames")</f>
        <v>Ancient Tree Of Flames</v>
      </c>
      <c r="B21" s="103" t="str">
        <f>IFERROR(__xludf.DUMMYFUNCTION("""COMPUTED_VALUE"""),"https://64.media.tumblr.com/8a222dc6678fe1e014f8814ee64c839d/tumblr_psev916DFd1w2dbe6o1_1280.jpg")</f>
        <v>https://64.media.tumblr.com/8a222dc6678fe1e014f8814ee64c839d/tumblr_psev916DFd1w2dbe6o1_1280.jpg</v>
      </c>
      <c r="C21" s="1"/>
      <c r="D21" s="1"/>
      <c r="E21" s="1"/>
      <c r="F21" s="1"/>
      <c r="G21" s="1"/>
      <c r="H21" s="1"/>
      <c r="I21" s="1"/>
      <c r="J21" s="1"/>
      <c r="K21" s="1"/>
      <c r="L21" s="1"/>
      <c r="M21" s="1"/>
      <c r="N21" s="1"/>
      <c r="O21" s="1"/>
      <c r="P21" s="1"/>
      <c r="Q21" s="1"/>
      <c r="R21" s="1"/>
      <c r="S21" s="1"/>
      <c r="T21" s="1"/>
      <c r="U21" s="1"/>
      <c r="V21" s="1"/>
      <c r="W21" s="1"/>
      <c r="X21" s="1"/>
      <c r="Y21" s="1"/>
      <c r="Z21" s="1"/>
    </row>
    <row r="22">
      <c r="A22" s="1" t="str">
        <f>IFERROR(__xludf.DUMMYFUNCTION("""COMPUTED_VALUE"""),"Volcanic Worm")</f>
        <v>Volcanic Worm</v>
      </c>
      <c r="B22" s="103" t="str">
        <f>IFERROR(__xludf.DUMMYFUNCTION("""COMPUTED_VALUE"""),"https://limitless-adventures.com/preview/Volcano_Preview.png")</f>
        <v>https://limitless-adventures.com/preview/Volcano_Preview.png</v>
      </c>
      <c r="C22" s="1"/>
      <c r="D22" s="1"/>
      <c r="E22" s="1"/>
      <c r="F22" s="1"/>
      <c r="G22" s="1"/>
      <c r="H22" s="1"/>
      <c r="I22" s="1"/>
      <c r="J22" s="1"/>
      <c r="K22" s="1"/>
      <c r="L22" s="1"/>
      <c r="M22" s="1"/>
      <c r="N22" s="1"/>
      <c r="O22" s="1"/>
      <c r="P22" s="1"/>
      <c r="Q22" s="1"/>
      <c r="R22" s="1"/>
      <c r="S22" s="1"/>
      <c r="T22" s="1"/>
      <c r="U22" s="1"/>
      <c r="V22" s="1"/>
      <c r="W22" s="1"/>
      <c r="X22" s="1"/>
      <c r="Y22" s="1"/>
      <c r="Z22" s="1"/>
    </row>
    <row r="23">
      <c r="A23" s="1" t="str">
        <f>IFERROR(__xludf.DUMMYFUNCTION("""COMPUTED_VALUE"""),"Water Dragon (WD)")</f>
        <v>Water Dragon (WD)</v>
      </c>
      <c r="B23" s="103" t="str">
        <f>IFERROR(__xludf.DUMMYFUNCTION("""COMPUTED_VALUE"""),"https://i.pinimg.com/564x/3f/2d/24/3f2d242c6a85ac83be8f8e9c0ce6dfbb.jpg")</f>
        <v>https://i.pinimg.com/564x/3f/2d/24/3f2d242c6a85ac83be8f8e9c0ce6dfbb.jpg</v>
      </c>
      <c r="C23" s="1"/>
      <c r="D23" s="1"/>
      <c r="E23" s="1"/>
      <c r="F23" s="1"/>
      <c r="G23" s="1"/>
      <c r="H23" s="1"/>
      <c r="I23" s="1"/>
      <c r="J23" s="1"/>
      <c r="K23" s="1"/>
      <c r="L23" s="1"/>
      <c r="M23" s="1"/>
      <c r="N23" s="1"/>
      <c r="O23" s="1"/>
      <c r="P23" s="1"/>
      <c r="Q23" s="1"/>
      <c r="R23" s="1"/>
      <c r="S23" s="1"/>
      <c r="T23" s="1"/>
      <c r="U23" s="1"/>
      <c r="V23" s="1"/>
      <c r="W23" s="1"/>
      <c r="X23" s="1"/>
      <c r="Y23" s="1"/>
      <c r="Z23" s="1"/>
    </row>
    <row r="24">
      <c r="A24" s="1" t="str">
        <f>IFERROR(__xludf.DUMMYFUNCTION("""COMPUTED_VALUE"""),"Ancient Water Dragon")</f>
        <v>Ancient Water Dragon</v>
      </c>
      <c r="B24" s="103" t="str">
        <f>IFERROR(__xludf.DUMMYFUNCTION("""COMPUTED_VALUE"""),"https://i.pinimg.com/564x/3f/2d/24/3f2d242c6a85ac83be8f8e9c0ce6dfbb.jpg")</f>
        <v>https://i.pinimg.com/564x/3f/2d/24/3f2d242c6a85ac83be8f8e9c0ce6dfbb.jpg</v>
      </c>
      <c r="C24" s="1"/>
      <c r="D24" s="1"/>
      <c r="E24" s="1"/>
      <c r="F24" s="1"/>
      <c r="G24" s="1"/>
      <c r="H24" s="1"/>
      <c r="I24" s="1"/>
      <c r="J24" s="1"/>
      <c r="K24" s="1"/>
      <c r="L24" s="1"/>
      <c r="M24" s="1"/>
      <c r="N24" s="1"/>
      <c r="O24" s="1"/>
      <c r="P24" s="1"/>
      <c r="Q24" s="1"/>
      <c r="R24" s="1"/>
      <c r="S24" s="1"/>
      <c r="T24" s="1"/>
      <c r="U24" s="1"/>
      <c r="V24" s="1"/>
      <c r="W24" s="1"/>
      <c r="X24" s="1"/>
      <c r="Y24" s="1"/>
      <c r="Z24" s="1"/>
    </row>
    <row r="25">
      <c r="A25" s="1" t="str">
        <f>IFERROR(__xludf.DUMMYFUNCTION("""COMPUTED_VALUE"""),"Aonbharr of Manannán")</f>
        <v>Aonbharr of Manannán</v>
      </c>
      <c r="B25" s="1"/>
      <c r="C25" s="1"/>
      <c r="D25" s="1"/>
      <c r="E25" s="1"/>
      <c r="F25" s="1"/>
      <c r="G25" s="1"/>
      <c r="H25" s="1"/>
      <c r="I25" s="1"/>
      <c r="J25" s="1"/>
      <c r="K25" s="1"/>
      <c r="L25" s="1"/>
      <c r="M25" s="1"/>
      <c r="N25" s="1"/>
      <c r="O25" s="1"/>
      <c r="P25" s="1"/>
      <c r="Q25" s="1"/>
      <c r="R25" s="1"/>
      <c r="S25" s="1"/>
      <c r="T25" s="1"/>
      <c r="U25" s="1"/>
      <c r="V25" s="1"/>
      <c r="W25" s="1"/>
      <c r="X25" s="1"/>
      <c r="Y25" s="1"/>
      <c r="Z25" s="1"/>
    </row>
    <row r="26">
      <c r="A26" s="1" t="str">
        <f>IFERROR(__xludf.DUMMYFUNCTION("""COMPUTED_VALUE"""),"Aquatic Serpent")</f>
        <v>Aquatic Serpent</v>
      </c>
      <c r="B26" s="103" t="str">
        <f>IFERROR(__xludf.DUMMYFUNCTION("""COMPUTED_VALUE"""),"https://rare-gallery.com/mocahbig/449333-Kan-Liu-fantasy-art-dark-sea-underwater-creature.jpg")</f>
        <v>https://rare-gallery.com/mocahbig/449333-Kan-Liu-fantasy-art-dark-sea-underwater-creature.jpg</v>
      </c>
      <c r="C26" s="1"/>
      <c r="D26" s="1"/>
      <c r="E26" s="1"/>
      <c r="F26" s="1"/>
      <c r="G26" s="1"/>
      <c r="H26" s="1"/>
      <c r="I26" s="1"/>
      <c r="J26" s="1"/>
      <c r="K26" s="1"/>
      <c r="L26" s="1"/>
      <c r="M26" s="1"/>
      <c r="N26" s="1"/>
      <c r="O26" s="1"/>
      <c r="P26" s="1"/>
      <c r="Q26" s="1"/>
      <c r="R26" s="1"/>
      <c r="S26" s="1"/>
      <c r="T26" s="1"/>
      <c r="U26" s="1"/>
      <c r="V26" s="1"/>
      <c r="W26" s="1"/>
      <c r="X26" s="1"/>
      <c r="Y26" s="1"/>
      <c r="Z26" s="1"/>
    </row>
    <row r="27">
      <c r="A27" s="1" t="str">
        <f>IFERROR(__xludf.DUMMYFUNCTION("""COMPUTED_VALUE"""),"Assassin Doll")</f>
        <v>Assassin Doll</v>
      </c>
      <c r="B27" s="103" t="str">
        <f>IFERROR(__xludf.DUMMYFUNCTION("""COMPUTED_VALUE"""),"https://i.pinimg.com/474x/26/bc/e2/26bce2606f87efb366d46d783000f15e--horror-art-dark-fantasy.jpg")</f>
        <v>https://i.pinimg.com/474x/26/bc/e2/26bce2606f87efb366d46d783000f15e--horror-art-dark-fantasy.jpg</v>
      </c>
      <c r="C27" s="1"/>
      <c r="D27" s="1"/>
      <c r="E27" s="1"/>
      <c r="F27" s="1"/>
      <c r="G27" s="1"/>
      <c r="H27" s="1"/>
      <c r="I27" s="1"/>
      <c r="J27" s="1"/>
      <c r="K27" s="1"/>
      <c r="L27" s="1"/>
      <c r="M27" s="1"/>
      <c r="N27" s="1"/>
      <c r="O27" s="1"/>
      <c r="P27" s="1"/>
      <c r="Q27" s="1"/>
      <c r="R27" s="1"/>
      <c r="S27" s="1"/>
      <c r="T27" s="1"/>
      <c r="U27" s="1"/>
      <c r="V27" s="1"/>
      <c r="W27" s="1"/>
      <c r="X27" s="1"/>
      <c r="Y27" s="1"/>
      <c r="Z27" s="1"/>
    </row>
    <row r="28">
      <c r="A28" s="1" t="str">
        <f>IFERROR(__xludf.DUMMYFUNCTION("""COMPUTED_VALUE"""),"Astral Dragon")</f>
        <v>Astral Dragon</v>
      </c>
      <c r="B28" s="103" t="str">
        <f>IFERROR(__xludf.DUMMYFUNCTION("""COMPUTED_VALUE"""),"https://i.redd.it/vl2ec0kys2u51.jpg")</f>
        <v>https://i.redd.it/vl2ec0kys2u51.jpg</v>
      </c>
      <c r="C28" s="1"/>
      <c r="D28" s="1"/>
      <c r="E28" s="1"/>
      <c r="F28" s="1"/>
      <c r="G28" s="1"/>
      <c r="H28" s="1"/>
      <c r="I28" s="1"/>
      <c r="J28" s="1"/>
      <c r="K28" s="1"/>
      <c r="L28" s="1"/>
      <c r="M28" s="1"/>
      <c r="N28" s="1"/>
      <c r="O28" s="1"/>
      <c r="P28" s="1"/>
      <c r="Q28" s="1"/>
      <c r="R28" s="1"/>
      <c r="S28" s="1"/>
      <c r="T28" s="1"/>
      <c r="U28" s="1"/>
      <c r="V28" s="1"/>
      <c r="W28" s="1"/>
      <c r="X28" s="1"/>
      <c r="Y28" s="1"/>
      <c r="Z28" s="1"/>
    </row>
    <row r="29">
      <c r="A29" s="1" t="str">
        <f>IFERROR(__xludf.DUMMYFUNCTION("""COMPUTED_VALUE"""),"Baboon")</f>
        <v>Baboon</v>
      </c>
      <c r="B29" s="103" t="str">
        <f>IFERROR(__xludf.DUMMYFUNCTION("""COMPUTED_VALUE"""),"https://cdnb.artstation.com/p/assets/images/images/040/470/779/large/juan-silva-infested-baboon-jpg.jpg?1628952317")</f>
        <v>https://cdnb.artstation.com/p/assets/images/images/040/470/779/large/juan-silva-infested-baboon-jpg.jpg?1628952317</v>
      </c>
      <c r="C29" s="1"/>
      <c r="D29" s="1"/>
      <c r="E29" s="1"/>
      <c r="F29" s="1"/>
      <c r="G29" s="1"/>
      <c r="H29" s="1"/>
      <c r="I29" s="1"/>
      <c r="J29" s="1"/>
      <c r="K29" s="1"/>
      <c r="L29" s="1"/>
      <c r="M29" s="1"/>
      <c r="N29" s="1"/>
      <c r="O29" s="1"/>
      <c r="P29" s="1"/>
      <c r="Q29" s="1"/>
      <c r="R29" s="1"/>
      <c r="S29" s="1"/>
      <c r="T29" s="1"/>
      <c r="U29" s="1"/>
      <c r="V29" s="1"/>
      <c r="W29" s="1"/>
      <c r="X29" s="1"/>
      <c r="Y29" s="1"/>
      <c r="Z29" s="1"/>
    </row>
    <row r="30">
      <c r="A30" s="1" t="str">
        <f>IFERROR(__xludf.DUMMYFUNCTION("""COMPUTED_VALUE"""),"Bandit")</f>
        <v>Bandit</v>
      </c>
      <c r="B30" s="103" t="str">
        <f>IFERROR(__xludf.DUMMYFUNCTION("""COMPUTED_VALUE"""),"https://i.redd.it/fp9x9rqknhj81.jpg")</f>
        <v>https://i.redd.it/fp9x9rqknhj81.jpg</v>
      </c>
      <c r="C30" s="1"/>
      <c r="D30" s="1"/>
      <c r="E30" s="1"/>
      <c r="F30" s="1"/>
      <c r="G30" s="1"/>
      <c r="H30" s="1"/>
      <c r="I30" s="1"/>
      <c r="J30" s="1"/>
      <c r="K30" s="1"/>
      <c r="L30" s="1"/>
      <c r="M30" s="1"/>
      <c r="N30" s="1"/>
      <c r="O30" s="1"/>
      <c r="P30" s="1"/>
      <c r="Q30" s="1"/>
      <c r="R30" s="1"/>
      <c r="S30" s="1"/>
      <c r="T30" s="1"/>
      <c r="U30" s="1"/>
      <c r="V30" s="1"/>
      <c r="W30" s="1"/>
      <c r="X30" s="1"/>
      <c r="Y30" s="1"/>
      <c r="Z30" s="1"/>
    </row>
    <row r="31">
      <c r="A31" s="1" t="str">
        <f>IFERROR(__xludf.DUMMYFUNCTION("""COMPUTED_VALUE"""),"Bees")</f>
        <v>Bees</v>
      </c>
      <c r="B31" s="103" t="str">
        <f>IFERROR(__xludf.DUMMYFUNCTION("""COMPUTED_VALUE"""),"https://64.media.tumblr.com/86e9cadece6184e815daee913e37b709/0f5068847820facd-24/s1280x1920/fba2aa8650c6efbfd342c790738e2a163475c185.jpg")</f>
        <v>https://64.media.tumblr.com/86e9cadece6184e815daee913e37b709/0f5068847820facd-24/s1280x1920/fba2aa8650c6efbfd342c790738e2a163475c185.jpg</v>
      </c>
      <c r="C31" s="1"/>
      <c r="D31" s="1"/>
      <c r="E31" s="1"/>
      <c r="F31" s="1"/>
      <c r="G31" s="1"/>
      <c r="H31" s="1"/>
      <c r="I31" s="1"/>
      <c r="J31" s="1"/>
      <c r="K31" s="1"/>
      <c r="L31" s="1"/>
      <c r="M31" s="1"/>
      <c r="N31" s="1"/>
      <c r="O31" s="1"/>
      <c r="P31" s="1"/>
      <c r="Q31" s="1"/>
      <c r="R31" s="1"/>
      <c r="S31" s="1"/>
      <c r="T31" s="1"/>
      <c r="U31" s="1"/>
      <c r="V31" s="1"/>
      <c r="W31" s="1"/>
      <c r="X31" s="1"/>
      <c r="Y31" s="1"/>
      <c r="Z31" s="1"/>
    </row>
    <row r="32">
      <c r="A32" s="1" t="str">
        <f>IFERROR(__xludf.DUMMYFUNCTION("""COMPUTED_VALUE"""),"Big Frost Owl")</f>
        <v>Big Frost Owl</v>
      </c>
      <c r="B32" s="103" t="str">
        <f>IFERROR(__xludf.DUMMYFUNCTION("""COMPUTED_VALUE"""),"https://wallpapersmug.com/download/1024x768/1aa06f/mother-owl-fantasy-art.jpg")</f>
        <v>https://wallpapersmug.com/download/1024x768/1aa06f/mother-owl-fantasy-art.jpg</v>
      </c>
      <c r="C32" s="1"/>
      <c r="D32" s="1"/>
      <c r="E32" s="1"/>
      <c r="F32" s="1"/>
      <c r="G32" s="1"/>
      <c r="H32" s="1"/>
      <c r="I32" s="1"/>
      <c r="J32" s="1"/>
      <c r="K32" s="1"/>
      <c r="L32" s="1"/>
      <c r="M32" s="1"/>
      <c r="N32" s="1"/>
      <c r="O32" s="1"/>
      <c r="P32" s="1"/>
      <c r="Q32" s="1"/>
      <c r="R32" s="1"/>
      <c r="S32" s="1"/>
      <c r="T32" s="1"/>
      <c r="U32" s="1"/>
      <c r="V32" s="1"/>
      <c r="W32" s="1"/>
      <c r="X32" s="1"/>
      <c r="Y32" s="1"/>
      <c r="Z32" s="1"/>
    </row>
    <row r="33">
      <c r="A33" s="1" t="str">
        <f>IFERROR(__xludf.DUMMYFUNCTION("""COMPUTED_VALUE"""),"Black Serpent Dragon")</f>
        <v>Black Serpent Dragon</v>
      </c>
      <c r="B33" s="103" t="str">
        <f>IFERROR(__xludf.DUMMYFUNCTION("""COMPUTED_VALUE"""),"https://i.pinimg.com/originals/cb/00/aa/cb00aa5e35724fda9738587ca90ef194.png")</f>
        <v>https://i.pinimg.com/originals/cb/00/aa/cb00aa5e35724fda9738587ca90ef194.png</v>
      </c>
      <c r="C33" s="1"/>
      <c r="D33" s="1"/>
      <c r="E33" s="1"/>
      <c r="F33" s="1"/>
      <c r="G33" s="1"/>
      <c r="H33" s="1"/>
      <c r="I33" s="1"/>
      <c r="J33" s="1"/>
      <c r="K33" s="1"/>
      <c r="L33" s="1"/>
      <c r="M33" s="1"/>
      <c r="N33" s="1"/>
      <c r="O33" s="1"/>
      <c r="P33" s="1"/>
      <c r="Q33" s="1"/>
      <c r="R33" s="1"/>
      <c r="S33" s="1"/>
      <c r="T33" s="1"/>
      <c r="U33" s="1"/>
      <c r="V33" s="1"/>
      <c r="W33" s="1"/>
      <c r="X33" s="1"/>
      <c r="Y33" s="1"/>
      <c r="Z33" s="1"/>
    </row>
    <row r="34">
      <c r="A34" s="1" t="str">
        <f>IFERROR(__xludf.DUMMYFUNCTION("""COMPUTED_VALUE"""),"Black Soul")</f>
        <v>Black Soul</v>
      </c>
      <c r="B34" s="103" t="str">
        <f>IFERROR(__xludf.DUMMYFUNCTION("""COMPUTED_VALUE"""),"https://encrypted-tbn2.gstatic.com/images?q=tbn:ANd9GcTVuZIf6B0YlLuzOFmp0PJYtJt83kUSWpkzkTwItXjETDaqRQOn")</f>
        <v>https://encrypted-tbn2.gstatic.com/images?q=tbn:ANd9GcTVuZIf6B0YlLuzOFmp0PJYtJt83kUSWpkzkTwItXjETDaqRQOn</v>
      </c>
      <c r="C34" s="1"/>
      <c r="D34" s="1"/>
      <c r="E34" s="1"/>
      <c r="F34" s="1"/>
      <c r="G34" s="1"/>
      <c r="H34" s="1"/>
      <c r="I34" s="1"/>
      <c r="J34" s="1"/>
      <c r="K34" s="1"/>
      <c r="L34" s="1"/>
      <c r="M34" s="1"/>
      <c r="N34" s="1"/>
      <c r="O34" s="1"/>
      <c r="P34" s="1"/>
      <c r="Q34" s="1"/>
      <c r="R34" s="1"/>
      <c r="S34" s="1"/>
      <c r="T34" s="1"/>
      <c r="U34" s="1"/>
      <c r="V34" s="1"/>
      <c r="W34" s="1"/>
      <c r="X34" s="1"/>
      <c r="Y34" s="1"/>
      <c r="Z34" s="1"/>
    </row>
    <row r="35">
      <c r="A35" s="1" t="str">
        <f>IFERROR(__xludf.DUMMYFUNCTION("""COMPUTED_VALUE"""),"Blood Monk")</f>
        <v>Blood Monk</v>
      </c>
      <c r="B35" s="103" t="str">
        <f>IFERROR(__xludf.DUMMYFUNCTION("""COMPUTED_VALUE"""),"https://media.discordapp.net/attachments/1035710302953676902/1224152427582980179/document.png?ex=661c73ca&amp;is=6609feca&amp;hm=c29aa4505c83080d18f3271af4497f505f870edb6318e38eefba5ece5c13c461&amp;=&amp;format=webp&amp;quality=lossless&amp;width=671&amp;height=671")</f>
        <v>https://media.discordapp.net/attachments/1035710302953676902/1224152427582980179/document.png?ex=661c73ca&amp;is=6609feca&amp;hm=c29aa4505c83080d18f3271af4497f505f870edb6318e38eefba5ece5c13c461&amp;=&amp;format=webp&amp;quality=lossless&amp;width=671&amp;height=671</v>
      </c>
      <c r="C35" s="1"/>
      <c r="D35" s="1"/>
      <c r="E35" s="1"/>
      <c r="F35" s="1"/>
      <c r="G35" s="1"/>
      <c r="H35" s="1"/>
      <c r="I35" s="1"/>
      <c r="J35" s="1"/>
      <c r="K35" s="1"/>
      <c r="L35" s="1"/>
      <c r="M35" s="1"/>
      <c r="N35" s="1"/>
      <c r="O35" s="1"/>
      <c r="P35" s="1"/>
      <c r="Q35" s="1"/>
      <c r="R35" s="1"/>
      <c r="S35" s="1"/>
      <c r="T35" s="1"/>
      <c r="U35" s="1"/>
      <c r="V35" s="1"/>
      <c r="W35" s="1"/>
      <c r="X35" s="1"/>
      <c r="Y35" s="1"/>
      <c r="Z35" s="1"/>
    </row>
    <row r="36">
      <c r="A36" s="1" t="str">
        <f>IFERROR(__xludf.DUMMYFUNCTION("""COMPUTED_VALUE"""),"Blue Soul")</f>
        <v>Blue Soul</v>
      </c>
      <c r="B36" s="103" t="str">
        <f>IFERROR(__xludf.DUMMYFUNCTION("""COMPUTED_VALUE"""),"https://t1.gstatic.com/images?q=tbn:ANd9GcRBFyTIipE99Dt2HS1Bp5VKHLJ7WLTr9Rf0FLV0k-KdenjcZXSi")</f>
        <v>https://t1.gstatic.com/images?q=tbn:ANd9GcRBFyTIipE99Dt2HS1Bp5VKHLJ7WLTr9Rf0FLV0k-KdenjcZXSi</v>
      </c>
      <c r="C36" s="1"/>
      <c r="D36" s="1"/>
      <c r="E36" s="1"/>
      <c r="F36" s="1"/>
      <c r="G36" s="1"/>
      <c r="H36" s="1"/>
      <c r="I36" s="1"/>
      <c r="J36" s="1"/>
      <c r="K36" s="1"/>
      <c r="L36" s="1"/>
      <c r="M36" s="1"/>
      <c r="N36" s="1"/>
      <c r="O36" s="1"/>
      <c r="P36" s="1"/>
      <c r="Q36" s="1"/>
      <c r="R36" s="1"/>
      <c r="S36" s="1"/>
      <c r="T36" s="1"/>
      <c r="U36" s="1"/>
      <c r="V36" s="1"/>
      <c r="W36" s="1"/>
      <c r="X36" s="1"/>
      <c r="Y36" s="1"/>
      <c r="Z36" s="1"/>
    </row>
    <row r="37">
      <c r="A37" s="1" t="str">
        <f>IFERROR(__xludf.DUMMYFUNCTION("""COMPUTED_VALUE"""),"Boar")</f>
        <v>Boar</v>
      </c>
      <c r="B37" s="103" t="str">
        <f>IFERROR(__xludf.DUMMYFUNCTION("""COMPUTED_VALUE"""),"https://i.pinimg.com/originals/4c/a0/6b/4ca06b8103b3d8e983f22d82f8735a40.jpg")</f>
        <v>https://i.pinimg.com/originals/4c/a0/6b/4ca06b8103b3d8e983f22d82f8735a40.jpg</v>
      </c>
      <c r="C37" s="1"/>
      <c r="D37" s="1"/>
      <c r="E37" s="1"/>
      <c r="F37" s="1"/>
      <c r="G37" s="1"/>
      <c r="H37" s="1"/>
      <c r="I37" s="1"/>
      <c r="J37" s="1"/>
      <c r="K37" s="1"/>
      <c r="L37" s="1"/>
      <c r="M37" s="1"/>
      <c r="N37" s="1"/>
      <c r="O37" s="1"/>
      <c r="P37" s="1"/>
      <c r="Q37" s="1"/>
      <c r="R37" s="1"/>
      <c r="S37" s="1"/>
      <c r="T37" s="1"/>
      <c r="U37" s="1"/>
      <c r="V37" s="1"/>
      <c r="W37" s="1"/>
      <c r="X37" s="1"/>
      <c r="Y37" s="1"/>
      <c r="Z37" s="1"/>
    </row>
    <row r="38">
      <c r="A38" s="1" t="str">
        <f>IFERROR(__xludf.DUMMYFUNCTION("""COMPUTED_VALUE"""),"Bounty Hunter")</f>
        <v>Bounty Hunter</v>
      </c>
      <c r="B38" s="103" t="str">
        <f>IFERROR(__xludf.DUMMYFUNCTION("""COMPUTED_VALUE"""),"https://cdnb.artstation.com/p/assets/images/images/060/286/545/large/andrew-clark-bounty-hunter.jpg?1678224103&amp;dl=1")</f>
        <v>https://cdnb.artstation.com/p/assets/images/images/060/286/545/large/andrew-clark-bounty-hunter.jpg?1678224103&amp;dl=1</v>
      </c>
      <c r="C38" s="1"/>
      <c r="D38" s="1"/>
      <c r="E38" s="1"/>
      <c r="F38" s="1"/>
      <c r="G38" s="1"/>
      <c r="H38" s="1"/>
      <c r="I38" s="1"/>
      <c r="J38" s="1"/>
      <c r="K38" s="1"/>
      <c r="L38" s="1"/>
      <c r="M38" s="1"/>
      <c r="N38" s="1"/>
      <c r="O38" s="1"/>
      <c r="P38" s="1"/>
      <c r="Q38" s="1"/>
      <c r="R38" s="1"/>
      <c r="S38" s="1"/>
      <c r="T38" s="1"/>
      <c r="U38" s="1"/>
      <c r="V38" s="1"/>
      <c r="W38" s="1"/>
      <c r="X38" s="1"/>
      <c r="Y38" s="1"/>
      <c r="Z38" s="1"/>
    </row>
    <row r="39">
      <c r="A39" s="1" t="str">
        <f>IFERROR(__xludf.DUMMYFUNCTION("""COMPUTED_VALUE"""),"Brown Soul")</f>
        <v>Brown Soul</v>
      </c>
      <c r="B39" s="103" t="str">
        <f>IFERROR(__xludf.DUMMYFUNCTION("""COMPUTED_VALUE"""),"https://t0.gstatic.com/images?q=tbn:ANd9GcRTlvAR3IT-MZI8DeK4CpraC6TgxSmuy-KU6OMALjg5_oaYi_gG")</f>
        <v>https://t0.gstatic.com/images?q=tbn:ANd9GcRTlvAR3IT-MZI8DeK4CpraC6TgxSmuy-KU6OMALjg5_oaYi_gG</v>
      </c>
      <c r="C39" s="1"/>
      <c r="D39" s="1"/>
      <c r="E39" s="1"/>
      <c r="F39" s="1"/>
      <c r="G39" s="1"/>
      <c r="H39" s="1"/>
      <c r="I39" s="1"/>
      <c r="J39" s="1"/>
      <c r="K39" s="1"/>
      <c r="L39" s="1"/>
      <c r="M39" s="1"/>
      <c r="N39" s="1"/>
      <c r="O39" s="1"/>
      <c r="P39" s="1"/>
      <c r="Q39" s="1"/>
      <c r="R39" s="1"/>
      <c r="S39" s="1"/>
      <c r="T39" s="1"/>
      <c r="U39" s="1"/>
      <c r="V39" s="1"/>
      <c r="W39" s="1"/>
      <c r="X39" s="1"/>
      <c r="Y39" s="1"/>
      <c r="Z39" s="1"/>
    </row>
    <row r="40">
      <c r="A40" s="1" t="str">
        <f>IFERROR(__xludf.DUMMYFUNCTION("""COMPUTED_VALUE"""),"Bull")</f>
        <v>Bull</v>
      </c>
      <c r="B40" s="103" t="str">
        <f>IFERROR(__xludf.DUMMYFUNCTION("""COMPUTED_VALUE"""),"https://i.pinimg.com/originals/ce/9c/d8/ce9cd88486c67d34d9458f73f4d6ba06.jpg")</f>
        <v>https://i.pinimg.com/originals/ce/9c/d8/ce9cd88486c67d34d9458f73f4d6ba06.jpg</v>
      </c>
      <c r="C40" s="1"/>
      <c r="D40" s="1"/>
      <c r="E40" s="1"/>
      <c r="F40" s="1"/>
      <c r="G40" s="1"/>
      <c r="H40" s="1"/>
      <c r="I40" s="1"/>
      <c r="J40" s="1"/>
      <c r="K40" s="1"/>
      <c r="L40" s="1"/>
      <c r="M40" s="1"/>
      <c r="N40" s="1"/>
      <c r="O40" s="1"/>
      <c r="P40" s="1"/>
      <c r="Q40" s="1"/>
      <c r="R40" s="1"/>
      <c r="S40" s="1"/>
      <c r="T40" s="1"/>
      <c r="U40" s="1"/>
      <c r="V40" s="1"/>
      <c r="W40" s="1"/>
      <c r="X40" s="1"/>
      <c r="Y40" s="1"/>
      <c r="Z40" s="1"/>
    </row>
    <row r="41">
      <c r="A41" s="1" t="str">
        <f>IFERROR(__xludf.DUMMYFUNCTION("""COMPUTED_VALUE"""),"Celestial Dragon")</f>
        <v>Celestial Dragon</v>
      </c>
      <c r="B41" s="103" t="str">
        <f>IFERROR(__xludf.DUMMYFUNCTION("""COMPUTED_VALUE"""),"https://i.pinimg.com/originals/c1/8e/1a/c18e1a06b0d67090e3e0c20a445952a3.jpg")</f>
        <v>https://i.pinimg.com/originals/c1/8e/1a/c18e1a06b0d67090e3e0c20a445952a3.jpg</v>
      </c>
      <c r="C41" s="1"/>
      <c r="D41" s="1"/>
      <c r="E41" s="1"/>
      <c r="F41" s="1"/>
      <c r="G41" s="1"/>
      <c r="H41" s="1"/>
      <c r="I41" s="1"/>
      <c r="J41" s="1"/>
      <c r="K41" s="1"/>
      <c r="L41" s="1"/>
      <c r="M41" s="1"/>
      <c r="N41" s="1"/>
      <c r="O41" s="1"/>
      <c r="P41" s="1"/>
      <c r="Q41" s="1"/>
      <c r="R41" s="1"/>
      <c r="S41" s="1"/>
      <c r="T41" s="1"/>
      <c r="U41" s="1"/>
      <c r="V41" s="1"/>
      <c r="W41" s="1"/>
      <c r="X41" s="1"/>
      <c r="Y41" s="1"/>
      <c r="Z41" s="1"/>
    </row>
    <row r="42">
      <c r="A42" s="1" t="str">
        <f>IFERROR(__xludf.DUMMYFUNCTION("""COMPUTED_VALUE"""),"Cerberus Gatekeeper of Souls")</f>
        <v>Cerberus Gatekeeper of Souls</v>
      </c>
      <c r="B42" s="103" t="str">
        <f>IFERROR(__xludf.DUMMYFUNCTION("""COMPUTED_VALUE"""),"https://wallpapers.com/images/hd/cerberus-pictures-gdudzpkdyet0a4qe.jpg")</f>
        <v>https://wallpapers.com/images/hd/cerberus-pictures-gdudzpkdyet0a4qe.jpg</v>
      </c>
      <c r="C42" s="1"/>
      <c r="D42" s="1"/>
      <c r="E42" s="1"/>
      <c r="F42" s="1"/>
      <c r="G42" s="1"/>
      <c r="H42" s="1"/>
      <c r="I42" s="1"/>
      <c r="J42" s="1"/>
      <c r="K42" s="1"/>
      <c r="L42" s="1"/>
      <c r="M42" s="1"/>
      <c r="N42" s="1"/>
      <c r="O42" s="1"/>
      <c r="P42" s="1"/>
      <c r="Q42" s="1"/>
      <c r="R42" s="1"/>
      <c r="S42" s="1"/>
      <c r="T42" s="1"/>
      <c r="U42" s="1"/>
      <c r="V42" s="1"/>
      <c r="W42" s="1"/>
      <c r="X42" s="1"/>
      <c r="Y42" s="1"/>
      <c r="Z42" s="1"/>
    </row>
    <row r="43">
      <c r="A43" s="1" t="str">
        <f>IFERROR(__xludf.DUMMYFUNCTION("""COMPUTED_VALUE"""),"Chaos Dragon")</f>
        <v>Chaos Dragon</v>
      </c>
      <c r="B43" s="103" t="str">
        <f>IFERROR(__xludf.DUMMYFUNCTION("""COMPUTED_VALUE"""),"https://i.pinimg.com/originals/e8/87/c9/e887c9edf5f5f24e110e1db64f7296a5.jpg")</f>
        <v>https://i.pinimg.com/originals/e8/87/c9/e887c9edf5f5f24e110e1db64f7296a5.jpg</v>
      </c>
      <c r="C43" s="1"/>
      <c r="D43" s="1"/>
      <c r="E43" s="1"/>
      <c r="F43" s="1"/>
      <c r="G43" s="1"/>
      <c r="H43" s="1"/>
      <c r="I43" s="1"/>
      <c r="J43" s="1"/>
      <c r="K43" s="1"/>
      <c r="L43" s="1"/>
      <c r="M43" s="1"/>
      <c r="N43" s="1"/>
      <c r="O43" s="1"/>
      <c r="P43" s="1"/>
      <c r="Q43" s="1"/>
      <c r="R43" s="1"/>
      <c r="S43" s="1"/>
      <c r="T43" s="1"/>
      <c r="U43" s="1"/>
      <c r="V43" s="1"/>
      <c r="W43" s="1"/>
      <c r="X43" s="1"/>
      <c r="Y43" s="1"/>
      <c r="Z43" s="1"/>
    </row>
    <row r="44">
      <c r="A44" s="1" t="str">
        <f>IFERROR(__xludf.DUMMYFUNCTION("""COMPUTED_VALUE"""),"Chaotic Shadow Gnome")</f>
        <v>Chaotic Shadow Gnome</v>
      </c>
      <c r="B44" s="103" t="str">
        <f>IFERROR(__xludf.DUMMYFUNCTION("""COMPUTED_VALUE"""),"https://drive.google.com/uc?export=view&amp;id=1kWx7JJeUTL2xAxy1XLHhKlnjZsZhChth")</f>
        <v>https://drive.google.com/uc?export=view&amp;id=1kWx7JJeUTL2xAxy1XLHhKlnjZsZhChth</v>
      </c>
      <c r="C44" s="1"/>
      <c r="D44" s="1"/>
      <c r="E44" s="1"/>
      <c r="F44" s="1"/>
      <c r="G44" s="1"/>
      <c r="H44" s="1"/>
      <c r="I44" s="1"/>
      <c r="J44" s="1"/>
      <c r="K44" s="1"/>
      <c r="L44" s="1"/>
      <c r="M44" s="1"/>
      <c r="N44" s="1"/>
      <c r="O44" s="1"/>
      <c r="P44" s="1"/>
      <c r="Q44" s="1"/>
      <c r="R44" s="1"/>
      <c r="S44" s="1"/>
      <c r="T44" s="1"/>
      <c r="U44" s="1"/>
      <c r="V44" s="1"/>
      <c r="W44" s="1"/>
      <c r="X44" s="1"/>
      <c r="Y44" s="1"/>
      <c r="Z44" s="1"/>
    </row>
    <row r="45">
      <c r="A45" s="1" t="str">
        <f>IFERROR(__xludf.DUMMYFUNCTION("""COMPUTED_VALUE"""),"Chaotic Shadow Golem")</f>
        <v>Chaotic Shadow Golem</v>
      </c>
      <c r="B45" s="103" t="str">
        <f>IFERROR(__xludf.DUMMYFUNCTION("""COMPUTED_VALUE"""),"https://drive.google.com/uc?export=view&amp;id=1R4o5DUEMnebrCwdAR-duvwJVMQ2p_R9j")</f>
        <v>https://drive.google.com/uc?export=view&amp;id=1R4o5DUEMnebrCwdAR-duvwJVMQ2p_R9j</v>
      </c>
      <c r="C45" s="1"/>
      <c r="D45" s="1"/>
      <c r="E45" s="1"/>
      <c r="F45" s="1"/>
      <c r="G45" s="1"/>
      <c r="H45" s="1"/>
      <c r="I45" s="1"/>
      <c r="J45" s="1"/>
      <c r="K45" s="1"/>
      <c r="L45" s="1"/>
      <c r="M45" s="1"/>
      <c r="N45" s="1"/>
      <c r="O45" s="1"/>
      <c r="P45" s="1"/>
      <c r="Q45" s="1"/>
      <c r="R45" s="1"/>
      <c r="S45" s="1"/>
      <c r="T45" s="1"/>
      <c r="U45" s="1"/>
      <c r="V45" s="1"/>
      <c r="W45" s="1"/>
      <c r="X45" s="1"/>
      <c r="Y45" s="1"/>
      <c r="Z45" s="1"/>
    </row>
    <row r="46">
      <c r="A46" s="1" t="str">
        <f>IFERROR(__xludf.DUMMYFUNCTION("""COMPUTED_VALUE"""),"Chaotic Shadow Phantom")</f>
        <v>Chaotic Shadow Phantom</v>
      </c>
      <c r="B46" s="103" t="str">
        <f>IFERROR(__xludf.DUMMYFUNCTION("""COMPUTED_VALUE"""),"https://drive.google.com/uc?export=view&amp;id=17Ss72Afxm7Wix-mY9-blPegojifygBIm")</f>
        <v>https://drive.google.com/uc?export=view&amp;id=17Ss72Afxm7Wix-mY9-blPegojifygBIm</v>
      </c>
      <c r="C46" s="1"/>
      <c r="D46" s="1"/>
      <c r="E46" s="1"/>
      <c r="F46" s="1"/>
      <c r="G46" s="1"/>
      <c r="H46" s="1"/>
      <c r="I46" s="1"/>
      <c r="J46" s="1"/>
      <c r="K46" s="1"/>
      <c r="L46" s="1"/>
      <c r="M46" s="1"/>
      <c r="N46" s="1"/>
      <c r="O46" s="1"/>
      <c r="P46" s="1"/>
      <c r="Q46" s="1"/>
      <c r="R46" s="1"/>
      <c r="S46" s="1"/>
      <c r="T46" s="1"/>
      <c r="U46" s="1"/>
      <c r="V46" s="1"/>
      <c r="W46" s="1"/>
      <c r="X46" s="1"/>
      <c r="Y46" s="1"/>
      <c r="Z46" s="1"/>
    </row>
    <row r="47">
      <c r="A47" s="1" t="str">
        <f>IFERROR(__xludf.DUMMYFUNCTION("""COMPUTED_VALUE"""),"Chaotic Shadow Royal Knight")</f>
        <v>Chaotic Shadow Royal Knight</v>
      </c>
      <c r="B47" s="103" t="str">
        <f>IFERROR(__xludf.DUMMYFUNCTION("""COMPUTED_VALUE"""),"https://drive.google.com/uc?export=view&amp;id=1zm8lY_CocL8ZJgpxZxdhb1gH5tS9mVO4")</f>
        <v>https://drive.google.com/uc?export=view&amp;id=1zm8lY_CocL8ZJgpxZxdhb1gH5tS9mVO4</v>
      </c>
      <c r="C47" s="1"/>
      <c r="D47" s="1"/>
      <c r="E47" s="1"/>
      <c r="F47" s="1"/>
      <c r="G47" s="1"/>
      <c r="H47" s="1"/>
      <c r="I47" s="1"/>
      <c r="J47" s="1"/>
      <c r="K47" s="1"/>
      <c r="L47" s="1"/>
      <c r="M47" s="1"/>
      <c r="N47" s="1"/>
      <c r="O47" s="1"/>
      <c r="P47" s="1"/>
      <c r="Q47" s="1"/>
      <c r="R47" s="1"/>
      <c r="S47" s="1"/>
      <c r="T47" s="1"/>
      <c r="U47" s="1"/>
      <c r="V47" s="1"/>
      <c r="W47" s="1"/>
      <c r="X47" s="1"/>
      <c r="Y47" s="1"/>
      <c r="Z47" s="1"/>
    </row>
    <row r="48">
      <c r="A48" s="1" t="str">
        <f>IFERROR(__xludf.DUMMYFUNCTION("""COMPUTED_VALUE"""),"Colossus Suit of Armor")</f>
        <v>Colossus Suit of Armor</v>
      </c>
      <c r="B48" s="103" t="str">
        <f>IFERROR(__xludf.DUMMYFUNCTION("""COMPUTED_VALUE"""),"https://i.pinimg.com/736x/65/7d/69/657d6986ee0bfd660a2bc7e628eba5f1.jpg")</f>
        <v>https://i.pinimg.com/736x/65/7d/69/657d6986ee0bfd660a2bc7e628eba5f1.jpg</v>
      </c>
      <c r="C48" s="1"/>
      <c r="D48" s="1"/>
      <c r="E48" s="1"/>
      <c r="F48" s="1"/>
      <c r="G48" s="1"/>
      <c r="H48" s="1"/>
      <c r="I48" s="1"/>
      <c r="J48" s="1"/>
      <c r="K48" s="1"/>
      <c r="L48" s="1"/>
      <c r="M48" s="1"/>
      <c r="N48" s="1"/>
      <c r="O48" s="1"/>
      <c r="P48" s="1"/>
      <c r="Q48" s="1"/>
      <c r="R48" s="1"/>
      <c r="S48" s="1"/>
      <c r="T48" s="1"/>
      <c r="U48" s="1"/>
      <c r="V48" s="1"/>
      <c r="W48" s="1"/>
      <c r="X48" s="1"/>
      <c r="Y48" s="1"/>
      <c r="Z48" s="1"/>
    </row>
    <row r="49">
      <c r="A49" s="1" t="str">
        <f>IFERROR(__xludf.DUMMYFUNCTION("""COMPUTED_VALUE"""),"Corrupted Twilight Knight")</f>
        <v>Corrupted Twilight Knight</v>
      </c>
      <c r="B49" s="103" t="str">
        <f>IFERROR(__xludf.DUMMYFUNCTION("""COMPUTED_VALUE"""),"https://storage.googleapis.com/pai-images/d6e2bf402d044cc582f0c065404a076a.jpeg")</f>
        <v>https://storage.googleapis.com/pai-images/d6e2bf402d044cc582f0c065404a076a.jpeg</v>
      </c>
      <c r="C49" s="1"/>
      <c r="D49" s="1"/>
      <c r="E49" s="1"/>
      <c r="F49" s="1"/>
      <c r="G49" s="1"/>
      <c r="H49" s="1"/>
      <c r="I49" s="1"/>
      <c r="J49" s="1"/>
      <c r="K49" s="1"/>
      <c r="L49" s="1"/>
      <c r="M49" s="1"/>
      <c r="N49" s="1"/>
      <c r="O49" s="1"/>
      <c r="P49" s="1"/>
      <c r="Q49" s="1"/>
      <c r="R49" s="1"/>
      <c r="S49" s="1"/>
      <c r="T49" s="1"/>
      <c r="U49" s="1"/>
      <c r="V49" s="1"/>
      <c r="W49" s="1"/>
      <c r="X49" s="1"/>
      <c r="Y49" s="1"/>
      <c r="Z49" s="1"/>
    </row>
    <row r="50">
      <c r="A50" s="1" t="str">
        <f>IFERROR(__xludf.DUMMYFUNCTION("""COMPUTED_VALUE"""),"Cremagetion")</f>
        <v>Cremagetion</v>
      </c>
      <c r="B50" s="103" t="str">
        <f>IFERROR(__xludf.DUMMYFUNCTION("""COMPUTED_VALUE"""),"https://media.discordapp.net/attachments/1035710302953676902/1224154181602902036/document.png?ex=661c756c&amp;is=660a006c&amp;hm=b3f378fa3b474c2ec02bad93c073ca691e14cd9506de4ff63658d4d7bfd1a91e&amp;=&amp;format=webp&amp;quality=lossless&amp;width=671&amp;height=671")</f>
        <v>https://media.discordapp.net/attachments/1035710302953676902/1224154181602902036/document.png?ex=661c756c&amp;is=660a006c&amp;hm=b3f378fa3b474c2ec02bad93c073ca691e14cd9506de4ff63658d4d7bfd1a91e&amp;=&amp;format=webp&amp;quality=lossless&amp;width=671&amp;height=671</v>
      </c>
      <c r="C50" s="1"/>
      <c r="D50" s="1"/>
      <c r="E50" s="1"/>
      <c r="F50" s="1"/>
      <c r="G50" s="1"/>
      <c r="H50" s="1"/>
      <c r="I50" s="1"/>
      <c r="J50" s="1"/>
      <c r="K50" s="1"/>
      <c r="L50" s="1"/>
      <c r="M50" s="1"/>
      <c r="N50" s="1"/>
      <c r="O50" s="1"/>
      <c r="P50" s="1"/>
      <c r="Q50" s="1"/>
      <c r="R50" s="1"/>
      <c r="S50" s="1"/>
      <c r="T50" s="1"/>
      <c r="U50" s="1"/>
      <c r="V50" s="1"/>
      <c r="W50" s="1"/>
      <c r="X50" s="1"/>
      <c r="Y50" s="1"/>
      <c r="Z50" s="1"/>
    </row>
    <row r="51">
      <c r="A51" s="1" t="str">
        <f>IFERROR(__xludf.DUMMYFUNCTION("""COMPUTED_VALUE"""),"Crow")</f>
        <v>Crow</v>
      </c>
      <c r="B51" s="103" t="str">
        <f>IFERROR(__xludf.DUMMYFUNCTION("""COMPUTED_VALUE"""),"https://i.pinimg.com/originals/3a/04/f1/3a04f11155301f7761e6980ced4e912b.jpg")</f>
        <v>https://i.pinimg.com/originals/3a/04/f1/3a04f11155301f7761e6980ced4e912b.jpg</v>
      </c>
      <c r="C51" s="1"/>
      <c r="D51" s="1"/>
      <c r="E51" s="1"/>
      <c r="F51" s="1"/>
      <c r="G51" s="1"/>
      <c r="H51" s="1"/>
      <c r="I51" s="1"/>
      <c r="J51" s="1"/>
      <c r="K51" s="1"/>
      <c r="L51" s="1"/>
      <c r="M51" s="1"/>
      <c r="N51" s="1"/>
      <c r="O51" s="1"/>
      <c r="P51" s="1"/>
      <c r="Q51" s="1"/>
      <c r="R51" s="1"/>
      <c r="S51" s="1"/>
      <c r="T51" s="1"/>
      <c r="U51" s="1"/>
      <c r="V51" s="1"/>
      <c r="W51" s="1"/>
      <c r="X51" s="1"/>
      <c r="Y51" s="1"/>
      <c r="Z51" s="1"/>
    </row>
    <row r="52">
      <c r="A52" s="1" t="str">
        <f>IFERROR(__xludf.DUMMYFUNCTION("""COMPUTED_VALUE"""),"Crystal Dragon")</f>
        <v>Crystal Dragon</v>
      </c>
      <c r="B52" s="103" t="str">
        <f>IFERROR(__xludf.DUMMYFUNCTION("""COMPUTED_VALUE"""),"https://i.pinimg.com/originals/c5/c4/f1/c5c4f16c6b756db55373075d9661b3a0.jpg")</f>
        <v>https://i.pinimg.com/originals/c5/c4/f1/c5c4f16c6b756db55373075d9661b3a0.jpg</v>
      </c>
      <c r="C52" s="1"/>
      <c r="D52" s="1"/>
      <c r="E52" s="1"/>
      <c r="F52" s="1"/>
      <c r="G52" s="1"/>
      <c r="H52" s="1"/>
      <c r="I52" s="1"/>
      <c r="J52" s="1"/>
      <c r="K52" s="1"/>
      <c r="L52" s="1"/>
      <c r="M52" s="1"/>
      <c r="N52" s="1"/>
      <c r="O52" s="1"/>
      <c r="P52" s="1"/>
      <c r="Q52" s="1"/>
      <c r="R52" s="1"/>
      <c r="S52" s="1"/>
      <c r="T52" s="1"/>
      <c r="U52" s="1"/>
      <c r="V52" s="1"/>
      <c r="W52" s="1"/>
      <c r="X52" s="1"/>
      <c r="Y52" s="1"/>
      <c r="Z52" s="1"/>
    </row>
    <row r="53">
      <c r="A53" s="1" t="str">
        <f>IFERROR(__xludf.DUMMYFUNCTION("""COMPUTED_VALUE"""),"Crystal Guardian")</f>
        <v>Crystal Guardian</v>
      </c>
      <c r="B53" s="103" t="str">
        <f>IFERROR(__xludf.DUMMYFUNCTION("""COMPUTED_VALUE"""),"https://pbs.twimg.com/media/CusP9YQXEAERGuj.jpg:large")</f>
        <v>https://pbs.twimg.com/media/CusP9YQXEAERGuj.jpg:large</v>
      </c>
      <c r="C53" s="1"/>
      <c r="D53" s="1"/>
      <c r="E53" s="1"/>
      <c r="F53" s="1"/>
      <c r="G53" s="1"/>
      <c r="H53" s="1"/>
      <c r="I53" s="1"/>
      <c r="J53" s="1"/>
      <c r="K53" s="1"/>
      <c r="L53" s="1"/>
      <c r="M53" s="1"/>
      <c r="N53" s="1"/>
      <c r="O53" s="1"/>
      <c r="P53" s="1"/>
      <c r="Q53" s="1"/>
      <c r="R53" s="1"/>
      <c r="S53" s="1"/>
      <c r="T53" s="1"/>
      <c r="U53" s="1"/>
      <c r="V53" s="1"/>
      <c r="W53" s="1"/>
      <c r="X53" s="1"/>
      <c r="Y53" s="1"/>
      <c r="Z53" s="1"/>
    </row>
    <row r="54">
      <c r="A54" s="1" t="str">
        <f>IFERROR(__xludf.DUMMYFUNCTION("""COMPUTED_VALUE"""),"Cthulhu")</f>
        <v>Cthulhu</v>
      </c>
      <c r="B54" s="103" t="str">
        <f>IFERROR(__xludf.DUMMYFUNCTION("""COMPUTED_VALUE"""),"https://c4.wallpaperflare.com/wallpaper/317/750/500/artwork-cthulhu-artstation-digital-art-fantasy-art-hd-wallpaper-preview.jpg")</f>
        <v>https://c4.wallpaperflare.com/wallpaper/317/750/500/artwork-cthulhu-artstation-digital-art-fantasy-art-hd-wallpaper-preview.jpg</v>
      </c>
      <c r="C54" s="1"/>
      <c r="D54" s="1"/>
      <c r="E54" s="1"/>
      <c r="F54" s="1"/>
      <c r="G54" s="1"/>
      <c r="H54" s="1"/>
      <c r="I54" s="1"/>
      <c r="J54" s="1"/>
      <c r="K54" s="1"/>
      <c r="L54" s="1"/>
      <c r="M54" s="1"/>
      <c r="N54" s="1"/>
      <c r="O54" s="1"/>
      <c r="P54" s="1"/>
      <c r="Q54" s="1"/>
      <c r="R54" s="1"/>
      <c r="S54" s="1"/>
      <c r="T54" s="1"/>
      <c r="U54" s="1"/>
      <c r="V54" s="1"/>
      <c r="W54" s="1"/>
      <c r="X54" s="1"/>
      <c r="Y54" s="1"/>
      <c r="Z54" s="1"/>
    </row>
    <row r="55">
      <c r="A55" s="1" t="str">
        <f>IFERROR(__xludf.DUMMYFUNCTION("""COMPUTED_VALUE"""),"Cultist of Dreadful")</f>
        <v>Cultist of Dreadful</v>
      </c>
      <c r="B55" s="103" t="str">
        <f>IFERROR(__xludf.DUMMYFUNCTION("""COMPUTED_VALUE"""),"https://encrypted-tbn1.gstatic.com/images?q=tbn:ANd9GcTvMx522kqCNH6QSrBwdNHiwIS58mgsiwYSZSZOgv8kGxKj1dsN")</f>
        <v>https://encrypted-tbn1.gstatic.com/images?q=tbn:ANd9GcTvMx522kqCNH6QSrBwdNHiwIS58mgsiwYSZSZOgv8kGxKj1dsN</v>
      </c>
      <c r="C55" s="1"/>
      <c r="D55" s="1"/>
      <c r="E55" s="1"/>
      <c r="F55" s="1"/>
      <c r="G55" s="1"/>
      <c r="H55" s="1"/>
      <c r="I55" s="1"/>
      <c r="J55" s="1"/>
      <c r="K55" s="1"/>
      <c r="L55" s="1"/>
      <c r="M55" s="1"/>
      <c r="N55" s="1"/>
      <c r="O55" s="1"/>
      <c r="P55" s="1"/>
      <c r="Q55" s="1"/>
      <c r="R55" s="1"/>
      <c r="S55" s="1"/>
      <c r="T55" s="1"/>
      <c r="U55" s="1"/>
      <c r="V55" s="1"/>
      <c r="W55" s="1"/>
      <c r="X55" s="1"/>
      <c r="Y55" s="1"/>
      <c r="Z55" s="1"/>
    </row>
    <row r="56">
      <c r="A56" s="1" t="str">
        <f>IFERROR(__xludf.DUMMYFUNCTION("""COMPUTED_VALUE"""),"Cultist Leader")</f>
        <v>Cultist Leader</v>
      </c>
      <c r="B56" s="103" t="str">
        <f>IFERROR(__xludf.DUMMYFUNCTION("""COMPUTED_VALUE"""),"https://encrypted-tbn2.gstatic.com/images?q=tbn:ANd9GcSjsj2YW88yWJIVwxthXd4QzbCG5_Z8M7X-NRGw-NwuxL3sDZzT")</f>
        <v>https://encrypted-tbn2.gstatic.com/images?q=tbn:ANd9GcSjsj2YW88yWJIVwxthXd4QzbCG5_Z8M7X-NRGw-NwuxL3sDZzT</v>
      </c>
      <c r="C56" s="1"/>
      <c r="D56" s="1"/>
      <c r="E56" s="1"/>
      <c r="F56" s="1"/>
      <c r="G56" s="1"/>
      <c r="H56" s="1"/>
      <c r="I56" s="1"/>
      <c r="J56" s="1"/>
      <c r="K56" s="1"/>
      <c r="L56" s="1"/>
      <c r="M56" s="1"/>
      <c r="N56" s="1"/>
      <c r="O56" s="1"/>
      <c r="P56" s="1"/>
      <c r="Q56" s="1"/>
      <c r="R56" s="1"/>
      <c r="S56" s="1"/>
      <c r="T56" s="1"/>
      <c r="U56" s="1"/>
      <c r="V56" s="1"/>
      <c r="W56" s="1"/>
      <c r="X56" s="1"/>
      <c r="Y56" s="1"/>
      <c r="Z56" s="1"/>
    </row>
    <row r="57">
      <c r="A57" s="1" t="str">
        <f>IFERROR(__xludf.DUMMYFUNCTION("""COMPUTED_VALUE"""),"Cursed Ronin")</f>
        <v>Cursed Ronin</v>
      </c>
      <c r="B57" s="103" t="str">
        <f>IFERROR(__xludf.DUMMYFUNCTION("""COMPUTED_VALUE"""),"https://t3.ftcdn.net/jpg/05/61/33/58/360_F_561335839_XPIleWtY5WVFWBy3P3aP2Yt7nPmKKvPD.webp")</f>
        <v>https://t3.ftcdn.net/jpg/05/61/33/58/360_F_561335839_XPIleWtY5WVFWBy3P3aP2Yt7nPmKKvPD.webp</v>
      </c>
      <c r="C57" s="1"/>
      <c r="D57" s="1"/>
      <c r="E57" s="1"/>
      <c r="F57" s="1"/>
      <c r="G57" s="1"/>
      <c r="H57" s="1"/>
      <c r="I57" s="1"/>
      <c r="J57" s="1"/>
      <c r="K57" s="1"/>
      <c r="L57" s="1"/>
      <c r="M57" s="1"/>
      <c r="N57" s="1"/>
      <c r="O57" s="1"/>
      <c r="P57" s="1"/>
      <c r="Q57" s="1"/>
      <c r="R57" s="1"/>
      <c r="S57" s="1"/>
      <c r="T57" s="1"/>
      <c r="U57" s="1"/>
      <c r="V57" s="1"/>
      <c r="W57" s="1"/>
      <c r="X57" s="1"/>
      <c r="Y57" s="1"/>
      <c r="Z57" s="1"/>
    </row>
    <row r="58">
      <c r="A58" s="1" t="str">
        <f>IFERROR(__xludf.DUMMYFUNCTION("""COMPUTED_VALUE"""),"Cursed Samurai")</f>
        <v>Cursed Samurai</v>
      </c>
      <c r="B58" s="103" t="str">
        <f>IFERROR(__xludf.DUMMYFUNCTION("""COMPUTED_VALUE"""),"https://img.freepik.com/premium-photo/ghost-warrior-samurai-heavy-armour-ronin-samurai-fantasy-character-generative-ai_751108-3262.jpg?w=2000")</f>
        <v>https://img.freepik.com/premium-photo/ghost-warrior-samurai-heavy-armour-ronin-samurai-fantasy-character-generative-ai_751108-3262.jpg?w=2000</v>
      </c>
      <c r="C58" s="1"/>
      <c r="D58" s="1"/>
      <c r="E58" s="1"/>
      <c r="F58" s="1"/>
      <c r="G58" s="1"/>
      <c r="H58" s="1"/>
      <c r="I58" s="1"/>
      <c r="J58" s="1"/>
      <c r="K58" s="1"/>
      <c r="L58" s="1"/>
      <c r="M58" s="1"/>
      <c r="N58" s="1"/>
      <c r="O58" s="1"/>
      <c r="P58" s="1"/>
      <c r="Q58" s="1"/>
      <c r="R58" s="1"/>
      <c r="S58" s="1"/>
      <c r="T58" s="1"/>
      <c r="U58" s="1"/>
      <c r="V58" s="1"/>
      <c r="W58" s="1"/>
      <c r="X58" s="1"/>
      <c r="Y58" s="1"/>
      <c r="Z58" s="1"/>
    </row>
    <row r="59">
      <c r="A59" s="1" t="str">
        <f>IFERROR(__xludf.DUMMYFUNCTION("""COMPUTED_VALUE"""),"Cyclops")</f>
        <v>Cyclops</v>
      </c>
      <c r="B59" s="103" t="str">
        <f>IFERROR(__xludf.DUMMYFUNCTION("""COMPUTED_VALUE"""),"https://i.pinimg.com/originals/5f/28/ae/5f28ae88d2704e6b5be7f0d630483801.jpg")</f>
        <v>https://i.pinimg.com/originals/5f/28/ae/5f28ae88d2704e6b5be7f0d630483801.jpg</v>
      </c>
      <c r="C59" s="1"/>
      <c r="D59" s="1"/>
      <c r="E59" s="1"/>
      <c r="F59" s="1"/>
      <c r="G59" s="1"/>
      <c r="H59" s="1"/>
      <c r="I59" s="1"/>
      <c r="J59" s="1"/>
      <c r="K59" s="1"/>
      <c r="L59" s="1"/>
      <c r="M59" s="1"/>
      <c r="N59" s="1"/>
      <c r="O59" s="1"/>
      <c r="P59" s="1"/>
      <c r="Q59" s="1"/>
      <c r="R59" s="1"/>
      <c r="S59" s="1"/>
      <c r="T59" s="1"/>
      <c r="U59" s="1"/>
      <c r="V59" s="1"/>
      <c r="W59" s="1"/>
      <c r="X59" s="1"/>
      <c r="Y59" s="1"/>
      <c r="Z59" s="1"/>
    </row>
    <row r="60">
      <c r="A60" s="1" t="str">
        <f>IFERROR(__xludf.DUMMYFUNCTION("""COMPUTED_VALUE"""),"Dark Dragon")</f>
        <v>Dark Dragon</v>
      </c>
      <c r="B60" s="103" t="str">
        <f>IFERROR(__xludf.DUMMYFUNCTION("""COMPUTED_VALUE"""),"https://w0.peakpx.com/wallpaper/495/31/HD-wallpaper-dragon-art-fantasy-wings-dark-black-blue.jpg")</f>
        <v>https://w0.peakpx.com/wallpaper/495/31/HD-wallpaper-dragon-art-fantasy-wings-dark-black-blue.jpg</v>
      </c>
      <c r="C60" s="1"/>
      <c r="D60" s="1"/>
      <c r="E60" s="1"/>
      <c r="F60" s="1"/>
      <c r="G60" s="1"/>
      <c r="H60" s="1"/>
      <c r="I60" s="1"/>
      <c r="J60" s="1"/>
      <c r="K60" s="1"/>
      <c r="L60" s="1"/>
      <c r="M60" s="1"/>
      <c r="N60" s="1"/>
      <c r="O60" s="1"/>
      <c r="P60" s="1"/>
      <c r="Q60" s="1"/>
      <c r="R60" s="1"/>
      <c r="S60" s="1"/>
      <c r="T60" s="1"/>
      <c r="U60" s="1"/>
      <c r="V60" s="1"/>
      <c r="W60" s="1"/>
      <c r="X60" s="1"/>
      <c r="Y60" s="1"/>
      <c r="Z60" s="1"/>
    </row>
    <row r="61">
      <c r="A61" s="1" t="str">
        <f>IFERROR(__xludf.DUMMYFUNCTION("""COMPUTED_VALUE"""),"Dark Snow Warrior")</f>
        <v>Dark Snow Warrior</v>
      </c>
      <c r="B61" s="103" t="str">
        <f>IFERROR(__xludf.DUMMYFUNCTION("""COMPUTED_VALUE"""),"https://i.pinimg.com/originals/f4/3f/fd/f43ffd3a9c74f97511c0051567b8f650.jpg")</f>
        <v>https://i.pinimg.com/originals/f4/3f/fd/f43ffd3a9c74f97511c0051567b8f650.jpg</v>
      </c>
      <c r="C61" s="1"/>
      <c r="D61" s="1"/>
      <c r="E61" s="1"/>
      <c r="F61" s="1"/>
      <c r="G61" s="1"/>
      <c r="H61" s="1"/>
      <c r="I61" s="1"/>
      <c r="J61" s="1"/>
      <c r="K61" s="1"/>
      <c r="L61" s="1"/>
      <c r="M61" s="1"/>
      <c r="N61" s="1"/>
      <c r="O61" s="1"/>
      <c r="P61" s="1"/>
      <c r="Q61" s="1"/>
      <c r="R61" s="1"/>
      <c r="S61" s="1"/>
      <c r="T61" s="1"/>
      <c r="U61" s="1"/>
      <c r="V61" s="1"/>
      <c r="W61" s="1"/>
      <c r="X61" s="1"/>
      <c r="Y61" s="1"/>
      <c r="Z61" s="1"/>
    </row>
    <row r="62">
      <c r="A62" s="1" t="str">
        <f>IFERROR(__xludf.DUMMYFUNCTION("""COMPUTED_VALUE"""),"Dark Wizard")</f>
        <v>Dark Wizard</v>
      </c>
      <c r="B62" s="103" t="str">
        <f>IFERROR(__xludf.DUMMYFUNCTION("""COMPUTED_VALUE"""),"https://i.pinimg.com/originals/9e/47/13/9e4713f2b72a040ff3243636c111eb8a.jpg")</f>
        <v>https://i.pinimg.com/originals/9e/47/13/9e4713f2b72a040ff3243636c111eb8a.jpg</v>
      </c>
      <c r="C62" s="1"/>
      <c r="D62" s="1"/>
      <c r="E62" s="1"/>
      <c r="F62" s="1"/>
      <c r="G62" s="1"/>
      <c r="H62" s="1"/>
      <c r="I62" s="1"/>
      <c r="J62" s="1"/>
      <c r="K62" s="1"/>
      <c r="L62" s="1"/>
      <c r="M62" s="1"/>
      <c r="N62" s="1"/>
      <c r="O62" s="1"/>
      <c r="P62" s="1"/>
      <c r="Q62" s="1"/>
      <c r="R62" s="1"/>
      <c r="S62" s="1"/>
      <c r="T62" s="1"/>
      <c r="U62" s="1"/>
      <c r="V62" s="1"/>
      <c r="W62" s="1"/>
      <c r="X62" s="1"/>
      <c r="Y62" s="1"/>
      <c r="Z62" s="1"/>
    </row>
    <row r="63">
      <c r="A63" s="1" t="str">
        <f>IFERROR(__xludf.DUMMYFUNCTION("""COMPUTED_VALUE"""),"Death's Royal Guard")</f>
        <v>Death's Royal Guard</v>
      </c>
      <c r="B63" s="103" t="str">
        <f>IFERROR(__xludf.DUMMYFUNCTION("""COMPUTED_VALUE"""),"https://cdn.openart.ai/stable_diffusion/68141c57eedfef3c6cd00d9bad285539ccfe2f41_2000x2000.webp")</f>
        <v>https://cdn.openart.ai/stable_diffusion/68141c57eedfef3c6cd00d9bad285539ccfe2f41_2000x2000.webp</v>
      </c>
      <c r="C63" s="1"/>
      <c r="D63" s="1"/>
      <c r="E63" s="1"/>
      <c r="F63" s="1"/>
      <c r="G63" s="1"/>
      <c r="H63" s="1"/>
      <c r="I63" s="1"/>
      <c r="J63" s="1"/>
      <c r="K63" s="1"/>
      <c r="L63" s="1"/>
      <c r="M63" s="1"/>
      <c r="N63" s="1"/>
      <c r="O63" s="1"/>
      <c r="P63" s="1"/>
      <c r="Q63" s="1"/>
      <c r="R63" s="1"/>
      <c r="S63" s="1"/>
      <c r="T63" s="1"/>
      <c r="U63" s="1"/>
      <c r="V63" s="1"/>
      <c r="W63" s="1"/>
      <c r="X63" s="1"/>
      <c r="Y63" s="1"/>
      <c r="Z63" s="1"/>
    </row>
    <row r="64">
      <c r="A64" s="1" t="str">
        <f>IFERROR(__xludf.DUMMYFUNCTION("""COMPUTED_VALUE"""),"Deathblade The Dragon Hunter")</f>
        <v>Deathblade The Dragon Hunter</v>
      </c>
      <c r="B64" s="103" t="str">
        <f>IFERROR(__xludf.DUMMYFUNCTION("""COMPUTED_VALUE"""),"http://drive.google.com/uc?export=view&amp;id=1fTOqsOkiBPJyX_PJjYXP3r_EXxF1BZtm")</f>
        <v>http://drive.google.com/uc?export=view&amp;id=1fTOqsOkiBPJyX_PJjYXP3r_EXxF1BZtm</v>
      </c>
      <c r="C64" s="1"/>
      <c r="D64" s="1"/>
      <c r="E64" s="1"/>
      <c r="F64" s="1"/>
      <c r="G64" s="1"/>
      <c r="H64" s="1"/>
      <c r="I64" s="1"/>
      <c r="J64" s="1"/>
      <c r="K64" s="1"/>
      <c r="L64" s="1"/>
      <c r="M64" s="1"/>
      <c r="N64" s="1"/>
      <c r="O64" s="1"/>
      <c r="P64" s="1"/>
      <c r="Q64" s="1"/>
      <c r="R64" s="1"/>
      <c r="S64" s="1"/>
      <c r="T64" s="1"/>
      <c r="U64" s="1"/>
      <c r="V64" s="1"/>
      <c r="W64" s="1"/>
      <c r="X64" s="1"/>
      <c r="Y64" s="1"/>
      <c r="Z64" s="1"/>
    </row>
    <row r="65">
      <c r="A65" s="1" t="str">
        <f>IFERROR(__xludf.DUMMYFUNCTION("""COMPUTED_VALUE"""),"Defensive Rock Giant")</f>
        <v>Defensive Rock Giant</v>
      </c>
      <c r="B65" s="103" t="str">
        <f>IFERROR(__xludf.DUMMYFUNCTION("""COMPUTED_VALUE"""),"https://i.pinimg.com/736x/51/68/d2/5168d299adfb699961c350bc08f8485c--art-blog-challenges.jpg")</f>
        <v>https://i.pinimg.com/736x/51/68/d2/5168d299adfb699961c350bc08f8485c--art-blog-challenges.jpg</v>
      </c>
      <c r="C65" s="1"/>
      <c r="D65" s="1"/>
      <c r="E65" s="1"/>
      <c r="F65" s="1"/>
      <c r="G65" s="1"/>
      <c r="H65" s="1"/>
      <c r="I65" s="1"/>
      <c r="J65" s="1"/>
      <c r="K65" s="1"/>
      <c r="L65" s="1"/>
      <c r="M65" s="1"/>
      <c r="N65" s="1"/>
      <c r="O65" s="1"/>
      <c r="P65" s="1"/>
      <c r="Q65" s="1"/>
      <c r="R65" s="1"/>
      <c r="S65" s="1"/>
      <c r="T65" s="1"/>
      <c r="U65" s="1"/>
      <c r="V65" s="1"/>
      <c r="W65" s="1"/>
      <c r="X65" s="1"/>
      <c r="Y65" s="1"/>
      <c r="Z65" s="1"/>
    </row>
    <row r="66">
      <c r="A66" s="1" t="str">
        <f>IFERROR(__xludf.DUMMYFUNCTION("""COMPUTED_VALUE"""),"Deimos")</f>
        <v>Deimos</v>
      </c>
      <c r="B66" s="103" t="str">
        <f>IFERROR(__xludf.DUMMYFUNCTION("""COMPUTED_VALUE"""),"https://i.pinimg.com/originals/3f/8d/d1/3f8dd1ead651d9d4b1fb5a874af1022f.jpg")</f>
        <v>https://i.pinimg.com/originals/3f/8d/d1/3f8dd1ead651d9d4b1fb5a874af1022f.jpg</v>
      </c>
      <c r="C66" s="1"/>
      <c r="D66" s="1"/>
      <c r="E66" s="1"/>
      <c r="F66" s="1"/>
      <c r="G66" s="1"/>
      <c r="H66" s="1"/>
      <c r="I66" s="1"/>
      <c r="J66" s="1"/>
      <c r="K66" s="1"/>
      <c r="L66" s="1"/>
      <c r="M66" s="1"/>
      <c r="N66" s="1"/>
      <c r="O66" s="1"/>
      <c r="P66" s="1"/>
      <c r="Q66" s="1"/>
      <c r="R66" s="1"/>
      <c r="S66" s="1"/>
      <c r="T66" s="1"/>
      <c r="U66" s="1"/>
      <c r="V66" s="1"/>
      <c r="W66" s="1"/>
      <c r="X66" s="1"/>
      <c r="Y66" s="1"/>
      <c r="Z66" s="1"/>
    </row>
    <row r="67">
      <c r="A67" s="1" t="str">
        <f>IFERROR(__xludf.DUMMYFUNCTION("""COMPUTED_VALUE"""),"Delta Dragon")</f>
        <v>Delta Dragon</v>
      </c>
      <c r="B67" s="103" t="str">
        <f>IFERROR(__xludf.DUMMYFUNCTION("""COMPUTED_VALUE"""),"https://www.wallpaperup.com/uploads/wallpapers/2015/03/30/649871/c57c9388e263a93f386c1242f7f289ad-700.jpg")</f>
        <v>https://www.wallpaperup.com/uploads/wallpapers/2015/03/30/649871/c57c9388e263a93f386c1242f7f289ad-700.jpg</v>
      </c>
      <c r="C67" s="1"/>
      <c r="D67" s="1"/>
      <c r="E67" s="1"/>
      <c r="F67" s="1"/>
      <c r="G67" s="1"/>
      <c r="H67" s="1"/>
      <c r="I67" s="1"/>
      <c r="J67" s="1"/>
      <c r="K67" s="1"/>
      <c r="L67" s="1"/>
      <c r="M67" s="1"/>
      <c r="N67" s="1"/>
      <c r="O67" s="1"/>
      <c r="P67" s="1"/>
      <c r="Q67" s="1"/>
      <c r="R67" s="1"/>
      <c r="S67" s="1"/>
      <c r="T67" s="1"/>
      <c r="U67" s="1"/>
      <c r="V67" s="1"/>
      <c r="W67" s="1"/>
      <c r="X67" s="1"/>
      <c r="Y67" s="1"/>
      <c r="Z67" s="1"/>
    </row>
    <row r="68">
      <c r="A68" s="1" t="str">
        <f>IFERROR(__xludf.DUMMYFUNCTION("""COMPUTED_VALUE"""),"Demon ")</f>
        <v>Demon </v>
      </c>
      <c r="B68" s="103" t="str">
        <f>IFERROR(__xludf.DUMMYFUNCTION("""COMPUTED_VALUE"""),"https://i.pinimg.com/736x/27/3b/e7/273be790bebc0bbc3bca4e9a5264ca0d.jpg")</f>
        <v>https://i.pinimg.com/736x/27/3b/e7/273be790bebc0bbc3bca4e9a5264ca0d.jpg</v>
      </c>
      <c r="C68" s="1"/>
      <c r="D68" s="1"/>
      <c r="E68" s="1"/>
      <c r="F68" s="1"/>
      <c r="G68" s="1"/>
      <c r="H68" s="1"/>
      <c r="I68" s="1"/>
      <c r="J68" s="1"/>
      <c r="K68" s="1"/>
      <c r="L68" s="1"/>
      <c r="M68" s="1"/>
      <c r="N68" s="1"/>
      <c r="O68" s="1"/>
      <c r="P68" s="1"/>
      <c r="Q68" s="1"/>
      <c r="R68" s="1"/>
      <c r="S68" s="1"/>
      <c r="T68" s="1"/>
      <c r="U68" s="1"/>
      <c r="V68" s="1"/>
      <c r="W68" s="1"/>
      <c r="X68" s="1"/>
      <c r="Y68" s="1"/>
      <c r="Z68" s="1"/>
    </row>
    <row r="69">
      <c r="A69" s="1" t="str">
        <f>IFERROR(__xludf.DUMMYFUNCTION("""COMPUTED_VALUE"""),"Demon Of Heatmore")</f>
        <v>Demon Of Heatmore</v>
      </c>
      <c r="B69" s="103" t="str">
        <f>IFERROR(__xludf.DUMMYFUNCTION("""COMPUTED_VALUE"""),"https://i.pinimg.com/736x/dc/1b/85/dc1b85880f048fffce15fbed2c60d369.jpg")</f>
        <v>https://i.pinimg.com/736x/dc/1b/85/dc1b85880f048fffce15fbed2c60d369.jpg</v>
      </c>
      <c r="C69" s="1"/>
      <c r="D69" s="1"/>
      <c r="E69" s="1"/>
      <c r="F69" s="1"/>
      <c r="G69" s="1"/>
      <c r="H69" s="1"/>
      <c r="I69" s="1"/>
      <c r="J69" s="1"/>
      <c r="K69" s="1"/>
      <c r="L69" s="1"/>
      <c r="M69" s="1"/>
      <c r="N69" s="1"/>
      <c r="O69" s="1"/>
      <c r="P69" s="1"/>
      <c r="Q69" s="1"/>
      <c r="R69" s="1"/>
      <c r="S69" s="1"/>
      <c r="T69" s="1"/>
      <c r="U69" s="1"/>
      <c r="V69" s="1"/>
      <c r="W69" s="1"/>
      <c r="X69" s="1"/>
      <c r="Y69" s="1"/>
      <c r="Z69" s="1"/>
    </row>
    <row r="70">
      <c r="A70" s="1" t="str">
        <f>IFERROR(__xludf.DUMMYFUNCTION("""COMPUTED_VALUE"""),"Desert Demon")</f>
        <v>Desert Demon</v>
      </c>
      <c r="B70" s="103" t="str">
        <f>IFERROR(__xludf.DUMMYFUNCTION("""COMPUTED_VALUE"""),"https://i.pinimg.com/originals/01/43/e1/0143e115cb3f7f01072aca289fea0bd2.jpg")</f>
        <v>https://i.pinimg.com/originals/01/43/e1/0143e115cb3f7f01072aca289fea0bd2.jpg</v>
      </c>
      <c r="C70" s="1"/>
      <c r="D70" s="1"/>
      <c r="E70" s="1"/>
      <c r="F70" s="1"/>
      <c r="G70" s="1"/>
      <c r="H70" s="1"/>
      <c r="I70" s="1"/>
      <c r="J70" s="1"/>
      <c r="K70" s="1"/>
      <c r="L70" s="1"/>
      <c r="M70" s="1"/>
      <c r="N70" s="1"/>
      <c r="O70" s="1"/>
      <c r="P70" s="1"/>
      <c r="Q70" s="1"/>
      <c r="R70" s="1"/>
      <c r="S70" s="1"/>
      <c r="T70" s="1"/>
      <c r="U70" s="1"/>
      <c r="V70" s="1"/>
      <c r="W70" s="1"/>
      <c r="X70" s="1"/>
      <c r="Y70" s="1"/>
      <c r="Z70" s="1"/>
    </row>
    <row r="71">
      <c r="A71" s="1" t="str">
        <f>IFERROR(__xludf.DUMMYFUNCTION("""COMPUTED_VALUE"""),"Desert Hunter")</f>
        <v>Desert Hunter</v>
      </c>
      <c r="B71" s="103" t="str">
        <f>IFERROR(__xludf.DUMMYFUNCTION("""COMPUTED_VALUE"""),"https://cdnb.artstation.com/p/assets/images/images/006/020/639/large/sathoryn-bruno-henriques-camel-9s.jpg?1495474695")</f>
        <v>https://cdnb.artstation.com/p/assets/images/images/006/020/639/large/sathoryn-bruno-henriques-camel-9s.jpg?1495474695</v>
      </c>
      <c r="C71" s="1"/>
      <c r="D71" s="1"/>
      <c r="E71" s="1"/>
      <c r="F71" s="1"/>
      <c r="G71" s="1"/>
      <c r="H71" s="1"/>
      <c r="I71" s="1"/>
      <c r="J71" s="1"/>
      <c r="K71" s="1"/>
      <c r="L71" s="1"/>
      <c r="M71" s="1"/>
      <c r="N71" s="1"/>
      <c r="O71" s="1"/>
      <c r="P71" s="1"/>
      <c r="Q71" s="1"/>
      <c r="R71" s="1"/>
      <c r="S71" s="1"/>
      <c r="T71" s="1"/>
      <c r="U71" s="1"/>
      <c r="V71" s="1"/>
      <c r="W71" s="1"/>
      <c r="X71" s="1"/>
      <c r="Y71" s="1"/>
      <c r="Z71" s="1"/>
    </row>
    <row r="72">
      <c r="A72" s="1" t="str">
        <f>IFERROR(__xludf.DUMMYFUNCTION("""COMPUTED_VALUE"""),"Desert Titan")</f>
        <v>Desert Titan</v>
      </c>
      <c r="B72" s="103" t="str">
        <f>IFERROR(__xludf.DUMMYFUNCTION("""COMPUTED_VALUE"""),"https://i.pinimg.com/originals/0c/5a/f6/0c5af62b0e48e1ce94a87e9baf3c7d5a.jpg")</f>
        <v>https://i.pinimg.com/originals/0c/5a/f6/0c5af62b0e48e1ce94a87e9baf3c7d5a.jpg</v>
      </c>
      <c r="C72" s="1"/>
      <c r="D72" s="1"/>
      <c r="E72" s="1"/>
      <c r="F72" s="1"/>
      <c r="G72" s="1"/>
      <c r="H72" s="1"/>
      <c r="I72" s="1"/>
      <c r="J72" s="1"/>
      <c r="K72" s="1"/>
      <c r="L72" s="1"/>
      <c r="M72" s="1"/>
      <c r="N72" s="1"/>
      <c r="O72" s="1"/>
      <c r="P72" s="1"/>
      <c r="Q72" s="1"/>
      <c r="R72" s="1"/>
      <c r="S72" s="1"/>
      <c r="T72" s="1"/>
      <c r="U72" s="1"/>
      <c r="V72" s="1"/>
      <c r="W72" s="1"/>
      <c r="X72" s="1"/>
      <c r="Y72" s="1"/>
      <c r="Z72" s="1"/>
    </row>
    <row r="73">
      <c r="A73" s="1" t="str">
        <f>IFERROR(__xludf.DUMMYFUNCTION("""COMPUTED_VALUE"""),"Diamond Dragon")</f>
        <v>Diamond Dragon</v>
      </c>
      <c r="B73" s="103" t="str">
        <f>IFERROR(__xludf.DUMMYFUNCTION("""COMPUTED_VALUE"""),"https://cdn.shopify.com/s/files/1/2362/8001/products/blue-crystal-dragon-paint-with-diamonds-fall-sale-fantasy-february-2019-round_229_1024x1024.jpg?v=1614929210")</f>
        <v>https://cdn.shopify.com/s/files/1/2362/8001/products/blue-crystal-dragon-paint-with-diamonds-fall-sale-fantasy-february-2019-round_229_1024x1024.jpg?v=1614929210</v>
      </c>
      <c r="C73" s="1"/>
      <c r="D73" s="1"/>
      <c r="E73" s="1"/>
      <c r="F73" s="1"/>
      <c r="G73" s="1"/>
      <c r="H73" s="1"/>
      <c r="I73" s="1"/>
      <c r="J73" s="1"/>
      <c r="K73" s="1"/>
      <c r="L73" s="1"/>
      <c r="M73" s="1"/>
      <c r="N73" s="1"/>
      <c r="O73" s="1"/>
      <c r="P73" s="1"/>
      <c r="Q73" s="1"/>
      <c r="R73" s="1"/>
      <c r="S73" s="1"/>
      <c r="T73" s="1"/>
      <c r="U73" s="1"/>
      <c r="V73" s="1"/>
      <c r="W73" s="1"/>
      <c r="X73" s="1"/>
      <c r="Y73" s="1"/>
      <c r="Z73" s="1"/>
    </row>
    <row r="74">
      <c r="A74" s="1" t="str">
        <f>IFERROR(__xludf.DUMMYFUNCTION("""COMPUTED_VALUE"""),"Dio The Time Dragon")</f>
        <v>Dio The Time Dragon</v>
      </c>
      <c r="B74" s="1"/>
      <c r="C74" s="1"/>
      <c r="D74" s="1"/>
      <c r="E74" s="1"/>
      <c r="F74" s="1"/>
      <c r="G74" s="1"/>
      <c r="H74" s="1"/>
      <c r="I74" s="1"/>
      <c r="J74" s="1"/>
      <c r="K74" s="1"/>
      <c r="L74" s="1"/>
      <c r="M74" s="1"/>
      <c r="N74" s="1"/>
      <c r="O74" s="1"/>
      <c r="P74" s="1"/>
      <c r="Q74" s="1"/>
      <c r="R74" s="1"/>
      <c r="S74" s="1"/>
      <c r="T74" s="1"/>
      <c r="U74" s="1"/>
      <c r="V74" s="1"/>
      <c r="W74" s="1"/>
      <c r="X74" s="1"/>
      <c r="Y74" s="1"/>
      <c r="Z74" s="1"/>
    </row>
    <row r="75">
      <c r="A75" s="1" t="str">
        <f>IFERROR(__xludf.DUMMYFUNCTION("""COMPUTED_VALUE"""),"Divine Dragon Of The Flames")</f>
        <v>Divine Dragon Of The Flames</v>
      </c>
      <c r="B75" s="103" t="str">
        <f>IFERROR(__xludf.DUMMYFUNCTION("""COMPUTED_VALUE"""),"https://www.wallpaperflare.com/static/561/1018/479/fire-dragon-teeth-scales-wallpaper.jpg")</f>
        <v>https://www.wallpaperflare.com/static/561/1018/479/fire-dragon-teeth-scales-wallpaper.jpg</v>
      </c>
      <c r="C75" s="1"/>
      <c r="D75" s="1"/>
      <c r="E75" s="1"/>
      <c r="F75" s="1"/>
      <c r="G75" s="1"/>
      <c r="H75" s="1"/>
      <c r="I75" s="1"/>
      <c r="J75" s="1"/>
      <c r="K75" s="1"/>
      <c r="L75" s="1"/>
      <c r="M75" s="1"/>
      <c r="N75" s="1"/>
      <c r="O75" s="1"/>
      <c r="P75" s="1"/>
      <c r="Q75" s="1"/>
      <c r="R75" s="1"/>
      <c r="S75" s="1"/>
      <c r="T75" s="1"/>
      <c r="U75" s="1"/>
      <c r="V75" s="1"/>
      <c r="W75" s="1"/>
      <c r="X75" s="1"/>
      <c r="Y75" s="1"/>
      <c r="Z75" s="1"/>
    </row>
    <row r="76">
      <c r="A76" s="1" t="str">
        <f>IFERROR(__xludf.DUMMYFUNCTION("""COMPUTED_VALUE"""),"Donkey")</f>
        <v>Donkey</v>
      </c>
      <c r="B76" s="103" t="str">
        <f>IFERROR(__xludf.DUMMYFUNCTION("""COMPUTED_VALUE"""),"https://media.discordapp.net/attachments/1035710302953676902/1224155610996543579/rtQQB4AAAAASUVORK5CYII.png?ex=661c76c1&amp;is=660a01c1&amp;hm=3d154b9038aba110beae27593d157994e9fd8c861cf34b307b35807f53ac746f&amp;=&amp;format=webp&amp;quality=lossless")</f>
        <v>https://media.discordapp.net/attachments/1035710302953676902/1224155610996543579/rtQQB4AAAAASUVORK5CYII.png?ex=661c76c1&amp;is=660a01c1&amp;hm=3d154b9038aba110beae27593d157994e9fd8c861cf34b307b35807f53ac746f&amp;=&amp;format=webp&amp;quality=lossless</v>
      </c>
      <c r="C76" s="1"/>
      <c r="D76" s="1"/>
      <c r="E76" s="1"/>
      <c r="F76" s="1"/>
      <c r="G76" s="1"/>
      <c r="H76" s="1"/>
      <c r="I76" s="1"/>
      <c r="J76" s="1"/>
      <c r="K76" s="1"/>
      <c r="L76" s="1"/>
      <c r="M76" s="1"/>
      <c r="N76" s="1"/>
      <c r="O76" s="1"/>
      <c r="P76" s="1"/>
      <c r="Q76" s="1"/>
      <c r="R76" s="1"/>
      <c r="S76" s="1"/>
      <c r="T76" s="1"/>
      <c r="U76" s="1"/>
      <c r="V76" s="1"/>
      <c r="W76" s="1"/>
      <c r="X76" s="1"/>
      <c r="Y76" s="1"/>
      <c r="Z76" s="1"/>
    </row>
    <row r="77">
      <c r="A77" s="1" t="str">
        <f>IFERROR(__xludf.DUMMYFUNCTION("""COMPUTED_VALUE"""),"Dragon Summoner")</f>
        <v>Dragon Summoner</v>
      </c>
      <c r="B77" s="103" t="str">
        <f>IFERROR(__xludf.DUMMYFUNCTION("""COMPUTED_VALUE"""),"https://w0.peakpx.com/wallpaper/586/1008/HD-wallpaper-dragon-summoner-female-warrior-summoner-fighter-china-beauty-dragon.jpg")</f>
        <v>https://w0.peakpx.com/wallpaper/586/1008/HD-wallpaper-dragon-summoner-female-warrior-summoner-fighter-china-beauty-dragon.jpg</v>
      </c>
      <c r="C77" s="1"/>
      <c r="D77" s="1"/>
      <c r="E77" s="1"/>
      <c r="F77" s="1"/>
      <c r="G77" s="1"/>
      <c r="H77" s="1"/>
      <c r="I77" s="1"/>
      <c r="J77" s="1"/>
      <c r="K77" s="1"/>
      <c r="L77" s="1"/>
      <c r="M77" s="1"/>
      <c r="N77" s="1"/>
      <c r="O77" s="1"/>
      <c r="P77" s="1"/>
      <c r="Q77" s="1"/>
      <c r="R77" s="1"/>
      <c r="S77" s="1"/>
      <c r="T77" s="1"/>
      <c r="U77" s="1"/>
      <c r="V77" s="1"/>
      <c r="W77" s="1"/>
      <c r="X77" s="1"/>
      <c r="Y77" s="1"/>
      <c r="Z77" s="1"/>
    </row>
    <row r="78">
      <c r="A78" s="1" t="str">
        <f>IFERROR(__xludf.DUMMYFUNCTION("""COMPUTED_VALUE"""),"Dreading Fire Lich")</f>
        <v>Dreading Fire Lich</v>
      </c>
      <c r="B78" s="103" t="str">
        <f>IFERROR(__xludf.DUMMYFUNCTION("""COMPUTED_VALUE"""),"https://www.worldanvil.com/uploads/images/8323772636927ea0f994dc19300eb4da.png")</f>
        <v>https://www.worldanvil.com/uploads/images/8323772636927ea0f994dc19300eb4da.png</v>
      </c>
      <c r="C78" s="1"/>
      <c r="D78" s="1"/>
      <c r="E78" s="1"/>
      <c r="F78" s="1"/>
      <c r="G78" s="1"/>
      <c r="H78" s="1"/>
      <c r="I78" s="1"/>
      <c r="J78" s="1"/>
      <c r="K78" s="1"/>
      <c r="L78" s="1"/>
      <c r="M78" s="1"/>
      <c r="N78" s="1"/>
      <c r="O78" s="1"/>
      <c r="P78" s="1"/>
      <c r="Q78" s="1"/>
      <c r="R78" s="1"/>
      <c r="S78" s="1"/>
      <c r="T78" s="1"/>
      <c r="U78" s="1"/>
      <c r="V78" s="1"/>
      <c r="W78" s="1"/>
      <c r="X78" s="1"/>
      <c r="Y78" s="1"/>
      <c r="Z78" s="1"/>
    </row>
    <row r="79">
      <c r="A79" s="1" t="str">
        <f>IFERROR(__xludf.DUMMYFUNCTION("""COMPUTED_VALUE"""),"Dweller Of The Abyss ")</f>
        <v>Dweller Of The Abyss </v>
      </c>
      <c r="B79" s="103" t="str">
        <f>IFERROR(__xludf.DUMMYFUNCTION("""COMPUTED_VALUE"""),"https://c4.wallpaperflare.com/wallpaper/685/546/348/blue-creature-eye-monster-wallpaper-preview.jpg")</f>
        <v>https://c4.wallpaperflare.com/wallpaper/685/546/348/blue-creature-eye-monster-wallpaper-preview.jpg</v>
      </c>
      <c r="C79" s="1"/>
      <c r="D79" s="1"/>
      <c r="E79" s="1"/>
      <c r="F79" s="1"/>
      <c r="G79" s="1"/>
      <c r="H79" s="1"/>
      <c r="I79" s="1"/>
      <c r="J79" s="1"/>
      <c r="K79" s="1"/>
      <c r="L79" s="1"/>
      <c r="M79" s="1"/>
      <c r="N79" s="1"/>
      <c r="O79" s="1"/>
      <c r="P79" s="1"/>
      <c r="Q79" s="1"/>
      <c r="R79" s="1"/>
      <c r="S79" s="1"/>
      <c r="T79" s="1"/>
      <c r="U79" s="1"/>
      <c r="V79" s="1"/>
      <c r="W79" s="1"/>
      <c r="X79" s="1"/>
      <c r="Y79" s="1"/>
      <c r="Z79" s="1"/>
    </row>
    <row r="80">
      <c r="A80" s="1" t="str">
        <f>IFERROR(__xludf.DUMMYFUNCTION("""COMPUTED_VALUE"""),"Eagle")</f>
        <v>Eagle</v>
      </c>
      <c r="B80" s="103" t="str">
        <f>IFERROR(__xludf.DUMMYFUNCTION("""COMPUTED_VALUE"""),"https://e0.pxfuel.com/wallpapers/168/1008/desktop-wallpaper-fantasy-bird-art-artistic-creature-eagle.jpg")</f>
        <v>https://e0.pxfuel.com/wallpapers/168/1008/desktop-wallpaper-fantasy-bird-art-artistic-creature-eagle.jpg</v>
      </c>
      <c r="C80" s="1"/>
      <c r="D80" s="1"/>
      <c r="E80" s="1"/>
      <c r="F80" s="1"/>
      <c r="G80" s="1"/>
      <c r="H80" s="1"/>
      <c r="I80" s="1"/>
      <c r="J80" s="1"/>
      <c r="K80" s="1"/>
      <c r="L80" s="1"/>
      <c r="M80" s="1"/>
      <c r="N80" s="1"/>
      <c r="O80" s="1"/>
      <c r="P80" s="1"/>
      <c r="Q80" s="1"/>
      <c r="R80" s="1"/>
      <c r="S80" s="1"/>
      <c r="T80" s="1"/>
      <c r="U80" s="1"/>
      <c r="V80" s="1"/>
      <c r="W80" s="1"/>
      <c r="X80" s="1"/>
      <c r="Y80" s="1"/>
      <c r="Z80" s="1"/>
    </row>
    <row r="81">
      <c r="A81" s="1" t="str">
        <f>IFERROR(__xludf.DUMMYFUNCTION("""COMPUTED_VALUE"""),"Eagle (Enhanced)")</f>
        <v>Eagle (Enhanced)</v>
      </c>
      <c r="B81" s="103" t="str">
        <f>IFERROR(__xludf.DUMMYFUNCTION("""COMPUTED_VALUE"""),"https://e0.pxfuel.com/wallpapers/168/1008/desktop-wallpaper-fantasy-bird-art-artistic-creature-eagle.jpg")</f>
        <v>https://e0.pxfuel.com/wallpapers/168/1008/desktop-wallpaper-fantasy-bird-art-artistic-creature-eagle.jpg</v>
      </c>
      <c r="C81" s="1"/>
      <c r="D81" s="1"/>
      <c r="E81" s="1"/>
      <c r="F81" s="1"/>
      <c r="G81" s="1"/>
      <c r="H81" s="1"/>
      <c r="I81" s="1"/>
      <c r="J81" s="1"/>
      <c r="K81" s="1"/>
      <c r="L81" s="1"/>
      <c r="M81" s="1"/>
      <c r="N81" s="1"/>
      <c r="O81" s="1"/>
      <c r="P81" s="1"/>
      <c r="Q81" s="1"/>
      <c r="R81" s="1"/>
      <c r="S81" s="1"/>
      <c r="T81" s="1"/>
      <c r="U81" s="1"/>
      <c r="V81" s="1"/>
      <c r="W81" s="1"/>
      <c r="X81" s="1"/>
      <c r="Y81" s="1"/>
      <c r="Z81" s="1"/>
    </row>
    <row r="82">
      <c r="A82" s="1" t="str">
        <f>IFERROR(__xludf.DUMMYFUNCTION("""COMPUTED_VALUE"""),"Elder Monk Kenyu")</f>
        <v>Elder Monk Kenyu</v>
      </c>
      <c r="B82" s="103" t="str">
        <f>IFERROR(__xludf.DUMMYFUNCTION("""COMPUTED_VALUE"""),"https://i.pinimg.com/236x/f6/41/33/f64133e354f4acb5d99c141c8a6e7c1e.jpg")</f>
        <v>https://i.pinimg.com/236x/f6/41/33/f64133e354f4acb5d99c141c8a6e7c1e.jpg</v>
      </c>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t="str">
        <f>IFERROR(__xludf.DUMMYFUNCTION("""COMPUTED_VALUE"""),"Endless Dark Dragon")</f>
        <v>Endless Dark Dragon</v>
      </c>
      <c r="B84" s="103" t="str">
        <f>IFERROR(__xludf.DUMMYFUNCTION("""COMPUTED_VALUE"""),"https://e0.pxfuel.com/wallpapers/10/800/desktop-wallpaper-artwork-dragon-fire-black-dark-data-src-fantasy-shadow-dragon-tip-shadow-monster.jpg")</f>
        <v>https://e0.pxfuel.com/wallpapers/10/800/desktop-wallpaper-artwork-dragon-fire-black-dark-data-src-fantasy-shadow-dragon-tip-shadow-monster.jpg</v>
      </c>
      <c r="C84" s="1"/>
      <c r="D84" s="1"/>
      <c r="E84" s="1"/>
      <c r="F84" s="1"/>
      <c r="G84" s="1"/>
      <c r="H84" s="1"/>
      <c r="I84" s="1"/>
      <c r="J84" s="1"/>
      <c r="K84" s="1"/>
      <c r="L84" s="1"/>
      <c r="M84" s="1"/>
      <c r="N84" s="1"/>
      <c r="O84" s="1"/>
      <c r="P84" s="1"/>
      <c r="Q84" s="1"/>
      <c r="R84" s="1"/>
      <c r="S84" s="1"/>
      <c r="T84" s="1"/>
      <c r="U84" s="1"/>
      <c r="V84" s="1"/>
      <c r="W84" s="1"/>
      <c r="X84" s="1"/>
      <c r="Y84" s="1"/>
      <c r="Z84" s="1"/>
    </row>
    <row r="85">
      <c r="A85" s="1" t="str">
        <f>IFERROR(__xludf.DUMMYFUNCTION("""COMPUTED_VALUE"""),"Evil Clown")</f>
        <v>Evil Clown</v>
      </c>
      <c r="B85" s="103" t="str">
        <f>IFERROR(__xludf.DUMMYFUNCTION("""COMPUTED_VALUE"""),"https://i.pinimg.com/236x/53/1f/60/531f6021a08f09c77f9f74b1939b14d2.jpg")</f>
        <v>https://i.pinimg.com/236x/53/1f/60/531f6021a08f09c77f9f74b1939b14d2.jpg</v>
      </c>
      <c r="C85" s="1"/>
      <c r="D85" s="1"/>
      <c r="E85" s="1"/>
      <c r="F85" s="1"/>
      <c r="G85" s="1"/>
      <c r="H85" s="1"/>
      <c r="I85" s="1"/>
      <c r="J85" s="1"/>
      <c r="K85" s="1"/>
      <c r="L85" s="1"/>
      <c r="M85" s="1"/>
      <c r="N85" s="1"/>
      <c r="O85" s="1"/>
      <c r="P85" s="1"/>
      <c r="Q85" s="1"/>
      <c r="R85" s="1"/>
      <c r="S85" s="1"/>
      <c r="T85" s="1"/>
      <c r="U85" s="1"/>
      <c r="V85" s="1"/>
      <c r="W85" s="1"/>
      <c r="X85" s="1"/>
      <c r="Y85" s="1"/>
      <c r="Z85" s="1"/>
    </row>
    <row r="86">
      <c r="A86" s="1" t="str">
        <f>IFERROR(__xludf.DUMMYFUNCTION("""COMPUTED_VALUE"""),"Evil Moth")</f>
        <v>Evil Moth</v>
      </c>
      <c r="B86" s="103" t="str">
        <f>IFERROR(__xludf.DUMMYFUNCTION("""COMPUTED_VALUE"""),"https://images-wixmp-ed30a86b8c4ca887773594c2.wixmp.com/f/564dd511-c653-48d2-829d-31d9d4ac5511/d6fqq8y-b553b059-9f9c-4341-be7d-7d9c2741cb3e.jpg/v1/fill/w_300,h_400,q_70,strp/moth_of_death__advanced_by_johnsilva_d6fqq8y-400t.jpg?token=eyJ0eXAiOiJKV1QiLCJhb"&amp;"GciOiJIUzI1NiJ9.eyJzdWIiOiJ1cm46YXBwOjdlMGQxODg5ODIyNjQzNzNhNWYwZDQxNWVhMGQyNmUwIiwiaXNzIjoidXJuOmFwcDo3ZTBkMTg4OTgyMjY0MzczYTVmMGQ0MTVlYTBkMjZlMCIsIm9iaiI6W1t7ImhlaWdodCI6Ijw9MTMzMiIsInBhdGgiOiJcL2ZcLzU2NGRkNTExLWM2NTMtNDhkMi04MjlkLTMxZDlkNGFjNTUxMVwvZDZ"&amp;"mcXE4eS1iNTUzYjA1OS05ZjljLTQzNDEtYmU3ZC03ZDljMjc0MWNiM2UuanBnIiwid2lkdGgiOiI8PTk5OSJ9XV0sImF1ZCI6WyJ1cm46c2VydmljZTppbWFnZS5vcGVyYXRpb25zIl19.HOGXXCooYE8q_SAL8Q-uNYiHwOMHDyqQ8Kvibq0HK3s")</f>
        <v>https://images-wixmp-ed30a86b8c4ca887773594c2.wixmp.com/f/564dd511-c653-48d2-829d-31d9d4ac5511/d6fqq8y-b553b059-9f9c-4341-be7d-7d9c2741cb3e.jpg/v1/fill/w_300,h_400,q_70,strp/moth_of_death__advanced_by_johnsilva_d6fqq8y-400t.jpg?token=eyJ0eXAiOiJKV1QiLCJhbGciOiJIUzI1NiJ9.eyJzdWIiOiJ1cm46YXBwOjdlMGQxODg5ODIyNjQzNzNhNWYwZDQxNWVhMGQyNmUwIiwiaXNzIjoidXJuOmFwcDo3ZTBkMTg4OTgyMjY0MzczYTVmMGQ0MTVlYTBkMjZlMCIsIm9iaiI6W1t7ImhlaWdodCI6Ijw9MTMzMiIsInBhdGgiOiJcL2ZcLzU2NGRkNTExLWM2NTMtNDhkMi04MjlkLTMxZDlkNGFjNTUxMVwvZDZmcXE4eS1iNTUzYjA1OS05ZjljLTQzNDEtYmU3ZC03ZDljMjc0MWNiM2UuanBnIiwid2lkdGgiOiI8PTk5OSJ9XV0sImF1ZCI6WyJ1cm46c2VydmljZTppbWFnZS5vcGVyYXRpb25zIl19.HOGXXCooYE8q_SAL8Q-uNYiHwOMHDyqQ8Kvibq0HK3s</v>
      </c>
      <c r="C86" s="1"/>
      <c r="D86" s="1"/>
      <c r="E86" s="1"/>
      <c r="F86" s="1"/>
      <c r="G86" s="1"/>
      <c r="H86" s="1"/>
      <c r="I86" s="1"/>
      <c r="J86" s="1"/>
      <c r="K86" s="1"/>
      <c r="L86" s="1"/>
      <c r="M86" s="1"/>
      <c r="N86" s="1"/>
      <c r="O86" s="1"/>
      <c r="P86" s="1"/>
      <c r="Q86" s="1"/>
      <c r="R86" s="1"/>
      <c r="S86" s="1"/>
      <c r="T86" s="1"/>
      <c r="U86" s="1"/>
      <c r="V86" s="1"/>
      <c r="W86" s="1"/>
      <c r="X86" s="1"/>
      <c r="Y86" s="1"/>
      <c r="Z86" s="1"/>
    </row>
    <row r="87">
      <c r="A87" s="1" t="str">
        <f>IFERROR(__xludf.DUMMYFUNCTION("""COMPUTED_VALUE"""),"Failinis")</f>
        <v>Failinis</v>
      </c>
      <c r="B87" s="1"/>
      <c r="C87" s="1"/>
      <c r="D87" s="1"/>
      <c r="E87" s="1"/>
      <c r="F87" s="1"/>
      <c r="G87" s="1"/>
      <c r="H87" s="1"/>
      <c r="I87" s="1"/>
      <c r="J87" s="1"/>
      <c r="K87" s="1"/>
      <c r="L87" s="1"/>
      <c r="M87" s="1"/>
      <c r="N87" s="1"/>
      <c r="O87" s="1"/>
      <c r="P87" s="1"/>
      <c r="Q87" s="1"/>
      <c r="R87" s="1"/>
      <c r="S87" s="1"/>
      <c r="T87" s="1"/>
      <c r="U87" s="1"/>
      <c r="V87" s="1"/>
      <c r="W87" s="1"/>
      <c r="X87" s="1"/>
      <c r="Y87" s="1"/>
      <c r="Z87" s="1"/>
    </row>
    <row r="88">
      <c r="A88" s="1" t="str">
        <f>IFERROR(__xludf.DUMMYFUNCTION("""COMPUTED_VALUE"""),"Fire Dragon")</f>
        <v>Fire Dragon</v>
      </c>
      <c r="B88" s="103" t="str">
        <f>IFERROR(__xludf.DUMMYFUNCTION("""COMPUTED_VALUE"""),"https://static.wikia.nocookie.net/vampirehunterd/images/5/53/RED_FIRE_BREATHING_FIRE_DRAGON_KNIGHT_BATTLE_CASTLE_AGE_HEART_GAME_CONCEPT_ART_1_2_II_BY_KEKAI_3.jpg/revision/latest/scale-to-width-down/1195")</f>
        <v>https://static.wikia.nocookie.net/vampirehunterd/images/5/53/RED_FIRE_BREATHING_FIRE_DRAGON_KNIGHT_BATTLE_CASTLE_AGE_HEART_GAME_CONCEPT_ART_1_2_II_BY_KEKAI_3.jpg/revision/latest/scale-to-width-down/1195</v>
      </c>
      <c r="C88" s="1"/>
      <c r="D88" s="1"/>
      <c r="E88" s="1"/>
      <c r="F88" s="1"/>
      <c r="G88" s="1"/>
      <c r="H88" s="1"/>
      <c r="I88" s="1"/>
      <c r="J88" s="1"/>
      <c r="K88" s="1"/>
      <c r="L88" s="1"/>
      <c r="M88" s="1"/>
      <c r="N88" s="1"/>
      <c r="O88" s="1"/>
      <c r="P88" s="1"/>
      <c r="Q88" s="1"/>
      <c r="R88" s="1"/>
      <c r="S88" s="1"/>
      <c r="T88" s="1"/>
      <c r="U88" s="1"/>
      <c r="V88" s="1"/>
      <c r="W88" s="1"/>
      <c r="X88" s="1"/>
      <c r="Y88" s="1"/>
      <c r="Z88" s="1"/>
    </row>
    <row r="89">
      <c r="A89" s="1" t="str">
        <f>IFERROR(__xludf.DUMMYFUNCTION("""COMPUTED_VALUE"""),"Fire Mage")</f>
        <v>Fire Mage</v>
      </c>
      <c r="B89" s="103" t="str">
        <f>IFERROR(__xludf.DUMMYFUNCTION("""COMPUTED_VALUE"""),"https://imagedelivery.net/9sCnq8t6WEGNay0RAQNdvQ/UUID-cl9jnb8pc0210pnot4j6c5zv8/public")</f>
        <v>https://imagedelivery.net/9sCnq8t6WEGNay0RAQNdvQ/UUID-cl9jnb8pc0210pnot4j6c5zv8/public</v>
      </c>
      <c r="C89" s="1"/>
      <c r="D89" s="1"/>
      <c r="E89" s="1"/>
      <c r="F89" s="1"/>
      <c r="G89" s="1"/>
      <c r="H89" s="1"/>
      <c r="I89" s="1"/>
      <c r="J89" s="1"/>
      <c r="K89" s="1"/>
      <c r="L89" s="1"/>
      <c r="M89" s="1"/>
      <c r="N89" s="1"/>
      <c r="O89" s="1"/>
      <c r="P89" s="1"/>
      <c r="Q89" s="1"/>
      <c r="R89" s="1"/>
      <c r="S89" s="1"/>
      <c r="T89" s="1"/>
      <c r="U89" s="1"/>
      <c r="V89" s="1"/>
      <c r="W89" s="1"/>
      <c r="X89" s="1"/>
      <c r="Y89" s="1"/>
      <c r="Z89" s="1"/>
    </row>
    <row r="90">
      <c r="A90" s="1" t="str">
        <f>IFERROR(__xludf.DUMMYFUNCTION("""COMPUTED_VALUE"""),"Fire Soldier")</f>
        <v>Fire Soldier</v>
      </c>
      <c r="B90" s="103" t="str">
        <f>IFERROR(__xludf.DUMMYFUNCTION("""COMPUTED_VALUE"""),"https://i.pinimg.com/originals/f7/0c/87/f70c87a3fadb809f531bb4111329874d.jpg")</f>
        <v>https://i.pinimg.com/originals/f7/0c/87/f70c87a3fadb809f531bb4111329874d.jpg</v>
      </c>
      <c r="C90" s="1"/>
      <c r="D90" s="1"/>
      <c r="E90" s="1"/>
      <c r="F90" s="1"/>
      <c r="G90" s="1"/>
      <c r="H90" s="1"/>
      <c r="I90" s="1"/>
      <c r="J90" s="1"/>
      <c r="K90" s="1"/>
      <c r="L90" s="1"/>
      <c r="M90" s="1"/>
      <c r="N90" s="1"/>
      <c r="O90" s="1"/>
      <c r="P90" s="1"/>
      <c r="Q90" s="1"/>
      <c r="R90" s="1"/>
      <c r="S90" s="1"/>
      <c r="T90" s="1"/>
      <c r="U90" s="1"/>
      <c r="V90" s="1"/>
      <c r="W90" s="1"/>
      <c r="X90" s="1"/>
      <c r="Y90" s="1"/>
      <c r="Z90" s="1"/>
    </row>
    <row r="91">
      <c r="A91" s="1" t="str">
        <f>IFERROR(__xludf.DUMMYFUNCTION("""COMPUTED_VALUE"""),"Fire Warrior")</f>
        <v>Fire Warrior</v>
      </c>
      <c r="B91" s="103" t="str">
        <f>IFERROR(__xludf.DUMMYFUNCTION("""COMPUTED_VALUE"""),"https://i.pinimg.com/originals/f9/e6/39/f9e6394668d71df3bc37d6a56b226f2d.jpg")</f>
        <v>https://i.pinimg.com/originals/f9/e6/39/f9e6394668d71df3bc37d6a56b226f2d.jpg</v>
      </c>
      <c r="C91" s="1"/>
      <c r="D91" s="1"/>
      <c r="E91" s="1"/>
      <c r="F91" s="1"/>
      <c r="G91" s="1"/>
      <c r="H91" s="1"/>
      <c r="I91" s="1"/>
      <c r="J91" s="1"/>
      <c r="K91" s="1"/>
      <c r="L91" s="1"/>
      <c r="M91" s="1"/>
      <c r="N91" s="1"/>
      <c r="O91" s="1"/>
      <c r="P91" s="1"/>
      <c r="Q91" s="1"/>
      <c r="R91" s="1"/>
      <c r="S91" s="1"/>
      <c r="T91" s="1"/>
      <c r="U91" s="1"/>
      <c r="V91" s="1"/>
      <c r="W91" s="1"/>
      <c r="X91" s="1"/>
      <c r="Y91" s="1"/>
      <c r="Z91" s="1"/>
    </row>
    <row r="92">
      <c r="A92" s="1" t="str">
        <f>IFERROR(__xludf.DUMMYFUNCTION("""COMPUTED_VALUE"""),"Fireflies")</f>
        <v>Fireflies</v>
      </c>
      <c r="B92" s="1"/>
      <c r="C92" s="1"/>
      <c r="D92" s="1"/>
      <c r="E92" s="1"/>
      <c r="F92" s="1"/>
      <c r="G92" s="1"/>
      <c r="H92" s="1"/>
      <c r="I92" s="1"/>
      <c r="J92" s="1"/>
      <c r="K92" s="1"/>
      <c r="L92" s="1"/>
      <c r="M92" s="1"/>
      <c r="N92" s="1"/>
      <c r="O92" s="1"/>
      <c r="P92" s="1"/>
      <c r="Q92" s="1"/>
      <c r="R92" s="1"/>
      <c r="S92" s="1"/>
      <c r="T92" s="1"/>
      <c r="U92" s="1"/>
      <c r="V92" s="1"/>
      <c r="W92" s="1"/>
      <c r="X92" s="1"/>
      <c r="Y92" s="1"/>
      <c r="Z92" s="1"/>
    </row>
    <row r="93">
      <c r="A93" s="1" t="str">
        <f>IFERROR(__xludf.DUMMYFUNCTION("""COMPUTED_VALUE"""),"Flamethrower Corpse")</f>
        <v>Flamethrower Corpse</v>
      </c>
      <c r="B93" s="103" t="str">
        <f>IFERROR(__xludf.DUMMYFUNCTION("""COMPUTED_VALUE"""),"https://coolvibe.com/wp-content/uploads/2013/07/2D-Art-Alex-Ruiz-Zombie-Mechs.jpg")</f>
        <v>https://coolvibe.com/wp-content/uploads/2013/07/2D-Art-Alex-Ruiz-Zombie-Mechs.jpg</v>
      </c>
      <c r="C93" s="1"/>
      <c r="D93" s="1"/>
      <c r="E93" s="1"/>
      <c r="F93" s="1"/>
      <c r="G93" s="1"/>
      <c r="H93" s="1"/>
      <c r="I93" s="1"/>
      <c r="J93" s="1"/>
      <c r="K93" s="1"/>
      <c r="L93" s="1"/>
      <c r="M93" s="1"/>
      <c r="N93" s="1"/>
      <c r="O93" s="1"/>
      <c r="P93" s="1"/>
      <c r="Q93" s="1"/>
      <c r="R93" s="1"/>
      <c r="S93" s="1"/>
      <c r="T93" s="1"/>
      <c r="U93" s="1"/>
      <c r="V93" s="1"/>
      <c r="W93" s="1"/>
      <c r="X93" s="1"/>
      <c r="Y93" s="1"/>
      <c r="Z93" s="1"/>
    </row>
    <row r="94">
      <c r="A94" s="1" t="str">
        <f>IFERROR(__xludf.DUMMYFUNCTION("""COMPUTED_VALUE"""),"Flaming Behemoth")</f>
        <v>Flaming Behemoth</v>
      </c>
      <c r="B94" s="103" t="str">
        <f>IFERROR(__xludf.DUMMYFUNCTION("""COMPUTED_VALUE"""),"https://encrypted-tbn2.gstatic.com/images?q=tbn:ANd9GcRrZu5ulOuxMRGu42DU8OUvMYDYg6FZQnsy0l806_N_dq9iE_Dy")</f>
        <v>https://encrypted-tbn2.gstatic.com/images?q=tbn:ANd9GcRrZu5ulOuxMRGu42DU8OUvMYDYg6FZQnsy0l806_N_dq9iE_Dy</v>
      </c>
      <c r="C94" s="1"/>
      <c r="D94" s="1"/>
      <c r="E94" s="1"/>
      <c r="F94" s="1"/>
      <c r="G94" s="1"/>
      <c r="H94" s="1"/>
      <c r="I94" s="1"/>
      <c r="J94" s="1"/>
      <c r="K94" s="1"/>
      <c r="L94" s="1"/>
      <c r="M94" s="1"/>
      <c r="N94" s="1"/>
      <c r="O94" s="1"/>
      <c r="P94" s="1"/>
      <c r="Q94" s="1"/>
      <c r="R94" s="1"/>
      <c r="S94" s="1"/>
      <c r="T94" s="1"/>
      <c r="U94" s="1"/>
      <c r="V94" s="1"/>
      <c r="W94" s="1"/>
      <c r="X94" s="1"/>
      <c r="Y94" s="1"/>
      <c r="Z94" s="1"/>
    </row>
    <row r="95">
      <c r="A95" s="1" t="str">
        <f>IFERROR(__xludf.DUMMYFUNCTION("""COMPUTED_VALUE"""),"Flaming Buffalo")</f>
        <v>Flaming Buffalo</v>
      </c>
      <c r="B95" s="103" t="str">
        <f>IFERROR(__xludf.DUMMYFUNCTION("""COMPUTED_VALUE"""),"https://i.pinimg.com/originals/90/c1/bd/90c1bd53a5c69f93b2c569dc0476a1e5.jpg")</f>
        <v>https://i.pinimg.com/originals/90/c1/bd/90c1bd53a5c69f93b2c569dc0476a1e5.jpg</v>
      </c>
      <c r="C95" s="1"/>
      <c r="D95" s="1"/>
      <c r="E95" s="1"/>
      <c r="F95" s="1"/>
      <c r="G95" s="1"/>
      <c r="H95" s="1"/>
      <c r="I95" s="1"/>
      <c r="J95" s="1"/>
      <c r="K95" s="1"/>
      <c r="L95" s="1"/>
      <c r="M95" s="1"/>
      <c r="N95" s="1"/>
      <c r="O95" s="1"/>
      <c r="P95" s="1"/>
      <c r="Q95" s="1"/>
      <c r="R95" s="1"/>
      <c r="S95" s="1"/>
      <c r="T95" s="1"/>
      <c r="U95" s="1"/>
      <c r="V95" s="1"/>
      <c r="W95" s="1"/>
      <c r="X95" s="1"/>
      <c r="Y95" s="1"/>
      <c r="Z95" s="1"/>
    </row>
    <row r="96">
      <c r="A96" s="1" t="str">
        <f>IFERROR(__xludf.DUMMYFUNCTION("""COMPUTED_VALUE"""),"Flaming Cactus")</f>
        <v>Flaming Cactus</v>
      </c>
      <c r="B96" s="103" t="str">
        <f>IFERROR(__xludf.DUMMYFUNCTION("""COMPUTED_VALUE"""),"https://encrypted-tbn0.gstatic.com/images?q=tbn:ANd9GcS7jjo4Lr8TIji22A2Ks90YaQlSLB07BDqP3l_y-EyT4BR5D_0p")</f>
        <v>https://encrypted-tbn0.gstatic.com/images?q=tbn:ANd9GcS7jjo4Lr8TIji22A2Ks90YaQlSLB07BDqP3l_y-EyT4BR5D_0p</v>
      </c>
      <c r="C96" s="1"/>
      <c r="D96" s="1"/>
      <c r="E96" s="1"/>
      <c r="F96" s="1"/>
      <c r="G96" s="1"/>
      <c r="H96" s="1"/>
      <c r="I96" s="1"/>
      <c r="J96" s="1"/>
      <c r="K96" s="1"/>
      <c r="L96" s="1"/>
      <c r="M96" s="1"/>
      <c r="N96" s="1"/>
      <c r="O96" s="1"/>
      <c r="P96" s="1"/>
      <c r="Q96" s="1"/>
      <c r="R96" s="1"/>
      <c r="S96" s="1"/>
      <c r="T96" s="1"/>
      <c r="U96" s="1"/>
      <c r="V96" s="1"/>
      <c r="W96" s="1"/>
      <c r="X96" s="1"/>
      <c r="Y96" s="1"/>
      <c r="Z96" s="1"/>
    </row>
    <row r="97">
      <c r="A97" s="1" t="str">
        <f>IFERROR(__xludf.DUMMYFUNCTION("""COMPUTED_VALUE"""),"Flaming Dragon Knight")</f>
        <v>Flaming Dragon Knight</v>
      </c>
      <c r="B97" s="103" t="str">
        <f>IFERROR(__xludf.DUMMYFUNCTION("""COMPUTED_VALUE"""),"https://rare-gallery.com/uploads/posts/1080747-fantasy-art-dragon-mythology-flame-screenshot-computer-wallpaper.jpg")</f>
        <v>https://rare-gallery.com/uploads/posts/1080747-fantasy-art-dragon-mythology-flame-screenshot-computer-wallpaper.jpg</v>
      </c>
      <c r="C97" s="1"/>
      <c r="D97" s="1"/>
      <c r="E97" s="1"/>
      <c r="F97" s="1"/>
      <c r="G97" s="1"/>
      <c r="H97" s="1"/>
      <c r="I97" s="1"/>
      <c r="J97" s="1"/>
      <c r="K97" s="1"/>
      <c r="L97" s="1"/>
      <c r="M97" s="1"/>
      <c r="N97" s="1"/>
      <c r="O97" s="1"/>
      <c r="P97" s="1"/>
      <c r="Q97" s="1"/>
      <c r="R97" s="1"/>
      <c r="S97" s="1"/>
      <c r="T97" s="1"/>
      <c r="U97" s="1"/>
      <c r="V97" s="1"/>
      <c r="W97" s="1"/>
      <c r="X97" s="1"/>
      <c r="Y97" s="1"/>
      <c r="Z97" s="1"/>
    </row>
    <row r="98">
      <c r="A98" s="1" t="str">
        <f>IFERROR(__xludf.DUMMYFUNCTION("""COMPUTED_VALUE"""),"Flaming Duck")</f>
        <v>Flaming Duck</v>
      </c>
      <c r="B98" s="103" t="str">
        <f>IFERROR(__xludf.DUMMYFUNCTION("""COMPUTED_VALUE"""),"https://encrypted-tbn1.gstatic.com/images?q=tbn:ANd9GcRmkhrVSE0ndC7wq1Est2dcvcxtEk5kFZPgC7maSuLm5yLX4fC1")</f>
        <v>https://encrypted-tbn1.gstatic.com/images?q=tbn:ANd9GcRmkhrVSE0ndC7wq1Est2dcvcxtEk5kFZPgC7maSuLm5yLX4fC1</v>
      </c>
      <c r="C98" s="1"/>
      <c r="D98" s="1"/>
      <c r="E98" s="1"/>
      <c r="F98" s="1"/>
      <c r="G98" s="1"/>
      <c r="H98" s="1"/>
      <c r="I98" s="1"/>
      <c r="J98" s="1"/>
      <c r="K98" s="1"/>
      <c r="L98" s="1"/>
      <c r="M98" s="1"/>
      <c r="N98" s="1"/>
      <c r="O98" s="1"/>
      <c r="P98" s="1"/>
      <c r="Q98" s="1"/>
      <c r="R98" s="1"/>
      <c r="S98" s="1"/>
      <c r="T98" s="1"/>
      <c r="U98" s="1"/>
      <c r="V98" s="1"/>
      <c r="W98" s="1"/>
      <c r="X98" s="1"/>
      <c r="Y98" s="1"/>
      <c r="Z98" s="1"/>
    </row>
    <row r="99">
      <c r="A99" s="1" t="str">
        <f>IFERROR(__xludf.DUMMYFUNCTION("""COMPUTED_VALUE"""),"Flaming King Duck")</f>
        <v>Flaming King Duck</v>
      </c>
      <c r="B99" s="103" t="str">
        <f>IFERROR(__xludf.DUMMYFUNCTION("""COMPUTED_VALUE"""),"https://lh3.googleusercontent.com/UW2_aUWrb0JcyHXSVVTvlzo_CDJZieqHVr_5bYl9m7gQ9jcPmaeyVozykRRsirSCtJrc8kWUgFwls2WN-0jbqZIIXomj957NfEmqH6efsQ")</f>
        <v>https://lh3.googleusercontent.com/UW2_aUWrb0JcyHXSVVTvlzo_CDJZieqHVr_5bYl9m7gQ9jcPmaeyVozykRRsirSCtJrc8kWUgFwls2WN-0jbqZIIXomj957NfEmqH6efsQ</v>
      </c>
      <c r="C99" s="1"/>
      <c r="D99" s="1"/>
      <c r="E99" s="1"/>
      <c r="F99" s="1"/>
      <c r="G99" s="1"/>
      <c r="H99" s="1"/>
      <c r="I99" s="1"/>
      <c r="J99" s="1"/>
      <c r="K99" s="1"/>
      <c r="L99" s="1"/>
      <c r="M99" s="1"/>
      <c r="N99" s="1"/>
      <c r="O99" s="1"/>
      <c r="P99" s="1"/>
      <c r="Q99" s="1"/>
      <c r="R99" s="1"/>
      <c r="S99" s="1"/>
      <c r="T99" s="1"/>
      <c r="U99" s="1"/>
      <c r="V99" s="1"/>
      <c r="W99" s="1"/>
      <c r="X99" s="1"/>
      <c r="Y99" s="1"/>
      <c r="Z99" s="1"/>
    </row>
    <row r="100">
      <c r="A100" s="1" t="str">
        <f>IFERROR(__xludf.DUMMYFUNCTION("""COMPUTED_VALUE"""),"Flaming Monkey")</f>
        <v>Flaming Monkey</v>
      </c>
      <c r="B100" s="103" t="str">
        <f>IFERROR(__xludf.DUMMYFUNCTION("""COMPUTED_VALUE"""),"https://lh3.googleusercontent.com/yhl6zh2KDReArIR-0AYBqbZ150msWz9zTfNS2STDY4ICIjCWk6jms7lABMv-uSFoipiBz0SDhxiTs4KvmK4CZSXsauC-8M7HylxU2Pk")</f>
        <v>https://lh3.googleusercontent.com/yhl6zh2KDReArIR-0AYBqbZ150msWz9zTfNS2STDY4ICIjCWk6jms7lABMv-uSFoipiBz0SDhxiTs4KvmK4CZSXsauC-8M7HylxU2Pk</v>
      </c>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t="str">
        <f>IFERROR(__xludf.DUMMYFUNCTION("""COMPUTED_VALUE"""),"Flaming Yak")</f>
        <v>Flaming Yak</v>
      </c>
      <c r="B101" s="103" t="str">
        <f>IFERROR(__xludf.DUMMYFUNCTION("""COMPUTED_VALUE"""),"https://i.pinimg.com/originals/a3/3f/9e/a33f9e833f6a279403d18f8690624c85.jpg")</f>
        <v>https://i.pinimg.com/originals/a3/3f/9e/a33f9e833f6a279403d18f8690624c85.jpg</v>
      </c>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t="str">
        <f>IFERROR(__xludf.DUMMYFUNCTION("""COMPUTED_VALUE"""),"Floating Skull")</f>
        <v>Floating Skull</v>
      </c>
      <c r="B102" s="103" t="str">
        <f>IFERROR(__xludf.DUMMYFUNCTION("""COMPUTED_VALUE"""),"https://c4.wallpaperflare.com/wallpaper/207/631/680/fantasy-art-skull-planet-dirt-road-wallpaper-preview.jpg")</f>
        <v>https://c4.wallpaperflare.com/wallpaper/207/631/680/fantasy-art-skull-planet-dirt-road-wallpaper-preview.jpg</v>
      </c>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t="str">
        <f>IFERROR(__xludf.DUMMYFUNCTION("""COMPUTED_VALUE"""),"Forest Dragon")</f>
        <v>Forest Dragon</v>
      </c>
      <c r="B103" s="103" t="str">
        <f>IFERROR(__xludf.DUMMYFUNCTION("""COMPUTED_VALUE"""),"https://prod-cdn-07.storenvy.com/product_photos/74369319/file_2f98e1e112_original.jpg")</f>
        <v>https://prod-cdn-07.storenvy.com/product_photos/74369319/file_2f98e1e112_original.jpg</v>
      </c>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t="str">
        <f>IFERROR(__xludf.DUMMYFUNCTION("""COMPUTED_VALUE"""),"Forest Elf")</f>
        <v>Forest Elf</v>
      </c>
      <c r="B104" s="103" t="str">
        <f>IFERROR(__xludf.DUMMYFUNCTION("""COMPUTED_VALUE"""),"https://i.pinimg.com/originals/43/43/74/434374486a019c2d8ba70b2bdaea33fa.jpg")</f>
        <v>https://i.pinimg.com/originals/43/43/74/434374486a019c2d8ba70b2bdaea33fa.jpg</v>
      </c>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t="str">
        <f>IFERROR(__xludf.DUMMYFUNCTION("""COMPUTED_VALUE"""),"Forest Guardian")</f>
        <v>Forest Guardian</v>
      </c>
      <c r="B105" s="103" t="str">
        <f>IFERROR(__xludf.DUMMYFUNCTION("""COMPUTED_VALUE"""),"https://i.pinimg.com/236x/64/f5/08/64f5089aafb59bb8a41a586e38c4dc96.jpg")</f>
        <v>https://i.pinimg.com/236x/64/f5/08/64f5089aafb59bb8a41a586e38c4dc96.jpg</v>
      </c>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t="str">
        <f>IFERROR(__xludf.DUMMYFUNCTION("""COMPUTED_VALUE"""),"Frost Dragon")</f>
        <v>Frost Dragon</v>
      </c>
      <c r="B106" s="103"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t="str">
        <f>IFERROR(__xludf.DUMMYFUNCTION("""COMPUTED_VALUE"""),"Frost Knight")</f>
        <v>Frost Knight</v>
      </c>
      <c r="B107" s="103" t="str">
        <f>IFERROR(__xludf.DUMMYFUNCTION("""COMPUTED_VALUE"""),"https://i.etsystatic.com/40196720/r/il/378a95/4559458180/il_fullxfull.4559458180_bcc1.jpg")</f>
        <v>https://i.etsystatic.com/40196720/r/il/378a95/4559458180/il_fullxfull.4559458180_bcc1.jpg</v>
      </c>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t="str">
        <f>IFERROR(__xludf.DUMMYFUNCTION("""COMPUTED_VALUE"""),"Giant")</f>
        <v>Giant</v>
      </c>
      <c r="B108" s="103" t="str">
        <f>IFERROR(__xludf.DUMMYFUNCTION("""COMPUTED_VALUE"""),"https://i.pinimg.com/736x/17/b9/c9/17b9c98c3f7c6aac98f013554ce4b554.jpg")</f>
        <v>https://i.pinimg.com/736x/17/b9/c9/17b9c98c3f7c6aac98f013554ce4b554.jpg</v>
      </c>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t="str">
        <f>IFERROR(__xludf.DUMMYFUNCTION("""COMPUTED_VALUE"""),"Giant Alligator (WD)")</f>
        <v>Giant Alligator (WD)</v>
      </c>
      <c r="B109" s="103" t="str">
        <f>IFERROR(__xludf.DUMMYFUNCTION("""COMPUTED_VALUE"""),"https://imagedelivery.net/9sCnq8t6WEGNay0RAQNdvQ/UUID-cl90h8kht4179199tqy512xqooa/public")</f>
        <v>https://imagedelivery.net/9sCnq8t6WEGNay0RAQNdvQ/UUID-cl90h8kht4179199tqy512xqooa/public</v>
      </c>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t="str">
        <f>IFERROR(__xludf.DUMMYFUNCTION("""COMPUTED_VALUE"""),"Giant Alligator (WD) (Enhanced)")</f>
        <v>Giant Alligator (WD) (Enhanced)</v>
      </c>
      <c r="B110" s="103" t="str">
        <f>IFERROR(__xludf.DUMMYFUNCTION("""COMPUTED_VALUE"""),"https://imagedelivery.net/9sCnq8t6WEGNay0RAQNdvQ/UUID-cl90h8kht4179199tqy512xqooa/public")</f>
        <v>https://imagedelivery.net/9sCnq8t6WEGNay0RAQNdvQ/UUID-cl90h8kht4179199tqy512xqooa/public</v>
      </c>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t="str">
        <f>IFERROR(__xludf.DUMMYFUNCTION("""COMPUTED_VALUE"""),"Giant Ancient Frost Troll")</f>
        <v>Giant Ancient Frost Troll</v>
      </c>
      <c r="B111" s="103" t="str">
        <f>IFERROR(__xludf.DUMMYFUNCTION("""COMPUTED_VALUE"""),"https://static.wikia.nocookie.net/blackbandos-homebrew/images/2/24/949ed60c87e9f3bfd44398ac30ff5899.jpg/revision/latest?cb=20190212033909")</f>
        <v>https://static.wikia.nocookie.net/blackbandos-homebrew/images/2/24/949ed60c87e9f3bfd44398ac30ff5899.jpg/revision/latest?cb=20190212033909</v>
      </c>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t="str">
        <f>IFERROR(__xludf.DUMMYFUNCTION("""COMPUTED_VALUE"""),"Giant Chaotic Shadow Spider")</f>
        <v>Giant Chaotic Shadow Spider</v>
      </c>
      <c r="B112" s="103" t="str">
        <f>IFERROR(__xludf.DUMMYFUNCTION("""COMPUTED_VALUE"""),"https://drive.google.com/uc?export=view&amp;id=1yfmLihf5KYgKBttnv4FWTTxyhVPqdyGc")</f>
        <v>https://drive.google.com/uc?export=view&amp;id=1yfmLihf5KYgKBttnv4FWTTxyhVPqdyGc</v>
      </c>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t="str">
        <f>IFERROR(__xludf.DUMMYFUNCTION("""COMPUTED_VALUE"""),"Giant Eagle")</f>
        <v>Giant Eagle</v>
      </c>
      <c r="B113" s="103" t="str">
        <f>IFERROR(__xludf.DUMMYFUNCTION("""COMPUTED_VALUE"""),"https://i.pinimg.com/originals/9e/74/b8/9e74b811e98511a0496ee216e86bf378.jpg")</f>
        <v>https://i.pinimg.com/originals/9e/74/b8/9e74b811e98511a0496ee216e86bf378.jpg</v>
      </c>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t="str">
        <f>IFERROR(__xludf.DUMMYFUNCTION("""COMPUTED_VALUE"""),"Giant Lava Frog ")</f>
        <v>Giant Lava Frog </v>
      </c>
      <c r="B114" s="103" t="str">
        <f>IFERROR(__xludf.DUMMYFUNCTION("""COMPUTED_VALUE"""),"https://encrypted-tbn3.gstatic.com/images?q=tbn:ANd9GcQ4heNtRxRBjv9yUypQ5wHNNw7bEaW6Lzu0pMnYbRkfa5KKC31s")</f>
        <v>https://encrypted-tbn3.gstatic.com/images?q=tbn:ANd9GcQ4heNtRxRBjv9yUypQ5wHNNw7bEaW6Lzu0pMnYbRkfa5KKC31s</v>
      </c>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t="str">
        <f>IFERROR(__xludf.DUMMYFUNCTION("""COMPUTED_VALUE"""),"Giant Mutated Eel Shark")</f>
        <v>Giant Mutated Eel Shark</v>
      </c>
      <c r="B115" s="103" t="str">
        <f>IFERROR(__xludf.DUMMYFUNCTION("""COMPUTED_VALUE"""),"https://assets.mycast.io/actor_images/actor-frilled-shark-246285_large.jpg?1627045515")</f>
        <v>https://assets.mycast.io/actor_images/actor-frilled-shark-246285_large.jpg?1627045515</v>
      </c>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t="str">
        <f>IFERROR(__xludf.DUMMYFUNCTION("""COMPUTED_VALUE"""),"Giant Scorpion")</f>
        <v>Giant Scorpion</v>
      </c>
      <c r="B116" s="103" t="str">
        <f>IFERROR(__xludf.DUMMYFUNCTION("""COMPUTED_VALUE"""),"https://i.pinimg.com/originals/8e/3f/d0/8e3fd06c588c0106dab622da9e62b46c.jpg")</f>
        <v>https://i.pinimg.com/originals/8e/3f/d0/8e3fd06c588c0106dab622da9e62b46c.jpg</v>
      </c>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t="str">
        <f>IFERROR(__xludf.DUMMYFUNCTION("""COMPUTED_VALUE"""),"Giant Snow Spider")</f>
        <v>Giant Snow Spider</v>
      </c>
      <c r="B117" s="103" t="str">
        <f>IFERROR(__xludf.DUMMYFUNCTION("""COMPUTED_VALUE"""),"https://imagedelivery.net/9sCnq8t6WEGNay0RAQNdvQ/UUID-cl9i62h4h3847q0ovfu9k5k7s/public")</f>
        <v>https://imagedelivery.net/9sCnq8t6WEGNay0RAQNdvQ/UUID-cl9i62h4h3847q0ovfu9k5k7s/public</v>
      </c>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t="str">
        <f>IFERROR(__xludf.DUMMYFUNCTION("""COMPUTED_VALUE"""),"Giant Spider")</f>
        <v>Giant Spider</v>
      </c>
      <c r="B118" s="103" t="str">
        <f>IFERROR(__xludf.DUMMYFUNCTION("""COMPUTED_VALUE"""),"https://i.pinimg.com/originals/c9/43/55/c94355ff752085af5bcb05038ff3aae3.jpg")</f>
        <v>https://i.pinimg.com/originals/c9/43/55/c94355ff752085af5bcb05038ff3aae3.jpg</v>
      </c>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t="str">
        <f>IFERROR(__xludf.DUMMYFUNCTION("""COMPUTED_VALUE"""),"Giant Volcanic Spider")</f>
        <v>Giant Volcanic Spider</v>
      </c>
      <c r="B119" s="103" t="str">
        <f>IFERROR(__xludf.DUMMYFUNCTION("""COMPUTED_VALUE"""),"https://imagedelivery.net/9sCnq8t6WEGNay0RAQNdvQ/UUID-cl90hmdeh2275209tqyi5xv5rdl/public")</f>
        <v>https://imagedelivery.net/9sCnq8t6WEGNay0RAQNdvQ/UUID-cl90hmdeh2275209tqyi5xv5rdl/public</v>
      </c>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t="str">
        <f>IFERROR(__xludf.DUMMYFUNCTION("""COMPUTED_VALUE"""),"Girl of The Crow")</f>
        <v>Girl of The Crow</v>
      </c>
      <c r="B120" s="103" t="str">
        <f>IFERROR(__xludf.DUMMYFUNCTION("""COMPUTED_VALUE"""),"https://assets-global.website-files.com/632ac1a36830f75c7e5b16f0/64f1ff3a411912d5954ec1cf_4Ig1PT-jbiEEv_s03CcE0lhH_D8YiHQ7J_NDcMtJW-g.webp")</f>
        <v>https://assets-global.website-files.com/632ac1a36830f75c7e5b16f0/64f1ff3a411912d5954ec1cf_4Ig1PT-jbiEEv_s03CcE0lhH_D8YiHQ7J_NDcMtJW-g.webp</v>
      </c>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t="str">
        <f>IFERROR(__xludf.DUMMYFUNCTION("""COMPUTED_VALUE"""),"Goblin")</f>
        <v>Goblin</v>
      </c>
      <c r="B121" s="103" t="str">
        <f>IFERROR(__xludf.DUMMYFUNCTION("""COMPUTED_VALUE"""),"https://i.pinimg.com/736x/e2/bb/03/e2bb030be6ae3f5bb2530990754b2f12--fantasy-kreaturen-fantasy-monster.jpg")</f>
        <v>https://i.pinimg.com/736x/e2/bb/03/e2bb030be6ae3f5bb2530990754b2f12--fantasy-kreaturen-fantasy-monster.jpg</v>
      </c>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t="str">
        <f>IFERROR(__xludf.DUMMYFUNCTION("""COMPUTED_VALUE"""),"Grand Dark &amp; Fire Mage")</f>
        <v>Grand Dark &amp; Fire Mage</v>
      </c>
      <c r="B122" s="103" t="str">
        <f>IFERROR(__xludf.DUMMYFUNCTION("""COMPUTED_VALUE"""),"https://t1.gstatic.com/images?q=tbn:ANd9GcSwiYLwxXUP_uDUBWCS49M_ddK7cnjqQGjbr78gRLHoLkLLsix9")</f>
        <v>https://t1.gstatic.com/images?q=tbn:ANd9GcSwiYLwxXUP_uDUBWCS49M_ddK7cnjqQGjbr78gRLHoLkLLsix9</v>
      </c>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t="str">
        <f>IFERROR(__xludf.DUMMYFUNCTION("""COMPUTED_VALUE"""),"Grand Fire Elemental")</f>
        <v>Grand Fire Elemental</v>
      </c>
      <c r="B123" s="103" t="str">
        <f>IFERROR(__xludf.DUMMYFUNCTION("""COMPUTED_VALUE"""),"https://cdnb.artstation.com/p/assets/images/images/026/424/619/large/peter-lee-w4rebirth-of-ragnaros03.jpg?1588749009")</f>
        <v>https://cdnb.artstation.com/p/assets/images/images/026/424/619/large/peter-lee-w4rebirth-of-ragnaros03.jpg?1588749009</v>
      </c>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t="str">
        <f>IFERROR(__xludf.DUMMYFUNCTION("""COMPUTED_VALUE"""),"Gray Soul")</f>
        <v>Gray Soul</v>
      </c>
      <c r="B124" s="103" t="str">
        <f>IFERROR(__xludf.DUMMYFUNCTION("""COMPUTED_VALUE"""),"https://encrypted-tbn3.gstatic.com/images?q=tbn:ANd9GcRAKoAaDlOjoY3Cz52HGIn_UFpa5Uvi7ZjnnhxaIgH-zdXIgJhZ")</f>
        <v>https://encrypted-tbn3.gstatic.com/images?q=tbn:ANd9GcRAKoAaDlOjoY3Cz52HGIn_UFpa5Uvi7ZjnnhxaIgH-zdXIgJhZ</v>
      </c>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t="str">
        <f>IFERROR(__xludf.DUMMYFUNCTION("""COMPUTED_VALUE"""),"Green Soul")</f>
        <v>Green Soul</v>
      </c>
      <c r="B125" s="103" t="str">
        <f>IFERROR(__xludf.DUMMYFUNCTION("""COMPUTED_VALUE"""),"https://encrypted-tbn1.gstatic.com/images?q=tbn:ANd9GcRy5XnZq6gmTJ9FANa8tQds4JY04Zj1yDDqkBCeEskkm4sZ5bhb")</f>
        <v>https://encrypted-tbn1.gstatic.com/images?q=tbn:ANd9GcRy5XnZq6gmTJ9FANa8tQds4JY04Zj1yDDqkBCeEskkm4sZ5bhb</v>
      </c>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t="str">
        <f>IFERROR(__xludf.DUMMYFUNCTION("""COMPUTED_VALUE"""),"Griffin")</f>
        <v>Griffin</v>
      </c>
      <c r="B126" s="103" t="str">
        <f>IFERROR(__xludf.DUMMYFUNCTION("""COMPUTED_VALUE"""),"https://i.pinimg.com/550x/fa/d7/b3/fad7b3b7a453720aabe317882480ec70.jpg")</f>
        <v>https://i.pinimg.com/550x/fa/d7/b3/fad7b3b7a453720aabe317882480ec70.jpg</v>
      </c>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t="str">
        <f>IFERROR(__xludf.DUMMYFUNCTION("""COMPUTED_VALUE"""),"Ground Tiger")</f>
        <v>Ground Tiger</v>
      </c>
      <c r="B127" s="103" t="str">
        <f>IFERROR(__xludf.DUMMYFUNCTION("""COMPUTED_VALUE"""),"https://c4.wallpaperflare.com/wallpaper/279/554/406/tiger-art-mystic-tiger-raph04art-wallpaper-thumb.jpg")</f>
        <v>https://c4.wallpaperflare.com/wallpaper/279/554/406/tiger-art-mystic-tiger-raph04art-wallpaper-thumb.jpg</v>
      </c>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t="str">
        <f>IFERROR(__xludf.DUMMYFUNCTION("""COMPUTED_VALUE"""),"Guard Tier III")</f>
        <v>Guard Tier III</v>
      </c>
      <c r="B128" s="103" t="str">
        <f>IFERROR(__xludf.DUMMYFUNCTION("""COMPUTED_VALUE"""),"https://i.pinimg.com/736x/e8/d8/c6/e8d8c66e656d256e1daa3247af82bc87.jpg")</f>
        <v>https://i.pinimg.com/736x/e8/d8/c6/e8d8c66e656d256e1daa3247af82bc87.jpg</v>
      </c>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t="str">
        <f>IFERROR(__xludf.DUMMYFUNCTION("""COMPUTED_VALUE"""),"Guard Tier II")</f>
        <v>Guard Tier II</v>
      </c>
      <c r="B129" s="103" t="str">
        <f>IFERROR(__xludf.DUMMYFUNCTION("""COMPUTED_VALUE"""),"https://i.pinimg.com/736x/f4/d3/b0/f4d3b05fb82f46dbe64773ae1267cd5d.jpg")</f>
        <v>https://i.pinimg.com/736x/f4/d3/b0/f4d3b05fb82f46dbe64773ae1267cd5d.jpg</v>
      </c>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t="str">
        <f>IFERROR(__xludf.DUMMYFUNCTION("""COMPUTED_VALUE"""),"Guard Tier I")</f>
        <v>Guard Tier I</v>
      </c>
      <c r="B130" s="103" t="str">
        <f>IFERROR(__xludf.DUMMYFUNCTION("""COMPUTED_VALUE"""),"https://i.pinimg.com/736x/7a/a5/b8/7aa5b834145585c30006b3a284a1332a.jpg")</f>
        <v>https://i.pinimg.com/736x/7a/a5/b8/7aa5b834145585c30006b3a284a1332a.jpg</v>
      </c>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t="str">
        <f>IFERROR(__xludf.DUMMYFUNCTION("""COMPUTED_VALUE"""),"The Ambrosian Paladins")</f>
        <v>The Ambrosian Paladins</v>
      </c>
      <c r="B131" s="103" t="str">
        <f>IFERROR(__xludf.DUMMYFUNCTION("""COMPUTED_VALUE"""),"https://i.pinimg.com/564x/79/27/d9/7927d9dc14ed652be5ca00bcd2c03f1b.jpg")</f>
        <v>https://i.pinimg.com/564x/79/27/d9/7927d9dc14ed652be5ca00bcd2c03f1b.jpg</v>
      </c>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t="str">
        <f>IFERROR(__xludf.DUMMYFUNCTION("""COMPUTED_VALUE"""),"Wave Rider Paladins")</f>
        <v>Wave Rider Paladins</v>
      </c>
      <c r="B132" s="103" t="str">
        <f>IFERROR(__xludf.DUMMYFUNCTION("""COMPUTED_VALUE"""),"https://i.pinimg.com/736x/c6/8d/ec/c68decfd887e7ae81bdea8869f79c72d--surfing-images-surfing-pictures.jpg")</f>
        <v>https://i.pinimg.com/736x/c6/8d/ec/c68decfd887e7ae81bdea8869f79c72d--surfing-images-surfing-pictures.jpg</v>
      </c>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t="str">
        <f>IFERROR(__xludf.DUMMYFUNCTION("""COMPUTED_VALUE"""),"Urchin Swiffer Paladins")</f>
        <v>Urchin Swiffer Paladins</v>
      </c>
      <c r="B133" s="103" t="str">
        <f>IFERROR(__xludf.DUMMYFUNCTION("""COMPUTED_VALUE"""),"https://cdna.artstation.com/p/assets/images/images/021/080/248/large/vladimir-lemajic-sea-uchain222.jpg?1570317644")</f>
        <v>https://cdna.artstation.com/p/assets/images/images/021/080/248/large/vladimir-lemajic-sea-uchain222.jpg?1570317644</v>
      </c>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t="str">
        <f>IFERROR(__xludf.DUMMYFUNCTION("""COMPUTED_VALUE"""),"Ninja Trainee (Dragonscale)")</f>
        <v>Ninja Trainee (Dragonscale)</v>
      </c>
      <c r="B134" s="103" t="str">
        <f>IFERROR(__xludf.DUMMYFUNCTION("""COMPUTED_VALUE"""),"https://i.pinimg.com/236x/02/4f/15/024f159105b552e078583e5c9126d1cc.jpg")</f>
        <v>https://i.pinimg.com/236x/02/4f/15/024f159105b552e078583e5c9126d1cc.jpg</v>
      </c>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t="str">
        <f>IFERROR(__xludf.DUMMYFUNCTION("""COMPUTED_VALUE"""),"Ninja Ambusher (Dragonscale)")</f>
        <v>Ninja Ambusher (Dragonscale)</v>
      </c>
      <c r="B135" s="103" t="str">
        <f>IFERROR(__xludf.DUMMYFUNCTION("""COMPUTED_VALUE"""),"https://i.pinimg.com/564x/8c/8a/fd/8c8afd4fe5a452149e0781dc44d13899.jpg")</f>
        <v>https://i.pinimg.com/564x/8c/8a/fd/8c8afd4fe5a452149e0781dc44d13899.jpg</v>
      </c>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t="str">
        <f>IFERROR(__xludf.DUMMYFUNCTION("""COMPUTED_VALUE"""),"Ninja Poison Master (Dragonscale)")</f>
        <v>Ninja Poison Master (Dragonscale)</v>
      </c>
      <c r="B136" s="103" t="str">
        <f>IFERROR(__xludf.DUMMYFUNCTION("""COMPUTED_VALUE"""),"https://ih1.redbubble.net/image.5066507321.2762/flat,750x,075,f-pad,750x1000,f8f8f8.jpg")</f>
        <v>https://ih1.redbubble.net/image.5066507321.2762/flat,750x,075,f-pad,750x1000,f8f8f8.jpg</v>
      </c>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t="str">
        <f>IFERROR(__xludf.DUMMYFUNCTION("""COMPUTED_VALUE"""),"Ninja Master (Dragonscale)")</f>
        <v>Ninja Master (Dragonscale)</v>
      </c>
      <c r="B137" s="103" t="str">
        <f>IFERROR(__xludf.DUMMYFUNCTION("""COMPUTED_VALUE"""),"https://ih1.redbubble.net/image.5030669503.9011/bg,f8f8f8-flat,750x,075,f-pad,750x1000,f8f8f8.jpg")</f>
        <v>https://ih1.redbubble.net/image.5030669503.9011/bg,f8f8f8-flat,750x,075,f-pad,750x1000,f8f8f8.jpg</v>
      </c>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t="str">
        <f>IFERROR(__xludf.DUMMYFUNCTION("""COMPUTED_VALUE"""),"Master Inugima of the Amphibuki")</f>
        <v>Master Inugima of the Amphibuki</v>
      </c>
      <c r="B138" s="103" t="str">
        <f>IFERROR(__xludf.DUMMYFUNCTION("""COMPUTED_VALUE"""),"https://i.pinimg.com/236x/b3/44/8c/b3448c43e89ad1f9c217cc75296e01f2.jpg")</f>
        <v>https://i.pinimg.com/236x/b3/44/8c/b3448c43e89ad1f9c217cc75296e01f2.jpg</v>
      </c>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t="str">
        <f>IFERROR(__xludf.DUMMYFUNCTION("""COMPUTED_VALUE"""),"Imphigenia, Betrayed Goddess Of The Moon")</f>
        <v>Imphigenia, Betrayed Goddess Of The Moon</v>
      </c>
      <c r="B139" s="103" t="str">
        <f>IFERROR(__xludf.DUMMYFUNCTION("""COMPUTED_VALUE"""),"https://i.pinimg.com/236x/ee/7c/42/ee7c428df2ac1e05dccacba4b6956604.jpg")</f>
        <v>https://i.pinimg.com/236x/ee/7c/42/ee7c428df2ac1e05dccacba4b6956604.jpg</v>
      </c>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t="str">
        <f>IFERROR(__xludf.DUMMYFUNCTION("""COMPUTED_VALUE"""),"Imphigenia, Harbinger of Revenge")</f>
        <v>Imphigenia, Harbinger of Revenge</v>
      </c>
      <c r="B140" s="103" t="str">
        <f>IFERROR(__xludf.DUMMYFUNCTION("""COMPUTED_VALUE"""),"https://i.pinimg.com/236x/90/0d/1b/900d1b82b06fde186a460d82293a1b52.jpg")</f>
        <v>https://i.pinimg.com/236x/90/0d/1b/900d1b82b06fde186a460d82293a1b52.jpg</v>
      </c>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t="str">
        <f>IFERROR(__xludf.DUMMYFUNCTION("""COMPUTED_VALUE"""),"The Harbingers of The Voidwoken (Spira)")</f>
        <v>The Harbingers of The Voidwoken (Spira)</v>
      </c>
      <c r="B141" s="103" t="str">
        <f>IFERROR(__xludf.DUMMYFUNCTION("""COMPUTED_VALUE"""),"https://static0.gamerantimages.com/wordpress/wp-content/uploads/2022/03/guts-berserker-armor-1.jpg?q=50&amp;fit=contain&amp;w=1140&amp;h=&amp;dpr=1.5")</f>
        <v>https://static0.gamerantimages.com/wordpress/wp-content/uploads/2022/03/guts-berserker-armor-1.jpg?q=50&amp;fit=contain&amp;w=1140&amp;h=&amp;dpr=1.5</v>
      </c>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t="str">
        <f>IFERROR(__xludf.DUMMYFUNCTION("""COMPUTED_VALUE"""),"The Harbingers of The Voidwoken (DragonScale)")</f>
        <v>The Harbingers of The Voidwoken (DragonScale)</v>
      </c>
      <c r="B142" s="103" t="str">
        <f>IFERROR(__xludf.DUMMYFUNCTION("""COMPUTED_VALUE"""),"https://static0.gamerantimages.com/wordpress/wp-content/uploads/2022/03/guts-berserker-armor-1.jpg?q=50&amp;fit=contain&amp;w=1140&amp;h=&amp;dpr=1.5")</f>
        <v>https://static0.gamerantimages.com/wordpress/wp-content/uploads/2022/03/guts-berserker-armor-1.jpg?q=50&amp;fit=contain&amp;w=1140&amp;h=&amp;dpr=1.5</v>
      </c>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t="str">
        <f>IFERROR(__xludf.DUMMYFUNCTION("""COMPUTED_VALUE"""),"The Harbingers of The Voidwoken (Abstara)")</f>
        <v>The Harbingers of The Voidwoken (Abstara)</v>
      </c>
      <c r="B143" s="103" t="str">
        <f>IFERROR(__xludf.DUMMYFUNCTION("""COMPUTED_VALUE"""),"https://static0.gamerantimages.com/wordpress/wp-content/uploads/2022/03/guts-berserker-armor-1.jpg?q=50&amp;fit=contain&amp;w=1140&amp;h=&amp;dpr=1.5")</f>
        <v>https://static0.gamerantimages.com/wordpress/wp-content/uploads/2022/03/guts-berserker-armor-1.jpg?q=50&amp;fit=contain&amp;w=1140&amp;h=&amp;dpr=1.5</v>
      </c>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t="str">
        <f>IFERROR(__xludf.DUMMYFUNCTION("""COMPUTED_VALUE"""),"The Harbingers of The Voidwoken (Solreach)")</f>
        <v>The Harbingers of The Voidwoken (Solreach)</v>
      </c>
      <c r="B144" s="103" t="str">
        <f>IFERROR(__xludf.DUMMYFUNCTION("""COMPUTED_VALUE"""),"https://static0.gamerantimages.com/wordpress/wp-content/uploads/2022/03/guts-berserker-armor-1.jpg?q=50&amp;fit=contain&amp;w=1140&amp;h=&amp;dpr=1.5")</f>
        <v>https://static0.gamerantimages.com/wordpress/wp-content/uploads/2022/03/guts-berserker-armor-1.jpg?q=50&amp;fit=contain&amp;w=1140&amp;h=&amp;dpr=1.5</v>
      </c>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t="str">
        <f>IFERROR(__xludf.DUMMYFUNCTION("""COMPUTED_VALUE"""),"Beast of Gévaudan")</f>
        <v>Beast of Gévaudan</v>
      </c>
      <c r="B145" s="103" t="str">
        <f>IFERROR(__xludf.DUMMYFUNCTION("""COMPUTED_VALUE"""),"https://i.pinimg.com/236x/47/4c/5c/474c5ce7d6431d4155ad6e548ca40888.jpg")</f>
        <v>https://i.pinimg.com/236x/47/4c/5c/474c5ce7d6431d4155ad6e548ca40888.jpg</v>
      </c>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t="str">
        <f>IFERROR(__xludf.DUMMYFUNCTION("""COMPUTED_VALUE"""),"Salamander, King of the Fire Elementals")</f>
        <v>Salamander, King of the Fire Elementals</v>
      </c>
      <c r="B146" s="103" t="str">
        <f>IFERROR(__xludf.DUMMYFUNCTION("""COMPUTED_VALUE"""),"https://media.discordapp.net/attachments/1035710302953676902/1224157462509256765/document.png?ex=661c787a&amp;is=660a037a&amp;hm=288ffc55a08f8bd8d526e48012a6167da9657eae6d2cb6ad96c9ec40fb5464d6&amp;=&amp;format=webp&amp;quality=lossless&amp;width=671&amp;height=671")</f>
        <v>https://media.discordapp.net/attachments/1035710302953676902/1224157462509256765/document.png?ex=661c787a&amp;is=660a037a&amp;hm=288ffc55a08f8bd8d526e48012a6167da9657eae6d2cb6ad96c9ec40fb5464d6&amp;=&amp;format=webp&amp;quality=lossless&amp;width=671&amp;height=671</v>
      </c>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t="str">
        <f>IFERROR(__xludf.DUMMYFUNCTION("""COMPUTED_VALUE"""),"Imp")</f>
        <v>Imp</v>
      </c>
      <c r="B147" s="103" t="str">
        <f>IFERROR(__xludf.DUMMYFUNCTION("""COMPUTED_VALUE"""),"https://i.pinimg.com/236x/ce/ad/86/cead86b05ba305cdb07d8e70def211c9.jpg")</f>
        <v>https://i.pinimg.com/236x/ce/ad/86/cead86b05ba305cdb07d8e70def211c9.jpg</v>
      </c>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t="str">
        <f>IFERROR(__xludf.DUMMYFUNCTION("""COMPUTED_VALUE"""),"Lunarion, Faithful Hound of Imphigenia")</f>
        <v>Lunarion, Faithful Hound of Imphigenia</v>
      </c>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t="str">
        <f>IFERROR(__xludf.DUMMYFUNCTION("""COMPUTED_VALUE"""),"Water Wyrm")</f>
        <v>Water Wyrm</v>
      </c>
      <c r="B149" s="103" t="str">
        <f>IFERROR(__xludf.DUMMYFUNCTION("""COMPUTED_VALUE"""),"https://cdna.artstation.com/p/assets/images/images/012/370/394/large/_dak-liber-_-img-3350.jpg?1534438494")</f>
        <v>https://cdna.artstation.com/p/assets/images/images/012/370/394/large/_dak-liber-_-img-3350.jpg?1534438494</v>
      </c>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t="str">
        <f>IFERROR(__xludf.DUMMYFUNCTION("""COMPUTED_VALUE"""),"Fire Wyrm")</f>
        <v>Fire Wyrm</v>
      </c>
      <c r="B150" s="103" t="str">
        <f>IFERROR(__xludf.DUMMYFUNCTION("""COMPUTED_VALUE"""),"https://i.pinimg.com/236x/59/8b/ff/598bffe03feeac4c9cac851462fd2718.jpg")</f>
        <v>https://i.pinimg.com/236x/59/8b/ff/598bffe03feeac4c9cac851462fd2718.jpg</v>
      </c>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t="str">
        <f>IFERROR(__xludf.DUMMYFUNCTION("""COMPUTED_VALUE"""),"Storm Wyrm")</f>
        <v>Storm Wyrm</v>
      </c>
      <c r="B151" s="103" t="str">
        <f>IFERROR(__xludf.DUMMYFUNCTION("""COMPUTED_VALUE"""),"https://i.pinimg.com/236x/29/55/2b/29552ba748a4442210c323d0732a3835.jpg")</f>
        <v>https://i.pinimg.com/236x/29/55/2b/29552ba748a4442210c323d0732a3835.jpg</v>
      </c>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t="str">
        <f>IFERROR(__xludf.DUMMYFUNCTION("""COMPUTED_VALUE"""),"Gytras: The Lord Of Jellyfish")</f>
        <v>Gytras: The Lord Of Jellyfish</v>
      </c>
      <c r="B152" s="103" t="str">
        <f>IFERROR(__xludf.DUMMYFUNCTION("""COMPUTED_VALUE"""),"https://static.displate.com/280x392/displate/2020-07-03/1d28cd1cd68f3cd89f0ef1dd4166cfef_1d4f381fb1b2e6f19943265d1e813a56.jpg")</f>
        <v>https://static.displate.com/280x392/displate/2020-07-03/1d28cd1cd68f3cd89f0ef1dd4166cfef_1d4f381fb1b2e6f19943265d1e813a56.jpg</v>
      </c>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t="str">
        <f>IFERROR(__xludf.DUMMYFUNCTION("""COMPUTED_VALUE"""),"Haunted Scarecrow")</f>
        <v>Haunted Scarecrow</v>
      </c>
      <c r="B153" s="103" t="str">
        <f>IFERROR(__xludf.DUMMYFUNCTION("""COMPUTED_VALUE"""),"https://e0.pxfuel.com/wallpapers/831/360/desktop-wallpaper-creepy-crow-halloween-moon-scary-scarecrow-space-moons-thumbnail.jpg")</f>
        <v>https://e0.pxfuel.com/wallpapers/831/360/desktop-wallpaper-creepy-crow-halloween-moon-scary-scarecrow-space-moons-thumbnail.jpg</v>
      </c>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t="str">
        <f>IFERROR(__xludf.DUMMYFUNCTION("""COMPUTED_VALUE"""),"Headless Horseman ")</f>
        <v>Headless Horseman </v>
      </c>
      <c r="B154" s="103" t="str">
        <f>IFERROR(__xludf.DUMMYFUNCTION("""COMPUTED_VALUE"""),"https://i.pinimg.com/originals/0b/24/3a/0b243a477fd3257de4b036b2c7e4e52b.jpg")</f>
        <v>https://i.pinimg.com/originals/0b/24/3a/0b243a477fd3257de4b036b2c7e4e52b.jpg</v>
      </c>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t="str">
        <f>IFERROR(__xludf.DUMMYFUNCTION("""COMPUTED_VALUE"""),"Heatmore Flame Golem")</f>
        <v>Heatmore Flame Golem</v>
      </c>
      <c r="B155" s="103" t="str">
        <f>IFERROR(__xludf.DUMMYFUNCTION("""COMPUTED_VALUE"""),"https://i.pinimg.com/originals/72/a4/4d/72a44d7156a216ef0e14eee66149be1b.jpg")</f>
        <v>https://i.pinimg.com/originals/72/a4/4d/72a44d7156a216ef0e14eee66149be1b.jpg</v>
      </c>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t="str">
        <f>IFERROR(__xludf.DUMMYFUNCTION("""COMPUTED_VALUE"""),"Heatmore Royal Keeper")</f>
        <v>Heatmore Royal Keeper</v>
      </c>
      <c r="B156" s="103" t="str">
        <f>IFERROR(__xludf.DUMMYFUNCTION("""COMPUTED_VALUE"""),"https://encrypted-tbn0.gstatic.com/images?q=tbn:ANd9GcTwFPj5Qf79hT7h3Tg7H5G0twUjQTw1-Qdsl7y_YsSCg1PwWM9B")</f>
        <v>https://encrypted-tbn0.gstatic.com/images?q=tbn:ANd9GcTwFPj5Qf79hT7h3Tg7H5G0twUjQTw1-Qdsl7y_YsSCg1PwWM9B</v>
      </c>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t="str">
        <f>IFERROR(__xludf.DUMMYFUNCTION("""COMPUTED_VALUE"""),"Heatmore Underling")</f>
        <v>Heatmore Underling</v>
      </c>
      <c r="B157" s="103" t="str">
        <f>IFERROR(__xludf.DUMMYFUNCTION("""COMPUTED_VALUE"""),"https://encrypted-tbn3.gstatic.com/images?q=tbn:ANd9GcR5b5C0-UAZ4qAF5Pq8oGk3fyfAdrB5GqEnuq-HdJvnvbfV1CIl")</f>
        <v>https://encrypted-tbn3.gstatic.com/images?q=tbn:ANd9GcR5b5C0-UAZ4qAF5Pq8oGk3fyfAdrB5GqEnuq-HdJvnvbfV1CIl</v>
      </c>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t="str">
        <f>IFERROR(__xludf.DUMMYFUNCTION("""COMPUTED_VALUE"""),"Hellmore The Soul Keeper")</f>
        <v>Hellmore The Soul Keeper</v>
      </c>
      <c r="B158" s="103" t="str">
        <f>IFERROR(__xludf.DUMMYFUNCTION("""COMPUTED_VALUE"""),"https://t2.gstatic.com/images?q=tbn:ANd9GcTum8eoZK8yHj3xaiTXYFwalZNhRuduum538UxODAugSBNJxCF5")</f>
        <v>https://t2.gstatic.com/images?q=tbn:ANd9GcTum8eoZK8yHj3xaiTXYFwalZNhRuduum538UxODAugSBNJxCF5</v>
      </c>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t="str">
        <f>IFERROR(__xludf.DUMMYFUNCTION("""COMPUTED_VALUE"""),"Hydra Cobra")</f>
        <v>Hydra Cobra</v>
      </c>
      <c r="B159" s="103" t="str">
        <f>IFERROR(__xludf.DUMMYFUNCTION("""COMPUTED_VALUE"""),"https://encrypted-tbn0.gstatic.com/images?q=tbn:ANd9GcTdSWye7I4v2a7yCWivanpbXAxeMD-T7ZjnULpenLjfAGMBBUja")</f>
        <v>https://encrypted-tbn0.gstatic.com/images?q=tbn:ANd9GcTdSWye7I4v2a7yCWivanpbXAxeMD-T7ZjnULpenLjfAGMBBUja</v>
      </c>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t="str">
        <f>IFERROR(__xludf.DUMMYFUNCTION("""COMPUTED_VALUE"""),"Hyena")</f>
        <v>Hyena</v>
      </c>
      <c r="B160" s="103" t="str">
        <f>IFERROR(__xludf.DUMMYFUNCTION("""COMPUTED_VALUE"""),"https://i.pinimg.com/originals/55/72/50/5572503c3f83cbff738960f2695ea055.jpg")</f>
        <v>https://i.pinimg.com/originals/55/72/50/5572503c3f83cbff738960f2695ea055.jpg</v>
      </c>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t="str">
        <f>IFERROR(__xludf.DUMMYFUNCTION("""COMPUTED_VALUE"""),"Ice Golem")</f>
        <v>Ice Golem</v>
      </c>
      <c r="B161" s="103" t="str">
        <f>IFERROR(__xludf.DUMMYFUNCTION("""COMPUTED_VALUE"""),"https://media.discordapp.net/attachments/1035710302953676902/1224158558413914162/ad470ef06cb5be6e70dd4d20146e561d.png?ex=661c7980&amp;is=660a0480&amp;hm=13b55f422f35d6b6a606d09fa5b521c633f1d9295a9a456922fc1ce0c45facf7&amp;=&amp;format=webp&amp;quality=lossless")</f>
        <v>https://media.discordapp.net/attachments/1035710302953676902/1224158558413914162/ad470ef06cb5be6e70dd4d20146e561d.png?ex=661c7980&amp;is=660a0480&amp;hm=13b55f422f35d6b6a606d09fa5b521c633f1d9295a9a456922fc1ce0c45facf7&amp;=&amp;format=webp&amp;quality=lossless</v>
      </c>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t="str">
        <f>IFERROR(__xludf.DUMMYFUNCTION("""COMPUTED_VALUE"""),"Ice Slime")</f>
        <v>Ice Slime</v>
      </c>
      <c r="B162" s="103" t="str">
        <f>IFERROR(__xludf.DUMMYFUNCTION("""COMPUTED_VALUE"""),"https://img6.arthub.ai/64c0d9b7-dd89.webp")</f>
        <v>https://img6.arthub.ai/64c0d9b7-dd89.webp</v>
      </c>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t="str">
        <f>IFERROR(__xludf.DUMMYFUNCTION("""COMPUTED_VALUE"""),"Ice Yak")</f>
        <v>Ice Yak</v>
      </c>
      <c r="B163" s="103" t="str">
        <f>IFERROR(__xludf.DUMMYFUNCTION("""COMPUTED_VALUE"""),"https://media.discordapp.net/attachments/1035710302953676902/1224160469934411786/document.png?ex=661c7b47&amp;is=660a0647&amp;hm=280f7dc1d19e543c87024fdb10b88c33ae83725c02ad10aa97d04835497d792f&amp;=&amp;format=webp&amp;quality=lossless&amp;width=671&amp;height=671")</f>
        <v>https://media.discordapp.net/attachments/1035710302953676902/1224160469934411786/document.png?ex=661c7b47&amp;is=660a0647&amp;hm=280f7dc1d19e543c87024fdb10b88c33ae83725c02ad10aa97d04835497d792f&amp;=&amp;format=webp&amp;quality=lossless&amp;width=671&amp;height=671</v>
      </c>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t="str">
        <f>IFERROR(__xludf.DUMMYFUNCTION("""COMPUTED_VALUE"""),"Imperial Judge")</f>
        <v>Imperial Judge</v>
      </c>
      <c r="B164" s="103" t="str">
        <f>IFERROR(__xludf.DUMMYFUNCTION("""COMPUTED_VALUE"""),"https://static.wikia.nocookie.net/heroines-fantasy/images/e/e0/Imperial_Archbishop_%281%29.jpg/revision/latest?cb=20190817224806")</f>
        <v>https://static.wikia.nocookie.net/heroines-fantasy/images/e/e0/Imperial_Archbishop_%281%29.jpg/revision/latest?cb=20190817224806</v>
      </c>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t="str">
        <f>IFERROR(__xludf.DUMMYFUNCTION("""COMPUTED_VALUE"""),"Inferno Tree Walker")</f>
        <v>Inferno Tree Walker</v>
      </c>
      <c r="B165" s="103" t="str">
        <f>IFERROR(__xludf.DUMMYFUNCTION("""COMPUTED_VALUE"""),"https://encrypted-tbn2.gstatic.com/images?q=tbn:ANd9GcR1qDMvOw6tVHYOa48L_usHbWoKak0IghupoLLvLcSc_716AHLE")</f>
        <v>https://encrypted-tbn2.gstatic.com/images?q=tbn:ANd9GcR1qDMvOw6tVHYOa48L_usHbWoKak0IghupoLLvLcSc_716AHLE</v>
      </c>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t="str">
        <f>IFERROR(__xludf.DUMMYFUNCTION("""COMPUTED_VALUE"""),"Inferno Vulture")</f>
        <v>Inferno Vulture</v>
      </c>
      <c r="B166" s="103" t="str">
        <f>IFERROR(__xludf.DUMMYFUNCTION("""COMPUTED_VALUE"""),"https://encrypted-tbn2.gstatic.com/images?q=tbn:ANd9GcS-avwU25-3S0Zi27C3hKMrgStjfm-z8E78icgpSqqGDYCR74Sw")</f>
        <v>https://encrypted-tbn2.gstatic.com/images?q=tbn:ANd9GcS-avwU25-3S0Zi27C3hKMrgStjfm-z8E78icgpSqqGDYCR74Sw</v>
      </c>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t="str">
        <f>IFERROR(__xludf.DUMMYFUNCTION("""COMPUTED_VALUE"""),"Jack Haggerson")</f>
        <v>Jack Haggerson</v>
      </c>
      <c r="B167" s="103" t="str">
        <f>IFERROR(__xludf.DUMMYFUNCTION("""COMPUTED_VALUE"""),"https://i.pinimg.com/236x/9c/31/a8/9c31a8234bfa3f69ceb2ec4224d01201--chinese-fantasy-creatures.jpg")</f>
        <v>https://i.pinimg.com/236x/9c/31/a8/9c31a8234bfa3f69ceb2ec4224d01201--chinese-fantasy-creatures.jpg</v>
      </c>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t="str">
        <f>IFERROR(__xludf.DUMMYFUNCTION("""COMPUTED_VALUE"""),"Jelly Fish (WD)")</f>
        <v>Jelly Fish (WD)</v>
      </c>
      <c r="B168" s="103" t="str">
        <f>IFERROR(__xludf.DUMMYFUNCTION("""COMPUTED_VALUE"""),"https://i.pinimg.com/originals/91/9f/36/919f366fd540a53a94194b97e7a611c7.jpg")</f>
        <v>https://i.pinimg.com/originals/91/9f/36/919f366fd540a53a94194b97e7a611c7.jpg</v>
      </c>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t="str">
        <f>IFERROR(__xludf.DUMMYFUNCTION("""COMPUTED_VALUE"""),"Jelly Fish (WD) (Enhanced)")</f>
        <v>Jelly Fish (WD) (Enhanced)</v>
      </c>
      <c r="B169" s="103" t="str">
        <f>IFERROR(__xludf.DUMMYFUNCTION("""COMPUTED_VALUE"""),"https://i.pinimg.com/originals/91/9f/36/919f366fd540a53a94194b97e7a611c7.jpg")</f>
        <v>https://i.pinimg.com/originals/91/9f/36/919f366fd540a53a94194b97e7a611c7.jpg</v>
      </c>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t="str">
        <f>IFERROR(__xludf.DUMMYFUNCTION("""COMPUTED_VALUE"""),"King Goose")</f>
        <v>King Goose</v>
      </c>
      <c r="B170" s="103" t="str">
        <f>IFERROR(__xludf.DUMMYFUNCTION("""COMPUTED_VALUE"""),"https://cdn.discordapp.com/attachments/884643894489403402/1221653590582755338/image.png?ex=66135c91&amp;is=6600e791&amp;hm=ce7b26d5512e0faa72cf1a2d53f8f2c512f5eb5121ec228e54a98ad6ae737974&amp;")</f>
        <v>https://cdn.discordapp.com/attachments/884643894489403402/1221653590582755338/image.png?ex=66135c91&amp;is=6600e791&amp;hm=ce7b26d5512e0faa72cf1a2d53f8f2c512f5eb5121ec228e54a98ad6ae737974&amp;</v>
      </c>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t="str">
        <f>IFERROR(__xludf.DUMMYFUNCTION("""COMPUTED_VALUE"""),"King Of Mekana (Robotic Guardian of the 5th, No. 5)")</f>
        <v>King Of Mekana (Robotic Guardian of the 5th, No. 5)</v>
      </c>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t="str">
        <f>IFERROR(__xludf.DUMMYFUNCTION("""COMPUTED_VALUE"""),"Knight Of Chaotic Shadows")</f>
        <v>Knight Of Chaotic Shadows</v>
      </c>
      <c r="B172" s="103" t="str">
        <f>IFERROR(__xludf.DUMMYFUNCTION("""COMPUTED_VALUE"""),"https://drive.google.com/uc?export=view&amp;id=1kScZuAtrDaqmvLeHte4Nd_WRRxY9W5SS")</f>
        <v>https://drive.google.com/uc?export=view&amp;id=1kScZuAtrDaqmvLeHte4Nd_WRRxY9W5SS</v>
      </c>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t="str">
        <f>IFERROR(__xludf.DUMMYFUNCTION("""COMPUTED_VALUE"""),"Lamia ")</f>
        <v>Lamia </v>
      </c>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t="str">
        <f>IFERROR(__xludf.DUMMYFUNCTION("""COMPUTED_VALUE"""),"Lava Kraken")</f>
        <v>Lava Kraken</v>
      </c>
      <c r="B174" s="103" t="str">
        <f>IFERROR(__xludf.DUMMYFUNCTION("""COMPUTED_VALUE"""),"https://images-wixmp-ed30a86b8c4ca887773594c2.wixmp.com/f/dc883e74-6426-4770-9961-f6e8d9e2d5be/d5z86b2-8cb4207c-ed52-4f79-a04c-c413da132416.jpg/v1/fill/w_1024,h_469,q_75,strp/lava_squid_by_melconcept_d5z86b2-fullview.jpg?token=eyJ0eXAiOiJKV1QiLCJhbGciOiJI"&amp;"UzI1NiJ9.eyJzdWIiOiJ1cm46YXBwOjdlMGQxODg5ODIyNjQzNzNhNWYwZDQxNWVhMGQyNmUwIiwiaXNzIjoidXJuOmFwcDo3ZTBkMTg4OTgyMjY0MzczYTVmMGQ0MTVlYTBkMjZlMCIsIm9iaiI6W1t7ImhlaWdodCI6Ijw9NDY5IiwicGF0aCI6IlwvZlwvZGM4ODNlNzQtNjQyNi00NzcwLTk5NjEtZjZlOGQ5ZTJkNWJlXC9kNXo4NmIyLT"&amp;"hjYjQyMDdjLWVkNTItNGY3OS1hMDRjLWM0MTNkYTEzMjQxNi5qcGciLCJ3aWR0aCI6Ijw9MTAyNCJ9XV0sImF1ZCI6WyJ1cm46c2VydmljZTppbWFnZS5vcGVyYXRpb25zIl19.iWkXrZLUSHp_eXslglUZpCDjMn2Xwf8kHOGDjriKJpM")</f>
        <v>https://images-wixmp-ed30a86b8c4ca887773594c2.wixmp.com/f/dc883e74-6426-4770-9961-f6e8d9e2d5be/d5z86b2-8cb4207c-ed52-4f79-a04c-c413da132416.jpg/v1/fill/w_1024,h_469,q_75,strp/lava_squid_by_melconcept_d5z86b2-fullview.jpg?token=eyJ0eXAiOiJKV1QiLCJhbGciOiJIUzI1NiJ9.eyJzdWIiOiJ1cm46YXBwOjdlMGQxODg5ODIyNjQzNzNhNWYwZDQxNWVhMGQyNmUwIiwiaXNzIjoidXJuOmFwcDo3ZTBkMTg4OTgyMjY0MzczYTVmMGQ0MTVlYTBkMjZlMCIsIm9iaiI6W1t7ImhlaWdodCI6Ijw9NDY5IiwicGF0aCI6IlwvZlwvZGM4ODNlNzQtNjQyNi00NzcwLTk5NjEtZjZlOGQ5ZTJkNWJlXC9kNXo4NmIyLThjYjQyMDdjLWVkNTItNGY3OS1hMDRjLWM0MTNkYTEzMjQxNi5qcGciLCJ3aWR0aCI6Ijw9MTAyNCJ9XV0sImF1ZCI6WyJ1cm46c2VydmljZTppbWFnZS5vcGVyYXRpb25zIl19.iWkXrZLUSHp_eXslglUZpCDjMn2Xwf8kHOGDjriKJpM</v>
      </c>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t="str">
        <f>IFERROR(__xludf.DUMMYFUNCTION("""COMPUTED_VALUE"""),"Lava Lizard")</f>
        <v>Lava Lizard</v>
      </c>
      <c r="B175" s="103" t="str">
        <f>IFERROR(__xludf.DUMMYFUNCTION("""COMPUTED_VALUE"""),"https://cdna.artstation.com/p/assets/images/images/044/292/652/large/jiri-kus-lizard-temple-final-33.jpg?1639593446")</f>
        <v>https://cdna.artstation.com/p/assets/images/images/044/292/652/large/jiri-kus-lizard-temple-final-33.jpg?1639593446</v>
      </c>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t="str">
        <f>IFERROR(__xludf.DUMMYFUNCTION("""COMPUTED_VALUE"""),"Lava Moth")</f>
        <v>Lava Moth</v>
      </c>
      <c r="B176" s="103" t="str">
        <f>IFERROR(__xludf.DUMMYFUNCTION("""COMPUTED_VALUE"""),"https://lh3.googleusercontent.com/Nwfp8I_DHc1yVTfMm_e3wAvrxjM2CNhByAzAMS6VQlLbTYyK689nb5POblxdziyX_KyJXQjE5F9Z6dHMR1NhgAVm5J2X2L_iDAmCsarDNg")</f>
        <v>https://lh3.googleusercontent.com/Nwfp8I_DHc1yVTfMm_e3wAvrxjM2CNhByAzAMS6VQlLbTYyK689nb5POblxdziyX_KyJXQjE5F9Z6dHMR1NhgAVm5J2X2L_iDAmCsarDNg</v>
      </c>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t="str">
        <f>IFERROR(__xludf.DUMMYFUNCTION("""COMPUTED_VALUE"""),"Lava Panther")</f>
        <v>Lava Panther</v>
      </c>
      <c r="B177" s="103" t="str">
        <f>IFERROR(__xludf.DUMMYFUNCTION("""COMPUTED_VALUE"""),"https://encrypted-tbn1.gstatic.com/images?q=tbn:ANd9GcR5bJI7LWMzGx5KtKRBqghxV-HfQKqLgxxucllCpYmmplXn1spW")</f>
        <v>https://encrypted-tbn1.gstatic.com/images?q=tbn:ANd9GcR5bJI7LWMzGx5KtKRBqghxV-HfQKqLgxxucllCpYmmplXn1spW</v>
      </c>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t="str">
        <f>IFERROR(__xludf.DUMMYFUNCTION("""COMPUTED_VALUE"""),"Lava Rat")</f>
        <v>Lava Rat</v>
      </c>
      <c r="B178" s="103" t="str">
        <f>IFERROR(__xludf.DUMMYFUNCTION("""COMPUTED_VALUE"""),"https://encrypted-tbn1.gstatic.com/images?q=tbn:ANd9GcREPo8ZEspRFJOUiE4t_3hABJkEiai_ai9ulV2m1YR5DvTOeV_t")</f>
        <v>https://encrypted-tbn1.gstatic.com/images?q=tbn:ANd9GcREPo8ZEspRFJOUiE4t_3hABJkEiai_ai9ulV2m1YR5DvTOeV_t</v>
      </c>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t="str">
        <f>IFERROR(__xludf.DUMMYFUNCTION("""COMPUTED_VALUE"""),"Rat King")</f>
        <v>Rat King</v>
      </c>
      <c r="B179" s="103" t="str">
        <f>IFERROR(__xludf.DUMMYFUNCTION("""COMPUTED_VALUE"""),"https://encrypted-tbn3.gstatic.com/images?q=tbn:ANd9GcTn7VBx8RLpMb6EhACIJiWaR2z9Li30s3NNXV16z58DQI5mDUI8")</f>
        <v>https://encrypted-tbn3.gstatic.com/images?q=tbn:ANd9GcTn7VBx8RLpMb6EhACIJiWaR2z9Li30s3NNXV16z58DQI5mDUI8</v>
      </c>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t="str">
        <f>IFERROR(__xludf.DUMMYFUNCTION("""COMPUTED_VALUE"""),"Lava Tiger")</f>
        <v>Lava Tiger</v>
      </c>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t="str">
        <f>IFERROR(__xludf.DUMMYFUNCTION("""COMPUTED_VALUE"""),"Legendary Treant")</f>
        <v>Legendary Treant</v>
      </c>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t="str">
        <f>IFERROR(__xludf.DUMMYFUNCTION("""COMPUTED_VALUE"""),"Locust Swarm")</f>
        <v>Locust Swarm</v>
      </c>
      <c r="B182" s="103" t="str">
        <f>IFERROR(__xludf.DUMMYFUNCTION("""COMPUTED_VALUE"""),"https://i.pinimg.com/originals/ad/dd/4a/addd4a47e48681e325c11806119767b1.png")</f>
        <v>https://i.pinimg.com/originals/ad/dd/4a/addd4a47e48681e325c11806119767b1.png</v>
      </c>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t="str">
        <f>IFERROR(__xludf.DUMMYFUNCTION("""COMPUTED_VALUE"""),"Lord Dreadful (Form 1)")</f>
        <v>Lord Dreadful (Form 1)</v>
      </c>
      <c r="B183" s="103" t="str">
        <f>IFERROR(__xludf.DUMMYFUNCTION("""COMPUTED_VALUE"""),"https://drive.google.com/uc?export=view&amp;id=1CKwmhguRycejQrbEniQu2pMSlRMkcoOK")</f>
        <v>https://drive.google.com/uc?export=view&amp;id=1CKwmhguRycejQrbEniQu2pMSlRMkcoOK</v>
      </c>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t="str">
        <f>IFERROR(__xludf.DUMMYFUNCTION("""COMPUTED_VALUE"""),"Lord Dreadful (Lord Zude) (Form 2)")</f>
        <v>Lord Dreadful (Lord Zude) (Form 2)</v>
      </c>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t="str">
        <f>IFERROR(__xludf.DUMMYFUNCTION("""COMPUTED_VALUE"""),"Lord Goose")</f>
        <v>Lord Goose</v>
      </c>
      <c r="B185" s="103" t="str">
        <f>IFERROR(__xludf.DUMMYFUNCTION("""COMPUTED_VALUE"""),"https://cdn.discordapp.com/attachments/884643894489403402/1221653956351103108/image.png?ex=66135ce8&amp;is=6600e7e8&amp;hm=125c18f531475a1a3c6c0a0736d3814e74cb1c401c71f370295d0dd2371dd937&amp;")</f>
        <v>https://cdn.discordapp.com/attachments/884643894489403402/1221653956351103108/image.png?ex=66135ce8&amp;is=6600e7e8&amp;hm=125c18f531475a1a3c6c0a0736d3814e74cb1c401c71f370295d0dd2371dd937&amp;</v>
      </c>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t="str">
        <f>IFERROR(__xludf.DUMMYFUNCTION("""COMPUTED_VALUE"""),"Lord Of The Bandits")</f>
        <v>Lord Of The Bandits</v>
      </c>
      <c r="B186" s="103" t="str">
        <f>IFERROR(__xludf.DUMMYFUNCTION("""COMPUTED_VALUE"""),"https://i.pinimg.com/736x/9d/12/b3/9d12b3b6041fb20f5ead6ace6e3c1e98.jpg")</f>
        <v>https://i.pinimg.com/736x/9d/12/b3/9d12b3b6041fb20f5ead6ace6e3c1e98.jpg</v>
      </c>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t="str">
        <f>IFERROR(__xludf.DUMMYFUNCTION("""COMPUTED_VALUE"""),"Chaotic Shadow Servant")</f>
        <v>Chaotic Shadow Servant</v>
      </c>
      <c r="B187" s="103" t="str">
        <f>IFERROR(__xludf.DUMMYFUNCTION("""COMPUTED_VALUE"""),"https://cdn.openart.ai/stable_diffusion/8e80c1fef0eaa97bcba857c34cbb47f5f6bdf20c_2000x2000.webp")</f>
        <v>https://cdn.openart.ai/stable_diffusion/8e80c1fef0eaa97bcba857c34cbb47f5f6bdf20c_2000x2000.webp</v>
      </c>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t="str">
        <f>IFERROR(__xludf.DUMMYFUNCTION("""COMPUTED_VALUE"""),"Lugh")</f>
        <v>Lugh</v>
      </c>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t="str">
        <f>IFERROR(__xludf.DUMMYFUNCTION("""COMPUTED_VALUE"""),"Madem Hagbottom")</f>
        <v>Madem Hagbottom</v>
      </c>
      <c r="B189" s="103" t="str">
        <f>IFERROR(__xludf.DUMMYFUNCTION("""COMPUTED_VALUE"""),"https://i.pinimg.com/originals/91/f7/be/91f7be85b0a266bfe5bfc05d0789e8f7.png")</f>
        <v>https://i.pinimg.com/originals/91/f7/be/91f7be85b0a266bfe5bfc05d0789e8f7.png</v>
      </c>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t="str">
        <f>IFERROR(__xludf.DUMMYFUNCTION("""COMPUTED_VALUE"""),"Magma Bear")</f>
        <v>Magma Bear</v>
      </c>
      <c r="B190" s="103" t="str">
        <f>IFERROR(__xludf.DUMMYFUNCTION("""COMPUTED_VALUE"""),"https://t2.gstatic.com/images?q=tbn:ANd9GcQk8tHtkzvLCSedNrERIUXAPqwp_cCh_e-gM7m-aa5rFZt5-g8h")</f>
        <v>https://t2.gstatic.com/images?q=tbn:ANd9GcQk8tHtkzvLCSedNrERIUXAPqwp_cCh_e-gM7m-aa5rFZt5-g8h</v>
      </c>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t="str">
        <f>IFERROR(__xludf.DUMMYFUNCTION("""COMPUTED_VALUE"""),"Magma Slime")</f>
        <v>Magma Slime</v>
      </c>
      <c r="B191" s="103" t="str">
        <f>IFERROR(__xludf.DUMMYFUNCTION("""COMPUTED_VALUE"""),"https://imagedelivery.net/9sCnq8t6WEGNay0RAQNdvQ/UUID-cl9dsxoys4935qqouxkaq9oca/public")</f>
        <v>https://imagedelivery.net/9sCnq8t6WEGNay0RAQNdvQ/UUID-cl9dsxoys4935qqouxkaq9oca/public</v>
      </c>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t="str">
        <f>IFERROR(__xludf.DUMMYFUNCTION("""COMPUTED_VALUE"""),"Manticore")</f>
        <v>Manticore</v>
      </c>
      <c r="B192" s="103" t="str">
        <f>IFERROR(__xludf.DUMMYFUNCTION("""COMPUTED_VALUE"""),"https://t3.ftcdn.net/jpg/05/70/65/84/360_F_570658463_Z4c7C4iwKNTjtrT3dohO6mnSeN2YgwtO.jpg")</f>
        <v>https://t3.ftcdn.net/jpg/05/70/65/84/360_F_570658463_Z4c7C4iwKNTjtrT3dohO6mnSeN2YgwtO.jpg</v>
      </c>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t="str">
        <f>IFERROR(__xludf.DUMMYFUNCTION("""COMPUTED_VALUE"""),"Master Monk Warrior")</f>
        <v>Master Monk Warrior</v>
      </c>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t="str">
        <f>IFERROR(__xludf.DUMMYFUNCTION("""COMPUTED_VALUE"""),"Master Sawoogo")</f>
        <v>Master Sawoogo</v>
      </c>
      <c r="B194" s="103" t="str">
        <f>IFERROR(__xludf.DUMMYFUNCTION("""COMPUTED_VALUE"""),"https://cdnb.artstation.com/p/assets/images/images/005/477/891/large/pawel-parol-turtlle-v2.jpg?1491465146")</f>
        <v>https://cdnb.artstation.com/p/assets/images/images/005/477/891/large/pawel-parol-turtlle-v2.jpg?1491465146</v>
      </c>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t="str">
        <f>IFERROR(__xludf.DUMMYFUNCTION("""COMPUTED_VALUE"""),"Megalodon (WD)")</f>
        <v>Megalodon (WD)</v>
      </c>
      <c r="B195" s="103" t="str">
        <f>IFERROR(__xludf.DUMMYFUNCTION("""COMPUTED_VALUE"""),"https://i.pinimg.com/736x/53/77/ca/5377ca2b88198b6f53397f76709e0be2.jpg")</f>
        <v>https://i.pinimg.com/736x/53/77/ca/5377ca2b88198b6f53397f76709e0be2.jpg</v>
      </c>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t="str">
        <f>IFERROR(__xludf.DUMMYFUNCTION("""COMPUTED_VALUE"""),"Megalodon (WD) (Enhanced)")</f>
        <v>Megalodon (WD) (Enhanced)</v>
      </c>
      <c r="B196" s="103" t="str">
        <f>IFERROR(__xludf.DUMMYFUNCTION("""COMPUTED_VALUE"""),"https://i.pinimg.com/736x/53/77/ca/5377ca2b88198b6f53397f76709e0be2.jpg")</f>
        <v>https://i.pinimg.com/736x/53/77/ca/5377ca2b88198b6f53397f76709e0be2.jpg</v>
      </c>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t="str">
        <f>IFERROR(__xludf.DUMMYFUNCTION("""COMPUTED_VALUE"""),"Merk the undying sand Goblin")</f>
        <v>Merk the undying sand Goblin</v>
      </c>
      <c r="B197" s="103" t="str">
        <f>IFERROR(__xludf.DUMMYFUNCTION("""COMPUTED_VALUE"""),"https://i.pinimg.com/originals/c3/95/f9/c395f97dc331057a9ac47d1eab8a9687.jpg")</f>
        <v>https://i.pinimg.com/originals/c3/95/f9/c395f97dc331057a9ac47d1eab8a9687.jpg</v>
      </c>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t="str">
        <f>IFERROR(__xludf.DUMMYFUNCTION("""COMPUTED_VALUE"""),"Mod ""The Evil Seahag From Hagstown""")</f>
        <v>Mod "The Evil Seahag From Hagstown"</v>
      </c>
      <c r="B198" s="103" t="str">
        <f>IFERROR(__xludf.DUMMYFUNCTION("""COMPUTED_VALUE"""),"https://drive.google.com/uc?export=view&amp;id=1t_Wi6o4if-E5y_7ia1w_yWV_i99tysvT")</f>
        <v>https://drive.google.com/uc?export=view&amp;id=1t_Wi6o4if-E5y_7ia1w_yWV_i99tysvT</v>
      </c>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t="str">
        <f>IFERROR(__xludf.DUMMYFUNCTION("""COMPUTED_VALUE"""),"Moonlight Unicorn")</f>
        <v>Moonlight Unicorn</v>
      </c>
      <c r="B199" s="103" t="str">
        <f>IFERROR(__xludf.DUMMYFUNCTION("""COMPUTED_VALUE"""),"https://static.wikia.nocookie.net/the-legendary-moonlight-sculptor/images/7/72/Unicorn_black.jpg/revision/latest?cb=20160905204750")</f>
        <v>https://static.wikia.nocookie.net/the-legendary-moonlight-sculptor/images/7/72/Unicorn_black.jpg/revision/latest?cb=20160905204750</v>
      </c>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t="str">
        <f>IFERROR(__xludf.DUMMYFUNCTION("""COMPUTED_VALUE"""),"Moonstone Dragon")</f>
        <v>Moonstone Dragon</v>
      </c>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t="str">
        <f>IFERROR(__xludf.DUMMYFUNCTION("""COMPUTED_VALUE"""),"Mournful Mother")</f>
        <v>Mournful Mother</v>
      </c>
      <c r="B201" s="103" t="str">
        <f>IFERROR(__xludf.DUMMYFUNCTION("""COMPUTED_VALUE"""),"https://cdnb.artstation.com/p/assets/images/images/053/880/791/large/digital-forms-banshee-p.jpg?1663241016")</f>
        <v>https://cdnb.artstation.com/p/assets/images/images/053/880/791/large/digital-forms-banshee-p.jpg?1663241016</v>
      </c>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t="str">
        <f>IFERROR(__xludf.DUMMYFUNCTION("""COMPUTED_VALUE"""),"Mr. Skeleton")</f>
        <v>Mr. Skeleton</v>
      </c>
      <c r="B202" s="103" t="str">
        <f>IFERROR(__xludf.DUMMYFUNCTION("""COMPUTED_VALUE"""),"https://t0.gstatic.com/images?q=tbn:ANd9GcTjHlqL8tNfoIt7mOf1nZbH8vPR3PEY_BxvV9173O-py_-GBRon")</f>
        <v>https://t0.gstatic.com/images?q=tbn:ANd9GcTjHlqL8tNfoIt7mOf1nZbH8vPR3PEY_BxvV9173O-py_-GBRon</v>
      </c>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t="str">
        <f>IFERROR(__xludf.DUMMYFUNCTION("""COMPUTED_VALUE"""),"Multi Headed Chaotic Shadow Dragon")</f>
        <v>Multi Headed Chaotic Shadow Dragon</v>
      </c>
      <c r="B203" s="103" t="str">
        <f>IFERROR(__xludf.DUMMYFUNCTION("""COMPUTED_VALUE"""),"https://drive.google.com/uc?export=view&amp;id=1UqAfbYaSOZVec5EKVnCIL4mYX8vnRK7K")</f>
        <v>https://drive.google.com/uc?export=view&amp;id=1UqAfbYaSOZVec5EKVnCIL4mYX8vnRK7K</v>
      </c>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t="str">
        <f>IFERROR(__xludf.DUMMYFUNCTION("""COMPUTED_VALUE"""),"Mummy Guardian")</f>
        <v>Mummy Guardian</v>
      </c>
      <c r="B204" s="103" t="str">
        <f>IFERROR(__xludf.DUMMYFUNCTION("""COMPUTED_VALUE"""),"https://artfiles.alphacoders.com/516/thumb-51601.jpg")</f>
        <v>https://artfiles.alphacoders.com/516/thumb-51601.jpg</v>
      </c>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t="str">
        <f>IFERROR(__xludf.DUMMYFUNCTION("""COMPUTED_VALUE"""),"Mummy King")</f>
        <v>Mummy King</v>
      </c>
      <c r="B205" s="103" t="str">
        <f>IFERROR(__xludf.DUMMYFUNCTION("""COMPUTED_VALUE"""),"https://c4.wallpaperflare.com/wallpaper/165/183/743/pharaoh-fantasy-art-artwork-gun-hd-wallpaper-thumb.jpg")</f>
        <v>https://c4.wallpaperflare.com/wallpaper/165/183/743/pharaoh-fantasy-art-artwork-gun-hd-wallpaper-thumb.jpg</v>
      </c>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t="str">
        <f>IFERROR(__xludf.DUMMYFUNCTION("""COMPUTED_VALUE"""),"Mummy Queen")</f>
        <v>Mummy Queen</v>
      </c>
      <c r="B206" s="103" t="str">
        <f>IFERROR(__xludf.DUMMYFUNCTION("""COMPUTED_VALUE"""),"https://w0.peakpx.com/wallpaper/293/688/HD-wallpaper-mummy-queen-staff-fantasy-queen-skull-mummy.jpg")</f>
        <v>https://w0.peakpx.com/wallpaper/293/688/HD-wallpaper-mummy-queen-staff-fantasy-queen-skull-mummy.jpg</v>
      </c>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t="str">
        <f>IFERROR(__xludf.DUMMYFUNCTION("""COMPUTED_VALUE"""),"Mummy Soldier")</f>
        <v>Mummy Soldier</v>
      </c>
      <c r="B207" s="103" t="str">
        <f>IFERROR(__xludf.DUMMYFUNCTION("""COMPUTED_VALUE"""),"https://s-media-cache-ak0.pinimg.com/originals/53/25/47/532547e8b5d68b66add02249b5a7c571.jpg")</f>
        <v>https://s-media-cache-ak0.pinimg.com/originals/53/25/47/532547e8b5d68b66add02249b5a7c571.jpg</v>
      </c>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t="str">
        <f>IFERROR(__xludf.DUMMYFUNCTION("""COMPUTED_VALUE"""),"Mummy Warrior")</f>
        <v>Mummy Warrior</v>
      </c>
      <c r="B208" s="103" t="str">
        <f>IFERROR(__xludf.DUMMYFUNCTION("""COMPUTED_VALUE"""),"https://i.pinimg.com/originals/40/de/b2/40deb2bbb949d7d67337972d574087ed.jpg")</f>
        <v>https://i.pinimg.com/originals/40/de/b2/40deb2bbb949d7d67337972d574087ed.jpg</v>
      </c>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t="str">
        <f>IFERROR(__xludf.DUMMYFUNCTION("""COMPUTED_VALUE"""),"Octopi (WD)")</f>
        <v>Octopi (WD)</v>
      </c>
      <c r="B209" s="103" t="str">
        <f>IFERROR(__xludf.DUMMYFUNCTION("""COMPUTED_VALUE"""),"https://i.pinimg.com/originals/ab/2e/34/ab2e343cfb3072be204663206e1210b5.jpg")</f>
        <v>https://i.pinimg.com/originals/ab/2e/34/ab2e343cfb3072be204663206e1210b5.jpg</v>
      </c>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t="str">
        <f>IFERROR(__xludf.DUMMYFUNCTION("""COMPUTED_VALUE"""),"Octopi (WD) (Enhanced)")</f>
        <v>Octopi (WD) (Enhanced)</v>
      </c>
      <c r="B210" s="103" t="str">
        <f>IFERROR(__xludf.DUMMYFUNCTION("""COMPUTED_VALUE"""),"https://i.pinimg.com/originals/ab/2e/34/ab2e343cfb3072be204663206e1210b5.jpg")</f>
        <v>https://i.pinimg.com/originals/ab/2e/34/ab2e343cfb3072be204663206e1210b5.jpg</v>
      </c>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t="str">
        <f>IFERROR(__xludf.DUMMYFUNCTION("""COMPUTED_VALUE"""),"Ox")</f>
        <v>Ox</v>
      </c>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t="str">
        <f>IFERROR(__xludf.DUMMYFUNCTION("""COMPUTED_VALUE"""),"Phantom")</f>
        <v>Phantom</v>
      </c>
      <c r="B212" s="103" t="str">
        <f>IFERROR(__xludf.DUMMYFUNCTION("""COMPUTED_VALUE"""),"https://64.media.tumblr.com/8353ca24310856a247c1531b086a5039/2e7b561a80f95273-13/s640x960/c2de4562d42e4af0d860945ee0ccb4cb261f121c.jpg")</f>
        <v>https://64.media.tumblr.com/8353ca24310856a247c1531b086a5039/2e7b561a80f95273-13/s640x960/c2de4562d42e4af0d860945ee0ccb4cb261f121c.jpg</v>
      </c>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t="str">
        <f>IFERROR(__xludf.DUMMYFUNCTION("""COMPUTED_VALUE"""),"Phantom of Lord Dreadful")</f>
        <v>Phantom of Lord Dreadful</v>
      </c>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t="str">
        <f>IFERROR(__xludf.DUMMYFUNCTION("""COMPUTED_VALUE"""),"Piranhas (WD)")</f>
        <v>Piranhas (WD)</v>
      </c>
      <c r="B214" s="103" t="str">
        <f>IFERROR(__xludf.DUMMYFUNCTION("""COMPUTED_VALUE"""),"https://www.mtgnexus.com/img/gallery/1210-moat-piranhas.jpg")</f>
        <v>https://www.mtgnexus.com/img/gallery/1210-moat-piranhas.jpg</v>
      </c>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t="str">
        <f>IFERROR(__xludf.DUMMYFUNCTION("""COMPUTED_VALUE"""),"Piranhas (WD) (Enhanced)")</f>
        <v>Piranhas (WD) (Enhanced)</v>
      </c>
      <c r="B215" s="103" t="str">
        <f>IFERROR(__xludf.DUMMYFUNCTION("""COMPUTED_VALUE"""),"https://www.mtgnexus.com/img/gallery/1210-moat-piranhas.jpg")</f>
        <v>https://www.mtgnexus.com/img/gallery/1210-moat-piranhas.jpg</v>
      </c>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t="str">
        <f>IFERROR(__xludf.DUMMYFUNCTION("""COMPUTED_VALUE"""),"Poison Warrior")</f>
        <v>Poison Warrior</v>
      </c>
      <c r="B216" s="103" t="str">
        <f>IFERROR(__xludf.DUMMYFUNCTION("""COMPUTED_VALUE"""),"https://qph.cf2.quoracdn.net/main-qimg-a52fb4f9abf08ee3abe90b8c818f4cc8-lq")</f>
        <v>https://qph.cf2.quoracdn.net/main-qimg-a52fb4f9abf08ee3abe90b8c818f4cc8-lq</v>
      </c>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t="str">
        <f>IFERROR(__xludf.DUMMYFUNCTION("""COMPUTED_VALUE"""),"Possessed Pumpkin")</f>
        <v>Possessed Pumpkin</v>
      </c>
      <c r="B217" s="103" t="str">
        <f>IFERROR(__xludf.DUMMYFUNCTION("""COMPUTED_VALUE"""),"https://images-wixmp-ed30a86b8c4ca887773594c2.wixmp.com/f/915f8f81-0ae6-4fa4-809b-e7f9c7062231/d9f00dh-2781fefe-0a6c-43c8-b0e6-9b4ea9601ed1.jpg/v1/fill/w_946,h_844,q_70,strp/possessed_pumpkin_by_dante_cg_d9f00dh-pre.jpg?token=eyJ0eXAiOiJKV1QiLCJhbGciOiJIU"&amp;"zI1NiJ9.eyJzdWIiOiJ1cm46YXBwOjdlMGQxODg5ODIyNjQzNzNhNWYwZDQxNWVhMGQyNmUwIiwiaXNzIjoidXJuOmFwcDo3ZTBkMTg4OTgyMjY0MzczYTVmMGQ0MTVlYTBkMjZlMCIsIm9iaiI6W1t7ImhlaWdodCI6Ijw9MTE0MiIsInBhdGgiOiJcL2ZcLzkxNWY4ZjgxLTBhZTYtNGZhNC04MDliLWU3ZjljNzA2MjIzMVwvZDlmMDBkaC0"&amp;"yNzgxZmVmZS0wYTZjLTQzYzgtYjBlNi05YjRlYTk2MDFlZDEuanBnIiwid2lkdGgiOiI8PTEyODAifV1dLCJhdWQiOlsidXJuOnNlcnZpY2U6aW1hZ2Uub3BlcmF0aW9ucyJdfQ.Ezj8QJcdSKmxLm8RjKzxr-XBnvl7ZsQnSMbkfh4ql0k")</f>
        <v>https://images-wixmp-ed30a86b8c4ca887773594c2.wixmp.com/f/915f8f81-0ae6-4fa4-809b-e7f9c7062231/d9f00dh-2781fefe-0a6c-43c8-b0e6-9b4ea9601ed1.jpg/v1/fill/w_946,h_844,q_70,strp/possessed_pumpkin_by_dante_cg_d9f00dh-pre.jpg?token=eyJ0eXAiOiJKV1QiLCJhbGciOiJIUzI1NiJ9.eyJzdWIiOiJ1cm46YXBwOjdlMGQxODg5ODIyNjQzNzNhNWYwZDQxNWVhMGQyNmUwIiwiaXNzIjoidXJuOmFwcDo3ZTBkMTg4OTgyMjY0MzczYTVmMGQ0MTVlYTBkMjZlMCIsIm9iaiI6W1t7ImhlaWdodCI6Ijw9MTE0MiIsInBhdGgiOiJcL2ZcLzkxNWY4ZjgxLTBhZTYtNGZhNC04MDliLWU3ZjljNzA2MjIzMVwvZDlmMDBkaC0yNzgxZmVmZS0wYTZjLTQzYzgtYjBlNi05YjRlYTk2MDFlZDEuanBnIiwid2lkdGgiOiI8PTEyODAifV1dLCJhdWQiOlsidXJuOnNlcnZpY2U6aW1hZ2Uub3BlcmF0aW9ucyJdfQ.Ezj8QJcdSKmxLm8RjKzxr-XBnvl7ZsQnSMbkfh4ql0k</v>
      </c>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t="str">
        <f>IFERROR(__xludf.DUMMYFUNCTION("""COMPUTED_VALUE"""),"Possesed Clown")</f>
        <v>Possesed Clown</v>
      </c>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t="str">
        <f>IFERROR(__xludf.DUMMYFUNCTION("""COMPUTED_VALUE"""),"Pumpkin King")</f>
        <v>Pumpkin King</v>
      </c>
      <c r="B219" s="103" t="str">
        <f>IFERROR(__xludf.DUMMYFUNCTION("""COMPUTED_VALUE"""),"https://rare-gallery.com/uploads/posts/1202012-Halloween-holiday-Jack-O039-Lantern-pumpkin-artwork.jpg")</f>
        <v>https://rare-gallery.com/uploads/posts/1202012-Halloween-holiday-Jack-O039-Lantern-pumpkin-artwork.jpg</v>
      </c>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t="str">
        <f>IFERROR(__xludf.DUMMYFUNCTION("""COMPUTED_VALUE"""),"Pumpkin Lord")</f>
        <v>Pumpkin Lord</v>
      </c>
      <c r="B220" s="103" t="str">
        <f>IFERROR(__xludf.DUMMYFUNCTION("""COMPUTED_VALUE"""),"https://i.pinimg.com/236x/ae/44/c7/ae44c7c0685eb01c0f5f54c956228790--dominique-dose.jpg")</f>
        <v>https://i.pinimg.com/236x/ae/44/c7/ae44c7c0685eb01c0f5f54c956228790--dominique-dose.jpg</v>
      </c>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t="str">
        <f>IFERROR(__xludf.DUMMYFUNCTION("""COMPUTED_VALUE"""),"Puppet")</f>
        <v>Puppet</v>
      </c>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t="str">
        <f>IFERROR(__xludf.DUMMYFUNCTION("""COMPUTED_VALUE"""),"Reaper Of Spira (25% chance of this enemy appearing when you complain about being targeted)")</f>
        <v>Reaper Of Spira (25% chance of this enemy appearing when you complain about being targeted)</v>
      </c>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t="str">
        <f>IFERROR(__xludf.DUMMYFUNCTION("""COMPUTED_VALUE"""),"Red Footed Beast")</f>
        <v>Red Footed Beast</v>
      </c>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t="str">
        <f>IFERROR(__xludf.DUMMYFUNCTION("""COMPUTED_VALUE"""),"Red Soul")</f>
        <v>Red Soul</v>
      </c>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t="str">
        <f>IFERROR(__xludf.DUMMYFUNCTION("""COMPUTED_VALUE"""),"Rhino")</f>
        <v>Rhino</v>
      </c>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t="str">
        <f>IFERROR(__xludf.DUMMYFUNCTION("""COMPUTED_VALUE"""),"Robotic Guardian of the 5th, No. 1")</f>
        <v>Robotic Guardian of the 5th, No. 1</v>
      </c>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t="str">
        <f>IFERROR(__xludf.DUMMYFUNCTION("""COMPUTED_VALUE"""),"Robotic Guardian of the 5th, No. 2")</f>
        <v>Robotic Guardian of the 5th, No. 2</v>
      </c>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t="str">
        <f>IFERROR(__xludf.DUMMYFUNCTION("""COMPUTED_VALUE"""),"Robotic Guardian of the 5th, No. 3")</f>
        <v>Robotic Guardian of the 5th, No. 3</v>
      </c>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t="str">
        <f>IFERROR(__xludf.DUMMYFUNCTION("""COMPUTED_VALUE"""),"Robotic Guardian of the 5th, No. 4")</f>
        <v>Robotic Guardian of the 5th, No. 4</v>
      </c>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t="str">
        <f>IFERROR(__xludf.DUMMYFUNCTION("""COMPUTED_VALUE"""),"Rock Snake")</f>
        <v>Rock Snake</v>
      </c>
      <c r="B230" s="103" t="str">
        <f>IFERROR(__xludf.DUMMYFUNCTION("""COMPUTED_VALUE"""),"https://i.pinimg.com/originals/8f/67/30/8f67307feeef96bce5a62f7b847b02ad.jpg")</f>
        <v>https://i.pinimg.com/originals/8f/67/30/8f67307feeef96bce5a62f7b847b02ad.jpg</v>
      </c>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t="str">
        <f>IFERROR(__xludf.DUMMYFUNCTION("""COMPUTED_VALUE"""),"Rooster")</f>
        <v>Rooster</v>
      </c>
      <c r="B231" s="103" t="str">
        <f>IFERROR(__xludf.DUMMYFUNCTION("""COMPUTED_VALUE"""),"https://cache.desktopnexus.com/thumbseg/2532/2532791-bigthumbnail.jpg")</f>
        <v>https://cache.desktopnexus.com/thumbseg/2532/2532791-bigthumbnail.jpg</v>
      </c>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t="str">
        <f>IFERROR(__xludf.DUMMYFUNCTION("""COMPUTED_VALUE"""),"Rowboat")</f>
        <v>Rowboat</v>
      </c>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t="str">
        <f>IFERROR(__xludf.DUMMYFUNCTION("""COMPUTED_VALUE"""),"Ancient Fire Elemental")</f>
        <v>Ancient Fire Elemental</v>
      </c>
      <c r="B233" s="103" t="str">
        <f>IFERROR(__xludf.DUMMYFUNCTION("""COMPUTED_VALUE"""),"https://i.pinimg.com/474x/35/1e/b6/351eb6ae3d59fbc7b3a2b177fb814e22.jpg")</f>
        <v>https://i.pinimg.com/474x/35/1e/b6/351eb6ae3d59fbc7b3a2b177fb814e22.jpg</v>
      </c>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t="str">
        <f>IFERROR(__xludf.DUMMYFUNCTION("""COMPUTED_VALUE"""),"Saber Toothed Cat")</f>
        <v>Saber Toothed Cat</v>
      </c>
      <c r="B234" s="103" t="str">
        <f>IFERROR(__xludf.DUMMYFUNCTION("""COMPUTED_VALUE"""),"https://static.wikia.nocookie.net/turok/images/0/01/Sabertooth.jpg/revision/latest?cb=20120511065302")</f>
        <v>https://static.wikia.nocookie.net/turok/images/0/01/Sabertooth.jpg/revision/latest?cb=20120511065302</v>
      </c>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t="str">
        <f>IFERROR(__xludf.DUMMYFUNCTION("""COMPUTED_VALUE"""),"Sand Worm")</f>
        <v>Sand Worm</v>
      </c>
      <c r="B235" s="103" t="str">
        <f>IFERROR(__xludf.DUMMYFUNCTION("""COMPUTED_VALUE"""),"https://coolvibe.com/wp-content/uploads/2013/04/Sci-fi-Art-A.J.-Trahan-Sandworms.jpg")</f>
        <v>https://coolvibe.com/wp-content/uploads/2013/04/Sci-fi-Art-A.J.-Trahan-Sandworms.jpg</v>
      </c>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t="str">
        <f>IFERROR(__xludf.DUMMYFUNCTION("""COMPUTED_VALUE"""),"Sandmite")</f>
        <v>Sandmite</v>
      </c>
      <c r="B236" s="103" t="str">
        <f>IFERROR(__xludf.DUMMYFUNCTION("""COMPUTED_VALUE"""),"https://i.redd.it/z78abirorck51.jpg")</f>
        <v>https://i.redd.it/z78abirorck51.jpg</v>
      </c>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t="str">
        <f>IFERROR(__xludf.DUMMYFUNCTION("""COMPUTED_VALUE"""),"Fire Elemental")</f>
        <v>Fire Elemental</v>
      </c>
      <c r="B237" s="103" t="str">
        <f>IFERROR(__xludf.DUMMYFUNCTION("""COMPUTED_VALUE"""),"https://i.pinimg.com/474x/b5/2d/a8/b52da8116dbf43d3a8719952e491f7f6.jpg")</f>
        <v>https://i.pinimg.com/474x/b5/2d/a8/b52da8116dbf43d3a8719952e491f7f6.jpg</v>
      </c>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t="str">
        <f>IFERROR(__xludf.DUMMYFUNCTION("""COMPUTED_VALUE"""),"Sea Serpent (WD)")</f>
        <v>Sea Serpent (WD)</v>
      </c>
      <c r="B238" s="103" t="str">
        <f>IFERROR(__xludf.DUMMYFUNCTION("""COMPUTED_VALUE"""),"https://wallup.net/wp-content/uploads/2016/04/10/268701-digital_art-fantasy_art-creature-sea_monsters-underwater-sea-men-divers-fangs-bubbles-tail-fish.jpg")</f>
        <v>https://wallup.net/wp-content/uploads/2016/04/10/268701-digital_art-fantasy_art-creature-sea_monsters-underwater-sea-men-divers-fangs-bubbles-tail-fish.jpg</v>
      </c>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t="str">
        <f>IFERROR(__xludf.DUMMYFUNCTION("""COMPUTED_VALUE"""),"Sea Serpent (WD) (Enhanced)")</f>
        <v>Sea Serpent (WD) (Enhanced)</v>
      </c>
      <c r="B239" s="103" t="str">
        <f>IFERROR(__xludf.DUMMYFUNCTION("""COMPUTED_VALUE"""),"https://wallup.net/wp-content/uploads/2016/04/10/268701-digital_art-fantasy_art-creature-sea_monsters-underwater-sea-men-divers-fangs-bubbles-tail-fish.jpg")</f>
        <v>https://wallup.net/wp-content/uploads/2016/04/10/268701-digital_art-fantasy_art-creature-sea_monsters-underwater-sea-men-divers-fangs-bubbles-tail-fish.jpg</v>
      </c>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t="str">
        <f>IFERROR(__xludf.DUMMYFUNCTION("""COMPUTED_VALUE"""),"Sea Worm (WD)")</f>
        <v>Sea Worm (WD)</v>
      </c>
      <c r="B240" s="103" t="str">
        <f>IFERROR(__xludf.DUMMYFUNCTION("""COMPUTED_VALUE"""),"https://res.cloudinary.com/jerrick/image/upload/c_scale,f_jpg,q_auto/ejhogmhegi2iqjcufiar.jpg")</f>
        <v>https://res.cloudinary.com/jerrick/image/upload/c_scale,f_jpg,q_auto/ejhogmhegi2iqjcufiar.jpg</v>
      </c>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t="str">
        <f>IFERROR(__xludf.DUMMYFUNCTION("""COMPUTED_VALUE"""),"Sea Worm (WD) (Enhanced)")</f>
        <v>Sea Worm (WD) (Enhanced)</v>
      </c>
      <c r="B241" s="103" t="str">
        <f>IFERROR(__xludf.DUMMYFUNCTION("""COMPUTED_VALUE"""),"https://res.cloudinary.com/jerrick/image/upload/c_scale,f_jpg,q_auto/ejhogmhegi2iqjcufiar.jpg")</f>
        <v>https://res.cloudinary.com/jerrick/image/upload/c_scale,f_jpg,q_auto/ejhogmhegi2iqjcufiar.jpg</v>
      </c>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t="str">
        <f>IFERROR(__xludf.DUMMYFUNCTION("""COMPUTED_VALUE"""),"Seraph")</f>
        <v>Seraph</v>
      </c>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t="str">
        <f>IFERROR(__xludf.DUMMYFUNCTION("""COMPUTED_VALUE"""),"Shadow King")</f>
        <v>Shadow King</v>
      </c>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t="str">
        <f>IFERROR(__xludf.DUMMYFUNCTION("""COMPUTED_VALUE"""),"Shadow Suit of Armor")</f>
        <v>Shadow Suit of Armor</v>
      </c>
      <c r="B244" s="103" t="str">
        <f>IFERROR(__xludf.DUMMYFUNCTION("""COMPUTED_VALUE"""),"https://i.pinimg.com/474x/ba/82/0d/ba820d2e02a1606fa7b6eff369a69719.jpg")</f>
        <v>https://i.pinimg.com/474x/ba/82/0d/ba820d2e02a1606fa7b6eff369a69719.jpg</v>
      </c>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t="str">
        <f>IFERROR(__xludf.DUMMYFUNCTION("""COMPUTED_VALUE"""),"Shark (WD)")</f>
        <v>Shark (WD)</v>
      </c>
      <c r="B245" s="103" t="str">
        <f>IFERROR(__xludf.DUMMYFUNCTION("""COMPUTED_VALUE"""),"https://i.pinimg.com/474x/7d/40/4c/7d404cc660f103d1db31a7ea28262d52--monster-shark-crabs.jpg")</f>
        <v>https://i.pinimg.com/474x/7d/40/4c/7d404cc660f103d1db31a7ea28262d52--monster-shark-crabs.jpg</v>
      </c>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t="str">
        <f>IFERROR(__xludf.DUMMYFUNCTION("""COMPUTED_VALUE"""),"Shark (WD) (Enhanced0")</f>
        <v>Shark (WD) (Enhanced0</v>
      </c>
      <c r="B246" s="103" t="str">
        <f>IFERROR(__xludf.DUMMYFUNCTION("""COMPUTED_VALUE"""),"https://i.pinimg.com/474x/7d/40/4c/7d404cc660f103d1db31a7ea28262d52--monster-shark-crabs.jpg")</f>
        <v>https://i.pinimg.com/474x/7d/40/4c/7d404cc660f103d1db31a7ea28262d52--monster-shark-crabs.jpg</v>
      </c>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t="str">
        <f>IFERROR(__xludf.DUMMYFUNCTION("""COMPUTED_VALUE"""),"Skeletal Warrior")</f>
        <v>Skeletal Warrior</v>
      </c>
      <c r="B247" s="103" t="str">
        <f>IFERROR(__xludf.DUMMYFUNCTION("""COMPUTED_VALUE"""),"https://w0.peakpx.com/wallpaper/473/31/HD-wallpaper-dark-warrior-fantasy-art-skeleton-dark.jpg")</f>
        <v>https://w0.peakpx.com/wallpaper/473/31/HD-wallpaper-dark-warrior-fantasy-art-skeleton-dark.jpg</v>
      </c>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t="str">
        <f>IFERROR(__xludf.DUMMYFUNCTION("""COMPUTED_VALUE"""),"Skeleton Lord")</f>
        <v>Skeleton Lord</v>
      </c>
      <c r="B248" s="103" t="str">
        <f>IFERROR(__xludf.DUMMYFUNCTION("""COMPUTED_VALUE"""),"https://images-wixmp-ed30a86b8c4ca887773594c2.wixmp.com/f/30314805-0284-4dac-99bc-19935cbc4642/d8ksizt-c93f7ba5-9528-48de-9928-d68ecefdef4d.jpg/v1/fill/w_739,h_842,q_75,strp/skeleton_lord_by_raphtor_d8ksizt-fullview.jpg?token=eyJ0eXAiOiJKV1QiLCJhbGciOiJIU"&amp;"zI1NiJ9.eyJzdWIiOiJ1cm46YXBwOjdlMGQxODg5ODIyNjQzNzNhNWYwZDQxNWVhMGQyNmUwIiwiaXNzIjoidXJuOmFwcDo3ZTBkMTg4OTgyMjY0MzczYTVmMGQ0MTVlYTBkMjZlMCIsIm9iaiI6W1t7ImhlaWdodCI6Ijw9ODQyIiwicGF0aCI6IlwvZlwvMzAzMTQ4MDUtMDI4NC00ZGFjLTk5YmMtMTk5MzVjYmM0NjQyXC9kOGtzaXp0LWM"&amp;"5M2Y3YmE1LTk1MjgtNDhkZS05OTI4LWQ2OGVjZWZkZWY0ZC5qcGciLCJ3aWR0aCI6Ijw9NzM5In1dXSwiYXVkIjpbInVybjpzZXJ2aWNlOmltYWdlLm9wZXJhdGlvbnMiXX0.Bx0_9vJU1ajYc1I69zr06U5rb6-6RUipudhhxS9YmMk")</f>
        <v>https://images-wixmp-ed30a86b8c4ca887773594c2.wixmp.com/f/30314805-0284-4dac-99bc-19935cbc4642/d8ksizt-c93f7ba5-9528-48de-9928-d68ecefdef4d.jpg/v1/fill/w_739,h_842,q_75,strp/skeleton_lord_by_raphtor_d8ksizt-fullview.jpg?token=eyJ0eXAiOiJKV1QiLCJhbGciOiJIUzI1NiJ9.eyJzdWIiOiJ1cm46YXBwOjdlMGQxODg5ODIyNjQzNzNhNWYwZDQxNWVhMGQyNmUwIiwiaXNzIjoidXJuOmFwcDo3ZTBkMTg4OTgyMjY0MzczYTVmMGQ0MTVlYTBkMjZlMCIsIm9iaiI6W1t7ImhlaWdodCI6Ijw9ODQyIiwicGF0aCI6IlwvZlwvMzAzMTQ4MDUtMDI4NC00ZGFjLTk5YmMtMTk5MzVjYmM0NjQyXC9kOGtzaXp0LWM5M2Y3YmE1LTk1MjgtNDhkZS05OTI4LWQ2OGVjZWZkZWY0ZC5qcGciLCJ3aWR0aCI6Ijw9NzM5In1dXSwiYXVkIjpbInVybjpzZXJ2aWNlOmltYWdlLm9wZXJhdGlvbnMiXX0.Bx0_9vJU1ajYc1I69zr06U5rb6-6RUipudhhxS9YmMk</v>
      </c>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t="str">
        <f>IFERROR(__xludf.DUMMYFUNCTION("""COMPUTED_VALUE"""),"Skilled Robot Soldier (King Of Mekanas Companion)")</f>
        <v>Skilled Robot Soldier (King Of Mekanas Companion)</v>
      </c>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t="str">
        <f>IFERROR(__xludf.DUMMYFUNCTION("""COMPUTED_VALUE"""),"Slime")</f>
        <v>Slime</v>
      </c>
      <c r="B250" s="103" t="str">
        <f>IFERROR(__xludf.DUMMYFUNCTION("""COMPUTED_VALUE"""),"https://i.pinimg.com/originals/90/72/f6/9072f6b4655cc66ce92a54fb3782241c.jpg")</f>
        <v>https://i.pinimg.com/originals/90/72/f6/9072f6b4655cc66ce92a54fb3782241c.jpg</v>
      </c>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t="str">
        <f>IFERROR(__xludf.DUMMYFUNCTION("""COMPUTED_VALUE"""),"Sorana- Demon Of The Cycle")</f>
        <v>Sorana- Demon Of The Cycle</v>
      </c>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t="str">
        <f>IFERROR(__xludf.DUMMYFUNCTION("""COMPUTED_VALUE"""),"Soul Dragon")</f>
        <v>Soul Dragon</v>
      </c>
      <c r="B252" s="103" t="str">
        <f>IFERROR(__xludf.DUMMYFUNCTION("""COMPUTED_VALUE"""),"https://static.wikia.nocookie.net/charm-of-soul-pets-cosp/images/1/1a/C2tu6z8kg4s51.jpg/revision/latest?cb=20210512170831")</f>
        <v>https://static.wikia.nocookie.net/charm-of-soul-pets-cosp/images/1/1a/C2tu6z8kg4s51.jpg/revision/latest?cb=20210512170831</v>
      </c>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t="str">
        <f>IFERROR(__xludf.DUMMYFUNCTION("""COMPUTED_VALUE"""),"Spirit Dragon")</f>
        <v>Spirit Dragon</v>
      </c>
      <c r="B253" s="103" t="str">
        <f>IFERROR(__xludf.DUMMYFUNCTION("""COMPUTED_VALUE"""),"https://www.originalmagicart.store/cdn/shop/products/Swanland_UginSpiritDragon_Print_5000x.jpg?v=1603674292")</f>
        <v>https://www.originalmagicart.store/cdn/shop/products/Swanland_UginSpiritDragon_Print_5000x.jpg?v=1603674292</v>
      </c>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t="str">
        <f>IFERROR(__xludf.DUMMYFUNCTION("""COMPUTED_VALUE"""),"Spirit Warrior")</f>
        <v>Spirit Warrior</v>
      </c>
      <c r="B254" s="103" t="str">
        <f>IFERROR(__xludf.DUMMYFUNCTION("""COMPUTED_VALUE"""),"https://images-wixmp-ed30a86b8c4ca887773594c2.wixmp.com/f/2cd14227-019a-41e2-864d-d9206f96dca2/d1o30nj-166faadc-aa3a-4af7-bb3e-1cd8498715f4.jpg?token=eyJ0eXAiOiJKV1QiLCJhbGciOiJIUzI1NiJ9.eyJzdWIiOiJ1cm46YXBwOjdlMGQxODg5ODIyNjQzNzNhNWYwZDQxNWVhMGQyNmUwIiwi"&amp;"aXNzIjoidXJuOmFwcDo3ZTBkMTg4OTgyMjY0MzczYTVmMGQ0MTVlYTBkMjZlMCIsIm9iaiI6W1t7InBhdGgiOiJcL2ZcLzJjZDE0MjI3LTAxOWEtNDFlMi04NjRkLWQ5MjA2Zjk2ZGNhMlwvZDFvMzBuai0xNjZmYWFkYy1hYTNhLTRhZjctYmIzZS0xY2Q4NDk4NzE1ZjQuanBnIn1dXSwiYXVkIjpbInVybjpzZXJ2aWNlOmZpbGUuZG93bmx"&amp;"vYWQiXX0.3VHKgRaEK8pd5pc16P2V85byga65jvqF0V83puOtfSI")</f>
        <v>https://images-wixmp-ed30a86b8c4ca887773594c2.wixmp.com/f/2cd14227-019a-41e2-864d-d9206f96dca2/d1o30nj-166faadc-aa3a-4af7-bb3e-1cd8498715f4.jpg?token=eyJ0eXAiOiJKV1QiLCJhbGciOiJIUzI1NiJ9.eyJzdWIiOiJ1cm46YXBwOjdlMGQxODg5ODIyNjQzNzNhNWYwZDQxNWVhMGQyNmUwIiwiaXNzIjoidXJuOmFwcDo3ZTBkMTg4OTgyMjY0MzczYTVmMGQ0MTVlYTBkMjZlMCIsIm9iaiI6W1t7InBhdGgiOiJcL2ZcLzJjZDE0MjI3LTAxOWEtNDFlMi04NjRkLWQ5MjA2Zjk2ZGNhMlwvZDFvMzBuai0xNjZmYWFkYy1hYTNhLTRhZjctYmIzZS0xY2Q4NDk4NzE1ZjQuanBnIn1dXSwiYXVkIjpbInVybjpzZXJ2aWNlOmZpbGUuZG93bmxvYWQiXX0.3VHKgRaEK8pd5pc16P2V85byga65jvqF0V83puOtfSI</v>
      </c>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t="str">
        <f>IFERROR(__xludf.DUMMYFUNCTION("""COMPUTED_VALUE"""),"Squid (WD)")</f>
        <v>Squid (WD)</v>
      </c>
      <c r="B255" s="103" t="str">
        <f>IFERROR(__xludf.DUMMYFUNCTION("""COMPUTED_VALUE"""),"https://i.pinimg.com/736x/85/61/9e/85619e2e007b6255cc712a165e4a9890.jpg")</f>
        <v>https://i.pinimg.com/736x/85/61/9e/85619e2e007b6255cc712a165e4a9890.jpg</v>
      </c>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t="str">
        <f>IFERROR(__xludf.DUMMYFUNCTION("""COMPUTED_VALUE"""),"Squid (WD) (Enhanced)")</f>
        <v>Squid (WD) (Enhanced)</v>
      </c>
      <c r="B256" s="103" t="str">
        <f>IFERROR(__xludf.DUMMYFUNCTION("""COMPUTED_VALUE"""),"https://i.pinimg.com/736x/85/61/9e/85619e2e007b6255cc712a165e4a9890.jpg")</f>
        <v>https://i.pinimg.com/736x/85/61/9e/85619e2e007b6255cc712a165e4a9890.jpg</v>
      </c>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t="str">
        <f>IFERROR(__xludf.DUMMYFUNCTION("""COMPUTED_VALUE"""),"Stag")</f>
        <v>Stag</v>
      </c>
      <c r="B257" s="103" t="str">
        <f>IFERROR(__xludf.DUMMYFUNCTION("""COMPUTED_VALUE"""),"https://i.pinimg.com/originals/dd/f5/fe/ddf5fec7a9248d9192810e6b7d8aa8d6.jpg")</f>
        <v>https://i.pinimg.com/originals/dd/f5/fe/ddf5fec7a9248d9192810e6b7d8aa8d6.jpg</v>
      </c>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t="str">
        <f>IFERROR(__xludf.DUMMYFUNCTION("""COMPUTED_VALUE"""),"Steed")</f>
        <v>Steed</v>
      </c>
      <c r="B258" s="103" t="str">
        <f>IFERROR(__xludf.DUMMYFUNCTION("""COMPUTED_VALUE"""),"https://i.pinimg.com/564x/46/76/ff/4676fff3892b599f8a4a445b4240c4e1.jpg")</f>
        <v>https://i.pinimg.com/564x/46/76/ff/4676fff3892b599f8a4a445b4240c4e1.jpg</v>
      </c>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t="str">
        <f>IFERROR(__xludf.DUMMYFUNCTION("""COMPUTED_VALUE"""),"Stone Dragon")</f>
        <v>Stone Dragon</v>
      </c>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t="str">
        <f>IFERROR(__xludf.DUMMYFUNCTION("""COMPUTED_VALUE"""),"Volcanic Elemental")</f>
        <v>Volcanic Elemental</v>
      </c>
      <c r="B260" s="103" t="str">
        <f>IFERROR(__xludf.DUMMYFUNCTION("""COMPUTED_VALUE"""),"https://i.pinimg.com/474x/14/e2/1c/14e21c6b9851054135c3e97a9c383bbd.jpg")</f>
        <v>https://i.pinimg.com/474x/14/e2/1c/14e21c6b9851054135c3e97a9c383bbd.jpg</v>
      </c>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t="str">
        <f>IFERROR(__xludf.DUMMYFUNCTION("""COMPUTED_VALUE"""),"Straitzo The Vampire Warrior")</f>
        <v>Straitzo The Vampire Warrior</v>
      </c>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t="str">
        <f>IFERROR(__xludf.DUMMYFUNCTION("""COMPUTED_VALUE"""),"Sunstone Dragon")</f>
        <v>Sunstone Dragon</v>
      </c>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t="str">
        <f>IFERROR(__xludf.DUMMYFUNCTION("""COMPUTED_VALUE"""),"Swamp Portal Guard")</f>
        <v>Swamp Portal Guard</v>
      </c>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t="str">
        <f>IFERROR(__xludf.DUMMYFUNCTION("""COMPUTED_VALUE"""),"The Ancient Colossal Dragon of Spira")</f>
        <v>The Ancient Colossal Dragon of Spira</v>
      </c>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t="str">
        <f>IFERROR(__xludf.DUMMYFUNCTION("""COMPUTED_VALUE"""),"The Black And White Dragon")</f>
        <v>The Black And White Dragon</v>
      </c>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t="str">
        <f>IFERROR(__xludf.DUMMYFUNCTION("""COMPUTED_VALUE"""),"The Black Demon")</f>
        <v>The Black Demon</v>
      </c>
      <c r="B267" s="103" t="str">
        <f>IFERROR(__xludf.DUMMYFUNCTION("""COMPUTED_VALUE"""),"https://e0.pxfuel.com/wallpapers/163/71/desktop-wallpaper-birds-art-dark-demon-ghost.jpg")</f>
        <v>https://e0.pxfuel.com/wallpapers/163/71/desktop-wallpaper-birds-art-dark-demon-ghost.jpg</v>
      </c>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t="str">
        <f>IFERROR(__xludf.DUMMYFUNCTION("""COMPUTED_VALUE"""),"The Clown King")</f>
        <v>The Clown King</v>
      </c>
      <c r="B268" s="103" t="str">
        <f>IFERROR(__xludf.DUMMYFUNCTION("""COMPUTED_VALUE"""),"https://i.pinimg.com/originals/33/ab/9d/33ab9db352b82ec6db31d630b310b237.png")</f>
        <v>https://i.pinimg.com/originals/33/ab/9d/33ab9db352b82ec6db31d630b310b237.png</v>
      </c>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t="str">
        <f>IFERROR(__xludf.DUMMYFUNCTION("""COMPUTED_VALUE"""),"The Cursed Kraken")</f>
        <v>The Cursed Kraken</v>
      </c>
      <c r="B269" s="103" t="str">
        <f>IFERROR(__xludf.DUMMYFUNCTION("""COMPUTED_VALUE"""),"https://cdn.wallpapersafari.com/38/25/W0jrZb.jpg")</f>
        <v>https://cdn.wallpapersafari.com/38/25/W0jrZb.jpg</v>
      </c>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t="str">
        <f>IFERROR(__xludf.DUMMYFUNCTION("""COMPUTED_VALUE"""),"Giant Magma Snail")</f>
        <v>Giant Magma Snail</v>
      </c>
      <c r="B270" s="103" t="str">
        <f>IFERROR(__xludf.DUMMYFUNCTION("""COMPUTED_VALUE"""),"https://cdn.domestika.org/c_limit,dpr_1.0,f_auto,q_80,w_610/v1518621781/content-items/002/256/914/16.francisco-martin-mocaran-ilustracion-original.jpg?1518621781")</f>
        <v>https://cdn.domestika.org/c_limit,dpr_1.0,f_auto,q_80,w_610/v1518621781/content-items/002/256/914/16.francisco-martin-mocaran-ilustracion-original.jpg?1518621781</v>
      </c>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t="str">
        <f>IFERROR(__xludf.DUMMYFUNCTION("""COMPUTED_VALUE"""),"The God Of Birch")</f>
        <v>The God Of Birch</v>
      </c>
      <c r="B271" s="103" t="str">
        <f>IFERROR(__xludf.DUMMYFUNCTION("""COMPUTED_VALUE"""),"https://i.pinimg.com/236x/9d/0f/0d/9d0f0ddef6ccbb848cabe33b1846f5df.jpg")</f>
        <v>https://i.pinimg.com/236x/9d/0f/0d/9d0f0ddef6ccbb848cabe33b1846f5df.jpg</v>
      </c>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t="str">
        <f>IFERROR(__xludf.DUMMYFUNCTION("""COMPUTED_VALUE"""),"The Grim Reaper")</f>
        <v>The Grim Reaper</v>
      </c>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t="str">
        <f>IFERROR(__xludf.DUMMYFUNCTION("""COMPUTED_VALUE"""),"The Guardian Of Death")</f>
        <v>The Guardian Of Death</v>
      </c>
      <c r="B273" s="103" t="str">
        <f>IFERROR(__xludf.DUMMYFUNCTION("""COMPUTED_VALUE"""),"https://images-wixmp-ed30a86b8c4ca887773594c2.wixmp.com/f/31ceaf1a-99f3-4df5-8194-e978d9f836fe/dfw9omx-6c666bc0-2f8a-4130-bd53-0602b795b879.jpg/v1/fill/w_1280,h_1603,q_75,strp/a_hooded_dark_angel_by_tyhjus_dfw9omx-fullview.jpg?token=eyJ0eXAiOiJKV1QiLCJhbG"&amp;"ciOiJIUzI1NiJ9.eyJzdWIiOiJ1cm46YXBwOjdlMGQxODg5ODIyNjQzNzNhNWYwZDQxNWVhMGQyNmUwIiwiaXNzIjoidXJuOmFwcDo3ZTBkMTg4OTgyMjY0MzczYTVmMGQ0MTVlYTBkMjZlMCIsIm9iaiI6W1t7ImhlaWdodCI6Ijw9MTYwMyIsInBhdGgiOiJcL2ZcLzMxY2VhZjFhLTk5ZjMtNGRmNS04MTk0LWU5NzhkOWY4MzZmZVwvZGZ3"&amp;"OW9teC02YzY2NmJjMC0yZjhhLTQxMzAtYmQ1My0wNjAyYjc5NWI4NzkuanBnIiwid2lkdGgiOiI8PTEyODAifV1dLCJhdWQiOlsidXJuOnNlcnZpY2U6aW1hZ2Uub3BlcmF0aW9ucyJdfQ.nweIeY-RqwVW3fXpirFwU4L50V6GibW95ByC8F3hN84")</f>
        <v>https://images-wixmp-ed30a86b8c4ca887773594c2.wixmp.com/f/31ceaf1a-99f3-4df5-8194-e978d9f836fe/dfw9omx-6c666bc0-2f8a-4130-bd53-0602b795b879.jpg/v1/fill/w_1280,h_1603,q_75,strp/a_hooded_dark_angel_by_tyhjus_dfw9omx-fullview.jpg?token=eyJ0eXAiOiJKV1QiLCJhbGciOiJIUzI1NiJ9.eyJzdWIiOiJ1cm46YXBwOjdlMGQxODg5ODIyNjQzNzNhNWYwZDQxNWVhMGQyNmUwIiwiaXNzIjoidXJuOmFwcDo3ZTBkMTg4OTgyMjY0MzczYTVmMGQ0MTVlYTBkMjZlMCIsIm9iaiI6W1t7ImhlaWdodCI6Ijw9MTYwMyIsInBhdGgiOiJcL2ZcLzMxY2VhZjFhLTk5ZjMtNGRmNS04MTk0LWU5NzhkOWY4MzZmZVwvZGZ3OW9teC02YzY2NmJjMC0yZjhhLTQxMzAtYmQ1My0wNjAyYjc5NWI4NzkuanBnIiwid2lkdGgiOiI8PTEyODAifV1dLCJhdWQiOlsidXJuOnNlcnZpY2U6aW1hZ2Uub3BlcmF0aW9ucyJdfQ.nweIeY-RqwVW3fXpirFwU4L50V6GibW95ByC8F3hN84</v>
      </c>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t="str">
        <f>IFERROR(__xludf.DUMMYFUNCTION("""COMPUTED_VALUE"""),"The Guardian Of The Mystic Well")</f>
        <v>The Guardian Of The Mystic Well</v>
      </c>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t="str">
        <f>IFERROR(__xludf.DUMMYFUNCTION("""COMPUTED_VALUE"""),"The Horseman Of Lord Dreadful No. 2 This enemy will appear alongside The Horseman Of Lord Dreadful No. 1")</f>
        <v>The Horseman Of Lord Dreadful No. 2 This enemy will appear alongside The Horseman Of Lord Dreadful No. 1</v>
      </c>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t="str">
        <f>IFERROR(__xludf.DUMMYFUNCTION("""COMPUTED_VALUE"""),"The Kraken")</f>
        <v>The Kraken</v>
      </c>
      <c r="B277" s="103" t="str">
        <f>IFERROR(__xludf.DUMMYFUNCTION("""COMPUTED_VALUE"""),"https://i.pinimg.com/736x/fd/6a/8f/fd6a8fcd5238c4d8448b11ecf0f04617--fantasy-creatures-mythical-creatures.jpg")</f>
        <v>https://i.pinimg.com/736x/fd/6a/8f/fd6a8fcd5238c4d8448b11ecf0f04617--fantasy-creatures-mythical-creatures.jpg</v>
      </c>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t="str">
        <f>IFERROR(__xludf.DUMMYFUNCTION("""COMPUTED_VALUE"""),"The Puppet Master")</f>
        <v>The Puppet Master</v>
      </c>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t="str">
        <f>IFERROR(__xludf.DUMMYFUNCTION("""COMPUTED_VALUE"""),"The Purple Necromancer")</f>
        <v>The Purple Necromancer</v>
      </c>
      <c r="B279" s="103" t="str">
        <f>IFERROR(__xludf.DUMMYFUNCTION("""COMPUTED_VALUE"""),"https://encrypted-tbn1.gstatic.com/images?q=tbn:ANd9GcSpobaTNlV5KtLFrfD_PVSK_B_NQ1fQImZIjoz3zGeXaUn8Msdw")</f>
        <v>https://encrypted-tbn1.gstatic.com/images?q=tbn:ANd9GcSpobaTNlV5KtLFrfD_PVSK_B_NQ1fQImZIjoz3zGeXaUn8Msdw</v>
      </c>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t="str">
        <f>IFERROR(__xludf.DUMMYFUNCTION("""COMPUTED_VALUE"""),"The Ring King")</f>
        <v>The Ring King</v>
      </c>
      <c r="B280" s="103" t="str">
        <f>IFERROR(__xludf.DUMMYFUNCTION("""COMPUTED_VALUE"""),"https://i.pinimg.com/1200x/bb/3b/2b/bb3b2b058519d9a38044e2d768c53f93.jpg")</f>
        <v>https://i.pinimg.com/1200x/bb/3b/2b/bb3b2b058519d9a38044e2d768c53f93.jpg</v>
      </c>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t="str">
        <f>IFERROR(__xludf.DUMMYFUNCTION("""COMPUTED_VALUE"""),"The Undead King")</f>
        <v>The Undead King</v>
      </c>
      <c r="B281" s="103" t="str">
        <f>IFERROR(__xludf.DUMMYFUNCTION("""COMPUTED_VALUE"""),"https://i.pinimg.com/736x/7f/60/ff/7f60ff579e6e3e13e99a29ed4ec562a2--warhammer-fantasy-dark-fantasy.jpg")</f>
        <v>https://i.pinimg.com/736x/7f/60/ff/7f60ff579e6e3e13e99a29ed4ec562a2--warhammer-fantasy-dark-fantasy.jpg</v>
      </c>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t="str">
        <f>IFERROR(__xludf.DUMMYFUNCTION("""COMPUTED_VALUE"""),"Titonium The Destroyer")</f>
        <v>Titonium The Destroyer</v>
      </c>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t="str">
        <f>IFERROR(__xludf.DUMMYFUNCTION("""COMPUTED_VALUE"""),"Turkey Hydra")</f>
        <v>Turkey Hydra</v>
      </c>
      <c r="B283" s="103" t="str">
        <f>IFERROR(__xludf.DUMMYFUNCTION("""COMPUTED_VALUE"""),"https://cdna.artstation.com/p/assets/images/images/014/122/308/large/todd-ulrich-turkeyhydra.jpg?1542575910")</f>
        <v>https://cdna.artstation.com/p/assets/images/images/014/122/308/large/todd-ulrich-turkeyhydra.jpg?1542575910</v>
      </c>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t="str">
        <f>IFERROR(__xludf.DUMMYFUNCTION("""COMPUTED_VALUE"""),"Twilight Cultist")</f>
        <v>Twilight Cultist</v>
      </c>
      <c r="B284" s="103" t="str">
        <f>IFERROR(__xludf.DUMMYFUNCTION("""COMPUTED_VALUE"""),"https://i.pinimg.com/originals/b8/58/0f/b8580f986f78c3394c2544b8ef19f795.jpg")</f>
        <v>https://i.pinimg.com/originals/b8/58/0f/b8580f986f78c3394c2544b8ef19f795.jpg</v>
      </c>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t="str">
        <f>IFERROR(__xludf.DUMMYFUNCTION("""COMPUTED_VALUE"""),"Twilight Lord")</f>
        <v>Twilight Lord</v>
      </c>
      <c r="B285" s="103" t="str">
        <f>IFERROR(__xludf.DUMMYFUNCTION("""COMPUTED_VALUE"""),"https://i.pinimg.com/236x/a6/60/26/a6602664130618e7d2905cc1a9aa5524.jpg")</f>
        <v>https://i.pinimg.com/236x/a6/60/26/a6602664130618e7d2905cc1a9aa5524.jpg</v>
      </c>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t="str">
        <f>IFERROR(__xludf.DUMMYFUNCTION("""COMPUTED_VALUE"""),"Twilight Priest")</f>
        <v>Twilight Priest</v>
      </c>
      <c r="B286" s="103" t="str">
        <f>IFERROR(__xludf.DUMMYFUNCTION("""COMPUTED_VALUE"""),"https://i.pinimg.com/1200x/f9/ab/e0/f9abe02e9249c769200dcfd8b6bc9d7f.jpg")</f>
        <v>https://i.pinimg.com/1200x/f9/ab/e0/f9abe02e9249c769200dcfd8b6bc9d7f.jpg</v>
      </c>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t="str">
        <f>IFERROR(__xludf.DUMMYFUNCTION("""COMPUTED_VALUE"""),"Twilight Shadow")</f>
        <v>Twilight Shadow</v>
      </c>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t="str">
        <f>IFERROR(__xludf.DUMMYFUNCTION("""COMPUTED_VALUE"""),"Twilight Soldier")</f>
        <v>Twilight Soldier</v>
      </c>
      <c r="B288" s="103" t="str">
        <f>IFERROR(__xludf.DUMMYFUNCTION("""COMPUTED_VALUE"""),"https://imagedelivery.net/9sCnq8t6WEGNay0RAQNdvQ/UUID-cl90hbh9i7116979tqyhl7jt114/public")</f>
        <v>https://imagedelivery.net/9sCnq8t6WEGNay0RAQNdvQ/UUID-cl90hbh9i7116979tqyhl7jt114/public</v>
      </c>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t="str">
        <f>IFERROR(__xludf.DUMMYFUNCTION("""COMPUTED_VALUE"""),"Undead Dragon")</f>
        <v>Undead Dragon</v>
      </c>
      <c r="B289" s="103" t="str">
        <f>IFERROR(__xludf.DUMMYFUNCTION("""COMPUTED_VALUE"""),"https://i.pinimg.com/736x/1f/b8/0d/1fb80dce083393ee16874fcc04ccf1a5.jpg")</f>
        <v>https://i.pinimg.com/736x/1f/b8/0d/1fb80dce083393ee16874fcc04ccf1a5.jpg</v>
      </c>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t="str">
        <f>IFERROR(__xludf.DUMMYFUNCTION("""COMPUTED_VALUE"""),"Vampire")</f>
        <v>Vampire</v>
      </c>
      <c r="B290" s="103" t="str">
        <f>IFERROR(__xludf.DUMMYFUNCTION("""COMPUTED_VALUE"""),"https://i.pinimg.com/originals/fe/04/c6/fe04c6a7848d56cc3a8b49c6b8ed1321.jpg")</f>
        <v>https://i.pinimg.com/originals/fe/04/c6/fe04c6a7848d56cc3a8b49c6b8ed1321.jpg</v>
      </c>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t="str">
        <f>IFERROR(__xludf.DUMMYFUNCTION("""COMPUTED_VALUE"""),"Vampire King")</f>
        <v>Vampire King</v>
      </c>
      <c r="B291" s="103" t="str">
        <f>IFERROR(__xludf.DUMMYFUNCTION("""COMPUTED_VALUE"""),"https://cdna.artstation.com/p/assets/images/images/010/746/680/large/mady-madnoliet-king-vampire-madnoliet.jpg?1526001189")</f>
        <v>https://cdna.artstation.com/p/assets/images/images/010/746/680/large/mady-madnoliet-king-vampire-madnoliet.jpg?1526001189</v>
      </c>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t="str">
        <f>IFERROR(__xludf.DUMMYFUNCTION("""COMPUTED_VALUE"""),"Vampire Lord")</f>
        <v>Vampire Lord</v>
      </c>
      <c r="B292" s="103" t="str">
        <f>IFERROR(__xludf.DUMMYFUNCTION("""COMPUTED_VALUE"""),"https://i.pinimg.com/1200x/31/ae/39/31ae39c3607ff73113667a0bc2649525.jpg")</f>
        <v>https://i.pinimg.com/1200x/31/ae/39/31ae39c3607ff73113667a0bc2649525.jpg</v>
      </c>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t="str">
        <f>IFERROR(__xludf.DUMMYFUNCTION("""COMPUTED_VALUE"""),"Vampire Soldier")</f>
        <v>Vampire Soldier</v>
      </c>
      <c r="B293" s="103" t="str">
        <f>IFERROR(__xludf.DUMMYFUNCTION("""COMPUTED_VALUE"""),"https://t2.gstatic.com/images?q=tbn:ANd9GcTervEpkuaIqPKLZx6Uyih76TtQT1k1RqRQFEavQcsbLzsd7tgs")</f>
        <v>https://t2.gstatic.com/images?q=tbn:ANd9GcTervEpkuaIqPKLZx6Uyih76TtQT1k1RqRQFEavQcsbLzsd7tgs</v>
      </c>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t="str">
        <f>IFERROR(__xludf.DUMMYFUNCTION("""COMPUTED_VALUE"""),"Volcanic Lava Dragon")</f>
        <v>Volcanic Lava Dragon</v>
      </c>
      <c r="B294" s="103" t="str">
        <f>IFERROR(__xludf.DUMMYFUNCTION("""COMPUTED_VALUE"""),"https://t3.gstatic.com/images?q=tbn:ANd9GcRgeJ0ffNruMUUA4aiZPb8LFAQse26ucnAZm_q3oiEaF-6jKIJ-")</f>
        <v>https://t3.gstatic.com/images?q=tbn:ANd9GcRgeJ0ffNruMUUA4aiZPb8LFAQse26ucnAZm_q3oiEaF-6jKIJ-</v>
      </c>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t="str">
        <f>IFERROR(__xludf.DUMMYFUNCTION("""COMPUTED_VALUE"""),"Volcanic Serpent")</f>
        <v>Volcanic Serpent</v>
      </c>
      <c r="B295" s="103" t="str">
        <f>IFERROR(__xludf.DUMMYFUNCTION("""COMPUTED_VALUE"""),"https://t2.gstatic.com/images?q=tbn:ANd9GcR7aa9ZNyJs1GbKTh3e8z6LvGefqepRldGaocUBtnsqd4yK42wH")</f>
        <v>https://t2.gstatic.com/images?q=tbn:ANd9GcR7aa9ZNyJs1GbKTh3e8z6LvGefqepRldGaocUBtnsqd4yK42wH</v>
      </c>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t="str">
        <f>IFERROR(__xludf.DUMMYFUNCTION("""COMPUTED_VALUE"""),"Volcanic Void Dragon")</f>
        <v>Volcanic Void Dragon</v>
      </c>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t="str">
        <f>IFERROR(__xludf.DUMMYFUNCTION("""COMPUTED_VALUE"""),"Voodoo Shameness")</f>
        <v>Voodoo Shameness</v>
      </c>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t="str">
        <f>IFERROR(__xludf.DUMMYFUNCTION("""COMPUTED_VALUE"""),"Wandering Pumpkin")</f>
        <v>Wandering Pumpkin</v>
      </c>
      <c r="B298" s="103" t="str">
        <f>IFERROR(__xludf.DUMMYFUNCTION("""COMPUTED_VALUE"""),"https://cdna.artstation.com/p/assets/images/images/027/215/736/large/geoffrey-orban-the-wandering-pumpkin.jpg?1590925896")</f>
        <v>https://cdna.artstation.com/p/assets/images/images/027/215/736/large/geoffrey-orban-the-wandering-pumpkin.jpg?1590925896</v>
      </c>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t="str">
        <f>IFERROR(__xludf.DUMMYFUNCTION("""COMPUTED_VALUE"""),"Werewolf")</f>
        <v>Werewolf</v>
      </c>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t="str">
        <f>IFERROR(__xludf.DUMMYFUNCTION("""COMPUTED_VALUE"""),"Werewolf King")</f>
        <v>Werewolf King</v>
      </c>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t="str">
        <f>IFERROR(__xludf.DUMMYFUNCTION("""COMPUTED_VALUE"""),"White Soul")</f>
        <v>White Soul</v>
      </c>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t="str">
        <f>IFERROR(__xludf.DUMMYFUNCTION("""COMPUTED_VALUE"""),"Witch")</f>
        <v>Witch</v>
      </c>
      <c r="B302" s="103" t="str">
        <f>IFERROR(__xludf.DUMMYFUNCTION("""COMPUTED_VALUE"""),"https://i.pinimg.com/originals/96/d0/79/96d079624c3825a228164df27e6fad94.jpg")</f>
        <v>https://i.pinimg.com/originals/96/d0/79/96d079624c3825a228164df27e6fad94.jpg</v>
      </c>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t="str">
        <f>IFERROR(__xludf.DUMMYFUNCTION("""COMPUTED_VALUE"""),"Yellow Soul")</f>
        <v>Yellow Soul</v>
      </c>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t="str">
        <f>IFERROR(__xludf.DUMMYFUNCTION("""COMPUTED_VALUE"""),"Zombie")</f>
        <v>Zombie</v>
      </c>
      <c r="B304" s="103" t="str">
        <f>IFERROR(__xludf.DUMMYFUNCTION("""COMPUTED_VALUE"""),"https://64.media.tumblr.com/20bc48903f3923018943e60751ef3331/tumblr_p3elalf65g1tibuboo1_1280.jpg")</f>
        <v>https://64.media.tumblr.com/20bc48903f3923018943e60751ef3331/tumblr_p3elalf65g1tibuboo1_1280.jpg</v>
      </c>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t="str">
        <f>IFERROR(__xludf.DUMMYFUNCTION("""COMPUTED_VALUE"""),"Zombie Whale Shark")</f>
        <v>Zombie Whale Shark</v>
      </c>
      <c r="B305" s="103" t="str">
        <f>IFERROR(__xludf.DUMMYFUNCTION("""COMPUTED_VALUE"""),"https://cdnb.artstation.com/p/assets/images/images/007/383/319/large/caio-monteiro-pzo9099-zombie-shark-fight.jpg")</f>
        <v>https://cdnb.artstation.com/p/assets/images/images/007/383/319/large/caio-monteiro-pzo9099-zombie-shark-fight.jpg</v>
      </c>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t="str">
        <f>IFERROR(__xludf.DUMMYFUNCTION("""COMPUTED_VALUE"""),"Pirate")</f>
        <v>Pirate</v>
      </c>
      <c r="B306" s="103" t="str">
        <f>IFERROR(__xludf.DUMMYFUNCTION("""COMPUTED_VALUE"""),"https://images-wixmp-ed30a86b8c4ca887773594c2.wixmp.com/f/05ad84d0-a11b-49fd-b166-d538ce123c84/dg01sjb-48905292-f947-4bd8-b40c-295e6bbdb287.png/v1/fill/w_1024,h_1024,q_80,strp/pirate_by_stormfantasyart_dg01sjb-fullview.jpg?token=eyJ0eXAiOiJKV1QiLCJhbGciOi"&amp;"JIUzI1NiJ9.eyJzdWIiOiJ1cm46YXBwOjdlMGQxODg5ODIyNjQzNzNhNWYwZDQxNWVhMGQyNmUwIiwiaXNzIjoidXJuOmFwcDo3ZTBkMTg4OTgyMjY0MzczYTVmMGQ0MTVlYTBkMjZlMCIsIm9iaiI6W1t7InBhdGgiOiJcL2ZcLzA1YWQ4NGQwLWExMWItNDlmZC1iMTY2LWQ1MzhjZTEyM2M4NFwvZGcwMXNqYi00ODkwNTI5Mi1mOTQ3LTRi"&amp;"ZDgtYjQwYy0yOTVlNmJiZGIyODcucG5nIiwiaGVpZ2h0IjoiPD0xMDI0Iiwid2lkdGgiOiI8PTEwMjQifV1dLCJhdWQiOlsidXJuOnNlcnZpY2U6aW1hZ2Uud2F0ZXJtYXJrIl0sIndtayI6eyJwYXRoIjoiXC93bVwvMDVhZDg0ZDAtYTExYi00OWZkLWIxNjYtZDUzOGNlMTIzYzg0XC9zdG9ybWZhbnRhc3lhcnQtNC5wbmciLCJvcGFjaXR"&amp;"5Ijo5NSwicHJvcG9ydGlvbnMiOjAuNDUsImdyYXZpdHkiOiJjZW50ZXIifX0.zaYKz0ifdxsXpCl6xxAXqnhLHQ_P4zPltAam7sy7o5I")</f>
        <v>https://images-wixmp-ed30a86b8c4ca887773594c2.wixmp.com/f/05ad84d0-a11b-49fd-b166-d538ce123c84/dg01sjb-48905292-f947-4bd8-b40c-295e6bbdb287.png/v1/fill/w_1024,h_1024,q_80,strp/pirate_by_stormfantasyart_dg01sjb-fullview.jpg?token=eyJ0eXAiOiJKV1QiLCJhbGciOiJIUzI1NiJ9.eyJzdWIiOiJ1cm46YXBwOjdlMGQxODg5ODIyNjQzNzNhNWYwZDQxNWVhMGQyNmUwIiwiaXNzIjoidXJuOmFwcDo3ZTBkMTg4OTgyMjY0MzczYTVmMGQ0MTVlYTBkMjZlMCIsIm9iaiI6W1t7InBhdGgiOiJcL2ZcLzA1YWQ4NGQwLWExMWItNDlmZC1iMTY2LWQ1MzhjZTEyM2M4NFwvZGcwMXNqYi00ODkwNTI5Mi1mOTQ3LTRiZDgtYjQwYy0yOTVlNmJiZGIyODcucG5nIiwiaGVpZ2h0IjoiPD0xMDI0Iiwid2lkdGgiOiI8PTEwMjQifV1dLCJhdWQiOlsidXJuOnNlcnZpY2U6aW1hZ2Uud2F0ZXJtYXJrIl0sIndtayI6eyJwYXRoIjoiXC93bVwvMDVhZDg0ZDAtYTExYi00OWZkLWIxNjYtZDUzOGNlMTIzYzg0XC9zdG9ybWZhbnRhc3lhcnQtNC5wbmciLCJvcGFjaXR5Ijo5NSwicHJvcG9ydGlvbnMiOjAuNDUsImdyYXZpdHkiOiJjZW50ZXIifX0.zaYKz0ifdxsXpCl6xxAXqnhLHQ_P4zPltAam7sy7o5I</v>
      </c>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t="str">
        <f>IFERROR(__xludf.DUMMYFUNCTION("""COMPUTED_VALUE"""),"Pirate Captain")</f>
        <v>Pirate Captain</v>
      </c>
      <c r="B307" s="103" t="str">
        <f>IFERROR(__xludf.DUMMYFUNCTION("""COMPUTED_VALUE"""),"https://ih1.redbubble.net/image.4672479412.6233/flat,750x,075,f-pad,750x1000,f8f8f8.jpg")</f>
        <v>https://ih1.redbubble.net/image.4672479412.6233/flat,750x,075,f-pad,750x1000,f8f8f8.jpg</v>
      </c>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t="str">
        <f>IFERROR(__xludf.DUMMYFUNCTION("""COMPUTED_VALUE"""),"The Crystal King")</f>
        <v>The Crystal King</v>
      </c>
      <c r="B308" s="103" t="str">
        <f>IFERROR(__xludf.DUMMYFUNCTION("""COMPUTED_VALUE"""),"https://cdn.discordapp.com/attachments/1035710302953676902/1224151174286934127/document.png?ex=661c729f&amp;is=6609fd9f&amp;hm=4591dffda75c2002aa7a78b081f180602a97c81b0430691f38660469c477b80b&amp;")</f>
        <v>https://cdn.discordapp.com/attachments/1035710302953676902/1224151174286934127/document.png?ex=661c729f&amp;is=6609fd9f&amp;hm=4591dffda75c2002aa7a78b081f180602a97c81b0430691f38660469c477b80b&amp;</v>
      </c>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t="str">
        <f>IFERROR(__xludf.DUMMYFUNCTION("""COMPUTED_VALUE"""),"Water Elemental")</f>
        <v>Water Elemental</v>
      </c>
      <c r="B309" s="103" t="str">
        <f>IFERROR(__xludf.DUMMYFUNCTION("""COMPUTED_VALUE"""),"https://i.pinimg.com/originals/d3/ea/57/d3ea5774347adec1db07fc99e3f5beab.jpg")</f>
        <v>https://i.pinimg.com/originals/d3/ea/57/d3ea5774347adec1db07fc99e3f5beab.jpg</v>
      </c>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t="str">
        <f>IFERROR(__xludf.DUMMYFUNCTION("""COMPUTED_VALUE"""),"Armored Car")</f>
        <v>Armored Car</v>
      </c>
      <c r="B310" s="103" t="str">
        <f>IFERROR(__xludf.DUMMYFUNCTION("""COMPUTED_VALUE"""),"https://storage.googleapis.com/pai-images/6bb2782048234a0a9295908b28fc3cca.jpeg")</f>
        <v>https://storage.googleapis.com/pai-images/6bb2782048234a0a9295908b28fc3cca.jpeg</v>
      </c>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t="str">
        <f>IFERROR(__xludf.DUMMYFUNCTION("""COMPUTED_VALUE"""),"Battleship")</f>
        <v>Battleship</v>
      </c>
      <c r="B311" s="103" t="str">
        <f>IFERROR(__xludf.DUMMYFUNCTION("""COMPUTED_VALUE"""),"https://cdna.artstation.com/p/assets/images/images/025/338/878/large/-5-3-11-sea.jpg?1585495316")</f>
        <v>https://cdna.artstation.com/p/assets/images/images/025/338/878/large/-5-3-11-sea.jpg?1585495316</v>
      </c>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t="str">
        <f>IFERROR(__xludf.DUMMYFUNCTION("""COMPUTED_VALUE"""),"Galleon")</f>
        <v>Galleon</v>
      </c>
      <c r="B312" s="103" t="str">
        <f>IFERROR(__xludf.DUMMYFUNCTION("""COMPUTED_VALUE"""),"https://i.pinimg.com/originals/02/76/7d/02767db0f7f06962782b1357d0243d63.jpg")</f>
        <v>https://i.pinimg.com/originals/02/76/7d/02767db0f7f06962782b1357d0243d63.jpg</v>
      </c>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t="str">
        <f>IFERROR(__xludf.DUMMYFUNCTION("""COMPUTED_VALUE"""),"Tank")</f>
        <v>Tank</v>
      </c>
      <c r="B313" s="103" t="str">
        <f>IFERROR(__xludf.DUMMYFUNCTION("""COMPUTED_VALUE"""),"https://pbs.twimg.com/media/EkcGz7gXgAEoR6j.jpg:large")</f>
        <v>https://pbs.twimg.com/media/EkcGz7gXgAEoR6j.jpg:large</v>
      </c>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t="str">
        <f>IFERROR(__xludf.DUMMYFUNCTION("""COMPUTED_VALUE"""),"ATV")</f>
        <v>ATV</v>
      </c>
      <c r="B314" s="103" t="str">
        <f>IFERROR(__xludf.DUMMYFUNCTION("""COMPUTED_VALUE"""),"https://cdnb.artstation.com/p/assets/images/images/031/844/267/large/mikael-eriksson-concept-1.jpg?1604761294")</f>
        <v>https://cdnb.artstation.com/p/assets/images/images/031/844/267/large/mikael-eriksson-concept-1.jpg?1604761294</v>
      </c>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t="str">
        <f>IFERROR(__xludf.DUMMYFUNCTION("""COMPUTED_VALUE"""),"Submarine")</f>
        <v>Submarine</v>
      </c>
      <c r="B315" s="103" t="str">
        <f>IFERROR(__xludf.DUMMYFUNCTION("""COMPUTED_VALUE"""),"https://encrypted-tbn2.gstatic.com/images?q=tbn:ANd9GcTfs-uxwwBY7ENHEo3mLQ1r8UnDSeeH_ioZ1UCSqwL55Uv8q6Lp")</f>
        <v>https://encrypted-tbn2.gstatic.com/images?q=tbn:ANd9GcTfs-uxwwBY7ENHEo3mLQ1r8UnDSeeH_ioZ1UCSqwL55Uv8q6Lp</v>
      </c>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t="str">
        <f>IFERROR(__xludf.DUMMYFUNCTION("""COMPUTED_VALUE"""),"Scarecrow Lord")</f>
        <v>Scarecrow Lord</v>
      </c>
      <c r="B316" s="103" t="str">
        <f>IFERROR(__xludf.DUMMYFUNCTION("""COMPUTED_VALUE"""),"https://i.pinimg.com/736x/b4/ee/2e/b4ee2e9bc28136b9b6c3e98fa062434c.jpg")</f>
        <v>https://i.pinimg.com/736x/b4/ee/2e/b4ee2e9bc28136b9b6c3e98fa062434c.jpg</v>
      </c>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t="str">
        <f>IFERROR(__xludf.DUMMYFUNCTION("""COMPUTED_VALUE"""),"Vermouth The Sea Monkey King")</f>
        <v>Vermouth The Sea Monkey King</v>
      </c>
      <c r="B317" s="103" t="str">
        <f>IFERROR(__xludf.DUMMYFUNCTION("""COMPUTED_VALUE"""),"https://i.pinimg.com/originals/62/19/04/6219046c7bcc34982211521df3eecc7b.jpg")</f>
        <v>https://i.pinimg.com/originals/62/19/04/6219046c7bcc34982211521df3eecc7b.jpg</v>
      </c>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t="str">
        <f>IFERROR(__xludf.DUMMYFUNCTION("""COMPUTED_VALUE"""),"Bashe The Cursed Sepent")</f>
        <v>Bashe The Cursed Sepent</v>
      </c>
      <c r="B318" s="103" t="str">
        <f>IFERROR(__xludf.DUMMYFUNCTION("""COMPUTED_VALUE"""),"https://i.pinimg.com/736x/c7/e6/53/c7e653ef9076c5bf5fc5691799816cab.jpg")</f>
        <v>https://i.pinimg.com/736x/c7/e6/53/c7e653ef9076c5bf5fc5691799816cab.jpg</v>
      </c>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t="str">
        <f>IFERROR(__xludf.DUMMYFUNCTION("""COMPUTED_VALUE"""),"Grash, The Oni of Fiji")</f>
        <v>Grash, The Oni of Fiji</v>
      </c>
      <c r="B319" s="103" t="str">
        <f>IFERROR(__xludf.DUMMYFUNCTION("""COMPUTED_VALUE"""),"https://storage.googleapis.com/pai-images/edf09ada6ec947a5b6723571d13eef2f.jpeg")</f>
        <v>https://storage.googleapis.com/pai-images/edf09ada6ec947a5b6723571d13eef2f.jpeg</v>
      </c>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t="str">
        <f>IFERROR(__xludf.DUMMYFUNCTION("""COMPUTED_VALUE"""),"The Black Tortoise ")</f>
        <v>The Black Tortoise </v>
      </c>
      <c r="B320" s="103" t="str">
        <f>IFERROR(__xludf.DUMMYFUNCTION("""COMPUTED_VALUE"""),"https://i.pinimg.com/originals/4c/d9/48/4cd948266c0fbbadbcc097fc606729b5.png")</f>
        <v>https://i.pinimg.com/originals/4c/d9/48/4cd948266c0fbbadbcc097fc606729b5.png</v>
      </c>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t="str">
        <f>IFERROR(__xludf.DUMMYFUNCTION("""COMPUTED_VALUE"""),"Ninja of Bashe")</f>
        <v>Ninja of Bashe</v>
      </c>
      <c r="B321" s="103" t="str">
        <f>IFERROR(__xludf.DUMMYFUNCTION("""COMPUTED_VALUE"""),"https://images.nightcafe.studio/jobs/j6ZtMxVEc71KjusyG9c7/j6ZtMxVEc71KjusyG9c7--1--pbs6c.jpg?tr=w-1600,c-at_max")</f>
        <v>https://images.nightcafe.studio/jobs/j6ZtMxVEc71KjusyG9c7/j6ZtMxVEc71KjusyG9c7--1--pbs6c.jpg?tr=w-1600,c-at_max</v>
      </c>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t="str">
        <f>IFERROR(__xludf.DUMMYFUNCTION("""COMPUTED_VALUE"""),"PyroShell")</f>
        <v>PyroShell</v>
      </c>
      <c r="B322" s="103" t="str">
        <f>IFERROR(__xludf.DUMMYFUNCTION("""COMPUTED_VALUE"""),"https://static.wikia.nocookie.net/forgottenrealms/images/b/bb/GiantClam-2e.png/revision/latest?cb=20210124191709")</f>
        <v>https://static.wikia.nocookie.net/forgottenrealms/images/b/bb/GiantClam-2e.png/revision/latest?cb=20210124191709</v>
      </c>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t="str">
        <f>IFERROR(__xludf.DUMMYFUNCTION("""COMPUTED_VALUE"""),"Dragonscale Guard (Tier III)")</f>
        <v>Dragonscale Guard (Tier III)</v>
      </c>
      <c r="B323" s="103" t="str">
        <f>IFERROR(__xludf.DUMMYFUNCTION("""COMPUTED_VALUE"""),"https://i.pinimg.com/originals/13/30/47/13304738fa786e503523576be09292f1.jpg")</f>
        <v>https://i.pinimg.com/originals/13/30/47/13304738fa786e503523576be09292f1.jpg</v>
      </c>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t="str">
        <f>IFERROR(__xludf.DUMMYFUNCTION("""COMPUTED_VALUE"""),"Dragonscale Guard (Tier II)")</f>
        <v>Dragonscale Guard (Tier II)</v>
      </c>
      <c r="B324" s="103" t="str">
        <f>IFERROR(__xludf.DUMMYFUNCTION("""COMPUTED_VALUE"""),"https://i.pinimg.com/originals/f3/85/1e/f3851e505cda95727a81dedf90a207e5.jpg")</f>
        <v>https://i.pinimg.com/originals/f3/85/1e/f3851e505cda95727a81dedf90a207e5.jpg</v>
      </c>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t="str">
        <f>IFERROR(__xludf.DUMMYFUNCTION("""COMPUTED_VALUE"""),"Dragonscale Guard (Tier I)")</f>
        <v>Dragonscale Guard (Tier I)</v>
      </c>
      <c r="B325" s="103" t="str">
        <f>IFERROR(__xludf.DUMMYFUNCTION("""COMPUTED_VALUE"""),"https://i.pinimg.com/564x/be/fa/e5/befae52a354f447b522a211ea7eb8172.jpg")</f>
        <v>https://i.pinimg.com/564x/be/fa/e5/befae52a354f447b522a211ea7eb8172.jpg</v>
      </c>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t="str">
        <f>IFERROR(__xludf.DUMMYFUNCTION("""COMPUTED_VALUE"""),"Trap: Pendulum")</f>
        <v>Trap: Pendulum</v>
      </c>
      <c r="B326" s="103" t="str">
        <f>IFERROR(__xludf.DUMMYFUNCTION("""COMPUTED_VALUE"""),"https://wrathofzombie.files.wordpress.com/2017/04/trap-3.jpg?w=640")</f>
        <v>https://wrathofzombie.files.wordpress.com/2017/04/trap-3.jpg?w=640</v>
      </c>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t="str">
        <f>IFERROR(__xludf.DUMMYFUNCTION("""COMPUTED_VALUE"""),"Trap: Moving Saw Blade")</f>
        <v>Trap: Moving Saw Blade</v>
      </c>
      <c r="B327" s="103" t="str">
        <f>IFERROR(__xludf.DUMMYFUNCTION("""COMPUTED_VALUE"""),"https://t3.gstatic.com/images?q=tbn:ANd9GcSqdtU2YXhHrYbRMCsknLxRgcACFvgVXNv7Lza5ph6qt48-6fdw")</f>
        <v>https://t3.gstatic.com/images?q=tbn:ANd9GcSqdtU2YXhHrYbRMCsknLxRgcACFvgVXNv7Lza5ph6qt48-6fdw</v>
      </c>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t="str">
        <f>IFERROR(__xludf.DUMMYFUNCTION("""COMPUTED_VALUE"""),"Trap: Bear Trap")</f>
        <v>Trap: Bear Trap</v>
      </c>
      <c r="B328" s="103" t="str">
        <f>IFERROR(__xludf.DUMMYFUNCTION("""COMPUTED_VALUE"""),"https://i.pinimg.com/originals/c6/01/58/c60158208dcd2a4a60a3a546aa2591f5.png")</f>
        <v>https://i.pinimg.com/originals/c6/01/58/c60158208dcd2a4a60a3a546aa2591f5.png</v>
      </c>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t="str">
        <f>IFERROR(__xludf.DUMMYFUNCTION("""COMPUTED_VALUE"""),"Trap: Pitfall")</f>
        <v>Trap: Pitfall</v>
      </c>
      <c r="B329" s="103" t="str">
        <f>IFERROR(__xludf.DUMMYFUNCTION("""COMPUTED_VALUE"""),"https://static.wikia.nocookie.net/witcher/images/7/76/Gwent_cardart_scoiatael_pit_trap.jpg/revision/latest?cb=20180404213442")</f>
        <v>https://static.wikia.nocookie.net/witcher/images/7/76/Gwent_cardart_scoiatael_pit_trap.jpg/revision/latest?cb=20180404213442</v>
      </c>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t="str">
        <f>IFERROR(__xludf.DUMMYFUNCTION("""COMPUTED_VALUE"""),"Trap: Flaming Arrows")</f>
        <v>Trap: Flaming Arrows</v>
      </c>
      <c r="B330" s="103" t="str">
        <f>IFERROR(__xludf.DUMMYFUNCTION("""COMPUTED_VALUE"""),"https://i.pinimg.com/originals/fc/76/eb/fc76eb240fbedf68a06eda0c2cbb6be8.png")</f>
        <v>https://i.pinimg.com/originals/fc/76/eb/fc76eb240fbedf68a06eda0c2cbb6be8.png</v>
      </c>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t="str">
        <f>IFERROR(__xludf.DUMMYFUNCTION("""COMPUTED_VALUE"""),"Trap: Bolder")</f>
        <v>Trap: Bolder</v>
      </c>
      <c r="B331" s="103" t="str">
        <f>IFERROR(__xludf.DUMMYFUNCTION("""COMPUTED_VALUE"""),"https://i.pinimg.com/originals/13/d0/6b/13d06b363b2ea1285f0a3e0b25346da6.jpg")</f>
        <v>https://i.pinimg.com/originals/13/d0/6b/13d06b363b2ea1285f0a3e0b25346da6.jpg</v>
      </c>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t="str">
        <f>IFERROR(__xludf.DUMMYFUNCTION("""COMPUTED_VALUE"""),"Trap: Mimic")</f>
        <v>Trap: Mimic</v>
      </c>
      <c r="B332" s="103" t="str">
        <f>IFERROR(__xludf.DUMMYFUNCTION("""COMPUTED_VALUE"""),"https://images-wixmp-ed30a86b8c4ca887773594c2.wixmp.com/f/29d84ce3-fd4f-4b61-b7ec-9d8057319ae1/deur7j3-8013c49f-3ce9-4474-9fe2-64a910d2f643.jpg?token=eyJ0eXAiOiJKV1QiLCJhbGciOiJIUzI1NiJ9.eyJzdWIiOiJ1cm46YXBwOjdlMGQxODg5ODIyNjQzNzNhNWYwZDQxNWVhMGQyNmUwIiwi"&amp;"aXNzIjoidXJuOmFwcDo3ZTBkMTg4OTgyMjY0MzczYTVmMGQ0MTVlYTBkMjZlMCIsIm9iaiI6W1t7InBhdGgiOiJcL2ZcLzI5ZDg0Y2UzLWZkNGYtNGI2MS1iN2VjLTlkODA1NzMxOWFlMVwvZGV1cjdqMy04MDEzYzQ5Zi0zY2U5LTQ0NzQtOWZlMi02NGE5MTBkMmY2NDMuanBnIn1dXSwiYXVkIjpbInVybjpzZXJ2aWNlOmZpbGUuZG93bmx"&amp;"vYWQiXX0.eFbWC0842eccrweOiNJpb3E_j8fGuSW8FLj1CIW7mWU")</f>
        <v>https://images-wixmp-ed30a86b8c4ca887773594c2.wixmp.com/f/29d84ce3-fd4f-4b61-b7ec-9d8057319ae1/deur7j3-8013c49f-3ce9-4474-9fe2-64a910d2f643.jpg?token=eyJ0eXAiOiJKV1QiLCJhbGciOiJIUzI1NiJ9.eyJzdWIiOiJ1cm46YXBwOjdlMGQxODg5ODIyNjQzNzNhNWYwZDQxNWVhMGQyNmUwIiwiaXNzIjoidXJuOmFwcDo3ZTBkMTg4OTgyMjY0MzczYTVmMGQ0MTVlYTBkMjZlMCIsIm9iaiI6W1t7InBhdGgiOiJcL2ZcLzI5ZDg0Y2UzLWZkNGYtNGI2MS1iN2VjLTlkODA1NzMxOWFlMVwvZGV1cjdqMy04MDEzYzQ5Zi0zY2U5LTQ0NzQtOWZlMi02NGE5MTBkMmY2NDMuanBnIn1dXSwiYXVkIjpbInVybjpzZXJ2aWNlOmZpbGUuZG93bmxvYWQiXX0.eFbWC0842eccrweOiNJpb3E_j8fGuSW8FLj1CIW7mWU</v>
      </c>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t="str">
        <f>IFERROR(__xludf.DUMMYFUNCTION("""COMPUTED_VALUE"""),"Mimic (Mob)")</f>
        <v>Mimic (Mob)</v>
      </c>
      <c r="B333" s="103" t="str">
        <f>IFERROR(__xludf.DUMMYFUNCTION("""COMPUTED_VALUE"""),"https://images-wixmp-ed30a86b8c4ca887773594c2.wixmp.com/f/29d84ce3-fd4f-4b61-b7ec-9d8057319ae1/deur7j3-8013c49f-3ce9-4474-9fe2-64a910d2f643.jpg?token=eyJ0eXAiOiJKV1QiLCJhbGciOiJIUzI1NiJ9.eyJzdWIiOiJ1cm46YXBwOjdlMGQxODg5ODIyNjQzNzNhNWYwZDQxNWVhMGQyNmUwIiwi"&amp;"aXNzIjoidXJuOmFwcDo3ZTBkMTg4OTgyMjY0MzczYTVmMGQ0MTVlYTBkMjZlMCIsIm9iaiI6W1t7InBhdGgiOiJcL2ZcLzI5ZDg0Y2UzLWZkNGYtNGI2MS1iN2VjLTlkODA1NzMxOWFlMVwvZGV1cjdqMy04MDEzYzQ5Zi0zY2U5LTQ0NzQtOWZlMi02NGE5MTBkMmY2NDMuanBnIn1dXSwiYXVkIjpbInVybjpzZXJ2aWNlOmZpbGUuZG93bmx"&amp;"vYWQiXX0.eFbWC0842eccrweOiNJpb3E_j8fGuSW8FLj1CIW7mWU")</f>
        <v>https://images-wixmp-ed30a86b8c4ca887773594c2.wixmp.com/f/29d84ce3-fd4f-4b61-b7ec-9d8057319ae1/deur7j3-8013c49f-3ce9-4474-9fe2-64a910d2f643.jpg?token=eyJ0eXAiOiJKV1QiLCJhbGciOiJIUzI1NiJ9.eyJzdWIiOiJ1cm46YXBwOjdlMGQxODg5ODIyNjQzNzNhNWYwZDQxNWVhMGQyNmUwIiwiaXNzIjoidXJuOmFwcDo3ZTBkMTg4OTgyMjY0MzczYTVmMGQ0MTVlYTBkMjZlMCIsIm9iaiI6W1t7InBhdGgiOiJcL2ZcLzI5ZDg0Y2UzLWZkNGYtNGI2MS1iN2VjLTlkODA1NzMxOWFlMVwvZGV1cjdqMy04MDEzYzQ5Zi0zY2U5LTQ0NzQtOWZlMi02NGE5MTBkMmY2NDMuanBnIn1dXSwiYXVkIjpbInVybjpzZXJ2aWNlOmZpbGUuZG93bmxvYWQiXX0.eFbWC0842eccrweOiNJpb3E_j8fGuSW8FLj1CIW7mWU</v>
      </c>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t="str">
        <f>IFERROR(__xludf.DUMMYFUNCTION("""COMPUTED_VALUE"""),"Puzzle: Floating Underground Sphere")</f>
        <v>Puzzle: Floating Underground Sphere</v>
      </c>
      <c r="B334" s="103" t="str">
        <f>IFERROR(__xludf.DUMMYFUNCTION("""COMPUTED_VALUE"""),"https://i.pinimg.com/736x/46/5b/bd/465bbd3507f912f82f99fcaebf503be8.jpg")</f>
        <v>https://i.pinimg.com/736x/46/5b/bd/465bbd3507f912f82f99fcaebf503be8.jpg</v>
      </c>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t="str">
        <f>IFERROR(__xludf.DUMMYFUNCTION("""COMPUTED_VALUE"""),"Puzzle: Locked Stone Platform Entrance")</f>
        <v>Puzzle: Locked Stone Platform Entrance</v>
      </c>
      <c r="B335" s="103" t="str">
        <f>IFERROR(__xludf.DUMMYFUNCTION("""COMPUTED_VALUE"""),"https://i.pinimg.com/564x/7a/55/e3/7a55e3a2ab970ecf3b971d8deea3cfef.jpg")</f>
        <v>https://i.pinimg.com/564x/7a/55/e3/7a55e3a2ab970ecf3b971d8deea3cfef.jpg</v>
      </c>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t="str">
        <f>IFERROR(__xludf.DUMMYFUNCTION("""COMPUTED_VALUE"""),"Puzzle: Mysterious Symbol")</f>
        <v>Puzzle: Mysterious Symbol</v>
      </c>
      <c r="B336" s="103" t="str">
        <f>IFERROR(__xludf.DUMMYFUNCTION("""COMPUTED_VALUE"""),"https://storage.googleapis.com/pai-images/f7202533c00d4df08331cee4f5dd4e96.jpeg")</f>
        <v>https://storage.googleapis.com/pai-images/f7202533c00d4df08331cee4f5dd4e96.jpeg</v>
      </c>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t="str">
        <f>IFERROR(__xludf.DUMMYFUNCTION("""COMPUTED_VALUE"""),"Puzzle: Ancient Stone Statue")</f>
        <v>Puzzle: Ancient Stone Statue</v>
      </c>
      <c r="B337" s="103" t="str">
        <f>IFERROR(__xludf.DUMMYFUNCTION("""COMPUTED_VALUE"""),"https://i.pinimg.com/564x/3c/f3/8f/3cf38ffaed451f14de36e5e1c8259794.jpg")</f>
        <v>https://i.pinimg.com/564x/3c/f3/8f/3cf38ffaed451f14de36e5e1c8259794.jpg</v>
      </c>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t="str">
        <f>IFERROR(__xludf.DUMMYFUNCTION("""COMPUTED_VALUE"""),"Puzzle: The Chosen One")</f>
        <v>Puzzle: The Chosen One</v>
      </c>
      <c r="B338" s="103" t="str">
        <f>IFERROR(__xludf.DUMMYFUNCTION("""COMPUTED_VALUE"""),"https://i.pinimg.com/564x/9b/2b/16/9b2b16e0c1ed056ec29603ff6eb0f722.jpg")</f>
        <v>https://i.pinimg.com/564x/9b/2b/16/9b2b16e0c1ed056ec29603ff6eb0f722.jpg</v>
      </c>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t="str">
        <f>IFERROR(__xludf.DUMMYFUNCTION("""COMPUTED_VALUE"""),"Mekanian ")</f>
        <v>Mekanian </v>
      </c>
      <c r="B339" s="103" t="str">
        <f>IFERROR(__xludf.DUMMYFUNCTION("""COMPUTED_VALUE"""),"https://i.pinimg.com/736x/6c/1c/da/6c1cda499d7fb2c1a07555bcffd498a6.jpg")</f>
        <v>https://i.pinimg.com/736x/6c/1c/da/6c1cda499d7fb2c1a07555bcffd498a6.jpg</v>
      </c>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t="str">
        <f>IFERROR(__xludf.DUMMYFUNCTION("""COMPUTED_VALUE"""),"Lesser tengu")</f>
        <v>Lesser tengu</v>
      </c>
      <c r="B340" s="103" t="str">
        <f>IFERROR(__xludf.DUMMYFUNCTION("""COMPUTED_VALUE"""),"https://static.wikia.nocookie.net/typemoon/images/6/6e/FGO_Tengu_sprite.webp/revision/latest?cb=20210308191230")</f>
        <v>https://static.wikia.nocookie.net/typemoon/images/6/6e/FGO_Tengu_sprite.webp/revision/latest?cb=20210308191230</v>
      </c>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t="str">
        <f>IFERROR(__xludf.DUMMYFUNCTION("""COMPUTED_VALUE"""),"Earth Wyrm")</f>
        <v>Earth Wyrm</v>
      </c>
      <c r="B341" s="103" t="str">
        <f>IFERROR(__xludf.DUMMYFUNCTION("""COMPUTED_VALUE"""),"https://mir-s3-cdn-cf.behance.net/project_modules/max_1200/bef8aa12303671.5628ebf194ba4.jpg")</f>
        <v>https://mir-s3-cdn-cf.behance.net/project_modules/max_1200/bef8aa12303671.5628ebf194ba4.jpg</v>
      </c>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t="str">
        <f>IFERROR(__xludf.DUMMYFUNCTION("""COMPUTED_VALUE"""),"Nature Wyrm")</f>
        <v>Nature Wyrm</v>
      </c>
      <c r="B342" s="103" t="str">
        <f>IFERROR(__xludf.DUMMYFUNCTION("""COMPUTED_VALUE"""),"https://i.pinimg.com/236x/b1/86/44/b186446fea6b47d9dac05c64424f28ac.jpg")</f>
        <v>https://i.pinimg.com/236x/b1/86/44/b186446fea6b47d9dac05c64424f28ac.jpg</v>
      </c>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t="str">
        <f>IFERROR(__xludf.DUMMYFUNCTION("""COMPUTED_VALUE"""),"Earth Golem")</f>
        <v>Earth Golem</v>
      </c>
      <c r="B343" s="103" t="str">
        <f>IFERROR(__xludf.DUMMYFUNCTION("""COMPUTED_VALUE"""),"https://i.pinimg.com/564x/ec/54/d4/ec54d43f3d053f1e77d6e1948f826815.jpg")</f>
        <v>https://i.pinimg.com/564x/ec/54/d4/ec54d43f3d053f1e77d6e1948f826815.jpg</v>
      </c>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t="str">
        <f>IFERROR(__xludf.DUMMYFUNCTION("""COMPUTED_VALUE"""),"Plague Doctor, Kaillon")</f>
        <v>Plague Doctor, Kaillon</v>
      </c>
      <c r="B344" s="103" t="str">
        <f>IFERROR(__xludf.DUMMYFUNCTION("""COMPUTED_VALUE"""),"https://cdn.discordapp.com/attachments/1146968765842608128/1192345466617208844/mWUZ1vitMtppVWRH9I4Q--1--ugmi5.png?ex=65b1f7bf&amp;is=659f82bf&amp;hm=d1a7abf6571358fc59fbc18ec2e7111046fc966638ac44aae53d2d8c29792b97&amp;")</f>
        <v>https://cdn.discordapp.com/attachments/1146968765842608128/1192345466617208844/mWUZ1vitMtppVWRH9I4Q--1--ugmi5.png?ex=65b1f7bf&amp;is=659f82bf&amp;hm=d1a7abf6571358fc59fbc18ec2e7111046fc966638ac44aae53d2d8c29792b97&amp;</v>
      </c>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t="str">
        <f>IFERROR(__xludf.DUMMYFUNCTION("""COMPUTED_VALUE"""),"Abstara Guard (Tier IIl)")</f>
        <v>Abstara Guard (Tier IIl)</v>
      </c>
      <c r="B346" s="103" t="str">
        <f>IFERROR(__xludf.DUMMYFUNCTION("""COMPUTED_VALUE"""),"https://wallpapercave.com/wp/wp3749161.jpg")</f>
        <v>https://wallpapercave.com/wp/wp3749161.jpg</v>
      </c>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t="str">
        <f>IFERROR(__xludf.DUMMYFUNCTION("""COMPUTED_VALUE"""),"Abstara Guard (Tier II)")</f>
        <v>Abstara Guard (Tier II)</v>
      </c>
      <c r="B347" s="103" t="str">
        <f>IFERROR(__xludf.DUMMYFUNCTION("""COMPUTED_VALUE"""),"https://i.pinimg.com/originals/3c/53/6d/3c536dd79738cb71451aa63b34b95b19.jpg")</f>
        <v>https://i.pinimg.com/originals/3c/53/6d/3c536dd79738cb71451aa63b34b95b19.jpg</v>
      </c>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t="str">
        <f>IFERROR(__xludf.DUMMYFUNCTION("""COMPUTED_VALUE"""),"Abstara  Guard (Tier l)")</f>
        <v>Abstara  Guard (Tier l)</v>
      </c>
      <c r="B348" s="103" t="str">
        <f>IFERROR(__xludf.DUMMYFUNCTION("""COMPUTED_VALUE"""),"https://i.pinimg.com/originals/1f/0a/a8/1f0aa89abab988ca17c0312be3c59b69.jpg")</f>
        <v>https://i.pinimg.com/originals/1f/0a/a8/1f0aa89abab988ca17c0312be3c59b69.jpg</v>
      </c>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t="str">
        <f>IFERROR(__xludf.DUMMYFUNCTION("""COMPUTED_VALUE"""),"Wolf")</f>
        <v>Wolf</v>
      </c>
      <c r="B349" s="103" t="str">
        <f>IFERROR(__xludf.DUMMYFUNCTION("""COMPUTED_VALUE"""),"https://images-wixmp-ed30a86b8c4ca887773594c2.wixmp.com/f/2e84ba6d-5dfa-4927-9f63-f3df9f2bf986/dgf01pv-a3d5fab5-e142-416d-bbd1-caf85a0ce929.jpg?token=eyJ0eXAiOiJKV1QiLCJhbGciOiJIUzI1NiJ9.eyJzdWIiOiJ1cm46YXBwOjdlMGQxODg5ODIyNjQzNzNhNWYwZDQxNWVhMGQyNmUwIiwi"&amp;"aXNzIjoidXJuOmFwcDo3ZTBkMTg4OTgyMjY0MzczYTVmMGQ0MTVlYTBkMjZlMCIsIm9iaiI6W1t7InBhdGgiOiJcL2ZcLzJlODRiYTZkLTVkZmEtNDkyNy05ZjYzLWYzZGY5ZjJiZjk4NlwvZGdmMDFwdi1hM2Q1ZmFiNS1lMTQyLTQxNmQtYmJkMS1jYWY4NWEwY2U5MjkuanBnIn1dXSwiYXVkIjpbInVybjpzZXJ2aWNlOmZpbGUuZG93bmx"&amp;"vYWQiXX0.oAE3glunFbfUUJC_VVNrouTvJMCHAsT3HK8a1UwjfO4")</f>
        <v>https://images-wixmp-ed30a86b8c4ca887773594c2.wixmp.com/f/2e84ba6d-5dfa-4927-9f63-f3df9f2bf986/dgf01pv-a3d5fab5-e142-416d-bbd1-caf85a0ce929.jpg?token=eyJ0eXAiOiJKV1QiLCJhbGciOiJIUzI1NiJ9.eyJzdWIiOiJ1cm46YXBwOjdlMGQxODg5ODIyNjQzNzNhNWYwZDQxNWVhMGQyNmUwIiwiaXNzIjoidXJuOmFwcDo3ZTBkMTg4OTgyMjY0MzczYTVmMGQ0MTVlYTBkMjZlMCIsIm9iaiI6W1t7InBhdGgiOiJcL2ZcLzJlODRiYTZkLTVkZmEtNDkyNy05ZjYzLWYzZGY5ZjJiZjk4NlwvZGdmMDFwdi1hM2Q1ZmFiNS1lMTQyLTQxNmQtYmJkMS1jYWY4NWEwY2U5MjkuanBnIn1dXSwiYXVkIjpbInVybjpzZXJ2aWNlOmZpbGUuZG93bmxvYWQiXX0.oAE3glunFbfUUJC_VVNrouTvJMCHAsT3HK8a1UwjfO4</v>
      </c>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t="str">
        <f>IFERROR(__xludf.DUMMYFUNCTION("""COMPUTED_VALUE"""),"Nereid")</f>
        <v>Nereid</v>
      </c>
      <c r="B350" s="103" t="str">
        <f>IFERROR(__xludf.DUMMYFUNCTION("""COMPUTED_VALUE"""),"https://i.pinimg.com/474x/4d/40/9e/4d409e459cd0fc809aecbb53aa96545a.jpg")</f>
        <v>https://i.pinimg.com/474x/4d/40/9e/4d409e459cd0fc809aecbb53aa96545a.jpg</v>
      </c>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t="str">
        <f>IFERROR(__xludf.DUMMYFUNCTION("""COMPUTED_VALUE"""),"Ancient Water Elemental")</f>
        <v>Ancient Water Elemental</v>
      </c>
      <c r="B351" s="103" t="str">
        <f>IFERROR(__xludf.DUMMYFUNCTION("""COMPUTED_VALUE"""),"https://i.pinimg.com/474x/9f/ab/d8/9fabd8a4ac75a62f28bed098d17108b0.jpg")</f>
        <v>https://i.pinimg.com/474x/9f/ab/d8/9fabd8a4ac75a62f28bed098d17108b0.jpg</v>
      </c>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t="str">
        <f>IFERROR(__xludf.DUMMYFUNCTION("""COMPUTED_VALUE"""),"Nature Elemental")</f>
        <v>Nature Elemental</v>
      </c>
      <c r="B352" s="103" t="str">
        <f>IFERROR(__xludf.DUMMYFUNCTION("""COMPUTED_VALUE"""),"https://i.pinimg.com/474x/b5/a3/d1/b5a3d1e7e05098c4f6a7cc341f8f153b.jpg")</f>
        <v>https://i.pinimg.com/474x/b5/a3/d1/b5a3d1e7e05098c4f6a7cc341f8f153b.jpg</v>
      </c>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t="str">
        <f>IFERROR(__xludf.DUMMYFUNCTION("""COMPUTED_VALUE"""),"Forest Elemental")</f>
        <v>Forest Elemental</v>
      </c>
      <c r="B353" s="103" t="str">
        <f>IFERROR(__xludf.DUMMYFUNCTION("""COMPUTED_VALUE"""),"https://i.pinimg.com/474x/72/91/b1/7291b1e19ece5715438544cbcfe6f43f.jpg")</f>
        <v>https://i.pinimg.com/474x/72/91/b1/7291b1e19ece5715438544cbcfe6f43f.jpg</v>
      </c>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t="str">
        <f>IFERROR(__xludf.DUMMYFUNCTION("""COMPUTED_VALUE"""),"Ancient Nature Elemental")</f>
        <v>Ancient Nature Elemental</v>
      </c>
      <c r="B354" s="103" t="str">
        <f>IFERROR(__xludf.DUMMYFUNCTION("""COMPUTED_VALUE"""),"https://i.pinimg.com/474x/5f/54/48/5f544872955490c434d50e85c990568c.jpg")</f>
        <v>https://i.pinimg.com/474x/5f/54/48/5f544872955490c434d50e85c990568c.jpg</v>
      </c>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t="str">
        <f>IFERROR(__xludf.DUMMYFUNCTION("""COMPUTED_VALUE"""),"Earth Elemental")</f>
        <v>Earth Elemental</v>
      </c>
      <c r="B355" s="103" t="str">
        <f>IFERROR(__xludf.DUMMYFUNCTION("""COMPUTED_VALUE"""),"https://i.pinimg.com/474x/b2/71/d0/b271d040b37496691d55ec2e506d9d58.jpg")</f>
        <v>https://i.pinimg.com/474x/b2/71/d0/b271d040b37496691d55ec2e506d9d58.jpg</v>
      </c>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t="str">
        <f>IFERROR(__xludf.DUMMYFUNCTION("""COMPUTED_VALUE"""),"Mountain Elemental")</f>
        <v>Mountain Elemental</v>
      </c>
      <c r="B356" s="103" t="str">
        <f>IFERROR(__xludf.DUMMYFUNCTION("""COMPUTED_VALUE"""),"https://i.pinimg.com/474x/c7/72/d0/c772d0ef098d4ba2fe2239568d147661.jpg")</f>
        <v>https://i.pinimg.com/474x/c7/72/d0/c772d0ef098d4ba2fe2239568d147661.jpg</v>
      </c>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t="str">
        <f>IFERROR(__xludf.DUMMYFUNCTION("""COMPUTED_VALUE"""),"Ancient Earth Elemental")</f>
        <v>Ancient Earth Elemental</v>
      </c>
      <c r="B357" s="103" t="str">
        <f>IFERROR(__xludf.DUMMYFUNCTION("""COMPUTED_VALUE"""),"https://i.pinimg.com/474x/02/f5/df/02f5df7b21b2d0c5a6f1d575e6ed22f2.jpg")</f>
        <v>https://i.pinimg.com/474x/02/f5/df/02f5df7b21b2d0c5a6f1d575e6ed22f2.jpg</v>
      </c>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t="str">
        <f>IFERROR(__xludf.DUMMYFUNCTION("""COMPUTED_VALUE"""),"Storm Elemental")</f>
        <v>Storm Elemental</v>
      </c>
      <c r="B358" s="103" t="str">
        <f>IFERROR(__xludf.DUMMYFUNCTION("""COMPUTED_VALUE"""),"https://i.pinimg.com/474x/73/1d/41/731d41d0d8e667bcd892067f8dd905b9.jpg")</f>
        <v>https://i.pinimg.com/474x/73/1d/41/731d41d0d8e667bcd892067f8dd905b9.jpg</v>
      </c>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t="str">
        <f>IFERROR(__xludf.DUMMYFUNCTION("""COMPUTED_VALUE"""),"Lightning Elemental")</f>
        <v>Lightning Elemental</v>
      </c>
      <c r="B359" s="103" t="str">
        <f>IFERROR(__xludf.DUMMYFUNCTION("""COMPUTED_VALUE"""),"https://i.pinimg.com/474x/76/d3/c7/76d3c785f4a94ae72cb28c02bbb8e942.jpg")</f>
        <v>https://i.pinimg.com/474x/76/d3/c7/76d3c785f4a94ae72cb28c02bbb8e942.jpg</v>
      </c>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t="str">
        <f>IFERROR(__xludf.DUMMYFUNCTION("""COMPUTED_VALUE"""),"Ancient Storm Elemental")</f>
        <v>Ancient Storm Elemental</v>
      </c>
      <c r="B360" s="103" t="str">
        <f>IFERROR(__xludf.DUMMYFUNCTION("""COMPUTED_VALUE"""),"https://i.pinimg.com/474x/76/d3/c7/76d3c785f4a94ae72cb28c02bbb8e942.jpg")</f>
        <v>https://i.pinimg.com/474x/76/d3/c7/76d3c785f4a94ae72cb28c02bbb8e942.jpg</v>
      </c>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t="str">
        <f>IFERROR(__xludf.DUMMYFUNCTION("""COMPUTED_VALUE"""),"Lathom, Ancient Penumbral Elemental of Insanity")</f>
        <v>Lathom, Ancient Penumbral Elemental of Insanity</v>
      </c>
      <c r="B361" s="103" t="str">
        <f>IFERROR(__xludf.DUMMYFUNCTION("""COMPUTED_VALUE"""),"https://i.pinimg.com/474x/74/44/64/744464c1596225a4d1e43d0065255a04.jpg")</f>
        <v>https://i.pinimg.com/474x/74/44/64/744464c1596225a4d1e43d0065255a04.jpg</v>
      </c>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t="str">
        <f>IFERROR(__xludf.DUMMYFUNCTION("""COMPUTED_VALUE"""),"Karduk, King of the Earth Elementals")</f>
        <v>Karduk, King of the Earth Elementals</v>
      </c>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t="str">
        <f>IFERROR(__xludf.DUMMYFUNCTION("""COMPUTED_VALUE"""),"Salamander, King of the Fire Elementals")</f>
        <v>Salamander, King of the Fire Elementals</v>
      </c>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t="str">
        <f>IFERROR(__xludf.DUMMYFUNCTION("""COMPUTED_VALUE"""),"Raijin, King of the Storm Elementals")</f>
        <v>Raijin, King of the Storm Elementals</v>
      </c>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t="str">
        <f>IFERROR(__xludf.DUMMYFUNCTION("""COMPUTED_VALUE"""),"Undyne, Queen of the Water Elementals")</f>
        <v>Undyne, Queen of the Water Elementals</v>
      </c>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t="str">
        <f>IFERROR(__xludf.DUMMYFUNCTION("""COMPUTED_VALUE"""),"Sylph, Queen of the Nature Elementals")</f>
        <v>Sylph, Queen of the Nature Elementals</v>
      </c>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t="str">
        <f>IFERROR(__xludf.DUMMYFUNCTION("""COMPUTED_VALUE"""),"Corrupted King Zorgod")</f>
        <v>Corrupted King Zorgod</v>
      </c>
      <c r="B369" s="103" t="str">
        <f>IFERROR(__xludf.DUMMYFUNCTION("""COMPUTED_VALUE"""),"https://cdn.openart.ai/stable_diffusion/688694b323b1c707632346f478810280e647a568_2000x2000.webp")</f>
        <v>https://cdn.openart.ai/stable_diffusion/688694b323b1c707632346f478810280e647a568_2000x2000.webp</v>
      </c>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t="str">
        <f>IFERROR(__xludf.DUMMYFUNCTION("""COMPUTED_VALUE"""),"Crystal Colossus")</f>
        <v>Crystal Colossus</v>
      </c>
      <c r="B370" s="103" t="str">
        <f>IFERROR(__xludf.DUMMYFUNCTION("""COMPUTED_VALUE"""),"https://i.pinimg.com/1200x/6e/7b/fd/6e7bfd9a0c04fcde6b485c056fd2f883.jpg")</f>
        <v>https://i.pinimg.com/1200x/6e/7b/fd/6e7bfd9a0c04fcde6b485c056fd2f883.jpg</v>
      </c>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t="str">
        <f>IFERROR(__xludf.DUMMYFUNCTION("""COMPUTED_VALUE"""),"The Great Storm Kaiju")</f>
        <v>The Great Storm Kaiju</v>
      </c>
      <c r="B371" s="103" t="str">
        <f>IFERROR(__xludf.DUMMYFUNCTION("""COMPUTED_VALUE"""),"https://i.pinimg.com/1200x/f6/20/50/f62050604867e669bcebbeba4deb61d9.jpg")</f>
        <v>https://i.pinimg.com/1200x/f6/20/50/f62050604867e669bcebbeba4deb61d9.jpg</v>
      </c>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t="str">
        <f>IFERROR(__xludf.DUMMYFUNCTION("""COMPUTED_VALUE"""),"Gaia, Goddess of Earth")</f>
        <v>Gaia, Goddess of Earth</v>
      </c>
      <c r="B372" s="103" t="str">
        <f>IFERROR(__xludf.DUMMYFUNCTION("""COMPUTED_VALUE"""),"https://t3.ftcdn.net/jpg/05/76/50/64/360_F_576506478_ubv2s3QyI67WMaGL3pNVRJEasElwqaiM.jpg")</f>
        <v>https://t3.ftcdn.net/jpg/05/76/50/64/360_F_576506478_ubv2s3QyI67WMaGL3pNVRJEasElwqaiM.jpg</v>
      </c>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t="str">
        <f>IFERROR(__xludf.DUMMYFUNCTION("""COMPUTED_VALUE"""),"Bahamut, Beast of the Endless Void (First Phase)")</f>
        <v>Bahamut, Beast of the Endless Void (First Phase)</v>
      </c>
      <c r="B373" s="103" t="str">
        <f>IFERROR(__xludf.DUMMYFUNCTION("""COMPUTED_VALUE"""),"https://static.wikia.nocookie.net/nanatsu-no-taizai-fanon/images/0/06/3a04512566fbd254087c1cba017371cd.jpg/revision/latest?cb=20200708070101")</f>
        <v>https://static.wikia.nocookie.net/nanatsu-no-taizai-fanon/images/0/06/3a04512566fbd254087c1cba017371cd.jpg/revision/latest?cb=20200708070101</v>
      </c>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t="str">
        <f>IFERROR(__xludf.DUMMYFUNCTION("""COMPUTED_VALUE"""),"Orgroth - The Volcanic Guardian of Fire Tiki Mountain")</f>
        <v>Orgroth - The Volcanic Guardian of Fire Tiki Mountain</v>
      </c>
      <c r="B374" s="103" t="str">
        <f>IFERROR(__xludf.DUMMYFUNCTION("""COMPUTED_VALUE"""),"https://cdna.artstation.com/p/assets/images/images/010/372/590/4k/shan-qiao-polished001.jpg?1524074474")</f>
        <v>https://cdna.artstation.com/p/assets/images/images/010/372/590/4k/shan-qiao-polished001.jpg?1524074474</v>
      </c>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t="str">
        <f>IFERROR(__xludf.DUMMYFUNCTION("""COMPUTED_VALUE"""),"Zor - The Volcanic Golem")</f>
        <v>Zor - The Volcanic Golem</v>
      </c>
      <c r="B375" s="103" t="str">
        <f>IFERROR(__xludf.DUMMYFUNCTION("""COMPUTED_VALUE"""),"https://cdnb.artstation.com/p/assets/images/images/004/795/089/large/miyoung-kim-volcano-02s.jpg?1486332907")</f>
        <v>https://cdnb.artstation.com/p/assets/images/images/004/795/089/large/miyoung-kim-volcano-02s.jpg?1486332907</v>
      </c>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t="str">
        <f>IFERROR(__xludf.DUMMYFUNCTION("""COMPUTED_VALUE"""),"Talthos - The Towering Kaiju")</f>
        <v>Talthos - The Towering Kaiju</v>
      </c>
      <c r="B376" s="103" t="str">
        <f>IFERROR(__xludf.DUMMYFUNCTION("""COMPUTED_VALUE"""),"https://cdnb.artstation.com/p/assets/images/images/015/107/375/large/denis-loebner-firewitch.jpg?1547076578")</f>
        <v>https://cdnb.artstation.com/p/assets/images/images/015/107/375/large/denis-loebner-firewitch.jpg?1547076578</v>
      </c>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t="str">
        <f>IFERROR(__xludf.DUMMYFUNCTION("""COMPUTED_VALUE"""),"Cloudius - The Smoke Elemental")</f>
        <v>Cloudius - The Smoke Elemental</v>
      </c>
      <c r="B377" s="103" t="str">
        <f>IFERROR(__xludf.DUMMYFUNCTION("""COMPUTED_VALUE"""),"https://images-wixmp-ed30a86b8c4ca887773594c2.wixmp.com/f/998dc8bf-a8a7-4f74-9539-a37a40673004/d6s4jp4-52c529ea-8890-4200-a294-8faf71a7d89a.jpg/v1/fit/w_828,h_1102,q_70,strp/cronos_by_darenhorley_d6s4jp4-414w-2x.jpg?token=eyJ0eXAiOiJKV1QiLCJhbGciOiJIUzI1N"&amp;"iJ9.eyJzdWIiOiJ1cm46YXBwOjdlMGQxODg5ODIyNjQzNzNhNWYwZDQxNWVhMGQyNmUwIiwiaXNzIjoidXJuOmFwcDo3ZTBkMTg4OTgyMjY0MzczYTVmMGQ0MTVlYTBkMjZlMCIsIm9iaiI6W1t7ImhlaWdodCI6Ijw9MTE1NCIsInBhdGgiOiJcL2ZcLzk5OGRjOGJmLWE4YTctNGY3NC05NTM5LWEzN2E0MDY3MzAwNFwvZDZzNGpwNC01MmM"&amp;"1MjllYS04ODkwLTQyMDAtYTI5NC04ZmFmNzFhN2Q4OWEuanBnIiwid2lkdGgiOiI8PTg2NyJ9XV0sImF1ZCI6WyJ1cm46c2VydmljZTppbWFnZS5vcGVyYXRpb25zIl19.VP2cUN1z9O_ewFC0NdKzCWpVa5Q4CZQ8Fgvdb8KjOZc")</f>
        <v>https://images-wixmp-ed30a86b8c4ca887773594c2.wixmp.com/f/998dc8bf-a8a7-4f74-9539-a37a40673004/d6s4jp4-52c529ea-8890-4200-a294-8faf71a7d89a.jpg/v1/fit/w_828,h_1102,q_70,strp/cronos_by_darenhorley_d6s4jp4-414w-2x.jpg?token=eyJ0eXAiOiJKV1QiLCJhbGciOiJIUzI1NiJ9.eyJzdWIiOiJ1cm46YXBwOjdlMGQxODg5ODIyNjQzNzNhNWYwZDQxNWVhMGQyNmUwIiwiaXNzIjoidXJuOmFwcDo3ZTBkMTg4OTgyMjY0MzczYTVmMGQ0MTVlYTBkMjZlMCIsIm9iaiI6W1t7ImhlaWdodCI6Ijw9MTE1NCIsInBhdGgiOiJcL2ZcLzk5OGRjOGJmLWE4YTctNGY3NC05NTM5LWEzN2E0MDY3MzAwNFwvZDZzNGpwNC01MmM1MjllYS04ODkwLTQyMDAtYTI5NC04ZmFmNzFhN2Q4OWEuanBnIiwid2lkdGgiOiI8PTg2NyJ9XV0sImF1ZCI6WyJ1cm46c2VydmljZTppbWFnZS5vcGVyYXRpb25zIl19.VP2cUN1z9O_ewFC0NdKzCWpVa5Q4CZQ8Fgvdb8KjOZc</v>
      </c>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t="str">
        <f>IFERROR(__xludf.DUMMYFUNCTION("""COMPUTED_VALUE"""),"Grisaia - The Head Paladin of Gaia")</f>
        <v>Grisaia - The Head Paladin of Gaia</v>
      </c>
      <c r="B378" s="103" t="str">
        <f>IFERROR(__xludf.DUMMYFUNCTION("""COMPUTED_VALUE"""),"https://encrypted-tbn0.gstatic.com/images?q=tbn:ANd9GcT66UJcEZOFZTg4xNxzlZ5TCHOfrfvTGoGINg&amp;usqp=CAU")</f>
        <v>https://encrypted-tbn0.gstatic.com/images?q=tbn:ANd9GcT66UJcEZOFZTg4xNxzlZ5TCHOfrfvTGoGINg&amp;usqp=CAU</v>
      </c>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t="str">
        <f>IFERROR(__xludf.DUMMYFUNCTION("""COMPUTED_VALUE"""),"Gaia's Paladins")</f>
        <v>Gaia's Paladins</v>
      </c>
      <c r="B379" s="103" t="str">
        <f>IFERROR(__xludf.DUMMYFUNCTION("""COMPUTED_VALUE"""),"https://i.pinimg.com/236x/0a/22/72/0a2272b7483aba31469e3544335eb989.jpg")</f>
        <v>https://i.pinimg.com/236x/0a/22/72/0a2272b7483aba31469e3544335eb989.jpg</v>
      </c>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t="str">
        <f>IFERROR(__xludf.DUMMYFUNCTION("""COMPUTED_VALUE"""),"Crystal Spider")</f>
        <v>Crystal Spider</v>
      </c>
      <c r="B380" s="103" t="str">
        <f>IFERROR(__xludf.DUMMYFUNCTION("""COMPUTED_VALUE"""),"https://i.redd.it/sbfm7okwu8241.jpg")</f>
        <v>https://i.redd.it/sbfm7okwu8241.jpg</v>
      </c>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t="str">
        <f>IFERROR(__xludf.DUMMYFUNCTION("""COMPUTED_VALUE"""),"Hephaestus, The God of The Forge")</f>
        <v>Hephaestus, The God of The Forge</v>
      </c>
      <c r="B381" s="103" t="str">
        <f>IFERROR(__xludf.DUMMYFUNCTION("""COMPUTED_VALUE"""),"https://cdn.pixabay.com/photo/2022/12/28/17/45/hephaestus-7683486_1280.jpg")</f>
        <v>https://cdn.pixabay.com/photo/2022/12/28/17/45/hephaestus-7683486_1280.jpg</v>
      </c>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t="str">
        <f>IFERROR(__xludf.DUMMYFUNCTION("""COMPUTED_VALUE"""),"Artemis, Goddess of the Forest (First Phase)")</f>
        <v>Artemis, Goddess of the Forest (First Phase)</v>
      </c>
      <c r="B382" s="103" t="str">
        <f>IFERROR(__xludf.DUMMYFUNCTION("""COMPUTED_VALUE"""),"https://upload.wikimedia.org/wikipedia/commons/thumb/c/c8/Vanad.png/330px-Vanad.png")</f>
        <v>https://upload.wikimedia.org/wikipedia/commons/thumb/c/c8/Vanad.png/330px-Vanad.png</v>
      </c>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t="str">
        <f>IFERROR(__xludf.DUMMYFUNCTION("""COMPUTED_VALUE"""),"Artemis, Nature's Wrathful Avatar (Second Phase)")</f>
        <v>Artemis, Nature's Wrathful Avatar (Second Phase)</v>
      </c>
      <c r="B383" s="103" t="str">
        <f>IFERROR(__xludf.DUMMYFUNCTION("""COMPUTED_VALUE"""),"https://static.wikia.nocookie.net/superhuman-characters-and-their-powers/images/7/7e/Physis.jpg/revision/latest?cb=20200426034627")</f>
        <v>https://static.wikia.nocookie.net/superhuman-characters-and-their-powers/images/7/7e/Physis.jpg/revision/latest?cb=20200426034627</v>
      </c>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t="str">
        <f>IFERROR(__xludf.DUMMYFUNCTION("""COMPUTED_VALUE"""),"The Gods' Quiver")</f>
        <v>The Gods' Quiver</v>
      </c>
      <c r="B384" s="103" t="str">
        <f>IFERROR(__xludf.DUMMYFUNCTION("""COMPUTED_VALUE"""),"https://encrypted-tbn0.gstatic.com/images?q=tbn:ANd9GcTbi6q-R0jDPerz4unQ5719xdv-tdiGPl0g9g&amp;usqp=CAU")</f>
        <v>https://encrypted-tbn0.gstatic.com/images?q=tbn:ANd9GcTbi6q-R0jDPerz4unQ5719xdv-tdiGPl0g9g&amp;usqp=CAU</v>
      </c>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t="str">
        <f>IFERROR(__xludf.DUMMYFUNCTION("""COMPUTED_VALUE"""),"The Forged Ones")</f>
        <v>The Forged Ones</v>
      </c>
      <c r="B385" s="103" t="str">
        <f>IFERROR(__xludf.DUMMYFUNCTION("""COMPUTED_VALUE"""),"https://i.pinimg.com/236x/d7/16/1e/d7161ed9ad08fd2b175352e03f7666e4.jpg")</f>
        <v>https://i.pinimg.com/236x/d7/16/1e/d7161ed9ad08fd2b175352e03f7666e4.jpg</v>
      </c>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t="str">
        <f>IFERROR(__xludf.DUMMYFUNCTION("""COMPUTED_VALUE"""),"Jenos, Head Paladin of Artemis")</f>
        <v>Jenos, Head Paladin of Artemis</v>
      </c>
      <c r="B386" s="103" t="str">
        <f>IFERROR(__xludf.DUMMYFUNCTION("""COMPUTED_VALUE"""),"https://i.pinimg.com/236x/26/cc/0c/26cc0c8c77c2eb4894cb407440ec7037.jpg")</f>
        <v>https://i.pinimg.com/236x/26/cc/0c/26cc0c8c77c2eb4894cb407440ec7037.jpg</v>
      </c>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t="str">
        <f>IFERROR(__xludf.DUMMYFUNCTION("""COMPUTED_VALUE"""),"Monk (Abbot)")</f>
        <v>Monk (Abbot)</v>
      </c>
      <c r="B387" s="103" t="str">
        <f>IFERROR(__xludf.DUMMYFUNCTION("""COMPUTED_VALUE"""),"https://i.pinimg.com/550x/cf/db/25/cfdb2526584acfac3fd8307ac842613b.jpg")</f>
        <v>https://i.pinimg.com/550x/cf/db/25/cfdb2526584acfac3fd8307ac842613b.jpg</v>
      </c>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t="str">
        <f>IFERROR(__xludf.DUMMYFUNCTION("""COMPUTED_VALUE"""),"Master Inugima Clone")</f>
        <v>Master Inugima Clone</v>
      </c>
      <c r="B388" s="103" t="str">
        <f>IFERROR(__xludf.DUMMYFUNCTION("""COMPUTED_VALUE"""),"https://i.pinimg.com/236x/b3/44/8c/b3448c43e89ad1f9c217cc75296e01f2.jpg")</f>
        <v>https://i.pinimg.com/236x/b3/44/8c/b3448c43e89ad1f9c217cc75296e01f2.jpg</v>
      </c>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t="str">
        <f>IFERROR(__xludf.DUMMYFUNCTION("""COMPUTED_VALUE"""),"Cargo Ship")</f>
        <v>Cargo Ship</v>
      </c>
      <c r="B389" s="103" t="str">
        <f>IFERROR(__xludf.DUMMYFUNCTION("""COMPUTED_VALUE"""),"https://storage.googleapis.com/pai-images/6df90f17551c43d4810dd4ae7a5eb831.jpeg")</f>
        <v>https://storage.googleapis.com/pai-images/6df90f17551c43d4810dd4ae7a5eb831.jpeg</v>
      </c>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t="str">
        <f>IFERROR(__xludf.DUMMYFUNCTION("""COMPUTED_VALUE"""),"Ghost Ship")</f>
        <v>Ghost Ship</v>
      </c>
      <c r="B390" s="103" t="str">
        <f>IFERROR(__xludf.DUMMYFUNCTION("""COMPUTED_VALUE"""),"https://encrypted-tbn0.gstatic.com/images?q=tbn:ANd9GcQN7I4As29GDkyX8YBGgni_wGzv_zeIGvBHthF0QcTMN4Mz8CzX")</f>
        <v>https://encrypted-tbn0.gstatic.com/images?q=tbn:ANd9GcQN7I4As29GDkyX8YBGgni_wGzv_zeIGvBHthF0QcTMN4Mz8CzX</v>
      </c>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t="str">
        <f>IFERROR(__xludf.DUMMYFUNCTION("""COMPUTED_VALUE"""),"Brigantine")</f>
        <v>Brigantine</v>
      </c>
      <c r="B391" s="103" t="str">
        <f>IFERROR(__xludf.DUMMYFUNCTION("""COMPUTED_VALUE"""),"https://images-wixmp-ed30a86b8c4ca887773594c2.wixmp.com/f/ff39023a-dc5a-4b3f-a1d6-c5e49400c378/dg9qfov-a659d56b-f869-42c7-a581-da8f3bbc3366.jpg/v1/fill/w_1280,h_854,q_75,strp/brigantine_by_comiconly_dg9qfov-fullview.jpg?token=eyJ0eXAiOiJKV1QiLCJhbGciOiJIU"&amp;"zI1NiJ9.eyJzdWIiOiJ1cm46YXBwOjdlMGQxODg5ODIyNjQzNzNhNWYwZDQxNWVhMGQyNmUwIiwiaXNzIjoidXJuOmFwcDo3ZTBkMTg4OTgyMjY0MzczYTVmMGQ0MTVlYTBkMjZlMCIsIm9iaiI6W1t7ImhlaWdodCI6Ijw9ODU0IiwicGF0aCI6IlwvZlwvZmYzOTAyM2EtZGM1YS00YjNmLWExZDYtYzVlNDk0MDBjMzc4XC9kZzlxZm92LWE"&amp;"2NTlkNTZiLWY4NjktNDJjNy1hNTgxLWRhOGYzYmJjMzM2Ni5qcGciLCJ3aWR0aCI6Ijw9MTI4MCJ9XV0sImF1ZCI6WyJ1cm46c2VydmljZTppbWFnZS5vcGVyYXRpb25zIl19.ohG3kXlz7wf_lGqHXXwcJXtMTibpuCxIS61J8KbPI3U")</f>
        <v>https://images-wixmp-ed30a86b8c4ca887773594c2.wixmp.com/f/ff39023a-dc5a-4b3f-a1d6-c5e49400c378/dg9qfov-a659d56b-f869-42c7-a581-da8f3bbc3366.jpg/v1/fill/w_1280,h_854,q_75,strp/brigantine_by_comiconly_dg9qfov-fullview.jpg?token=eyJ0eXAiOiJKV1QiLCJhbGciOiJIUzI1NiJ9.eyJzdWIiOiJ1cm46YXBwOjdlMGQxODg5ODIyNjQzNzNhNWYwZDQxNWVhMGQyNmUwIiwiaXNzIjoidXJuOmFwcDo3ZTBkMTg4OTgyMjY0MzczYTVmMGQ0MTVlYTBkMjZlMCIsIm9iaiI6W1t7ImhlaWdodCI6Ijw9ODU0IiwicGF0aCI6IlwvZlwvZmYzOTAyM2EtZGM1YS00YjNmLWExZDYtYzVlNDk0MDBjMzc4XC9kZzlxZm92LWE2NTlkNTZiLWY4NjktNDJjNy1hNTgxLWRhOGYzYmJjMzM2Ni5qcGciLCJ3aWR0aCI6Ijw9MTI4MCJ9XV0sImF1ZCI6WyJ1cm46c2VydmljZTppbWFnZS5vcGVyYXRpb25zIl19.ohG3kXlz7wf_lGqHXXwcJXtMTibpuCxIS61J8KbPI3U</v>
      </c>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t="str">
        <f>IFERROR(__xludf.DUMMYFUNCTION("""COMPUTED_VALUE"""),"Sloop")</f>
        <v>Sloop</v>
      </c>
      <c r="B392" s="103" t="str">
        <f>IFERROR(__xludf.DUMMYFUNCTION("""COMPUTED_VALUE"""),"https://images-wixmp-ed30a86b8c4ca887773594c2.wixmp.com/f/e7bb2cc5-8a0c-4d59-b8bd-5cd91a042782/dg1zmy0-bdea879f-5e0c-47b1-b355-9d7eaf3af381.jpg/v1/fill/w_1280,h_1280,q_75,strp/sloop_in_storm_by_seraphim_ai_dg1zmy0-fullview.jpg?token=eyJ0eXAiOiJKV1QiLCJhbG"&amp;"ciOiJIUzI1NiJ9.eyJzdWIiOiJ1cm46YXBwOjdlMGQxODg5ODIyNjQzNzNhNWYwZDQxNWVhMGQyNmUwIiwiaXNzIjoidXJuOmFwcDo3ZTBkMTg4OTgyMjY0MzczYTVmMGQ0MTVlYTBkMjZlMCIsIm9iaiI6W1t7ImhlaWdodCI6Ijw9MTI4MCIsInBhdGgiOiJcL2ZcL2U3YmIyY2M1LThhMGMtNGQ1OS1iOGJkLTVjZDkxYTA0Mjc4MlwvZGcx"&amp;"em15MC1iZGVhODc5Zi01ZTBjLTQ3YjEtYjM1NS05ZDdlYWYzYWYzODEuanBnIiwid2lkdGgiOiI8PTEyODAifV1dLCJhdWQiOlsidXJuOnNlcnZpY2U6aW1hZ2Uub3BlcmF0aW9ucyJdfQ.kv5EhEYSrfM8hLzXkJ0Qx9_3YigJzTdqpvrDwOKfnC0")</f>
        <v>https://images-wixmp-ed30a86b8c4ca887773594c2.wixmp.com/f/e7bb2cc5-8a0c-4d59-b8bd-5cd91a042782/dg1zmy0-bdea879f-5e0c-47b1-b355-9d7eaf3af381.jpg/v1/fill/w_1280,h_1280,q_75,strp/sloop_in_storm_by_seraphim_ai_dg1zmy0-fullview.jpg?token=eyJ0eXAiOiJKV1QiLCJhbGciOiJIUzI1NiJ9.eyJzdWIiOiJ1cm46YXBwOjdlMGQxODg5ODIyNjQzNzNhNWYwZDQxNWVhMGQyNmUwIiwiaXNzIjoidXJuOmFwcDo3ZTBkMTg4OTgyMjY0MzczYTVmMGQ0MTVlYTBkMjZlMCIsIm9iaiI6W1t7ImhlaWdodCI6Ijw9MTI4MCIsInBhdGgiOiJcL2ZcL2U3YmIyY2M1LThhMGMtNGQ1OS1iOGJkLTVjZDkxYTA0Mjc4MlwvZGcxem15MC1iZGVhODc5Zi01ZTBjLTQ3YjEtYjM1NS05ZDdlYWYzYWYzODEuanBnIiwid2lkdGgiOiI8PTEyODAifV1dLCJhdWQiOlsidXJuOnNlcnZpY2U6aW1hZ2Uub3BlcmF0aW9ucyJdfQ.kv5EhEYSrfM8hLzXkJ0Qx9_3YigJzTdqpvrDwOKfnC0</v>
      </c>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t="str">
        <f>IFERROR(__xludf.DUMMYFUNCTION("""COMPUTED_VALUE"""),"Aircraft Carrier")</f>
        <v>Aircraft Carrier</v>
      </c>
      <c r="B393" s="103" t="str">
        <f>IFERROR(__xludf.DUMMYFUNCTION("""COMPUTED_VALUE"""),"https://encrypted-tbn1.gstatic.com/images?q=tbn:ANd9GcQtZF8kAjEV4yN3Q1WxDxfqH1_4jBJD5mLiwwgblO6Im7zdux7R")</f>
        <v>https://encrypted-tbn1.gstatic.com/images?q=tbn:ANd9GcQtZF8kAjEV4yN3Q1WxDxfqH1_4jBJD5mLiwwgblO6Im7zdux7R</v>
      </c>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t="str">
        <f>IFERROR(__xludf.DUMMYFUNCTION("""COMPUTED_VALUE"""),"Elder Acid Dragon")</f>
        <v>Elder Acid Dragon</v>
      </c>
      <c r="B394" s="103" t="str">
        <f>IFERROR(__xludf.DUMMYFUNCTION("""COMPUTED_VALUE"""),"https://i.pinimg.com/originals/20/02/d3/2002d3214a41bc756183bbb74b1e2084.jpg")</f>
        <v>https://i.pinimg.com/originals/20/02/d3/2002d3214a41bc756183bbb74b1e2084.jpg</v>
      </c>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t="str">
        <f>IFERROR(__xludf.DUMMYFUNCTION("""COMPUTED_VALUE"""),"Elder Water Dragon")</f>
        <v>Elder Water Dragon</v>
      </c>
      <c r="B395" s="103" t="str">
        <f>IFERROR(__xludf.DUMMYFUNCTION("""COMPUTED_VALUE"""),"https://i.pinimg.com/564x/3f/2d/24/3f2d242c6a85ac83be8f8e9c0ce6dfbb.jpg")</f>
        <v>https://i.pinimg.com/564x/3f/2d/24/3f2d242c6a85ac83be8f8e9c0ce6dfbb.jpg</v>
      </c>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t="str">
        <f>IFERROR(__xludf.DUMMYFUNCTION("""COMPUTED_VALUE"""),"Elder Astral Dragon")</f>
        <v>Elder Astral Dragon</v>
      </c>
      <c r="B396" s="103" t="str">
        <f>IFERROR(__xludf.DUMMYFUNCTION("""COMPUTED_VALUE"""),"https://i.redd.it/vl2ec0kys2u51.jpg")</f>
        <v>https://i.redd.it/vl2ec0kys2u51.jpg</v>
      </c>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t="str">
        <f>IFERROR(__xludf.DUMMYFUNCTION("""COMPUTED_VALUE"""),"Elder Celestial Dragon")</f>
        <v>Elder Celestial Dragon</v>
      </c>
      <c r="B397" s="103" t="str">
        <f>IFERROR(__xludf.DUMMYFUNCTION("""COMPUTED_VALUE"""),"https://i.pinimg.com/originals/c1/8e/1a/c18e1a06b0d67090e3e0c20a445952a3.jpg")</f>
        <v>https://i.pinimg.com/originals/c1/8e/1a/c18e1a06b0d67090e3e0c20a445952a3.jpg</v>
      </c>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t="str">
        <f>IFERROR(__xludf.DUMMYFUNCTION("""COMPUTED_VALUE"""),"Elder Chaos Dragon")</f>
        <v>Elder Chaos Dragon</v>
      </c>
      <c r="B398" s="103" t="str">
        <f>IFERROR(__xludf.DUMMYFUNCTION("""COMPUTED_VALUE"""),"https://i.pinimg.com/originals/e8/87/c9/e887c9edf5f5f24e110e1db64f7296a5.jpg")</f>
        <v>https://i.pinimg.com/originals/e8/87/c9/e887c9edf5f5f24e110e1db64f7296a5.jpg</v>
      </c>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t="str">
        <f>IFERROR(__xludf.DUMMYFUNCTION("""COMPUTED_VALUE"""),"Elder Dark Dragon")</f>
        <v>Elder Dark Dragon</v>
      </c>
      <c r="B399" s="103" t="str">
        <f>IFERROR(__xludf.DUMMYFUNCTION("""COMPUTED_VALUE"""),"https://w0.peakpx.com/wallpaper/495/31/HD-wallpaper-dragon-art-fantasy-wings-dark-black-blue.jpg")</f>
        <v>https://w0.peakpx.com/wallpaper/495/31/HD-wallpaper-dragon-art-fantasy-wings-dark-black-blue.jpg</v>
      </c>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t="str">
        <f>IFERROR(__xludf.DUMMYFUNCTION("""COMPUTED_VALUE"""),"Elder Delta Dragon")</f>
        <v>Elder Delta Dragon</v>
      </c>
      <c r="B400" s="103" t="str">
        <f>IFERROR(__xludf.DUMMYFUNCTION("""COMPUTED_VALUE"""),"https://www.wallpaperup.com/uploads/wallpapers/2015/03/30/649871/c57c9388e263a93f386c1242f7f289ad-700.jpg")</f>
        <v>https://www.wallpaperup.com/uploads/wallpapers/2015/03/30/649871/c57c9388e263a93f386c1242f7f289ad-700.jpg</v>
      </c>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t="str">
        <f>IFERROR(__xludf.DUMMYFUNCTION("""COMPUTED_VALUE"""),"Elder Forest Dragon")</f>
        <v>Elder Forest Dragon</v>
      </c>
      <c r="B401" s="103" t="str">
        <f>IFERROR(__xludf.DUMMYFUNCTION("""COMPUTED_VALUE"""),"https://prod-cdn-07.storenvy.com/product_photos/74369319/file_2f98e1e112_original.jpg")</f>
        <v>https://prod-cdn-07.storenvy.com/product_photos/74369319/file_2f98e1e112_original.jpg</v>
      </c>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t="str">
        <f>IFERROR(__xludf.DUMMYFUNCTION("""COMPUTED_VALUE"""),"Elder Frost Dragon")</f>
        <v>Elder Frost Dragon</v>
      </c>
      <c r="B402" s="103"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t="str">
        <f>IFERROR(__xludf.DUMMYFUNCTION("""COMPUTED_VALUE"""),"Elder Soul Dragon")</f>
        <v>Elder Soul Dragon</v>
      </c>
      <c r="B403" s="103" t="str">
        <f>IFERROR(__xludf.DUMMYFUNCTION("""COMPUTED_VALUE"""),"https://static.wikia.nocookie.net/charm-of-soul-pets-cosp/images/1/1a/C2tu6z8kg4s51.jpg/revision/latest?cb=20210512170831")</f>
        <v>https://static.wikia.nocookie.net/charm-of-soul-pets-cosp/images/1/1a/C2tu6z8kg4s51.jpg/revision/latest?cb=20210512170831</v>
      </c>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t="str">
        <f>IFERROR(__xludf.DUMMYFUNCTION("""COMPUTED_VALUE"""),"Elder Spirit Dragon")</f>
        <v>Elder Spirit Dragon</v>
      </c>
      <c r="B404" s="103" t="str">
        <f>IFERROR(__xludf.DUMMYFUNCTION("""COMPUTED_VALUE"""),"https://www.originalmagicart.store/cdn/shop/products/Swanland_UginSpiritDragon_Print_5000x.jpg?v=1603674292")</f>
        <v>https://www.originalmagicart.store/cdn/shop/products/Swanland_UginSpiritDragon_Print_5000x.jpg?v=1603674292</v>
      </c>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t="str">
        <f>IFERROR(__xludf.DUMMYFUNCTION("""COMPUTED_VALUE"""),"Elder Stone Dragon")</f>
        <v>Elder Stone Dragon</v>
      </c>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t="str">
        <f>IFERROR(__xludf.DUMMYFUNCTION("""COMPUTED_VALUE"""),"Elder Fire Dragon")</f>
        <v>Elder Fire Dragon</v>
      </c>
      <c r="B407" s="103" t="str">
        <f>IFERROR(__xludf.DUMMYFUNCTION("""COMPUTED_VALUE"""),"https://static.wikia.nocookie.net/vampirehunterd/images/5/53/RED_FIRE_BREATHING_FIRE_DRAGON_KNIGHT_BATTLE_CASTLE_AGE_HEART_GAME_CONCEPT_ART_1_2_II_BY_KEKAI_3.jpg/revision/latest/scale-to-width-down/1195")</f>
        <v>https://static.wikia.nocookie.net/vampirehunterd/images/5/53/RED_FIRE_BREATHING_FIRE_DRAGON_KNIGHT_BATTLE_CASTLE_AGE_HEART_GAME_CONCEPT_ART_1_2_II_BY_KEKAI_3.jpg/revision/latest/scale-to-width-down/1195</v>
      </c>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t="str">
        <f>IFERROR(__xludf.DUMMYFUNCTION("""COMPUTED_VALUE"""),"Elder Undead Dragon")</f>
        <v>Elder Undead Dragon</v>
      </c>
      <c r="B409" s="103" t="str">
        <f>IFERROR(__xludf.DUMMYFUNCTION("""COMPUTED_VALUE"""),"https://i.pinimg.com/736x/1f/b8/0d/1fb80dce083393ee16874fcc04ccf1a5.jpg")</f>
        <v>https://i.pinimg.com/736x/1f/b8/0d/1fb80dce083393ee16874fcc04ccf1a5.jpg</v>
      </c>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t="str">
        <f>IFERROR(__xludf.DUMMYFUNCTION("""COMPUTED_VALUE"""),"Elder Crystal Dragon")</f>
        <v>Elder Crystal Dragon</v>
      </c>
      <c r="B410" s="103" t="str">
        <f>IFERROR(__xludf.DUMMYFUNCTION("""COMPUTED_VALUE"""),"https://i.pinimg.com/originals/c5/c4/f1/c5c4f16c6b756db55373075d9661b3a0.jpg")</f>
        <v>https://i.pinimg.com/originals/c5/c4/f1/c5c4f16c6b756db55373075d9661b3a0.jpg</v>
      </c>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t="str">
        <f>IFERROR(__xludf.DUMMYFUNCTION("""COMPUTED_VALUE"""),"Ancient Acid Dragon")</f>
        <v>Ancient Acid Dragon</v>
      </c>
      <c r="B411" s="103" t="str">
        <f>IFERROR(__xludf.DUMMYFUNCTION("""COMPUTED_VALUE"""),"https://i.pinimg.com/originals/20/02/d3/2002d3214a41bc756183bbb74b1e2084.jpg")</f>
        <v>https://i.pinimg.com/originals/20/02/d3/2002d3214a41bc756183bbb74b1e2084.jpg</v>
      </c>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t="str">
        <f>IFERROR(__xludf.DUMMYFUNCTION("""COMPUTED_VALUE"""),"Ancient Water Dragon")</f>
        <v>Ancient Water Dragon</v>
      </c>
      <c r="B412" s="103" t="str">
        <f>IFERROR(__xludf.DUMMYFUNCTION("""COMPUTED_VALUE"""),"https://i.pinimg.com/564x/3f/2d/24/3f2d242c6a85ac83be8f8e9c0ce6dfbb.jpg")</f>
        <v>https://i.pinimg.com/564x/3f/2d/24/3f2d242c6a85ac83be8f8e9c0ce6dfbb.jpg</v>
      </c>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t="str">
        <f>IFERROR(__xludf.DUMMYFUNCTION("""COMPUTED_VALUE"""),"Ancient Astral Dragon")</f>
        <v>Ancient Astral Dragon</v>
      </c>
      <c r="B413" s="103" t="str">
        <f>IFERROR(__xludf.DUMMYFUNCTION("""COMPUTED_VALUE"""),"https://i.redd.it/vl2ec0kys2u51.jpg")</f>
        <v>https://i.redd.it/vl2ec0kys2u51.jpg</v>
      </c>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t="str">
        <f>IFERROR(__xludf.DUMMYFUNCTION("""COMPUTED_VALUE"""),"Ancient Celestial Dragon")</f>
        <v>Ancient Celestial Dragon</v>
      </c>
      <c r="B414" s="103" t="str">
        <f>IFERROR(__xludf.DUMMYFUNCTION("""COMPUTED_VALUE"""),"https://i.pinimg.com/originals/c1/8e/1a/c18e1a06b0d67090e3e0c20a445952a3.jpg")</f>
        <v>https://i.pinimg.com/originals/c1/8e/1a/c18e1a06b0d67090e3e0c20a445952a3.jpg</v>
      </c>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t="str">
        <f>IFERROR(__xludf.DUMMYFUNCTION("""COMPUTED_VALUE"""),"Ancient Chaos Dragon")</f>
        <v>Ancient Chaos Dragon</v>
      </c>
      <c r="B415" s="103" t="str">
        <f>IFERROR(__xludf.DUMMYFUNCTION("""COMPUTED_VALUE"""),"https://i.pinimg.com/originals/e8/87/c9/e887c9edf5f5f24e110e1db64f7296a5.jpg")</f>
        <v>https://i.pinimg.com/originals/e8/87/c9/e887c9edf5f5f24e110e1db64f7296a5.jpg</v>
      </c>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t="str">
        <f>IFERROR(__xludf.DUMMYFUNCTION("""COMPUTED_VALUE"""),"Ancient Dark Dragon")</f>
        <v>Ancient Dark Dragon</v>
      </c>
      <c r="B416" s="103" t="str">
        <f>IFERROR(__xludf.DUMMYFUNCTION("""COMPUTED_VALUE"""),"https://w0.peakpx.com/wallpaper/495/31/HD-wallpaper-dragon-art-fantasy-wings-dark-black-blue.jpg")</f>
        <v>https://w0.peakpx.com/wallpaper/495/31/HD-wallpaper-dragon-art-fantasy-wings-dark-black-blue.jpg</v>
      </c>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t="str">
        <f>IFERROR(__xludf.DUMMYFUNCTION("""COMPUTED_VALUE"""),"Ancient Delta Dragon")</f>
        <v>Ancient Delta Dragon</v>
      </c>
      <c r="B417" s="103" t="str">
        <f>IFERROR(__xludf.DUMMYFUNCTION("""COMPUTED_VALUE"""),"https://www.wallpaperup.com/uploads/wallpapers/2015/03/30/649871/c57c9388e263a93f386c1242f7f289ad-700.jpg")</f>
        <v>https://www.wallpaperup.com/uploads/wallpapers/2015/03/30/649871/c57c9388e263a93f386c1242f7f289ad-700.jpg</v>
      </c>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t="str">
        <f>IFERROR(__xludf.DUMMYFUNCTION("""COMPUTED_VALUE"""),"Ancient Forest Dragon")</f>
        <v>Ancient Forest Dragon</v>
      </c>
      <c r="B418" s="103" t="str">
        <f>IFERROR(__xludf.DUMMYFUNCTION("""COMPUTED_VALUE"""),"https://prod-cdn-07.storenvy.com/product_photos/74369319/file_2f98e1e112_original.jpg")</f>
        <v>https://prod-cdn-07.storenvy.com/product_photos/74369319/file_2f98e1e112_original.jpg</v>
      </c>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t="str">
        <f>IFERROR(__xludf.DUMMYFUNCTION("""COMPUTED_VALUE"""),"Ancient Frost Dragon")</f>
        <v>Ancient Frost Dragon</v>
      </c>
      <c r="B419" s="103"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t="str">
        <f>IFERROR(__xludf.DUMMYFUNCTION("""COMPUTED_VALUE"""),"Ancient Soul Dragon")</f>
        <v>Ancient Soul Dragon</v>
      </c>
      <c r="B420" s="103" t="str">
        <f>IFERROR(__xludf.DUMMYFUNCTION("""COMPUTED_VALUE"""),"https://static.wikia.nocookie.net/charm-of-soul-pets-cosp/images/1/1a/C2tu6z8kg4s51.jpg/revision/latest?cb=20210512170831")</f>
        <v>https://static.wikia.nocookie.net/charm-of-soul-pets-cosp/images/1/1a/C2tu6z8kg4s51.jpg/revision/latest?cb=20210512170831</v>
      </c>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t="str">
        <f>IFERROR(__xludf.DUMMYFUNCTION("""COMPUTED_VALUE"""),"Ancient Spirit Dragon")</f>
        <v>Ancient Spirit Dragon</v>
      </c>
      <c r="B421" s="103" t="str">
        <f>IFERROR(__xludf.DUMMYFUNCTION("""COMPUTED_VALUE"""),"https://www.originalmagicart.store/cdn/shop/products/Swanland_UginSpiritDragon_Print_5000x.jpg?v=1603674292")</f>
        <v>https://www.originalmagicart.store/cdn/shop/products/Swanland_UginSpiritDragon_Print_5000x.jpg?v=1603674292</v>
      </c>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t="str">
        <f>IFERROR(__xludf.DUMMYFUNCTION("""COMPUTED_VALUE"""),"Ancient Stone Dragon")</f>
        <v>Ancient Stone Dragon</v>
      </c>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t="str">
        <f>IFERROR(__xludf.DUMMYFUNCTION("""COMPUTED_VALUE"""),"Ancient Fire Dragon")</f>
        <v>Ancient Fire Dragon</v>
      </c>
      <c r="B424" s="103" t="str">
        <f>IFERROR(__xludf.DUMMYFUNCTION("""COMPUTED_VALUE"""),"https://static.wikia.nocookie.net/vampirehunterd/images/5/53/RED_FIRE_BREATHING_FIRE_DRAGON_KNIGHT_BATTLE_CASTLE_AGE_HEART_GAME_CONCEPT_ART_1_2_II_BY_KEKAI_3.jpg/revision/latest/scale-to-width-down/1195")</f>
        <v>https://static.wikia.nocookie.net/vampirehunterd/images/5/53/RED_FIRE_BREATHING_FIRE_DRAGON_KNIGHT_BATTLE_CASTLE_AGE_HEART_GAME_CONCEPT_ART_1_2_II_BY_KEKAI_3.jpg/revision/latest/scale-to-width-down/1195</v>
      </c>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t="str">
        <f>IFERROR(__xludf.DUMMYFUNCTION("""COMPUTED_VALUE"""),"Ancient Undead Dragon")</f>
        <v>Ancient Undead Dragon</v>
      </c>
      <c r="B426" s="103" t="str">
        <f>IFERROR(__xludf.DUMMYFUNCTION("""COMPUTED_VALUE"""),"https://i.pinimg.com/736x/1f/b8/0d/1fb80dce083393ee16874fcc04ccf1a5.jpg")</f>
        <v>https://i.pinimg.com/736x/1f/b8/0d/1fb80dce083393ee16874fcc04ccf1a5.jpg</v>
      </c>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t="str">
        <f>IFERROR(__xludf.DUMMYFUNCTION("""COMPUTED_VALUE"""),"Ancient Crystal Dragon")</f>
        <v>Ancient Crystal Dragon</v>
      </c>
      <c r="B427" s="103" t="str">
        <f>IFERROR(__xludf.DUMMYFUNCTION("""COMPUTED_VALUE"""),"https://i.pinimg.com/originals/c5/c4/f1/c5c4f16c6b756db55373075d9661b3a0.jpg")</f>
        <v>https://i.pinimg.com/originals/c5/c4/f1/c5c4f16c6b756db55373075d9661b3a0.jpg</v>
      </c>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t="str">
        <f>IFERROR(__xludf.DUMMYFUNCTION("""COMPUTED_VALUE"""),"Divine Acid Dragon")</f>
        <v>Divine Acid Dragon</v>
      </c>
      <c r="B428" s="103" t="str">
        <f>IFERROR(__xludf.DUMMYFUNCTION("""COMPUTED_VALUE"""),"https://i.pinimg.com/originals/20/02/d3/2002d3214a41bc756183bbb74b1e2084.jpg")</f>
        <v>https://i.pinimg.com/originals/20/02/d3/2002d3214a41bc756183bbb74b1e2084.jpg</v>
      </c>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t="str">
        <f>IFERROR(__xludf.DUMMYFUNCTION("""COMPUTED_VALUE"""),"Divine Water Dragon")</f>
        <v>Divine Water Dragon</v>
      </c>
      <c r="B429" s="103" t="str">
        <f>IFERROR(__xludf.DUMMYFUNCTION("""COMPUTED_VALUE"""),"https://i.pinimg.com/564x/3f/2d/24/3f2d242c6a85ac83be8f8e9c0ce6dfbb.jpg")</f>
        <v>https://i.pinimg.com/564x/3f/2d/24/3f2d242c6a85ac83be8f8e9c0ce6dfbb.jpg</v>
      </c>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t="str">
        <f>IFERROR(__xludf.DUMMYFUNCTION("""COMPUTED_VALUE"""),"Divine Astral Dragon")</f>
        <v>Divine Astral Dragon</v>
      </c>
      <c r="B430" s="103" t="str">
        <f>IFERROR(__xludf.DUMMYFUNCTION("""COMPUTED_VALUE"""),"https://i.pinimg.com/originals/20/02/d3/2002d3214a41bc756183bbb74b1e2084.jpg")</f>
        <v>https://i.pinimg.com/originals/20/02/d3/2002d3214a41bc756183bbb74b1e2084.jpg</v>
      </c>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t="str">
        <f>IFERROR(__xludf.DUMMYFUNCTION("""COMPUTED_VALUE"""),"Divine Celestial Dragon")</f>
        <v>Divine Celestial Dragon</v>
      </c>
      <c r="B431" s="103" t="str">
        <f>IFERROR(__xludf.DUMMYFUNCTION("""COMPUTED_VALUE"""),"https://i.pinimg.com/originals/20/02/d3/2002d3214a41bc756183bbb74b1e2084.jpg")</f>
        <v>https://i.pinimg.com/originals/20/02/d3/2002d3214a41bc756183bbb74b1e2084.jpg</v>
      </c>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t="str">
        <f>IFERROR(__xludf.DUMMYFUNCTION("""COMPUTED_VALUE"""),"Divine Chaos Dragon")</f>
        <v>Divine Chaos Dragon</v>
      </c>
      <c r="B432" s="103" t="str">
        <f>IFERROR(__xludf.DUMMYFUNCTION("""COMPUTED_VALUE"""),"https://i.pinimg.com/originals/20/02/d3/2002d3214a41bc756183bbb74b1e2084.jpg")</f>
        <v>https://i.pinimg.com/originals/20/02/d3/2002d3214a41bc756183bbb74b1e2084.jpg</v>
      </c>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t="str">
        <f>IFERROR(__xludf.DUMMYFUNCTION("""COMPUTED_VALUE"""),"Divine Dark Dragon")</f>
        <v>Divine Dark Dragon</v>
      </c>
      <c r="B433" s="103" t="str">
        <f>IFERROR(__xludf.DUMMYFUNCTION("""COMPUTED_VALUE"""),"https://i.pinimg.com/originals/20/02/d3/2002d3214a41bc756183bbb74b1e2084.jpg")</f>
        <v>https://i.pinimg.com/originals/20/02/d3/2002d3214a41bc756183bbb74b1e2084.jpg</v>
      </c>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t="str">
        <f>IFERROR(__xludf.DUMMYFUNCTION("""COMPUTED_VALUE"""),"Divine Delta Dragon")</f>
        <v>Divine Delta Dragon</v>
      </c>
      <c r="B434" s="103" t="str">
        <f>IFERROR(__xludf.DUMMYFUNCTION("""COMPUTED_VALUE"""),"https://i.pinimg.com/originals/20/02/d3/2002d3214a41bc756183bbb74b1e2084.jpg")</f>
        <v>https://i.pinimg.com/originals/20/02/d3/2002d3214a41bc756183bbb74b1e2084.jpg</v>
      </c>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t="str">
        <f>IFERROR(__xludf.DUMMYFUNCTION("""COMPUTED_VALUE"""),"Divine Forest Dragon")</f>
        <v>Divine Forest Dragon</v>
      </c>
      <c r="B435" s="103" t="str">
        <f>IFERROR(__xludf.DUMMYFUNCTION("""COMPUTED_VALUE"""),"https://prod-cdn-07.storenvy.com/product_photos/74369319/file_2f98e1e112_original.jpg")</f>
        <v>https://prod-cdn-07.storenvy.com/product_photos/74369319/file_2f98e1e112_original.jpg</v>
      </c>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t="str">
        <f>IFERROR(__xludf.DUMMYFUNCTION("""COMPUTED_VALUE"""),"Divine Frost Dragon")</f>
        <v>Divine Frost Dragon</v>
      </c>
      <c r="B436" s="103"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t="str">
        <f>IFERROR(__xludf.DUMMYFUNCTION("""COMPUTED_VALUE"""),"Divine Soul Dragon")</f>
        <v>Divine Soul Dragon</v>
      </c>
      <c r="B437" s="103" t="str">
        <f>IFERROR(__xludf.DUMMYFUNCTION("""COMPUTED_VALUE"""),"https://static.wikia.nocookie.net/charm-of-soul-pets-cosp/images/1/1a/C2tu6z8kg4s51.jpg/revision/latest?cb=20210512170831")</f>
        <v>https://static.wikia.nocookie.net/charm-of-soul-pets-cosp/images/1/1a/C2tu6z8kg4s51.jpg/revision/latest?cb=20210512170831</v>
      </c>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t="str">
        <f>IFERROR(__xludf.DUMMYFUNCTION("""COMPUTED_VALUE"""),"Divine Spirit Dragon")</f>
        <v>Divine Spirit Dragon</v>
      </c>
      <c r="B438" s="103" t="str">
        <f>IFERROR(__xludf.DUMMYFUNCTION("""COMPUTED_VALUE"""),"https://www.originalmagicart.store/cdn/shop/products/Swanland_UginSpiritDragon_Print_5000x.jpg?v=1603674292")</f>
        <v>https://www.originalmagicart.store/cdn/shop/products/Swanland_UginSpiritDragon_Print_5000x.jpg?v=1603674292</v>
      </c>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t="str">
        <f>IFERROR(__xludf.DUMMYFUNCTION("""COMPUTED_VALUE"""),"Divine Stone Dragon")</f>
        <v>Divine Stone Dragon</v>
      </c>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t="str">
        <f>IFERROR(__xludf.DUMMYFUNCTION("""COMPUTED_VALUE"""),"Divine Fire Dragon")</f>
        <v>Divine Fire Dragon</v>
      </c>
      <c r="B441" s="103" t="str">
        <f>IFERROR(__xludf.DUMMYFUNCTION("""COMPUTED_VALUE"""),"https://static.wikia.nocookie.net/vampirehunterd/images/5/53/RED_FIRE_BREATHING_FIRE_DRAGON_KNIGHT_BATTLE_CASTLE_AGE_HEART_GAME_CONCEPT_ART_1_2_II_BY_KEKAI_3.jpg/revision/latest/scale-to-width-down/1195")</f>
        <v>https://static.wikia.nocookie.net/vampirehunterd/images/5/53/RED_FIRE_BREATHING_FIRE_DRAGON_KNIGHT_BATTLE_CASTLE_AGE_HEART_GAME_CONCEPT_ART_1_2_II_BY_KEKAI_3.jpg/revision/latest/scale-to-width-down/1195</v>
      </c>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t="str">
        <f>IFERROR(__xludf.DUMMYFUNCTION("""COMPUTED_VALUE"""),"Divine Void Dragon")</f>
        <v>Divine Void Dragon</v>
      </c>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t="str">
        <f>IFERROR(__xludf.DUMMYFUNCTION("""COMPUTED_VALUE"""),"Divine Undead Dragon")</f>
        <v>Divine Undead Dragon</v>
      </c>
      <c r="B443" s="103" t="str">
        <f>IFERROR(__xludf.DUMMYFUNCTION("""COMPUTED_VALUE"""),"https://i.pinimg.com/736x/1f/b8/0d/1fb80dce083393ee16874fcc04ccf1a5.jpg")</f>
        <v>https://i.pinimg.com/736x/1f/b8/0d/1fb80dce083393ee16874fcc04ccf1a5.jpg</v>
      </c>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t="str">
        <f>IFERROR(__xludf.DUMMYFUNCTION("""COMPUTED_VALUE"""),"Divine Crystal Dragon")</f>
        <v>Divine Crystal Dragon</v>
      </c>
      <c r="B444" s="103" t="str">
        <f>IFERROR(__xludf.DUMMYFUNCTION("""COMPUTED_VALUE"""),"https://i.pinimg.com/originals/c5/c4/f1/c5c4f16c6b756db55373075d9661b3a0.jpg")</f>
        <v>https://i.pinimg.com/originals/c5/c4/f1/c5c4f16c6b756db55373075d9661b3a0.jpg</v>
      </c>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t="str">
        <f>IFERROR(__xludf.DUMMYFUNCTION("""COMPUTED_VALUE"""),"Acid Wyrm")</f>
        <v>Acid Wyrm</v>
      </c>
      <c r="B445" s="103" t="str">
        <f>IFERROR(__xludf.DUMMYFUNCTION("""COMPUTED_VALUE"""),"https://i.pinimg.com/originals/20/02/d3/2002d3214a41bc756183bbb74b1e2084.jpg")</f>
        <v>https://i.pinimg.com/originals/20/02/d3/2002d3214a41bc756183bbb74b1e2084.jpg</v>
      </c>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t="str">
        <f>IFERROR(__xludf.DUMMYFUNCTION("""COMPUTED_VALUE"""),"Astral Wyrm")</f>
        <v>Astral Wyrm</v>
      </c>
      <c r="B446" s="103" t="str">
        <f>IFERROR(__xludf.DUMMYFUNCTION("""COMPUTED_VALUE"""),"https://i.redd.it/vl2ec0kys2u51.jpg")</f>
        <v>https://i.redd.it/vl2ec0kys2u51.jpg</v>
      </c>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t="str">
        <f>IFERROR(__xludf.DUMMYFUNCTION("""COMPUTED_VALUE"""),"Celestial Wyrm")</f>
        <v>Celestial Wyrm</v>
      </c>
      <c r="B447" s="103" t="str">
        <f>IFERROR(__xludf.DUMMYFUNCTION("""COMPUTED_VALUE"""),"https://i.pinimg.com/originals/c1/8e/1a/c18e1a06b0d67090e3e0c20a445952a3.jpg")</f>
        <v>https://i.pinimg.com/originals/c1/8e/1a/c18e1a06b0d67090e3e0c20a445952a3.jpg</v>
      </c>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t="str">
        <f>IFERROR(__xludf.DUMMYFUNCTION("""COMPUTED_VALUE"""),"Chaos Wyrm")</f>
        <v>Chaos Wyrm</v>
      </c>
      <c r="B448" s="103" t="str">
        <f>IFERROR(__xludf.DUMMYFUNCTION("""COMPUTED_VALUE"""),"https://i.pinimg.com/originals/e8/87/c9/e887c9edf5f5f24e110e1db64f7296a5.jpg")</f>
        <v>https://i.pinimg.com/originals/e8/87/c9/e887c9edf5f5f24e110e1db64f7296a5.jpg</v>
      </c>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t="str">
        <f>IFERROR(__xludf.DUMMYFUNCTION("""COMPUTED_VALUE"""),"Dark Wyrm")</f>
        <v>Dark Wyrm</v>
      </c>
      <c r="B449" s="103" t="str">
        <f>IFERROR(__xludf.DUMMYFUNCTION("""COMPUTED_VALUE"""),"https://w0.peakpx.com/wallpaper/495/31/HD-wallpaper-dragon-art-fantasy-wings-dark-black-blue.jpg")</f>
        <v>https://w0.peakpx.com/wallpaper/495/31/HD-wallpaper-dragon-art-fantasy-wings-dark-black-blue.jpg</v>
      </c>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t="str">
        <f>IFERROR(__xludf.DUMMYFUNCTION("""COMPUTED_VALUE"""),"Delta Wyrm")</f>
        <v>Delta Wyrm</v>
      </c>
      <c r="B450" s="103" t="str">
        <f>IFERROR(__xludf.DUMMYFUNCTION("""COMPUTED_VALUE"""),"https://www.wallpaperup.com/uploads/wallpapers/2015/03/30/649871/c57c9388e263a93f386c1242f7f289ad-700.jpg")</f>
        <v>https://www.wallpaperup.com/uploads/wallpapers/2015/03/30/649871/c57c9388e263a93f386c1242f7f289ad-700.jpg</v>
      </c>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t="str">
        <f>IFERROR(__xludf.DUMMYFUNCTION("""COMPUTED_VALUE"""),"Frost Wyrm")</f>
        <v>Frost Wyrm</v>
      </c>
      <c r="B451" s="103"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t="str">
        <f>IFERROR(__xludf.DUMMYFUNCTION("""COMPUTED_VALUE"""),"Soul Wyrm")</f>
        <v>Soul Wyrm</v>
      </c>
      <c r="B452" s="103" t="str">
        <f>IFERROR(__xludf.DUMMYFUNCTION("""COMPUTED_VALUE"""),"https://static.wikia.nocookie.net/charm-of-soul-pets-cosp/images/1/1a/C2tu6z8kg4s51.jpg/revision/latest?cb=20210512170831")</f>
        <v>https://static.wikia.nocookie.net/charm-of-soul-pets-cosp/images/1/1a/C2tu6z8kg4s51.jpg/revision/latest?cb=20210512170831</v>
      </c>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t="str">
        <f>IFERROR(__xludf.DUMMYFUNCTION("""COMPUTED_VALUE"""),"Spirit Wyrm")</f>
        <v>Spirit Wyrm</v>
      </c>
      <c r="B453" s="103" t="str">
        <f>IFERROR(__xludf.DUMMYFUNCTION("""COMPUTED_VALUE"""),"https://www.originalmagicart.store/cdn/shop/products/Swanland_UginSpiritDragon_Print_5000x.jpg?v=1603674292")</f>
        <v>https://www.originalmagicart.store/cdn/shop/products/Swanland_UginSpiritDragon_Print_5000x.jpg?v=1603674292</v>
      </c>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t="str">
        <f>IFERROR(__xludf.DUMMYFUNCTION("""COMPUTED_VALUE"""),"Komodo Dragon")</f>
        <v>Komodo Dragon</v>
      </c>
      <c r="B454" s="103" t="str">
        <f>IFERROR(__xludf.DUMMYFUNCTION("""COMPUTED_VALUE"""),"https://www.wallpaperup.com/uploads/wallpapers/2015/04/29/674345/11b9f13ecdd67d32f7767d4851153487-700.jpg")</f>
        <v>https://www.wallpaperup.com/uploads/wallpapers/2015/04/29/674345/11b9f13ecdd67d32f7767d4851153487-700.jpg</v>
      </c>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t="str">
        <f>IFERROR(__xludf.DUMMYFUNCTION("""COMPUTED_VALUE"""),"Undead Wyrm")</f>
        <v>Undead Wyrm</v>
      </c>
      <c r="B456" s="103" t="str">
        <f>IFERROR(__xludf.DUMMYFUNCTION("""COMPUTED_VALUE"""),"https://i.pinimg.com/736x/1f/b8/0d/1fb80dce083393ee16874fcc04ccf1a5.jpg")</f>
        <v>https://i.pinimg.com/736x/1f/b8/0d/1fb80dce083393ee16874fcc04ccf1a5.jpg</v>
      </c>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t="str">
        <f>IFERROR(__xludf.DUMMYFUNCTION("""COMPUTED_VALUE"""),"Crystal Wyrm")</f>
        <v>Crystal Wyrm</v>
      </c>
      <c r="B457" s="103" t="str">
        <f>IFERROR(__xludf.DUMMYFUNCTION("""COMPUTED_VALUE"""),"https://i.pinimg.com/originals/c5/c4/f1/c5c4f16c6b756db55373075d9661b3a0.jpg")</f>
        <v>https://i.pinimg.com/originals/c5/c4/f1/c5c4f16c6b756db55373075d9661b3a0.jpg</v>
      </c>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t="str">
        <f>IFERROR(__xludf.DUMMYFUNCTION("""COMPUTED_VALUE"""),"Lizardfolk Wizard")</f>
        <v>Lizardfolk Wizard</v>
      </c>
      <c r="B458" s="103" t="str">
        <f>IFERROR(__xludf.DUMMYFUNCTION("""COMPUTED_VALUE"""),"https://images-wixmp-ed30a86b8c4ca887773594c2.wixmp.com/f/829dde96-a3f9-4506-a222-87d88adab205/dfqw09q-02f18045-ad67-4ddf-8905-2dfa5cf95528.jpg/v1/fill/w_717,h_1115,q_70,strp/reptile_mage_by_fyrgor_dfqw09q-pre.jpg?token=eyJ0eXAiOiJKV1QiLCJhbGciOiJIUzI1NiJ"&amp;"9.eyJzdWIiOiJ1cm46YXBwOjdlMGQxODg5ODIyNjQzNzNhNWYwZDQxNWVhMGQyNmUwIiwiaXNzIjoidXJuOmFwcDo3ZTBkMTg4OTgyMjY0MzczYTVmMGQ0MTVlYTBkMjZlMCIsIm9iaiI6W1t7ImhlaWdodCI6Ijw9Mjk4NyIsInBhdGgiOiJcL2ZcLzgyOWRkZTk2LWEzZjktNDUwNi1hMjIyLTg3ZDg4YWRhYjIwNVwvZGZxdzA5cS0wMmYxO"&amp;"DA0NS1hZDY3LTRkZGYtODkwNS0yZGZhNWNmOTU1MjguanBnIiwid2lkdGgiOiI8PTE5MjAifV1dLCJhdWQiOlsidXJuOnNlcnZpY2U6aW1hZ2Uub3BlcmF0aW9ucyJdfQ.YnKPPHesx8E-N_z102ECFNjw9TlqFcbaGVeKhijo5tI")</f>
        <v>https://images-wixmp-ed30a86b8c4ca887773594c2.wixmp.com/f/829dde96-a3f9-4506-a222-87d88adab205/dfqw09q-02f18045-ad67-4ddf-8905-2dfa5cf95528.jpg/v1/fill/w_717,h_1115,q_70,strp/reptile_mage_by_fyrgor_dfqw09q-pre.jpg?token=eyJ0eXAiOiJKV1QiLCJhbGciOiJIUzI1NiJ9.eyJzdWIiOiJ1cm46YXBwOjdlMGQxODg5ODIyNjQzNzNhNWYwZDQxNWVhMGQyNmUwIiwiaXNzIjoidXJuOmFwcDo3ZTBkMTg4OTgyMjY0MzczYTVmMGQ0MTVlYTBkMjZlMCIsIm9iaiI6W1t7ImhlaWdodCI6Ijw9Mjk4NyIsInBhdGgiOiJcL2ZcLzgyOWRkZTk2LWEzZjktNDUwNi1hMjIyLTg3ZDg4YWRhYjIwNVwvZGZxdzA5cS0wMmYxODA0NS1hZDY3LTRkZGYtODkwNS0yZGZhNWNmOTU1MjguanBnIiwid2lkdGgiOiI8PTE5MjAifV1dLCJhdWQiOlsidXJuOnNlcnZpY2U6aW1hZ2Uub3BlcmF0aW9ucyJdfQ.YnKPPHesx8E-N_z102ECFNjw9TlqFcbaGVeKhijo5tI</v>
      </c>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t="str">
        <f>IFERROR(__xludf.DUMMYFUNCTION("""COMPUTED_VALUE"""),"Lizardfolk Thief")</f>
        <v>Lizardfolk Thief</v>
      </c>
      <c r="B459" s="103" t="str">
        <f>IFERROR(__xludf.DUMMYFUNCTION("""COMPUTED_VALUE"""),"https://i.pinimg.com/236x/a8/b4/2d/a8b42d6b9f873095670be71c83c19a64.jpg")</f>
        <v>https://i.pinimg.com/236x/a8/b4/2d/a8b42d6b9f873095670be71c83c19a64.jpg</v>
      </c>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t="str">
        <f>IFERROR(__xludf.DUMMYFUNCTION("""COMPUTED_VALUE"""),"Lizardfolk Warrior")</f>
        <v>Lizardfolk Warrior</v>
      </c>
      <c r="B460" s="103" t="str">
        <f>IFERROR(__xludf.DUMMYFUNCTION("""COMPUTED_VALUE"""),"https://i.pinimg.com/236x/72/93/af/7293af721a442b90190d9c41c9bc2502.jpg")</f>
        <v>https://i.pinimg.com/236x/72/93/af/7293af721a442b90190d9c41c9bc2502.jpg</v>
      </c>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t="str">
        <f>IFERROR(__xludf.DUMMYFUNCTION("""COMPUTED_VALUE"""),"Iguanian  Assassin")</f>
        <v>Iguanian  Assassin</v>
      </c>
      <c r="B461" s="103" t="str">
        <f>IFERROR(__xludf.DUMMYFUNCTION("""COMPUTED_VALUE"""),"https://storage.googleapis.com/pai-images/214123d8395b4deaa0285329bc1ddafe.jpeg")</f>
        <v>https://storage.googleapis.com/pai-images/214123d8395b4deaa0285329bc1ddafe.jpeg</v>
      </c>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t="str">
        <f>IFERROR(__xludf.DUMMYFUNCTION("""COMPUTED_VALUE"""),"Iguanian Brawler")</f>
        <v>Iguanian Brawler</v>
      </c>
      <c r="B462" s="103" t="str">
        <f>IFERROR(__xludf.DUMMYFUNCTION("""COMPUTED_VALUE"""),"https://storage.googleapis.com/pai-images/214123d8395b4deaa0285329bc1ddafe.jpeg")</f>
        <v>https://storage.googleapis.com/pai-images/214123d8395b4deaa0285329bc1ddafe.jpeg</v>
      </c>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t="str">
        <f>IFERROR(__xludf.DUMMYFUNCTION("""COMPUTED_VALUE"""),"Iguanian Mage")</f>
        <v>Iguanian Mage</v>
      </c>
      <c r="B463" s="103" t="str">
        <f>IFERROR(__xludf.DUMMYFUNCTION("""COMPUTED_VALUE"""),"https://storage.googleapis.com/pai-images/214123d8395b4deaa0285329bc1ddafe.jpeg")</f>
        <v>https://storage.googleapis.com/pai-images/214123d8395b4deaa0285329bc1ddafe.jpeg</v>
      </c>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t="str">
        <f>IFERROR(__xludf.DUMMYFUNCTION("""COMPUTED_VALUE"""),"Salamandrith Ranger")</f>
        <v>Salamandrith Ranger</v>
      </c>
      <c r="B464" s="103" t="str">
        <f>IFERROR(__xludf.DUMMYFUNCTION("""COMPUTED_VALUE"""),"https://storage.prompt-hunt.workers.dev/clhnvt3xd000bmh08dfcyjrrp_1")</f>
        <v>https://storage.prompt-hunt.workers.dev/clhnvt3xd000bmh08dfcyjrrp_1</v>
      </c>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t="str">
        <f>IFERROR(__xludf.DUMMYFUNCTION("""COMPUTED_VALUE"""),"Salamandrith Cultist")</f>
        <v>Salamandrith Cultist</v>
      </c>
      <c r="B465" s="103" t="str">
        <f>IFERROR(__xludf.DUMMYFUNCTION("""COMPUTED_VALUE"""),"https://storage.prompt-hunt.workers.dev/clhnvt3xd000bmh08dfcyjrrp_1")</f>
        <v>https://storage.prompt-hunt.workers.dev/clhnvt3xd000bmh08dfcyjrrp_1</v>
      </c>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t="str">
        <f>IFERROR(__xludf.DUMMYFUNCTION("""COMPUTED_VALUE"""),"Salamandrith Shaman")</f>
        <v>Salamandrith Shaman</v>
      </c>
      <c r="B466" s="103" t="str">
        <f>IFERROR(__xludf.DUMMYFUNCTION("""COMPUTED_VALUE"""),"https://storage.prompt-hunt.workers.dev/clhnvt3xd000bmh08dfcyjrrp_1")</f>
        <v>https://storage.prompt-hunt.workers.dev/clhnvt3xd000bmh08dfcyjrrp_1</v>
      </c>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t="str">
        <f>IFERROR(__xludf.DUMMYFUNCTION("""COMPUTED_VALUE"""),"Geckorian Wandering Sword")</f>
        <v>Geckorian Wandering Sword</v>
      </c>
      <c r="B467" s="103" t="str">
        <f>IFERROR(__xludf.DUMMYFUNCTION("""COMPUTED_VALUE"""),"https://generations.krea.ai/images/391505a4-1bf9-43cd-af90-25e843be8b49.webp")</f>
        <v>https://generations.krea.ai/images/391505a4-1bf9-43cd-af90-25e843be8b49.webp</v>
      </c>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t="str">
        <f>IFERROR(__xludf.DUMMYFUNCTION("""COMPUTED_VALUE"""),"Geckorian Minstrel")</f>
        <v>Geckorian Minstrel</v>
      </c>
      <c r="B468" s="103" t="str">
        <f>IFERROR(__xludf.DUMMYFUNCTION("""COMPUTED_VALUE"""),"https://generations.krea.ai/images/391505a4-1bf9-43cd-af90-25e843be8b49.webp")</f>
        <v>https://generations.krea.ai/images/391505a4-1bf9-43cd-af90-25e843be8b49.webp</v>
      </c>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t="str">
        <f>IFERROR(__xludf.DUMMYFUNCTION("""COMPUTED_VALUE"""),"Geckorian Warden")</f>
        <v>Geckorian Warden</v>
      </c>
      <c r="B469" s="103" t="str">
        <f>IFERROR(__xludf.DUMMYFUNCTION("""COMPUTED_VALUE"""),"https://generations.krea.ai/images/391505a4-1bf9-43cd-af90-25e843be8b49.webp")</f>
        <v>https://generations.krea.ai/images/391505a4-1bf9-43cd-af90-25e843be8b49.webp</v>
      </c>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t="str">
        <f>IFERROR(__xludf.DUMMYFUNCTION("""COMPUTED_VALUE"""),"Chameldrian Infiltrator")</f>
        <v>Chameldrian Infiltrator</v>
      </c>
      <c r="B470" s="103" t="str">
        <f>IFERROR(__xludf.DUMMYFUNCTION("""COMPUTED_VALUE"""),"https://img.freepik.com/premium-photo/chameleon-with-humanoid-body-tribal-member-wearing-intricate-clothing-accessories_846204-860.jpg")</f>
        <v>https://img.freepik.com/premium-photo/chameleon-with-humanoid-body-tribal-member-wearing-intricate-clothing-accessories_846204-860.jpg</v>
      </c>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t="str">
        <f>IFERROR(__xludf.DUMMYFUNCTION("""COMPUTED_VALUE"""),"Chameldrian Druid")</f>
        <v>Chameldrian Druid</v>
      </c>
      <c r="B471" s="103" t="str">
        <f>IFERROR(__xludf.DUMMYFUNCTION("""COMPUTED_VALUE"""),"https://img.freepik.com/premium-photo/chameleon-with-humanoid-body-tribal-member-wearing-intricate-clothing-accessories_846204-860.jpg")</f>
        <v>https://img.freepik.com/premium-photo/chameleon-with-humanoid-body-tribal-member-wearing-intricate-clothing-accessories_846204-860.jpg</v>
      </c>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t="str">
        <f>IFERROR(__xludf.DUMMYFUNCTION("""COMPUTED_VALUE"""),"Chameldrian Berserker")</f>
        <v>Chameldrian Berserker</v>
      </c>
      <c r="B472" s="103" t="str">
        <f>IFERROR(__xludf.DUMMYFUNCTION("""COMPUTED_VALUE"""),"https://img.freepik.com/premium-photo/chameleon-with-humanoid-body-tribal-member-wearing-intricate-clothing-accessories_846204-860.jpg")</f>
        <v>https://img.freepik.com/premium-photo/chameleon-with-humanoid-body-tribal-member-wearing-intricate-clothing-accessories_846204-860.jpg</v>
      </c>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t="str">
        <f>IFERROR(__xludf.DUMMYFUNCTION("""COMPUTED_VALUE"""),"Ancient Wood Dragon")</f>
        <v>Ancient Wood Dragon</v>
      </c>
      <c r="B473" s="103" t="str">
        <f>IFERROR(__xludf.DUMMYFUNCTION("""COMPUTED_VALUE"""),"https://i.pinimg.com/originals/12/35/55/123555fa1ac0e853ded11b494b3ab0bf.jpg")</f>
        <v>https://i.pinimg.com/originals/12/35/55/123555fa1ac0e853ded11b494b3ab0bf.jpg</v>
      </c>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t="str">
        <f>IFERROR(__xludf.DUMMYFUNCTION("""COMPUTED_VALUE"""),"Sataniel - Keeper of The Banished")</f>
        <v>Sataniel - Keeper of The Banished</v>
      </c>
      <c r="B474" s="103" t="str">
        <f>IFERROR(__xludf.DUMMYFUNCTION("""COMPUTED_VALUE"""),"https://drive.google.com/uc?export=view&amp;id=1annaFAfYLggO4jVBXHeGecRxSdsg2q_i")</f>
        <v>https://drive.google.com/uc?export=view&amp;id=1annaFAfYLggO4jVBXHeGecRxSdsg2q_i</v>
      </c>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t="str">
        <f>IFERROR(__xludf.DUMMYFUNCTION("""COMPUTED_VALUE"""),"The First Dragon Keeper")</f>
        <v>The First Dragon Keeper</v>
      </c>
      <c r="B475" s="103" t="str">
        <f>IFERROR(__xludf.DUMMYFUNCTION("""COMPUTED_VALUE"""),"https://drive.google.com/uc?export=view&amp;id=1uBqFP-9QPpiu8UGDL0qzE4fhwEl1-bWC")</f>
        <v>https://drive.google.com/uc?export=view&amp;id=1uBqFP-9QPpiu8UGDL0qzE4fhwEl1-bWC</v>
      </c>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t="str">
        <f>IFERROR(__xludf.DUMMYFUNCTION("""COMPUTED_VALUE"""),"Aspect of The First Dragon Keeper (Easy)")</f>
        <v>Aspect of The First Dragon Keeper (Easy)</v>
      </c>
      <c r="B476" s="103" t="str">
        <f>IFERROR(__xludf.DUMMYFUNCTION("""COMPUTED_VALUE"""),"https://drive.google.com/uc?export=view&amp;id=1uBqFP-9QPpiu8UGDL0qzE4fhwEl1-bWC")</f>
        <v>https://drive.google.com/uc?export=view&amp;id=1uBqFP-9QPpiu8UGDL0qzE4fhwEl1-bWC</v>
      </c>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t="str">
        <f>IFERROR(__xludf.DUMMYFUNCTION("""COMPUTED_VALUE"""),"Aspect of The First Dragon Keeper (Medium)")</f>
        <v>Aspect of The First Dragon Keeper (Medium)</v>
      </c>
      <c r="B477" s="103" t="str">
        <f>IFERROR(__xludf.DUMMYFUNCTION("""COMPUTED_VALUE"""),"https://drive.google.com/uc?export=view&amp;id=1uBqFP-9QPpiu8UGDL0qzE4fhwEl1-bWC")</f>
        <v>https://drive.google.com/uc?export=view&amp;id=1uBqFP-9QPpiu8UGDL0qzE4fhwEl1-bWC</v>
      </c>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t="str">
        <f>IFERROR(__xludf.DUMMYFUNCTION("""COMPUTED_VALUE"""),"Aspect of The First Dragon Keeper (Hard)")</f>
        <v>Aspect of The First Dragon Keeper (Hard)</v>
      </c>
      <c r="B478" s="103" t="str">
        <f>IFERROR(__xludf.DUMMYFUNCTION("""COMPUTED_VALUE"""),"https://drive.google.com/uc?export=view&amp;id=1uBqFP-9QPpiu8UGDL0qzE4fhwEl1-bWC")</f>
        <v>https://drive.google.com/uc?export=view&amp;id=1uBqFP-9QPpiu8UGDL0qzE4fhwEl1-bWC</v>
      </c>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t="str">
        <f>IFERROR(__xludf.DUMMYFUNCTION("""COMPUTED_VALUE"""),"Aspect of The First Dragon Keeper (Insane)")</f>
        <v>Aspect of The First Dragon Keeper (Insane)</v>
      </c>
      <c r="B479" s="103" t="str">
        <f>IFERROR(__xludf.DUMMYFUNCTION("""COMPUTED_VALUE"""),"https://drive.google.com/uc?export=view&amp;id=1uBqFP-9QPpiu8UGDL0qzE4fhwEl1-bWC")</f>
        <v>https://drive.google.com/uc?export=view&amp;id=1uBqFP-9QPpiu8UGDL0qzE4fhwEl1-bWC</v>
      </c>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t="str">
        <f>IFERROR(__xludf.DUMMYFUNCTION("""COMPUTED_VALUE"""),"Sand Worm Queen")</f>
        <v>Sand Worm Queen</v>
      </c>
      <c r="B480" s="103" t="str">
        <f>IFERROR(__xludf.DUMMYFUNCTION("""COMPUTED_VALUE"""),"https://cdna.artstation.com/p/assets/images/images/002/602/996/large/eric-hu-sand-worms.jpg?1463535906")</f>
        <v>https://cdna.artstation.com/p/assets/images/images/002/602/996/large/eric-hu-sand-worms.jpg?1463535906</v>
      </c>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6"/>
    <hyperlink r:id="rId25" ref="B27"/>
    <hyperlink r:id="rId26" ref="B28"/>
    <hyperlink r:id="rId27" ref="B29"/>
    <hyperlink r:id="rId28" ref="B30"/>
    <hyperlink r:id="rId29" ref="B31"/>
    <hyperlink r:id="rId30" ref="B32"/>
    <hyperlink r:id="rId31" ref="B33"/>
    <hyperlink r:id="rId32" ref="B34"/>
    <hyperlink r:id="rId33" ref="B35"/>
    <hyperlink r:id="rId34" ref="B36"/>
    <hyperlink r:id="rId35" ref="B37"/>
    <hyperlink r:id="rId36" ref="B38"/>
    <hyperlink r:id="rId37" ref="B39"/>
    <hyperlink r:id="rId38" ref="B40"/>
    <hyperlink r:id="rId39" ref="B41"/>
    <hyperlink r:id="rId40" ref="B42"/>
    <hyperlink r:id="rId41" ref="B43"/>
    <hyperlink r:id="rId42" ref="B44"/>
    <hyperlink r:id="rId43" ref="B45"/>
    <hyperlink r:id="rId44" ref="B46"/>
    <hyperlink r:id="rId45" ref="B47"/>
    <hyperlink r:id="rId46" ref="B48"/>
    <hyperlink r:id="rId47" ref="B49"/>
    <hyperlink r:id="rId48" ref="B50"/>
    <hyperlink r:id="rId49" ref="B51"/>
    <hyperlink r:id="rId50" ref="B52"/>
    <hyperlink r:id="rId51" ref="B53"/>
    <hyperlink r:id="rId52" ref="B54"/>
    <hyperlink r:id="rId53" ref="B55"/>
    <hyperlink r:id="rId54" ref="B56"/>
    <hyperlink r:id="rId55" ref="B57"/>
    <hyperlink r:id="rId56" ref="B58"/>
    <hyperlink r:id="rId57" ref="B59"/>
    <hyperlink r:id="rId58" ref="B60"/>
    <hyperlink r:id="rId59" ref="B61"/>
    <hyperlink r:id="rId60" ref="B62"/>
    <hyperlink r:id="rId61" ref="B63"/>
    <hyperlink r:id="rId62" ref="B64"/>
    <hyperlink r:id="rId63" ref="B65"/>
    <hyperlink r:id="rId64" ref="B66"/>
    <hyperlink r:id="rId65" ref="B67"/>
    <hyperlink r:id="rId66" ref="B68"/>
    <hyperlink r:id="rId67" ref="B69"/>
    <hyperlink r:id="rId68" ref="B70"/>
    <hyperlink r:id="rId69" ref="B71"/>
    <hyperlink r:id="rId70" ref="B72"/>
    <hyperlink r:id="rId71" ref="B73"/>
    <hyperlink r:id="rId72" ref="B75"/>
    <hyperlink r:id="rId73" ref="B76"/>
    <hyperlink r:id="rId74" ref="B77"/>
    <hyperlink r:id="rId75" ref="B78"/>
    <hyperlink r:id="rId76" ref="B79"/>
    <hyperlink r:id="rId77" ref="B80"/>
    <hyperlink r:id="rId78" ref="B81"/>
    <hyperlink r:id="rId79" ref="B82"/>
    <hyperlink r:id="rId80" ref="B84"/>
    <hyperlink r:id="rId81" ref="B85"/>
    <hyperlink r:id="rId82" ref="B86"/>
    <hyperlink r:id="rId83" ref="B88"/>
    <hyperlink r:id="rId84" ref="B89"/>
    <hyperlink r:id="rId85" ref="B90"/>
    <hyperlink r:id="rId86" ref="B91"/>
    <hyperlink r:id="rId87" ref="B93"/>
    <hyperlink r:id="rId88" ref="B94"/>
    <hyperlink r:id="rId89" ref="B95"/>
    <hyperlink r:id="rId90" ref="B96"/>
    <hyperlink r:id="rId91" ref="B97"/>
    <hyperlink r:id="rId92" ref="B98"/>
    <hyperlink r:id="rId93" ref="B99"/>
    <hyperlink r:id="rId94" ref="B100"/>
    <hyperlink r:id="rId95" ref="B101"/>
    <hyperlink r:id="rId96" ref="B102"/>
    <hyperlink r:id="rId97" ref="B103"/>
    <hyperlink r:id="rId98" ref="B104"/>
    <hyperlink r:id="rId99" ref="B105"/>
    <hyperlink r:id="rId100" ref="B106"/>
    <hyperlink r:id="rId101" ref="B107"/>
    <hyperlink r:id="rId102" ref="B108"/>
    <hyperlink r:id="rId103" ref="B109"/>
    <hyperlink r:id="rId104" ref="B110"/>
    <hyperlink r:id="rId105" ref="B111"/>
    <hyperlink r:id="rId106" ref="B112"/>
    <hyperlink r:id="rId107" ref="B113"/>
    <hyperlink r:id="rId108" ref="B114"/>
    <hyperlink r:id="rId109" ref="B115"/>
    <hyperlink r:id="rId110" ref="B116"/>
    <hyperlink r:id="rId111" ref="B117"/>
    <hyperlink r:id="rId112" ref="B118"/>
    <hyperlink r:id="rId113" ref="B119"/>
    <hyperlink r:id="rId114" ref="B120"/>
    <hyperlink r:id="rId115" ref="B121"/>
    <hyperlink r:id="rId116" ref="B122"/>
    <hyperlink r:id="rId117" ref="B123"/>
    <hyperlink r:id="rId118" ref="B124"/>
    <hyperlink r:id="rId119" ref="B125"/>
    <hyperlink r:id="rId120" ref="B126"/>
    <hyperlink r:id="rId121" ref="B127"/>
    <hyperlink r:id="rId122" ref="B128"/>
    <hyperlink r:id="rId123" ref="B129"/>
    <hyperlink r:id="rId124" ref="B130"/>
    <hyperlink r:id="rId125" ref="B131"/>
    <hyperlink r:id="rId126" ref="B132"/>
    <hyperlink r:id="rId127" ref="B133"/>
    <hyperlink r:id="rId128" ref="B134"/>
    <hyperlink r:id="rId129" ref="B135"/>
    <hyperlink r:id="rId130" ref="B136"/>
    <hyperlink r:id="rId131" ref="B137"/>
    <hyperlink r:id="rId132" ref="B138"/>
    <hyperlink r:id="rId133" ref="B139"/>
    <hyperlink r:id="rId134" ref="B140"/>
    <hyperlink r:id="rId135" ref="B141"/>
    <hyperlink r:id="rId136" ref="B142"/>
    <hyperlink r:id="rId137" ref="B143"/>
    <hyperlink r:id="rId138" ref="B144"/>
    <hyperlink r:id="rId139" ref="B145"/>
    <hyperlink r:id="rId140" ref="B146"/>
    <hyperlink r:id="rId141" ref="B147"/>
    <hyperlink r:id="rId142" ref="B149"/>
    <hyperlink r:id="rId143" ref="B150"/>
    <hyperlink r:id="rId144" ref="B151"/>
    <hyperlink r:id="rId145" ref="B152"/>
    <hyperlink r:id="rId146" ref="B153"/>
    <hyperlink r:id="rId147" ref="B154"/>
    <hyperlink r:id="rId148" ref="B155"/>
    <hyperlink r:id="rId149" ref="B156"/>
    <hyperlink r:id="rId150" ref="B157"/>
    <hyperlink r:id="rId151" ref="B158"/>
    <hyperlink r:id="rId152" ref="B159"/>
    <hyperlink r:id="rId153" ref="B160"/>
    <hyperlink r:id="rId154" ref="B161"/>
    <hyperlink r:id="rId155" ref="B162"/>
    <hyperlink r:id="rId156" ref="B163"/>
    <hyperlink r:id="rId157" ref="B164"/>
    <hyperlink r:id="rId158" ref="B165"/>
    <hyperlink r:id="rId159" ref="B166"/>
    <hyperlink r:id="rId160" ref="B167"/>
    <hyperlink r:id="rId161" ref="B168"/>
    <hyperlink r:id="rId162" ref="B169"/>
    <hyperlink r:id="rId163" ref="B170"/>
    <hyperlink r:id="rId164" ref="B172"/>
    <hyperlink r:id="rId165" ref="B174"/>
    <hyperlink r:id="rId166" ref="B175"/>
    <hyperlink r:id="rId167" ref="B176"/>
    <hyperlink r:id="rId168" ref="B177"/>
    <hyperlink r:id="rId169" ref="B178"/>
    <hyperlink r:id="rId170" ref="B179"/>
    <hyperlink r:id="rId171" ref="B182"/>
    <hyperlink r:id="rId172" ref="B183"/>
    <hyperlink r:id="rId173" ref="B185"/>
    <hyperlink r:id="rId174" ref="B186"/>
    <hyperlink r:id="rId175" ref="B187"/>
    <hyperlink r:id="rId176" ref="B189"/>
    <hyperlink r:id="rId177" ref="B190"/>
    <hyperlink r:id="rId178" ref="B191"/>
    <hyperlink r:id="rId179" ref="B192"/>
    <hyperlink r:id="rId180" ref="B194"/>
    <hyperlink r:id="rId181" ref="B195"/>
    <hyperlink r:id="rId182" ref="B196"/>
    <hyperlink r:id="rId183" ref="B197"/>
    <hyperlink r:id="rId184" ref="B198"/>
    <hyperlink r:id="rId185" ref="B199"/>
    <hyperlink r:id="rId186" ref="B201"/>
    <hyperlink r:id="rId187" ref="B202"/>
    <hyperlink r:id="rId188" ref="B203"/>
    <hyperlink r:id="rId189" ref="B204"/>
    <hyperlink r:id="rId190" ref="B205"/>
    <hyperlink r:id="rId191" ref="B206"/>
    <hyperlink r:id="rId192" ref="B207"/>
    <hyperlink r:id="rId193" ref="B208"/>
    <hyperlink r:id="rId194" ref="B209"/>
    <hyperlink r:id="rId195" ref="B210"/>
    <hyperlink r:id="rId196" ref="B212"/>
    <hyperlink r:id="rId197" ref="B214"/>
    <hyperlink r:id="rId198" ref="B215"/>
    <hyperlink r:id="rId199" ref="B216"/>
    <hyperlink r:id="rId200" ref="B217"/>
    <hyperlink r:id="rId201" ref="B219"/>
    <hyperlink r:id="rId202" ref="B220"/>
    <hyperlink r:id="rId203" ref="B230"/>
    <hyperlink r:id="rId204" ref="B231"/>
    <hyperlink r:id="rId205" ref="B233"/>
    <hyperlink r:id="rId206" ref="B234"/>
    <hyperlink r:id="rId207" ref="B235"/>
    <hyperlink r:id="rId208" ref="B236"/>
    <hyperlink r:id="rId209" ref="B237"/>
    <hyperlink r:id="rId210" ref="B238"/>
    <hyperlink r:id="rId211" ref="B239"/>
    <hyperlink r:id="rId212" ref="B240"/>
    <hyperlink r:id="rId213" ref="B241"/>
    <hyperlink r:id="rId214" ref="B244"/>
    <hyperlink r:id="rId215" ref="B245"/>
    <hyperlink r:id="rId216" ref="B246"/>
    <hyperlink r:id="rId217" ref="B247"/>
    <hyperlink r:id="rId218" ref="B248"/>
    <hyperlink r:id="rId219" ref="B250"/>
    <hyperlink r:id="rId220" ref="B252"/>
    <hyperlink r:id="rId221" ref="B253"/>
    <hyperlink r:id="rId222" ref="B254"/>
    <hyperlink r:id="rId223" ref="B255"/>
    <hyperlink r:id="rId224" ref="B256"/>
    <hyperlink r:id="rId225" ref="B257"/>
    <hyperlink r:id="rId226" ref="B258"/>
    <hyperlink r:id="rId227" ref="B260"/>
    <hyperlink r:id="rId228" ref="B267"/>
    <hyperlink r:id="rId229" ref="B268"/>
    <hyperlink r:id="rId230" ref="B269"/>
    <hyperlink r:id="rId231" ref="B270"/>
    <hyperlink r:id="rId232" ref="B271"/>
    <hyperlink r:id="rId233" ref="B273"/>
    <hyperlink r:id="rId234" ref="B277"/>
    <hyperlink r:id="rId235" ref="B279"/>
    <hyperlink r:id="rId236" ref="B280"/>
    <hyperlink r:id="rId237" ref="B281"/>
    <hyperlink r:id="rId238" ref="B283"/>
    <hyperlink r:id="rId239" ref="B284"/>
    <hyperlink r:id="rId240" ref="B285"/>
    <hyperlink r:id="rId241" ref="B286"/>
    <hyperlink r:id="rId242" ref="B288"/>
    <hyperlink r:id="rId243" ref="B289"/>
    <hyperlink r:id="rId244" ref="B290"/>
    <hyperlink r:id="rId245" ref="B291"/>
    <hyperlink r:id="rId246" ref="B292"/>
    <hyperlink r:id="rId247" ref="B293"/>
    <hyperlink r:id="rId248" ref="B294"/>
    <hyperlink r:id="rId249" ref="B295"/>
    <hyperlink r:id="rId250" ref="B298"/>
    <hyperlink r:id="rId251" ref="B302"/>
    <hyperlink r:id="rId252" ref="B304"/>
    <hyperlink r:id="rId253" ref="B305"/>
    <hyperlink r:id="rId254" ref="B306"/>
    <hyperlink r:id="rId255" ref="B307"/>
    <hyperlink r:id="rId256" ref="B308"/>
    <hyperlink r:id="rId257" ref="B309"/>
    <hyperlink r:id="rId258" ref="B310"/>
    <hyperlink r:id="rId259" ref="B311"/>
    <hyperlink r:id="rId260" ref="B312"/>
    <hyperlink r:id="rId261" ref="B313"/>
    <hyperlink r:id="rId262" ref="B314"/>
    <hyperlink r:id="rId263" ref="B315"/>
    <hyperlink r:id="rId264" ref="B316"/>
    <hyperlink r:id="rId265" ref="B317"/>
    <hyperlink r:id="rId266" ref="B318"/>
    <hyperlink r:id="rId267" ref="B319"/>
    <hyperlink r:id="rId268" ref="B320"/>
    <hyperlink r:id="rId269" ref="B321"/>
    <hyperlink r:id="rId270" ref="B322"/>
    <hyperlink r:id="rId271" ref="B323"/>
    <hyperlink r:id="rId272" ref="B324"/>
    <hyperlink r:id="rId273" ref="B325"/>
    <hyperlink r:id="rId274" ref="B326"/>
    <hyperlink r:id="rId275" ref="B327"/>
    <hyperlink r:id="rId276" ref="B328"/>
    <hyperlink r:id="rId277" ref="B329"/>
    <hyperlink r:id="rId278" ref="B330"/>
    <hyperlink r:id="rId279" ref="B331"/>
    <hyperlink r:id="rId280" ref="B332"/>
    <hyperlink r:id="rId281" ref="B333"/>
    <hyperlink r:id="rId282" ref="B334"/>
    <hyperlink r:id="rId283" ref="B335"/>
    <hyperlink r:id="rId284" ref="B336"/>
    <hyperlink r:id="rId285" ref="B337"/>
    <hyperlink r:id="rId286" ref="B338"/>
    <hyperlink r:id="rId287" ref="B339"/>
    <hyperlink r:id="rId288" ref="B340"/>
    <hyperlink r:id="rId289" ref="B341"/>
    <hyperlink r:id="rId290" ref="B342"/>
    <hyperlink r:id="rId291" ref="B343"/>
    <hyperlink r:id="rId292" ref="B344"/>
    <hyperlink r:id="rId293" ref="B346"/>
    <hyperlink r:id="rId294" ref="B347"/>
    <hyperlink r:id="rId295" ref="B348"/>
    <hyperlink r:id="rId296" ref="B349"/>
    <hyperlink r:id="rId297" ref="B350"/>
    <hyperlink r:id="rId298" ref="B351"/>
    <hyperlink r:id="rId299" ref="B352"/>
    <hyperlink r:id="rId300" ref="B353"/>
    <hyperlink r:id="rId301" ref="B354"/>
    <hyperlink r:id="rId302" ref="B355"/>
    <hyperlink r:id="rId303" ref="B356"/>
    <hyperlink r:id="rId304" ref="B357"/>
    <hyperlink r:id="rId305" ref="B358"/>
    <hyperlink r:id="rId306" ref="B359"/>
    <hyperlink r:id="rId307" ref="B360"/>
    <hyperlink r:id="rId308" ref="B361"/>
    <hyperlink r:id="rId309" ref="B369"/>
    <hyperlink r:id="rId310" ref="B370"/>
    <hyperlink r:id="rId311" ref="B371"/>
    <hyperlink r:id="rId312" ref="B372"/>
    <hyperlink r:id="rId313" ref="B373"/>
    <hyperlink r:id="rId314" ref="B374"/>
    <hyperlink r:id="rId315" ref="B375"/>
    <hyperlink r:id="rId316" ref="B376"/>
    <hyperlink r:id="rId317" ref="B377"/>
    <hyperlink r:id="rId318" ref="B378"/>
    <hyperlink r:id="rId319" ref="B379"/>
    <hyperlink r:id="rId320" ref="B380"/>
    <hyperlink r:id="rId321" ref="B381"/>
    <hyperlink r:id="rId322" ref="B382"/>
    <hyperlink r:id="rId323" ref="B383"/>
    <hyperlink r:id="rId324" ref="B384"/>
    <hyperlink r:id="rId325" ref="B385"/>
    <hyperlink r:id="rId326" ref="B386"/>
    <hyperlink r:id="rId327" ref="B387"/>
    <hyperlink r:id="rId328" ref="B388"/>
    <hyperlink r:id="rId329" ref="B389"/>
    <hyperlink r:id="rId330" ref="B390"/>
    <hyperlink r:id="rId331" ref="B391"/>
    <hyperlink r:id="rId332" ref="B392"/>
    <hyperlink r:id="rId333" ref="B393"/>
    <hyperlink r:id="rId334" ref="B394"/>
    <hyperlink r:id="rId335" ref="B395"/>
    <hyperlink r:id="rId336" ref="B396"/>
    <hyperlink r:id="rId337" ref="B397"/>
    <hyperlink r:id="rId338" ref="B398"/>
    <hyperlink r:id="rId339" ref="B399"/>
    <hyperlink r:id="rId340" ref="B400"/>
    <hyperlink r:id="rId341" ref="B401"/>
    <hyperlink r:id="rId342" ref="B402"/>
    <hyperlink r:id="rId343" ref="B403"/>
    <hyperlink r:id="rId344" ref="B404"/>
    <hyperlink r:id="rId345" ref="B407"/>
    <hyperlink r:id="rId346" ref="B409"/>
    <hyperlink r:id="rId347" ref="B410"/>
    <hyperlink r:id="rId348" ref="B411"/>
    <hyperlink r:id="rId349" ref="B412"/>
    <hyperlink r:id="rId350" ref="B413"/>
    <hyperlink r:id="rId351" ref="B414"/>
    <hyperlink r:id="rId352" ref="B415"/>
    <hyperlink r:id="rId353" ref="B416"/>
    <hyperlink r:id="rId354" ref="B417"/>
    <hyperlink r:id="rId355" ref="B418"/>
    <hyperlink r:id="rId356" ref="B419"/>
    <hyperlink r:id="rId357" ref="B420"/>
    <hyperlink r:id="rId358" ref="B421"/>
    <hyperlink r:id="rId359" ref="B424"/>
    <hyperlink r:id="rId360" ref="B426"/>
    <hyperlink r:id="rId361" ref="B427"/>
    <hyperlink r:id="rId362" ref="B428"/>
    <hyperlink r:id="rId363" ref="B429"/>
    <hyperlink r:id="rId364" ref="B430"/>
    <hyperlink r:id="rId365" ref="B431"/>
    <hyperlink r:id="rId366" ref="B432"/>
    <hyperlink r:id="rId367" ref="B433"/>
    <hyperlink r:id="rId368" ref="B434"/>
    <hyperlink r:id="rId369" ref="B435"/>
    <hyperlink r:id="rId370" ref="B436"/>
    <hyperlink r:id="rId371" ref="B437"/>
    <hyperlink r:id="rId372" ref="B438"/>
    <hyperlink r:id="rId373" ref="B441"/>
    <hyperlink r:id="rId374" ref="B443"/>
    <hyperlink r:id="rId375" ref="B444"/>
    <hyperlink r:id="rId376" ref="B445"/>
    <hyperlink r:id="rId377" ref="B446"/>
    <hyperlink r:id="rId378" ref="B447"/>
    <hyperlink r:id="rId379" ref="B448"/>
    <hyperlink r:id="rId380" ref="B449"/>
    <hyperlink r:id="rId381" ref="B450"/>
    <hyperlink r:id="rId382" ref="B451"/>
    <hyperlink r:id="rId383" ref="B452"/>
    <hyperlink r:id="rId384" ref="B453"/>
    <hyperlink r:id="rId385" ref="B454"/>
    <hyperlink r:id="rId386" ref="B456"/>
    <hyperlink r:id="rId387" ref="B457"/>
    <hyperlink r:id="rId388" ref="B458"/>
    <hyperlink r:id="rId389" ref="B459"/>
    <hyperlink r:id="rId390" ref="B460"/>
    <hyperlink r:id="rId391" ref="B461"/>
    <hyperlink r:id="rId392" ref="B462"/>
    <hyperlink r:id="rId393" ref="B463"/>
    <hyperlink r:id="rId394" ref="B464"/>
    <hyperlink r:id="rId395" ref="B465"/>
    <hyperlink r:id="rId396" ref="B466"/>
    <hyperlink r:id="rId397" ref="B467"/>
    <hyperlink r:id="rId398" ref="B468"/>
    <hyperlink r:id="rId399" ref="B469"/>
    <hyperlink r:id="rId400" ref="B470"/>
    <hyperlink r:id="rId401" ref="B471"/>
    <hyperlink r:id="rId402" ref="B472"/>
    <hyperlink r:id="rId403" ref="B473"/>
    <hyperlink r:id="rId404" ref="B474"/>
    <hyperlink r:id="rId405" ref="B475"/>
    <hyperlink r:id="rId406" ref="B476"/>
    <hyperlink r:id="rId407" ref="B477"/>
    <hyperlink r:id="rId408" ref="B478"/>
    <hyperlink r:id="rId409" ref="B479"/>
    <hyperlink r:id="rId410" ref="B480"/>
  </hyperlinks>
  <drawing r:id="rId41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0"/>
    <col customWidth="1" min="2" max="2" width="14.38"/>
    <col customWidth="1" min="3" max="3" width="12.63"/>
    <col customWidth="1" min="4" max="4" width="14.38"/>
    <col customWidth="1" min="5" max="6" width="12.63"/>
  </cols>
  <sheetData>
    <row r="1" ht="15.75" customHeight="1">
      <c r="G1" s="104" t="s">
        <v>0</v>
      </c>
    </row>
    <row r="2" ht="15.75" customHeight="1">
      <c r="A2" s="63" t="s">
        <v>1</v>
      </c>
      <c r="B2" s="2" t="s">
        <v>2</v>
      </c>
      <c r="E2" s="105" t="s">
        <v>3</v>
      </c>
      <c r="F2" s="106">
        <v>2000.0</v>
      </c>
      <c r="G2" s="106" t="str">
        <f>VALUE(VLOOKUP($A$2,Mobs!A2:CJ1416,MATCH("Level",Mobs!$1:$1,0),FALSE))+(F2-1)</f>
        <v>#N/A</v>
      </c>
    </row>
    <row r="3" ht="15.75" customHeight="1">
      <c r="A3" s="107"/>
    </row>
    <row r="4" ht="158.25" customHeight="1">
      <c r="A4" s="108" t="str">
        <f>"👤 Name: "&amp;VLOOKUP($A$2,Mobs!$A:$CA,MATCH("Name",Mobs!$1:$1,0),FALSE)</f>
        <v>#N/A</v>
      </c>
      <c r="B4" s="109" t="str">
        <f>IMAGE(VLOOKUP($A$2,MobsPics!$A$2:$C1002,2,FALSE),4,200,200)</f>
        <v>#N/A</v>
      </c>
      <c r="C4" s="110"/>
      <c r="D4" s="55" t="str">
        <f>"⭐ Level: "&amp;G2</f>
        <v>#N/A</v>
      </c>
    </row>
    <row r="5" ht="15.75" customHeight="1">
      <c r="A5" s="108" t="str">
        <f>"Description: "&amp;VLOOKUP($A$2,Mobs!$A:$CA,MATCH("Description",Mobs!$1:$1,0),FALSE)</f>
        <v>#N/A</v>
      </c>
      <c r="B5" s="111"/>
      <c r="C5" s="111"/>
      <c r="D5" s="110"/>
      <c r="E5" s="112" t="s">
        <v>4</v>
      </c>
      <c r="F5" s="96" t="s">
        <v>5</v>
      </c>
      <c r="G5" s="96" t="s">
        <v>6</v>
      </c>
      <c r="H5" s="13" t="s">
        <v>7</v>
      </c>
    </row>
    <row r="6" ht="15.75" customHeight="1">
      <c r="A6" s="55" t="str">
        <f>"⚔️ Attack:"&amp;CHAR(10)&amp;(VLOOKUP($A$2,Mobs!$A:$CA,MATCH("Attack",Mobs!$1:$1,0),FALSE)+(F2*10-10))+E6</f>
        <v>#N/A</v>
      </c>
      <c r="B6" s="55" t="str">
        <f>"🎯 Accuracy: "&amp;CHAR(10)&amp;(VLOOKUP($A$2,Mobs!$A:$CA,MATCH("Accuracy",Mobs!$1:$1,0),FALSE)+(F2*10-10))+F6</f>
        <v>#N/A</v>
      </c>
      <c r="C6" s="55" t="str">
        <f>"🛡️ Defence: "&amp;CHAR(10)&amp;(VLOOKUP($A$2,Mobs!$A:$CA,MATCH("Defence",Mobs!$1:$1,0),FALSE)+(F2*10-10))+G6</f>
        <v>#N/A</v>
      </c>
      <c r="D6" s="55" t="str">
        <f>"💡 Wisdom: "&amp;CHAR(10)&amp;VLOOKUP($A$2,Mobs!$A:$CA,MATCH("Wisdom",Mobs!$1:$1,0),FALSE)+H6</f>
        <v>#N/A</v>
      </c>
      <c r="E6" s="113">
        <v>0.0</v>
      </c>
      <c r="F6" s="114">
        <v>0.0</v>
      </c>
      <c r="G6" s="115">
        <v>0.0</v>
      </c>
      <c r="H6" s="116">
        <v>0.0</v>
      </c>
    </row>
    <row r="7" ht="15.75" customHeight="1">
      <c r="A7" s="55" t="str">
        <f>"🏃‍♀️ Mobility:"&amp;CHAR(10)&amp;VLOOKUP($A$2,Mobs!$A:$CA,MATCH("Mobility",Mobs!$1:$1,0),FALSE)+E8</f>
        <v>#N/A</v>
      </c>
      <c r="B7" s="55" t="str">
        <f>"🏃‍♀️ Evasion:"&amp;CHAR(10)&amp;VLOOKUP($A$2,Mobs!$A:$CA,MATCH("Evasion",Mobs!$1:$1,0),FALSE)+F8</f>
        <v>#N/A</v>
      </c>
      <c r="C7" s="55" t="str">
        <f>"😇 Charisma:"&amp;CHAR(10)&amp;VLOOKUP($A$2,Mobs!$A:$CA,MATCH("Charisma",Mobs!$1:$1,0),FALSE)+G8</f>
        <v>#N/A</v>
      </c>
      <c r="D7" s="55" t="str">
        <f>"😈 Intimidation:"&amp;CHAR(10)&amp;VLOOKUP($A$2,Mobs!$A:$CA,MATCH("Intimidation",Mobs!$1:$1,0),FALSE)+H8</f>
        <v>#N/A</v>
      </c>
      <c r="E7" s="117" t="s">
        <v>8</v>
      </c>
      <c r="F7" s="3" t="s">
        <v>9</v>
      </c>
      <c r="G7" s="118" t="s">
        <v>10</v>
      </c>
      <c r="H7" s="118" t="s">
        <v>11</v>
      </c>
    </row>
    <row r="8" ht="15.75" customHeight="1">
      <c r="A8" s="108" t="str">
        <f>"❤️ HP: "&amp;(VLOOKUP($A$2,Mobs!$A:$CA,MATCH("HP",Mobs!$1:$1,0),FALSE)-$E$10)+(F2*100-100)&amp;"/"&amp;VLOOKUP($A$2,Mobs!$A:$CA,MATCH("HP",Mobs!$1:$1,0),FALSE)+(F2*100-100)</f>
        <v>#N/A</v>
      </c>
      <c r="B8" s="110"/>
      <c r="C8" s="108" t="str">
        <f>"🧪 SP: "&amp;(VLOOKUP($A$2,Mobs!$A:$CA,MATCH("SP",Mobs!$1:$1,0),FALSE)-$F$10)+(F2*100-100)&amp;"/"&amp;VLOOKUP($A$2,Mobs!$A:$CA,MATCH("SP",Mobs!$1:$1,0),FALSE)+(F2*100-100)</f>
        <v>#N/A</v>
      </c>
      <c r="D8" s="110"/>
      <c r="E8" s="119">
        <v>0.0</v>
      </c>
      <c r="F8" s="10">
        <v>0.0</v>
      </c>
      <c r="G8" s="120">
        <v>0.0</v>
      </c>
      <c r="H8" s="116">
        <v>0.0</v>
      </c>
    </row>
    <row r="9" ht="15.75" customHeight="1">
      <c r="A9" s="108" t="str">
        <f>"Resistances: "&amp;IF(ISBLANK(IFNA(VLOOKUP($A2,Resistances!$A$2:$AE1002,MATCH("Fire",Resistances!$A$1:$AF$1,0),FALSE),"")),"","Fire:"&amp;IF(ISNUMBER(VLOOKUP($A2,Resistances!$A$2:$AE1002,MATCH("Fire",Resistances!$A$1:$AF$1,0),FALSE)),VLOOKUP($A2,Resistances!$A$2:$AE1002,MATCH("Fire",Resistances!$A$1:$AF$1,0),FALSE)*ROUNDUP($G$2/14,0),VLOOKUP($A2,Resistances!$A$2:$AE1002,MATCH("Fire",Resistances!$A$1:$AF$1,0),FALSE))&amp;", ")&amp;
IF(ISBLANK(IFNA(VLOOKUP($A2,Resistances!$A$2:$AE1002,MATCH("Water",Resistances!$A$1:$AF$1,0),FALSE),"")),"","Water:"&amp;IF(ISNUMBER(VLOOKUP($A2,Resistances!$A$2:$AE1002,MATCH("Water",Resistances!$A$1:$AF$1,0),FALSE)),VLOOKUP($A2,Resistances!$A$2:$AE1002,MATCH("Water",Resistances!$A$1:$AF$1,0),FALSE)*ROUNDUP($G$2/14,0),VLOOKUP($A2,Resistances!$A$2:$AE1002,MATCH("Water",Resistances!$A$1:$AF$1,0),FALSE))&amp;", ")&amp;
IF(ISBLANK(IFNA(VLOOKUP($A2,Resistances!$A$2:$AE1002,MATCH("Storm",Resistances!$A$1:$AF$1,0),FALSE),"")),"","Storm:"&amp;IF(ISNUMBER(VLOOKUP($A2,Resistances!$A$2:$AE1002,MATCH("Storm",Resistances!$A$1:$AF$1,0),FALSE)),VLOOKUP($A2,Resistances!$A$2:$AE1002,MATCH("Storm",Resistances!$A$1:$AF$1,0),FALSE)*ROUNDUP($G$2/14,0),VLOOKUP($A2,Resistances!$A$2:$AE1002,MATCH("Storm",Resistances!$A$1:$AF$1,0),FALSE))&amp;", ")&amp;
IF(ISBLANK(IFNA(VLOOKUP($A2,Resistances!$A$2:$AE1002,MATCH("Earth",Resistances!$A$1:$AF$1,0),FALSE),"")),"","Earth:"&amp;IF(ISNUMBER(VLOOKUP($A2,Resistances!$A$2:$AE1002,MATCH("Earth",Resistances!$A$1:$AF$1,0),FALSE)),VLOOKUP($A2,Resistances!$A$2:$AE1002,MATCH("Earth",Resistances!$A$1:$AF$1,0),FALSE)*ROUNDUP($G$2/14,0),VLOOKUP($A2,Resistances!$A$2:$AE1002,MATCH("Earth",Resistances!$A$1:$AF$1,0),FALSE))&amp;", ")&amp;
IF(ISBLANK(IFNA(VLOOKUP($A2,Resistances!$A$2:$AE1002,MATCH("Light",Resistances!$A$1:$AF$1,0),FALSE),"")),"","Light:"&amp;IF(ISNUMBER(VLOOKUP($A2,Resistances!$A$2:$AE1002,MATCH("Light",Resistances!$A$1:$AF$1,0),FALSE)),VLOOKUP($A2,Resistances!$A$2:$AE1002,MATCH("Light",Resistances!$A$1:$AF$1,0),FALSE)*ROUNDUP($G$2/14,0),VLOOKUP($A2,Resistances!$A$2:$AE1002,MATCH("Light",Resistances!$A$1:$AF$1,0),FALSE))&amp;", ")&amp;
IF(ISBLANK(IFNA(VLOOKUP($A2,Resistances!$A$2:$AE1002,MATCH("Dark",Resistances!$A$1:$AF$1,0),FALSE),"")),"","Dark:"&amp;IF(ISNUMBER(VLOOKUP($A2,Resistances!$A$2:$AE1002,MATCH("Dark",Resistances!$A$1:$AF$1,0),FALSE)),VLOOKUP($A2,Resistances!$A$2:$AE1002,MATCH("Dark",Resistances!$A$1:$AF$1,0),FALSE)*ROUNDUP($G$2/14,0),VLOOKUP($A2,Resistances!$A$2:$AE1002,MATCH("Dark",Resistances!$A$1:$AF$1,0),FALSE))&amp;", ")&amp;
IF(ISBLANK(IFNA(VLOOKUP($A2,Resistances!$A$2:$AE1002,MATCH("Spirit",Resistances!$A$1:$AF$1,0),FALSE),"")),"","Spirit:"&amp;IF(ISNUMBER(VLOOKUP($A2,Resistances!$A$2:$AE1002,MATCH("Spirit",Resistances!$A$1:$AF$1,0),FALSE)),VLOOKUP($A2,Resistances!$A$2:$AE1002,MATCH("Spirit",Resistances!$A$1:$AF$1,0),FALSE)*ROUNDUP($G$2/14,0),VLOOKUP($A2,Resistances!$A$2:$AE1002,MATCH("Spirit",Resistances!$A$1:$AF$1,0),FALSE))&amp;", ")&amp;
IF(ISBLANK(IFNA(VLOOKUP($A2,Resistances!$A$2:$AE1002,MATCH("Order",Resistances!$A$1:$AF$1,0),FALSE),"")),"","Order:"&amp;IF(ISNUMBER(VLOOKUP($A2,Resistances!$A$2:$AE1002,MATCH("Order",Resistances!$A$1:$AF$1,0),FALSE)),VLOOKUP($A2,Resistances!$A$2:$AE1002,MATCH("Order",Resistances!$A$1:$AF$1,0),FALSE)*ROUNDUP($G$2/14,0),VLOOKUP($A2,Resistances!$A$2:$AE1002,MATCH("Order",Resistances!$A$1:$AF$1,0),FALSE))&amp;", ")&amp;
IF(ISBLANK(IFNA(VLOOKUP($A2,Resistances!$A$2:$AE1002,MATCH("Chaos",Resistances!$A$1:$AF$1,0),FALSE),"")),"","Chaos:"&amp;IF(ISNUMBER(VLOOKUP($A2,Resistances!$A$2:$AE1002,MATCH("Chaos",Resistances!$A$1:$AF$1,0),FALSE)),VLOOKUP($A2,Resistances!$A$2:$AE1002,MATCH("Chaos",Resistances!$A$1:$AF$1,0),FALSE)*ROUNDUP($G$2/14,0),VLOOKUP($A2,Resistances!$A$2:$AE1002,MATCH("Chaos",Resistances!$A$1:$AF$1,0),FALSE))&amp;", ")&amp;
IF(ISBLANK(IFNA(VLOOKUP($A2,Resistances!$A$2:$AE1002,MATCH("Nature",Resistances!$A$1:$AF$1,0),FALSE),"")),"","Nature:"&amp;IF(ISNUMBER(VLOOKUP($A2,Resistances!$A$2:$AE1002,MATCH("Nature",Resistances!$A$1:$AF$1,0),FALSE)),VLOOKUP($A2,Resistances!$A$2:$AE1002,MATCH("Nature",Resistances!$A$1:$AF$1,0),FALSE)*ROUNDUP($G$2/14,0),VLOOKUP($A2,Resistances!$A$2:$AE1002,MATCH("Nature",Resistances!$A$1:$AF$1,0),FALSE))&amp;", ")&amp;
IF(ISBLANK(IFNA(VLOOKUP($A2,Resistances!$A$2:$AE1002,MATCH("Physical",Resistances!$A$1:$AF$1,0),FALSE),"")),"","Physical:"&amp;IF(ISNUMBER(VLOOKUP($A2,Resistances!$A$2:$AE1002,MATCH("Physical",Resistances!$A$1:$AF$1,0),FALSE)),VLOOKUP($A2,Resistances!$A$2:$AE1002,MATCH("Physical",Resistances!$A$1:$AF$1,0),FALSE)*ROUNDUP($G$2/14,0),VLOOKUP($A2,Resistances!$A$2:$AE1002,MATCH("Physical",Resistances!$A$1:$AF$1,0),FALSE))&amp;", ")&amp;
IF(ISBLANK(IFNA(VLOOKUP($A2,Resistances!$A$2:$AE1002,MATCH("Melee",Resistances!$A$1:$AF$1,0),FALSE),"")),"","Melee:"&amp;IF(ISNUMBER(VLOOKUP($A2,Resistances!$A$2:$AE1002,MATCH("Melee",Resistances!$A$1:$AF$1,0),FALSE)),VLOOKUP($A2,Resistances!$A$2:$AE1002,MATCH("Melee",Resistances!$A$1:$AF$1,0),FALSE)*ROUNDUP($G$2/14,0),VLOOKUP($A2,Resistances!$A$2:$AE1002,MATCH("Melee",Resistances!$A$1:$AF$1,0),FALSE))&amp;", ")&amp;
IF(ISBLANK(IFNA(VLOOKUP($A2,Resistances!$A$2:$AE1002,MATCH("Ranged",Resistances!$A$1:$AF$1,0),FALSE),"")),"","Ranged:"&amp;IF(ISNUMBER(VLOOKUP($A2,Resistances!$A$2:$AE1002,MATCH("Ranged",Resistances!$A$1:$AF$1,0),FALSE)),VLOOKUP($A2,Resistances!$A$2:$AE1002,MATCH("Ranged",Resistances!$A$1:$AF$1,0),FALSE)*ROUNDUP($G$2/14,0),VLOOKUP($A2,Resistances!$A$2:$AE1002,MATCH("Ranged",Resistances!$A$1:$AF$1,0),FALSE))&amp;", ")&amp;
IF(ISBLANK(IFNA(VLOOKUP($A2,Resistances!$A$2:$AE1002,MATCH("Stasis",Resistances!$A$1:$AF$1,0),FALSE),"")),"","Stasis:"&amp;IF(ISNUMBER(VLOOKUP($A2,Resistances!$A$2:$AE1002,MATCH("Stasis",Resistances!$A$1:$AF$1,0),FALSE)),VLOOKUP($A2,Resistances!$A$2:$AE1002,MATCH("Stasis",Resistances!$A$1:$AF$1,0),FALSE)*ROUNDUP($G$2/14,0),VLOOKUP($A2,Resistances!$A$2:$AE1002,MATCH("Stasis",Resistances!$A$1:$AF$1,0),FALSE))&amp;", ")&amp;
IF(ISBLANK(IFNA(VLOOKUP($A2,Resistances!$A$2:$AE1002,MATCH("Twilight",Resistances!$A$1:$AF$1,0),FALSE),"")),"","Twilight:"&amp;IF(ISNUMBER(VLOOKUP($A2,Resistances!$A$2:$AE1002,MATCH("Twilight",Resistances!$A$1:$AF$1,0),FALSE)),VLOOKUP($A2,Resistances!$A$2:$AE1002,MATCH("Twilight",Resistances!$A$1:$AF$1,0),FALSE)*ROUNDUP($G$2/14,0),VLOOKUP($A2,Resistances!$A$2:$AE1002,MATCH("Twilight",Resistances!$A$1:$AF$1,0),FALSE))&amp;", ")&amp;
IF(ISBLANK(IFNA(VLOOKUP($A2,Resistances!$A$2:$AE1002,MATCH("Voodoo",Resistances!$A$1:$AF$1,0),FALSE),"")),"","Voodoo:"&amp;IF(ISNUMBER(VLOOKUP($A2,Resistances!$A$2:$AE1002,MATCH("Voodoo",Resistances!$A$1:$AF$1,0),FALSE)),VLOOKUP($A2,Resistances!$A$2:$AE1002,MATCH("Voodoo",Resistances!$A$1:$AF$1,0),FALSE)*ROUNDUP($G$2/14,0),VLOOKUP($A2,Resistances!$A$2:$AE1002,MATCH("Voodoo",Resistances!$A$1:$AF$1,0),FALSE))&amp;", ")&amp;
IF(ISBLANK(IFNA(VLOOKUP($A2,Resistances!$A$2:$AE1002,MATCH("Blood",Resistances!$A$1:$AF$1,0),FALSE),"")),"","Blood:"&amp;IF(ISNUMBER(VLOOKUP($A2,Resistances!$A$2:$AE1002,MATCH("Blood",Resistances!$A$1:$AF$1,0),FALSE)),VLOOKUP($A2,Resistances!$A$2:$AE1002,MATCH("Blood",Resistances!$A$1:$AF$1,0),FALSE)*ROUNDUP($G$2/14,0),VLOOKUP($A2,Resistances!$A$2:$AE1002,MATCH("Blood",Resistances!$A$1:$AF$1,0),FALSE))&amp;", ")&amp;
IF(ISBLANK(IFNA(VLOOKUP($A2,Resistances!$A$2:$AE1002,MATCH("Delta",Resistances!$A$1:$AF$1,0),FALSE),"")),"","Delta:"&amp;IF(ISNUMBER(VLOOKUP($A2,Resistances!$A$2:$AE1002,MATCH("Delta",Resistances!$A$1:$AF$1,0),FALSE)),VLOOKUP($A2,Resistances!$A$2:$AE1002,MATCH("Delta",Resistances!$A$1:$AF$1,0),FALSE)*ROUNDUP($G$2/14,0),VLOOKUP($A2,Resistances!$A$2:$AE1002,MATCH("Delta",Resistances!$A$1:$AF$1,0),FALSE))&amp;", ")&amp;
IF(ISBLANK(IFNA(VLOOKUP($A2,Resistances!$A$2:$AE1002,MATCH("Zen",Resistances!$A$1:$AF$1,0),FALSE),"")),"","Zen:"&amp;IF(ISNUMBER(VLOOKUP($A2,Resistances!$A$2:$AE1002,MATCH("Zen",Resistances!$A$1:$AF$1,0),FALSE)),VLOOKUP($A2,Resistances!$A$2:$AE1002,MATCH("Zen",Resistances!$A$1:$AF$1,0),FALSE)*ROUNDUP($G$2/14,0),VLOOKUP($A2,Resistances!$A$2:$AE1002,MATCH("Zen",Resistances!$A$1:$AF$1,0),FALSE))&amp;", ")&amp;
IF(ISBLANK(IFNA(VLOOKUP($A2,Resistances!$A$2:$AE1002,MATCH("Time",Resistances!$A$1:$AF$1,0),FALSE),"")),"","Time:"&amp;IF(ISNUMBER(VLOOKUP($A2,Resistances!$A$2:$AE1002,MATCH("Time",Resistances!$A$1:$AF$1,0),FALSE)),VLOOKUP($A2,Resistances!$A$2:$AE1002,MATCH("Time",Resistances!$A$1:$AF$1,0),FALSE)*ROUNDUP($G$2/14,0),VLOOKUP($A2,Resistances!$A$2:$AE1002,MATCH("Time",Resistances!$A$1:$AF$1,0),FALSE))&amp;", ")&amp;
IF(ISBLANK(IFNA(VLOOKUP($A2,Resistances!$A$2:$AE1002,MATCH("Astral",Resistances!$A$1:$AF$1,0),FALSE),"")),"","Astral:"&amp;IF(ISNUMBER(VLOOKUP($A2,Resistances!$A$2:$AE1002,MATCH("Astral",Resistances!$A$1:$AF$1,0),FALSE)),VLOOKUP($A2,Resistances!$A$2:$AE1002,MATCH("Astral",Resistances!$A$1:$AF$1,0),FALSE)*ROUNDUP($G$2/14,0),VLOOKUP($A2,Resistances!$A$2:$AE1002,MATCH("Astral",Resistances!$A$1:$AF$1,0),FALSE))&amp;", ")&amp;
IF(ISBLANK(IFNA(VLOOKUP($A2,Resistances!$A$2:$AE1002,MATCH("Celestial",Resistances!$A$1:$AF$1,0),FALSE),"")),"","Celestial:"&amp;IF(ISNUMBER(VLOOKUP($A2,Resistances!$A$2:$AE1002,MATCH("Celestial",Resistances!$A$1:$AF$1,0),FALSE)),VLOOKUP($A2,Resistances!$A$2:$AE1002,MATCH("Celestial",Resistances!$A$1:$AF$1,0),FALSE)*ROUNDUP($G$2/14,0),VLOOKUP($A2,Resistances!$A$2:$AE1002,MATCH("Celestial",Resistances!$A$1:$AF$1,0),FALSE))&amp;", ")&amp;
IF(ISBLANK(IFNA(VLOOKUP($A2,Resistances!$A$2:$AE1002,MATCH("Instant Death",Resistances!$A$1:$AF$1,0),FALSE),"")),"","Instant Death:"&amp;IF(ISNUMBER(VLOOKUP($A2,Resistances!$A$2:$AE1002,MATCH("Instant Death",Resistances!$A$1:$AF$1,0),FALSE)),VLOOKUP($A2,Resistances!$A$2:$AE1002,MATCH("Instant Death",Resistances!$A$1:$AF$1,0),FALSE)*ROUNDUP($G$2/14,0),VLOOKUP($A2,Resistances!$A$2:$AE1002,MATCH("Instant Death",Resistances!$A$1:$AF$1,0),FALSE))&amp;", ")&amp;
IF(ISBLANK(IFNA(VLOOKUP($A2,Resistances!$A$2:$AE1002,MATCH("Banishment",Resistances!$A$1:$AF$1,0),FALSE),"")),"","Banishment:"&amp;IF(ISNUMBER(VLOOKUP($A2,Resistances!$A$2:$AE1002,MATCH("Banishment",Resistances!$A$1:$AF$1,0),FALSE)),VLOOKUP($A2,Resistances!$A$2:$AE1002,MATCH("Banishment",Resistances!$A$1:$AF$1,0),FALSE)*ROUNDUP($G$2/14,0),VLOOKUP($A2,Resistances!$A$2:$AE1002,MATCH("Banishment",Resistances!$A$1:$AF$1,0),FALSE))&amp;", ")&amp;
IF(ISBLANK(IFNA(VLOOKUP($A2,Resistances!$A$2:$AE1002,MATCH("Natural",Resistances!$A$1:$AF$1,0),FALSE),"")),"","Natural:"&amp;IF(ISNUMBER(VLOOKUP($A2,Resistances!$A$2:$AE1002,MATCH("Natural",Resistances!$A$1:$AF$1,0),FALSE)),VLOOKUP($A2,Resistances!$A$2:$AE1002,MATCH("Natural",Resistances!$A$1:$AF$1,0),FALSE)*ROUNDUP($G$2/14,0),VLOOKUP($A2,Resistances!$A$2:$AE1002,MATCH("Natural",Resistances!$A$1:$AF$1,0),FALSE))&amp;", ")&amp;
IF(ISBLANK(IFNA(VLOOKUP($A2,Resistances!$A$2:$AE1002,MATCH("Possesion",Resistances!$A$1:$AF$1,0),FALSE),"")),"","Possesion:"&amp;IF(ISNUMBER(VLOOKUP($A2,Resistances!$A$2:$AE1002,MATCH("Possesion",Resistances!$A$1:$AF$1,0),FALSE)),VLOOKUP($A2,Resistances!$A$2:$AE1002,MATCH("Possesion",Resistances!$A$1:$AF$1,0),FALSE)*ROUNDUP($G$2/14,0),VLOOKUP($A2,Resistances!$A$2:$AE1002,MATCH("Possesion",Resistances!$A$1:$AF$1,0),FALSE))&amp;", ")&amp;
IF(ISBLANK(IFNA(VLOOKUP($A2,Resistances!$A$2:$AE1002,MATCH("Acoustic",Resistances!$A$1:$AF$1,0),FALSE),"")),"","Acoustic:"&amp;IF(ISNUMBER(VLOOKUP($A2,Resistances!$A$2:$AE1002,MATCH("Acoustic",Resistances!$A$1:$AF$1,0),FALSE)),VLOOKUP($A2,Resistances!$A$2:$AE1002,MATCH("Acoustic",Resistances!$A$1:$AF$1,0),FALSE)*ROUNDUP($G$2/14,0),VLOOKUP($A2,Resistances!$A$2:$AE1002,MATCH("Acoustic",Resistances!$A$1:$AF$1,0),FALSE))&amp;", ")&amp;
IF(ISBLANK(IFNA(VLOOKUP($A2,Resistances!$A$2:$AE1002,MATCH("All",Resistances!$A$1:$AF$1,0),FALSE),"")),"","All:"&amp;IF(ISNUMBER(VLOOKUP($A2,Resistances!$A$2:$AE1002,MATCH("All",Resistances!$A$1:$AF$1,0),FALSE)),VLOOKUP($A2,Resistances!$A$2:$AE1002,MATCH("All",Resistances!$A$1:$AF$1,0),FALSE)*ROUNDUP($G$2/14,0),VLOOKUP($A2,Resistances!$A$2:$AE1002,MATCH("All",Resistances!$A$1:$AF$1,0),FALSE))&amp;", ")
&amp;CHAR(10)
&amp;"Vulnerabilities: "&amp;IF(ISBLANK(IFNA(VLOOKUP($A2,Vulnerabilities!$A$2:$AD1002,MATCH("Fire",Vulnerabilities!$A$1:$AE$1,0),FALSE),"")),"","Fire:"&amp;IF(ISNUMBER(VLOOKUP($A2,Vulnerabilities!$A$2:$AD1002,MATCH("Fire",Vulnerabilities!$A$1:$AE$1,0),FALSE)),VLOOKUP($A2,Vulnerabilities!$A$2:$AD1002,MATCH("Fire",Vulnerabilities!$A$1:$AE$1,0),FALSE)*ROUNDUP($G$2/14,0),VLOOKUP($A2,Vulnerabilities!$A$2:$AD1002,MATCH("Fire",Vulnerabilities!$A$1:$AE$1,0),FALSE))&amp;", ")&amp;
IF(ISBLANK(IFNA(VLOOKUP($A2,Vulnerabilities!$A$2:$AD1002,MATCH("Water",Vulnerabilities!$A$1:$AE$1,0),FALSE),"")),"","Water:"&amp;IF(ISNUMBER(VLOOKUP($A2,Vulnerabilities!$A$2:$AD1002,MATCH("Water",Vulnerabilities!$A$1:$AE$1,0),FALSE)),VLOOKUP($A2,Vulnerabilities!$A$2:$AD1002,MATCH("Water",Vulnerabilities!$A$1:$AE$1,0),FALSE)*ROUNDUP($G$2/14,0),VLOOKUP($A2,Vulnerabilities!$A$2:$AD1002,MATCH("Water",Vulnerabilities!$A$1:$AE$1,0),FALSE))&amp;", ")&amp;
IF(ISBLANK(IFNA(VLOOKUP($A2,Vulnerabilities!$A$2:$AD1002,MATCH("Storm",Vulnerabilities!$A$1:$AE$1,0),FALSE),"")),"","Storm:"&amp;IF(ISNUMBER(VLOOKUP($A2,Vulnerabilities!$A$2:$AD1002,MATCH("Storm",Vulnerabilities!$A$1:$AE$1,0),FALSE)),VLOOKUP($A2,Vulnerabilities!$A$2:$AD1002,MATCH("Storm",Vulnerabilities!$A$1:$AE$1,0),FALSE)*ROUNDUP($G$2/14,0),VLOOKUP($A2,Vulnerabilities!$A$2:$AD1002,MATCH("Storm",Vulnerabilities!$A$1:$AE$1,0),FALSE))&amp;", ")&amp;
IF(ISBLANK(IFNA(VLOOKUP($A2,Vulnerabilities!$A$2:$AD1002,MATCH("Earth",Vulnerabilities!$A$1:$AE$1,0),FALSE),"")),"","Earth:"&amp;IF(ISNUMBER(VLOOKUP($A2,Vulnerabilities!$A$2:$AD1002,MATCH("Earth",Vulnerabilities!$A$1:$AE$1,0),FALSE)),VLOOKUP($A2,Vulnerabilities!$A$2:$AD1002,MATCH("Earth",Vulnerabilities!$A$1:$AE$1,0),FALSE)*ROUNDUP($G$2/14,0),VLOOKUP($A2,Vulnerabilities!$A$2:$AD1002,MATCH("Earth",Vulnerabilities!$A$1:$AE$1,0),FALSE))&amp;", ")&amp;
IF(ISBLANK(IFNA(VLOOKUP($A2,Vulnerabilities!$A$2:$AD1002,MATCH("Light",Vulnerabilities!$A$1:$AE$1,0),FALSE),"")),"","Light:"&amp;IF(ISNUMBER(VLOOKUP($A2,Vulnerabilities!$A$2:$AD1002,MATCH("Light",Vulnerabilities!$A$1:$AE$1,0),FALSE)),VLOOKUP($A2,Vulnerabilities!$A$2:$AD1002,MATCH("Light",Vulnerabilities!$A$1:$AE$1,0),FALSE)*ROUNDUP($G$2/14,0),VLOOKUP($A2,Vulnerabilities!$A$2:$AD1002,MATCH("Light",Vulnerabilities!$A$1:$AE$1,0),FALSE))&amp;", ")&amp;
IF(ISBLANK(IFNA(VLOOKUP($A2,Vulnerabilities!$A$2:$AD1002,MATCH("Dark",Vulnerabilities!$A$1:$AE$1,0),FALSE),"")),"","Dark:"&amp;IF(ISNUMBER(VLOOKUP($A2,Vulnerabilities!$A$2:$AD1002,MATCH("Dark",Vulnerabilities!$A$1:$AE$1,0),FALSE)),VLOOKUP($A2,Vulnerabilities!$A$2:$AD1002,MATCH("Dark",Vulnerabilities!$A$1:$AE$1,0),FALSE)*ROUNDUP($G$2/14,0),VLOOKUP($A2,Vulnerabilities!$A$2:$AD1002,MATCH("Dark",Vulnerabilities!$A$1:$AE$1,0),FALSE))&amp;", ")&amp;
IF(ISBLANK(IFNA(VLOOKUP($A2,Vulnerabilities!$A$2:$AD1002,MATCH("Spirit",Vulnerabilities!$A$1:$AE$1,0),FALSE),"")),"","Spirit:"&amp;IF(ISNUMBER(VLOOKUP($A2,Vulnerabilities!$A$2:$AD1002,MATCH("Spirit",Vulnerabilities!$A$1:$AE$1,0),FALSE)),VLOOKUP($A2,Vulnerabilities!$A$2:$AD1002,MATCH("Spirit",Vulnerabilities!$A$1:$AE$1,0),FALSE)*ROUNDUP($G$2/14,0),VLOOKUP($A2,Vulnerabilities!$A$2:$AD1002,MATCH("Spirit",Vulnerabilities!$A$1:$AE$1,0),FALSE))&amp;", ")&amp;
IF(ISBLANK(IFNA(VLOOKUP($A2,Vulnerabilities!$A$2:$AD1002,MATCH("Order",Vulnerabilities!$A$1:$AE$1,0),FALSE),"")),"","Order:"&amp;IF(ISNUMBER(VLOOKUP($A2,Vulnerabilities!$A$2:$AD1002,MATCH("Order",Vulnerabilities!$A$1:$AE$1,0),FALSE)),VLOOKUP($A2,Vulnerabilities!$A$2:$AD1002,MATCH("Order",Vulnerabilities!$A$1:$AE$1,0),FALSE)*ROUNDUP($G$2/14,0),VLOOKUP($A2,Vulnerabilities!$A$2:$AD1002,MATCH("Order",Vulnerabilities!$A$1:$AE$1,0),FALSE))&amp;", ")&amp;
IF(ISBLANK(IFNA(VLOOKUP($A2,Vulnerabilities!$A$2:$AD1002,MATCH("Chaos",Vulnerabilities!$A$1:$AE$1,0),FALSE),"")),"","Chaos:"&amp;IF(ISNUMBER(VLOOKUP($A2,Vulnerabilities!$A$2:$AD1002,MATCH("Chaos",Vulnerabilities!$A$1:$AE$1,0),FALSE)),VLOOKUP($A2,Vulnerabilities!$A$2:$AD1002,MATCH("Chaos",Vulnerabilities!$A$1:$AE$1,0),FALSE)*ROUNDUP($G$2/14,0),VLOOKUP($A2,Vulnerabilities!$A$2:$AD1002,MATCH("Chaos",Vulnerabilities!$A$1:$AE$1,0),FALSE))&amp;", ")&amp;
IF(ISBLANK(IFNA(VLOOKUP($A2,Vulnerabilities!$A$2:$AD1002,MATCH("Nature",Vulnerabilities!$A$1:$AE$1,0),FALSE),"")),"","Nature:"&amp;IF(ISNUMBER(VLOOKUP($A2,Vulnerabilities!$A$2:$AD1002,MATCH("Nature",Vulnerabilities!$A$1:$AE$1,0),FALSE)),VLOOKUP($A2,Vulnerabilities!$A$2:$AD1002,MATCH("Nature",Vulnerabilities!$A$1:$AE$1,0),FALSE)*ROUNDUP($G$2/14,0),VLOOKUP($A2,Vulnerabilities!$A$2:$AD1002,MATCH("Nature",Vulnerabilities!$A$1:$AE$1,0),FALSE))&amp;", ")&amp;
IF(ISBLANK(IFNA(VLOOKUP($A2,Vulnerabilities!$A$2:$AD1002,MATCH("Physical",Vulnerabilities!$A$1:$AE$1,0),FALSE),"")),"","Physical:"&amp;IF(ISNUMBER(VLOOKUP($A2,Vulnerabilities!$A$2:$AD1002,MATCH("Physical",Vulnerabilities!$A$1:$AE$1,0),FALSE)),VLOOKUP($A2,Vulnerabilities!$A$2:$AD1002,MATCH("Physical",Vulnerabilities!$A$1:$AE$1,0),FALSE)*ROUNDUP($G$2/14,0),VLOOKUP($A2,Vulnerabilities!$A$2:$AD1002,MATCH("Physical",Vulnerabilities!$A$1:$AE$1,0),FALSE))&amp;", ")&amp;
IF(ISBLANK(IFNA(VLOOKUP($A2,Vulnerabilities!$A$2:$AD1002,MATCH("Melee",Vulnerabilities!$A$1:$AE$1,0),FALSE),"")),"","Melee:"&amp;IF(ISNUMBER(VLOOKUP($A2,Vulnerabilities!$A$2:$AD1002,MATCH("Melee",Vulnerabilities!$A$1:$AE$1,0),FALSE)),VLOOKUP($A2,Vulnerabilities!$A$2:$AD1002,MATCH("Melee",Vulnerabilities!$A$1:$AE$1,0),FALSE)*ROUNDUP($G$2/14,0),VLOOKUP($A2,Vulnerabilities!$A$2:$AD1002,MATCH("Melee",Vulnerabilities!$A$1:$AE$1,0),FALSE))&amp;", ")&amp;
IF(ISBLANK(IFNA(VLOOKUP($A2,Vulnerabilities!$A$2:$AD1002,MATCH("Ranged",Vulnerabilities!$A$1:$AE$1,0),FALSE),"")),"","Ranged:"&amp;IF(ISNUMBER(VLOOKUP($A2,Vulnerabilities!$A$2:$AD1002,MATCH("Ranged",Vulnerabilities!$A$1:$AE$1,0),FALSE)),VLOOKUP($A2,Vulnerabilities!$A$2:$AD1002,MATCH("Ranged",Vulnerabilities!$A$1:$AE$1,0),FALSE)*ROUNDUP($G$2/14,0),VLOOKUP($A2,Vulnerabilities!$A$2:$AD1002,MATCH("Ranged",Vulnerabilities!$A$1:$AE$1,0),FALSE))&amp;", ")&amp;
IF(ISBLANK(IFNA(VLOOKUP($A2,Vulnerabilities!$A$2:$AD1002,MATCH("Stasis",Vulnerabilities!$A$1:$AE$1,0),FALSE),"")),"","Stasis:"&amp;IF(ISNUMBER(VLOOKUP($A2,Vulnerabilities!$A$2:$AD1002,MATCH("Stasis",Vulnerabilities!$A$1:$AE$1,0),FALSE)),VLOOKUP($A2,Vulnerabilities!$A$2:$AD1002,MATCH("Stasis",Vulnerabilities!$A$1:$AE$1,0),FALSE)*ROUNDUP($G$2/14,0),VLOOKUP($A2,Vulnerabilities!$A$2:$AD1002,MATCH("Stasis",Vulnerabilities!$A$1:$AE$1,0),FALSE))&amp;", ")&amp;
IF(ISBLANK(IFNA(VLOOKUP($A2,Vulnerabilities!$A$2:$AD1002,MATCH("Twilight",Vulnerabilities!$A$1:$AE$1,0),FALSE),"")),"","Twilight:"&amp;IF(ISNUMBER(VLOOKUP($A2,Vulnerabilities!$A$2:$AD1002,MATCH("Twilight",Vulnerabilities!$A$1:$AE$1,0),FALSE)),VLOOKUP($A2,Vulnerabilities!$A$2:$AD1002,MATCH("Twilight",Vulnerabilities!$A$1:$AE$1,0),FALSE)*ROUNDUP($G$2/14,0),VLOOKUP($A2,Vulnerabilities!$A$2:$AD1002,MATCH("Twilight",Vulnerabilities!$A$1:$AE$1,0),FALSE))&amp;", ")&amp;
IF(ISBLANK(IFNA(VLOOKUP($A2,Vulnerabilities!$A$2:$AD1002,MATCH("Voodoo",Vulnerabilities!$A$1:$AE$1,0),FALSE),"")),"","Voodoo:"&amp;IF(ISNUMBER(VLOOKUP($A2,Vulnerabilities!$A$2:$AD1002,MATCH("Voodoo",Vulnerabilities!$A$1:$AE$1,0),FALSE)),VLOOKUP($A2,Vulnerabilities!$A$2:$AD1002,MATCH("Voodoo",Vulnerabilities!$A$1:$AE$1,0),FALSE)*ROUNDUP($G$2/14,0),VLOOKUP($A2,Vulnerabilities!$A$2:$AD1002,MATCH("Voodoo",Vulnerabilities!$A$1:$AE$1,0),FALSE))&amp;", ")&amp;
IF(ISBLANK(IFNA(VLOOKUP($A2,Vulnerabilities!$A$2:$AD1002,MATCH("Blood",Vulnerabilities!$A$1:$AE$1,0),FALSE),"")),"","Blood:"&amp;IF(ISNUMBER(VLOOKUP($A2,Vulnerabilities!$A$2:$AD1002,MATCH("Blood",Vulnerabilities!$A$1:$AE$1,0),FALSE)),VLOOKUP($A2,Vulnerabilities!$A$2:$AD1002,MATCH("Blood",Vulnerabilities!$A$1:$AE$1,0),FALSE)*ROUNDUP($G$2/14,0),VLOOKUP($A2,Vulnerabilities!$A$2:$AD1002,MATCH("Blood",Vulnerabilities!$A$1:$AE$1,0),FALSE))&amp;", ")&amp;
IF(ISBLANK(IFNA(VLOOKUP($A2,Vulnerabilities!$A$2:$AD1002,MATCH("Delta",Vulnerabilities!$A$1:$AE$1,0),FALSE),"")),"","Delta:"&amp;IF(ISNUMBER(VLOOKUP($A2,Vulnerabilities!$A$2:$AD1002,MATCH("Delta",Vulnerabilities!$A$1:$AE$1,0),FALSE)),VLOOKUP($A2,Vulnerabilities!$A$2:$AD1002,MATCH("Delta",Vulnerabilities!$A$1:$AE$1,0),FALSE)*ROUNDUP($G$2/14,0),VLOOKUP($A2,Vulnerabilities!$A$2:$AD1002,MATCH("Delta",Vulnerabilities!$A$1:$AE$1,0),FALSE))&amp;", ")&amp;
IF(ISBLANK(IFNA(VLOOKUP($A2,Vulnerabilities!$A$2:$AD1002,MATCH("Zen",Vulnerabilities!$A$1:$AE$1,0),FALSE),"")),"","Zen:"&amp;IF(ISNUMBER(VLOOKUP($A2,Vulnerabilities!$A$2:$AD1002,MATCH("Zen",Vulnerabilities!$A$1:$AE$1,0),FALSE)),VLOOKUP($A2,Vulnerabilities!$A$2:$AD1002,MATCH("Zen",Vulnerabilities!$A$1:$AE$1,0),FALSE)*ROUNDUP($G$2/14,0),VLOOKUP($A2,Vulnerabilities!$A$2:$AD1002,MATCH("Zen",Vulnerabilities!$A$1:$AE$1,0),FALSE))&amp;", ")&amp;
IF(ISBLANK(IFNA(VLOOKUP($A2,Vulnerabilities!$A$2:$AD1002,MATCH("Time",Vulnerabilities!$A$1:$AE$1,0),FALSE),"")),"","Time:"&amp;IF(ISNUMBER(VLOOKUP($A2,Vulnerabilities!$A$2:$AD1002,MATCH("Time",Vulnerabilities!$A$1:$AE$1,0),FALSE)),VLOOKUP($A2,Vulnerabilities!$A$2:$AD1002,MATCH("Time",Vulnerabilities!$A$1:$AE$1,0),FALSE)*ROUNDUP($G$2/14,0),VLOOKUP($A2,Vulnerabilities!$A$2:$AD1002,MATCH("Time",Vulnerabilities!$A$1:$AE$1,0),FALSE))&amp;", ")&amp;
IF(ISBLANK(IFNA(VLOOKUP($A2,Vulnerabilities!$A$2:$AD1002,MATCH("Astral",Vulnerabilities!$A$1:$AE$1,0),FALSE),"")),"","Astral:"&amp;IF(ISNUMBER(VLOOKUP($A2,Vulnerabilities!$A$2:$AD1002,MATCH("Astral",Vulnerabilities!$A$1:$AE$1,0),FALSE)),VLOOKUP($A2,Vulnerabilities!$A$2:$AD1002,MATCH("Astral",Vulnerabilities!$A$1:$AE$1,0),FALSE)*ROUNDUP($G$2/14,0),VLOOKUP($A2,Vulnerabilities!$A$2:$AD1002,MATCH("Astral",Vulnerabilities!$A$1:$AE$1,0),FALSE))&amp;", ")&amp;
IF(ISBLANK(IFNA(VLOOKUP($A2,Vulnerabilities!$A$2:$AD1002,MATCH("Celestial",Vulnerabilities!$A$1:$AE$1,0),FALSE),"")),"","Celestial:"&amp;IF(ISNUMBER(VLOOKUP($A2,Vulnerabilities!$A$2:$AD1002,MATCH("Celestial",Vulnerabilities!$A$1:$AE$1,0),FALSE)),VLOOKUP($A2,Vulnerabilities!$A$2:$AD1002,MATCH("Celestial",Vulnerabilities!$A$1:$AE$1,0),FALSE)*ROUNDUP($G$2/14,0),VLOOKUP($A2,Vulnerabilities!$A$2:$AD1002,MATCH("Celestial",Vulnerabilities!$A$1:$AE$1,0),FALSE))&amp;", ")&amp;
IF(ISBLANK(IFNA(VLOOKUP($A2,Vulnerabilities!$A$2:$AD1002,MATCH("Acoustic",Vulnerabilities!$A$1:$AE$1,0),FALSE),"")),"","Acoustic:"&amp;IF(ISNUMBER(VLOOKUP($A2,Vulnerabilities!$A$2:$AD1002,MATCH("Acoustic",Vulnerabilities!$A$1:$AE$1,0),FALSE)),VLOOKUP($A2,Vulnerabilities!$A$2:$AD1002,MATCH("Acoustic",Vulnerabilities!$A$1:$AE$1,0),FALSE)*ROUNDUP($G$2/14,0),VLOOKUP($A2,Vulnerabilities!$A$2:$AD1002,MATCH("Acoustic",Vulnerabilities!$A$1:$AE$1,0),FALSE))&amp;", ")</f>
        <v>#N/A</v>
      </c>
      <c r="B9" s="111"/>
      <c r="C9" s="111"/>
      <c r="D9" s="110"/>
      <c r="E9" s="121" t="s">
        <v>12</v>
      </c>
      <c r="F9" s="118" t="s">
        <v>13</v>
      </c>
      <c r="G9" s="118"/>
      <c r="H9" s="118"/>
    </row>
    <row r="10" ht="15.75" customHeight="1">
      <c r="A10" s="108" t="str">
        <f>"Other Bonuses And Abilities: "&amp;CHAR(10)&amp;VLOOKUP($A$2,Mobs!$A:$CA,MATCH("OtherBonusesAndAbilities",Mobs!$1:$1,0),FALSE)</f>
        <v>#N/A</v>
      </c>
      <c r="B10" s="111"/>
      <c r="C10" s="111"/>
      <c r="D10" s="110"/>
      <c r="E10" s="122">
        <v>0.0</v>
      </c>
      <c r="F10" s="115">
        <v>0.0</v>
      </c>
      <c r="G10" s="118"/>
      <c r="H10" s="118"/>
      <c r="L10" s="107"/>
      <c r="M10" s="123"/>
    </row>
    <row r="11" ht="15.75" customHeight="1">
      <c r="A11" s="108" t="str">
        <f>"Loot table: "&amp;CHAR(10)&amp;if(ifna(VLOOKUP($A$2,Loot!$A:$K,3,FALSE))="","",VLOOKUP($A$2,Loot!$A:$K,2,FALSE)&amp;": "&amp;VLOOKUP($A$2,Loot!$A:$K,3,FALSE)&amp;" "&amp;VLOOKUP(VLOOKUP($A$2,Loot!$A:$K,3,FALSE),LootTable!A:B,2,FALSE))
&amp;CHAR(10)&amp;if(ifna(VLOOKUP($A$2,Loot!$A:$K,5,FALSE))="","",VLOOKUP($A$2,Loot!$A:$K,4,FALSE)&amp;": "&amp;VLOOKUP($A$2,Loot!$A:$K,5,FALSE)&amp;" "&amp;VLOOKUP(VLOOKUP($A$2,Loot!$A:$K,5,FALSE),LootTable!A:B,2,FALSE))
&amp;CHAR(10)&amp;if(ifna(VLOOKUP($A$2,Loot!$A:$K,7,FALSE))="","",VLOOKUP($A$2,Loot!$A:$K,6,FALSE)&amp;": "&amp;VLOOKUP($A$2,Loot!$A:$K,7,FALSE)&amp;" "&amp;VLOOKUP(VLOOKUP($A$2,Loot!$A:$K,7,FALSE),LootTable!A:B,2,FALSE))
&amp;CHAR(10)&amp;if(ifna(VLOOKUP($A$2,Loot!$A:$K,9,FALSE))="","",VLOOKUP($A$2,Loot!$A:$K,8,FALSE)&amp;": "&amp;VLOOKUP($A$2,Loot!$A:$K,9,FALSE)&amp;" "&amp;VLOOKUP(VLOOKUP($A$2,Loot!$A:$K,9,FALSE),LootTable!A:B,2,FALSE))
&amp;CHAR(10)&amp;if(ifna(VLOOKUP($A$2,Loot!$A:$K,11,FALSE))="","",VLOOKUP($A$2,Loot!$A:$K,10,FALSE)&amp;": "&amp;VLOOKUP($A$2,Loot!$A:$K,11,FALSE)&amp;" "&amp;VLOOKUP(VLOOKUP($A$2,Loot!$A:$K,11,FALSE),LootTable!A:B,2,FALSE))</f>
        <v>Loot table: 
</v>
      </c>
      <c r="B11" s="111"/>
      <c r="C11" s="111"/>
      <c r="D11" s="110"/>
    </row>
    <row r="12" ht="15.75" customHeight="1"/>
    <row r="13" ht="15.75" customHeight="1">
      <c r="A13" s="16" t="s">
        <v>14</v>
      </c>
      <c r="B13" s="124" t="str">
        <f>IFNA(VLOOKUP(VLOOKUP($A$2,Mobs!$A:$CA,MATCH("Head",Mobs!$1:$1,0),FALSE),Equipconvert!$A:$F,MATCH("Name",Equipconvert!$1:$1,0),0))&amp;" - "&amp;IFNA(VLOOKUP(VLOOKUP($A$2,Mobs!$A:$CA,MATCH("Head",Mobs!$1:$1,0),FALSE),Equipconvert!$A:$F,MATCH("Abilities",Equipconvert!$1:$1,0),0))</f>
        <v> - </v>
      </c>
      <c r="C13" s="124"/>
      <c r="D13" s="124"/>
      <c r="E13" s="124"/>
      <c r="F13" s="124"/>
      <c r="G13" s="124"/>
      <c r="H13" s="124"/>
      <c r="I13" s="124"/>
      <c r="J13" s="124"/>
      <c r="K13" s="124"/>
    </row>
    <row r="14" ht="15.75" customHeight="1">
      <c r="A14" s="16" t="s">
        <v>15</v>
      </c>
      <c r="B14" s="124" t="str">
        <f>IFNA(VLOOKUP(VLOOKUP($A$2,Mobs!$A:$CA,MATCH("Neck 1",Mobs!$1:$1,0),FALSE),Equipconvert!$A:$F,MATCH("Name",Equipconvert!$1:$1,0),0))&amp;" - "&amp;IFNA(VLOOKUP(VLOOKUP($A$2,Mobs!$A:$CA,MATCH("Neck 1",Mobs!$1:$1,0),FALSE),Equipconvert!$A:$F,MATCH("Abilities",Equipconvert!$1:$1,0),0))</f>
        <v> - </v>
      </c>
      <c r="C14" s="124" t="str">
        <f>IFNA(VLOOKUP(VLOOKUP($A$2,Mobs!$A:$CA,MATCH("Neck 2",Mobs!$1:$1,0),FALSE),Equipconvert!$A:$F,MATCH("Name",Equipconvert!$1:$1,0),0))&amp;" - "&amp;IFNA(VLOOKUP(VLOOKUP($A$2,Mobs!$A:$CA,MATCH("Neck 2",Mobs!$1:$1,0),FALSE),Equipconvert!$A:$F,MATCH("Abilities",Equipconvert!$1:$1,0),0))</f>
        <v> - </v>
      </c>
      <c r="D14" s="124" t="str">
        <f>IFNA(VLOOKUP(VLOOKUP($A$2,Mobs!$A:$CA,MATCH("Neck 3",Mobs!$1:$1,0),FALSE),Equipconvert!$A:$F,MATCH("Name",Equipconvert!$1:$1,0),0))&amp;" - "&amp;IFNA(VLOOKUP(VLOOKUP($A$2,Mobs!$A:$CA,MATCH("Neck 3",Mobs!$1:$1,0),FALSE),Equipconvert!$A:$F,MATCH("Abilities",Equipconvert!$1:$1,0),0))</f>
        <v> - </v>
      </c>
      <c r="E14" s="124"/>
      <c r="F14" s="124"/>
      <c r="G14" s="124"/>
      <c r="H14" s="124"/>
      <c r="I14" s="124"/>
      <c r="J14" s="124"/>
      <c r="K14" s="124"/>
    </row>
    <row r="15" ht="15.75" customHeight="1">
      <c r="A15" s="32" t="s">
        <v>16</v>
      </c>
      <c r="B15" s="124" t="str">
        <f>IFNA(VLOOKUP(VLOOKUP($A$2,Mobs!$A:$CA,MATCH("Shoulders",Mobs!$1:$1,0),FALSE),Equipconvert!$A:$F,MATCH("Name",Equipconvert!$1:$1,0),0))&amp;" - "&amp;IFNA(VLOOKUP(VLOOKUP($A$2,Mobs!$A:$CA,MATCH("Shoulders",Mobs!$1:$1,0),FALSE),Equipconvert!$A:$F,MATCH("Abilities",Equipconvert!$1:$1,0),0))</f>
        <v> - </v>
      </c>
      <c r="C15" s="124"/>
      <c r="D15" s="124"/>
      <c r="E15" s="124"/>
      <c r="F15" s="124"/>
      <c r="G15" s="124"/>
      <c r="H15" s="124"/>
      <c r="I15" s="124"/>
      <c r="J15" s="124"/>
      <c r="K15" s="124"/>
    </row>
    <row r="16" ht="15.75" customHeight="1">
      <c r="A16" s="16" t="s">
        <v>17</v>
      </c>
      <c r="B16" s="124" t="str">
        <f>IFNA(VLOOKUP(VLOOKUP($A$2,Mobs!$A:$CA,MATCH("Torso",Mobs!$1:$1,0),FALSE),Equipconvert!$A:$F,MATCH("Name",Equipconvert!$1:$1,0),0))&amp;" - "&amp;IFNA(VLOOKUP(VLOOKUP($A$2,Mobs!$A:$CA,MATCH("Torso",Mobs!$1:$1,0),FALSE),Equipconvert!$A:$F,MATCH("Abilities",Equipconvert!$1:$1,0),0))</f>
        <v> - </v>
      </c>
      <c r="C16" s="124"/>
      <c r="D16" s="124"/>
      <c r="E16" s="125"/>
      <c r="F16" s="124"/>
      <c r="G16" s="124"/>
      <c r="H16" s="124"/>
      <c r="I16" s="124"/>
      <c r="J16" s="124"/>
      <c r="K16" s="124"/>
    </row>
    <row r="17" ht="15.75" customHeight="1">
      <c r="A17" s="32" t="s">
        <v>18</v>
      </c>
      <c r="B17" s="124" t="str">
        <f>IFNA(VLOOKUP(VLOOKUP($A$2,Mobs!$A:$CA,MATCH("Arms",Mobs!$1:$1,0),FALSE),Equipconvert!$A:$F,MATCH("Name",Equipconvert!$1:$1,0),0))&amp;" - "&amp;IFNA(VLOOKUP(VLOOKUP($A$2,Mobs!$A:$CA,MATCH("Arms",Mobs!$1:$1,0),FALSE),Equipconvert!$A:$F,MATCH("Abilities",Equipconvert!$1:$1,0),0))</f>
        <v> - </v>
      </c>
      <c r="C17" s="124"/>
      <c r="D17" s="124"/>
      <c r="E17" s="124"/>
      <c r="F17" s="124"/>
      <c r="G17" s="124"/>
      <c r="H17" s="124"/>
      <c r="I17" s="124"/>
      <c r="J17" s="124"/>
      <c r="K17" s="124"/>
    </row>
    <row r="18" ht="15.75" customHeight="1">
      <c r="A18" s="16" t="s">
        <v>19</v>
      </c>
      <c r="B18" s="124" t="str">
        <f>IFNA(VLOOKUP(VLOOKUP($A$2,Mobs!$A:$CA,MATCH("L. Hand",Mobs!$1:$1,0),FALSE),Equipconvert!$A:$F,MATCH("Name",Equipconvert!$1:$1,0),0))&amp;" - "&amp;IFNA(VLOOKUP(VLOOKUP($A$2,Mobs!$A:$CA,MATCH("L. Hand",Mobs!$1:$1,0),FALSE),Equipconvert!$A:$F,MATCH("Abilities",Equipconvert!$1:$1,0),0))</f>
        <v> - </v>
      </c>
      <c r="C18" s="124"/>
      <c r="D18" s="124"/>
      <c r="E18" s="124"/>
      <c r="F18" s="124"/>
      <c r="G18" s="124"/>
      <c r="H18" s="124"/>
      <c r="I18" s="124"/>
      <c r="J18" s="124"/>
      <c r="K18" s="124"/>
    </row>
    <row r="19" ht="15.75" customHeight="1">
      <c r="A19" s="32" t="s">
        <v>20</v>
      </c>
      <c r="B19" s="126" t="str">
        <f>IFNA(VLOOKUP(VLOOKUP($A$2,Mobs!$A:$CA,MATCH("R. Hand",Mobs!$1:$1,0),FALSE),Equipconvert!$A:$F,MATCH("Name",Equipconvert!$1:$1,0),0))&amp;
" - "&amp;IFNA(VLOOKUP(VLOOKUP($A$2,Mobs!$A:$CA,MATCH("R. Hand",Mobs!$1:$1,0),FALSE),Equipconvert!$A:$F,MATCH("Abilities",Equipconvert!$1:$1,0),0))</f>
        <v> - </v>
      </c>
      <c r="C19" s="124"/>
      <c r="D19" s="124"/>
      <c r="E19" s="124"/>
      <c r="F19" s="124"/>
      <c r="G19" s="124"/>
      <c r="H19" s="124"/>
      <c r="I19" s="124"/>
      <c r="J19" s="124"/>
      <c r="K19" s="124"/>
    </row>
    <row r="20" ht="15.75" customHeight="1">
      <c r="A20" s="16" t="s">
        <v>21</v>
      </c>
      <c r="B20" s="126" t="str">
        <f>IFNA(VLOOKUP(VLOOKUP($A$2,Mobs!$A:$CA,MATCH("Finger 1",Mobs!$1:$1,0),FALSE),Equipconvert!$A:$F,MATCH("Name",Equipconvert!$1:$1,0),0))&amp;
" - "&amp;IFNA(VLOOKUP(VLOOKUP($A$2,Mobs!$A:$CA,MATCH("Finger 1",Mobs!$1:$1,0),FALSE),Equipconvert!$A:$F,MATCH("Abilities",Equipconvert!$1:$1,0),0))</f>
        <v> - </v>
      </c>
      <c r="C20" s="124" t="str">
        <f>IFNA(VLOOKUP(VLOOKUP($A$2,Mobs!$A:$CA,MATCH("Finger 2",Mobs!$1:$1,0),FALSE),Equipconvert!$A:$F,MATCH("Name",Equipconvert!$1:$1,0),0))&amp;
" - "&amp;IFNA(VLOOKUP(VLOOKUP($A$2,Mobs!$A:$CA,MATCH("Finger 2",Mobs!$1:$1,0),FALSE),Equipconvert!$A:$F,MATCH("Abilities",Equipconvert!$1:$1,0),0))</f>
        <v> - </v>
      </c>
      <c r="D20" s="124" t="str">
        <f>IFNA(VLOOKUP(VLOOKUP($A$2,Mobs!$A:$CA,MATCH("Finger 3",Mobs!$1:$1,0),FALSE),Equipconvert!$A:$F,MATCH("Name",Equipconvert!$1:$1,0),0))&amp;
" - "&amp;IFNA(VLOOKUP(VLOOKUP($A$2,Mobs!$A:$CA,MATCH("Finger 3",Mobs!$1:$1,0),FALSE),Equipconvert!$A:$F,MATCH("Abilities",Equipconvert!$1:$1,0),0))</f>
        <v> - </v>
      </c>
      <c r="E20" s="124" t="str">
        <f>IFNA(VLOOKUP(VLOOKUP($A$2,Mobs!$A:$CA,MATCH("Finger 4",Mobs!$1:$1,0),FALSE),Equipconvert!$A:$F,MATCH("Name",Equipconvert!$1:$1,0),0))&amp;
" - "&amp;IFNA(VLOOKUP(VLOOKUP($A$2,Mobs!$A:$CA,MATCH("Finger 4",Mobs!$1:$1,0),FALSE),Equipconvert!$A:$F,MATCH("Abilities",Equipconvert!$1:$1,0),0))</f>
        <v> - </v>
      </c>
      <c r="F20" s="124" t="str">
        <f>IFNA(VLOOKUP(VLOOKUP($A$2,Mobs!$A:$CA,MATCH("Finger 5",Mobs!$1:$1,0),FALSE),Equipconvert!$A:$F,MATCH("Name",Equipconvert!$1:$1,0),0))&amp;
" - "&amp;IFNA(VLOOKUP(VLOOKUP($A$2,Mobs!$A:$CA,MATCH("Finger 5",Mobs!$1:$1,0),FALSE),Equipconvert!$A:$F,MATCH("Abilities",Equipconvert!$1:$1,0),0))</f>
        <v> - </v>
      </c>
      <c r="G20" s="124" t="str">
        <f>IFNA(VLOOKUP(VLOOKUP($A$2,Mobs!$A:$CA,MATCH("Finger 6",Mobs!$1:$1,0),FALSE),Equipconvert!$A:$F,MATCH("Name",Equipconvert!$1:$1,0),0))&amp;
" - "&amp;IFNA(VLOOKUP(VLOOKUP($A$2,Mobs!$A:$CA,MATCH("Finger 6",Mobs!$1:$1,0),FALSE),Equipconvert!$A:$F,MATCH("Abilities",Equipconvert!$1:$1,0),0))</f>
        <v> - </v>
      </c>
      <c r="H20" s="124" t="str">
        <f>IFNA(VLOOKUP(VLOOKUP($A$2,Mobs!$A:$CA,MATCH("Finger 7",Mobs!$1:$1,0),FALSE),Equipconvert!$A:$F,MATCH("Name",Equipconvert!$1:$1,0),0))&amp;
" - "&amp;IFNA(VLOOKUP(VLOOKUP($A$2,Mobs!$A:$CA,MATCH("Finger 7",Mobs!$1:$1,0),FALSE),Equipconvert!$A:$F,MATCH("Abilities",Equipconvert!$1:$1,0),0))</f>
        <v> - </v>
      </c>
      <c r="I20" s="124" t="str">
        <f>IFNA(VLOOKUP(VLOOKUP($A$2,Mobs!$A:$CA,MATCH("Finger 8",Mobs!$1:$1,0),FALSE),Equipconvert!$A:$F,MATCH("Name",Equipconvert!$1:$1,0),0))&amp;
" - "&amp;IFNA(VLOOKUP(VLOOKUP($A$2,Mobs!$A:$CA,MATCH("Finger 8",Mobs!$1:$1,0),FALSE),Equipconvert!$A:$F,MATCH("Abilities",Equipconvert!$1:$1,0),0))</f>
        <v> - </v>
      </c>
      <c r="J20" s="124" t="str">
        <f>IFNA(VLOOKUP(VLOOKUP($A$2,Mobs!$A:$CA,MATCH("Finger 9",Mobs!$1:$1,0),FALSE),Equipconvert!$A:$F,MATCH("Name",Equipconvert!$1:$1,0),0))&amp;
" - "&amp;IFNA(VLOOKUP(VLOOKUP($A$2,Mobs!$A:$CA,MATCH("Finger 9",Mobs!$1:$1,0),FALSE),Equipconvert!$A:$F,MATCH("Abilities",Equipconvert!$1:$1,0),0))</f>
        <v> - </v>
      </c>
      <c r="K20" s="124" t="str">
        <f>IFNA(VLOOKUP(VLOOKUP($A$2,Mobs!$A:$CA,MATCH("Finger 10",Mobs!$1:$1,0),FALSE),Equipconvert!$A:$F,MATCH("Name",Equipconvert!$1:$1,0),0))&amp;
" - "&amp;IFNA(VLOOKUP(VLOOKUP($A$2,Mobs!$A:$CA,MATCH("Finger 10",Mobs!$1:$1,0),FALSE),Equipconvert!$A:$F,MATCH("Abilities",Equipconvert!$1:$1,0),0))</f>
        <v> - </v>
      </c>
    </row>
    <row r="21" ht="15.75" customHeight="1">
      <c r="A21" s="16" t="s">
        <v>22</v>
      </c>
      <c r="B21" s="126" t="str">
        <f>IFNA(VLOOKUP(VLOOKUP($A$2,Mobs!$A:$CA,MATCH("Legs",Mobs!$1:$1,0),FALSE),Equipconvert!$A:$F,MATCH("Name",Equipconvert!$1:$1,0),0))&amp;
" - "&amp;IFNA(VLOOKUP(VLOOKUP($A$2,Mobs!$A:$CA,MATCH("Legs",Mobs!$1:$1,0),FALSE),Equipconvert!$A:$F,MATCH("Abilities",Equipconvert!$1:$1,0),0))</f>
        <v> - </v>
      </c>
      <c r="C21" s="124"/>
      <c r="D21" s="124"/>
      <c r="E21" s="124"/>
      <c r="F21" s="124"/>
      <c r="G21" s="124"/>
      <c r="H21" s="124"/>
      <c r="I21" s="124"/>
      <c r="J21" s="124"/>
      <c r="K21" s="124"/>
    </row>
    <row r="22" ht="15.75" customHeight="1">
      <c r="A22" s="16" t="s">
        <v>23</v>
      </c>
      <c r="B22" s="126" t="str">
        <f>IFNA(VLOOKUP(VLOOKUP($A$2,Mobs!$A:$CA,MATCH("Feet",Mobs!$1:$1,0),FALSE),Equipconvert!$A:$F,MATCH("Name",Equipconvert!$1:$1,0),0))&amp;
" - "&amp;IFNA(VLOOKUP(VLOOKUP($A$2,Mobs!$A:$CA,MATCH("Feet",Mobs!$1:$1,0),FALSE),Equipconvert!$A:$F,MATCH("Abilities",Equipconvert!$1:$1,0),0))</f>
        <v> - </v>
      </c>
      <c r="C22" s="124"/>
      <c r="D22" s="124"/>
      <c r="E22" s="124"/>
      <c r="F22" s="124"/>
      <c r="G22" s="124"/>
      <c r="H22" s="124"/>
      <c r="I22" s="124"/>
      <c r="J22" s="124"/>
      <c r="K22" s="124"/>
    </row>
    <row r="23" ht="15.75" customHeight="1">
      <c r="J23" s="107"/>
    </row>
    <row r="24" ht="15.75" customHeight="1">
      <c r="A24" s="63" t="s">
        <v>24</v>
      </c>
    </row>
    <row r="25" ht="15.75" customHeight="1">
      <c r="A25" s="14" t="s">
        <v>25</v>
      </c>
      <c r="B25" s="14" t="s">
        <v>26</v>
      </c>
      <c r="C25" s="14" t="s">
        <v>27</v>
      </c>
      <c r="D25" s="14" t="s">
        <v>28</v>
      </c>
      <c r="E25" s="14" t="s">
        <v>29</v>
      </c>
      <c r="F25" s="14" t="s">
        <v>30</v>
      </c>
      <c r="G25" s="14" t="s">
        <v>31</v>
      </c>
      <c r="U25" s="107" t="s">
        <v>32</v>
      </c>
    </row>
    <row r="26" ht="15.75" customHeight="1">
      <c r="A26" s="16" t="str">
        <f>ifna(VLOOKUP(VLOOKUP($A$2,Mobs!$A:$CA,MATCH("Spell "&amp;$U26,Mobs!$1:$1,0),FALSE),SpellsNatPowers!$A:$I,MATCH(A$25,SpellsNatPowers!$1:$1,0),FALSE))</f>
        <v/>
      </c>
      <c r="B26" s="16" t="str">
        <f>ifna(VLOOKUP(VLOOKUP($A$2,Mobs!$A:$CA,MATCH("Spell "&amp;$U26,Mobs!$1:$1,0),FALSE),SpellsNatPowers!$A:$I,MATCH(B$25,SpellsNatPowers!$1:$1,0),FALSE))</f>
        <v/>
      </c>
      <c r="C26" s="16" t="str">
        <f>ifna(VLOOKUP(VLOOKUP($A$2,Mobs!$A:$CA,MATCH("Spell "&amp;$U26,Mobs!$1:$1,0),FALSE),SpellsNatPowers!$A:$I,MATCH(C$25,SpellsNatPowers!$1:$1,0),FALSE))</f>
        <v/>
      </c>
      <c r="D26" s="16" t="str">
        <f>ifna(VLOOKUP(VLOOKUP($A$2,Mobs!$A:$CA,MATCH("Spell "&amp;$U26,Mobs!$1:$1,0),FALSE),SpellsNatPowers!$A:$I,MATCH(D$25,SpellsNatPowers!$1:$1,0),FALSE))</f>
        <v/>
      </c>
      <c r="E26" s="16" t="str">
        <f>ifna(VLOOKUP(VLOOKUP($A$2,Mobs!$A:$CA,MATCH("Spell "&amp;$U26,Mobs!$1:$1,0),FALSE),SpellsNatPowers!$A:$I,MATCH(E$25,SpellsNatPowers!$1:$1,0),FALSE))</f>
        <v/>
      </c>
      <c r="F26" s="16" t="str">
        <f>ifna(VLOOKUP(VLOOKUP($A$2,Mobs!$A:$CA,MATCH("Spell "&amp;$U26,Mobs!$1:$1,0),FALSE),SpellsNatPowers!$A:$I,MATCH(F$25,SpellsNatPowers!$1:$1,0),FALSE))</f>
        <v/>
      </c>
      <c r="G26" s="16" t="str">
        <f>ifna(VLOOKUP(VLOOKUP($A$2,Mobs!$A:$CA,MATCH("Spell "&amp;$U26,Mobs!$1:$1,0),FALSE),SpellsNatPowers!$A:$I,MATCH(G$25,SpellsNatPowers!$1:$1,0),FALSE))</f>
        <v/>
      </c>
      <c r="U26" s="107">
        <v>1.0</v>
      </c>
    </row>
    <row r="27" ht="15.75" customHeight="1">
      <c r="A27" s="16" t="str">
        <f>ifna(VLOOKUP(VLOOKUP($A$2,Mobs!$A:$CA,MATCH("Spell "&amp;$U27,Mobs!$1:$1,0),FALSE),SpellsNatPowers!$A:$I,MATCH(A$25,SpellsNatPowers!$1:$1,0),FALSE))</f>
        <v/>
      </c>
      <c r="B27" s="16" t="str">
        <f>ifna(VLOOKUP(VLOOKUP($A$2,Mobs!$A:$CA,MATCH("Spell "&amp;$U27,Mobs!$1:$1,0),FALSE),SpellsNatPowers!$A:$I,MATCH(B$25,SpellsNatPowers!$1:$1,0),FALSE))</f>
        <v/>
      </c>
      <c r="C27" s="16" t="str">
        <f>ifna(VLOOKUP(VLOOKUP($A$2,Mobs!$A:$CA,MATCH("Spell "&amp;$U27,Mobs!$1:$1,0),FALSE),SpellsNatPowers!$A:$I,MATCH(C$25,SpellsNatPowers!$1:$1,0),FALSE))</f>
        <v/>
      </c>
      <c r="D27" s="16" t="str">
        <f>ifna(VLOOKUP(VLOOKUP($A$2,Mobs!$A:$CA,MATCH("Spell "&amp;$U27,Mobs!$1:$1,0),FALSE),SpellsNatPowers!$A:$I,MATCH(D$25,SpellsNatPowers!$1:$1,0),FALSE))</f>
        <v/>
      </c>
      <c r="E27" s="16" t="str">
        <f>ifna(VLOOKUP(VLOOKUP($A$2,Mobs!$A:$CA,MATCH("Spell "&amp;$U27,Mobs!$1:$1,0),FALSE),SpellsNatPowers!$A:$I,MATCH(E$25,SpellsNatPowers!$1:$1,0),FALSE))</f>
        <v/>
      </c>
      <c r="F27" s="16" t="str">
        <f>ifna(VLOOKUP(VLOOKUP($A$2,Mobs!$A:$CA,MATCH("Spell "&amp;$U27,Mobs!$1:$1,0),FALSE),SpellsNatPowers!$A:$I,MATCH(F$25,SpellsNatPowers!$1:$1,0),FALSE))</f>
        <v/>
      </c>
      <c r="G27" s="16" t="str">
        <f>ifna(VLOOKUP(VLOOKUP($A$2,Mobs!$A:$CA,MATCH("Spell "&amp;$U27,Mobs!$1:$1,0),FALSE),SpellsNatPowers!$A:$I,MATCH(G$25,SpellsNatPowers!$1:$1,0),FALSE))</f>
        <v/>
      </c>
      <c r="U27" s="107">
        <v>2.0</v>
      </c>
    </row>
    <row r="28" ht="15.75" customHeight="1">
      <c r="A28" s="16" t="str">
        <f>ifna(VLOOKUP(VLOOKUP($A$2,Mobs!$A:$CA,MATCH("Spell "&amp;$U28,Mobs!$1:$1,0),FALSE),SpellsNatPowers!$A:$I,MATCH(A$25,SpellsNatPowers!$1:$1,0),FALSE))</f>
        <v/>
      </c>
      <c r="B28" s="16" t="str">
        <f>ifna(VLOOKUP(VLOOKUP($A$2,Mobs!$A:$CA,MATCH("Spell "&amp;$U28,Mobs!$1:$1,0),FALSE),SpellsNatPowers!$A:$I,MATCH(B$25,SpellsNatPowers!$1:$1,0),FALSE))</f>
        <v/>
      </c>
      <c r="C28" s="16" t="str">
        <f>ifna(VLOOKUP(VLOOKUP($A$2,Mobs!$A:$CA,MATCH("Spell "&amp;$U28,Mobs!$1:$1,0),FALSE),SpellsNatPowers!$A:$I,MATCH(C$25,SpellsNatPowers!$1:$1,0),FALSE))</f>
        <v/>
      </c>
      <c r="D28" s="16" t="str">
        <f>ifna(VLOOKUP(VLOOKUP($A$2,Mobs!$A:$CA,MATCH("Spell "&amp;$U28,Mobs!$1:$1,0),FALSE),SpellsNatPowers!$A:$I,MATCH(D$25,SpellsNatPowers!$1:$1,0),FALSE))</f>
        <v/>
      </c>
      <c r="E28" s="16" t="str">
        <f>ifna(VLOOKUP(VLOOKUP($A$2,Mobs!$A:$CA,MATCH("Spell "&amp;$U28,Mobs!$1:$1,0),FALSE),SpellsNatPowers!$A:$I,MATCH(E$25,SpellsNatPowers!$1:$1,0),FALSE))</f>
        <v/>
      </c>
      <c r="F28" s="16" t="str">
        <f>ifna(VLOOKUP(VLOOKUP($A$2,Mobs!$A:$CA,MATCH("Spell "&amp;$U28,Mobs!$1:$1,0),FALSE),SpellsNatPowers!$A:$I,MATCH(F$25,SpellsNatPowers!$1:$1,0),FALSE))</f>
        <v/>
      </c>
      <c r="G28" s="16" t="str">
        <f>ifna(VLOOKUP(VLOOKUP($A$2,Mobs!$A:$CA,MATCH("Spell "&amp;$U28,Mobs!$1:$1,0),FALSE),SpellsNatPowers!$A:$I,MATCH(G$25,SpellsNatPowers!$1:$1,0),FALSE))</f>
        <v/>
      </c>
      <c r="U28" s="107">
        <v>3.0</v>
      </c>
    </row>
    <row r="29" ht="15.75" customHeight="1">
      <c r="A29" s="16" t="str">
        <f>ifna(VLOOKUP(VLOOKUP($A$2,Mobs!$A:$CA,MATCH("Spell "&amp;$U29,Mobs!$1:$1,0),FALSE),SpellsNatPowers!$A:$I,MATCH(A$25,SpellsNatPowers!$1:$1,0),FALSE))</f>
        <v/>
      </c>
      <c r="B29" s="16" t="str">
        <f>ifna(VLOOKUP(VLOOKUP($A$2,Mobs!$A:$CA,MATCH("Spell "&amp;$U29,Mobs!$1:$1,0),FALSE),SpellsNatPowers!$A:$I,MATCH(B$25,SpellsNatPowers!$1:$1,0),FALSE))</f>
        <v/>
      </c>
      <c r="C29" s="16" t="str">
        <f>ifna(VLOOKUP(VLOOKUP($A$2,Mobs!$A:$CA,MATCH("Spell "&amp;$U29,Mobs!$1:$1,0),FALSE),SpellsNatPowers!$A:$I,MATCH(C$25,SpellsNatPowers!$1:$1,0),FALSE))</f>
        <v/>
      </c>
      <c r="D29" s="16" t="str">
        <f>ifna(VLOOKUP(VLOOKUP($A$2,Mobs!$A:$CA,MATCH("Spell "&amp;$U29,Mobs!$1:$1,0),FALSE),SpellsNatPowers!$A:$I,MATCH(D$25,SpellsNatPowers!$1:$1,0),FALSE))</f>
        <v/>
      </c>
      <c r="E29" s="16" t="str">
        <f>ifna(VLOOKUP(VLOOKUP($A$2,Mobs!$A:$CA,MATCH("Spell "&amp;$U29,Mobs!$1:$1,0),FALSE),SpellsNatPowers!$A:$I,MATCH(E$25,SpellsNatPowers!$1:$1,0),FALSE))</f>
        <v/>
      </c>
      <c r="F29" s="16" t="str">
        <f>ifna(VLOOKUP(VLOOKUP($A$2,Mobs!$A:$CA,MATCH("Spell "&amp;$U29,Mobs!$1:$1,0),FALSE),SpellsNatPowers!$A:$I,MATCH(F$25,SpellsNatPowers!$1:$1,0),FALSE))</f>
        <v/>
      </c>
      <c r="G29" s="16" t="str">
        <f>ifna(VLOOKUP(VLOOKUP($A$2,Mobs!$A:$CA,MATCH("Spell "&amp;$U29,Mobs!$1:$1,0),FALSE),SpellsNatPowers!$A:$I,MATCH(G$25,SpellsNatPowers!$1:$1,0),FALSE))</f>
        <v/>
      </c>
      <c r="U29" s="107">
        <v>4.0</v>
      </c>
    </row>
    <row r="30" ht="15.75" customHeight="1">
      <c r="A30" s="16" t="str">
        <f>ifna(VLOOKUP(VLOOKUP($A$2,Mobs!$A:$CA,MATCH("Spell "&amp;$U30,Mobs!$1:$1,0),FALSE),SpellsNatPowers!$A:$I,MATCH(A$25,SpellsNatPowers!$1:$1,0),FALSE))</f>
        <v/>
      </c>
      <c r="B30" s="16" t="str">
        <f>ifna(VLOOKUP(VLOOKUP($A$2,Mobs!$A:$CA,MATCH("Spell "&amp;$U30,Mobs!$1:$1,0),FALSE),SpellsNatPowers!$A:$I,MATCH(B$25,SpellsNatPowers!$1:$1,0),FALSE))</f>
        <v/>
      </c>
      <c r="C30" s="16" t="str">
        <f>ifna(VLOOKUP(VLOOKUP($A$2,Mobs!$A:$CA,MATCH("Spell "&amp;$U30,Mobs!$1:$1,0),FALSE),SpellsNatPowers!$A:$I,MATCH(C$25,SpellsNatPowers!$1:$1,0),FALSE))</f>
        <v/>
      </c>
      <c r="D30" s="16" t="str">
        <f>ifna(VLOOKUP(VLOOKUP($A$2,Mobs!$A:$CA,MATCH("Spell "&amp;$U30,Mobs!$1:$1,0),FALSE),SpellsNatPowers!$A:$I,MATCH(D$25,SpellsNatPowers!$1:$1,0),FALSE))</f>
        <v/>
      </c>
      <c r="E30" s="16" t="str">
        <f>ifna(VLOOKUP(VLOOKUP($A$2,Mobs!$A:$CA,MATCH("Spell "&amp;$U30,Mobs!$1:$1,0),FALSE),SpellsNatPowers!$A:$I,MATCH(E$25,SpellsNatPowers!$1:$1,0),FALSE))</f>
        <v/>
      </c>
      <c r="F30" s="16" t="str">
        <f>ifna(VLOOKUP(VLOOKUP($A$2,Mobs!$A:$CA,MATCH("Spell "&amp;$U30,Mobs!$1:$1,0),FALSE),SpellsNatPowers!$A:$I,MATCH(F$25,SpellsNatPowers!$1:$1,0),FALSE))</f>
        <v/>
      </c>
      <c r="G30" s="16" t="str">
        <f>ifna(VLOOKUP(VLOOKUP($A$2,Mobs!$A:$CA,MATCH("Spell "&amp;$U30,Mobs!$1:$1,0),FALSE),SpellsNatPowers!$A:$I,MATCH(G$25,SpellsNatPowers!$1:$1,0),FALSE))</f>
        <v/>
      </c>
      <c r="U30" s="107">
        <v>5.0</v>
      </c>
    </row>
    <row r="31" ht="15.75" customHeight="1">
      <c r="A31" s="16" t="str">
        <f>ifna(VLOOKUP(VLOOKUP($A$2,Mobs!$A:$CA,MATCH("Spell "&amp;$U31,Mobs!$1:$1,0),FALSE),SpellsNatPowers!$A:$I,MATCH(A$25,SpellsNatPowers!$1:$1,0),FALSE))</f>
        <v/>
      </c>
      <c r="B31" s="16" t="str">
        <f>ifna(VLOOKUP(VLOOKUP($A$2,Mobs!$A:$CA,MATCH("Spell "&amp;$U31,Mobs!$1:$1,0),FALSE),SpellsNatPowers!$A:$I,MATCH(B$25,SpellsNatPowers!$1:$1,0),FALSE))</f>
        <v/>
      </c>
      <c r="C31" s="16" t="str">
        <f>ifna(VLOOKUP(VLOOKUP($A$2,Mobs!$A:$CA,MATCH("Spell "&amp;$U31,Mobs!$1:$1,0),FALSE),SpellsNatPowers!$A:$I,MATCH(C$25,SpellsNatPowers!$1:$1,0),FALSE))</f>
        <v/>
      </c>
      <c r="D31" s="16" t="str">
        <f>ifna(VLOOKUP(VLOOKUP($A$2,Mobs!$A:$CA,MATCH("Spell "&amp;$U31,Mobs!$1:$1,0),FALSE),SpellsNatPowers!$A:$I,MATCH(D$25,SpellsNatPowers!$1:$1,0),FALSE))</f>
        <v/>
      </c>
      <c r="E31" s="16" t="str">
        <f>ifna(VLOOKUP(VLOOKUP($A$2,Mobs!$A:$CA,MATCH("Spell "&amp;$U31,Mobs!$1:$1,0),FALSE),SpellsNatPowers!$A:$I,MATCH(E$25,SpellsNatPowers!$1:$1,0),FALSE))</f>
        <v/>
      </c>
      <c r="F31" s="16" t="str">
        <f>ifna(VLOOKUP(VLOOKUP($A$2,Mobs!$A:$CA,MATCH("Spell "&amp;$U31,Mobs!$1:$1,0),FALSE),SpellsNatPowers!$A:$I,MATCH(F$25,SpellsNatPowers!$1:$1,0),FALSE))</f>
        <v/>
      </c>
      <c r="G31" s="16" t="str">
        <f>ifna(VLOOKUP(VLOOKUP($A$2,Mobs!$A:$CA,MATCH("Spell "&amp;$U31,Mobs!$1:$1,0),FALSE),SpellsNatPowers!$A:$I,MATCH(G$25,SpellsNatPowers!$1:$1,0),FALSE))</f>
        <v/>
      </c>
      <c r="U31" s="107">
        <v>6.0</v>
      </c>
    </row>
    <row r="32" ht="15.75" customHeight="1">
      <c r="A32" s="16" t="str">
        <f>ifna(VLOOKUP(VLOOKUP($A$2,Mobs!$A:$CA,MATCH("Spell "&amp;$U32,Mobs!$1:$1,0),FALSE),SpellsNatPowers!$A:$I,MATCH(A$25,SpellsNatPowers!$1:$1,0),FALSE))</f>
        <v/>
      </c>
      <c r="B32" s="16" t="str">
        <f>ifna(VLOOKUP(VLOOKUP($A$2,Mobs!$A:$CA,MATCH("Spell "&amp;$U32,Mobs!$1:$1,0),FALSE),SpellsNatPowers!$A:$I,MATCH(B$25,SpellsNatPowers!$1:$1,0),FALSE))</f>
        <v/>
      </c>
      <c r="C32" s="16" t="str">
        <f>ifna(VLOOKUP(VLOOKUP($A$2,Mobs!$A:$CA,MATCH("Spell "&amp;$U32,Mobs!$1:$1,0),FALSE),SpellsNatPowers!$A:$I,MATCH(C$25,SpellsNatPowers!$1:$1,0),FALSE))</f>
        <v/>
      </c>
      <c r="D32" s="16" t="str">
        <f>ifna(VLOOKUP(VLOOKUP($A$2,Mobs!$A:$CA,MATCH("Spell "&amp;$U32,Mobs!$1:$1,0),FALSE),SpellsNatPowers!$A:$I,MATCH(D$25,SpellsNatPowers!$1:$1,0),FALSE))</f>
        <v/>
      </c>
      <c r="E32" s="16" t="str">
        <f>ifna(VLOOKUP(VLOOKUP($A$2,Mobs!$A:$CA,MATCH("Spell "&amp;$U32,Mobs!$1:$1,0),FALSE),SpellsNatPowers!$A:$I,MATCH(E$25,SpellsNatPowers!$1:$1,0),FALSE))</f>
        <v/>
      </c>
      <c r="F32" s="16" t="str">
        <f>ifna(VLOOKUP(VLOOKUP($A$2,Mobs!$A:$CA,MATCH("Spell "&amp;$U32,Mobs!$1:$1,0),FALSE),SpellsNatPowers!$A:$I,MATCH(F$25,SpellsNatPowers!$1:$1,0),FALSE))</f>
        <v/>
      </c>
      <c r="G32" s="16" t="str">
        <f>ifna(VLOOKUP(VLOOKUP($A$2,Mobs!$A:$CA,MATCH("Spell "&amp;$U32,Mobs!$1:$1,0),FALSE),SpellsNatPowers!$A:$I,MATCH(G$25,SpellsNatPowers!$1:$1,0),FALSE))</f>
        <v/>
      </c>
      <c r="U32" s="107">
        <v>7.0</v>
      </c>
    </row>
    <row r="33" ht="15.75" customHeight="1">
      <c r="A33" s="16" t="str">
        <f>ifna(VLOOKUP(VLOOKUP($A$2,Mobs!$A:$CA,MATCH("Spell "&amp;$U33,Mobs!$1:$1,0),FALSE),SpellsNatPowers!$A:$I,MATCH(A$25,SpellsNatPowers!$1:$1,0),FALSE))</f>
        <v/>
      </c>
      <c r="B33" s="16" t="str">
        <f>ifna(VLOOKUP(VLOOKUP($A$2,Mobs!$A:$CA,MATCH("Spell "&amp;$U33,Mobs!$1:$1,0),FALSE),SpellsNatPowers!$A:$I,MATCH(B$25,SpellsNatPowers!$1:$1,0),FALSE))</f>
        <v/>
      </c>
      <c r="C33" s="16" t="str">
        <f>ifna(VLOOKUP(VLOOKUP($A$2,Mobs!$A:$CA,MATCH("Spell "&amp;$U33,Mobs!$1:$1,0),FALSE),SpellsNatPowers!$A:$I,MATCH(C$25,SpellsNatPowers!$1:$1,0),FALSE))</f>
        <v/>
      </c>
      <c r="D33" s="16" t="str">
        <f>ifna(VLOOKUP(VLOOKUP($A$2,Mobs!$A:$CA,MATCH("Spell "&amp;$U33,Mobs!$1:$1,0),FALSE),SpellsNatPowers!$A:$I,MATCH(D$25,SpellsNatPowers!$1:$1,0),FALSE))</f>
        <v/>
      </c>
      <c r="E33" s="16" t="str">
        <f>ifna(VLOOKUP(VLOOKUP($A$2,Mobs!$A:$CA,MATCH("Spell "&amp;$U33,Mobs!$1:$1,0),FALSE),SpellsNatPowers!$A:$I,MATCH(E$25,SpellsNatPowers!$1:$1,0),FALSE))</f>
        <v/>
      </c>
      <c r="F33" s="16" t="str">
        <f>ifna(VLOOKUP(VLOOKUP($A$2,Mobs!$A:$CA,MATCH("Spell "&amp;$U33,Mobs!$1:$1,0),FALSE),SpellsNatPowers!$A:$I,MATCH(F$25,SpellsNatPowers!$1:$1,0),FALSE))</f>
        <v/>
      </c>
      <c r="G33" s="16" t="str">
        <f>ifna(VLOOKUP(VLOOKUP($A$2,Mobs!$A:$CA,MATCH("Spell "&amp;$U33,Mobs!$1:$1,0),FALSE),SpellsNatPowers!$A:$I,MATCH(G$25,SpellsNatPowers!$1:$1,0),FALSE))</f>
        <v/>
      </c>
      <c r="U33" s="107">
        <v>8.0</v>
      </c>
    </row>
    <row r="34" ht="15.75" customHeight="1">
      <c r="A34" s="16" t="str">
        <f>ifna(VLOOKUP(VLOOKUP($A$2,Mobs!$A:$CA,MATCH("Spell "&amp;$U34,Mobs!$1:$1,0),FALSE),SpellsNatPowers!$A:$I,MATCH(A$25,SpellsNatPowers!$1:$1,0),FALSE))</f>
        <v/>
      </c>
      <c r="B34" s="16" t="str">
        <f>ifna(VLOOKUP(VLOOKUP($A$2,Mobs!$A:$CA,MATCH("Spell "&amp;$U34,Mobs!$1:$1,0),FALSE),SpellsNatPowers!$A:$I,MATCH(B$25,SpellsNatPowers!$1:$1,0),FALSE))</f>
        <v/>
      </c>
      <c r="C34" s="16" t="str">
        <f>ifna(VLOOKUP(VLOOKUP($A$2,Mobs!$A:$CA,MATCH("Spell "&amp;$U34,Mobs!$1:$1,0),FALSE),SpellsNatPowers!$A:$I,MATCH(C$25,SpellsNatPowers!$1:$1,0),FALSE))</f>
        <v/>
      </c>
      <c r="D34" s="16" t="str">
        <f>ifna(VLOOKUP(VLOOKUP($A$2,Mobs!$A:$CA,MATCH("Spell "&amp;$U34,Mobs!$1:$1,0),FALSE),SpellsNatPowers!$A:$I,MATCH(D$25,SpellsNatPowers!$1:$1,0),FALSE))</f>
        <v/>
      </c>
      <c r="E34" s="16" t="str">
        <f>ifna(VLOOKUP(VLOOKUP($A$2,Mobs!$A:$CA,MATCH("Spell "&amp;$U34,Mobs!$1:$1,0),FALSE),SpellsNatPowers!$A:$I,MATCH(E$25,SpellsNatPowers!$1:$1,0),FALSE))</f>
        <v/>
      </c>
      <c r="F34" s="16" t="str">
        <f>ifna(VLOOKUP(VLOOKUP($A$2,Mobs!$A:$CA,MATCH("Spell "&amp;$U34,Mobs!$1:$1,0),FALSE),SpellsNatPowers!$A:$I,MATCH(F$25,SpellsNatPowers!$1:$1,0),FALSE))</f>
        <v/>
      </c>
      <c r="G34" s="16" t="str">
        <f>ifna(VLOOKUP(VLOOKUP($A$2,Mobs!$A:$CA,MATCH("Spell "&amp;$U34,Mobs!$1:$1,0),FALSE),SpellsNatPowers!$A:$I,MATCH(G$25,SpellsNatPowers!$1:$1,0),FALSE))</f>
        <v/>
      </c>
      <c r="U34" s="107">
        <v>9.0</v>
      </c>
    </row>
    <row r="35" ht="15.75" customHeight="1">
      <c r="A35" s="16" t="str">
        <f>ifna(VLOOKUP(VLOOKUP($A$2,Mobs!$A:$CA,MATCH("Spell "&amp;$U35,Mobs!$1:$1,0),FALSE),SpellsNatPowers!$A:$I,MATCH(A$25,SpellsNatPowers!$1:$1,0),FALSE))</f>
        <v/>
      </c>
      <c r="B35" s="16" t="str">
        <f>ifna(VLOOKUP(VLOOKUP($A$2,Mobs!$A:$CA,MATCH("Spell "&amp;$U35,Mobs!$1:$1,0),FALSE),SpellsNatPowers!$A:$I,MATCH(B$25,SpellsNatPowers!$1:$1,0),FALSE))</f>
        <v/>
      </c>
      <c r="C35" s="16" t="str">
        <f>ifna(VLOOKUP(VLOOKUP($A$2,Mobs!$A:$CA,MATCH("Spell "&amp;$U35,Mobs!$1:$1,0),FALSE),SpellsNatPowers!$A:$I,MATCH(C$25,SpellsNatPowers!$1:$1,0),FALSE))</f>
        <v/>
      </c>
      <c r="D35" s="16" t="str">
        <f>ifna(VLOOKUP(VLOOKUP($A$2,Mobs!$A:$CA,MATCH("Spell "&amp;$U35,Mobs!$1:$1,0),FALSE),SpellsNatPowers!$A:$I,MATCH(D$25,SpellsNatPowers!$1:$1,0),FALSE))</f>
        <v/>
      </c>
      <c r="E35" s="16" t="str">
        <f>ifna(VLOOKUP(VLOOKUP($A$2,Mobs!$A:$CA,MATCH("Spell "&amp;$U35,Mobs!$1:$1,0),FALSE),SpellsNatPowers!$A:$I,MATCH(E$25,SpellsNatPowers!$1:$1,0),FALSE))</f>
        <v/>
      </c>
      <c r="F35" s="16" t="str">
        <f>ifna(VLOOKUP(VLOOKUP($A$2,Mobs!$A:$CA,MATCH("Spell "&amp;$U35,Mobs!$1:$1,0),FALSE),SpellsNatPowers!$A:$I,MATCH(F$25,SpellsNatPowers!$1:$1,0),FALSE))</f>
        <v/>
      </c>
      <c r="G35" s="16" t="str">
        <f>ifna(VLOOKUP(VLOOKUP($A$2,Mobs!$A:$CA,MATCH("Spell "&amp;$U35,Mobs!$1:$1,0),FALSE),SpellsNatPowers!$A:$I,MATCH(G$25,SpellsNatPowers!$1:$1,0),FALSE))</f>
        <v/>
      </c>
      <c r="U35" s="107">
        <v>10.0</v>
      </c>
    </row>
    <row r="36" ht="15.75" customHeight="1">
      <c r="A36" s="16" t="str">
        <f>ifna(VLOOKUP(VLOOKUP($A$2,Mobs!$A:$CA,MATCH("Spell "&amp;$U36,Mobs!$1:$1,0),FALSE),SpellsNatPowers!$A:$I,MATCH(A$25,SpellsNatPowers!$1:$1,0),FALSE))</f>
        <v/>
      </c>
      <c r="B36" s="16" t="str">
        <f>ifna(VLOOKUP(VLOOKUP($A$2,Mobs!$A:$CA,MATCH("Spell "&amp;$U36,Mobs!$1:$1,0),FALSE),SpellsNatPowers!$A:$I,MATCH(B$25,SpellsNatPowers!$1:$1,0),FALSE))</f>
        <v/>
      </c>
      <c r="C36" s="16" t="str">
        <f>ifna(VLOOKUP(VLOOKUP($A$2,Mobs!$A:$CA,MATCH("Spell "&amp;$U36,Mobs!$1:$1,0),FALSE),SpellsNatPowers!$A:$I,MATCH(C$25,SpellsNatPowers!$1:$1,0),FALSE))</f>
        <v/>
      </c>
      <c r="D36" s="16" t="str">
        <f>ifna(VLOOKUP(VLOOKUP($A$2,Mobs!$A:$CA,MATCH("Spell "&amp;$U36,Mobs!$1:$1,0),FALSE),SpellsNatPowers!$A:$I,MATCH(D$25,SpellsNatPowers!$1:$1,0),FALSE))</f>
        <v/>
      </c>
      <c r="E36" s="16" t="str">
        <f>ifna(VLOOKUP(VLOOKUP($A$2,Mobs!$A:$CA,MATCH("Spell "&amp;$U36,Mobs!$1:$1,0),FALSE),SpellsNatPowers!$A:$I,MATCH(E$25,SpellsNatPowers!$1:$1,0),FALSE))</f>
        <v/>
      </c>
      <c r="F36" s="16" t="str">
        <f>ifna(VLOOKUP(VLOOKUP($A$2,Mobs!$A:$CA,MATCH("Spell "&amp;$U36,Mobs!$1:$1,0),FALSE),SpellsNatPowers!$A:$I,MATCH(F$25,SpellsNatPowers!$1:$1,0),FALSE))</f>
        <v/>
      </c>
      <c r="G36" s="16" t="str">
        <f>ifna(VLOOKUP(VLOOKUP($A$2,Mobs!$A:$CA,MATCH("Spell "&amp;$U36,Mobs!$1:$1,0),FALSE),SpellsNatPowers!$A:$I,MATCH(G$25,SpellsNatPowers!$1:$1,0),FALSE))</f>
        <v/>
      </c>
      <c r="U36" s="107">
        <v>11.0</v>
      </c>
    </row>
    <row r="37" ht="15.75" customHeight="1">
      <c r="A37" s="16" t="str">
        <f>ifna(VLOOKUP(VLOOKUP($A$2,Mobs!$A:$CA,MATCH("Spell "&amp;$U37,Mobs!$1:$1,0),FALSE),SpellsNatPowers!$A:$I,MATCH(A$25,SpellsNatPowers!$1:$1,0),FALSE))</f>
        <v/>
      </c>
      <c r="B37" s="16" t="str">
        <f>ifna(VLOOKUP(VLOOKUP($A$2,Mobs!$A:$CA,MATCH("Spell "&amp;$U37,Mobs!$1:$1,0),FALSE),SpellsNatPowers!$A:$I,MATCH(B$25,SpellsNatPowers!$1:$1,0),FALSE))</f>
        <v/>
      </c>
      <c r="C37" s="16" t="str">
        <f>ifna(VLOOKUP(VLOOKUP($A$2,Mobs!$A:$CA,MATCH("Spell "&amp;$U37,Mobs!$1:$1,0),FALSE),SpellsNatPowers!$A:$I,MATCH(C$25,SpellsNatPowers!$1:$1,0),FALSE))</f>
        <v/>
      </c>
      <c r="D37" s="16" t="str">
        <f>ifna(VLOOKUP(VLOOKUP($A$2,Mobs!$A:$CA,MATCH("Spell "&amp;$U37,Mobs!$1:$1,0),FALSE),SpellsNatPowers!$A:$I,MATCH(D$25,SpellsNatPowers!$1:$1,0),FALSE))</f>
        <v/>
      </c>
      <c r="E37" s="16" t="str">
        <f>ifna(VLOOKUP(VLOOKUP($A$2,Mobs!$A:$CA,MATCH("Spell "&amp;$U37,Mobs!$1:$1,0),FALSE),SpellsNatPowers!$A:$I,MATCH(E$25,SpellsNatPowers!$1:$1,0),FALSE))</f>
        <v/>
      </c>
      <c r="F37" s="16" t="str">
        <f>ifna(VLOOKUP(VLOOKUP($A$2,Mobs!$A:$CA,MATCH("Spell "&amp;$U37,Mobs!$1:$1,0),FALSE),SpellsNatPowers!$A:$I,MATCH(F$25,SpellsNatPowers!$1:$1,0),FALSE))</f>
        <v/>
      </c>
      <c r="G37" s="16" t="str">
        <f>ifna(VLOOKUP(VLOOKUP($A$2,Mobs!$A:$CA,MATCH("Spell "&amp;$U37,Mobs!$1:$1,0),FALSE),SpellsNatPowers!$A:$I,MATCH(G$25,SpellsNatPowers!$1:$1,0),FALSE))</f>
        <v/>
      </c>
      <c r="U37" s="107">
        <v>12.0</v>
      </c>
    </row>
    <row r="38" ht="15.75" customHeight="1">
      <c r="A38" s="16" t="str">
        <f>ifna(VLOOKUP(VLOOKUP($A$2,Mobs!$A:$CA,MATCH("Spell "&amp;$U38,Mobs!$1:$1,0),FALSE),SpellsNatPowers!$A:$I,MATCH(A$25,SpellsNatPowers!$1:$1,0),FALSE))</f>
        <v/>
      </c>
      <c r="B38" s="16" t="str">
        <f>ifna(VLOOKUP(VLOOKUP($A$2,Mobs!$A:$CA,MATCH("Spell "&amp;$U38,Mobs!$1:$1,0),FALSE),SpellsNatPowers!$A:$I,MATCH(B$25,SpellsNatPowers!$1:$1,0),FALSE))</f>
        <v/>
      </c>
      <c r="C38" s="16" t="str">
        <f>ifna(VLOOKUP(VLOOKUP($A$2,Mobs!$A:$CA,MATCH("Spell "&amp;$U38,Mobs!$1:$1,0),FALSE),SpellsNatPowers!$A:$I,MATCH(C$25,SpellsNatPowers!$1:$1,0),FALSE))</f>
        <v/>
      </c>
      <c r="D38" s="16" t="str">
        <f>ifna(VLOOKUP(VLOOKUP($A$2,Mobs!$A:$CA,MATCH("Spell "&amp;$U38,Mobs!$1:$1,0),FALSE),SpellsNatPowers!$A:$I,MATCH(D$25,SpellsNatPowers!$1:$1,0),FALSE))</f>
        <v/>
      </c>
      <c r="E38" s="16" t="str">
        <f>ifna(VLOOKUP(VLOOKUP($A$2,Mobs!$A:$CA,MATCH("Spell "&amp;$U38,Mobs!$1:$1,0),FALSE),SpellsNatPowers!$A:$I,MATCH(E$25,SpellsNatPowers!$1:$1,0),FALSE))</f>
        <v/>
      </c>
      <c r="F38" s="16" t="str">
        <f>ifna(VLOOKUP(VLOOKUP($A$2,Mobs!$A:$CA,MATCH("Spell "&amp;$U38,Mobs!$1:$1,0),FALSE),SpellsNatPowers!$A:$I,MATCH(F$25,SpellsNatPowers!$1:$1,0),FALSE))</f>
        <v/>
      </c>
      <c r="G38" s="16" t="str">
        <f>ifna(VLOOKUP(VLOOKUP($A$2,Mobs!$A:$CA,MATCH("Spell "&amp;$U38,Mobs!$1:$1,0),FALSE),SpellsNatPowers!$A:$I,MATCH(G$25,SpellsNatPowers!$1:$1,0),FALSE))</f>
        <v/>
      </c>
      <c r="U38" s="107">
        <v>13.0</v>
      </c>
    </row>
    <row r="39" ht="15.75" customHeight="1">
      <c r="A39" s="16" t="str">
        <f>ifna(VLOOKUP(VLOOKUP($A$2,Mobs!$A:$CA,MATCH("Spell "&amp;$U39,Mobs!$1:$1,0),FALSE),SpellsNatPowers!$A:$I,MATCH(A$25,SpellsNatPowers!$1:$1,0),FALSE))</f>
        <v/>
      </c>
      <c r="B39" s="16" t="str">
        <f>ifna(VLOOKUP(VLOOKUP($A$2,Mobs!$A:$CA,MATCH("Spell "&amp;$U39,Mobs!$1:$1,0),FALSE),SpellsNatPowers!$A:$I,MATCH(B$25,SpellsNatPowers!$1:$1,0),FALSE))</f>
        <v/>
      </c>
      <c r="C39" s="16" t="str">
        <f>ifna(VLOOKUP(VLOOKUP($A$2,Mobs!$A:$CA,MATCH("Spell "&amp;$U39,Mobs!$1:$1,0),FALSE),SpellsNatPowers!$A:$I,MATCH(C$25,SpellsNatPowers!$1:$1,0),FALSE))</f>
        <v/>
      </c>
      <c r="D39" s="16" t="str">
        <f>ifna(VLOOKUP(VLOOKUP($A$2,Mobs!$A:$CA,MATCH("Spell "&amp;$U39,Mobs!$1:$1,0),FALSE),SpellsNatPowers!$A:$I,MATCH(D$25,SpellsNatPowers!$1:$1,0),FALSE))</f>
        <v/>
      </c>
      <c r="E39" s="16" t="str">
        <f>ifna(VLOOKUP(VLOOKUP($A$2,Mobs!$A:$CA,MATCH("Spell "&amp;$U39,Mobs!$1:$1,0),FALSE),SpellsNatPowers!$A:$I,MATCH(E$25,SpellsNatPowers!$1:$1,0),FALSE))</f>
        <v/>
      </c>
      <c r="F39" s="16" t="str">
        <f>ifna(VLOOKUP(VLOOKUP($A$2,Mobs!$A:$CA,MATCH("Spell "&amp;$U39,Mobs!$1:$1,0),FALSE),SpellsNatPowers!$A:$I,MATCH(F$25,SpellsNatPowers!$1:$1,0),FALSE))</f>
        <v/>
      </c>
      <c r="G39" s="16" t="str">
        <f>ifna(VLOOKUP(VLOOKUP($A$2,Mobs!$A:$CA,MATCH("Spell "&amp;$U39,Mobs!$1:$1,0),FALSE),SpellsNatPowers!$A:$I,MATCH(G$25,SpellsNatPowers!$1:$1,0),FALSE))</f>
        <v/>
      </c>
      <c r="U39" s="107">
        <v>14.0</v>
      </c>
    </row>
    <row r="40" ht="15.75" customHeight="1">
      <c r="A40" s="16" t="str">
        <f>ifna(VLOOKUP(VLOOKUP($A$2,Mobs!$A:$CA,MATCH("Spell "&amp;$U40,Mobs!$1:$1,0),FALSE),SpellsNatPowers!$A:$I,MATCH(A$25,SpellsNatPowers!$1:$1,0),FALSE))</f>
        <v/>
      </c>
      <c r="B40" s="16" t="str">
        <f>ifna(VLOOKUP(VLOOKUP($A$2,Mobs!$A:$CA,MATCH("Spell "&amp;$U40,Mobs!$1:$1,0),FALSE),SpellsNatPowers!$A:$I,MATCH(B$25,SpellsNatPowers!$1:$1,0),FALSE))</f>
        <v/>
      </c>
      <c r="C40" s="16" t="str">
        <f>ifna(VLOOKUP(VLOOKUP($A$2,Mobs!$A:$CA,MATCH("Spell "&amp;$U40,Mobs!$1:$1,0),FALSE),SpellsNatPowers!$A:$I,MATCH(C$25,SpellsNatPowers!$1:$1,0),FALSE))</f>
        <v/>
      </c>
      <c r="D40" s="16" t="str">
        <f>ifna(VLOOKUP(VLOOKUP($A$2,Mobs!$A:$CA,MATCH("Spell "&amp;$U40,Mobs!$1:$1,0),FALSE),SpellsNatPowers!$A:$I,MATCH(D$25,SpellsNatPowers!$1:$1,0),FALSE))</f>
        <v/>
      </c>
      <c r="E40" s="16" t="str">
        <f>ifna(VLOOKUP(VLOOKUP($A$2,Mobs!$A:$CA,MATCH("Spell "&amp;$U40,Mobs!$1:$1,0),FALSE),SpellsNatPowers!$A:$I,MATCH(E$25,SpellsNatPowers!$1:$1,0),FALSE))</f>
        <v/>
      </c>
      <c r="F40" s="16" t="str">
        <f>ifna(VLOOKUP(VLOOKUP($A$2,Mobs!$A:$CA,MATCH("Spell "&amp;$U40,Mobs!$1:$1,0),FALSE),SpellsNatPowers!$A:$I,MATCH(F$25,SpellsNatPowers!$1:$1,0),FALSE))</f>
        <v/>
      </c>
      <c r="G40" s="16" t="str">
        <f>ifna(VLOOKUP(VLOOKUP($A$2,Mobs!$A:$CA,MATCH("Spell "&amp;$U40,Mobs!$1:$1,0),FALSE),SpellsNatPowers!$A:$I,MATCH(G$25,SpellsNatPowers!$1:$1,0),FALSE))</f>
        <v/>
      </c>
      <c r="U40" s="107">
        <v>15.0</v>
      </c>
    </row>
    <row r="41" ht="15.75" customHeight="1">
      <c r="A41" s="16" t="str">
        <f>ifna(VLOOKUP(VLOOKUP($A$2,Mobs!$A:$CA,MATCH("Spell "&amp;$U41,Mobs!$1:$1,0),FALSE),SpellsNatPowers!$A:$I,MATCH(A$25,SpellsNatPowers!$1:$1,0),FALSE))</f>
        <v/>
      </c>
      <c r="B41" s="16" t="str">
        <f>ifna(VLOOKUP(VLOOKUP($A$2,Mobs!$A:$CA,MATCH("Spell "&amp;$U41,Mobs!$1:$1,0),FALSE),SpellsNatPowers!$A:$I,MATCH(B$25,SpellsNatPowers!$1:$1,0),FALSE))</f>
        <v/>
      </c>
      <c r="C41" s="16" t="str">
        <f>ifna(VLOOKUP(VLOOKUP($A$2,Mobs!$A:$CA,MATCH("Spell "&amp;$U41,Mobs!$1:$1,0),FALSE),SpellsNatPowers!$A:$I,MATCH(C$25,SpellsNatPowers!$1:$1,0),FALSE))</f>
        <v/>
      </c>
      <c r="D41" s="16" t="str">
        <f>ifna(VLOOKUP(VLOOKUP($A$2,Mobs!$A:$CA,MATCH("Spell "&amp;$U41,Mobs!$1:$1,0),FALSE),SpellsNatPowers!$A:$I,MATCH(D$25,SpellsNatPowers!$1:$1,0),FALSE))</f>
        <v/>
      </c>
      <c r="E41" s="16" t="str">
        <f>ifna(VLOOKUP(VLOOKUP($A$2,Mobs!$A:$CA,MATCH("Spell "&amp;$U41,Mobs!$1:$1,0),FALSE),SpellsNatPowers!$A:$I,MATCH(E$25,SpellsNatPowers!$1:$1,0),FALSE))</f>
        <v/>
      </c>
      <c r="F41" s="16" t="str">
        <f>ifna(VLOOKUP(VLOOKUP($A$2,Mobs!$A:$CA,MATCH("Spell "&amp;$U41,Mobs!$1:$1,0),FALSE),SpellsNatPowers!$A:$I,MATCH(F$25,SpellsNatPowers!$1:$1,0),FALSE))</f>
        <v/>
      </c>
      <c r="G41" s="16" t="str">
        <f>ifna(VLOOKUP(VLOOKUP($A$2,Mobs!$A:$CA,MATCH("Spell "&amp;$U41,Mobs!$1:$1,0),FALSE),SpellsNatPowers!$A:$I,MATCH(G$25,SpellsNatPowers!$1:$1,0),FALSE))</f>
        <v/>
      </c>
      <c r="U41" s="107">
        <v>16.0</v>
      </c>
    </row>
    <row r="42" ht="15.75" customHeight="1">
      <c r="A42" s="16" t="str">
        <f>ifna(VLOOKUP(VLOOKUP($A$2,Mobs!$A:$CA,MATCH("Spell "&amp;$U42,Mobs!$1:$1,0),FALSE),SpellsNatPowers!$A:$I,MATCH(A$25,SpellsNatPowers!$1:$1,0),FALSE))</f>
        <v/>
      </c>
      <c r="B42" s="16" t="str">
        <f>ifna(VLOOKUP(VLOOKUP($A$2,Mobs!$A:$CA,MATCH("Spell "&amp;$U42,Mobs!$1:$1,0),FALSE),SpellsNatPowers!$A:$I,MATCH(B$25,SpellsNatPowers!$1:$1,0),FALSE))</f>
        <v/>
      </c>
      <c r="C42" s="16" t="str">
        <f>ifna(VLOOKUP(VLOOKUP($A$2,Mobs!$A:$CA,MATCH("Spell "&amp;$U42,Mobs!$1:$1,0),FALSE),SpellsNatPowers!$A:$I,MATCH(C$25,SpellsNatPowers!$1:$1,0),FALSE))</f>
        <v/>
      </c>
      <c r="D42" s="16" t="str">
        <f>ifna(VLOOKUP(VLOOKUP($A$2,Mobs!$A:$CA,MATCH("Spell "&amp;$U42,Mobs!$1:$1,0),FALSE),SpellsNatPowers!$A:$I,MATCH(D$25,SpellsNatPowers!$1:$1,0),FALSE))</f>
        <v/>
      </c>
      <c r="E42" s="16" t="str">
        <f>ifna(VLOOKUP(VLOOKUP($A$2,Mobs!$A:$CA,MATCH("Spell "&amp;$U42,Mobs!$1:$1,0),FALSE),SpellsNatPowers!$A:$I,MATCH(E$25,SpellsNatPowers!$1:$1,0),FALSE))</f>
        <v/>
      </c>
      <c r="F42" s="16" t="str">
        <f>ifna(VLOOKUP(VLOOKUP($A$2,Mobs!$A:$CA,MATCH("Spell "&amp;$U42,Mobs!$1:$1,0),FALSE),SpellsNatPowers!$A:$I,MATCH(F$25,SpellsNatPowers!$1:$1,0),FALSE))</f>
        <v/>
      </c>
      <c r="G42" s="16" t="str">
        <f>ifna(VLOOKUP(VLOOKUP($A$2,Mobs!$A:$CA,MATCH("Spell "&amp;$U42,Mobs!$1:$1,0),FALSE),SpellsNatPowers!$A:$I,MATCH(G$25,SpellsNatPowers!$1:$1,0),FALSE))</f>
        <v/>
      </c>
      <c r="U42" s="107">
        <v>17.0</v>
      </c>
    </row>
    <row r="43" ht="15.75" customHeight="1">
      <c r="A43" s="16" t="str">
        <f>ifna(VLOOKUP(VLOOKUP($A$2,Mobs!$A:$CA,MATCH("Spell "&amp;$U43,Mobs!$1:$1,0),FALSE),SpellsNatPowers!$A:$I,MATCH(A$25,SpellsNatPowers!$1:$1,0),FALSE))</f>
        <v/>
      </c>
      <c r="B43" s="16" t="str">
        <f>ifna(VLOOKUP(VLOOKUP($A$2,Mobs!$A:$CA,MATCH("Spell "&amp;$U43,Mobs!$1:$1,0),FALSE),SpellsNatPowers!$A:$I,MATCH(B$25,SpellsNatPowers!$1:$1,0),FALSE))</f>
        <v/>
      </c>
      <c r="C43" s="16" t="str">
        <f>ifna(VLOOKUP(VLOOKUP($A$2,Mobs!$A:$CA,MATCH("Spell "&amp;$U43,Mobs!$1:$1,0),FALSE),SpellsNatPowers!$A:$I,MATCH(C$25,SpellsNatPowers!$1:$1,0),FALSE))</f>
        <v/>
      </c>
      <c r="D43" s="16" t="str">
        <f>ifna(VLOOKUP(VLOOKUP($A$2,Mobs!$A:$CA,MATCH("Spell "&amp;$U43,Mobs!$1:$1,0),FALSE),SpellsNatPowers!$A:$I,MATCH(D$25,SpellsNatPowers!$1:$1,0),FALSE))</f>
        <v/>
      </c>
      <c r="E43" s="16" t="str">
        <f>ifna(VLOOKUP(VLOOKUP($A$2,Mobs!$A:$CA,MATCH("Spell "&amp;$U43,Mobs!$1:$1,0),FALSE),SpellsNatPowers!$A:$I,MATCH(E$25,SpellsNatPowers!$1:$1,0),FALSE))</f>
        <v/>
      </c>
      <c r="F43" s="16" t="str">
        <f>ifna(VLOOKUP(VLOOKUP($A$2,Mobs!$A:$CA,MATCH("Spell "&amp;$U43,Mobs!$1:$1,0),FALSE),SpellsNatPowers!$A:$I,MATCH(F$25,SpellsNatPowers!$1:$1,0),FALSE))</f>
        <v/>
      </c>
      <c r="G43" s="16" t="str">
        <f>ifna(VLOOKUP(VLOOKUP($A$2,Mobs!$A:$CA,MATCH("Spell "&amp;$U43,Mobs!$1:$1,0),FALSE),SpellsNatPowers!$A:$I,MATCH(G$25,SpellsNatPowers!$1:$1,0),FALSE))</f>
        <v/>
      </c>
      <c r="U43" s="107">
        <v>18.0</v>
      </c>
    </row>
    <row r="44" ht="15.75" customHeight="1">
      <c r="A44" s="16" t="str">
        <f>ifna(VLOOKUP(VLOOKUP($A$2,Mobs!$A:$CA,MATCH("Spell "&amp;$U44,Mobs!$1:$1,0),FALSE),SpellsNatPowers!$A:$I,MATCH(A$25,SpellsNatPowers!$1:$1,0),FALSE))</f>
        <v/>
      </c>
      <c r="B44" s="16" t="str">
        <f>ifna(VLOOKUP(VLOOKUP($A$2,Mobs!$A:$CA,MATCH("Spell "&amp;$U44,Mobs!$1:$1,0),FALSE),SpellsNatPowers!$A:$I,MATCH(B$25,SpellsNatPowers!$1:$1,0),FALSE))</f>
        <v/>
      </c>
      <c r="C44" s="16" t="str">
        <f>ifna(VLOOKUP(VLOOKUP($A$2,Mobs!$A:$CA,MATCH("Spell "&amp;$U44,Mobs!$1:$1,0),FALSE),SpellsNatPowers!$A:$I,MATCH(C$25,SpellsNatPowers!$1:$1,0),FALSE))</f>
        <v/>
      </c>
      <c r="D44" s="16" t="str">
        <f>ifna(VLOOKUP(VLOOKUP($A$2,Mobs!$A:$CA,MATCH("Spell "&amp;$U44,Mobs!$1:$1,0),FALSE),SpellsNatPowers!$A:$I,MATCH(D$25,SpellsNatPowers!$1:$1,0),FALSE))</f>
        <v/>
      </c>
      <c r="E44" s="16" t="str">
        <f>ifna(VLOOKUP(VLOOKUP($A$2,Mobs!$A:$CA,MATCH("Spell "&amp;$U44,Mobs!$1:$1,0),FALSE),SpellsNatPowers!$A:$I,MATCH(E$25,SpellsNatPowers!$1:$1,0),FALSE))</f>
        <v/>
      </c>
      <c r="F44" s="16" t="str">
        <f>ifna(VLOOKUP(VLOOKUP($A$2,Mobs!$A:$CA,MATCH("Spell "&amp;$U44,Mobs!$1:$1,0),FALSE),SpellsNatPowers!$A:$I,MATCH(F$25,SpellsNatPowers!$1:$1,0),FALSE))</f>
        <v/>
      </c>
      <c r="G44" s="16" t="str">
        <f>ifna(VLOOKUP(VLOOKUP($A$2,Mobs!$A:$CA,MATCH("Spell "&amp;$U44,Mobs!$1:$1,0),FALSE),SpellsNatPowers!$A:$I,MATCH(G$25,SpellsNatPowers!$1:$1,0),FALSE))</f>
        <v/>
      </c>
      <c r="U44" s="107">
        <v>19.0</v>
      </c>
    </row>
    <row r="45" ht="15.75" customHeight="1">
      <c r="A45" s="16" t="str">
        <f>ifna(VLOOKUP(VLOOKUP($A$2,Mobs!$A:$CA,MATCH("Spell "&amp;$U45,Mobs!$1:$1,0),FALSE),SpellsNatPowers!$A:$I,MATCH(A$25,SpellsNatPowers!$1:$1,0),FALSE))</f>
        <v/>
      </c>
      <c r="B45" s="16" t="str">
        <f>ifna(VLOOKUP(VLOOKUP($A$2,Mobs!$A:$CA,MATCH("Spell "&amp;$U45,Mobs!$1:$1,0),FALSE),SpellsNatPowers!$A:$I,MATCH(B$25,SpellsNatPowers!$1:$1,0),FALSE))</f>
        <v/>
      </c>
      <c r="C45" s="16" t="str">
        <f>ifna(VLOOKUP(VLOOKUP($A$2,Mobs!$A:$CA,MATCH("Spell "&amp;$U45,Mobs!$1:$1,0),FALSE),SpellsNatPowers!$A:$I,MATCH(C$25,SpellsNatPowers!$1:$1,0),FALSE))</f>
        <v/>
      </c>
      <c r="D45" s="16" t="str">
        <f>ifna(VLOOKUP(VLOOKUP($A$2,Mobs!$A:$CA,MATCH("Spell "&amp;$U45,Mobs!$1:$1,0),FALSE),SpellsNatPowers!$A:$I,MATCH(D$25,SpellsNatPowers!$1:$1,0),FALSE))</f>
        <v/>
      </c>
      <c r="E45" s="16" t="str">
        <f>ifna(VLOOKUP(VLOOKUP($A$2,Mobs!$A:$CA,MATCH("Spell "&amp;$U45,Mobs!$1:$1,0),FALSE),SpellsNatPowers!$A:$I,MATCH(E$25,SpellsNatPowers!$1:$1,0),FALSE))</f>
        <v/>
      </c>
      <c r="F45" s="16" t="str">
        <f>ifna(VLOOKUP(VLOOKUP($A$2,Mobs!$A:$CA,MATCH("Spell "&amp;$U45,Mobs!$1:$1,0),FALSE),SpellsNatPowers!$A:$I,MATCH(F$25,SpellsNatPowers!$1:$1,0),FALSE))</f>
        <v/>
      </c>
      <c r="G45" s="16" t="str">
        <f>ifna(VLOOKUP(VLOOKUP($A$2,Mobs!$A:$CA,MATCH("Spell "&amp;$U45,Mobs!$1:$1,0),FALSE),SpellsNatPowers!$A:$I,MATCH(G$25,SpellsNatPowers!$1:$1,0),FALSE))</f>
        <v/>
      </c>
      <c r="U45" s="107">
        <v>20.0</v>
      </c>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7">
    <mergeCell ref="B4:C4"/>
    <mergeCell ref="A5:D5"/>
    <mergeCell ref="A8:B8"/>
    <mergeCell ref="C8:D8"/>
    <mergeCell ref="A9:D9"/>
    <mergeCell ref="A10:D10"/>
    <mergeCell ref="A11:D11"/>
  </mergeCells>
  <dataValidations>
    <dataValidation type="list" allowBlank="1" sqref="A2">
      <formula1>Mobs!$A$2:$A991</formula1>
    </dataValidation>
    <dataValidation type="decimal" allowBlank="1" showDropDown="1" sqref="F2">
      <formula1>1.0</formula1>
      <formula2>6000.0</formula2>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4" max="4" width="13.38"/>
    <col customWidth="1" min="7" max="7" width="38.0"/>
    <col hidden="1" min="9" max="10" width="12.63"/>
    <col hidden="1" min="16" max="17" width="12.63"/>
    <col customWidth="1" min="18" max="18" width="31.88"/>
  </cols>
  <sheetData>
    <row r="1">
      <c r="A1" s="127"/>
      <c r="C1" s="107" t="s">
        <v>33</v>
      </c>
      <c r="D1" s="107" t="s">
        <v>34</v>
      </c>
      <c r="G1" s="127" t="s">
        <v>35</v>
      </c>
      <c r="M1" s="128" t="s">
        <v>36</v>
      </c>
      <c r="N1" s="128" t="s">
        <v>37</v>
      </c>
      <c r="R1" s="129"/>
    </row>
    <row r="2">
      <c r="C2" s="107" t="s">
        <v>38</v>
      </c>
      <c r="D2" s="107" t="s">
        <v>39</v>
      </c>
      <c r="F2" s="107" t="s">
        <v>40</v>
      </c>
      <c r="M2" s="107" t="s">
        <v>41</v>
      </c>
      <c r="N2" s="107">
        <v>60.0</v>
      </c>
      <c r="P2" s="1">
        <f t="shared" ref="P2:P6" si="1">N2/100</f>
        <v>0.6</v>
      </c>
      <c r="Q2" s="107">
        <v>0.0</v>
      </c>
    </row>
    <row r="3">
      <c r="A3" s="107" t="s">
        <v>42</v>
      </c>
      <c r="C3" s="107" t="s">
        <v>38</v>
      </c>
      <c r="D3" s="107" t="s">
        <v>39</v>
      </c>
      <c r="E3" s="1" t="str">
        <f t="shared" ref="E3:E4" si="2">if(F3,"AND","OR")</f>
        <v>AND</v>
      </c>
      <c r="F3" s="107" t="b">
        <v>1</v>
      </c>
      <c r="M3" s="107" t="s">
        <v>43</v>
      </c>
      <c r="N3" s="107">
        <v>30.0</v>
      </c>
      <c r="P3" s="1">
        <f t="shared" si="1"/>
        <v>0.3</v>
      </c>
      <c r="Q3" s="1">
        <f t="shared" ref="Q3:Q6" si="3">SUM(P2:Q2)</f>
        <v>0.6</v>
      </c>
    </row>
    <row r="4">
      <c r="A4" s="107" t="b">
        <v>1</v>
      </c>
      <c r="C4" s="107" t="s">
        <v>38</v>
      </c>
      <c r="D4" s="1"/>
      <c r="E4" s="1" t="str">
        <f t="shared" si="2"/>
        <v>AND</v>
      </c>
      <c r="F4" s="107" t="b">
        <v>1</v>
      </c>
      <c r="M4" s="107" t="s">
        <v>44</v>
      </c>
      <c r="N4" s="107">
        <v>25.0</v>
      </c>
      <c r="P4" s="1">
        <f t="shared" si="1"/>
        <v>0.25</v>
      </c>
      <c r="Q4" s="1">
        <f t="shared" si="3"/>
        <v>0.9</v>
      </c>
    </row>
    <row r="5">
      <c r="M5" s="107" t="s">
        <v>45</v>
      </c>
      <c r="N5" s="107">
        <v>10.0</v>
      </c>
      <c r="P5" s="1">
        <f t="shared" si="1"/>
        <v>0.1</v>
      </c>
      <c r="Q5" s="1">
        <f t="shared" si="3"/>
        <v>1.15</v>
      </c>
    </row>
    <row r="6">
      <c r="C6" s="107" t="s">
        <v>46</v>
      </c>
      <c r="D6" s="107">
        <v>10.0</v>
      </c>
      <c r="M6" s="107" t="s">
        <v>47</v>
      </c>
      <c r="N6" s="107">
        <v>10.0</v>
      </c>
      <c r="P6" s="1">
        <f t="shared" si="1"/>
        <v>0.1</v>
      </c>
      <c r="Q6" s="1">
        <f t="shared" si="3"/>
        <v>1.25</v>
      </c>
    </row>
    <row r="9">
      <c r="A9" s="107" t="s">
        <v>48</v>
      </c>
      <c r="B9" s="1" t="str">
        <f t="array" ref="B9">INDEX(SelectedWorldRegionMobs!$A:$A,RANDBETWEEN(1,COUNTA(SelectedWorldRegionMobs!$A:$A)))</f>
        <v>Nature Wyrm</v>
      </c>
    </row>
    <row r="13">
      <c r="A13" s="128" t="s">
        <v>49</v>
      </c>
      <c r="B13" s="130"/>
      <c r="C13" s="130"/>
      <c r="D13" s="128" t="s">
        <v>50</v>
      </c>
      <c r="E13" s="128" t="s">
        <v>51</v>
      </c>
      <c r="F13" s="128" t="s">
        <v>36</v>
      </c>
      <c r="I13" s="107" t="s">
        <v>52</v>
      </c>
      <c r="J13" s="107" t="s">
        <v>53</v>
      </c>
    </row>
    <row r="14">
      <c r="A14" s="107">
        <v>1.0</v>
      </c>
      <c r="B14" s="1" t="str">
        <f t="array" ref="B14">IF(I14,IF(J14,INDEX(PossibleEncountersRegioned!$C$2:$C886,RANDBETWEEN(1,COUNTA(PossibleEncountersRegioned!$C$2:$C886)+1)),INDEX(PossibleEncountersRegioned!$B$2:$B886,RANDBETWEEN(1,COUNTA(PossibleEncountersRegioned!$B$2:$B886)+1))),IF($D$6&gt;(A14-1), INDEX(PossibleEncountersRegioned!$A$2:$A886,RANDBETWEEN(1,COUNTA(PossibleEncountersRegioned!$A$2:$A886))),""))</f>
        <v>Cultist Leader</v>
      </c>
      <c r="D14" s="1" t="str">
        <f>IF(I14,IF(J14,"Good","Neutral"),"Bad")</f>
        <v>Bad</v>
      </c>
      <c r="E14" s="131">
        <f>RANDBETWEEN(1,100)</f>
        <v>42</v>
      </c>
      <c r="F14" s="1" t="str">
        <f t="shared" ref="F14:F213" si="4">IF($D$6&gt;(A14-1),INDEX($M$2:$M$6,MATCH(RANDBETWEEN(0,($Q$6*100))/100,Q$2:Q$6)),"")</f>
        <v>Storming</v>
      </c>
      <c r="I14" s="1" t="b">
        <f>If(E14&gt;50,True,False)</f>
        <v>0</v>
      </c>
      <c r="J14" s="1" t="b">
        <f>If(E14&gt;89,True,False)</f>
        <v>0</v>
      </c>
    </row>
    <row r="15">
      <c r="A15" s="107">
        <v>2.0</v>
      </c>
      <c r="B15" s="1" t="str">
        <f t="array" ref="B15">IF(I15,IF(J15,INDEX(PossibleEncountersRegioned!$C$2:$C886,RANDBETWEEN(1,COUNTA(PossibleEncountersRegioned!$C$2:$C886)+1)),INDEX(PossibleEncountersRegioned!$B$2:$B886,RANDBETWEEN(1,COUNTA(PossibleEncountersRegioned!$B$2:$B886)+1))),IF($D$6&gt;(A15-1), INDEX(PossibleEncountersRegioned!$A$2:$A886,RANDBETWEEN(1,COUNTA(PossibleEncountersRegioned!$A$2:$A886))),""))</f>
        <v>Nothing</v>
      </c>
      <c r="D15" s="1" t="str">
        <f t="shared" ref="D15:D213" si="5">IF($D$6&gt;A14,IF(I15,IF(J15,"Good","Neutral"),"Bad"),"")</f>
        <v>Neutral</v>
      </c>
      <c r="E15" s="131">
        <f t="shared" ref="E15:E213" si="6">IF($D$6&gt;A14,RANDBETWEEN(1,100),"")</f>
        <v>53</v>
      </c>
      <c r="F15" s="1" t="str">
        <f t="shared" si="4"/>
        <v>Storming</v>
      </c>
      <c r="I15" s="1" t="b">
        <f t="shared" ref="I15:I213" si="7">IF($D$6&gt;A14,If(E15&gt;50,True,False),"")</f>
        <v>1</v>
      </c>
      <c r="J15" s="1" t="b">
        <f t="shared" ref="J15:J213" si="8">IF($D$6&gt;A14,If(E15&gt;89,True,False),"")</f>
        <v>0</v>
      </c>
    </row>
    <row r="16">
      <c r="A16" s="107">
        <v>3.0</v>
      </c>
      <c r="B16" s="1" t="str">
        <f t="array" ref="B16">IF(I16,IF(J16,INDEX(PossibleEncountersRegioned!$C$2:$C886,RANDBETWEEN(1,COUNTA(PossibleEncountersRegioned!$C$2:$C886)+1)),INDEX(PossibleEncountersRegioned!$B$2:$B886,RANDBETWEEN(1,COUNTA(PossibleEncountersRegioned!$B$2:$B886)+1))),IF($D$6&gt;(A16-1), INDEX(PossibleEncountersRegioned!$A$2:$A886,RANDBETWEEN(1,COUNTA(PossibleEncountersRegioned!$A$2:$A886))),""))</f>
        <v>Red Portal</v>
      </c>
      <c r="D16" s="1" t="str">
        <f t="shared" si="5"/>
        <v>Neutral</v>
      </c>
      <c r="E16" s="131">
        <f t="shared" si="6"/>
        <v>68</v>
      </c>
      <c r="F16" s="1" t="str">
        <f t="shared" si="4"/>
        <v>Storming</v>
      </c>
      <c r="I16" s="1" t="b">
        <f t="shared" si="7"/>
        <v>1</v>
      </c>
      <c r="J16" s="1" t="b">
        <f t="shared" si="8"/>
        <v>0</v>
      </c>
    </row>
    <row r="17">
      <c r="A17" s="107">
        <v>4.0</v>
      </c>
      <c r="B17" s="1" t="str">
        <f t="array" ref="B17">IF(I17,IF(J17,INDEX(PossibleEncountersRegioned!$C$2:$C886,RANDBETWEEN(1,COUNTA(PossibleEncountersRegioned!$C$2:$C886)+1)),INDEX(PossibleEncountersRegioned!$B$2:$B886,RANDBETWEEN(1,COUNTA(PossibleEncountersRegioned!$B$2:$B886)+1))),IF($D$6&gt;(A17-1), INDEX(PossibleEncountersRegioned!$A$2:$A886,RANDBETWEEN(1,COUNTA(PossibleEncountersRegioned!$A$2:$A886))),""))</f>
        <v>Vampire Lord</v>
      </c>
      <c r="D17" s="1" t="str">
        <f t="shared" si="5"/>
        <v>Bad</v>
      </c>
      <c r="E17" s="131">
        <f t="shared" si="6"/>
        <v>19</v>
      </c>
      <c r="F17" s="1" t="str">
        <f t="shared" si="4"/>
        <v>Clear</v>
      </c>
      <c r="I17" s="1" t="b">
        <f t="shared" si="7"/>
        <v>0</v>
      </c>
      <c r="J17" s="1" t="b">
        <f t="shared" si="8"/>
        <v>0</v>
      </c>
    </row>
    <row r="18">
      <c r="A18" s="107">
        <v>5.0</v>
      </c>
      <c r="B18" s="1" t="str">
        <f t="array" ref="B18">IF(I18,IF(J18,INDEX(PossibleEncountersRegioned!$C$2:$C886,RANDBETWEEN(1,COUNTA(PossibleEncountersRegioned!$C$2:$C886)+1)),INDEX(PossibleEncountersRegioned!$B$2:$B886,RANDBETWEEN(1,COUNTA(PossibleEncountersRegioned!$B$2:$B886)+1))),IF($D$6&gt;(A18-1), INDEX(PossibleEncountersRegioned!$A$2:$A886,RANDBETWEEN(1,COUNTA(PossibleEncountersRegioned!$A$2:$A886))),""))</f>
        <v>Bounty Hunter - A player with a bounty in the party will be engaged in battle.</v>
      </c>
      <c r="D18" s="1" t="str">
        <f t="shared" si="5"/>
        <v>Neutral</v>
      </c>
      <c r="E18" s="131">
        <f t="shared" si="6"/>
        <v>64</v>
      </c>
      <c r="F18" s="1" t="str">
        <f t="shared" si="4"/>
        <v>Clear</v>
      </c>
      <c r="I18" s="1" t="b">
        <f t="shared" si="7"/>
        <v>1</v>
      </c>
      <c r="J18" s="1" t="b">
        <f t="shared" si="8"/>
        <v>0</v>
      </c>
    </row>
    <row r="19">
      <c r="A19" s="107">
        <v>6.0</v>
      </c>
      <c r="B19" s="1" t="str">
        <f t="array" ref="B19">IF(I19,IF(J19,INDEX(PossibleEncountersRegioned!$C$2:$C886,RANDBETWEEN(1,COUNTA(PossibleEncountersRegioned!$C$2:$C886)+1)),INDEX(PossibleEncountersRegioned!$B$2:$B886,RANDBETWEEN(1,COUNTA(PossibleEncountersRegioned!$B$2:$B886)+1))),IF($D$6&gt;(A19-1), INDEX(PossibleEncountersRegioned!$A$2:$A886,RANDBETWEEN(1,COUNTA(PossibleEncountersRegioned!$A$2:$A886))),""))</f>
        <v>Flaming Dragon Knight</v>
      </c>
      <c r="D19" s="1" t="str">
        <f t="shared" si="5"/>
        <v>Bad</v>
      </c>
      <c r="E19" s="131">
        <f t="shared" si="6"/>
        <v>25</v>
      </c>
      <c r="F19" s="1" t="str">
        <f t="shared" si="4"/>
        <v>Freezing</v>
      </c>
      <c r="I19" s="1" t="b">
        <f t="shared" si="7"/>
        <v>0</v>
      </c>
      <c r="J19" s="1" t="b">
        <f t="shared" si="8"/>
        <v>0</v>
      </c>
    </row>
    <row r="20">
      <c r="A20" s="107">
        <v>7.0</v>
      </c>
      <c r="B20" s="1" t="str">
        <f t="array" ref="B20">IF(I20,IF(J20,INDEX(PossibleEncountersRegioned!$C$2:$C886,RANDBETWEEN(1,COUNTA(PossibleEncountersRegioned!$C$2:$C886)+1)),INDEX(PossibleEncountersRegioned!$B$2:$B886,RANDBETWEEN(1,COUNTA(PossibleEncountersRegioned!$B$2:$B886)+1))),IF($D$6&gt;(A20-1), INDEX(PossibleEncountersRegioned!$A$2:$A886,RANDBETWEEN(1,COUNTA(PossibleEncountersRegioned!$A$2:$A886))),""))</f>
        <v>Red Portal</v>
      </c>
      <c r="D20" s="1" t="str">
        <f t="shared" si="5"/>
        <v>Neutral</v>
      </c>
      <c r="E20" s="131">
        <f t="shared" si="6"/>
        <v>87</v>
      </c>
      <c r="F20" s="1" t="str">
        <f t="shared" si="4"/>
        <v>Foggy</v>
      </c>
      <c r="I20" s="1" t="b">
        <f t="shared" si="7"/>
        <v>1</v>
      </c>
      <c r="J20" s="1" t="b">
        <f t="shared" si="8"/>
        <v>0</v>
      </c>
    </row>
    <row r="21">
      <c r="A21" s="107">
        <v>8.0</v>
      </c>
      <c r="B21" s="1" t="str">
        <f t="array" ref="B21">IF(I21,IF(J21,INDEX(PossibleEncountersRegioned!$C$2:$C886,RANDBETWEEN(1,COUNTA(PossibleEncountersRegioned!$C$2:$C886)+1)),INDEX(PossibleEncountersRegioned!$B$2:$B886,RANDBETWEEN(1,COUNTA(PossibleEncountersRegioned!$B$2:$B886)+1))),IF($D$6&gt;(A21-1), INDEX(PossibleEncountersRegioned!$A$2:$A886,RANDBETWEEN(1,COUNTA(PossibleEncountersRegioned!$A$2:$A886))),""))</f>
        <v>Iron</v>
      </c>
      <c r="D21" s="1" t="str">
        <f t="shared" si="5"/>
        <v>Good</v>
      </c>
      <c r="E21" s="131">
        <f t="shared" si="6"/>
        <v>90</v>
      </c>
      <c r="F21" s="1" t="str">
        <f t="shared" si="4"/>
        <v>Clear</v>
      </c>
      <c r="I21" s="1" t="b">
        <f t="shared" si="7"/>
        <v>1</v>
      </c>
      <c r="J21" s="1" t="b">
        <f t="shared" si="8"/>
        <v>1</v>
      </c>
    </row>
    <row r="22">
      <c r="A22" s="107">
        <v>9.0</v>
      </c>
      <c r="B22" s="1" t="str">
        <f t="array" ref="B22">IF(I22,IF(J22,INDEX(PossibleEncountersRegioned!$C$2:$C886,RANDBETWEEN(1,COUNTA(PossibleEncountersRegioned!$C$2:$C886)+1)),INDEX(PossibleEncountersRegioned!$B$2:$B886,RANDBETWEEN(1,COUNTA(PossibleEncountersRegioned!$B$2:$B886)+1))),IF($D$6&gt;(A22-1), INDEX(PossibleEncountersRegioned!$A$2:$A886,RANDBETWEEN(1,COUNTA(PossibleEncountersRegioned!$A$2:$A886))),""))</f>
        <v>Glowing Red Herb</v>
      </c>
      <c r="D22" s="1" t="str">
        <f t="shared" si="5"/>
        <v>Neutral</v>
      </c>
      <c r="E22" s="131">
        <f t="shared" si="6"/>
        <v>53</v>
      </c>
      <c r="F22" s="1" t="str">
        <f t="shared" si="4"/>
        <v>Storming</v>
      </c>
      <c r="I22" s="1" t="b">
        <f t="shared" si="7"/>
        <v>1</v>
      </c>
      <c r="J22" s="1" t="b">
        <f t="shared" si="8"/>
        <v>0</v>
      </c>
    </row>
    <row r="23">
      <c r="A23" s="107">
        <v>10.0</v>
      </c>
      <c r="B23" s="1" t="str">
        <f t="array" ref="B23">IF(I23,IF(J23,INDEX(PossibleEncountersRegioned!$C$2:$C886,RANDBETWEEN(1,COUNTA(PossibleEncountersRegioned!$C$2:$C886)+1)),INDEX(PossibleEncountersRegioned!$B$2:$B886,RANDBETWEEN(1,COUNTA(PossibleEncountersRegioned!$B$2:$B886)+1))),IF($D$6&gt;(A23-1), INDEX(PossibleEncountersRegioned!$A$2:$A886,RANDBETWEEN(1,COUNTA(PossibleEncountersRegioned!$A$2:$A886))),""))</f>
        <v>Traveling Guard - Will escort corrupt guards you arrested during travel to the nearest courthouse for you if this day is the next day of travel. </v>
      </c>
      <c r="D23" s="1" t="str">
        <f t="shared" si="5"/>
        <v>Neutral</v>
      </c>
      <c r="E23" s="131">
        <f t="shared" si="6"/>
        <v>61</v>
      </c>
      <c r="F23" s="1" t="str">
        <f t="shared" si="4"/>
        <v>Storming</v>
      </c>
      <c r="I23" s="1" t="b">
        <f t="shared" si="7"/>
        <v>1</v>
      </c>
      <c r="J23" s="1" t="b">
        <f t="shared" si="8"/>
        <v>0</v>
      </c>
    </row>
    <row r="24">
      <c r="A24" s="107">
        <v>11.0</v>
      </c>
      <c r="B24" s="1" t="str">
        <f t="array" ref="B24">IF(I24,IF(J24,INDEX(PossibleEncountersRegioned!$C$2:$C886,RANDBETWEEN(1,COUNTA(PossibleEncountersRegioned!$C$2:$C886)+1)),INDEX(PossibleEncountersRegioned!$B$2:$B886,RANDBETWEEN(1,COUNTA(PossibleEncountersRegioned!$B$2:$B886)+1))),IF($D$6&gt;(A24-1), INDEX(PossibleEncountersRegioned!$A$2:$A886,RANDBETWEEN(1,COUNTA(PossibleEncountersRegioned!$A$2:$A886))),""))</f>
        <v/>
      </c>
      <c r="D24" s="1" t="str">
        <f t="shared" si="5"/>
        <v/>
      </c>
      <c r="E24" s="131" t="str">
        <f t="shared" si="6"/>
        <v/>
      </c>
      <c r="F24" s="1" t="str">
        <f t="shared" si="4"/>
        <v/>
      </c>
      <c r="I24" s="1" t="str">
        <f t="shared" si="7"/>
        <v/>
      </c>
      <c r="J24" s="1" t="str">
        <f t="shared" si="8"/>
        <v/>
      </c>
    </row>
    <row r="25">
      <c r="A25" s="107">
        <v>12.0</v>
      </c>
      <c r="B25" s="1" t="str">
        <f t="array" ref="B25">IF(I25,IF(J25,INDEX(PossibleEncountersRegioned!$C$2:$C886,RANDBETWEEN(1,COUNTA(PossibleEncountersRegioned!$C$2:$C886)+1)),INDEX(PossibleEncountersRegioned!$B$2:$B886,RANDBETWEEN(1,COUNTA(PossibleEncountersRegioned!$B$2:$B886)+1))),IF($D$6&gt;(A25-1), INDEX(PossibleEncountersRegioned!$A$2:$A886,RANDBETWEEN(1,COUNTA(PossibleEncountersRegioned!$A$2:$A886))),""))</f>
        <v/>
      </c>
      <c r="D25" s="1" t="str">
        <f t="shared" si="5"/>
        <v/>
      </c>
      <c r="E25" s="131" t="str">
        <f t="shared" si="6"/>
        <v/>
      </c>
      <c r="F25" s="1" t="str">
        <f t="shared" si="4"/>
        <v/>
      </c>
      <c r="I25" s="1" t="str">
        <f t="shared" si="7"/>
        <v/>
      </c>
      <c r="J25" s="1" t="str">
        <f t="shared" si="8"/>
        <v/>
      </c>
    </row>
    <row r="26">
      <c r="A26" s="107">
        <v>13.0</v>
      </c>
      <c r="B26" s="1" t="str">
        <f t="array" ref="B26">IF(I26,IF(J26,INDEX(PossibleEncountersRegioned!$C$2:$C886,RANDBETWEEN(1,COUNTA(PossibleEncountersRegioned!$C$2:$C886)+1)),INDEX(PossibleEncountersRegioned!$B$2:$B886,RANDBETWEEN(1,COUNTA(PossibleEncountersRegioned!$B$2:$B886)+1))),IF($D$6&gt;(A26-1), INDEX(PossibleEncountersRegioned!$A$2:$A886,RANDBETWEEN(1,COUNTA(PossibleEncountersRegioned!$A$2:$A886))),""))</f>
        <v/>
      </c>
      <c r="D26" s="1" t="str">
        <f t="shared" si="5"/>
        <v/>
      </c>
      <c r="E26" s="131" t="str">
        <f t="shared" si="6"/>
        <v/>
      </c>
      <c r="F26" s="1" t="str">
        <f t="shared" si="4"/>
        <v/>
      </c>
      <c r="I26" s="1" t="str">
        <f t="shared" si="7"/>
        <v/>
      </c>
      <c r="J26" s="1" t="str">
        <f t="shared" si="8"/>
        <v/>
      </c>
    </row>
    <row r="27">
      <c r="A27" s="107">
        <v>14.0</v>
      </c>
      <c r="B27" s="1" t="str">
        <f t="array" ref="B27">IF(I27,IF(J27,INDEX(PossibleEncountersRegioned!$C$2:$C886,RANDBETWEEN(1,COUNTA(PossibleEncountersRegioned!$C$2:$C886)+1)),INDEX(PossibleEncountersRegioned!$B$2:$B886,RANDBETWEEN(1,COUNTA(PossibleEncountersRegioned!$B$2:$B886)+1))),IF($D$6&gt;(A27-1), INDEX(PossibleEncountersRegioned!$A$2:$A886,RANDBETWEEN(1,COUNTA(PossibleEncountersRegioned!$A$2:$A886))),""))</f>
        <v/>
      </c>
      <c r="D27" s="1" t="str">
        <f t="shared" si="5"/>
        <v/>
      </c>
      <c r="E27" s="131" t="str">
        <f t="shared" si="6"/>
        <v/>
      </c>
      <c r="F27" s="1" t="str">
        <f t="shared" si="4"/>
        <v/>
      </c>
      <c r="I27" s="1" t="str">
        <f t="shared" si="7"/>
        <v/>
      </c>
      <c r="J27" s="1" t="str">
        <f t="shared" si="8"/>
        <v/>
      </c>
    </row>
    <row r="28">
      <c r="A28" s="107">
        <v>15.0</v>
      </c>
      <c r="B28" s="1" t="str">
        <f t="array" ref="B28">IF(I28,IF(J28,INDEX(PossibleEncountersRegioned!$C$2:$C886,RANDBETWEEN(1,COUNTA(PossibleEncountersRegioned!$C$2:$C886)+1)),INDEX(PossibleEncountersRegioned!$B$2:$B886,RANDBETWEEN(1,COUNTA(PossibleEncountersRegioned!$B$2:$B886)+1))),IF($D$6&gt;(A28-1), INDEX(PossibleEncountersRegioned!$A$2:$A886,RANDBETWEEN(1,COUNTA(PossibleEncountersRegioned!$A$2:$A886))),""))</f>
        <v/>
      </c>
      <c r="D28" s="1" t="str">
        <f t="shared" si="5"/>
        <v/>
      </c>
      <c r="E28" s="131" t="str">
        <f t="shared" si="6"/>
        <v/>
      </c>
      <c r="F28" s="1" t="str">
        <f t="shared" si="4"/>
        <v/>
      </c>
      <c r="I28" s="1" t="str">
        <f t="shared" si="7"/>
        <v/>
      </c>
      <c r="J28" s="1" t="str">
        <f t="shared" si="8"/>
        <v/>
      </c>
    </row>
    <row r="29">
      <c r="A29" s="107">
        <v>16.0</v>
      </c>
      <c r="B29" s="1" t="str">
        <f t="array" ref="B29">IF(I29,IF(J29,INDEX(PossibleEncountersRegioned!$C$2:$C886,RANDBETWEEN(1,COUNTA(PossibleEncountersRegioned!$C$2:$C886)+1)),INDEX(PossibleEncountersRegioned!$B$2:$B886,RANDBETWEEN(1,COUNTA(PossibleEncountersRegioned!$B$2:$B886)+1))),IF($D$6&gt;(A29-1), INDEX(PossibleEncountersRegioned!$A$2:$A886,RANDBETWEEN(1,COUNTA(PossibleEncountersRegioned!$A$2:$A886))),""))</f>
        <v/>
      </c>
      <c r="D29" s="1" t="str">
        <f t="shared" si="5"/>
        <v/>
      </c>
      <c r="E29" s="131" t="str">
        <f t="shared" si="6"/>
        <v/>
      </c>
      <c r="F29" s="1" t="str">
        <f t="shared" si="4"/>
        <v/>
      </c>
      <c r="I29" s="1" t="str">
        <f t="shared" si="7"/>
        <v/>
      </c>
      <c r="J29" s="1" t="str">
        <f t="shared" si="8"/>
        <v/>
      </c>
    </row>
    <row r="30">
      <c r="A30" s="107">
        <v>17.0</v>
      </c>
      <c r="B30" s="1" t="str">
        <f t="array" ref="B30">IF(I30,IF(J30,INDEX(PossibleEncountersRegioned!$C$2:$C886,RANDBETWEEN(1,COUNTA(PossibleEncountersRegioned!$C$2:$C886)+1)),INDEX(PossibleEncountersRegioned!$B$2:$B886,RANDBETWEEN(1,COUNTA(PossibleEncountersRegioned!$B$2:$B886)+1))),IF($D$6&gt;(A30-1), INDEX(PossibleEncountersRegioned!$A$2:$A886,RANDBETWEEN(1,COUNTA(PossibleEncountersRegioned!$A$2:$A886))),""))</f>
        <v/>
      </c>
      <c r="D30" s="1" t="str">
        <f t="shared" si="5"/>
        <v/>
      </c>
      <c r="E30" s="131" t="str">
        <f t="shared" si="6"/>
        <v/>
      </c>
      <c r="F30" s="1" t="str">
        <f t="shared" si="4"/>
        <v/>
      </c>
      <c r="I30" s="1" t="str">
        <f t="shared" si="7"/>
        <v/>
      </c>
      <c r="J30" s="1" t="str">
        <f t="shared" si="8"/>
        <v/>
      </c>
    </row>
    <row r="31">
      <c r="A31" s="107">
        <v>18.0</v>
      </c>
      <c r="B31" s="1" t="str">
        <f t="array" ref="B31">IF(I31,IF(J31,INDEX(PossibleEncountersRegioned!$C$2:$C886,RANDBETWEEN(1,COUNTA(PossibleEncountersRegioned!$C$2:$C886)+1)),INDEX(PossibleEncountersRegioned!$B$2:$B886,RANDBETWEEN(1,COUNTA(PossibleEncountersRegioned!$B$2:$B886)+1))),IF($D$6&gt;(A31-1), INDEX(PossibleEncountersRegioned!$A$2:$A886,RANDBETWEEN(1,COUNTA(PossibleEncountersRegioned!$A$2:$A886))),""))</f>
        <v/>
      </c>
      <c r="D31" s="1" t="str">
        <f t="shared" si="5"/>
        <v/>
      </c>
      <c r="E31" s="131" t="str">
        <f t="shared" si="6"/>
        <v/>
      </c>
      <c r="F31" s="1" t="str">
        <f t="shared" si="4"/>
        <v/>
      </c>
      <c r="I31" s="1" t="str">
        <f t="shared" si="7"/>
        <v/>
      </c>
      <c r="J31" s="1" t="str">
        <f t="shared" si="8"/>
        <v/>
      </c>
    </row>
    <row r="32">
      <c r="A32" s="107">
        <v>19.0</v>
      </c>
      <c r="B32" s="1" t="str">
        <f t="array" ref="B32">IF(I32,IF(J32,INDEX(PossibleEncountersRegioned!$C$2:$C886,RANDBETWEEN(1,COUNTA(PossibleEncountersRegioned!$C$2:$C886)+1)),INDEX(PossibleEncountersRegioned!$B$2:$B886,RANDBETWEEN(1,COUNTA(PossibleEncountersRegioned!$B$2:$B886)+1))),IF($D$6&gt;(A32-1), INDEX(PossibleEncountersRegioned!$A$2:$A886,RANDBETWEEN(1,COUNTA(PossibleEncountersRegioned!$A$2:$A886))),""))</f>
        <v/>
      </c>
      <c r="D32" s="1" t="str">
        <f t="shared" si="5"/>
        <v/>
      </c>
      <c r="E32" s="131" t="str">
        <f t="shared" si="6"/>
        <v/>
      </c>
      <c r="F32" s="1" t="str">
        <f t="shared" si="4"/>
        <v/>
      </c>
      <c r="I32" s="1" t="str">
        <f t="shared" si="7"/>
        <v/>
      </c>
      <c r="J32" s="1" t="str">
        <f t="shared" si="8"/>
        <v/>
      </c>
    </row>
    <row r="33">
      <c r="A33" s="107">
        <v>20.0</v>
      </c>
      <c r="B33" s="1" t="str">
        <f t="array" ref="B33">IF(I33,IF(J33,INDEX(PossibleEncountersRegioned!$C$2:$C886,RANDBETWEEN(1,COUNTA(PossibleEncountersRegioned!$C$2:$C886)+1)),INDEX(PossibleEncountersRegioned!$B$2:$B886,RANDBETWEEN(1,COUNTA(PossibleEncountersRegioned!$B$2:$B886)+1))),IF($D$6&gt;(A33-1), INDEX(PossibleEncountersRegioned!$A$2:$A886,RANDBETWEEN(1,COUNTA(PossibleEncountersRegioned!$A$2:$A886))),""))</f>
        <v/>
      </c>
      <c r="D33" s="1" t="str">
        <f t="shared" si="5"/>
        <v/>
      </c>
      <c r="E33" s="131" t="str">
        <f t="shared" si="6"/>
        <v/>
      </c>
      <c r="F33" s="1" t="str">
        <f t="shared" si="4"/>
        <v/>
      </c>
      <c r="I33" s="1" t="str">
        <f t="shared" si="7"/>
        <v/>
      </c>
      <c r="J33" s="1" t="str">
        <f t="shared" si="8"/>
        <v/>
      </c>
    </row>
    <row r="34">
      <c r="A34" s="107">
        <v>21.0</v>
      </c>
      <c r="B34" s="1" t="str">
        <f t="array" ref="B34">IF(I34,IF(J34,INDEX(PossibleEncountersRegioned!$C$2:$C886,RANDBETWEEN(1,COUNTA(PossibleEncountersRegioned!$C$2:$C886)+1)),INDEX(PossibleEncountersRegioned!$B$2:$B886,RANDBETWEEN(1,COUNTA(PossibleEncountersRegioned!$B$2:$B886)+1))),IF($D$6&gt;(A34-1), INDEX(PossibleEncountersRegioned!$A$2:$A886,RANDBETWEEN(1,COUNTA(PossibleEncountersRegioned!$A$2:$A886))),""))</f>
        <v/>
      </c>
      <c r="D34" s="1" t="str">
        <f t="shared" si="5"/>
        <v/>
      </c>
      <c r="E34" s="131" t="str">
        <f t="shared" si="6"/>
        <v/>
      </c>
      <c r="F34" s="1" t="str">
        <f t="shared" si="4"/>
        <v/>
      </c>
      <c r="I34" s="1" t="str">
        <f t="shared" si="7"/>
        <v/>
      </c>
      <c r="J34" s="1" t="str">
        <f t="shared" si="8"/>
        <v/>
      </c>
    </row>
    <row r="35">
      <c r="A35" s="107">
        <v>22.0</v>
      </c>
      <c r="B35" s="1" t="str">
        <f t="array" ref="B35">IF(I35,IF(J35,INDEX(PossibleEncountersRegioned!$C$2:$C886,RANDBETWEEN(1,COUNTA(PossibleEncountersRegioned!$C$2:$C886)+1)),INDEX(PossibleEncountersRegioned!$B$2:$B886,RANDBETWEEN(1,COUNTA(PossibleEncountersRegioned!$B$2:$B886)+1))),IF($D$6&gt;(A35-1), INDEX(PossibleEncountersRegioned!$A$2:$A886,RANDBETWEEN(1,COUNTA(PossibleEncountersRegioned!$A$2:$A886))),""))</f>
        <v/>
      </c>
      <c r="D35" s="1" t="str">
        <f t="shared" si="5"/>
        <v/>
      </c>
      <c r="E35" s="131" t="str">
        <f t="shared" si="6"/>
        <v/>
      </c>
      <c r="F35" s="1" t="str">
        <f t="shared" si="4"/>
        <v/>
      </c>
      <c r="I35" s="1" t="str">
        <f t="shared" si="7"/>
        <v/>
      </c>
      <c r="J35" s="1" t="str">
        <f t="shared" si="8"/>
        <v/>
      </c>
    </row>
    <row r="36">
      <c r="A36" s="107">
        <v>23.0</v>
      </c>
      <c r="B36" s="1" t="str">
        <f t="array" ref="B36">IF(I36,IF(J36,INDEX(PossibleEncountersRegioned!$C$2:$C886,RANDBETWEEN(1,COUNTA(PossibleEncountersRegioned!$C$2:$C886)+1)),INDEX(PossibleEncountersRegioned!$B$2:$B886,RANDBETWEEN(1,COUNTA(PossibleEncountersRegioned!$B$2:$B886)+1))),IF($D$6&gt;(A36-1), INDEX(PossibleEncountersRegioned!$A$2:$A886,RANDBETWEEN(1,COUNTA(PossibleEncountersRegioned!$A$2:$A886))),""))</f>
        <v/>
      </c>
      <c r="D36" s="1" t="str">
        <f t="shared" si="5"/>
        <v/>
      </c>
      <c r="E36" s="131" t="str">
        <f t="shared" si="6"/>
        <v/>
      </c>
      <c r="F36" s="1" t="str">
        <f t="shared" si="4"/>
        <v/>
      </c>
      <c r="I36" s="1" t="str">
        <f t="shared" si="7"/>
        <v/>
      </c>
      <c r="J36" s="1" t="str">
        <f t="shared" si="8"/>
        <v/>
      </c>
    </row>
    <row r="37">
      <c r="A37" s="107">
        <v>24.0</v>
      </c>
      <c r="B37" s="1" t="str">
        <f t="array" ref="B37">IF(I37,IF(J37,INDEX(PossibleEncountersRegioned!$C$2:$C886,RANDBETWEEN(1,COUNTA(PossibleEncountersRegioned!$C$2:$C886)+1)),INDEX(PossibleEncountersRegioned!$B$2:$B886,RANDBETWEEN(1,COUNTA(PossibleEncountersRegioned!$B$2:$B886)+1))),IF($D$6&gt;(A37-1), INDEX(PossibleEncountersRegioned!$A$2:$A886,RANDBETWEEN(1,COUNTA(PossibleEncountersRegioned!$A$2:$A886))),""))</f>
        <v/>
      </c>
      <c r="D37" s="1" t="str">
        <f t="shared" si="5"/>
        <v/>
      </c>
      <c r="E37" s="131" t="str">
        <f t="shared" si="6"/>
        <v/>
      </c>
      <c r="F37" s="1" t="str">
        <f t="shared" si="4"/>
        <v/>
      </c>
      <c r="I37" s="1" t="str">
        <f t="shared" si="7"/>
        <v/>
      </c>
      <c r="J37" s="1" t="str">
        <f t="shared" si="8"/>
        <v/>
      </c>
    </row>
    <row r="38">
      <c r="A38" s="107">
        <v>25.0</v>
      </c>
      <c r="B38" s="1" t="str">
        <f t="array" ref="B38">IF(I38,IF(J38,INDEX(PossibleEncountersRegioned!$C$2:$C886,RANDBETWEEN(1,COUNTA(PossibleEncountersRegioned!$C$2:$C886)+1)),INDEX(PossibleEncountersRegioned!$B$2:$B886,RANDBETWEEN(1,COUNTA(PossibleEncountersRegioned!$B$2:$B886)+1))),IF($D$6&gt;(A38-1), INDEX(PossibleEncountersRegioned!$A$2:$A886,RANDBETWEEN(1,COUNTA(PossibleEncountersRegioned!$A$2:$A886))),""))</f>
        <v/>
      </c>
      <c r="D38" s="1" t="str">
        <f t="shared" si="5"/>
        <v/>
      </c>
      <c r="E38" s="131" t="str">
        <f t="shared" si="6"/>
        <v/>
      </c>
      <c r="F38" s="1" t="str">
        <f t="shared" si="4"/>
        <v/>
      </c>
      <c r="I38" s="1" t="str">
        <f t="shared" si="7"/>
        <v/>
      </c>
      <c r="J38" s="1" t="str">
        <f t="shared" si="8"/>
        <v/>
      </c>
    </row>
    <row r="39">
      <c r="A39" s="107">
        <v>26.0</v>
      </c>
      <c r="B39" s="1" t="str">
        <f t="array" ref="B39">IF(I39,IF(J39,INDEX(PossibleEncountersRegioned!$C$2:$C886,RANDBETWEEN(1,COUNTA(PossibleEncountersRegioned!$C$2:$C886)+1)),INDEX(PossibleEncountersRegioned!$B$2:$B886,RANDBETWEEN(1,COUNTA(PossibleEncountersRegioned!$B$2:$B886)+1))),IF($D$6&gt;(A39-1), INDEX(PossibleEncountersRegioned!$A$2:$A886,RANDBETWEEN(1,COUNTA(PossibleEncountersRegioned!$A$2:$A886))),""))</f>
        <v/>
      </c>
      <c r="D39" s="1" t="str">
        <f t="shared" si="5"/>
        <v/>
      </c>
      <c r="E39" s="131" t="str">
        <f t="shared" si="6"/>
        <v/>
      </c>
      <c r="F39" s="1" t="str">
        <f t="shared" si="4"/>
        <v/>
      </c>
      <c r="I39" s="1" t="str">
        <f t="shared" si="7"/>
        <v/>
      </c>
      <c r="J39" s="1" t="str">
        <f t="shared" si="8"/>
        <v/>
      </c>
    </row>
    <row r="40">
      <c r="A40" s="107">
        <v>27.0</v>
      </c>
      <c r="B40" s="1" t="str">
        <f t="array" ref="B40">IF(I40,IF(J40,INDEX(PossibleEncountersRegioned!$C$2:$C886,RANDBETWEEN(1,COUNTA(PossibleEncountersRegioned!$C$2:$C886)+1)),INDEX(PossibleEncountersRegioned!$B$2:$B886,RANDBETWEEN(1,COUNTA(PossibleEncountersRegioned!$B$2:$B886)+1))),IF($D$6&gt;(A40-1), INDEX(PossibleEncountersRegioned!$A$2:$A886,RANDBETWEEN(1,COUNTA(PossibleEncountersRegioned!$A$2:$A886))),""))</f>
        <v/>
      </c>
      <c r="D40" s="1" t="str">
        <f t="shared" si="5"/>
        <v/>
      </c>
      <c r="E40" s="131" t="str">
        <f t="shared" si="6"/>
        <v/>
      </c>
      <c r="F40" s="1" t="str">
        <f t="shared" si="4"/>
        <v/>
      </c>
      <c r="I40" s="1" t="str">
        <f t="shared" si="7"/>
        <v/>
      </c>
      <c r="J40" s="1" t="str">
        <f t="shared" si="8"/>
        <v/>
      </c>
    </row>
    <row r="41">
      <c r="A41" s="107">
        <v>28.0</v>
      </c>
      <c r="B41" s="1" t="str">
        <f t="array" ref="B41">IF(I41,IF(J41,INDEX(PossibleEncountersRegioned!$C$2:$C886,RANDBETWEEN(1,COUNTA(PossibleEncountersRegioned!$C$2:$C886)+1)),INDEX(PossibleEncountersRegioned!$B$2:$B886,RANDBETWEEN(1,COUNTA(PossibleEncountersRegioned!$B$2:$B886)+1))),IF($D$6&gt;(A41-1), INDEX(PossibleEncountersRegioned!$A$2:$A886,RANDBETWEEN(1,COUNTA(PossibleEncountersRegioned!$A$2:$A886))),""))</f>
        <v/>
      </c>
      <c r="D41" s="1" t="str">
        <f t="shared" si="5"/>
        <v/>
      </c>
      <c r="E41" s="131" t="str">
        <f t="shared" si="6"/>
        <v/>
      </c>
      <c r="F41" s="1" t="str">
        <f t="shared" si="4"/>
        <v/>
      </c>
      <c r="I41" s="1" t="str">
        <f t="shared" si="7"/>
        <v/>
      </c>
      <c r="J41" s="1" t="str">
        <f t="shared" si="8"/>
        <v/>
      </c>
    </row>
    <row r="42">
      <c r="A42" s="107">
        <v>29.0</v>
      </c>
      <c r="B42" s="1" t="str">
        <f t="array" ref="B42">IF(I42,IF(J42,INDEX(PossibleEncountersRegioned!$C$2:$C886,RANDBETWEEN(1,COUNTA(PossibleEncountersRegioned!$C$2:$C886)+1)),INDEX(PossibleEncountersRegioned!$B$2:$B886,RANDBETWEEN(1,COUNTA(PossibleEncountersRegioned!$B$2:$B886)+1))),IF($D$6&gt;(A42-1), INDEX(PossibleEncountersRegioned!$A$2:$A886,RANDBETWEEN(1,COUNTA(PossibleEncountersRegioned!$A$2:$A886))),""))</f>
        <v/>
      </c>
      <c r="D42" s="1" t="str">
        <f t="shared" si="5"/>
        <v/>
      </c>
      <c r="E42" s="131" t="str">
        <f t="shared" si="6"/>
        <v/>
      </c>
      <c r="F42" s="1" t="str">
        <f t="shared" si="4"/>
        <v/>
      </c>
      <c r="I42" s="1" t="str">
        <f t="shared" si="7"/>
        <v/>
      </c>
      <c r="J42" s="1" t="str">
        <f t="shared" si="8"/>
        <v/>
      </c>
    </row>
    <row r="43">
      <c r="A43" s="107">
        <v>30.0</v>
      </c>
      <c r="B43" s="1" t="str">
        <f t="array" ref="B43">IF(I43,IF(J43,INDEX(PossibleEncountersRegioned!$C$2:$C886,RANDBETWEEN(1,COUNTA(PossibleEncountersRegioned!$C$2:$C886)+1)),INDEX(PossibleEncountersRegioned!$B$2:$B886,RANDBETWEEN(1,COUNTA(PossibleEncountersRegioned!$B$2:$B886)+1))),IF($D$6&gt;(A43-1), INDEX(PossibleEncountersRegioned!$A$2:$A886,RANDBETWEEN(1,COUNTA(PossibleEncountersRegioned!$A$2:$A886))),""))</f>
        <v/>
      </c>
      <c r="D43" s="1" t="str">
        <f t="shared" si="5"/>
        <v/>
      </c>
      <c r="E43" s="131" t="str">
        <f t="shared" si="6"/>
        <v/>
      </c>
      <c r="F43" s="1" t="str">
        <f t="shared" si="4"/>
        <v/>
      </c>
      <c r="I43" s="1" t="str">
        <f t="shared" si="7"/>
        <v/>
      </c>
      <c r="J43" s="1" t="str">
        <f t="shared" si="8"/>
        <v/>
      </c>
    </row>
    <row r="44">
      <c r="A44" s="107">
        <v>31.0</v>
      </c>
      <c r="B44" s="1" t="str">
        <f t="array" ref="B44">IF(I44,IF(J44,INDEX(PossibleEncountersRegioned!$C$2:$C886,RANDBETWEEN(1,COUNTA(PossibleEncountersRegioned!$C$2:$C886)+1)),INDEX(PossibleEncountersRegioned!$B$2:$B886,RANDBETWEEN(1,COUNTA(PossibleEncountersRegioned!$B$2:$B886)+1))),IF($D$6&gt;(A44-1), INDEX(PossibleEncountersRegioned!$A$2:$A886,RANDBETWEEN(1,COUNTA(PossibleEncountersRegioned!$A$2:$A886))),""))</f>
        <v/>
      </c>
      <c r="D44" s="1" t="str">
        <f t="shared" si="5"/>
        <v/>
      </c>
      <c r="E44" s="131" t="str">
        <f t="shared" si="6"/>
        <v/>
      </c>
      <c r="F44" s="1" t="str">
        <f t="shared" si="4"/>
        <v/>
      </c>
      <c r="I44" s="1" t="str">
        <f t="shared" si="7"/>
        <v/>
      </c>
      <c r="J44" s="1" t="str">
        <f t="shared" si="8"/>
        <v/>
      </c>
    </row>
    <row r="45">
      <c r="A45" s="107">
        <v>32.0</v>
      </c>
      <c r="B45" s="1" t="str">
        <f t="array" ref="B45">IF(I45,IF(J45,INDEX(PossibleEncountersRegioned!$C$2:$C886,RANDBETWEEN(1,COUNTA(PossibleEncountersRegioned!$C$2:$C886)+1)),INDEX(PossibleEncountersRegioned!$B$2:$B886,RANDBETWEEN(1,COUNTA(PossibleEncountersRegioned!$B$2:$B886)+1))),IF($D$6&gt;(A45-1), INDEX(PossibleEncountersRegioned!$A$2:$A886,RANDBETWEEN(1,COUNTA(PossibleEncountersRegioned!$A$2:$A886))),""))</f>
        <v/>
      </c>
      <c r="D45" s="1" t="str">
        <f t="shared" si="5"/>
        <v/>
      </c>
      <c r="E45" s="131" t="str">
        <f t="shared" si="6"/>
        <v/>
      </c>
      <c r="F45" s="1" t="str">
        <f t="shared" si="4"/>
        <v/>
      </c>
      <c r="I45" s="1" t="str">
        <f t="shared" si="7"/>
        <v/>
      </c>
      <c r="J45" s="1" t="str">
        <f t="shared" si="8"/>
        <v/>
      </c>
    </row>
    <row r="46">
      <c r="A46" s="107">
        <v>33.0</v>
      </c>
      <c r="B46" s="1" t="str">
        <f t="array" ref="B46">IF(I46,IF(J46,INDEX(PossibleEncountersRegioned!$C$2:$C886,RANDBETWEEN(1,COUNTA(PossibleEncountersRegioned!$C$2:$C886)+1)),INDEX(PossibleEncountersRegioned!$B$2:$B886,RANDBETWEEN(1,COUNTA(PossibleEncountersRegioned!$B$2:$B886)+1))),IF($D$6&gt;(A46-1), INDEX(PossibleEncountersRegioned!$A$2:$A886,RANDBETWEEN(1,COUNTA(PossibleEncountersRegioned!$A$2:$A886))),""))</f>
        <v/>
      </c>
      <c r="D46" s="1" t="str">
        <f t="shared" si="5"/>
        <v/>
      </c>
      <c r="E46" s="131" t="str">
        <f t="shared" si="6"/>
        <v/>
      </c>
      <c r="F46" s="1" t="str">
        <f t="shared" si="4"/>
        <v/>
      </c>
      <c r="I46" s="1" t="str">
        <f t="shared" si="7"/>
        <v/>
      </c>
      <c r="J46" s="1" t="str">
        <f t="shared" si="8"/>
        <v/>
      </c>
    </row>
    <row r="47">
      <c r="A47" s="107">
        <v>34.0</v>
      </c>
      <c r="B47" s="1" t="str">
        <f t="array" ref="B47">IF(I47,IF(J47,INDEX(PossibleEncountersRegioned!$C$2:$C886,RANDBETWEEN(1,COUNTA(PossibleEncountersRegioned!$C$2:$C886)+1)),INDEX(PossibleEncountersRegioned!$B$2:$B886,RANDBETWEEN(1,COUNTA(PossibleEncountersRegioned!$B$2:$B886)+1))),IF($D$6&gt;(A47-1), INDEX(PossibleEncountersRegioned!$A$2:$A886,RANDBETWEEN(1,COUNTA(PossibleEncountersRegioned!$A$2:$A886))),""))</f>
        <v/>
      </c>
      <c r="D47" s="1" t="str">
        <f t="shared" si="5"/>
        <v/>
      </c>
      <c r="E47" s="131" t="str">
        <f t="shared" si="6"/>
        <v/>
      </c>
      <c r="F47" s="1" t="str">
        <f t="shared" si="4"/>
        <v/>
      </c>
      <c r="I47" s="1" t="str">
        <f t="shared" si="7"/>
        <v/>
      </c>
      <c r="J47" s="1" t="str">
        <f t="shared" si="8"/>
        <v/>
      </c>
    </row>
    <row r="48">
      <c r="A48" s="107">
        <v>35.0</v>
      </c>
      <c r="B48" s="1" t="str">
        <f t="array" ref="B48">IF(I48,IF(J48,INDEX(PossibleEncountersRegioned!$C$2:$C886,RANDBETWEEN(1,COUNTA(PossibleEncountersRegioned!$C$2:$C886)+1)),INDEX(PossibleEncountersRegioned!$B$2:$B886,RANDBETWEEN(1,COUNTA(PossibleEncountersRegioned!$B$2:$B886)+1))),IF($D$6&gt;(A48-1), INDEX(PossibleEncountersRegioned!$A$2:$A886,RANDBETWEEN(1,COUNTA(PossibleEncountersRegioned!$A$2:$A886))),""))</f>
        <v/>
      </c>
      <c r="D48" s="1" t="str">
        <f t="shared" si="5"/>
        <v/>
      </c>
      <c r="E48" s="131" t="str">
        <f t="shared" si="6"/>
        <v/>
      </c>
      <c r="F48" s="1" t="str">
        <f t="shared" si="4"/>
        <v/>
      </c>
      <c r="I48" s="1" t="str">
        <f t="shared" si="7"/>
        <v/>
      </c>
      <c r="J48" s="1" t="str">
        <f t="shared" si="8"/>
        <v/>
      </c>
    </row>
    <row r="49">
      <c r="A49" s="107">
        <v>36.0</v>
      </c>
      <c r="B49" s="1" t="str">
        <f t="array" ref="B49">IF(I49,IF(J49,INDEX(PossibleEncountersRegioned!$C$2:$C886,RANDBETWEEN(1,COUNTA(PossibleEncountersRegioned!$C$2:$C886)+1)),INDEX(PossibleEncountersRegioned!$B$2:$B886,RANDBETWEEN(1,COUNTA(PossibleEncountersRegioned!$B$2:$B886)+1))),IF($D$6&gt;(A49-1), INDEX(PossibleEncountersRegioned!$A$2:$A886,RANDBETWEEN(1,COUNTA(PossibleEncountersRegioned!$A$2:$A886))),""))</f>
        <v/>
      </c>
      <c r="D49" s="1" t="str">
        <f t="shared" si="5"/>
        <v/>
      </c>
      <c r="E49" s="131" t="str">
        <f t="shared" si="6"/>
        <v/>
      </c>
      <c r="F49" s="1" t="str">
        <f t="shared" si="4"/>
        <v/>
      </c>
      <c r="I49" s="1" t="str">
        <f t="shared" si="7"/>
        <v/>
      </c>
      <c r="J49" s="1" t="str">
        <f t="shared" si="8"/>
        <v/>
      </c>
    </row>
    <row r="50">
      <c r="A50" s="107">
        <v>37.0</v>
      </c>
      <c r="B50" s="1" t="str">
        <f t="array" ref="B50">IF(I50,IF(J50,INDEX(PossibleEncountersRegioned!$C$2:$C886,RANDBETWEEN(1,COUNTA(PossibleEncountersRegioned!$C$2:$C886)+1)),INDEX(PossibleEncountersRegioned!$B$2:$B886,RANDBETWEEN(1,COUNTA(PossibleEncountersRegioned!$B$2:$B886)+1))),IF($D$6&gt;(A50-1), INDEX(PossibleEncountersRegioned!$A$2:$A886,RANDBETWEEN(1,COUNTA(PossibleEncountersRegioned!$A$2:$A886))),""))</f>
        <v/>
      </c>
      <c r="D50" s="1" t="str">
        <f t="shared" si="5"/>
        <v/>
      </c>
      <c r="E50" s="131" t="str">
        <f t="shared" si="6"/>
        <v/>
      </c>
      <c r="F50" s="1" t="str">
        <f t="shared" si="4"/>
        <v/>
      </c>
      <c r="I50" s="1" t="str">
        <f t="shared" si="7"/>
        <v/>
      </c>
      <c r="J50" s="1" t="str">
        <f t="shared" si="8"/>
        <v/>
      </c>
    </row>
    <row r="51">
      <c r="A51" s="107">
        <v>38.0</v>
      </c>
      <c r="B51" s="1" t="str">
        <f t="array" ref="B51">IF(I51,IF(J51,INDEX(PossibleEncountersRegioned!$C$2:$C886,RANDBETWEEN(1,COUNTA(PossibleEncountersRegioned!$C$2:$C886)+1)),INDEX(PossibleEncountersRegioned!$B$2:$B886,RANDBETWEEN(1,COUNTA(PossibleEncountersRegioned!$B$2:$B886)+1))),IF($D$6&gt;(A51-1), INDEX(PossibleEncountersRegioned!$A$2:$A886,RANDBETWEEN(1,COUNTA(PossibleEncountersRegioned!$A$2:$A886))),""))</f>
        <v/>
      </c>
      <c r="D51" s="1" t="str">
        <f t="shared" si="5"/>
        <v/>
      </c>
      <c r="E51" s="131" t="str">
        <f t="shared" si="6"/>
        <v/>
      </c>
      <c r="F51" s="1" t="str">
        <f t="shared" si="4"/>
        <v/>
      </c>
      <c r="I51" s="1" t="str">
        <f t="shared" si="7"/>
        <v/>
      </c>
      <c r="J51" s="1" t="str">
        <f t="shared" si="8"/>
        <v/>
      </c>
    </row>
    <row r="52">
      <c r="A52" s="107">
        <v>39.0</v>
      </c>
      <c r="B52" s="1" t="str">
        <f t="array" ref="B52">IF(I52,IF(J52,INDEX(PossibleEncountersRegioned!$C$2:$C886,RANDBETWEEN(1,COUNTA(PossibleEncountersRegioned!$C$2:$C886)+1)),INDEX(PossibleEncountersRegioned!$B$2:$B886,RANDBETWEEN(1,COUNTA(PossibleEncountersRegioned!$B$2:$B886)+1))),IF($D$6&gt;(A52-1), INDEX(PossibleEncountersRegioned!$A$2:$A886,RANDBETWEEN(1,COUNTA(PossibleEncountersRegioned!$A$2:$A886))),""))</f>
        <v/>
      </c>
      <c r="D52" s="1" t="str">
        <f t="shared" si="5"/>
        <v/>
      </c>
      <c r="E52" s="131" t="str">
        <f t="shared" si="6"/>
        <v/>
      </c>
      <c r="F52" s="1" t="str">
        <f t="shared" si="4"/>
        <v/>
      </c>
      <c r="I52" s="1" t="str">
        <f t="shared" si="7"/>
        <v/>
      </c>
      <c r="J52" s="1" t="str">
        <f t="shared" si="8"/>
        <v/>
      </c>
    </row>
    <row r="53">
      <c r="A53" s="107">
        <v>40.0</v>
      </c>
      <c r="B53" s="1" t="str">
        <f t="array" ref="B53">IF(I53,IF(J53,INDEX(PossibleEncountersRegioned!$C$2:$C886,RANDBETWEEN(1,COUNTA(PossibleEncountersRegioned!$C$2:$C886)+1)),INDEX(PossibleEncountersRegioned!$B$2:$B886,RANDBETWEEN(1,COUNTA(PossibleEncountersRegioned!$B$2:$B886)+1))),IF($D$6&gt;(A53-1), INDEX(PossibleEncountersRegioned!$A$2:$A886,RANDBETWEEN(1,COUNTA(PossibleEncountersRegioned!$A$2:$A886))),""))</f>
        <v/>
      </c>
      <c r="D53" s="1" t="str">
        <f t="shared" si="5"/>
        <v/>
      </c>
      <c r="E53" s="131" t="str">
        <f t="shared" si="6"/>
        <v/>
      </c>
      <c r="F53" s="1" t="str">
        <f t="shared" si="4"/>
        <v/>
      </c>
      <c r="I53" s="1" t="str">
        <f t="shared" si="7"/>
        <v/>
      </c>
      <c r="J53" s="1" t="str">
        <f t="shared" si="8"/>
        <v/>
      </c>
    </row>
    <row r="54">
      <c r="A54" s="107">
        <v>41.0</v>
      </c>
      <c r="B54" s="1" t="str">
        <f t="array" ref="B54">IF(I54,IF(J54,INDEX(PossibleEncountersRegioned!$C$2:$C886,RANDBETWEEN(1,COUNTA(PossibleEncountersRegioned!$C$2:$C886)+1)),INDEX(PossibleEncountersRegioned!$B$2:$B886,RANDBETWEEN(1,COUNTA(PossibleEncountersRegioned!$B$2:$B886)+1))),IF($D$6&gt;(A54-1), INDEX(PossibleEncountersRegioned!$A$2:$A886,RANDBETWEEN(1,COUNTA(PossibleEncountersRegioned!$A$2:$A886))),""))</f>
        <v/>
      </c>
      <c r="D54" s="1" t="str">
        <f t="shared" si="5"/>
        <v/>
      </c>
      <c r="E54" s="131" t="str">
        <f t="shared" si="6"/>
        <v/>
      </c>
      <c r="F54" s="1" t="str">
        <f t="shared" si="4"/>
        <v/>
      </c>
      <c r="I54" s="1" t="str">
        <f t="shared" si="7"/>
        <v/>
      </c>
      <c r="J54" s="1" t="str">
        <f t="shared" si="8"/>
        <v/>
      </c>
    </row>
    <row r="55">
      <c r="A55" s="107">
        <v>42.0</v>
      </c>
      <c r="B55" s="1" t="str">
        <f t="array" ref="B55">IF(I55,IF(J55,INDEX(PossibleEncountersRegioned!$C$2:$C886,RANDBETWEEN(1,COUNTA(PossibleEncountersRegioned!$C$2:$C886)+1)),INDEX(PossibleEncountersRegioned!$B$2:$B886,RANDBETWEEN(1,COUNTA(PossibleEncountersRegioned!$B$2:$B886)+1))),IF($D$6&gt;(A55-1), INDEX(PossibleEncountersRegioned!$A$2:$A886,RANDBETWEEN(1,COUNTA(PossibleEncountersRegioned!$A$2:$A886))),""))</f>
        <v/>
      </c>
      <c r="D55" s="1" t="str">
        <f t="shared" si="5"/>
        <v/>
      </c>
      <c r="E55" s="131" t="str">
        <f t="shared" si="6"/>
        <v/>
      </c>
      <c r="F55" s="1" t="str">
        <f t="shared" si="4"/>
        <v/>
      </c>
      <c r="I55" s="1" t="str">
        <f t="shared" si="7"/>
        <v/>
      </c>
      <c r="J55" s="1" t="str">
        <f t="shared" si="8"/>
        <v/>
      </c>
    </row>
    <row r="56">
      <c r="A56" s="107">
        <v>43.0</v>
      </c>
      <c r="B56" s="1" t="str">
        <f t="array" ref="B56">IF(I56,IF(J56,INDEX(PossibleEncountersRegioned!$C$2:$C886,RANDBETWEEN(1,COUNTA(PossibleEncountersRegioned!$C$2:$C886)+1)),INDEX(PossibleEncountersRegioned!$B$2:$B886,RANDBETWEEN(1,COUNTA(PossibleEncountersRegioned!$B$2:$B886)+1))),IF($D$6&gt;(A56-1), INDEX(PossibleEncountersRegioned!$A$2:$A886,RANDBETWEEN(1,COUNTA(PossibleEncountersRegioned!$A$2:$A886))),""))</f>
        <v/>
      </c>
      <c r="D56" s="1" t="str">
        <f t="shared" si="5"/>
        <v/>
      </c>
      <c r="E56" s="131" t="str">
        <f t="shared" si="6"/>
        <v/>
      </c>
      <c r="F56" s="1" t="str">
        <f t="shared" si="4"/>
        <v/>
      </c>
      <c r="I56" s="1" t="str">
        <f t="shared" si="7"/>
        <v/>
      </c>
      <c r="J56" s="1" t="str">
        <f t="shared" si="8"/>
        <v/>
      </c>
    </row>
    <row r="57">
      <c r="A57" s="107">
        <v>44.0</v>
      </c>
      <c r="B57" s="1" t="str">
        <f t="array" ref="B57">IF(I57,IF(J57,INDEX(PossibleEncountersRegioned!$C$2:$C886,RANDBETWEEN(1,COUNTA(PossibleEncountersRegioned!$C$2:$C886)+1)),INDEX(PossibleEncountersRegioned!$B$2:$B886,RANDBETWEEN(1,COUNTA(PossibleEncountersRegioned!$B$2:$B886)+1))),IF($D$6&gt;(A57-1), INDEX(PossibleEncountersRegioned!$A$2:$A886,RANDBETWEEN(1,COUNTA(PossibleEncountersRegioned!$A$2:$A886))),""))</f>
        <v/>
      </c>
      <c r="D57" s="1" t="str">
        <f t="shared" si="5"/>
        <v/>
      </c>
      <c r="E57" s="131" t="str">
        <f t="shared" si="6"/>
        <v/>
      </c>
      <c r="F57" s="1" t="str">
        <f t="shared" si="4"/>
        <v/>
      </c>
      <c r="I57" s="1" t="str">
        <f t="shared" si="7"/>
        <v/>
      </c>
      <c r="J57" s="1" t="str">
        <f t="shared" si="8"/>
        <v/>
      </c>
    </row>
    <row r="58">
      <c r="A58" s="107">
        <v>45.0</v>
      </c>
      <c r="B58" s="1" t="str">
        <f t="array" ref="B58">IF(I58,IF(J58,INDEX(PossibleEncountersRegioned!$C$2:$C886,RANDBETWEEN(1,COUNTA(PossibleEncountersRegioned!$C$2:$C886)+1)),INDEX(PossibleEncountersRegioned!$B$2:$B886,RANDBETWEEN(1,COUNTA(PossibleEncountersRegioned!$B$2:$B886)+1))),IF($D$6&gt;(A58-1), INDEX(PossibleEncountersRegioned!$A$2:$A886,RANDBETWEEN(1,COUNTA(PossibleEncountersRegioned!$A$2:$A886))),""))</f>
        <v/>
      </c>
      <c r="D58" s="1" t="str">
        <f t="shared" si="5"/>
        <v/>
      </c>
      <c r="E58" s="131" t="str">
        <f t="shared" si="6"/>
        <v/>
      </c>
      <c r="F58" s="1" t="str">
        <f t="shared" si="4"/>
        <v/>
      </c>
      <c r="I58" s="1" t="str">
        <f t="shared" si="7"/>
        <v/>
      </c>
      <c r="J58" s="1" t="str">
        <f t="shared" si="8"/>
        <v/>
      </c>
    </row>
    <row r="59">
      <c r="A59" s="107">
        <v>46.0</v>
      </c>
      <c r="B59" s="1" t="str">
        <f t="array" ref="B59">IF(I59,IF(J59,INDEX(PossibleEncountersRegioned!$C$2:$C886,RANDBETWEEN(1,COUNTA(PossibleEncountersRegioned!$C$2:$C886)+1)),INDEX(PossibleEncountersRegioned!$B$2:$B886,RANDBETWEEN(1,COUNTA(PossibleEncountersRegioned!$B$2:$B886)+1))),IF($D$6&gt;(A59-1), INDEX(PossibleEncountersRegioned!$A$2:$A886,RANDBETWEEN(1,COUNTA(PossibleEncountersRegioned!$A$2:$A886))),""))</f>
        <v/>
      </c>
      <c r="D59" s="1" t="str">
        <f t="shared" si="5"/>
        <v/>
      </c>
      <c r="E59" s="131" t="str">
        <f t="shared" si="6"/>
        <v/>
      </c>
      <c r="F59" s="1" t="str">
        <f t="shared" si="4"/>
        <v/>
      </c>
      <c r="I59" s="1" t="str">
        <f t="shared" si="7"/>
        <v/>
      </c>
      <c r="J59" s="1" t="str">
        <f t="shared" si="8"/>
        <v/>
      </c>
    </row>
    <row r="60">
      <c r="A60" s="107">
        <v>47.0</v>
      </c>
      <c r="B60" s="1" t="str">
        <f t="array" ref="B60">IF(I60,IF(J60,INDEX(PossibleEncountersRegioned!$C$2:$C886,RANDBETWEEN(1,COUNTA(PossibleEncountersRegioned!$C$2:$C886)+1)),INDEX(PossibleEncountersRegioned!$B$2:$B886,RANDBETWEEN(1,COUNTA(PossibleEncountersRegioned!$B$2:$B886)+1))),IF($D$6&gt;(A60-1), INDEX(PossibleEncountersRegioned!$A$2:$A886,RANDBETWEEN(1,COUNTA(PossibleEncountersRegioned!$A$2:$A886))),""))</f>
        <v/>
      </c>
      <c r="D60" s="1" t="str">
        <f t="shared" si="5"/>
        <v/>
      </c>
      <c r="E60" s="131" t="str">
        <f t="shared" si="6"/>
        <v/>
      </c>
      <c r="F60" s="1" t="str">
        <f t="shared" si="4"/>
        <v/>
      </c>
      <c r="I60" s="1" t="str">
        <f t="shared" si="7"/>
        <v/>
      </c>
      <c r="J60" s="1" t="str">
        <f t="shared" si="8"/>
        <v/>
      </c>
    </row>
    <row r="61">
      <c r="A61" s="107">
        <v>48.0</v>
      </c>
      <c r="B61" s="1" t="str">
        <f t="array" ref="B61">IF(I61,IF(J61,INDEX(PossibleEncountersRegioned!$C$2:$C886,RANDBETWEEN(1,COUNTA(PossibleEncountersRegioned!$C$2:$C886)+1)),INDEX(PossibleEncountersRegioned!$B$2:$B886,RANDBETWEEN(1,COUNTA(PossibleEncountersRegioned!$B$2:$B886)+1))),IF($D$6&gt;(A61-1), INDEX(PossibleEncountersRegioned!$A$2:$A886,RANDBETWEEN(1,COUNTA(PossibleEncountersRegioned!$A$2:$A886))),""))</f>
        <v/>
      </c>
      <c r="D61" s="1" t="str">
        <f t="shared" si="5"/>
        <v/>
      </c>
      <c r="E61" s="131" t="str">
        <f t="shared" si="6"/>
        <v/>
      </c>
      <c r="F61" s="1" t="str">
        <f t="shared" si="4"/>
        <v/>
      </c>
      <c r="I61" s="1" t="str">
        <f t="shared" si="7"/>
        <v/>
      </c>
      <c r="J61" s="1" t="str">
        <f t="shared" si="8"/>
        <v/>
      </c>
    </row>
    <row r="62">
      <c r="A62" s="107">
        <v>49.0</v>
      </c>
      <c r="B62" s="1" t="str">
        <f t="array" ref="B62">IF(I62,IF(J62,INDEX(PossibleEncountersRegioned!$C$2:$C886,RANDBETWEEN(1,COUNTA(PossibleEncountersRegioned!$C$2:$C886)+1)),INDEX(PossibleEncountersRegioned!$B$2:$B886,RANDBETWEEN(1,COUNTA(PossibleEncountersRegioned!$B$2:$B886)+1))),IF($D$6&gt;(A62-1), INDEX(PossibleEncountersRegioned!$A$2:$A886,RANDBETWEEN(1,COUNTA(PossibleEncountersRegioned!$A$2:$A886))),""))</f>
        <v/>
      </c>
      <c r="D62" s="1" t="str">
        <f t="shared" si="5"/>
        <v/>
      </c>
      <c r="E62" s="131" t="str">
        <f t="shared" si="6"/>
        <v/>
      </c>
      <c r="F62" s="1" t="str">
        <f t="shared" si="4"/>
        <v/>
      </c>
      <c r="I62" s="1" t="str">
        <f t="shared" si="7"/>
        <v/>
      </c>
      <c r="J62" s="1" t="str">
        <f t="shared" si="8"/>
        <v/>
      </c>
    </row>
    <row r="63">
      <c r="A63" s="107">
        <v>50.0</v>
      </c>
      <c r="B63" s="1" t="str">
        <f t="array" ref="B63">IF(I63,IF(J63,INDEX(PossibleEncountersRegioned!$C$2:$C886,RANDBETWEEN(1,COUNTA(PossibleEncountersRegioned!$C$2:$C886)+1)),INDEX(PossibleEncountersRegioned!$B$2:$B886,RANDBETWEEN(1,COUNTA(PossibleEncountersRegioned!$B$2:$B886)+1))),IF($D$6&gt;(A63-1), INDEX(PossibleEncountersRegioned!$A$2:$A886,RANDBETWEEN(1,COUNTA(PossibleEncountersRegioned!$A$2:$A886))),""))</f>
        <v/>
      </c>
      <c r="D63" s="1" t="str">
        <f t="shared" si="5"/>
        <v/>
      </c>
      <c r="E63" s="131" t="str">
        <f t="shared" si="6"/>
        <v/>
      </c>
      <c r="F63" s="1" t="str">
        <f t="shared" si="4"/>
        <v/>
      </c>
      <c r="I63" s="1" t="str">
        <f t="shared" si="7"/>
        <v/>
      </c>
      <c r="J63" s="1" t="str">
        <f t="shared" si="8"/>
        <v/>
      </c>
    </row>
    <row r="64">
      <c r="A64" s="107">
        <v>51.0</v>
      </c>
      <c r="B64" s="1" t="str">
        <f t="array" ref="B64">IF(I64,IF(J64,INDEX(PossibleEncountersRegioned!$C$2:$C886,RANDBETWEEN(1,COUNTA(PossibleEncountersRegioned!$C$2:$C886)+1)),INDEX(PossibleEncountersRegioned!$B$2:$B886,RANDBETWEEN(1,COUNTA(PossibleEncountersRegioned!$B$2:$B886)+1))),IF($D$6&gt;(A64-1), INDEX(PossibleEncountersRegioned!$A$2:$A886,RANDBETWEEN(1,COUNTA(PossibleEncountersRegioned!$A$2:$A886))),""))</f>
        <v/>
      </c>
      <c r="D64" s="1" t="str">
        <f t="shared" si="5"/>
        <v/>
      </c>
      <c r="E64" s="131" t="str">
        <f t="shared" si="6"/>
        <v/>
      </c>
      <c r="F64" s="1" t="str">
        <f t="shared" si="4"/>
        <v/>
      </c>
      <c r="I64" s="1" t="str">
        <f t="shared" si="7"/>
        <v/>
      </c>
      <c r="J64" s="1" t="str">
        <f t="shared" si="8"/>
        <v/>
      </c>
    </row>
    <row r="65">
      <c r="A65" s="107">
        <v>52.0</v>
      </c>
      <c r="B65" s="1" t="str">
        <f t="array" ref="B65">IF(I65,IF(J65,INDEX(PossibleEncountersRegioned!$C$2:$C886,RANDBETWEEN(1,COUNTA(PossibleEncountersRegioned!$C$2:$C886)+1)),INDEX(PossibleEncountersRegioned!$B$2:$B886,RANDBETWEEN(1,COUNTA(PossibleEncountersRegioned!$B$2:$B886)+1))),IF($D$6&gt;(A65-1), INDEX(PossibleEncountersRegioned!$A$2:$A886,RANDBETWEEN(1,COUNTA(PossibleEncountersRegioned!$A$2:$A886))),""))</f>
        <v/>
      </c>
      <c r="D65" s="1" t="str">
        <f t="shared" si="5"/>
        <v/>
      </c>
      <c r="E65" s="131" t="str">
        <f t="shared" si="6"/>
        <v/>
      </c>
      <c r="F65" s="1" t="str">
        <f t="shared" si="4"/>
        <v/>
      </c>
      <c r="I65" s="1" t="str">
        <f t="shared" si="7"/>
        <v/>
      </c>
      <c r="J65" s="1" t="str">
        <f t="shared" si="8"/>
        <v/>
      </c>
    </row>
    <row r="66">
      <c r="A66" s="107">
        <v>53.0</v>
      </c>
      <c r="B66" s="1" t="str">
        <f t="array" ref="B66">IF(I66,IF(J66,INDEX(PossibleEncountersRegioned!$C$2:$C886,RANDBETWEEN(1,COUNTA(PossibleEncountersRegioned!$C$2:$C886)+1)),INDEX(PossibleEncountersRegioned!$B$2:$B886,RANDBETWEEN(1,COUNTA(PossibleEncountersRegioned!$B$2:$B886)+1))),IF($D$6&gt;(A66-1), INDEX(PossibleEncountersRegioned!$A$2:$A886,RANDBETWEEN(1,COUNTA(PossibleEncountersRegioned!$A$2:$A886))),""))</f>
        <v/>
      </c>
      <c r="D66" s="1" t="str">
        <f t="shared" si="5"/>
        <v/>
      </c>
      <c r="E66" s="131" t="str">
        <f t="shared" si="6"/>
        <v/>
      </c>
      <c r="F66" s="1" t="str">
        <f t="shared" si="4"/>
        <v/>
      </c>
      <c r="I66" s="1" t="str">
        <f t="shared" si="7"/>
        <v/>
      </c>
      <c r="J66" s="1" t="str">
        <f t="shared" si="8"/>
        <v/>
      </c>
    </row>
    <row r="67">
      <c r="A67" s="107">
        <v>54.0</v>
      </c>
      <c r="B67" s="1" t="str">
        <f t="array" ref="B67">IF(I67,IF(J67,INDEX(PossibleEncountersRegioned!$C$2:$C886,RANDBETWEEN(1,COUNTA(PossibleEncountersRegioned!$C$2:$C886)+1)),INDEX(PossibleEncountersRegioned!$B$2:$B886,RANDBETWEEN(1,COUNTA(PossibleEncountersRegioned!$B$2:$B886)+1))),IF($D$6&gt;(A67-1), INDEX(PossibleEncountersRegioned!$A$2:$A886,RANDBETWEEN(1,COUNTA(PossibleEncountersRegioned!$A$2:$A886))),""))</f>
        <v/>
      </c>
      <c r="D67" s="1" t="str">
        <f t="shared" si="5"/>
        <v/>
      </c>
      <c r="E67" s="131" t="str">
        <f t="shared" si="6"/>
        <v/>
      </c>
      <c r="F67" s="1" t="str">
        <f t="shared" si="4"/>
        <v/>
      </c>
      <c r="I67" s="1" t="str">
        <f t="shared" si="7"/>
        <v/>
      </c>
      <c r="J67" s="1" t="str">
        <f t="shared" si="8"/>
        <v/>
      </c>
    </row>
    <row r="68">
      <c r="A68" s="107">
        <v>55.0</v>
      </c>
      <c r="B68" s="1" t="str">
        <f t="array" ref="B68">IF(I68,IF(J68,INDEX(PossibleEncountersRegioned!$C$2:$C886,RANDBETWEEN(1,COUNTA(PossibleEncountersRegioned!$C$2:$C886)+1)),INDEX(PossibleEncountersRegioned!$B$2:$B886,RANDBETWEEN(1,COUNTA(PossibleEncountersRegioned!$B$2:$B886)+1))),IF($D$6&gt;(A68-1), INDEX(PossibleEncountersRegioned!$A$2:$A886,RANDBETWEEN(1,COUNTA(PossibleEncountersRegioned!$A$2:$A886))),""))</f>
        <v/>
      </c>
      <c r="D68" s="1" t="str">
        <f t="shared" si="5"/>
        <v/>
      </c>
      <c r="E68" s="131" t="str">
        <f t="shared" si="6"/>
        <v/>
      </c>
      <c r="F68" s="1" t="str">
        <f t="shared" si="4"/>
        <v/>
      </c>
      <c r="I68" s="1" t="str">
        <f t="shared" si="7"/>
        <v/>
      </c>
      <c r="J68" s="1" t="str">
        <f t="shared" si="8"/>
        <v/>
      </c>
    </row>
    <row r="69">
      <c r="A69" s="107">
        <v>56.0</v>
      </c>
      <c r="B69" s="1" t="str">
        <f t="array" ref="B69">IF(I69,IF(J69,INDEX(PossibleEncountersRegioned!$C$2:$C886,RANDBETWEEN(1,COUNTA(PossibleEncountersRegioned!$C$2:$C886)+1)),INDEX(PossibleEncountersRegioned!$B$2:$B886,RANDBETWEEN(1,COUNTA(PossibleEncountersRegioned!$B$2:$B886)+1))),IF($D$6&gt;(A69-1), INDEX(PossibleEncountersRegioned!$A$2:$A886,RANDBETWEEN(1,COUNTA(PossibleEncountersRegioned!$A$2:$A886))),""))</f>
        <v/>
      </c>
      <c r="D69" s="1" t="str">
        <f t="shared" si="5"/>
        <v/>
      </c>
      <c r="E69" s="131" t="str">
        <f t="shared" si="6"/>
        <v/>
      </c>
      <c r="F69" s="1" t="str">
        <f t="shared" si="4"/>
        <v/>
      </c>
      <c r="I69" s="1" t="str">
        <f t="shared" si="7"/>
        <v/>
      </c>
      <c r="J69" s="1" t="str">
        <f t="shared" si="8"/>
        <v/>
      </c>
    </row>
    <row r="70">
      <c r="A70" s="107">
        <v>57.0</v>
      </c>
      <c r="B70" s="1" t="str">
        <f t="array" ref="B70">IF(I70,IF(J70,INDEX(PossibleEncountersRegioned!$C$2:$C886,RANDBETWEEN(1,COUNTA(PossibleEncountersRegioned!$C$2:$C886)+1)),INDEX(PossibleEncountersRegioned!$B$2:$B886,RANDBETWEEN(1,COUNTA(PossibleEncountersRegioned!$B$2:$B886)+1))),IF($D$6&gt;(A70-1), INDEX(PossibleEncountersRegioned!$A$2:$A886,RANDBETWEEN(1,COUNTA(PossibleEncountersRegioned!$A$2:$A886))),""))</f>
        <v/>
      </c>
      <c r="D70" s="1" t="str">
        <f t="shared" si="5"/>
        <v/>
      </c>
      <c r="E70" s="131" t="str">
        <f t="shared" si="6"/>
        <v/>
      </c>
      <c r="F70" s="1" t="str">
        <f t="shared" si="4"/>
        <v/>
      </c>
      <c r="I70" s="1" t="str">
        <f t="shared" si="7"/>
        <v/>
      </c>
      <c r="J70" s="1" t="str">
        <f t="shared" si="8"/>
        <v/>
      </c>
    </row>
    <row r="71">
      <c r="A71" s="107">
        <v>58.0</v>
      </c>
      <c r="B71" s="1" t="str">
        <f t="array" ref="B71">IF(I71,IF(J71,INDEX(PossibleEncountersRegioned!$C$2:$C886,RANDBETWEEN(1,COUNTA(PossibleEncountersRegioned!$C$2:$C886)+1)),INDEX(PossibleEncountersRegioned!$B$2:$B886,RANDBETWEEN(1,COUNTA(PossibleEncountersRegioned!$B$2:$B886)+1))),IF($D$6&gt;(A71-1), INDEX(PossibleEncountersRegioned!$A$2:$A886,RANDBETWEEN(1,COUNTA(PossibleEncountersRegioned!$A$2:$A886))),""))</f>
        <v/>
      </c>
      <c r="D71" s="1" t="str">
        <f t="shared" si="5"/>
        <v/>
      </c>
      <c r="E71" s="131" t="str">
        <f t="shared" si="6"/>
        <v/>
      </c>
      <c r="F71" s="1" t="str">
        <f t="shared" si="4"/>
        <v/>
      </c>
      <c r="I71" s="1" t="str">
        <f t="shared" si="7"/>
        <v/>
      </c>
      <c r="J71" s="1" t="str">
        <f t="shared" si="8"/>
        <v/>
      </c>
    </row>
    <row r="72">
      <c r="A72" s="107">
        <v>59.0</v>
      </c>
      <c r="B72" s="1" t="str">
        <f t="array" ref="B72">IF(I72,IF(J72,INDEX(PossibleEncountersRegioned!$C$2:$C886,RANDBETWEEN(1,COUNTA(PossibleEncountersRegioned!$C$2:$C886)+1)),INDEX(PossibleEncountersRegioned!$B$2:$B886,RANDBETWEEN(1,COUNTA(PossibleEncountersRegioned!$B$2:$B886)+1))),IF($D$6&gt;(A72-1), INDEX(PossibleEncountersRegioned!$A$2:$A886,RANDBETWEEN(1,COUNTA(PossibleEncountersRegioned!$A$2:$A886))),""))</f>
        <v/>
      </c>
      <c r="D72" s="1" t="str">
        <f t="shared" si="5"/>
        <v/>
      </c>
      <c r="E72" s="131" t="str">
        <f t="shared" si="6"/>
        <v/>
      </c>
      <c r="F72" s="1" t="str">
        <f t="shared" si="4"/>
        <v/>
      </c>
      <c r="I72" s="1" t="str">
        <f t="shared" si="7"/>
        <v/>
      </c>
      <c r="J72" s="1" t="str">
        <f t="shared" si="8"/>
        <v/>
      </c>
    </row>
    <row r="73">
      <c r="A73" s="107">
        <v>60.0</v>
      </c>
      <c r="B73" s="1" t="str">
        <f t="array" ref="B73">IF(I73,IF(J73,INDEX(PossibleEncountersRegioned!$C$2:$C886,RANDBETWEEN(1,COUNTA(PossibleEncountersRegioned!$C$2:$C886)+1)),INDEX(PossibleEncountersRegioned!$B$2:$B886,RANDBETWEEN(1,COUNTA(PossibleEncountersRegioned!$B$2:$B886)+1))),IF($D$6&gt;(A73-1), INDEX(PossibleEncountersRegioned!$A$2:$A886,RANDBETWEEN(1,COUNTA(PossibleEncountersRegioned!$A$2:$A886))),""))</f>
        <v/>
      </c>
      <c r="D73" s="1" t="str">
        <f t="shared" si="5"/>
        <v/>
      </c>
      <c r="E73" s="131" t="str">
        <f t="shared" si="6"/>
        <v/>
      </c>
      <c r="F73" s="1" t="str">
        <f t="shared" si="4"/>
        <v/>
      </c>
      <c r="I73" s="1" t="str">
        <f t="shared" si="7"/>
        <v/>
      </c>
      <c r="J73" s="1" t="str">
        <f t="shared" si="8"/>
        <v/>
      </c>
    </row>
    <row r="74">
      <c r="A74" s="107">
        <v>61.0</v>
      </c>
      <c r="B74" s="1" t="str">
        <f t="array" ref="B74">IF(I74,IF(J74,INDEX(PossibleEncountersRegioned!$C$2:$C886,RANDBETWEEN(1,COUNTA(PossibleEncountersRegioned!$C$2:$C886)+1)),INDEX(PossibleEncountersRegioned!$B$2:$B886,RANDBETWEEN(1,COUNTA(PossibleEncountersRegioned!$B$2:$B886)+1))),IF($D$6&gt;(A74-1), INDEX(PossibleEncountersRegioned!$A$2:$A886,RANDBETWEEN(1,COUNTA(PossibleEncountersRegioned!$A$2:$A886))),""))</f>
        <v/>
      </c>
      <c r="D74" s="1" t="str">
        <f t="shared" si="5"/>
        <v/>
      </c>
      <c r="E74" s="131" t="str">
        <f t="shared" si="6"/>
        <v/>
      </c>
      <c r="F74" s="1" t="str">
        <f t="shared" si="4"/>
        <v/>
      </c>
      <c r="I74" s="1" t="str">
        <f t="shared" si="7"/>
        <v/>
      </c>
      <c r="J74" s="1" t="str">
        <f t="shared" si="8"/>
        <v/>
      </c>
    </row>
    <row r="75">
      <c r="A75" s="107">
        <v>62.0</v>
      </c>
      <c r="B75" s="1" t="str">
        <f t="array" ref="B75">IF(I75,IF(J75,INDEX(PossibleEncountersRegioned!$C$2:$C886,RANDBETWEEN(1,COUNTA(PossibleEncountersRegioned!$C$2:$C886)+1)),INDEX(PossibleEncountersRegioned!$B$2:$B886,RANDBETWEEN(1,COUNTA(PossibleEncountersRegioned!$B$2:$B886)+1))),IF($D$6&gt;(A75-1), INDEX(PossibleEncountersRegioned!$A$2:$A886,RANDBETWEEN(1,COUNTA(PossibleEncountersRegioned!$A$2:$A886))),""))</f>
        <v/>
      </c>
      <c r="D75" s="1" t="str">
        <f t="shared" si="5"/>
        <v/>
      </c>
      <c r="E75" s="131" t="str">
        <f t="shared" si="6"/>
        <v/>
      </c>
      <c r="F75" s="1" t="str">
        <f t="shared" si="4"/>
        <v/>
      </c>
      <c r="I75" s="1" t="str">
        <f t="shared" si="7"/>
        <v/>
      </c>
      <c r="J75" s="1" t="str">
        <f t="shared" si="8"/>
        <v/>
      </c>
    </row>
    <row r="76">
      <c r="A76" s="107">
        <v>63.0</v>
      </c>
      <c r="B76" s="1" t="str">
        <f t="array" ref="B76">IF(I76,IF(J76,INDEX(PossibleEncountersRegioned!$C$2:$C886,RANDBETWEEN(1,COUNTA(PossibleEncountersRegioned!$C$2:$C886)+1)),INDEX(PossibleEncountersRegioned!$B$2:$B886,RANDBETWEEN(1,COUNTA(PossibleEncountersRegioned!$B$2:$B886)+1))),IF($D$6&gt;(A76-1), INDEX(PossibleEncountersRegioned!$A$2:$A886,RANDBETWEEN(1,COUNTA(PossibleEncountersRegioned!$A$2:$A886))),""))</f>
        <v/>
      </c>
      <c r="D76" s="1" t="str">
        <f t="shared" si="5"/>
        <v/>
      </c>
      <c r="E76" s="131" t="str">
        <f t="shared" si="6"/>
        <v/>
      </c>
      <c r="F76" s="1" t="str">
        <f t="shared" si="4"/>
        <v/>
      </c>
      <c r="I76" s="1" t="str">
        <f t="shared" si="7"/>
        <v/>
      </c>
      <c r="J76" s="1" t="str">
        <f t="shared" si="8"/>
        <v/>
      </c>
    </row>
    <row r="77">
      <c r="A77" s="107">
        <v>64.0</v>
      </c>
      <c r="B77" s="1" t="str">
        <f t="array" ref="B77">IF(I77,IF(J77,INDEX(PossibleEncountersRegioned!$C$2:$C886,RANDBETWEEN(1,COUNTA(PossibleEncountersRegioned!$C$2:$C886)+1)),INDEX(PossibleEncountersRegioned!$B$2:$B886,RANDBETWEEN(1,COUNTA(PossibleEncountersRegioned!$B$2:$B886)+1))),IF($D$6&gt;(A77-1), INDEX(PossibleEncountersRegioned!$A$2:$A886,RANDBETWEEN(1,COUNTA(PossibleEncountersRegioned!$A$2:$A886))),""))</f>
        <v/>
      </c>
      <c r="D77" s="1" t="str">
        <f t="shared" si="5"/>
        <v/>
      </c>
      <c r="E77" s="131" t="str">
        <f t="shared" si="6"/>
        <v/>
      </c>
      <c r="F77" s="1" t="str">
        <f t="shared" si="4"/>
        <v/>
      </c>
      <c r="I77" s="1" t="str">
        <f t="shared" si="7"/>
        <v/>
      </c>
      <c r="J77" s="1" t="str">
        <f t="shared" si="8"/>
        <v/>
      </c>
    </row>
    <row r="78">
      <c r="A78" s="107">
        <v>65.0</v>
      </c>
      <c r="B78" s="1" t="str">
        <f t="array" ref="B78">IF(I78,IF(J78,INDEX(PossibleEncountersRegioned!$C$2:$C886,RANDBETWEEN(1,COUNTA(PossibleEncountersRegioned!$C$2:$C886)+1)),INDEX(PossibleEncountersRegioned!$B$2:$B886,RANDBETWEEN(1,COUNTA(PossibleEncountersRegioned!$B$2:$B886)+1))),IF($D$6&gt;(A78-1), INDEX(PossibleEncountersRegioned!$A$2:$A886,RANDBETWEEN(1,COUNTA(PossibleEncountersRegioned!$A$2:$A886))),""))</f>
        <v/>
      </c>
      <c r="D78" s="1" t="str">
        <f t="shared" si="5"/>
        <v/>
      </c>
      <c r="E78" s="131" t="str">
        <f t="shared" si="6"/>
        <v/>
      </c>
      <c r="F78" s="1" t="str">
        <f t="shared" si="4"/>
        <v/>
      </c>
      <c r="I78" s="1" t="str">
        <f t="shared" si="7"/>
        <v/>
      </c>
      <c r="J78" s="1" t="str">
        <f t="shared" si="8"/>
        <v/>
      </c>
    </row>
    <row r="79">
      <c r="A79" s="107">
        <v>66.0</v>
      </c>
      <c r="B79" s="1" t="str">
        <f t="array" ref="B79">IF(I79,IF(J79,INDEX(PossibleEncountersRegioned!$C$2:$C886,RANDBETWEEN(1,COUNTA(PossibleEncountersRegioned!$C$2:$C886)+1)),INDEX(PossibleEncountersRegioned!$B$2:$B886,RANDBETWEEN(1,COUNTA(PossibleEncountersRegioned!$B$2:$B886)+1))),IF($D$6&gt;(A79-1), INDEX(PossibleEncountersRegioned!$A$2:$A886,RANDBETWEEN(1,COUNTA(PossibleEncountersRegioned!$A$2:$A886))),""))</f>
        <v/>
      </c>
      <c r="D79" s="1" t="str">
        <f t="shared" si="5"/>
        <v/>
      </c>
      <c r="E79" s="131" t="str">
        <f t="shared" si="6"/>
        <v/>
      </c>
      <c r="F79" s="1" t="str">
        <f t="shared" si="4"/>
        <v/>
      </c>
      <c r="I79" s="1" t="str">
        <f t="shared" si="7"/>
        <v/>
      </c>
      <c r="J79" s="1" t="str">
        <f t="shared" si="8"/>
        <v/>
      </c>
    </row>
    <row r="80">
      <c r="A80" s="107">
        <v>67.0</v>
      </c>
      <c r="B80" s="1" t="str">
        <f t="array" ref="B80">IF(I80,IF(J80,INDEX(PossibleEncountersRegioned!$C$2:$C886,RANDBETWEEN(1,COUNTA(PossibleEncountersRegioned!$C$2:$C886)+1)),INDEX(PossibleEncountersRegioned!$B$2:$B886,RANDBETWEEN(1,COUNTA(PossibleEncountersRegioned!$B$2:$B886)+1))),IF($D$6&gt;(A80-1), INDEX(PossibleEncountersRegioned!$A$2:$A886,RANDBETWEEN(1,COUNTA(PossibleEncountersRegioned!$A$2:$A886))),""))</f>
        <v/>
      </c>
      <c r="D80" s="1" t="str">
        <f t="shared" si="5"/>
        <v/>
      </c>
      <c r="E80" s="131" t="str">
        <f t="shared" si="6"/>
        <v/>
      </c>
      <c r="F80" s="1" t="str">
        <f t="shared" si="4"/>
        <v/>
      </c>
      <c r="I80" s="1" t="str">
        <f t="shared" si="7"/>
        <v/>
      </c>
      <c r="J80" s="1" t="str">
        <f t="shared" si="8"/>
        <v/>
      </c>
    </row>
    <row r="81">
      <c r="A81" s="107">
        <v>68.0</v>
      </c>
      <c r="B81" s="1" t="str">
        <f t="array" ref="B81">IF(I81,IF(J81,INDEX(PossibleEncountersRegioned!$C$2:$C886,RANDBETWEEN(1,COUNTA(PossibleEncountersRegioned!$C$2:$C886)+1)),INDEX(PossibleEncountersRegioned!$B$2:$B886,RANDBETWEEN(1,COUNTA(PossibleEncountersRegioned!$B$2:$B886)+1))),IF($D$6&gt;(A81-1), INDEX(PossibleEncountersRegioned!$A$2:$A886,RANDBETWEEN(1,COUNTA(PossibleEncountersRegioned!$A$2:$A886))),""))</f>
        <v/>
      </c>
      <c r="D81" s="1" t="str">
        <f t="shared" si="5"/>
        <v/>
      </c>
      <c r="E81" s="131" t="str">
        <f t="shared" si="6"/>
        <v/>
      </c>
      <c r="F81" s="1" t="str">
        <f t="shared" si="4"/>
        <v/>
      </c>
      <c r="I81" s="1" t="str">
        <f t="shared" si="7"/>
        <v/>
      </c>
      <c r="J81" s="1" t="str">
        <f t="shared" si="8"/>
        <v/>
      </c>
    </row>
    <row r="82">
      <c r="A82" s="107">
        <v>69.0</v>
      </c>
      <c r="B82" s="1" t="str">
        <f t="array" ref="B82">IF(I82,IF(J82,INDEX(PossibleEncountersRegioned!$C$2:$C886,RANDBETWEEN(1,COUNTA(PossibleEncountersRegioned!$C$2:$C886)+1)),INDEX(PossibleEncountersRegioned!$B$2:$B886,RANDBETWEEN(1,COUNTA(PossibleEncountersRegioned!$B$2:$B886)+1))),IF($D$6&gt;(A82-1), INDEX(PossibleEncountersRegioned!$A$2:$A886,RANDBETWEEN(1,COUNTA(PossibleEncountersRegioned!$A$2:$A886))),""))</f>
        <v/>
      </c>
      <c r="D82" s="1" t="str">
        <f t="shared" si="5"/>
        <v/>
      </c>
      <c r="E82" s="131" t="str">
        <f t="shared" si="6"/>
        <v/>
      </c>
      <c r="F82" s="1" t="str">
        <f t="shared" si="4"/>
        <v/>
      </c>
      <c r="I82" s="1" t="str">
        <f t="shared" si="7"/>
        <v/>
      </c>
      <c r="J82" s="1" t="str">
        <f t="shared" si="8"/>
        <v/>
      </c>
    </row>
    <row r="83">
      <c r="A83" s="107">
        <v>70.0</v>
      </c>
      <c r="B83" s="1" t="str">
        <f t="array" ref="B83">IF(I83,IF(J83,INDEX(PossibleEncountersRegioned!$C$2:$C886,RANDBETWEEN(1,COUNTA(PossibleEncountersRegioned!$C$2:$C886)+1)),INDEX(PossibleEncountersRegioned!$B$2:$B886,RANDBETWEEN(1,COUNTA(PossibleEncountersRegioned!$B$2:$B886)+1))),IF($D$6&gt;(A83-1), INDEX(PossibleEncountersRegioned!$A$2:$A886,RANDBETWEEN(1,COUNTA(PossibleEncountersRegioned!$A$2:$A886))),""))</f>
        <v/>
      </c>
      <c r="D83" s="1" t="str">
        <f t="shared" si="5"/>
        <v/>
      </c>
      <c r="E83" s="131" t="str">
        <f t="shared" si="6"/>
        <v/>
      </c>
      <c r="F83" s="1" t="str">
        <f t="shared" si="4"/>
        <v/>
      </c>
      <c r="I83" s="1" t="str">
        <f t="shared" si="7"/>
        <v/>
      </c>
      <c r="J83" s="1" t="str">
        <f t="shared" si="8"/>
        <v/>
      </c>
    </row>
    <row r="84">
      <c r="A84" s="107">
        <v>71.0</v>
      </c>
      <c r="B84" s="1" t="str">
        <f t="array" ref="B84">IF(I84,IF(J84,INDEX(PossibleEncountersRegioned!$C$2:$C886,RANDBETWEEN(1,COUNTA(PossibleEncountersRegioned!$C$2:$C886)+1)),INDEX(PossibleEncountersRegioned!$B$2:$B886,RANDBETWEEN(1,COUNTA(PossibleEncountersRegioned!$B$2:$B886)+1))),IF($D$6&gt;(A84-1), INDEX(PossibleEncountersRegioned!$A$2:$A886,RANDBETWEEN(1,COUNTA(PossibleEncountersRegioned!$A$2:$A886))),""))</f>
        <v/>
      </c>
      <c r="D84" s="1" t="str">
        <f t="shared" si="5"/>
        <v/>
      </c>
      <c r="E84" s="131" t="str">
        <f t="shared" si="6"/>
        <v/>
      </c>
      <c r="F84" s="1" t="str">
        <f t="shared" si="4"/>
        <v/>
      </c>
      <c r="I84" s="1" t="str">
        <f t="shared" si="7"/>
        <v/>
      </c>
      <c r="J84" s="1" t="str">
        <f t="shared" si="8"/>
        <v/>
      </c>
    </row>
    <row r="85">
      <c r="A85" s="107">
        <v>72.0</v>
      </c>
      <c r="B85" s="1" t="str">
        <f t="array" ref="B85">IF(I85,IF(J85,INDEX(PossibleEncountersRegioned!$C$2:$C886,RANDBETWEEN(1,COUNTA(PossibleEncountersRegioned!$C$2:$C886)+1)),INDEX(PossibleEncountersRegioned!$B$2:$B886,RANDBETWEEN(1,COUNTA(PossibleEncountersRegioned!$B$2:$B886)+1))),IF($D$6&gt;(A85-1), INDEX(PossibleEncountersRegioned!$A$2:$A886,RANDBETWEEN(1,COUNTA(PossibleEncountersRegioned!$A$2:$A886))),""))</f>
        <v/>
      </c>
      <c r="D85" s="1" t="str">
        <f t="shared" si="5"/>
        <v/>
      </c>
      <c r="E85" s="131" t="str">
        <f t="shared" si="6"/>
        <v/>
      </c>
      <c r="F85" s="1" t="str">
        <f t="shared" si="4"/>
        <v/>
      </c>
      <c r="I85" s="1" t="str">
        <f t="shared" si="7"/>
        <v/>
      </c>
      <c r="J85" s="1" t="str">
        <f t="shared" si="8"/>
        <v/>
      </c>
    </row>
    <row r="86">
      <c r="A86" s="107">
        <v>73.0</v>
      </c>
      <c r="B86" s="1" t="str">
        <f t="array" ref="B86">IF(I86,IF(J86,INDEX(PossibleEncountersRegioned!$C$2:$C886,RANDBETWEEN(1,COUNTA(PossibleEncountersRegioned!$C$2:$C886)+1)),INDEX(PossibleEncountersRegioned!$B$2:$B886,RANDBETWEEN(1,COUNTA(PossibleEncountersRegioned!$B$2:$B886)+1))),IF($D$6&gt;(A86-1), INDEX(PossibleEncountersRegioned!$A$2:$A886,RANDBETWEEN(1,COUNTA(PossibleEncountersRegioned!$A$2:$A886))),""))</f>
        <v/>
      </c>
      <c r="D86" s="1" t="str">
        <f t="shared" si="5"/>
        <v/>
      </c>
      <c r="E86" s="131" t="str">
        <f t="shared" si="6"/>
        <v/>
      </c>
      <c r="F86" s="1" t="str">
        <f t="shared" si="4"/>
        <v/>
      </c>
      <c r="I86" s="1" t="str">
        <f t="shared" si="7"/>
        <v/>
      </c>
      <c r="J86" s="1" t="str">
        <f t="shared" si="8"/>
        <v/>
      </c>
    </row>
    <row r="87">
      <c r="A87" s="107">
        <v>74.0</v>
      </c>
      <c r="B87" s="1" t="str">
        <f t="array" ref="B87">IF(I87,IF(J87,INDEX(PossibleEncountersRegioned!$C$2:$C886,RANDBETWEEN(1,COUNTA(PossibleEncountersRegioned!$C$2:$C886)+1)),INDEX(PossibleEncountersRegioned!$B$2:$B886,RANDBETWEEN(1,COUNTA(PossibleEncountersRegioned!$B$2:$B886)+1))),IF($D$6&gt;(A87-1), INDEX(PossibleEncountersRegioned!$A$2:$A886,RANDBETWEEN(1,COUNTA(PossibleEncountersRegioned!$A$2:$A886))),""))</f>
        <v/>
      </c>
      <c r="D87" s="1" t="str">
        <f t="shared" si="5"/>
        <v/>
      </c>
      <c r="E87" s="131" t="str">
        <f t="shared" si="6"/>
        <v/>
      </c>
      <c r="F87" s="1" t="str">
        <f t="shared" si="4"/>
        <v/>
      </c>
      <c r="I87" s="1" t="str">
        <f t="shared" si="7"/>
        <v/>
      </c>
      <c r="J87" s="1" t="str">
        <f t="shared" si="8"/>
        <v/>
      </c>
    </row>
    <row r="88">
      <c r="A88" s="107">
        <v>75.0</v>
      </c>
      <c r="B88" s="1" t="str">
        <f t="array" ref="B88">IF(I88,IF(J88,INDEX(PossibleEncountersRegioned!$C$2:$C886,RANDBETWEEN(1,COUNTA(PossibleEncountersRegioned!$C$2:$C886)+1)),INDEX(PossibleEncountersRegioned!$B$2:$B886,RANDBETWEEN(1,COUNTA(PossibleEncountersRegioned!$B$2:$B886)+1))),IF($D$6&gt;(A88-1), INDEX(PossibleEncountersRegioned!$A$2:$A886,RANDBETWEEN(1,COUNTA(PossibleEncountersRegioned!$A$2:$A886))),""))</f>
        <v/>
      </c>
      <c r="D88" s="1" t="str">
        <f t="shared" si="5"/>
        <v/>
      </c>
      <c r="E88" s="131" t="str">
        <f t="shared" si="6"/>
        <v/>
      </c>
      <c r="F88" s="1" t="str">
        <f t="shared" si="4"/>
        <v/>
      </c>
      <c r="I88" s="1" t="str">
        <f t="shared" si="7"/>
        <v/>
      </c>
      <c r="J88" s="1" t="str">
        <f t="shared" si="8"/>
        <v/>
      </c>
    </row>
    <row r="89">
      <c r="A89" s="107">
        <v>76.0</v>
      </c>
      <c r="B89" s="1" t="str">
        <f t="array" ref="B89">IF(I89,IF(J89,INDEX(PossibleEncountersRegioned!$C$2:$C886,RANDBETWEEN(1,COUNTA(PossibleEncountersRegioned!$C$2:$C886)+1)),INDEX(PossibleEncountersRegioned!$B$2:$B886,RANDBETWEEN(1,COUNTA(PossibleEncountersRegioned!$B$2:$B886)+1))),IF($D$6&gt;(A89-1), INDEX(PossibleEncountersRegioned!$A$2:$A886,RANDBETWEEN(1,COUNTA(PossibleEncountersRegioned!$A$2:$A886))),""))</f>
        <v/>
      </c>
      <c r="D89" s="1" t="str">
        <f t="shared" si="5"/>
        <v/>
      </c>
      <c r="E89" s="131" t="str">
        <f t="shared" si="6"/>
        <v/>
      </c>
      <c r="F89" s="1" t="str">
        <f t="shared" si="4"/>
        <v/>
      </c>
      <c r="I89" s="1" t="str">
        <f t="shared" si="7"/>
        <v/>
      </c>
      <c r="J89" s="1" t="str">
        <f t="shared" si="8"/>
        <v/>
      </c>
    </row>
    <row r="90">
      <c r="A90" s="107">
        <v>77.0</v>
      </c>
      <c r="B90" s="1" t="str">
        <f t="array" ref="B90">IF(I90,IF(J90,INDEX(PossibleEncountersRegioned!$C$2:$C886,RANDBETWEEN(1,COUNTA(PossibleEncountersRegioned!$C$2:$C886)+1)),INDEX(PossibleEncountersRegioned!$B$2:$B886,RANDBETWEEN(1,COUNTA(PossibleEncountersRegioned!$B$2:$B886)+1))),IF($D$6&gt;(A90-1), INDEX(PossibleEncountersRegioned!$A$2:$A886,RANDBETWEEN(1,COUNTA(PossibleEncountersRegioned!$A$2:$A886))),""))</f>
        <v/>
      </c>
      <c r="D90" s="1" t="str">
        <f t="shared" si="5"/>
        <v/>
      </c>
      <c r="E90" s="131" t="str">
        <f t="shared" si="6"/>
        <v/>
      </c>
      <c r="F90" s="1" t="str">
        <f t="shared" si="4"/>
        <v/>
      </c>
      <c r="I90" s="1" t="str">
        <f t="shared" si="7"/>
        <v/>
      </c>
      <c r="J90" s="1" t="str">
        <f t="shared" si="8"/>
        <v/>
      </c>
    </row>
    <row r="91">
      <c r="A91" s="107">
        <v>78.0</v>
      </c>
      <c r="B91" s="1" t="str">
        <f t="array" ref="B91">IF(I91,IF(J91,INDEX(PossibleEncountersRegioned!$C$2:$C886,RANDBETWEEN(1,COUNTA(PossibleEncountersRegioned!$C$2:$C886)+1)),INDEX(PossibleEncountersRegioned!$B$2:$B886,RANDBETWEEN(1,COUNTA(PossibleEncountersRegioned!$B$2:$B886)+1))),IF($D$6&gt;(A91-1), INDEX(PossibleEncountersRegioned!$A$2:$A886,RANDBETWEEN(1,COUNTA(PossibleEncountersRegioned!$A$2:$A886))),""))</f>
        <v/>
      </c>
      <c r="D91" s="1" t="str">
        <f t="shared" si="5"/>
        <v/>
      </c>
      <c r="E91" s="131" t="str">
        <f t="shared" si="6"/>
        <v/>
      </c>
      <c r="F91" s="1" t="str">
        <f t="shared" si="4"/>
        <v/>
      </c>
      <c r="I91" s="1" t="str">
        <f t="shared" si="7"/>
        <v/>
      </c>
      <c r="J91" s="1" t="str">
        <f t="shared" si="8"/>
        <v/>
      </c>
    </row>
    <row r="92">
      <c r="A92" s="107">
        <v>79.0</v>
      </c>
      <c r="B92" s="1" t="str">
        <f t="array" ref="B92">IF(I92,IF(J92,INDEX(PossibleEncountersRegioned!$C$2:$C886,RANDBETWEEN(1,COUNTA(PossibleEncountersRegioned!$C$2:$C886)+1)),INDEX(PossibleEncountersRegioned!$B$2:$B886,RANDBETWEEN(1,COUNTA(PossibleEncountersRegioned!$B$2:$B886)+1))),IF($D$6&gt;(A92-1), INDEX(PossibleEncountersRegioned!$A$2:$A886,RANDBETWEEN(1,COUNTA(PossibleEncountersRegioned!$A$2:$A886))),""))</f>
        <v/>
      </c>
      <c r="D92" s="1" t="str">
        <f t="shared" si="5"/>
        <v/>
      </c>
      <c r="E92" s="131" t="str">
        <f t="shared" si="6"/>
        <v/>
      </c>
      <c r="F92" s="1" t="str">
        <f t="shared" si="4"/>
        <v/>
      </c>
      <c r="I92" s="1" t="str">
        <f t="shared" si="7"/>
        <v/>
      </c>
      <c r="J92" s="1" t="str">
        <f t="shared" si="8"/>
        <v/>
      </c>
    </row>
    <row r="93">
      <c r="A93" s="107">
        <v>80.0</v>
      </c>
      <c r="B93" s="1" t="str">
        <f t="array" ref="B93">IF(I93,IF(J93,INDEX(PossibleEncountersRegioned!$C$2:$C886,RANDBETWEEN(1,COUNTA(PossibleEncountersRegioned!$C$2:$C886)+1)),INDEX(PossibleEncountersRegioned!$B$2:$B886,RANDBETWEEN(1,COUNTA(PossibleEncountersRegioned!$B$2:$B886)+1))),IF($D$6&gt;(A93-1), INDEX(PossibleEncountersRegioned!$A$2:$A886,RANDBETWEEN(1,COUNTA(PossibleEncountersRegioned!$A$2:$A886))),""))</f>
        <v/>
      </c>
      <c r="D93" s="1" t="str">
        <f t="shared" si="5"/>
        <v/>
      </c>
      <c r="E93" s="131" t="str">
        <f t="shared" si="6"/>
        <v/>
      </c>
      <c r="F93" s="1" t="str">
        <f t="shared" si="4"/>
        <v/>
      </c>
      <c r="I93" s="1" t="str">
        <f t="shared" si="7"/>
        <v/>
      </c>
      <c r="J93" s="1" t="str">
        <f t="shared" si="8"/>
        <v/>
      </c>
    </row>
    <row r="94">
      <c r="A94" s="107">
        <v>81.0</v>
      </c>
      <c r="B94" s="1" t="str">
        <f t="array" ref="B94">IF(I94,IF(J94,INDEX(PossibleEncountersRegioned!$C$2:$C886,RANDBETWEEN(1,COUNTA(PossibleEncountersRegioned!$C$2:$C886)+1)),INDEX(PossibleEncountersRegioned!$B$2:$B886,RANDBETWEEN(1,COUNTA(PossibleEncountersRegioned!$B$2:$B886)+1))),IF($D$6&gt;(A94-1), INDEX(PossibleEncountersRegioned!$A$2:$A886,RANDBETWEEN(1,COUNTA(PossibleEncountersRegioned!$A$2:$A886))),""))</f>
        <v/>
      </c>
      <c r="D94" s="1" t="str">
        <f t="shared" si="5"/>
        <v/>
      </c>
      <c r="E94" s="131" t="str">
        <f t="shared" si="6"/>
        <v/>
      </c>
      <c r="F94" s="1" t="str">
        <f t="shared" si="4"/>
        <v/>
      </c>
      <c r="I94" s="1" t="str">
        <f t="shared" si="7"/>
        <v/>
      </c>
      <c r="J94" s="1" t="str">
        <f t="shared" si="8"/>
        <v/>
      </c>
    </row>
    <row r="95">
      <c r="A95" s="107">
        <v>82.0</v>
      </c>
      <c r="B95" s="1" t="str">
        <f t="array" ref="B95">IF(I95,IF(J95,INDEX(PossibleEncountersRegioned!$C$2:$C886,RANDBETWEEN(1,COUNTA(PossibleEncountersRegioned!$C$2:$C886)+1)),INDEX(PossibleEncountersRegioned!$B$2:$B886,RANDBETWEEN(1,COUNTA(PossibleEncountersRegioned!$B$2:$B886)+1))),IF($D$6&gt;(A95-1), INDEX(PossibleEncountersRegioned!$A$2:$A886,RANDBETWEEN(1,COUNTA(PossibleEncountersRegioned!$A$2:$A886))),""))</f>
        <v/>
      </c>
      <c r="D95" s="1" t="str">
        <f t="shared" si="5"/>
        <v/>
      </c>
      <c r="E95" s="131" t="str">
        <f t="shared" si="6"/>
        <v/>
      </c>
      <c r="F95" s="1" t="str">
        <f t="shared" si="4"/>
        <v/>
      </c>
      <c r="I95" s="1" t="str">
        <f t="shared" si="7"/>
        <v/>
      </c>
      <c r="J95" s="1" t="str">
        <f t="shared" si="8"/>
        <v/>
      </c>
    </row>
    <row r="96">
      <c r="A96" s="107">
        <v>83.0</v>
      </c>
      <c r="B96" s="1" t="str">
        <f t="array" ref="B96">IF(I96,IF(J96,INDEX(PossibleEncountersRegioned!$C$2:$C886,RANDBETWEEN(1,COUNTA(PossibleEncountersRegioned!$C$2:$C886)+1)),INDEX(PossibleEncountersRegioned!$B$2:$B886,RANDBETWEEN(1,COUNTA(PossibleEncountersRegioned!$B$2:$B886)+1))),IF($D$6&gt;(A96-1), INDEX(PossibleEncountersRegioned!$A$2:$A886,RANDBETWEEN(1,COUNTA(PossibleEncountersRegioned!$A$2:$A886))),""))</f>
        <v/>
      </c>
      <c r="D96" s="1" t="str">
        <f t="shared" si="5"/>
        <v/>
      </c>
      <c r="E96" s="131" t="str">
        <f t="shared" si="6"/>
        <v/>
      </c>
      <c r="F96" s="1" t="str">
        <f t="shared" si="4"/>
        <v/>
      </c>
      <c r="I96" s="1" t="str">
        <f t="shared" si="7"/>
        <v/>
      </c>
      <c r="J96" s="1" t="str">
        <f t="shared" si="8"/>
        <v/>
      </c>
    </row>
    <row r="97">
      <c r="A97" s="107">
        <v>84.0</v>
      </c>
      <c r="B97" s="1" t="str">
        <f t="array" ref="B97">IF(I97,IF(J97,INDEX(PossibleEncountersRegioned!$C$2:$C886,RANDBETWEEN(1,COUNTA(PossibleEncountersRegioned!$C$2:$C886)+1)),INDEX(PossibleEncountersRegioned!$B$2:$B886,RANDBETWEEN(1,COUNTA(PossibleEncountersRegioned!$B$2:$B886)+1))),IF($D$6&gt;(A97-1), INDEX(PossibleEncountersRegioned!$A$2:$A886,RANDBETWEEN(1,COUNTA(PossibleEncountersRegioned!$A$2:$A886))),""))</f>
        <v/>
      </c>
      <c r="D97" s="1" t="str">
        <f t="shared" si="5"/>
        <v/>
      </c>
      <c r="E97" s="131" t="str">
        <f t="shared" si="6"/>
        <v/>
      </c>
      <c r="F97" s="1" t="str">
        <f t="shared" si="4"/>
        <v/>
      </c>
      <c r="I97" s="1" t="str">
        <f t="shared" si="7"/>
        <v/>
      </c>
      <c r="J97" s="1" t="str">
        <f t="shared" si="8"/>
        <v/>
      </c>
    </row>
    <row r="98">
      <c r="A98" s="107">
        <v>85.0</v>
      </c>
      <c r="B98" s="1" t="str">
        <f t="array" ref="B98">IF(I98,IF(J98,INDEX(PossibleEncountersRegioned!$C$2:$C886,RANDBETWEEN(1,COUNTA(PossibleEncountersRegioned!$C$2:$C886)+1)),INDEX(PossibleEncountersRegioned!$B$2:$B886,RANDBETWEEN(1,COUNTA(PossibleEncountersRegioned!$B$2:$B886)+1))),IF($D$6&gt;(A98-1), INDEX(PossibleEncountersRegioned!$A$2:$A886,RANDBETWEEN(1,COUNTA(PossibleEncountersRegioned!$A$2:$A886))),""))</f>
        <v/>
      </c>
      <c r="D98" s="1" t="str">
        <f t="shared" si="5"/>
        <v/>
      </c>
      <c r="E98" s="131" t="str">
        <f t="shared" si="6"/>
        <v/>
      </c>
      <c r="F98" s="1" t="str">
        <f t="shared" si="4"/>
        <v/>
      </c>
      <c r="I98" s="1" t="str">
        <f t="shared" si="7"/>
        <v/>
      </c>
      <c r="J98" s="1" t="str">
        <f t="shared" si="8"/>
        <v/>
      </c>
    </row>
    <row r="99">
      <c r="A99" s="107">
        <v>86.0</v>
      </c>
      <c r="B99" s="1" t="str">
        <f t="array" ref="B99">IF(I99,IF(J99,INDEX(PossibleEncountersRegioned!$C$2:$C886,RANDBETWEEN(1,COUNTA(PossibleEncountersRegioned!$C$2:$C886)+1)),INDEX(PossibleEncountersRegioned!$B$2:$B886,RANDBETWEEN(1,COUNTA(PossibleEncountersRegioned!$B$2:$B886)+1))),IF($D$6&gt;(A99-1), INDEX(PossibleEncountersRegioned!$A$2:$A886,RANDBETWEEN(1,COUNTA(PossibleEncountersRegioned!$A$2:$A886))),""))</f>
        <v/>
      </c>
      <c r="D99" s="1" t="str">
        <f t="shared" si="5"/>
        <v/>
      </c>
      <c r="E99" s="131" t="str">
        <f t="shared" si="6"/>
        <v/>
      </c>
      <c r="F99" s="1" t="str">
        <f t="shared" si="4"/>
        <v/>
      </c>
      <c r="I99" s="1" t="str">
        <f t="shared" si="7"/>
        <v/>
      </c>
      <c r="J99" s="1" t="str">
        <f t="shared" si="8"/>
        <v/>
      </c>
    </row>
    <row r="100">
      <c r="A100" s="107">
        <v>87.0</v>
      </c>
      <c r="B100" s="1" t="str">
        <f t="array" ref="B100">IF(I100,IF(J100,INDEX(PossibleEncountersRegioned!$C$2:$C886,RANDBETWEEN(1,COUNTA(PossibleEncountersRegioned!$C$2:$C886)+1)),INDEX(PossibleEncountersRegioned!$B$2:$B886,RANDBETWEEN(1,COUNTA(PossibleEncountersRegioned!$B$2:$B886)+1))),IF($D$6&gt;(A100-1), INDEX(PossibleEncountersRegioned!$A$2:$A886,RANDBETWEEN(1,COUNTA(PossibleEncountersRegioned!$A$2:$A886))),""))</f>
        <v/>
      </c>
      <c r="D100" s="1" t="str">
        <f t="shared" si="5"/>
        <v/>
      </c>
      <c r="E100" s="131" t="str">
        <f t="shared" si="6"/>
        <v/>
      </c>
      <c r="F100" s="1" t="str">
        <f t="shared" si="4"/>
        <v/>
      </c>
      <c r="I100" s="1" t="str">
        <f t="shared" si="7"/>
        <v/>
      </c>
      <c r="J100" s="1" t="str">
        <f t="shared" si="8"/>
        <v/>
      </c>
    </row>
    <row r="101">
      <c r="A101" s="107">
        <v>88.0</v>
      </c>
      <c r="B101" s="1" t="str">
        <f t="array" ref="B101">IF(I101,IF(J101,INDEX(PossibleEncountersRegioned!$C$2:$C886,RANDBETWEEN(1,COUNTA(PossibleEncountersRegioned!$C$2:$C886)+1)),INDEX(PossibleEncountersRegioned!$B$2:$B886,RANDBETWEEN(1,COUNTA(PossibleEncountersRegioned!$B$2:$B886)+1))),IF($D$6&gt;(A101-1), INDEX(PossibleEncountersRegioned!$A$2:$A886,RANDBETWEEN(1,COUNTA(PossibleEncountersRegioned!$A$2:$A886))),""))</f>
        <v/>
      </c>
      <c r="D101" s="1" t="str">
        <f t="shared" si="5"/>
        <v/>
      </c>
      <c r="E101" s="131" t="str">
        <f t="shared" si="6"/>
        <v/>
      </c>
      <c r="F101" s="1" t="str">
        <f t="shared" si="4"/>
        <v/>
      </c>
      <c r="I101" s="1" t="str">
        <f t="shared" si="7"/>
        <v/>
      </c>
      <c r="J101" s="1" t="str">
        <f t="shared" si="8"/>
        <v/>
      </c>
    </row>
    <row r="102">
      <c r="A102" s="107">
        <v>89.0</v>
      </c>
      <c r="B102" s="1" t="str">
        <f t="array" ref="B102">IF(I102,IF(J102,INDEX(PossibleEncountersRegioned!$C$2:$C886,RANDBETWEEN(1,COUNTA(PossibleEncountersRegioned!$C$2:$C886)+1)),INDEX(PossibleEncountersRegioned!$B$2:$B886,RANDBETWEEN(1,COUNTA(PossibleEncountersRegioned!$B$2:$B886)+1))),IF($D$6&gt;(A102-1), INDEX(PossibleEncountersRegioned!$A$2:$A886,RANDBETWEEN(1,COUNTA(PossibleEncountersRegioned!$A$2:$A886))),""))</f>
        <v/>
      </c>
      <c r="D102" s="1" t="str">
        <f t="shared" si="5"/>
        <v/>
      </c>
      <c r="E102" s="131" t="str">
        <f t="shared" si="6"/>
        <v/>
      </c>
      <c r="F102" s="1" t="str">
        <f t="shared" si="4"/>
        <v/>
      </c>
      <c r="I102" s="1" t="str">
        <f t="shared" si="7"/>
        <v/>
      </c>
      <c r="J102" s="1" t="str">
        <f t="shared" si="8"/>
        <v/>
      </c>
    </row>
    <row r="103">
      <c r="A103" s="107">
        <v>90.0</v>
      </c>
      <c r="B103" s="1" t="str">
        <f t="array" ref="B103">IF(I103,IF(J103,INDEX(PossibleEncountersRegioned!$C$2:$C886,RANDBETWEEN(1,COUNTA(PossibleEncountersRegioned!$C$2:$C886)+1)),INDEX(PossibleEncountersRegioned!$B$2:$B886,RANDBETWEEN(1,COUNTA(PossibleEncountersRegioned!$B$2:$B886)+1))),IF($D$6&gt;(A103-1), INDEX(PossibleEncountersRegioned!$A$2:$A886,RANDBETWEEN(1,COUNTA(PossibleEncountersRegioned!$A$2:$A886))),""))</f>
        <v/>
      </c>
      <c r="D103" s="1" t="str">
        <f t="shared" si="5"/>
        <v/>
      </c>
      <c r="E103" s="131" t="str">
        <f t="shared" si="6"/>
        <v/>
      </c>
      <c r="F103" s="1" t="str">
        <f t="shared" si="4"/>
        <v/>
      </c>
      <c r="I103" s="1" t="str">
        <f t="shared" si="7"/>
        <v/>
      </c>
      <c r="J103" s="1" t="str">
        <f t="shared" si="8"/>
        <v/>
      </c>
    </row>
    <row r="104">
      <c r="A104" s="107">
        <v>91.0</v>
      </c>
      <c r="B104" s="1" t="str">
        <f t="array" ref="B104">IF(I104,IF(J104,INDEX(PossibleEncountersRegioned!$C$2:$C886,RANDBETWEEN(1,COUNTA(PossibleEncountersRegioned!$C$2:$C886)+1)),INDEX(PossibleEncountersRegioned!$B$2:$B886,RANDBETWEEN(1,COUNTA(PossibleEncountersRegioned!$B$2:$B886)+1))),IF($D$6&gt;(A104-1), INDEX(PossibleEncountersRegioned!$A$2:$A886,RANDBETWEEN(1,COUNTA(PossibleEncountersRegioned!$A$2:$A886))),""))</f>
        <v/>
      </c>
      <c r="D104" s="1" t="str">
        <f t="shared" si="5"/>
        <v/>
      </c>
      <c r="E104" s="131" t="str">
        <f t="shared" si="6"/>
        <v/>
      </c>
      <c r="F104" s="1" t="str">
        <f t="shared" si="4"/>
        <v/>
      </c>
      <c r="I104" s="1" t="str">
        <f t="shared" si="7"/>
        <v/>
      </c>
      <c r="J104" s="1" t="str">
        <f t="shared" si="8"/>
        <v/>
      </c>
    </row>
    <row r="105">
      <c r="A105" s="107">
        <v>92.0</v>
      </c>
      <c r="B105" s="1" t="str">
        <f t="array" ref="B105">IF(I105,IF(J105,INDEX(PossibleEncountersRegioned!$C$2:$C886,RANDBETWEEN(1,COUNTA(PossibleEncountersRegioned!$C$2:$C886)+1)),INDEX(PossibleEncountersRegioned!$B$2:$B886,RANDBETWEEN(1,COUNTA(PossibleEncountersRegioned!$B$2:$B886)+1))),IF($D$6&gt;(A105-1), INDEX(PossibleEncountersRegioned!$A$2:$A886,RANDBETWEEN(1,COUNTA(PossibleEncountersRegioned!$A$2:$A886))),""))</f>
        <v/>
      </c>
      <c r="D105" s="1" t="str">
        <f t="shared" si="5"/>
        <v/>
      </c>
      <c r="E105" s="131" t="str">
        <f t="shared" si="6"/>
        <v/>
      </c>
      <c r="F105" s="1" t="str">
        <f t="shared" si="4"/>
        <v/>
      </c>
      <c r="I105" s="1" t="str">
        <f t="shared" si="7"/>
        <v/>
      </c>
      <c r="J105" s="1" t="str">
        <f t="shared" si="8"/>
        <v/>
      </c>
    </row>
    <row r="106">
      <c r="A106" s="107">
        <v>93.0</v>
      </c>
      <c r="B106" s="1" t="str">
        <f t="array" ref="B106">IF(I106,IF(J106,INDEX(PossibleEncountersRegioned!$C$2:$C886,RANDBETWEEN(1,COUNTA(PossibleEncountersRegioned!$C$2:$C886)+1)),INDEX(PossibleEncountersRegioned!$B$2:$B886,RANDBETWEEN(1,COUNTA(PossibleEncountersRegioned!$B$2:$B886)+1))),IF($D$6&gt;(A106-1), INDEX(PossibleEncountersRegioned!$A$2:$A886,RANDBETWEEN(1,COUNTA(PossibleEncountersRegioned!$A$2:$A886))),""))</f>
        <v/>
      </c>
      <c r="D106" s="1" t="str">
        <f t="shared" si="5"/>
        <v/>
      </c>
      <c r="E106" s="131" t="str">
        <f t="shared" si="6"/>
        <v/>
      </c>
      <c r="F106" s="1" t="str">
        <f t="shared" si="4"/>
        <v/>
      </c>
      <c r="I106" s="1" t="str">
        <f t="shared" si="7"/>
        <v/>
      </c>
      <c r="J106" s="1" t="str">
        <f t="shared" si="8"/>
        <v/>
      </c>
    </row>
    <row r="107">
      <c r="A107" s="107">
        <v>94.0</v>
      </c>
      <c r="B107" s="1" t="str">
        <f t="array" ref="B107">IF(I107,IF(J107,INDEX(PossibleEncountersRegioned!$C$2:$C886,RANDBETWEEN(1,COUNTA(PossibleEncountersRegioned!$C$2:$C886)+1)),INDEX(PossibleEncountersRegioned!$B$2:$B886,RANDBETWEEN(1,COUNTA(PossibleEncountersRegioned!$B$2:$B886)+1))),IF($D$6&gt;(A107-1), INDEX(PossibleEncountersRegioned!$A$2:$A886,RANDBETWEEN(1,COUNTA(PossibleEncountersRegioned!$A$2:$A886))),""))</f>
        <v/>
      </c>
      <c r="D107" s="1" t="str">
        <f t="shared" si="5"/>
        <v/>
      </c>
      <c r="E107" s="131" t="str">
        <f t="shared" si="6"/>
        <v/>
      </c>
      <c r="F107" s="1" t="str">
        <f t="shared" si="4"/>
        <v/>
      </c>
      <c r="I107" s="1" t="str">
        <f t="shared" si="7"/>
        <v/>
      </c>
      <c r="J107" s="1" t="str">
        <f t="shared" si="8"/>
        <v/>
      </c>
    </row>
    <row r="108">
      <c r="A108" s="107">
        <v>95.0</v>
      </c>
      <c r="B108" s="1" t="str">
        <f t="array" ref="B108">IF(I108,IF(J108,INDEX(PossibleEncountersRegioned!$C$2:$C886,RANDBETWEEN(1,COUNTA(PossibleEncountersRegioned!$C$2:$C886)+1)),INDEX(PossibleEncountersRegioned!$B$2:$B886,RANDBETWEEN(1,COUNTA(PossibleEncountersRegioned!$B$2:$B886)+1))),IF($D$6&gt;(A108-1), INDEX(PossibleEncountersRegioned!$A$2:$A886,RANDBETWEEN(1,COUNTA(PossibleEncountersRegioned!$A$2:$A886))),""))</f>
        <v/>
      </c>
      <c r="D108" s="1" t="str">
        <f t="shared" si="5"/>
        <v/>
      </c>
      <c r="E108" s="131" t="str">
        <f t="shared" si="6"/>
        <v/>
      </c>
      <c r="F108" s="1" t="str">
        <f t="shared" si="4"/>
        <v/>
      </c>
      <c r="I108" s="1" t="str">
        <f t="shared" si="7"/>
        <v/>
      </c>
      <c r="J108" s="1" t="str">
        <f t="shared" si="8"/>
        <v/>
      </c>
    </row>
    <row r="109">
      <c r="A109" s="107">
        <v>96.0</v>
      </c>
      <c r="B109" s="1" t="str">
        <f t="array" ref="B109">IF(I109,IF(J109,INDEX(PossibleEncountersRegioned!$C$2:$C886,RANDBETWEEN(1,COUNTA(PossibleEncountersRegioned!$C$2:$C886)+1)),INDEX(PossibleEncountersRegioned!$B$2:$B886,RANDBETWEEN(1,COUNTA(PossibleEncountersRegioned!$B$2:$B886)+1))),IF($D$6&gt;(A109-1), INDEX(PossibleEncountersRegioned!$A$2:$A886,RANDBETWEEN(1,COUNTA(PossibleEncountersRegioned!$A$2:$A886))),""))</f>
        <v/>
      </c>
      <c r="D109" s="1" t="str">
        <f t="shared" si="5"/>
        <v/>
      </c>
      <c r="E109" s="131" t="str">
        <f t="shared" si="6"/>
        <v/>
      </c>
      <c r="F109" s="1" t="str">
        <f t="shared" si="4"/>
        <v/>
      </c>
      <c r="I109" s="1" t="str">
        <f t="shared" si="7"/>
        <v/>
      </c>
      <c r="J109" s="1" t="str">
        <f t="shared" si="8"/>
        <v/>
      </c>
    </row>
    <row r="110">
      <c r="A110" s="107">
        <v>97.0</v>
      </c>
      <c r="B110" s="1" t="str">
        <f t="array" ref="B110">IF(I110,IF(J110,INDEX(PossibleEncountersRegioned!$C$2:$C886,RANDBETWEEN(1,COUNTA(PossibleEncountersRegioned!$C$2:$C886)+1)),INDEX(PossibleEncountersRegioned!$B$2:$B886,RANDBETWEEN(1,COUNTA(PossibleEncountersRegioned!$B$2:$B886)+1))),IF($D$6&gt;(A110-1), INDEX(PossibleEncountersRegioned!$A$2:$A886,RANDBETWEEN(1,COUNTA(PossibleEncountersRegioned!$A$2:$A886))),""))</f>
        <v/>
      </c>
      <c r="D110" s="1" t="str">
        <f t="shared" si="5"/>
        <v/>
      </c>
      <c r="E110" s="131" t="str">
        <f t="shared" si="6"/>
        <v/>
      </c>
      <c r="F110" s="1" t="str">
        <f t="shared" si="4"/>
        <v/>
      </c>
      <c r="I110" s="1" t="str">
        <f t="shared" si="7"/>
        <v/>
      </c>
      <c r="J110" s="1" t="str">
        <f t="shared" si="8"/>
        <v/>
      </c>
    </row>
    <row r="111">
      <c r="A111" s="107">
        <v>98.0</v>
      </c>
      <c r="B111" s="1" t="str">
        <f t="array" ref="B111">IF(I111,IF(J111,INDEX(PossibleEncountersRegioned!$C$2:$C886,RANDBETWEEN(1,COUNTA(PossibleEncountersRegioned!$C$2:$C886)+1)),INDEX(PossibleEncountersRegioned!$B$2:$B886,RANDBETWEEN(1,COUNTA(PossibleEncountersRegioned!$B$2:$B886)+1))),IF($D$6&gt;(A111-1), INDEX(PossibleEncountersRegioned!$A$2:$A886,RANDBETWEEN(1,COUNTA(PossibleEncountersRegioned!$A$2:$A886))),""))</f>
        <v/>
      </c>
      <c r="D111" s="1" t="str">
        <f t="shared" si="5"/>
        <v/>
      </c>
      <c r="E111" s="131" t="str">
        <f t="shared" si="6"/>
        <v/>
      </c>
      <c r="F111" s="1" t="str">
        <f t="shared" si="4"/>
        <v/>
      </c>
      <c r="I111" s="1" t="str">
        <f t="shared" si="7"/>
        <v/>
      </c>
      <c r="J111" s="1" t="str">
        <f t="shared" si="8"/>
        <v/>
      </c>
    </row>
    <row r="112">
      <c r="A112" s="107">
        <v>99.0</v>
      </c>
      <c r="B112" s="1" t="str">
        <f t="array" ref="B112">IF(I112,IF(J112,INDEX(PossibleEncountersRegioned!$C$2:$C886,RANDBETWEEN(1,COUNTA(PossibleEncountersRegioned!$C$2:$C886)+1)),INDEX(PossibleEncountersRegioned!$B$2:$B886,RANDBETWEEN(1,COUNTA(PossibleEncountersRegioned!$B$2:$B886)+1))),IF($D$6&gt;(A112-1), INDEX(PossibleEncountersRegioned!$A$2:$A886,RANDBETWEEN(1,COUNTA(PossibleEncountersRegioned!$A$2:$A886))),""))</f>
        <v/>
      </c>
      <c r="D112" s="1" t="str">
        <f t="shared" si="5"/>
        <v/>
      </c>
      <c r="E112" s="131" t="str">
        <f t="shared" si="6"/>
        <v/>
      </c>
      <c r="F112" s="1" t="str">
        <f t="shared" si="4"/>
        <v/>
      </c>
      <c r="I112" s="1" t="str">
        <f t="shared" si="7"/>
        <v/>
      </c>
      <c r="J112" s="1" t="str">
        <f t="shared" si="8"/>
        <v/>
      </c>
    </row>
    <row r="113">
      <c r="A113" s="107">
        <v>100.0</v>
      </c>
      <c r="B113" s="1" t="str">
        <f t="array" ref="B113">IF(I113,IF(J113,INDEX(PossibleEncountersRegioned!$C$2:$C886,RANDBETWEEN(1,COUNTA(PossibleEncountersRegioned!$C$2:$C886)+1)),INDEX(PossibleEncountersRegioned!$B$2:$B886,RANDBETWEEN(1,COUNTA(PossibleEncountersRegioned!$B$2:$B886)+1))),IF($D$6&gt;(A113-1), INDEX(PossibleEncountersRegioned!$A$2:$A886,RANDBETWEEN(1,COUNTA(PossibleEncountersRegioned!$A$2:$A886))),""))</f>
        <v/>
      </c>
      <c r="D113" s="1" t="str">
        <f t="shared" si="5"/>
        <v/>
      </c>
      <c r="E113" s="131" t="str">
        <f t="shared" si="6"/>
        <v/>
      </c>
      <c r="F113" s="1" t="str">
        <f t="shared" si="4"/>
        <v/>
      </c>
      <c r="I113" s="1" t="str">
        <f t="shared" si="7"/>
        <v/>
      </c>
      <c r="J113" s="1" t="str">
        <f t="shared" si="8"/>
        <v/>
      </c>
    </row>
    <row r="114">
      <c r="A114" s="107">
        <v>101.0</v>
      </c>
      <c r="B114" s="1" t="str">
        <f t="array" ref="B114">IF(I114,IF(J114,INDEX(PossibleEncountersRegioned!$C$2:$C886,RANDBETWEEN(1,COUNTA(PossibleEncountersRegioned!$C$2:$C886)+1)),INDEX(PossibleEncountersRegioned!$B$2:$B886,RANDBETWEEN(1,COUNTA(PossibleEncountersRegioned!$B$2:$B886)+1))),IF($D$6&gt;(A114-1), INDEX(PossibleEncountersRegioned!$A$2:$A886,RANDBETWEEN(1,COUNTA(PossibleEncountersRegioned!$A$2:$A886))),""))</f>
        <v/>
      </c>
      <c r="D114" s="1" t="str">
        <f t="shared" si="5"/>
        <v/>
      </c>
      <c r="E114" s="131" t="str">
        <f t="shared" si="6"/>
        <v/>
      </c>
      <c r="F114" s="1" t="str">
        <f t="shared" si="4"/>
        <v/>
      </c>
      <c r="I114" s="1" t="str">
        <f t="shared" si="7"/>
        <v/>
      </c>
      <c r="J114" s="1" t="str">
        <f t="shared" si="8"/>
        <v/>
      </c>
    </row>
    <row r="115">
      <c r="A115" s="107">
        <v>102.0</v>
      </c>
      <c r="B115" s="1" t="str">
        <f t="array" ref="B115">IF(I115,IF(J115,INDEX(PossibleEncountersRegioned!$C$2:$C886,RANDBETWEEN(1,COUNTA(PossibleEncountersRegioned!$C$2:$C886)+1)),INDEX(PossibleEncountersRegioned!$B$2:$B886,RANDBETWEEN(1,COUNTA(PossibleEncountersRegioned!$B$2:$B886)+1))),IF($D$6&gt;(A115-1), INDEX(PossibleEncountersRegioned!$A$2:$A886,RANDBETWEEN(1,COUNTA(PossibleEncountersRegioned!$A$2:$A886))),""))</f>
        <v/>
      </c>
      <c r="D115" s="1" t="str">
        <f t="shared" si="5"/>
        <v/>
      </c>
      <c r="E115" s="131" t="str">
        <f t="shared" si="6"/>
        <v/>
      </c>
      <c r="F115" s="1" t="str">
        <f t="shared" si="4"/>
        <v/>
      </c>
      <c r="I115" s="1" t="str">
        <f t="shared" si="7"/>
        <v/>
      </c>
      <c r="J115" s="1" t="str">
        <f t="shared" si="8"/>
        <v/>
      </c>
    </row>
    <row r="116">
      <c r="A116" s="107">
        <v>103.0</v>
      </c>
      <c r="B116" s="1" t="str">
        <f t="array" ref="B116">IF(I116,IF(J116,INDEX(PossibleEncountersRegioned!$C$2:$C886,RANDBETWEEN(1,COUNTA(PossibleEncountersRegioned!$C$2:$C886)+1)),INDEX(PossibleEncountersRegioned!$B$2:$B886,RANDBETWEEN(1,COUNTA(PossibleEncountersRegioned!$B$2:$B886)+1))),IF($D$6&gt;(A116-1), INDEX(PossibleEncountersRegioned!$A$2:$A886,RANDBETWEEN(1,COUNTA(PossibleEncountersRegioned!$A$2:$A886))),""))</f>
        <v/>
      </c>
      <c r="D116" s="1" t="str">
        <f t="shared" si="5"/>
        <v/>
      </c>
      <c r="E116" s="131" t="str">
        <f t="shared" si="6"/>
        <v/>
      </c>
      <c r="F116" s="1" t="str">
        <f t="shared" si="4"/>
        <v/>
      </c>
      <c r="I116" s="1" t="str">
        <f t="shared" si="7"/>
        <v/>
      </c>
      <c r="J116" s="1" t="str">
        <f t="shared" si="8"/>
        <v/>
      </c>
    </row>
    <row r="117">
      <c r="A117" s="107">
        <v>104.0</v>
      </c>
      <c r="B117" s="1" t="str">
        <f t="array" ref="B117">IF(I117,IF(J117,INDEX(PossibleEncountersRegioned!$C$2:$C886,RANDBETWEEN(1,COUNTA(PossibleEncountersRegioned!$C$2:$C886)+1)),INDEX(PossibleEncountersRegioned!$B$2:$B886,RANDBETWEEN(1,COUNTA(PossibleEncountersRegioned!$B$2:$B886)+1))),IF($D$6&gt;(A117-1), INDEX(PossibleEncountersRegioned!$A$2:$A886,RANDBETWEEN(1,COUNTA(PossibleEncountersRegioned!$A$2:$A886))),""))</f>
        <v/>
      </c>
      <c r="D117" s="1" t="str">
        <f t="shared" si="5"/>
        <v/>
      </c>
      <c r="E117" s="131" t="str">
        <f t="shared" si="6"/>
        <v/>
      </c>
      <c r="F117" s="1" t="str">
        <f t="shared" si="4"/>
        <v/>
      </c>
      <c r="I117" s="1" t="str">
        <f t="shared" si="7"/>
        <v/>
      </c>
      <c r="J117" s="1" t="str">
        <f t="shared" si="8"/>
        <v/>
      </c>
    </row>
    <row r="118">
      <c r="A118" s="107">
        <v>105.0</v>
      </c>
      <c r="B118" s="1" t="str">
        <f t="array" ref="B118">IF(I118,IF(J118,INDEX(PossibleEncountersRegioned!$C$2:$C886,RANDBETWEEN(1,COUNTA(PossibleEncountersRegioned!$C$2:$C886)+1)),INDEX(PossibleEncountersRegioned!$B$2:$B886,RANDBETWEEN(1,COUNTA(PossibleEncountersRegioned!$B$2:$B886)+1))),IF($D$6&gt;(A118-1), INDEX(PossibleEncountersRegioned!$A$2:$A886,RANDBETWEEN(1,COUNTA(PossibleEncountersRegioned!$A$2:$A886))),""))</f>
        <v/>
      </c>
      <c r="D118" s="1" t="str">
        <f t="shared" si="5"/>
        <v/>
      </c>
      <c r="E118" s="131" t="str">
        <f t="shared" si="6"/>
        <v/>
      </c>
      <c r="F118" s="1" t="str">
        <f t="shared" si="4"/>
        <v/>
      </c>
      <c r="I118" s="1" t="str">
        <f t="shared" si="7"/>
        <v/>
      </c>
      <c r="J118" s="1" t="str">
        <f t="shared" si="8"/>
        <v/>
      </c>
    </row>
    <row r="119">
      <c r="A119" s="107">
        <v>106.0</v>
      </c>
      <c r="B119" s="1" t="str">
        <f t="array" ref="B119">IF(I119,IF(J119,INDEX(PossibleEncountersRegioned!$C$2:$C886,RANDBETWEEN(1,COUNTA(PossibleEncountersRegioned!$C$2:$C886)+1)),INDEX(PossibleEncountersRegioned!$B$2:$B886,RANDBETWEEN(1,COUNTA(PossibleEncountersRegioned!$B$2:$B886)+1))),IF($D$6&gt;(A119-1), INDEX(PossibleEncountersRegioned!$A$2:$A886,RANDBETWEEN(1,COUNTA(PossibleEncountersRegioned!$A$2:$A886))),""))</f>
        <v/>
      </c>
      <c r="D119" s="1" t="str">
        <f t="shared" si="5"/>
        <v/>
      </c>
      <c r="E119" s="131" t="str">
        <f t="shared" si="6"/>
        <v/>
      </c>
      <c r="F119" s="1" t="str">
        <f t="shared" si="4"/>
        <v/>
      </c>
      <c r="I119" s="1" t="str">
        <f t="shared" si="7"/>
        <v/>
      </c>
      <c r="J119" s="1" t="str">
        <f t="shared" si="8"/>
        <v/>
      </c>
    </row>
    <row r="120">
      <c r="A120" s="107">
        <v>107.0</v>
      </c>
      <c r="B120" s="1" t="str">
        <f t="array" ref="B120">IF(I120,IF(J120,INDEX(PossibleEncountersRegioned!$C$2:$C886,RANDBETWEEN(1,COUNTA(PossibleEncountersRegioned!$C$2:$C886)+1)),INDEX(PossibleEncountersRegioned!$B$2:$B886,RANDBETWEEN(1,COUNTA(PossibleEncountersRegioned!$B$2:$B886)+1))),IF($D$6&gt;(A120-1), INDEX(PossibleEncountersRegioned!$A$2:$A886,RANDBETWEEN(1,COUNTA(PossibleEncountersRegioned!$A$2:$A886))),""))</f>
        <v/>
      </c>
      <c r="D120" s="1" t="str">
        <f t="shared" si="5"/>
        <v/>
      </c>
      <c r="E120" s="131" t="str">
        <f t="shared" si="6"/>
        <v/>
      </c>
      <c r="F120" s="1" t="str">
        <f t="shared" si="4"/>
        <v/>
      </c>
      <c r="I120" s="1" t="str">
        <f t="shared" si="7"/>
        <v/>
      </c>
      <c r="J120" s="1" t="str">
        <f t="shared" si="8"/>
        <v/>
      </c>
    </row>
    <row r="121">
      <c r="A121" s="107">
        <v>108.0</v>
      </c>
      <c r="B121" s="1" t="str">
        <f t="array" ref="B121">IF(I121,IF(J121,INDEX(PossibleEncountersRegioned!$C$2:$C886,RANDBETWEEN(1,COUNTA(PossibleEncountersRegioned!$C$2:$C886)+1)),INDEX(PossibleEncountersRegioned!$B$2:$B886,RANDBETWEEN(1,COUNTA(PossibleEncountersRegioned!$B$2:$B886)+1))),IF($D$6&gt;(A121-1), INDEX(PossibleEncountersRegioned!$A$2:$A886,RANDBETWEEN(1,COUNTA(PossibleEncountersRegioned!$A$2:$A886))),""))</f>
        <v/>
      </c>
      <c r="D121" s="1" t="str">
        <f t="shared" si="5"/>
        <v/>
      </c>
      <c r="E121" s="131" t="str">
        <f t="shared" si="6"/>
        <v/>
      </c>
      <c r="F121" s="1" t="str">
        <f t="shared" si="4"/>
        <v/>
      </c>
      <c r="I121" s="1" t="str">
        <f t="shared" si="7"/>
        <v/>
      </c>
      <c r="J121" s="1" t="str">
        <f t="shared" si="8"/>
        <v/>
      </c>
    </row>
    <row r="122">
      <c r="A122" s="107">
        <v>109.0</v>
      </c>
      <c r="B122" s="1" t="str">
        <f t="array" ref="B122">IF(I122,IF(J122,INDEX(PossibleEncountersRegioned!$C$2:$C886,RANDBETWEEN(1,COUNTA(PossibleEncountersRegioned!$C$2:$C886)+1)),INDEX(PossibleEncountersRegioned!$B$2:$B886,RANDBETWEEN(1,COUNTA(PossibleEncountersRegioned!$B$2:$B886)+1))),IF($D$6&gt;(A122-1), INDEX(PossibleEncountersRegioned!$A$2:$A886,RANDBETWEEN(1,COUNTA(PossibleEncountersRegioned!$A$2:$A886))),""))</f>
        <v/>
      </c>
      <c r="D122" s="1" t="str">
        <f t="shared" si="5"/>
        <v/>
      </c>
      <c r="E122" s="131" t="str">
        <f t="shared" si="6"/>
        <v/>
      </c>
      <c r="F122" s="1" t="str">
        <f t="shared" si="4"/>
        <v/>
      </c>
      <c r="I122" s="1" t="str">
        <f t="shared" si="7"/>
        <v/>
      </c>
      <c r="J122" s="1" t="str">
        <f t="shared" si="8"/>
        <v/>
      </c>
    </row>
    <row r="123">
      <c r="A123" s="107">
        <v>110.0</v>
      </c>
      <c r="B123" s="1" t="str">
        <f t="array" ref="B123">IF(I123,IF(J123,INDEX(PossibleEncountersRegioned!$C$2:$C886,RANDBETWEEN(1,COUNTA(PossibleEncountersRegioned!$C$2:$C886)+1)),INDEX(PossibleEncountersRegioned!$B$2:$B886,RANDBETWEEN(1,COUNTA(PossibleEncountersRegioned!$B$2:$B886)+1))),IF($D$6&gt;(A123-1), INDEX(PossibleEncountersRegioned!$A$2:$A886,RANDBETWEEN(1,COUNTA(PossibleEncountersRegioned!$A$2:$A886))),""))</f>
        <v/>
      </c>
      <c r="D123" s="1" t="str">
        <f t="shared" si="5"/>
        <v/>
      </c>
      <c r="E123" s="131" t="str">
        <f t="shared" si="6"/>
        <v/>
      </c>
      <c r="F123" s="1" t="str">
        <f t="shared" si="4"/>
        <v/>
      </c>
      <c r="I123" s="1" t="str">
        <f t="shared" si="7"/>
        <v/>
      </c>
      <c r="J123" s="1" t="str">
        <f t="shared" si="8"/>
        <v/>
      </c>
    </row>
    <row r="124">
      <c r="A124" s="107">
        <v>111.0</v>
      </c>
      <c r="B124" s="1" t="str">
        <f t="array" ref="B124">IF(I124,IF(J124,INDEX(PossibleEncountersRegioned!$C$2:$C886,RANDBETWEEN(1,COUNTA(PossibleEncountersRegioned!$C$2:$C886)+1)),INDEX(PossibleEncountersRegioned!$B$2:$B886,RANDBETWEEN(1,COUNTA(PossibleEncountersRegioned!$B$2:$B886)+1))),IF($D$6&gt;(A124-1), INDEX(PossibleEncountersRegioned!$A$2:$A886,RANDBETWEEN(1,COUNTA(PossibleEncountersRegioned!$A$2:$A886))),""))</f>
        <v/>
      </c>
      <c r="D124" s="1" t="str">
        <f t="shared" si="5"/>
        <v/>
      </c>
      <c r="E124" s="131" t="str">
        <f t="shared" si="6"/>
        <v/>
      </c>
      <c r="F124" s="1" t="str">
        <f t="shared" si="4"/>
        <v/>
      </c>
      <c r="I124" s="1" t="str">
        <f t="shared" si="7"/>
        <v/>
      </c>
      <c r="J124" s="1" t="str">
        <f t="shared" si="8"/>
        <v/>
      </c>
    </row>
    <row r="125">
      <c r="A125" s="107">
        <v>112.0</v>
      </c>
      <c r="B125" s="1" t="str">
        <f t="array" ref="B125">IF(I125,IF(J125,INDEX(PossibleEncountersRegioned!$C$2:$C886,RANDBETWEEN(1,COUNTA(PossibleEncountersRegioned!$C$2:$C886)+1)),INDEX(PossibleEncountersRegioned!$B$2:$B886,RANDBETWEEN(1,COUNTA(PossibleEncountersRegioned!$B$2:$B886)+1))),IF($D$6&gt;(A125-1), INDEX(PossibleEncountersRegioned!$A$2:$A886,RANDBETWEEN(1,COUNTA(PossibleEncountersRegioned!$A$2:$A886))),""))</f>
        <v/>
      </c>
      <c r="D125" s="1" t="str">
        <f t="shared" si="5"/>
        <v/>
      </c>
      <c r="E125" s="131" t="str">
        <f t="shared" si="6"/>
        <v/>
      </c>
      <c r="F125" s="1" t="str">
        <f t="shared" si="4"/>
        <v/>
      </c>
      <c r="I125" s="1" t="str">
        <f t="shared" si="7"/>
        <v/>
      </c>
      <c r="J125" s="1" t="str">
        <f t="shared" si="8"/>
        <v/>
      </c>
    </row>
    <row r="126">
      <c r="A126" s="107">
        <v>113.0</v>
      </c>
      <c r="B126" s="1" t="str">
        <f t="array" ref="B126">IF(I126,IF(J126,INDEX(PossibleEncountersRegioned!$C$2:$C886,RANDBETWEEN(1,COUNTA(PossibleEncountersRegioned!$C$2:$C886)+1)),INDEX(PossibleEncountersRegioned!$B$2:$B886,RANDBETWEEN(1,COUNTA(PossibleEncountersRegioned!$B$2:$B886)+1))),IF($D$6&gt;(A126-1), INDEX(PossibleEncountersRegioned!$A$2:$A886,RANDBETWEEN(1,COUNTA(PossibleEncountersRegioned!$A$2:$A886))),""))</f>
        <v/>
      </c>
      <c r="D126" s="1" t="str">
        <f t="shared" si="5"/>
        <v/>
      </c>
      <c r="E126" s="131" t="str">
        <f t="shared" si="6"/>
        <v/>
      </c>
      <c r="F126" s="1" t="str">
        <f t="shared" si="4"/>
        <v/>
      </c>
      <c r="I126" s="1" t="str">
        <f t="shared" si="7"/>
        <v/>
      </c>
      <c r="J126" s="1" t="str">
        <f t="shared" si="8"/>
        <v/>
      </c>
    </row>
    <row r="127">
      <c r="A127" s="107">
        <v>114.0</v>
      </c>
      <c r="B127" s="1" t="str">
        <f t="array" ref="B127">IF(I127,IF(J127,INDEX(PossibleEncountersRegioned!$C$2:$C886,RANDBETWEEN(1,COUNTA(PossibleEncountersRegioned!$C$2:$C886)+1)),INDEX(PossibleEncountersRegioned!$B$2:$B886,RANDBETWEEN(1,COUNTA(PossibleEncountersRegioned!$B$2:$B886)+1))),IF($D$6&gt;(A127-1), INDEX(PossibleEncountersRegioned!$A$2:$A886,RANDBETWEEN(1,COUNTA(PossibleEncountersRegioned!$A$2:$A886))),""))</f>
        <v/>
      </c>
      <c r="D127" s="1" t="str">
        <f t="shared" si="5"/>
        <v/>
      </c>
      <c r="E127" s="131" t="str">
        <f t="shared" si="6"/>
        <v/>
      </c>
      <c r="F127" s="1" t="str">
        <f t="shared" si="4"/>
        <v/>
      </c>
      <c r="I127" s="1" t="str">
        <f t="shared" si="7"/>
        <v/>
      </c>
      <c r="J127" s="1" t="str">
        <f t="shared" si="8"/>
        <v/>
      </c>
    </row>
    <row r="128">
      <c r="A128" s="107">
        <v>115.0</v>
      </c>
      <c r="B128" s="1" t="str">
        <f t="array" ref="B128">IF(I128,IF(J128,INDEX(PossibleEncountersRegioned!$C$2:$C886,RANDBETWEEN(1,COUNTA(PossibleEncountersRegioned!$C$2:$C886)+1)),INDEX(PossibleEncountersRegioned!$B$2:$B886,RANDBETWEEN(1,COUNTA(PossibleEncountersRegioned!$B$2:$B886)+1))),IF($D$6&gt;(A128-1), INDEX(PossibleEncountersRegioned!$A$2:$A886,RANDBETWEEN(1,COUNTA(PossibleEncountersRegioned!$A$2:$A886))),""))</f>
        <v/>
      </c>
      <c r="D128" s="1" t="str">
        <f t="shared" si="5"/>
        <v/>
      </c>
      <c r="E128" s="131" t="str">
        <f t="shared" si="6"/>
        <v/>
      </c>
      <c r="F128" s="1" t="str">
        <f t="shared" si="4"/>
        <v/>
      </c>
      <c r="I128" s="1" t="str">
        <f t="shared" si="7"/>
        <v/>
      </c>
      <c r="J128" s="1" t="str">
        <f t="shared" si="8"/>
        <v/>
      </c>
    </row>
    <row r="129">
      <c r="A129" s="107">
        <v>116.0</v>
      </c>
      <c r="B129" s="1" t="str">
        <f t="array" ref="B129">IF(I129,IF(J129,INDEX(PossibleEncountersRegioned!$C$2:$C886,RANDBETWEEN(1,COUNTA(PossibleEncountersRegioned!$C$2:$C886)+1)),INDEX(PossibleEncountersRegioned!$B$2:$B886,RANDBETWEEN(1,COUNTA(PossibleEncountersRegioned!$B$2:$B886)+1))),IF($D$6&gt;(A129-1), INDEX(PossibleEncountersRegioned!$A$2:$A886,RANDBETWEEN(1,COUNTA(PossibleEncountersRegioned!$A$2:$A886))),""))</f>
        <v/>
      </c>
      <c r="D129" s="1" t="str">
        <f t="shared" si="5"/>
        <v/>
      </c>
      <c r="E129" s="131" t="str">
        <f t="shared" si="6"/>
        <v/>
      </c>
      <c r="F129" s="1" t="str">
        <f t="shared" si="4"/>
        <v/>
      </c>
      <c r="I129" s="1" t="str">
        <f t="shared" si="7"/>
        <v/>
      </c>
      <c r="J129" s="1" t="str">
        <f t="shared" si="8"/>
        <v/>
      </c>
    </row>
    <row r="130">
      <c r="A130" s="107">
        <v>117.0</v>
      </c>
      <c r="B130" s="1" t="str">
        <f t="array" ref="B130">IF(I130,IF(J130,INDEX(PossibleEncountersRegioned!$C$2:$C886,RANDBETWEEN(1,COUNTA(PossibleEncountersRegioned!$C$2:$C886)+1)),INDEX(PossibleEncountersRegioned!$B$2:$B886,RANDBETWEEN(1,COUNTA(PossibleEncountersRegioned!$B$2:$B886)+1))),IF($D$6&gt;(A130-1), INDEX(PossibleEncountersRegioned!$A$2:$A886,RANDBETWEEN(1,COUNTA(PossibleEncountersRegioned!$A$2:$A886))),""))</f>
        <v/>
      </c>
      <c r="D130" s="1" t="str">
        <f t="shared" si="5"/>
        <v/>
      </c>
      <c r="E130" s="131" t="str">
        <f t="shared" si="6"/>
        <v/>
      </c>
      <c r="F130" s="1" t="str">
        <f t="shared" si="4"/>
        <v/>
      </c>
      <c r="I130" s="1" t="str">
        <f t="shared" si="7"/>
        <v/>
      </c>
      <c r="J130" s="1" t="str">
        <f t="shared" si="8"/>
        <v/>
      </c>
    </row>
    <row r="131">
      <c r="A131" s="107">
        <v>118.0</v>
      </c>
      <c r="B131" s="1" t="str">
        <f t="array" ref="B131">IF(I131,IF(J131,INDEX(PossibleEncountersRegioned!$C$2:$C886,RANDBETWEEN(1,COUNTA(PossibleEncountersRegioned!$C$2:$C886)+1)),INDEX(PossibleEncountersRegioned!$B$2:$B886,RANDBETWEEN(1,COUNTA(PossibleEncountersRegioned!$B$2:$B886)+1))),IF($D$6&gt;(A131-1), INDEX(PossibleEncountersRegioned!$A$2:$A886,RANDBETWEEN(1,COUNTA(PossibleEncountersRegioned!$A$2:$A886))),""))</f>
        <v/>
      </c>
      <c r="D131" s="1" t="str">
        <f t="shared" si="5"/>
        <v/>
      </c>
      <c r="E131" s="131" t="str">
        <f t="shared" si="6"/>
        <v/>
      </c>
      <c r="F131" s="1" t="str">
        <f t="shared" si="4"/>
        <v/>
      </c>
      <c r="I131" s="1" t="str">
        <f t="shared" si="7"/>
        <v/>
      </c>
      <c r="J131" s="1" t="str">
        <f t="shared" si="8"/>
        <v/>
      </c>
    </row>
    <row r="132">
      <c r="A132" s="107">
        <v>119.0</v>
      </c>
      <c r="B132" s="1" t="str">
        <f t="array" ref="B132">IF(I132,IF(J132,INDEX(PossibleEncountersRegioned!$C$2:$C886,RANDBETWEEN(1,COUNTA(PossibleEncountersRegioned!$C$2:$C886)+1)),INDEX(PossibleEncountersRegioned!$B$2:$B886,RANDBETWEEN(1,COUNTA(PossibleEncountersRegioned!$B$2:$B886)+1))),IF($D$6&gt;(A132-1), INDEX(PossibleEncountersRegioned!$A$2:$A886,RANDBETWEEN(1,COUNTA(PossibleEncountersRegioned!$A$2:$A886))),""))</f>
        <v/>
      </c>
      <c r="D132" s="1" t="str">
        <f t="shared" si="5"/>
        <v/>
      </c>
      <c r="E132" s="131" t="str">
        <f t="shared" si="6"/>
        <v/>
      </c>
      <c r="F132" s="1" t="str">
        <f t="shared" si="4"/>
        <v/>
      </c>
      <c r="I132" s="1" t="str">
        <f t="shared" si="7"/>
        <v/>
      </c>
      <c r="J132" s="1" t="str">
        <f t="shared" si="8"/>
        <v/>
      </c>
    </row>
    <row r="133">
      <c r="A133" s="107">
        <v>120.0</v>
      </c>
      <c r="B133" s="1" t="str">
        <f t="array" ref="B133">IF(I133,IF(J133,INDEX(PossibleEncountersRegioned!$C$2:$C886,RANDBETWEEN(1,COUNTA(PossibleEncountersRegioned!$C$2:$C886)+1)),INDEX(PossibleEncountersRegioned!$B$2:$B886,RANDBETWEEN(1,COUNTA(PossibleEncountersRegioned!$B$2:$B886)+1))),IF($D$6&gt;(A133-1), INDEX(PossibleEncountersRegioned!$A$2:$A886,RANDBETWEEN(1,COUNTA(PossibleEncountersRegioned!$A$2:$A886))),""))</f>
        <v/>
      </c>
      <c r="D133" s="1" t="str">
        <f t="shared" si="5"/>
        <v/>
      </c>
      <c r="E133" s="131" t="str">
        <f t="shared" si="6"/>
        <v/>
      </c>
      <c r="F133" s="1" t="str">
        <f t="shared" si="4"/>
        <v/>
      </c>
      <c r="I133" s="1" t="str">
        <f t="shared" si="7"/>
        <v/>
      </c>
      <c r="J133" s="1" t="str">
        <f t="shared" si="8"/>
        <v/>
      </c>
    </row>
    <row r="134">
      <c r="A134" s="107">
        <v>121.0</v>
      </c>
      <c r="B134" s="1" t="str">
        <f t="array" ref="B134">IF(I134,IF(J134,INDEX(PossibleEncountersRegioned!$C$2:$C886,RANDBETWEEN(1,COUNTA(PossibleEncountersRegioned!$C$2:$C886)+1)),INDEX(PossibleEncountersRegioned!$B$2:$B886,RANDBETWEEN(1,COUNTA(PossibleEncountersRegioned!$B$2:$B886)+1))),IF($D$6&gt;(A134-1), INDEX(PossibleEncountersRegioned!$A$2:$A886,RANDBETWEEN(1,COUNTA(PossibleEncountersRegioned!$A$2:$A886))),""))</f>
        <v/>
      </c>
      <c r="D134" s="1" t="str">
        <f t="shared" si="5"/>
        <v/>
      </c>
      <c r="E134" s="131" t="str">
        <f t="shared" si="6"/>
        <v/>
      </c>
      <c r="F134" s="1" t="str">
        <f t="shared" si="4"/>
        <v/>
      </c>
      <c r="I134" s="1" t="str">
        <f t="shared" si="7"/>
        <v/>
      </c>
      <c r="J134" s="1" t="str">
        <f t="shared" si="8"/>
        <v/>
      </c>
    </row>
    <row r="135">
      <c r="A135" s="107">
        <v>122.0</v>
      </c>
      <c r="B135" s="1" t="str">
        <f t="array" ref="B135">IF(I135,IF(J135,INDEX(PossibleEncountersRegioned!$C$2:$C886,RANDBETWEEN(1,COUNTA(PossibleEncountersRegioned!$C$2:$C886)+1)),INDEX(PossibleEncountersRegioned!$B$2:$B886,RANDBETWEEN(1,COUNTA(PossibleEncountersRegioned!$B$2:$B886)+1))),IF($D$6&gt;(A135-1), INDEX(PossibleEncountersRegioned!$A$2:$A886,RANDBETWEEN(1,COUNTA(PossibleEncountersRegioned!$A$2:$A886))),""))</f>
        <v/>
      </c>
      <c r="D135" s="1" t="str">
        <f t="shared" si="5"/>
        <v/>
      </c>
      <c r="E135" s="131" t="str">
        <f t="shared" si="6"/>
        <v/>
      </c>
      <c r="F135" s="1" t="str">
        <f t="shared" si="4"/>
        <v/>
      </c>
      <c r="I135" s="1" t="str">
        <f t="shared" si="7"/>
        <v/>
      </c>
      <c r="J135" s="1" t="str">
        <f t="shared" si="8"/>
        <v/>
      </c>
    </row>
    <row r="136">
      <c r="A136" s="107">
        <v>123.0</v>
      </c>
      <c r="B136" s="1" t="str">
        <f t="array" ref="B136">IF(I136,IF(J136,INDEX(PossibleEncountersRegioned!$C$2:$C886,RANDBETWEEN(1,COUNTA(PossibleEncountersRegioned!$C$2:$C886)+1)),INDEX(PossibleEncountersRegioned!$B$2:$B886,RANDBETWEEN(1,COUNTA(PossibleEncountersRegioned!$B$2:$B886)+1))),IF($D$6&gt;(A136-1), INDEX(PossibleEncountersRegioned!$A$2:$A886,RANDBETWEEN(1,COUNTA(PossibleEncountersRegioned!$A$2:$A886))),""))</f>
        <v/>
      </c>
      <c r="D136" s="1" t="str">
        <f t="shared" si="5"/>
        <v/>
      </c>
      <c r="E136" s="131" t="str">
        <f t="shared" si="6"/>
        <v/>
      </c>
      <c r="F136" s="1" t="str">
        <f t="shared" si="4"/>
        <v/>
      </c>
      <c r="I136" s="1" t="str">
        <f t="shared" si="7"/>
        <v/>
      </c>
      <c r="J136" s="1" t="str">
        <f t="shared" si="8"/>
        <v/>
      </c>
    </row>
    <row r="137">
      <c r="A137" s="107">
        <v>124.0</v>
      </c>
      <c r="B137" s="1" t="str">
        <f t="array" ref="B137">IF(I137,IF(J137,INDEX(PossibleEncountersRegioned!$C$2:$C886,RANDBETWEEN(1,COUNTA(PossibleEncountersRegioned!$C$2:$C886)+1)),INDEX(PossibleEncountersRegioned!$B$2:$B886,RANDBETWEEN(1,COUNTA(PossibleEncountersRegioned!$B$2:$B886)+1))),IF($D$6&gt;(A137-1), INDEX(PossibleEncountersRegioned!$A$2:$A886,RANDBETWEEN(1,COUNTA(PossibleEncountersRegioned!$A$2:$A886))),""))</f>
        <v/>
      </c>
      <c r="D137" s="1" t="str">
        <f t="shared" si="5"/>
        <v/>
      </c>
      <c r="E137" s="131" t="str">
        <f t="shared" si="6"/>
        <v/>
      </c>
      <c r="F137" s="1" t="str">
        <f t="shared" si="4"/>
        <v/>
      </c>
      <c r="I137" s="1" t="str">
        <f t="shared" si="7"/>
        <v/>
      </c>
      <c r="J137" s="1" t="str">
        <f t="shared" si="8"/>
        <v/>
      </c>
    </row>
    <row r="138">
      <c r="A138" s="107">
        <v>125.0</v>
      </c>
      <c r="B138" s="1" t="str">
        <f t="array" ref="B138">IF(I138,IF(J138,INDEX(PossibleEncountersRegioned!$C$2:$C886,RANDBETWEEN(1,COUNTA(PossibleEncountersRegioned!$C$2:$C886)+1)),INDEX(PossibleEncountersRegioned!$B$2:$B886,RANDBETWEEN(1,COUNTA(PossibleEncountersRegioned!$B$2:$B886)+1))),IF($D$6&gt;(A138-1), INDEX(PossibleEncountersRegioned!$A$2:$A886,RANDBETWEEN(1,COUNTA(PossibleEncountersRegioned!$A$2:$A886))),""))</f>
        <v/>
      </c>
      <c r="D138" s="1" t="str">
        <f t="shared" si="5"/>
        <v/>
      </c>
      <c r="E138" s="131" t="str">
        <f t="shared" si="6"/>
        <v/>
      </c>
      <c r="F138" s="1" t="str">
        <f t="shared" si="4"/>
        <v/>
      </c>
      <c r="I138" s="1" t="str">
        <f t="shared" si="7"/>
        <v/>
      </c>
      <c r="J138" s="1" t="str">
        <f t="shared" si="8"/>
        <v/>
      </c>
    </row>
    <row r="139">
      <c r="A139" s="107">
        <v>126.0</v>
      </c>
      <c r="B139" s="1" t="str">
        <f t="array" ref="B139">IF(I139,IF(J139,INDEX(PossibleEncountersRegioned!$C$2:$C886,RANDBETWEEN(1,COUNTA(PossibleEncountersRegioned!$C$2:$C886)+1)),INDEX(PossibleEncountersRegioned!$B$2:$B886,RANDBETWEEN(1,COUNTA(PossibleEncountersRegioned!$B$2:$B886)+1))),IF($D$6&gt;(A139-1), INDEX(PossibleEncountersRegioned!$A$2:$A886,RANDBETWEEN(1,COUNTA(PossibleEncountersRegioned!$A$2:$A886))),""))</f>
        <v/>
      </c>
      <c r="D139" s="1" t="str">
        <f t="shared" si="5"/>
        <v/>
      </c>
      <c r="E139" s="131" t="str">
        <f t="shared" si="6"/>
        <v/>
      </c>
      <c r="F139" s="1" t="str">
        <f t="shared" si="4"/>
        <v/>
      </c>
      <c r="I139" s="1" t="str">
        <f t="shared" si="7"/>
        <v/>
      </c>
      <c r="J139" s="1" t="str">
        <f t="shared" si="8"/>
        <v/>
      </c>
    </row>
    <row r="140">
      <c r="A140" s="107">
        <v>127.0</v>
      </c>
      <c r="B140" s="1" t="str">
        <f t="array" ref="B140">IF(I140,IF(J140,INDEX(PossibleEncountersRegioned!$C$2:$C886,RANDBETWEEN(1,COUNTA(PossibleEncountersRegioned!$C$2:$C886)+1)),INDEX(PossibleEncountersRegioned!$B$2:$B886,RANDBETWEEN(1,COUNTA(PossibleEncountersRegioned!$B$2:$B886)+1))),IF($D$6&gt;(A140-1), INDEX(PossibleEncountersRegioned!$A$2:$A886,RANDBETWEEN(1,COUNTA(PossibleEncountersRegioned!$A$2:$A886))),""))</f>
        <v/>
      </c>
      <c r="D140" s="1" t="str">
        <f t="shared" si="5"/>
        <v/>
      </c>
      <c r="E140" s="131" t="str">
        <f t="shared" si="6"/>
        <v/>
      </c>
      <c r="F140" s="1" t="str">
        <f t="shared" si="4"/>
        <v/>
      </c>
      <c r="I140" s="1" t="str">
        <f t="shared" si="7"/>
        <v/>
      </c>
      <c r="J140" s="1" t="str">
        <f t="shared" si="8"/>
        <v/>
      </c>
    </row>
    <row r="141">
      <c r="A141" s="107">
        <v>128.0</v>
      </c>
      <c r="B141" s="1" t="str">
        <f t="array" ref="B141">IF(I141,IF(J141,INDEX(PossibleEncountersRegioned!$C$2:$C886,RANDBETWEEN(1,COUNTA(PossibleEncountersRegioned!$C$2:$C886)+1)),INDEX(PossibleEncountersRegioned!$B$2:$B886,RANDBETWEEN(1,COUNTA(PossibleEncountersRegioned!$B$2:$B886)+1))),IF($D$6&gt;(A141-1), INDEX(PossibleEncountersRegioned!$A$2:$A886,RANDBETWEEN(1,COUNTA(PossibleEncountersRegioned!$A$2:$A886))),""))</f>
        <v/>
      </c>
      <c r="D141" s="1" t="str">
        <f t="shared" si="5"/>
        <v/>
      </c>
      <c r="E141" s="131" t="str">
        <f t="shared" si="6"/>
        <v/>
      </c>
      <c r="F141" s="1" t="str">
        <f t="shared" si="4"/>
        <v/>
      </c>
      <c r="I141" s="1" t="str">
        <f t="shared" si="7"/>
        <v/>
      </c>
      <c r="J141" s="1" t="str">
        <f t="shared" si="8"/>
        <v/>
      </c>
    </row>
    <row r="142">
      <c r="A142" s="107">
        <v>129.0</v>
      </c>
      <c r="B142" s="1" t="str">
        <f t="array" ref="B142">IF(I142,IF(J142,INDEX(PossibleEncountersRegioned!$C$2:$C886,RANDBETWEEN(1,COUNTA(PossibleEncountersRegioned!$C$2:$C886)+1)),INDEX(PossibleEncountersRegioned!$B$2:$B886,RANDBETWEEN(1,COUNTA(PossibleEncountersRegioned!$B$2:$B886)+1))),IF($D$6&gt;(A142-1), INDEX(PossibleEncountersRegioned!$A$2:$A886,RANDBETWEEN(1,COUNTA(PossibleEncountersRegioned!$A$2:$A886))),""))</f>
        <v/>
      </c>
      <c r="D142" s="1" t="str">
        <f t="shared" si="5"/>
        <v/>
      </c>
      <c r="E142" s="131" t="str">
        <f t="shared" si="6"/>
        <v/>
      </c>
      <c r="F142" s="1" t="str">
        <f t="shared" si="4"/>
        <v/>
      </c>
      <c r="I142" s="1" t="str">
        <f t="shared" si="7"/>
        <v/>
      </c>
      <c r="J142" s="1" t="str">
        <f t="shared" si="8"/>
        <v/>
      </c>
    </row>
    <row r="143">
      <c r="A143" s="107">
        <v>130.0</v>
      </c>
      <c r="B143" s="1" t="str">
        <f t="array" ref="B143">IF(I143,IF(J143,INDEX(PossibleEncountersRegioned!$C$2:$C886,RANDBETWEEN(1,COUNTA(PossibleEncountersRegioned!$C$2:$C886)+1)),INDEX(PossibleEncountersRegioned!$B$2:$B886,RANDBETWEEN(1,COUNTA(PossibleEncountersRegioned!$B$2:$B886)+1))),IF($D$6&gt;(A143-1), INDEX(PossibleEncountersRegioned!$A$2:$A886,RANDBETWEEN(1,COUNTA(PossibleEncountersRegioned!$A$2:$A886))),""))</f>
        <v/>
      </c>
      <c r="D143" s="1" t="str">
        <f t="shared" si="5"/>
        <v/>
      </c>
      <c r="E143" s="131" t="str">
        <f t="shared" si="6"/>
        <v/>
      </c>
      <c r="F143" s="1" t="str">
        <f t="shared" si="4"/>
        <v/>
      </c>
      <c r="I143" s="1" t="str">
        <f t="shared" si="7"/>
        <v/>
      </c>
      <c r="J143" s="1" t="str">
        <f t="shared" si="8"/>
        <v/>
      </c>
    </row>
    <row r="144">
      <c r="A144" s="107">
        <v>131.0</v>
      </c>
      <c r="B144" s="1" t="str">
        <f t="array" ref="B144">IF(I144,IF(J144,INDEX(PossibleEncountersRegioned!$C$2:$C886,RANDBETWEEN(1,COUNTA(PossibleEncountersRegioned!$C$2:$C886)+1)),INDEX(PossibleEncountersRegioned!$B$2:$B886,RANDBETWEEN(1,COUNTA(PossibleEncountersRegioned!$B$2:$B886)+1))),IF($D$6&gt;(A144-1), INDEX(PossibleEncountersRegioned!$A$2:$A886,RANDBETWEEN(1,COUNTA(PossibleEncountersRegioned!$A$2:$A886))),""))</f>
        <v/>
      </c>
      <c r="D144" s="1" t="str">
        <f t="shared" si="5"/>
        <v/>
      </c>
      <c r="E144" s="131" t="str">
        <f t="shared" si="6"/>
        <v/>
      </c>
      <c r="F144" s="1" t="str">
        <f t="shared" si="4"/>
        <v/>
      </c>
      <c r="I144" s="1" t="str">
        <f t="shared" si="7"/>
        <v/>
      </c>
      <c r="J144" s="1" t="str">
        <f t="shared" si="8"/>
        <v/>
      </c>
    </row>
    <row r="145">
      <c r="A145" s="107">
        <v>132.0</v>
      </c>
      <c r="B145" s="1" t="str">
        <f t="array" ref="B145">IF(I145,IF(J145,INDEX(PossibleEncountersRegioned!$C$2:$C886,RANDBETWEEN(1,COUNTA(PossibleEncountersRegioned!$C$2:$C886)+1)),INDEX(PossibleEncountersRegioned!$B$2:$B886,RANDBETWEEN(1,COUNTA(PossibleEncountersRegioned!$B$2:$B886)+1))),IF($D$6&gt;(A145-1), INDEX(PossibleEncountersRegioned!$A$2:$A886,RANDBETWEEN(1,COUNTA(PossibleEncountersRegioned!$A$2:$A886))),""))</f>
        <v/>
      </c>
      <c r="D145" s="1" t="str">
        <f t="shared" si="5"/>
        <v/>
      </c>
      <c r="E145" s="131" t="str">
        <f t="shared" si="6"/>
        <v/>
      </c>
      <c r="F145" s="1" t="str">
        <f t="shared" si="4"/>
        <v/>
      </c>
      <c r="I145" s="1" t="str">
        <f t="shared" si="7"/>
        <v/>
      </c>
      <c r="J145" s="1" t="str">
        <f t="shared" si="8"/>
        <v/>
      </c>
    </row>
    <row r="146">
      <c r="A146" s="107">
        <v>133.0</v>
      </c>
      <c r="B146" s="1" t="str">
        <f t="array" ref="B146">IF(I146,IF(J146,INDEX(PossibleEncountersRegioned!$C$2:$C886,RANDBETWEEN(1,COUNTA(PossibleEncountersRegioned!$C$2:$C886)+1)),INDEX(PossibleEncountersRegioned!$B$2:$B886,RANDBETWEEN(1,COUNTA(PossibleEncountersRegioned!$B$2:$B886)+1))),IF($D$6&gt;(A146-1), INDEX(PossibleEncountersRegioned!$A$2:$A886,RANDBETWEEN(1,COUNTA(PossibleEncountersRegioned!$A$2:$A886))),""))</f>
        <v/>
      </c>
      <c r="D146" s="1" t="str">
        <f t="shared" si="5"/>
        <v/>
      </c>
      <c r="E146" s="131" t="str">
        <f t="shared" si="6"/>
        <v/>
      </c>
      <c r="F146" s="1" t="str">
        <f t="shared" si="4"/>
        <v/>
      </c>
      <c r="I146" s="1" t="str">
        <f t="shared" si="7"/>
        <v/>
      </c>
      <c r="J146" s="1" t="str">
        <f t="shared" si="8"/>
        <v/>
      </c>
    </row>
    <row r="147">
      <c r="A147" s="107">
        <v>134.0</v>
      </c>
      <c r="B147" s="1" t="str">
        <f t="array" ref="B147">IF(I147,IF(J147,INDEX(PossibleEncountersRegioned!$C$2:$C886,RANDBETWEEN(1,COUNTA(PossibleEncountersRegioned!$C$2:$C886)+1)),INDEX(PossibleEncountersRegioned!$B$2:$B886,RANDBETWEEN(1,COUNTA(PossibleEncountersRegioned!$B$2:$B886)+1))),IF($D$6&gt;(A147-1), INDEX(PossibleEncountersRegioned!$A$2:$A886,RANDBETWEEN(1,COUNTA(PossibleEncountersRegioned!$A$2:$A886))),""))</f>
        <v/>
      </c>
      <c r="D147" s="1" t="str">
        <f t="shared" si="5"/>
        <v/>
      </c>
      <c r="E147" s="131" t="str">
        <f t="shared" si="6"/>
        <v/>
      </c>
      <c r="F147" s="1" t="str">
        <f t="shared" si="4"/>
        <v/>
      </c>
      <c r="I147" s="1" t="str">
        <f t="shared" si="7"/>
        <v/>
      </c>
      <c r="J147" s="1" t="str">
        <f t="shared" si="8"/>
        <v/>
      </c>
    </row>
    <row r="148">
      <c r="A148" s="107">
        <v>135.0</v>
      </c>
      <c r="B148" s="1" t="str">
        <f t="array" ref="B148">IF(I148,IF(J148,INDEX(PossibleEncountersRegioned!$C$2:$C886,RANDBETWEEN(1,COUNTA(PossibleEncountersRegioned!$C$2:$C886)+1)),INDEX(PossibleEncountersRegioned!$B$2:$B886,RANDBETWEEN(1,COUNTA(PossibleEncountersRegioned!$B$2:$B886)+1))),IF($D$6&gt;(A148-1), INDEX(PossibleEncountersRegioned!$A$2:$A886,RANDBETWEEN(1,COUNTA(PossibleEncountersRegioned!$A$2:$A886))),""))</f>
        <v/>
      </c>
      <c r="D148" s="1" t="str">
        <f t="shared" si="5"/>
        <v/>
      </c>
      <c r="E148" s="131" t="str">
        <f t="shared" si="6"/>
        <v/>
      </c>
      <c r="F148" s="1" t="str">
        <f t="shared" si="4"/>
        <v/>
      </c>
      <c r="I148" s="1" t="str">
        <f t="shared" si="7"/>
        <v/>
      </c>
      <c r="J148" s="1" t="str">
        <f t="shared" si="8"/>
        <v/>
      </c>
    </row>
    <row r="149">
      <c r="A149" s="107">
        <v>136.0</v>
      </c>
      <c r="B149" s="1" t="str">
        <f t="array" ref="B149">IF(I149,IF(J149,INDEX(PossibleEncountersRegioned!$C$2:$C886,RANDBETWEEN(1,COUNTA(PossibleEncountersRegioned!$C$2:$C886)+1)),INDEX(PossibleEncountersRegioned!$B$2:$B886,RANDBETWEEN(1,COUNTA(PossibleEncountersRegioned!$B$2:$B886)+1))),IF($D$6&gt;(A149-1), INDEX(PossibleEncountersRegioned!$A$2:$A886,RANDBETWEEN(1,COUNTA(PossibleEncountersRegioned!$A$2:$A886))),""))</f>
        <v/>
      </c>
      <c r="D149" s="1" t="str">
        <f t="shared" si="5"/>
        <v/>
      </c>
      <c r="E149" s="131" t="str">
        <f t="shared" si="6"/>
        <v/>
      </c>
      <c r="F149" s="1" t="str">
        <f t="shared" si="4"/>
        <v/>
      </c>
      <c r="I149" s="1" t="str">
        <f t="shared" si="7"/>
        <v/>
      </c>
      <c r="J149" s="1" t="str">
        <f t="shared" si="8"/>
        <v/>
      </c>
    </row>
    <row r="150">
      <c r="A150" s="107">
        <v>137.0</v>
      </c>
      <c r="B150" s="1" t="str">
        <f t="array" ref="B150">IF(I150,IF(J150,INDEX(PossibleEncountersRegioned!$C$2:$C886,RANDBETWEEN(1,COUNTA(PossibleEncountersRegioned!$C$2:$C886)+1)),INDEX(PossibleEncountersRegioned!$B$2:$B886,RANDBETWEEN(1,COUNTA(PossibleEncountersRegioned!$B$2:$B886)+1))),IF($D$6&gt;(A150-1), INDEX(PossibleEncountersRegioned!$A$2:$A886,RANDBETWEEN(1,COUNTA(PossibleEncountersRegioned!$A$2:$A886))),""))</f>
        <v/>
      </c>
      <c r="D150" s="1" t="str">
        <f t="shared" si="5"/>
        <v/>
      </c>
      <c r="E150" s="131" t="str">
        <f t="shared" si="6"/>
        <v/>
      </c>
      <c r="F150" s="1" t="str">
        <f t="shared" si="4"/>
        <v/>
      </c>
      <c r="I150" s="1" t="str">
        <f t="shared" si="7"/>
        <v/>
      </c>
      <c r="J150" s="1" t="str">
        <f t="shared" si="8"/>
        <v/>
      </c>
    </row>
    <row r="151">
      <c r="A151" s="107">
        <v>138.0</v>
      </c>
      <c r="B151" s="1" t="str">
        <f t="array" ref="B151">IF(I151,IF(J151,INDEX(PossibleEncountersRegioned!$C$2:$C886,RANDBETWEEN(1,COUNTA(PossibleEncountersRegioned!$C$2:$C886)+1)),INDEX(PossibleEncountersRegioned!$B$2:$B886,RANDBETWEEN(1,COUNTA(PossibleEncountersRegioned!$B$2:$B886)+1))),IF($D$6&gt;(A151-1), INDEX(PossibleEncountersRegioned!$A$2:$A886,RANDBETWEEN(1,COUNTA(PossibleEncountersRegioned!$A$2:$A886))),""))</f>
        <v/>
      </c>
      <c r="D151" s="1" t="str">
        <f t="shared" si="5"/>
        <v/>
      </c>
      <c r="E151" s="131" t="str">
        <f t="shared" si="6"/>
        <v/>
      </c>
      <c r="F151" s="1" t="str">
        <f t="shared" si="4"/>
        <v/>
      </c>
      <c r="I151" s="1" t="str">
        <f t="shared" si="7"/>
        <v/>
      </c>
      <c r="J151" s="1" t="str">
        <f t="shared" si="8"/>
        <v/>
      </c>
    </row>
    <row r="152">
      <c r="A152" s="107">
        <v>139.0</v>
      </c>
      <c r="B152" s="1" t="str">
        <f t="array" ref="B152">IF(I152,IF(J152,INDEX(PossibleEncountersRegioned!$C$2:$C886,RANDBETWEEN(1,COUNTA(PossibleEncountersRegioned!$C$2:$C886)+1)),INDEX(PossibleEncountersRegioned!$B$2:$B886,RANDBETWEEN(1,COUNTA(PossibleEncountersRegioned!$B$2:$B886)+1))),IF($D$6&gt;(A152-1), INDEX(PossibleEncountersRegioned!$A$2:$A886,RANDBETWEEN(1,COUNTA(PossibleEncountersRegioned!$A$2:$A886))),""))</f>
        <v/>
      </c>
      <c r="D152" s="1" t="str">
        <f t="shared" si="5"/>
        <v/>
      </c>
      <c r="E152" s="131" t="str">
        <f t="shared" si="6"/>
        <v/>
      </c>
      <c r="F152" s="1" t="str">
        <f t="shared" si="4"/>
        <v/>
      </c>
      <c r="I152" s="1" t="str">
        <f t="shared" si="7"/>
        <v/>
      </c>
      <c r="J152" s="1" t="str">
        <f t="shared" si="8"/>
        <v/>
      </c>
    </row>
    <row r="153">
      <c r="A153" s="107">
        <v>140.0</v>
      </c>
      <c r="B153" s="1" t="str">
        <f t="array" ref="B153">IF(I153,IF(J153,INDEX(PossibleEncountersRegioned!$C$2:$C886,RANDBETWEEN(1,COUNTA(PossibleEncountersRegioned!$C$2:$C886)+1)),INDEX(PossibleEncountersRegioned!$B$2:$B886,RANDBETWEEN(1,COUNTA(PossibleEncountersRegioned!$B$2:$B886)+1))),IF($D$6&gt;(A153-1), INDEX(PossibleEncountersRegioned!$A$2:$A886,RANDBETWEEN(1,COUNTA(PossibleEncountersRegioned!$A$2:$A886))),""))</f>
        <v/>
      </c>
      <c r="D153" s="1" t="str">
        <f t="shared" si="5"/>
        <v/>
      </c>
      <c r="E153" s="131" t="str">
        <f t="shared" si="6"/>
        <v/>
      </c>
      <c r="F153" s="1" t="str">
        <f t="shared" si="4"/>
        <v/>
      </c>
      <c r="I153" s="1" t="str">
        <f t="shared" si="7"/>
        <v/>
      </c>
      <c r="J153" s="1" t="str">
        <f t="shared" si="8"/>
        <v/>
      </c>
    </row>
    <row r="154">
      <c r="A154" s="107">
        <v>141.0</v>
      </c>
      <c r="B154" s="1" t="str">
        <f t="array" ref="B154">IF(I154,IF(J154,INDEX(PossibleEncountersRegioned!$C$2:$C886,RANDBETWEEN(1,COUNTA(PossibleEncountersRegioned!$C$2:$C886)+1)),INDEX(PossibleEncountersRegioned!$B$2:$B886,RANDBETWEEN(1,COUNTA(PossibleEncountersRegioned!$B$2:$B886)+1))),IF($D$6&gt;(A154-1), INDEX(PossibleEncountersRegioned!$A$2:$A886,RANDBETWEEN(1,COUNTA(PossibleEncountersRegioned!$A$2:$A886))),""))</f>
        <v/>
      </c>
      <c r="D154" s="1" t="str">
        <f t="shared" si="5"/>
        <v/>
      </c>
      <c r="E154" s="131" t="str">
        <f t="shared" si="6"/>
        <v/>
      </c>
      <c r="F154" s="1" t="str">
        <f t="shared" si="4"/>
        <v/>
      </c>
      <c r="I154" s="1" t="str">
        <f t="shared" si="7"/>
        <v/>
      </c>
      <c r="J154" s="1" t="str">
        <f t="shared" si="8"/>
        <v/>
      </c>
    </row>
    <row r="155">
      <c r="A155" s="107">
        <v>142.0</v>
      </c>
      <c r="B155" s="1" t="str">
        <f t="array" ref="B155">IF(I155,IF(J155,INDEX(PossibleEncountersRegioned!$C$2:$C886,RANDBETWEEN(1,COUNTA(PossibleEncountersRegioned!$C$2:$C886)+1)),INDEX(PossibleEncountersRegioned!$B$2:$B886,RANDBETWEEN(1,COUNTA(PossibleEncountersRegioned!$B$2:$B886)+1))),IF($D$6&gt;(A155-1), INDEX(PossibleEncountersRegioned!$A$2:$A886,RANDBETWEEN(1,COUNTA(PossibleEncountersRegioned!$A$2:$A886))),""))</f>
        <v/>
      </c>
      <c r="D155" s="1" t="str">
        <f t="shared" si="5"/>
        <v/>
      </c>
      <c r="E155" s="131" t="str">
        <f t="shared" si="6"/>
        <v/>
      </c>
      <c r="F155" s="1" t="str">
        <f t="shared" si="4"/>
        <v/>
      </c>
      <c r="I155" s="1" t="str">
        <f t="shared" si="7"/>
        <v/>
      </c>
      <c r="J155" s="1" t="str">
        <f t="shared" si="8"/>
        <v/>
      </c>
    </row>
    <row r="156">
      <c r="A156" s="107">
        <v>143.0</v>
      </c>
      <c r="B156" s="1" t="str">
        <f t="array" ref="B156">IF(I156,IF(J156,INDEX(PossibleEncountersRegioned!$C$2:$C886,RANDBETWEEN(1,COUNTA(PossibleEncountersRegioned!$C$2:$C886)+1)),INDEX(PossibleEncountersRegioned!$B$2:$B886,RANDBETWEEN(1,COUNTA(PossibleEncountersRegioned!$B$2:$B886)+1))),IF($D$6&gt;(A156-1), INDEX(PossibleEncountersRegioned!$A$2:$A886,RANDBETWEEN(1,COUNTA(PossibleEncountersRegioned!$A$2:$A886))),""))</f>
        <v/>
      </c>
      <c r="D156" s="1" t="str">
        <f t="shared" si="5"/>
        <v/>
      </c>
      <c r="E156" s="131" t="str">
        <f t="shared" si="6"/>
        <v/>
      </c>
      <c r="F156" s="1" t="str">
        <f t="shared" si="4"/>
        <v/>
      </c>
      <c r="I156" s="1" t="str">
        <f t="shared" si="7"/>
        <v/>
      </c>
      <c r="J156" s="1" t="str">
        <f t="shared" si="8"/>
        <v/>
      </c>
    </row>
    <row r="157">
      <c r="A157" s="107">
        <v>144.0</v>
      </c>
      <c r="B157" s="1" t="str">
        <f t="array" ref="B157">IF(I157,IF(J157,INDEX(PossibleEncountersRegioned!$C$2:$C886,RANDBETWEEN(1,COUNTA(PossibleEncountersRegioned!$C$2:$C886)+1)),INDEX(PossibleEncountersRegioned!$B$2:$B886,RANDBETWEEN(1,COUNTA(PossibleEncountersRegioned!$B$2:$B886)+1))),IF($D$6&gt;(A157-1), INDEX(PossibleEncountersRegioned!$A$2:$A886,RANDBETWEEN(1,COUNTA(PossibleEncountersRegioned!$A$2:$A886))),""))</f>
        <v/>
      </c>
      <c r="D157" s="1" t="str">
        <f t="shared" si="5"/>
        <v/>
      </c>
      <c r="E157" s="131" t="str">
        <f t="shared" si="6"/>
        <v/>
      </c>
      <c r="F157" s="1" t="str">
        <f t="shared" si="4"/>
        <v/>
      </c>
      <c r="I157" s="1" t="str">
        <f t="shared" si="7"/>
        <v/>
      </c>
      <c r="J157" s="1" t="str">
        <f t="shared" si="8"/>
        <v/>
      </c>
    </row>
    <row r="158">
      <c r="A158" s="107">
        <v>145.0</v>
      </c>
      <c r="B158" s="1" t="str">
        <f t="array" ref="B158">IF(I158,IF(J158,INDEX(PossibleEncountersRegioned!$C$2:$C886,RANDBETWEEN(1,COUNTA(PossibleEncountersRegioned!$C$2:$C886)+1)),INDEX(PossibleEncountersRegioned!$B$2:$B886,RANDBETWEEN(1,COUNTA(PossibleEncountersRegioned!$B$2:$B886)+1))),IF($D$6&gt;(A158-1), INDEX(PossibleEncountersRegioned!$A$2:$A886,RANDBETWEEN(1,COUNTA(PossibleEncountersRegioned!$A$2:$A886))),""))</f>
        <v/>
      </c>
      <c r="D158" s="1" t="str">
        <f t="shared" si="5"/>
        <v/>
      </c>
      <c r="E158" s="131" t="str">
        <f t="shared" si="6"/>
        <v/>
      </c>
      <c r="F158" s="1" t="str">
        <f t="shared" si="4"/>
        <v/>
      </c>
      <c r="I158" s="1" t="str">
        <f t="shared" si="7"/>
        <v/>
      </c>
      <c r="J158" s="1" t="str">
        <f t="shared" si="8"/>
        <v/>
      </c>
    </row>
    <row r="159">
      <c r="A159" s="107">
        <v>146.0</v>
      </c>
      <c r="B159" s="1" t="str">
        <f t="array" ref="B159">IF(I159,IF(J159,INDEX(PossibleEncountersRegioned!$C$2:$C886,RANDBETWEEN(1,COUNTA(PossibleEncountersRegioned!$C$2:$C886)+1)),INDEX(PossibleEncountersRegioned!$B$2:$B886,RANDBETWEEN(1,COUNTA(PossibleEncountersRegioned!$B$2:$B886)+1))),IF($D$6&gt;(A159-1), INDEX(PossibleEncountersRegioned!$A$2:$A886,RANDBETWEEN(1,COUNTA(PossibleEncountersRegioned!$A$2:$A886))),""))</f>
        <v/>
      </c>
      <c r="D159" s="1" t="str">
        <f t="shared" si="5"/>
        <v/>
      </c>
      <c r="E159" s="131" t="str">
        <f t="shared" si="6"/>
        <v/>
      </c>
      <c r="F159" s="1" t="str">
        <f t="shared" si="4"/>
        <v/>
      </c>
      <c r="I159" s="1" t="str">
        <f t="shared" si="7"/>
        <v/>
      </c>
      <c r="J159" s="1" t="str">
        <f t="shared" si="8"/>
        <v/>
      </c>
    </row>
    <row r="160">
      <c r="A160" s="107">
        <v>147.0</v>
      </c>
      <c r="B160" s="1" t="str">
        <f t="array" ref="B160">IF(I160,IF(J160,INDEX(PossibleEncountersRegioned!$C$2:$C886,RANDBETWEEN(1,COUNTA(PossibleEncountersRegioned!$C$2:$C886)+1)),INDEX(PossibleEncountersRegioned!$B$2:$B886,RANDBETWEEN(1,COUNTA(PossibleEncountersRegioned!$B$2:$B886)+1))),IF($D$6&gt;(A160-1), INDEX(PossibleEncountersRegioned!$A$2:$A886,RANDBETWEEN(1,COUNTA(PossibleEncountersRegioned!$A$2:$A886))),""))</f>
        <v/>
      </c>
      <c r="D160" s="1" t="str">
        <f t="shared" si="5"/>
        <v/>
      </c>
      <c r="E160" s="131" t="str">
        <f t="shared" si="6"/>
        <v/>
      </c>
      <c r="F160" s="1" t="str">
        <f t="shared" si="4"/>
        <v/>
      </c>
      <c r="I160" s="1" t="str">
        <f t="shared" si="7"/>
        <v/>
      </c>
      <c r="J160" s="1" t="str">
        <f t="shared" si="8"/>
        <v/>
      </c>
    </row>
    <row r="161">
      <c r="A161" s="107">
        <v>148.0</v>
      </c>
      <c r="B161" s="1" t="str">
        <f t="array" ref="B161">IF(I161,IF(J161,INDEX(PossibleEncountersRegioned!$C$2:$C886,RANDBETWEEN(1,COUNTA(PossibleEncountersRegioned!$C$2:$C886)+1)),INDEX(PossibleEncountersRegioned!$B$2:$B886,RANDBETWEEN(1,COUNTA(PossibleEncountersRegioned!$B$2:$B886)+1))),IF($D$6&gt;(A161-1), INDEX(PossibleEncountersRegioned!$A$2:$A886,RANDBETWEEN(1,COUNTA(PossibleEncountersRegioned!$A$2:$A886))),""))</f>
        <v/>
      </c>
      <c r="D161" s="1" t="str">
        <f t="shared" si="5"/>
        <v/>
      </c>
      <c r="E161" s="131" t="str">
        <f t="shared" si="6"/>
        <v/>
      </c>
      <c r="F161" s="1" t="str">
        <f t="shared" si="4"/>
        <v/>
      </c>
      <c r="I161" s="1" t="str">
        <f t="shared" si="7"/>
        <v/>
      </c>
      <c r="J161" s="1" t="str">
        <f t="shared" si="8"/>
        <v/>
      </c>
    </row>
    <row r="162">
      <c r="A162" s="107">
        <v>149.0</v>
      </c>
      <c r="B162" s="1" t="str">
        <f t="array" ref="B162">IF(I162,IF(J162,INDEX(PossibleEncountersRegioned!$C$2:$C886,RANDBETWEEN(1,COUNTA(PossibleEncountersRegioned!$C$2:$C886)+1)),INDEX(PossibleEncountersRegioned!$B$2:$B886,RANDBETWEEN(1,COUNTA(PossibleEncountersRegioned!$B$2:$B886)+1))),IF($D$6&gt;(A162-1), INDEX(PossibleEncountersRegioned!$A$2:$A886,RANDBETWEEN(1,COUNTA(PossibleEncountersRegioned!$A$2:$A886))),""))</f>
        <v/>
      </c>
      <c r="D162" s="1" t="str">
        <f t="shared" si="5"/>
        <v/>
      </c>
      <c r="E162" s="131" t="str">
        <f t="shared" si="6"/>
        <v/>
      </c>
      <c r="F162" s="1" t="str">
        <f t="shared" si="4"/>
        <v/>
      </c>
      <c r="I162" s="1" t="str">
        <f t="shared" si="7"/>
        <v/>
      </c>
      <c r="J162" s="1" t="str">
        <f t="shared" si="8"/>
        <v/>
      </c>
    </row>
    <row r="163">
      <c r="A163" s="107">
        <v>150.0</v>
      </c>
      <c r="B163" s="1" t="str">
        <f t="array" ref="B163">IF(I163,IF(J163,INDEX(PossibleEncountersRegioned!$C$2:$C886,RANDBETWEEN(1,COUNTA(PossibleEncountersRegioned!$C$2:$C886)+1)),INDEX(PossibleEncountersRegioned!$B$2:$B886,RANDBETWEEN(1,COUNTA(PossibleEncountersRegioned!$B$2:$B886)+1))),IF($D$6&gt;(A163-1), INDEX(PossibleEncountersRegioned!$A$2:$A886,RANDBETWEEN(1,COUNTA(PossibleEncountersRegioned!$A$2:$A886))),""))</f>
        <v/>
      </c>
      <c r="D163" s="1" t="str">
        <f t="shared" si="5"/>
        <v/>
      </c>
      <c r="E163" s="131" t="str">
        <f t="shared" si="6"/>
        <v/>
      </c>
      <c r="F163" s="1" t="str">
        <f t="shared" si="4"/>
        <v/>
      </c>
      <c r="I163" s="1" t="str">
        <f t="shared" si="7"/>
        <v/>
      </c>
      <c r="J163" s="1" t="str">
        <f t="shared" si="8"/>
        <v/>
      </c>
    </row>
    <row r="164">
      <c r="A164" s="107">
        <v>151.0</v>
      </c>
      <c r="B164" s="1" t="str">
        <f t="array" ref="B164">IF(I164,IF(J164,INDEX(PossibleEncountersRegioned!$C$2:$C886,RANDBETWEEN(1,COUNTA(PossibleEncountersRegioned!$C$2:$C886)+1)),INDEX(PossibleEncountersRegioned!$B$2:$B886,RANDBETWEEN(1,COUNTA(PossibleEncountersRegioned!$B$2:$B886)+1))),IF($D$6&gt;(A164-1), INDEX(PossibleEncountersRegioned!$A$2:$A886,RANDBETWEEN(1,COUNTA(PossibleEncountersRegioned!$A$2:$A886))),""))</f>
        <v/>
      </c>
      <c r="D164" s="1" t="str">
        <f t="shared" si="5"/>
        <v/>
      </c>
      <c r="E164" s="131" t="str">
        <f t="shared" si="6"/>
        <v/>
      </c>
      <c r="F164" s="1" t="str">
        <f t="shared" si="4"/>
        <v/>
      </c>
      <c r="I164" s="1" t="str">
        <f t="shared" si="7"/>
        <v/>
      </c>
      <c r="J164" s="1" t="str">
        <f t="shared" si="8"/>
        <v/>
      </c>
    </row>
    <row r="165">
      <c r="A165" s="107">
        <v>152.0</v>
      </c>
      <c r="B165" s="1" t="str">
        <f t="array" ref="B165">IF(I165,IF(J165,INDEX(PossibleEncountersRegioned!$C$2:$C886,RANDBETWEEN(1,COUNTA(PossibleEncountersRegioned!$C$2:$C886)+1)),INDEX(PossibleEncountersRegioned!$B$2:$B886,RANDBETWEEN(1,COUNTA(PossibleEncountersRegioned!$B$2:$B886)+1))),IF($D$6&gt;(A165-1), INDEX(PossibleEncountersRegioned!$A$2:$A886,RANDBETWEEN(1,COUNTA(PossibleEncountersRegioned!$A$2:$A886))),""))</f>
        <v/>
      </c>
      <c r="D165" s="1" t="str">
        <f t="shared" si="5"/>
        <v/>
      </c>
      <c r="E165" s="131" t="str">
        <f t="shared" si="6"/>
        <v/>
      </c>
      <c r="F165" s="1" t="str">
        <f t="shared" si="4"/>
        <v/>
      </c>
      <c r="I165" s="1" t="str">
        <f t="shared" si="7"/>
        <v/>
      </c>
      <c r="J165" s="1" t="str">
        <f t="shared" si="8"/>
        <v/>
      </c>
    </row>
    <row r="166">
      <c r="A166" s="107">
        <v>153.0</v>
      </c>
      <c r="B166" s="1" t="str">
        <f t="array" ref="B166">IF(I166,IF(J166,INDEX(PossibleEncountersRegioned!$C$2:$C886,RANDBETWEEN(1,COUNTA(PossibleEncountersRegioned!$C$2:$C886)+1)),INDEX(PossibleEncountersRegioned!$B$2:$B886,RANDBETWEEN(1,COUNTA(PossibleEncountersRegioned!$B$2:$B886)+1))),IF($D$6&gt;(A166-1), INDEX(PossibleEncountersRegioned!$A$2:$A886,RANDBETWEEN(1,COUNTA(PossibleEncountersRegioned!$A$2:$A886))),""))</f>
        <v/>
      </c>
      <c r="D166" s="1" t="str">
        <f t="shared" si="5"/>
        <v/>
      </c>
      <c r="E166" s="131" t="str">
        <f t="shared" si="6"/>
        <v/>
      </c>
      <c r="F166" s="1" t="str">
        <f t="shared" si="4"/>
        <v/>
      </c>
      <c r="I166" s="1" t="str">
        <f t="shared" si="7"/>
        <v/>
      </c>
      <c r="J166" s="1" t="str">
        <f t="shared" si="8"/>
        <v/>
      </c>
    </row>
    <row r="167">
      <c r="A167" s="107">
        <v>154.0</v>
      </c>
      <c r="B167" s="1" t="str">
        <f t="array" ref="B167">IF(I167,IF(J167,INDEX(PossibleEncountersRegioned!$C$2:$C886,RANDBETWEEN(1,COUNTA(PossibleEncountersRegioned!$C$2:$C886)+1)),INDEX(PossibleEncountersRegioned!$B$2:$B886,RANDBETWEEN(1,COUNTA(PossibleEncountersRegioned!$B$2:$B886)+1))),IF($D$6&gt;(A167-1), INDEX(PossibleEncountersRegioned!$A$2:$A886,RANDBETWEEN(1,COUNTA(PossibleEncountersRegioned!$A$2:$A886))),""))</f>
        <v/>
      </c>
      <c r="D167" s="1" t="str">
        <f t="shared" si="5"/>
        <v/>
      </c>
      <c r="E167" s="131" t="str">
        <f t="shared" si="6"/>
        <v/>
      </c>
      <c r="F167" s="1" t="str">
        <f t="shared" si="4"/>
        <v/>
      </c>
      <c r="I167" s="1" t="str">
        <f t="shared" si="7"/>
        <v/>
      </c>
      <c r="J167" s="1" t="str">
        <f t="shared" si="8"/>
        <v/>
      </c>
    </row>
    <row r="168">
      <c r="A168" s="107">
        <v>155.0</v>
      </c>
      <c r="B168" s="1" t="str">
        <f t="array" ref="B168">IF(I168,IF(J168,INDEX(PossibleEncountersRegioned!$C$2:$C886,RANDBETWEEN(1,COUNTA(PossibleEncountersRegioned!$C$2:$C886)+1)),INDEX(PossibleEncountersRegioned!$B$2:$B886,RANDBETWEEN(1,COUNTA(PossibleEncountersRegioned!$B$2:$B886)+1))),IF($D$6&gt;(A168-1), INDEX(PossibleEncountersRegioned!$A$2:$A886,RANDBETWEEN(1,COUNTA(PossibleEncountersRegioned!$A$2:$A886))),""))</f>
        <v/>
      </c>
      <c r="D168" s="1" t="str">
        <f t="shared" si="5"/>
        <v/>
      </c>
      <c r="E168" s="131" t="str">
        <f t="shared" si="6"/>
        <v/>
      </c>
      <c r="F168" s="1" t="str">
        <f t="shared" si="4"/>
        <v/>
      </c>
      <c r="I168" s="1" t="str">
        <f t="shared" si="7"/>
        <v/>
      </c>
      <c r="J168" s="1" t="str">
        <f t="shared" si="8"/>
        <v/>
      </c>
    </row>
    <row r="169">
      <c r="A169" s="107">
        <v>156.0</v>
      </c>
      <c r="B169" s="1" t="str">
        <f t="array" ref="B169">IF(I169,IF(J169,INDEX(PossibleEncountersRegioned!$C$2:$C886,RANDBETWEEN(1,COUNTA(PossibleEncountersRegioned!$C$2:$C886)+1)),INDEX(PossibleEncountersRegioned!$B$2:$B886,RANDBETWEEN(1,COUNTA(PossibleEncountersRegioned!$B$2:$B886)+1))),IF($D$6&gt;(A169-1), INDEX(PossibleEncountersRegioned!$A$2:$A886,RANDBETWEEN(1,COUNTA(PossibleEncountersRegioned!$A$2:$A886))),""))</f>
        <v/>
      </c>
      <c r="D169" s="1" t="str">
        <f t="shared" si="5"/>
        <v/>
      </c>
      <c r="E169" s="131" t="str">
        <f t="shared" si="6"/>
        <v/>
      </c>
      <c r="F169" s="1" t="str">
        <f t="shared" si="4"/>
        <v/>
      </c>
      <c r="I169" s="1" t="str">
        <f t="shared" si="7"/>
        <v/>
      </c>
      <c r="J169" s="1" t="str">
        <f t="shared" si="8"/>
        <v/>
      </c>
    </row>
    <row r="170">
      <c r="A170" s="107">
        <v>157.0</v>
      </c>
      <c r="B170" s="1" t="str">
        <f t="array" ref="B170">IF(I170,IF(J170,INDEX(PossibleEncountersRegioned!$C$2:$C886,RANDBETWEEN(1,COUNTA(PossibleEncountersRegioned!$C$2:$C886)+1)),INDEX(PossibleEncountersRegioned!$B$2:$B886,RANDBETWEEN(1,COUNTA(PossibleEncountersRegioned!$B$2:$B886)+1))),IF($D$6&gt;(A170-1), INDEX(PossibleEncountersRegioned!$A$2:$A886,RANDBETWEEN(1,COUNTA(PossibleEncountersRegioned!$A$2:$A886))),""))</f>
        <v/>
      </c>
      <c r="D170" s="1" t="str">
        <f t="shared" si="5"/>
        <v/>
      </c>
      <c r="E170" s="131" t="str">
        <f t="shared" si="6"/>
        <v/>
      </c>
      <c r="F170" s="1" t="str">
        <f t="shared" si="4"/>
        <v/>
      </c>
      <c r="I170" s="1" t="str">
        <f t="shared" si="7"/>
        <v/>
      </c>
      <c r="J170" s="1" t="str">
        <f t="shared" si="8"/>
        <v/>
      </c>
    </row>
    <row r="171">
      <c r="A171" s="107">
        <v>158.0</v>
      </c>
      <c r="B171" s="1" t="str">
        <f t="array" ref="B171">IF(I171,IF(J171,INDEX(PossibleEncountersRegioned!$C$2:$C886,RANDBETWEEN(1,COUNTA(PossibleEncountersRegioned!$C$2:$C886)+1)),INDEX(PossibleEncountersRegioned!$B$2:$B886,RANDBETWEEN(1,COUNTA(PossibleEncountersRegioned!$B$2:$B886)+1))),IF($D$6&gt;(A171-1), INDEX(PossibleEncountersRegioned!$A$2:$A886,RANDBETWEEN(1,COUNTA(PossibleEncountersRegioned!$A$2:$A886))),""))</f>
        <v/>
      </c>
      <c r="D171" s="1" t="str">
        <f t="shared" si="5"/>
        <v/>
      </c>
      <c r="E171" s="131" t="str">
        <f t="shared" si="6"/>
        <v/>
      </c>
      <c r="F171" s="1" t="str">
        <f t="shared" si="4"/>
        <v/>
      </c>
      <c r="I171" s="1" t="str">
        <f t="shared" si="7"/>
        <v/>
      </c>
      <c r="J171" s="1" t="str">
        <f t="shared" si="8"/>
        <v/>
      </c>
    </row>
    <row r="172">
      <c r="A172" s="107">
        <v>159.0</v>
      </c>
      <c r="B172" s="1" t="str">
        <f t="array" ref="B172">IF(I172,IF(J172,INDEX(PossibleEncountersRegioned!$C$2:$C886,RANDBETWEEN(1,COUNTA(PossibleEncountersRegioned!$C$2:$C886)+1)),INDEX(PossibleEncountersRegioned!$B$2:$B886,RANDBETWEEN(1,COUNTA(PossibleEncountersRegioned!$B$2:$B886)+1))),IF($D$6&gt;(A172-1), INDEX(PossibleEncountersRegioned!$A$2:$A886,RANDBETWEEN(1,COUNTA(PossibleEncountersRegioned!$A$2:$A886))),""))</f>
        <v/>
      </c>
      <c r="D172" s="1" t="str">
        <f t="shared" si="5"/>
        <v/>
      </c>
      <c r="E172" s="131" t="str">
        <f t="shared" si="6"/>
        <v/>
      </c>
      <c r="F172" s="1" t="str">
        <f t="shared" si="4"/>
        <v/>
      </c>
      <c r="I172" s="1" t="str">
        <f t="shared" si="7"/>
        <v/>
      </c>
      <c r="J172" s="1" t="str">
        <f t="shared" si="8"/>
        <v/>
      </c>
    </row>
    <row r="173">
      <c r="A173" s="107">
        <v>160.0</v>
      </c>
      <c r="B173" s="1" t="str">
        <f t="array" ref="B173">IF(I173,IF(J173,INDEX(PossibleEncountersRegioned!$C$2:$C886,RANDBETWEEN(1,COUNTA(PossibleEncountersRegioned!$C$2:$C886)+1)),INDEX(PossibleEncountersRegioned!$B$2:$B886,RANDBETWEEN(1,COUNTA(PossibleEncountersRegioned!$B$2:$B886)+1))),IF($D$6&gt;(A173-1), INDEX(PossibleEncountersRegioned!$A$2:$A886,RANDBETWEEN(1,COUNTA(PossibleEncountersRegioned!$A$2:$A886))),""))</f>
        <v/>
      </c>
      <c r="D173" s="1" t="str">
        <f t="shared" si="5"/>
        <v/>
      </c>
      <c r="E173" s="131" t="str">
        <f t="shared" si="6"/>
        <v/>
      </c>
      <c r="F173" s="1" t="str">
        <f t="shared" si="4"/>
        <v/>
      </c>
      <c r="I173" s="1" t="str">
        <f t="shared" si="7"/>
        <v/>
      </c>
      <c r="J173" s="1" t="str">
        <f t="shared" si="8"/>
        <v/>
      </c>
    </row>
    <row r="174">
      <c r="A174" s="107">
        <v>161.0</v>
      </c>
      <c r="B174" s="1" t="str">
        <f t="array" ref="B174">IF(I174,IF(J174,INDEX(PossibleEncountersRegioned!$C$2:$C886,RANDBETWEEN(1,COUNTA(PossibleEncountersRegioned!$C$2:$C886)+1)),INDEX(PossibleEncountersRegioned!$B$2:$B886,RANDBETWEEN(1,COUNTA(PossibleEncountersRegioned!$B$2:$B886)+1))),IF($D$6&gt;(A174-1), INDEX(PossibleEncountersRegioned!$A$2:$A886,RANDBETWEEN(1,COUNTA(PossibleEncountersRegioned!$A$2:$A886))),""))</f>
        <v/>
      </c>
      <c r="D174" s="1" t="str">
        <f t="shared" si="5"/>
        <v/>
      </c>
      <c r="E174" s="131" t="str">
        <f t="shared" si="6"/>
        <v/>
      </c>
      <c r="F174" s="1" t="str">
        <f t="shared" si="4"/>
        <v/>
      </c>
      <c r="I174" s="1" t="str">
        <f t="shared" si="7"/>
        <v/>
      </c>
      <c r="J174" s="1" t="str">
        <f t="shared" si="8"/>
        <v/>
      </c>
    </row>
    <row r="175">
      <c r="A175" s="107">
        <v>162.0</v>
      </c>
      <c r="B175" s="1" t="str">
        <f t="array" ref="B175">IF(I175,IF(J175,INDEX(PossibleEncountersRegioned!$C$2:$C886,RANDBETWEEN(1,COUNTA(PossibleEncountersRegioned!$C$2:$C886)+1)),INDEX(PossibleEncountersRegioned!$B$2:$B886,RANDBETWEEN(1,COUNTA(PossibleEncountersRegioned!$B$2:$B886)+1))),IF($D$6&gt;(A175-1), INDEX(PossibleEncountersRegioned!$A$2:$A886,RANDBETWEEN(1,COUNTA(PossibleEncountersRegioned!$A$2:$A886))),""))</f>
        <v/>
      </c>
      <c r="D175" s="1" t="str">
        <f t="shared" si="5"/>
        <v/>
      </c>
      <c r="E175" s="131" t="str">
        <f t="shared" si="6"/>
        <v/>
      </c>
      <c r="F175" s="1" t="str">
        <f t="shared" si="4"/>
        <v/>
      </c>
      <c r="I175" s="1" t="str">
        <f t="shared" si="7"/>
        <v/>
      </c>
      <c r="J175" s="1" t="str">
        <f t="shared" si="8"/>
        <v/>
      </c>
    </row>
    <row r="176">
      <c r="A176" s="107">
        <v>163.0</v>
      </c>
      <c r="B176" s="1" t="str">
        <f t="array" ref="B176">IF(I176,IF(J176,INDEX(PossibleEncountersRegioned!$C$2:$C886,RANDBETWEEN(1,COUNTA(PossibleEncountersRegioned!$C$2:$C886)+1)),INDEX(PossibleEncountersRegioned!$B$2:$B886,RANDBETWEEN(1,COUNTA(PossibleEncountersRegioned!$B$2:$B886)+1))),IF($D$6&gt;(A176-1), INDEX(PossibleEncountersRegioned!$A$2:$A886,RANDBETWEEN(1,COUNTA(PossibleEncountersRegioned!$A$2:$A886))),""))</f>
        <v/>
      </c>
      <c r="D176" s="1" t="str">
        <f t="shared" si="5"/>
        <v/>
      </c>
      <c r="E176" s="131" t="str">
        <f t="shared" si="6"/>
        <v/>
      </c>
      <c r="F176" s="1" t="str">
        <f t="shared" si="4"/>
        <v/>
      </c>
      <c r="I176" s="1" t="str">
        <f t="shared" si="7"/>
        <v/>
      </c>
      <c r="J176" s="1" t="str">
        <f t="shared" si="8"/>
        <v/>
      </c>
    </row>
    <row r="177">
      <c r="A177" s="107">
        <v>164.0</v>
      </c>
      <c r="B177" s="1" t="str">
        <f t="array" ref="B177">IF(I177,IF(J177,INDEX(PossibleEncountersRegioned!$C$2:$C886,RANDBETWEEN(1,COUNTA(PossibleEncountersRegioned!$C$2:$C886)+1)),INDEX(PossibleEncountersRegioned!$B$2:$B886,RANDBETWEEN(1,COUNTA(PossibleEncountersRegioned!$B$2:$B886)+1))),IF($D$6&gt;(A177-1), INDEX(PossibleEncountersRegioned!$A$2:$A886,RANDBETWEEN(1,COUNTA(PossibleEncountersRegioned!$A$2:$A886))),""))</f>
        <v/>
      </c>
      <c r="D177" s="1" t="str">
        <f t="shared" si="5"/>
        <v/>
      </c>
      <c r="E177" s="131" t="str">
        <f t="shared" si="6"/>
        <v/>
      </c>
      <c r="F177" s="1" t="str">
        <f t="shared" si="4"/>
        <v/>
      </c>
      <c r="I177" s="1" t="str">
        <f t="shared" si="7"/>
        <v/>
      </c>
      <c r="J177" s="1" t="str">
        <f t="shared" si="8"/>
        <v/>
      </c>
    </row>
    <row r="178">
      <c r="A178" s="107">
        <v>165.0</v>
      </c>
      <c r="B178" s="1" t="str">
        <f t="array" ref="B178">IF(I178,IF(J178,INDEX(PossibleEncountersRegioned!$C$2:$C886,RANDBETWEEN(1,COUNTA(PossibleEncountersRegioned!$C$2:$C886)+1)),INDEX(PossibleEncountersRegioned!$B$2:$B886,RANDBETWEEN(1,COUNTA(PossibleEncountersRegioned!$B$2:$B886)+1))),IF($D$6&gt;(A178-1), INDEX(PossibleEncountersRegioned!$A$2:$A886,RANDBETWEEN(1,COUNTA(PossibleEncountersRegioned!$A$2:$A886))),""))</f>
        <v/>
      </c>
      <c r="D178" s="1" t="str">
        <f t="shared" si="5"/>
        <v/>
      </c>
      <c r="E178" s="131" t="str">
        <f t="shared" si="6"/>
        <v/>
      </c>
      <c r="F178" s="1" t="str">
        <f t="shared" si="4"/>
        <v/>
      </c>
      <c r="I178" s="1" t="str">
        <f t="shared" si="7"/>
        <v/>
      </c>
      <c r="J178" s="1" t="str">
        <f t="shared" si="8"/>
        <v/>
      </c>
    </row>
    <row r="179">
      <c r="A179" s="107">
        <v>166.0</v>
      </c>
      <c r="B179" s="1" t="str">
        <f t="array" ref="B179">IF(I179,IF(J179,INDEX(PossibleEncountersRegioned!$C$2:$C886,RANDBETWEEN(1,COUNTA(PossibleEncountersRegioned!$C$2:$C886)+1)),INDEX(PossibleEncountersRegioned!$B$2:$B886,RANDBETWEEN(1,COUNTA(PossibleEncountersRegioned!$B$2:$B886)+1))),IF($D$6&gt;(A179-1), INDEX(PossibleEncountersRegioned!$A$2:$A886,RANDBETWEEN(1,COUNTA(PossibleEncountersRegioned!$A$2:$A886))),""))</f>
        <v/>
      </c>
      <c r="D179" s="1" t="str">
        <f t="shared" si="5"/>
        <v/>
      </c>
      <c r="E179" s="131" t="str">
        <f t="shared" si="6"/>
        <v/>
      </c>
      <c r="F179" s="1" t="str">
        <f t="shared" si="4"/>
        <v/>
      </c>
      <c r="I179" s="1" t="str">
        <f t="shared" si="7"/>
        <v/>
      </c>
      <c r="J179" s="1" t="str">
        <f t="shared" si="8"/>
        <v/>
      </c>
    </row>
    <row r="180">
      <c r="A180" s="107">
        <v>167.0</v>
      </c>
      <c r="B180" s="1" t="str">
        <f t="array" ref="B180">IF(I180,IF(J180,INDEX(PossibleEncountersRegioned!$C$2:$C886,RANDBETWEEN(1,COUNTA(PossibleEncountersRegioned!$C$2:$C886)+1)),INDEX(PossibleEncountersRegioned!$B$2:$B886,RANDBETWEEN(1,COUNTA(PossibleEncountersRegioned!$B$2:$B886)+1))),IF($D$6&gt;(A180-1), INDEX(PossibleEncountersRegioned!$A$2:$A886,RANDBETWEEN(1,COUNTA(PossibleEncountersRegioned!$A$2:$A886))),""))</f>
        <v/>
      </c>
      <c r="D180" s="1" t="str">
        <f t="shared" si="5"/>
        <v/>
      </c>
      <c r="E180" s="131" t="str">
        <f t="shared" si="6"/>
        <v/>
      </c>
      <c r="F180" s="1" t="str">
        <f t="shared" si="4"/>
        <v/>
      </c>
      <c r="I180" s="1" t="str">
        <f t="shared" si="7"/>
        <v/>
      </c>
      <c r="J180" s="1" t="str">
        <f t="shared" si="8"/>
        <v/>
      </c>
    </row>
    <row r="181">
      <c r="A181" s="107">
        <v>168.0</v>
      </c>
      <c r="B181" s="1" t="str">
        <f t="array" ref="B181">IF(I181,IF(J181,INDEX(PossibleEncountersRegioned!$C$2:$C886,RANDBETWEEN(1,COUNTA(PossibleEncountersRegioned!$C$2:$C886)+1)),INDEX(PossibleEncountersRegioned!$B$2:$B886,RANDBETWEEN(1,COUNTA(PossibleEncountersRegioned!$B$2:$B886)+1))),IF($D$6&gt;(A181-1), INDEX(PossibleEncountersRegioned!$A$2:$A886,RANDBETWEEN(1,COUNTA(PossibleEncountersRegioned!$A$2:$A886))),""))</f>
        <v/>
      </c>
      <c r="D181" s="1" t="str">
        <f t="shared" si="5"/>
        <v/>
      </c>
      <c r="E181" s="131" t="str">
        <f t="shared" si="6"/>
        <v/>
      </c>
      <c r="F181" s="1" t="str">
        <f t="shared" si="4"/>
        <v/>
      </c>
      <c r="I181" s="1" t="str">
        <f t="shared" si="7"/>
        <v/>
      </c>
      <c r="J181" s="1" t="str">
        <f t="shared" si="8"/>
        <v/>
      </c>
    </row>
    <row r="182">
      <c r="A182" s="107">
        <v>169.0</v>
      </c>
      <c r="B182" s="1" t="str">
        <f t="array" ref="B182">IF(I182,IF(J182,INDEX(PossibleEncountersRegioned!$C$2:$C886,RANDBETWEEN(1,COUNTA(PossibleEncountersRegioned!$C$2:$C886)+1)),INDEX(PossibleEncountersRegioned!$B$2:$B886,RANDBETWEEN(1,COUNTA(PossibleEncountersRegioned!$B$2:$B886)+1))),IF($D$6&gt;(A182-1), INDEX(PossibleEncountersRegioned!$A$2:$A886,RANDBETWEEN(1,COUNTA(PossibleEncountersRegioned!$A$2:$A886))),""))</f>
        <v/>
      </c>
      <c r="D182" s="1" t="str">
        <f t="shared" si="5"/>
        <v/>
      </c>
      <c r="E182" s="131" t="str">
        <f t="shared" si="6"/>
        <v/>
      </c>
      <c r="F182" s="1" t="str">
        <f t="shared" si="4"/>
        <v/>
      </c>
      <c r="I182" s="1" t="str">
        <f t="shared" si="7"/>
        <v/>
      </c>
      <c r="J182" s="1" t="str">
        <f t="shared" si="8"/>
        <v/>
      </c>
    </row>
    <row r="183">
      <c r="A183" s="107">
        <v>170.0</v>
      </c>
      <c r="B183" s="1" t="str">
        <f t="array" ref="B183">IF(I183,IF(J183,INDEX(PossibleEncountersRegioned!$C$2:$C886,RANDBETWEEN(1,COUNTA(PossibleEncountersRegioned!$C$2:$C886)+1)),INDEX(PossibleEncountersRegioned!$B$2:$B886,RANDBETWEEN(1,COUNTA(PossibleEncountersRegioned!$B$2:$B886)+1))),IF($D$6&gt;(A183-1), INDEX(PossibleEncountersRegioned!$A$2:$A886,RANDBETWEEN(1,COUNTA(PossibleEncountersRegioned!$A$2:$A886))),""))</f>
        <v/>
      </c>
      <c r="D183" s="1" t="str">
        <f t="shared" si="5"/>
        <v/>
      </c>
      <c r="E183" s="131" t="str">
        <f t="shared" si="6"/>
        <v/>
      </c>
      <c r="F183" s="1" t="str">
        <f t="shared" si="4"/>
        <v/>
      </c>
      <c r="I183" s="1" t="str">
        <f t="shared" si="7"/>
        <v/>
      </c>
      <c r="J183" s="1" t="str">
        <f t="shared" si="8"/>
        <v/>
      </c>
    </row>
    <row r="184">
      <c r="A184" s="107">
        <v>171.0</v>
      </c>
      <c r="B184" s="1" t="str">
        <f t="array" ref="B184">IF(I184,IF(J184,INDEX(PossibleEncountersRegioned!$C$2:$C886,RANDBETWEEN(1,COUNTA(PossibleEncountersRegioned!$C$2:$C886)+1)),INDEX(PossibleEncountersRegioned!$B$2:$B886,RANDBETWEEN(1,COUNTA(PossibleEncountersRegioned!$B$2:$B886)+1))),IF($D$6&gt;(A184-1), INDEX(PossibleEncountersRegioned!$A$2:$A886,RANDBETWEEN(1,COUNTA(PossibleEncountersRegioned!$A$2:$A886))),""))</f>
        <v/>
      </c>
      <c r="D184" s="1" t="str">
        <f t="shared" si="5"/>
        <v/>
      </c>
      <c r="E184" s="131" t="str">
        <f t="shared" si="6"/>
        <v/>
      </c>
      <c r="F184" s="1" t="str">
        <f t="shared" si="4"/>
        <v/>
      </c>
      <c r="I184" s="1" t="str">
        <f t="shared" si="7"/>
        <v/>
      </c>
      <c r="J184" s="1" t="str">
        <f t="shared" si="8"/>
        <v/>
      </c>
    </row>
    <row r="185">
      <c r="A185" s="107">
        <v>172.0</v>
      </c>
      <c r="B185" s="1" t="str">
        <f t="array" ref="B185">IF(I185,IF(J185,INDEX(PossibleEncountersRegioned!$C$2:$C886,RANDBETWEEN(1,COUNTA(PossibleEncountersRegioned!$C$2:$C886)+1)),INDEX(PossibleEncountersRegioned!$B$2:$B886,RANDBETWEEN(1,COUNTA(PossibleEncountersRegioned!$B$2:$B886)+1))),IF($D$6&gt;(A185-1), INDEX(PossibleEncountersRegioned!$A$2:$A886,RANDBETWEEN(1,COUNTA(PossibleEncountersRegioned!$A$2:$A886))),""))</f>
        <v/>
      </c>
      <c r="D185" s="1" t="str">
        <f t="shared" si="5"/>
        <v/>
      </c>
      <c r="E185" s="131" t="str">
        <f t="shared" si="6"/>
        <v/>
      </c>
      <c r="F185" s="1" t="str">
        <f t="shared" si="4"/>
        <v/>
      </c>
      <c r="I185" s="1" t="str">
        <f t="shared" si="7"/>
        <v/>
      </c>
      <c r="J185" s="1" t="str">
        <f t="shared" si="8"/>
        <v/>
      </c>
    </row>
    <row r="186">
      <c r="A186" s="107">
        <v>173.0</v>
      </c>
      <c r="B186" s="1" t="str">
        <f t="array" ref="B186">IF(I186,IF(J186,INDEX(PossibleEncountersRegioned!$C$2:$C886,RANDBETWEEN(1,COUNTA(PossibleEncountersRegioned!$C$2:$C886)+1)),INDEX(PossibleEncountersRegioned!$B$2:$B886,RANDBETWEEN(1,COUNTA(PossibleEncountersRegioned!$B$2:$B886)+1))),IF($D$6&gt;(A186-1), INDEX(PossibleEncountersRegioned!$A$2:$A886,RANDBETWEEN(1,COUNTA(PossibleEncountersRegioned!$A$2:$A886))),""))</f>
        <v/>
      </c>
      <c r="D186" s="1" t="str">
        <f t="shared" si="5"/>
        <v/>
      </c>
      <c r="E186" s="131" t="str">
        <f t="shared" si="6"/>
        <v/>
      </c>
      <c r="F186" s="1" t="str">
        <f t="shared" si="4"/>
        <v/>
      </c>
      <c r="I186" s="1" t="str">
        <f t="shared" si="7"/>
        <v/>
      </c>
      <c r="J186" s="1" t="str">
        <f t="shared" si="8"/>
        <v/>
      </c>
    </row>
    <row r="187">
      <c r="A187" s="107">
        <v>174.0</v>
      </c>
      <c r="B187" s="1" t="str">
        <f t="array" ref="B187">IF(I187,IF(J187,INDEX(PossibleEncountersRegioned!$C$2:$C886,RANDBETWEEN(1,COUNTA(PossibleEncountersRegioned!$C$2:$C886)+1)),INDEX(PossibleEncountersRegioned!$B$2:$B886,RANDBETWEEN(1,COUNTA(PossibleEncountersRegioned!$B$2:$B886)+1))),IF($D$6&gt;(A187-1), INDEX(PossibleEncountersRegioned!$A$2:$A886,RANDBETWEEN(1,COUNTA(PossibleEncountersRegioned!$A$2:$A886))),""))</f>
        <v/>
      </c>
      <c r="D187" s="1" t="str">
        <f t="shared" si="5"/>
        <v/>
      </c>
      <c r="E187" s="131" t="str">
        <f t="shared" si="6"/>
        <v/>
      </c>
      <c r="F187" s="1" t="str">
        <f t="shared" si="4"/>
        <v/>
      </c>
      <c r="I187" s="1" t="str">
        <f t="shared" si="7"/>
        <v/>
      </c>
      <c r="J187" s="1" t="str">
        <f t="shared" si="8"/>
        <v/>
      </c>
    </row>
    <row r="188">
      <c r="A188" s="107">
        <v>175.0</v>
      </c>
      <c r="B188" s="1" t="str">
        <f t="array" ref="B188">IF(I188,IF(J188,INDEX(PossibleEncountersRegioned!$C$2:$C886,RANDBETWEEN(1,COUNTA(PossibleEncountersRegioned!$C$2:$C886)+1)),INDEX(PossibleEncountersRegioned!$B$2:$B886,RANDBETWEEN(1,COUNTA(PossibleEncountersRegioned!$B$2:$B886)+1))),IF($D$6&gt;(A188-1), INDEX(PossibleEncountersRegioned!$A$2:$A886,RANDBETWEEN(1,COUNTA(PossibleEncountersRegioned!$A$2:$A886))),""))</f>
        <v/>
      </c>
      <c r="D188" s="1" t="str">
        <f t="shared" si="5"/>
        <v/>
      </c>
      <c r="E188" s="131" t="str">
        <f t="shared" si="6"/>
        <v/>
      </c>
      <c r="F188" s="1" t="str">
        <f t="shared" si="4"/>
        <v/>
      </c>
      <c r="I188" s="1" t="str">
        <f t="shared" si="7"/>
        <v/>
      </c>
      <c r="J188" s="1" t="str">
        <f t="shared" si="8"/>
        <v/>
      </c>
    </row>
    <row r="189">
      <c r="A189" s="107">
        <v>176.0</v>
      </c>
      <c r="B189" s="1" t="str">
        <f t="array" ref="B189">IF(I189,IF(J189,INDEX(PossibleEncountersRegioned!$C$2:$C886,RANDBETWEEN(1,COUNTA(PossibleEncountersRegioned!$C$2:$C886)+1)),INDEX(PossibleEncountersRegioned!$B$2:$B886,RANDBETWEEN(1,COUNTA(PossibleEncountersRegioned!$B$2:$B886)+1))),IF($D$6&gt;(A189-1), INDEX(PossibleEncountersRegioned!$A$2:$A886,RANDBETWEEN(1,COUNTA(PossibleEncountersRegioned!$A$2:$A886))),""))</f>
        <v/>
      </c>
      <c r="D189" s="1" t="str">
        <f t="shared" si="5"/>
        <v/>
      </c>
      <c r="E189" s="131" t="str">
        <f t="shared" si="6"/>
        <v/>
      </c>
      <c r="F189" s="1" t="str">
        <f t="shared" si="4"/>
        <v/>
      </c>
      <c r="I189" s="1" t="str">
        <f t="shared" si="7"/>
        <v/>
      </c>
      <c r="J189" s="1" t="str">
        <f t="shared" si="8"/>
        <v/>
      </c>
    </row>
    <row r="190">
      <c r="A190" s="107">
        <v>177.0</v>
      </c>
      <c r="B190" s="1" t="str">
        <f t="array" ref="B190">IF(I190,IF(J190,INDEX(PossibleEncountersRegioned!$C$2:$C886,RANDBETWEEN(1,COUNTA(PossibleEncountersRegioned!$C$2:$C886)+1)),INDEX(PossibleEncountersRegioned!$B$2:$B886,RANDBETWEEN(1,COUNTA(PossibleEncountersRegioned!$B$2:$B886)+1))),IF($D$6&gt;(A190-1), INDEX(PossibleEncountersRegioned!$A$2:$A886,RANDBETWEEN(1,COUNTA(PossibleEncountersRegioned!$A$2:$A886))),""))</f>
        <v/>
      </c>
      <c r="D190" s="1" t="str">
        <f t="shared" si="5"/>
        <v/>
      </c>
      <c r="E190" s="131" t="str">
        <f t="shared" si="6"/>
        <v/>
      </c>
      <c r="F190" s="1" t="str">
        <f t="shared" si="4"/>
        <v/>
      </c>
      <c r="I190" s="1" t="str">
        <f t="shared" si="7"/>
        <v/>
      </c>
      <c r="J190" s="1" t="str">
        <f t="shared" si="8"/>
        <v/>
      </c>
    </row>
    <row r="191">
      <c r="A191" s="107">
        <v>178.0</v>
      </c>
      <c r="B191" s="1" t="str">
        <f t="array" ref="B191">IF(I191,IF(J191,INDEX(PossibleEncountersRegioned!$C$2:$C886,RANDBETWEEN(1,COUNTA(PossibleEncountersRegioned!$C$2:$C886)+1)),INDEX(PossibleEncountersRegioned!$B$2:$B886,RANDBETWEEN(1,COUNTA(PossibleEncountersRegioned!$B$2:$B886)+1))),IF($D$6&gt;(A191-1), INDEX(PossibleEncountersRegioned!$A$2:$A886,RANDBETWEEN(1,COUNTA(PossibleEncountersRegioned!$A$2:$A886))),""))</f>
        <v/>
      </c>
      <c r="D191" s="1" t="str">
        <f t="shared" si="5"/>
        <v/>
      </c>
      <c r="E191" s="131" t="str">
        <f t="shared" si="6"/>
        <v/>
      </c>
      <c r="F191" s="1" t="str">
        <f t="shared" si="4"/>
        <v/>
      </c>
      <c r="I191" s="1" t="str">
        <f t="shared" si="7"/>
        <v/>
      </c>
      <c r="J191" s="1" t="str">
        <f t="shared" si="8"/>
        <v/>
      </c>
    </row>
    <row r="192">
      <c r="A192" s="107">
        <v>179.0</v>
      </c>
      <c r="B192" s="1" t="str">
        <f t="array" ref="B192">IF(I192,IF(J192,INDEX(PossibleEncountersRegioned!$C$2:$C886,RANDBETWEEN(1,COUNTA(PossibleEncountersRegioned!$C$2:$C886)+1)),INDEX(PossibleEncountersRegioned!$B$2:$B886,RANDBETWEEN(1,COUNTA(PossibleEncountersRegioned!$B$2:$B886)+1))),IF($D$6&gt;(A192-1), INDEX(PossibleEncountersRegioned!$A$2:$A886,RANDBETWEEN(1,COUNTA(PossibleEncountersRegioned!$A$2:$A886))),""))</f>
        <v/>
      </c>
      <c r="D192" s="1" t="str">
        <f t="shared" si="5"/>
        <v/>
      </c>
      <c r="E192" s="131" t="str">
        <f t="shared" si="6"/>
        <v/>
      </c>
      <c r="F192" s="1" t="str">
        <f t="shared" si="4"/>
        <v/>
      </c>
      <c r="I192" s="1" t="str">
        <f t="shared" si="7"/>
        <v/>
      </c>
      <c r="J192" s="1" t="str">
        <f t="shared" si="8"/>
        <v/>
      </c>
    </row>
    <row r="193">
      <c r="A193" s="107">
        <v>180.0</v>
      </c>
      <c r="B193" s="1" t="str">
        <f t="array" ref="B193">IF(I193,IF(J193,INDEX(PossibleEncountersRegioned!$C$2:$C886,RANDBETWEEN(1,COUNTA(PossibleEncountersRegioned!$C$2:$C886)+1)),INDEX(PossibleEncountersRegioned!$B$2:$B886,RANDBETWEEN(1,COUNTA(PossibleEncountersRegioned!$B$2:$B886)+1))),IF($D$6&gt;(A193-1), INDEX(PossibleEncountersRegioned!$A$2:$A886,RANDBETWEEN(1,COUNTA(PossibleEncountersRegioned!$A$2:$A886))),""))</f>
        <v/>
      </c>
      <c r="D193" s="1" t="str">
        <f t="shared" si="5"/>
        <v/>
      </c>
      <c r="E193" s="131" t="str">
        <f t="shared" si="6"/>
        <v/>
      </c>
      <c r="F193" s="1" t="str">
        <f t="shared" si="4"/>
        <v/>
      </c>
      <c r="I193" s="1" t="str">
        <f t="shared" si="7"/>
        <v/>
      </c>
      <c r="J193" s="1" t="str">
        <f t="shared" si="8"/>
        <v/>
      </c>
    </row>
    <row r="194">
      <c r="A194" s="107">
        <v>181.0</v>
      </c>
      <c r="B194" s="1" t="str">
        <f t="array" ref="B194">IF(I194,IF(J194,INDEX(PossibleEncountersRegioned!$C$2:$C886,RANDBETWEEN(1,COUNTA(PossibleEncountersRegioned!$C$2:$C886)+1)),INDEX(PossibleEncountersRegioned!$B$2:$B886,RANDBETWEEN(1,COUNTA(PossibleEncountersRegioned!$B$2:$B886)+1))),IF($D$6&gt;(A194-1), INDEX(PossibleEncountersRegioned!$A$2:$A886,RANDBETWEEN(1,COUNTA(PossibleEncountersRegioned!$A$2:$A886))),""))</f>
        <v/>
      </c>
      <c r="D194" s="1" t="str">
        <f t="shared" si="5"/>
        <v/>
      </c>
      <c r="E194" s="131" t="str">
        <f t="shared" si="6"/>
        <v/>
      </c>
      <c r="F194" s="1" t="str">
        <f t="shared" si="4"/>
        <v/>
      </c>
      <c r="I194" s="1" t="str">
        <f t="shared" si="7"/>
        <v/>
      </c>
      <c r="J194" s="1" t="str">
        <f t="shared" si="8"/>
        <v/>
      </c>
    </row>
    <row r="195">
      <c r="A195" s="107">
        <v>182.0</v>
      </c>
      <c r="B195" s="1" t="str">
        <f t="array" ref="B195">IF(I195,IF(J195,INDEX(PossibleEncountersRegioned!$C$2:$C886,RANDBETWEEN(1,COUNTA(PossibleEncountersRegioned!$C$2:$C886)+1)),INDEX(PossibleEncountersRegioned!$B$2:$B886,RANDBETWEEN(1,COUNTA(PossibleEncountersRegioned!$B$2:$B886)+1))),IF($D$6&gt;(A195-1), INDEX(PossibleEncountersRegioned!$A$2:$A886,RANDBETWEEN(1,COUNTA(PossibleEncountersRegioned!$A$2:$A886))),""))</f>
        <v/>
      </c>
      <c r="D195" s="1" t="str">
        <f t="shared" si="5"/>
        <v/>
      </c>
      <c r="E195" s="131" t="str">
        <f t="shared" si="6"/>
        <v/>
      </c>
      <c r="F195" s="1" t="str">
        <f t="shared" si="4"/>
        <v/>
      </c>
      <c r="I195" s="1" t="str">
        <f t="shared" si="7"/>
        <v/>
      </c>
      <c r="J195" s="1" t="str">
        <f t="shared" si="8"/>
        <v/>
      </c>
    </row>
    <row r="196">
      <c r="A196" s="107">
        <v>183.0</v>
      </c>
      <c r="B196" s="1" t="str">
        <f t="array" ref="B196">IF(I196,IF(J196,INDEX(PossibleEncountersRegioned!$C$2:$C886,RANDBETWEEN(1,COUNTA(PossibleEncountersRegioned!$C$2:$C886)+1)),INDEX(PossibleEncountersRegioned!$B$2:$B886,RANDBETWEEN(1,COUNTA(PossibleEncountersRegioned!$B$2:$B886)+1))),IF($D$6&gt;(A196-1), INDEX(PossibleEncountersRegioned!$A$2:$A886,RANDBETWEEN(1,COUNTA(PossibleEncountersRegioned!$A$2:$A886))),""))</f>
        <v/>
      </c>
      <c r="D196" s="1" t="str">
        <f t="shared" si="5"/>
        <v/>
      </c>
      <c r="E196" s="131" t="str">
        <f t="shared" si="6"/>
        <v/>
      </c>
      <c r="F196" s="1" t="str">
        <f t="shared" si="4"/>
        <v/>
      </c>
      <c r="I196" s="1" t="str">
        <f t="shared" si="7"/>
        <v/>
      </c>
      <c r="J196" s="1" t="str">
        <f t="shared" si="8"/>
        <v/>
      </c>
    </row>
    <row r="197">
      <c r="A197" s="107">
        <v>184.0</v>
      </c>
      <c r="B197" s="1" t="str">
        <f t="array" ref="B197">IF(I197,IF(J197,INDEX(PossibleEncountersRegioned!$C$2:$C886,RANDBETWEEN(1,COUNTA(PossibleEncountersRegioned!$C$2:$C886)+1)),INDEX(PossibleEncountersRegioned!$B$2:$B886,RANDBETWEEN(1,COUNTA(PossibleEncountersRegioned!$B$2:$B886)+1))),IF($D$6&gt;(A197-1), INDEX(PossibleEncountersRegioned!$A$2:$A886,RANDBETWEEN(1,COUNTA(PossibleEncountersRegioned!$A$2:$A886))),""))</f>
        <v/>
      </c>
      <c r="D197" s="1" t="str">
        <f t="shared" si="5"/>
        <v/>
      </c>
      <c r="E197" s="131" t="str">
        <f t="shared" si="6"/>
        <v/>
      </c>
      <c r="F197" s="1" t="str">
        <f t="shared" si="4"/>
        <v/>
      </c>
      <c r="I197" s="1" t="str">
        <f t="shared" si="7"/>
        <v/>
      </c>
      <c r="J197" s="1" t="str">
        <f t="shared" si="8"/>
        <v/>
      </c>
    </row>
    <row r="198">
      <c r="A198" s="107">
        <v>185.0</v>
      </c>
      <c r="B198" s="1" t="str">
        <f t="array" ref="B198">IF(I198,IF(J198,INDEX(PossibleEncountersRegioned!$C$2:$C886,RANDBETWEEN(1,COUNTA(PossibleEncountersRegioned!$C$2:$C886)+1)),INDEX(PossibleEncountersRegioned!$B$2:$B886,RANDBETWEEN(1,COUNTA(PossibleEncountersRegioned!$B$2:$B886)+1))),IF($D$6&gt;(A198-1), INDEX(PossibleEncountersRegioned!$A$2:$A886,RANDBETWEEN(1,COUNTA(PossibleEncountersRegioned!$A$2:$A886))),""))</f>
        <v/>
      </c>
      <c r="D198" s="1" t="str">
        <f t="shared" si="5"/>
        <v/>
      </c>
      <c r="E198" s="131" t="str">
        <f t="shared" si="6"/>
        <v/>
      </c>
      <c r="F198" s="1" t="str">
        <f t="shared" si="4"/>
        <v/>
      </c>
      <c r="I198" s="1" t="str">
        <f t="shared" si="7"/>
        <v/>
      </c>
      <c r="J198" s="1" t="str">
        <f t="shared" si="8"/>
        <v/>
      </c>
    </row>
    <row r="199">
      <c r="A199" s="107">
        <v>186.0</v>
      </c>
      <c r="B199" s="1" t="str">
        <f t="array" ref="B199">IF(I199,IF(J199,INDEX(PossibleEncountersRegioned!$C$2:$C886,RANDBETWEEN(1,COUNTA(PossibleEncountersRegioned!$C$2:$C886)+1)),INDEX(PossibleEncountersRegioned!$B$2:$B886,RANDBETWEEN(1,COUNTA(PossibleEncountersRegioned!$B$2:$B886)+1))),IF($D$6&gt;(A199-1), INDEX(PossibleEncountersRegioned!$A$2:$A886,RANDBETWEEN(1,COUNTA(PossibleEncountersRegioned!$A$2:$A886))),""))</f>
        <v/>
      </c>
      <c r="D199" s="1" t="str">
        <f t="shared" si="5"/>
        <v/>
      </c>
      <c r="E199" s="131" t="str">
        <f t="shared" si="6"/>
        <v/>
      </c>
      <c r="F199" s="1" t="str">
        <f t="shared" si="4"/>
        <v/>
      </c>
      <c r="I199" s="1" t="str">
        <f t="shared" si="7"/>
        <v/>
      </c>
      <c r="J199" s="1" t="str">
        <f t="shared" si="8"/>
        <v/>
      </c>
    </row>
    <row r="200">
      <c r="A200" s="107">
        <v>187.0</v>
      </c>
      <c r="B200" s="1" t="str">
        <f t="array" ref="B200">IF(I200,IF(J200,INDEX(PossibleEncountersRegioned!$C$2:$C886,RANDBETWEEN(1,COUNTA(PossibleEncountersRegioned!$C$2:$C886)+1)),INDEX(PossibleEncountersRegioned!$B$2:$B886,RANDBETWEEN(1,COUNTA(PossibleEncountersRegioned!$B$2:$B886)+1))),IF($D$6&gt;(A200-1), INDEX(PossibleEncountersRegioned!$A$2:$A886,RANDBETWEEN(1,COUNTA(PossibleEncountersRegioned!$A$2:$A886))),""))</f>
        <v/>
      </c>
      <c r="D200" s="1" t="str">
        <f t="shared" si="5"/>
        <v/>
      </c>
      <c r="E200" s="131" t="str">
        <f t="shared" si="6"/>
        <v/>
      </c>
      <c r="F200" s="1" t="str">
        <f t="shared" si="4"/>
        <v/>
      </c>
      <c r="I200" s="1" t="str">
        <f t="shared" si="7"/>
        <v/>
      </c>
      <c r="J200" s="1" t="str">
        <f t="shared" si="8"/>
        <v/>
      </c>
    </row>
    <row r="201">
      <c r="A201" s="107">
        <v>188.0</v>
      </c>
      <c r="B201" s="1" t="str">
        <f t="array" ref="B201">IF(I201,IF(J201,INDEX(PossibleEncountersRegioned!$C$2:$C886,RANDBETWEEN(1,COUNTA(PossibleEncountersRegioned!$C$2:$C886)+1)),INDEX(PossibleEncountersRegioned!$B$2:$B886,RANDBETWEEN(1,COUNTA(PossibleEncountersRegioned!$B$2:$B886)+1))),IF($D$6&gt;(A201-1), INDEX(PossibleEncountersRegioned!$A$2:$A886,RANDBETWEEN(1,COUNTA(PossibleEncountersRegioned!$A$2:$A886))),""))</f>
        <v/>
      </c>
      <c r="D201" s="1" t="str">
        <f t="shared" si="5"/>
        <v/>
      </c>
      <c r="E201" s="131" t="str">
        <f t="shared" si="6"/>
        <v/>
      </c>
      <c r="F201" s="1" t="str">
        <f t="shared" si="4"/>
        <v/>
      </c>
      <c r="I201" s="1" t="str">
        <f t="shared" si="7"/>
        <v/>
      </c>
      <c r="J201" s="1" t="str">
        <f t="shared" si="8"/>
        <v/>
      </c>
    </row>
    <row r="202">
      <c r="A202" s="107">
        <v>189.0</v>
      </c>
      <c r="B202" s="1" t="str">
        <f t="array" ref="B202">IF(I202,IF(J202,INDEX(PossibleEncountersRegioned!$C$2:$C886,RANDBETWEEN(1,COUNTA(PossibleEncountersRegioned!$C$2:$C886)+1)),INDEX(PossibleEncountersRegioned!$B$2:$B886,RANDBETWEEN(1,COUNTA(PossibleEncountersRegioned!$B$2:$B886)+1))),IF($D$6&gt;(A202-1), INDEX(PossibleEncountersRegioned!$A$2:$A886,RANDBETWEEN(1,COUNTA(PossibleEncountersRegioned!$A$2:$A886))),""))</f>
        <v/>
      </c>
      <c r="D202" s="1" t="str">
        <f t="shared" si="5"/>
        <v/>
      </c>
      <c r="E202" s="131" t="str">
        <f t="shared" si="6"/>
        <v/>
      </c>
      <c r="F202" s="1" t="str">
        <f t="shared" si="4"/>
        <v/>
      </c>
      <c r="I202" s="1" t="str">
        <f t="shared" si="7"/>
        <v/>
      </c>
      <c r="J202" s="1" t="str">
        <f t="shared" si="8"/>
        <v/>
      </c>
    </row>
    <row r="203">
      <c r="A203" s="107">
        <v>190.0</v>
      </c>
      <c r="B203" s="1" t="str">
        <f t="array" ref="B203">IF(I203,IF(J203,INDEX(PossibleEncountersRegioned!$C$2:$C886,RANDBETWEEN(1,COUNTA(PossibleEncountersRegioned!$C$2:$C886)+1)),INDEX(PossibleEncountersRegioned!$B$2:$B886,RANDBETWEEN(1,COUNTA(PossibleEncountersRegioned!$B$2:$B886)+1))),IF($D$6&gt;(A203-1), INDEX(PossibleEncountersRegioned!$A$2:$A886,RANDBETWEEN(1,COUNTA(PossibleEncountersRegioned!$A$2:$A886))),""))</f>
        <v/>
      </c>
      <c r="D203" s="1" t="str">
        <f t="shared" si="5"/>
        <v/>
      </c>
      <c r="E203" s="131" t="str">
        <f t="shared" si="6"/>
        <v/>
      </c>
      <c r="F203" s="1" t="str">
        <f t="shared" si="4"/>
        <v/>
      </c>
      <c r="I203" s="1" t="str">
        <f t="shared" si="7"/>
        <v/>
      </c>
      <c r="J203" s="1" t="str">
        <f t="shared" si="8"/>
        <v/>
      </c>
    </row>
    <row r="204">
      <c r="A204" s="107">
        <v>191.0</v>
      </c>
      <c r="B204" s="1" t="str">
        <f t="array" ref="B204">IF(I204,IF(J204,INDEX(PossibleEncountersRegioned!$C$2:$C886,RANDBETWEEN(1,COUNTA(PossibleEncountersRegioned!$C$2:$C886)+1)),INDEX(PossibleEncountersRegioned!$B$2:$B886,RANDBETWEEN(1,COUNTA(PossibleEncountersRegioned!$B$2:$B886)+1))),IF($D$6&gt;(A204-1), INDEX(PossibleEncountersRegioned!$A$2:$A886,RANDBETWEEN(1,COUNTA(PossibleEncountersRegioned!$A$2:$A886))),""))</f>
        <v/>
      </c>
      <c r="D204" s="1" t="str">
        <f t="shared" si="5"/>
        <v/>
      </c>
      <c r="E204" s="131" t="str">
        <f t="shared" si="6"/>
        <v/>
      </c>
      <c r="F204" s="1" t="str">
        <f t="shared" si="4"/>
        <v/>
      </c>
      <c r="I204" s="1" t="str">
        <f t="shared" si="7"/>
        <v/>
      </c>
      <c r="J204" s="1" t="str">
        <f t="shared" si="8"/>
        <v/>
      </c>
    </row>
    <row r="205">
      <c r="A205" s="107">
        <v>192.0</v>
      </c>
      <c r="B205" s="1" t="str">
        <f t="array" ref="B205">IF(I205,IF(J205,INDEX(PossibleEncountersRegioned!$C$2:$C886,RANDBETWEEN(1,COUNTA(PossibleEncountersRegioned!$C$2:$C886)+1)),INDEX(PossibleEncountersRegioned!$B$2:$B886,RANDBETWEEN(1,COUNTA(PossibleEncountersRegioned!$B$2:$B886)+1))),IF($D$6&gt;(A205-1), INDEX(PossibleEncountersRegioned!$A$2:$A886,RANDBETWEEN(1,COUNTA(PossibleEncountersRegioned!$A$2:$A886))),""))</f>
        <v/>
      </c>
      <c r="D205" s="1" t="str">
        <f t="shared" si="5"/>
        <v/>
      </c>
      <c r="E205" s="131" t="str">
        <f t="shared" si="6"/>
        <v/>
      </c>
      <c r="F205" s="1" t="str">
        <f t="shared" si="4"/>
        <v/>
      </c>
      <c r="I205" s="1" t="str">
        <f t="shared" si="7"/>
        <v/>
      </c>
      <c r="J205" s="1" t="str">
        <f t="shared" si="8"/>
        <v/>
      </c>
    </row>
    <row r="206">
      <c r="A206" s="107">
        <v>193.0</v>
      </c>
      <c r="B206" s="1" t="str">
        <f t="array" ref="B206">IF(I206,IF(J206,INDEX(PossibleEncountersRegioned!$C$2:$C886,RANDBETWEEN(1,COUNTA(PossibleEncountersRegioned!$C$2:$C886)+1)),INDEX(PossibleEncountersRegioned!$B$2:$B886,RANDBETWEEN(1,COUNTA(PossibleEncountersRegioned!$B$2:$B886)+1))),IF($D$6&gt;(A206-1), INDEX(PossibleEncountersRegioned!$A$2:$A886,RANDBETWEEN(1,COUNTA(PossibleEncountersRegioned!$A$2:$A886))),""))</f>
        <v/>
      </c>
      <c r="D206" s="1" t="str">
        <f t="shared" si="5"/>
        <v/>
      </c>
      <c r="E206" s="131" t="str">
        <f t="shared" si="6"/>
        <v/>
      </c>
      <c r="F206" s="1" t="str">
        <f t="shared" si="4"/>
        <v/>
      </c>
      <c r="I206" s="1" t="str">
        <f t="shared" si="7"/>
        <v/>
      </c>
      <c r="J206" s="1" t="str">
        <f t="shared" si="8"/>
        <v/>
      </c>
    </row>
    <row r="207">
      <c r="A207" s="107">
        <v>194.0</v>
      </c>
      <c r="B207" s="1" t="str">
        <f t="array" ref="B207">IF(I207,IF(J207,INDEX(PossibleEncountersRegioned!$C$2:$C886,RANDBETWEEN(1,COUNTA(PossibleEncountersRegioned!$C$2:$C886)+1)),INDEX(PossibleEncountersRegioned!$B$2:$B886,RANDBETWEEN(1,COUNTA(PossibleEncountersRegioned!$B$2:$B886)+1))),IF($D$6&gt;(A207-1), INDEX(PossibleEncountersRegioned!$A$2:$A886,RANDBETWEEN(1,COUNTA(PossibleEncountersRegioned!$A$2:$A886))),""))</f>
        <v/>
      </c>
      <c r="D207" s="1" t="str">
        <f t="shared" si="5"/>
        <v/>
      </c>
      <c r="E207" s="131" t="str">
        <f t="shared" si="6"/>
        <v/>
      </c>
      <c r="F207" s="1" t="str">
        <f t="shared" si="4"/>
        <v/>
      </c>
      <c r="I207" s="1" t="str">
        <f t="shared" si="7"/>
        <v/>
      </c>
      <c r="J207" s="1" t="str">
        <f t="shared" si="8"/>
        <v/>
      </c>
    </row>
    <row r="208">
      <c r="A208" s="107">
        <v>195.0</v>
      </c>
      <c r="B208" s="1" t="str">
        <f t="array" ref="B208">IF(I208,IF(J208,INDEX(PossibleEncountersRegioned!$C$2:$C886,RANDBETWEEN(1,COUNTA(PossibleEncountersRegioned!$C$2:$C886)+1)),INDEX(PossibleEncountersRegioned!$B$2:$B886,RANDBETWEEN(1,COUNTA(PossibleEncountersRegioned!$B$2:$B886)+1))),IF($D$6&gt;(A208-1), INDEX(PossibleEncountersRegioned!$A$2:$A886,RANDBETWEEN(1,COUNTA(PossibleEncountersRegioned!$A$2:$A886))),""))</f>
        <v/>
      </c>
      <c r="D208" s="1" t="str">
        <f t="shared" si="5"/>
        <v/>
      </c>
      <c r="E208" s="131" t="str">
        <f t="shared" si="6"/>
        <v/>
      </c>
      <c r="F208" s="1" t="str">
        <f t="shared" si="4"/>
        <v/>
      </c>
      <c r="I208" s="1" t="str">
        <f t="shared" si="7"/>
        <v/>
      </c>
      <c r="J208" s="1" t="str">
        <f t="shared" si="8"/>
        <v/>
      </c>
    </row>
    <row r="209">
      <c r="A209" s="107">
        <v>196.0</v>
      </c>
      <c r="B209" s="1" t="str">
        <f t="array" ref="B209">IF(I209,IF(J209,INDEX(PossibleEncountersRegioned!$C$2:$C886,RANDBETWEEN(1,COUNTA(PossibleEncountersRegioned!$C$2:$C886)+1)),INDEX(PossibleEncountersRegioned!$B$2:$B886,RANDBETWEEN(1,COUNTA(PossibleEncountersRegioned!$B$2:$B886)+1))),IF($D$6&gt;(A209-1), INDEX(PossibleEncountersRegioned!$A$2:$A886,RANDBETWEEN(1,COUNTA(PossibleEncountersRegioned!$A$2:$A886))),""))</f>
        <v/>
      </c>
      <c r="D209" s="1" t="str">
        <f t="shared" si="5"/>
        <v/>
      </c>
      <c r="E209" s="131" t="str">
        <f t="shared" si="6"/>
        <v/>
      </c>
      <c r="F209" s="1" t="str">
        <f t="shared" si="4"/>
        <v/>
      </c>
      <c r="I209" s="1" t="str">
        <f t="shared" si="7"/>
        <v/>
      </c>
      <c r="J209" s="1" t="str">
        <f t="shared" si="8"/>
        <v/>
      </c>
    </row>
    <row r="210">
      <c r="A210" s="107">
        <v>197.0</v>
      </c>
      <c r="B210" s="1" t="str">
        <f t="array" ref="B210">IF(I210,IF(J210,INDEX(PossibleEncountersRegioned!$C$2:$C886,RANDBETWEEN(1,COUNTA(PossibleEncountersRegioned!$C$2:$C886)+1)),INDEX(PossibleEncountersRegioned!$B$2:$B886,RANDBETWEEN(1,COUNTA(PossibleEncountersRegioned!$B$2:$B886)+1))),IF($D$6&gt;(A210-1), INDEX(PossibleEncountersRegioned!$A$2:$A886,RANDBETWEEN(1,COUNTA(PossibleEncountersRegioned!$A$2:$A886))),""))</f>
        <v/>
      </c>
      <c r="D210" s="1" t="str">
        <f t="shared" si="5"/>
        <v/>
      </c>
      <c r="E210" s="131" t="str">
        <f t="shared" si="6"/>
        <v/>
      </c>
      <c r="F210" s="1" t="str">
        <f t="shared" si="4"/>
        <v/>
      </c>
      <c r="I210" s="1" t="str">
        <f t="shared" si="7"/>
        <v/>
      </c>
      <c r="J210" s="1" t="str">
        <f t="shared" si="8"/>
        <v/>
      </c>
    </row>
    <row r="211">
      <c r="A211" s="107">
        <v>198.0</v>
      </c>
      <c r="B211" s="1" t="str">
        <f t="array" ref="B211">IF(I211,IF(J211,INDEX(PossibleEncountersRegioned!$C$2:$C886,RANDBETWEEN(1,COUNTA(PossibleEncountersRegioned!$C$2:$C886)+1)),INDEX(PossibleEncountersRegioned!$B$2:$B886,RANDBETWEEN(1,COUNTA(PossibleEncountersRegioned!$B$2:$B886)+1))),IF($D$6&gt;(A211-1), INDEX(PossibleEncountersRegioned!$A$2:$A886,RANDBETWEEN(1,COUNTA(PossibleEncountersRegioned!$A$2:$A886))),""))</f>
        <v/>
      </c>
      <c r="D211" s="1" t="str">
        <f t="shared" si="5"/>
        <v/>
      </c>
      <c r="E211" s="131" t="str">
        <f t="shared" si="6"/>
        <v/>
      </c>
      <c r="F211" s="1" t="str">
        <f t="shared" si="4"/>
        <v/>
      </c>
      <c r="I211" s="1" t="str">
        <f t="shared" si="7"/>
        <v/>
      </c>
      <c r="J211" s="1" t="str">
        <f t="shared" si="8"/>
        <v/>
      </c>
    </row>
    <row r="212">
      <c r="A212" s="107">
        <v>199.0</v>
      </c>
      <c r="B212" s="1" t="str">
        <f t="array" ref="B212">IF(I212,IF(J212,INDEX(PossibleEncountersRegioned!$C$2:$C886,RANDBETWEEN(1,COUNTA(PossibleEncountersRegioned!$C$2:$C886)+1)),INDEX(PossibleEncountersRegioned!$B$2:$B886,RANDBETWEEN(1,COUNTA(PossibleEncountersRegioned!$B$2:$B886)+1))),IF($D$6&gt;(A212-1), INDEX(PossibleEncountersRegioned!$A$2:$A886,RANDBETWEEN(1,COUNTA(PossibleEncountersRegioned!$A$2:$A886))),""))</f>
        <v/>
      </c>
      <c r="D212" s="1" t="str">
        <f t="shared" si="5"/>
        <v/>
      </c>
      <c r="E212" s="131" t="str">
        <f t="shared" si="6"/>
        <v/>
      </c>
      <c r="F212" s="1" t="str">
        <f t="shared" si="4"/>
        <v/>
      </c>
      <c r="I212" s="1" t="str">
        <f t="shared" si="7"/>
        <v/>
      </c>
      <c r="J212" s="1" t="str">
        <f t="shared" si="8"/>
        <v/>
      </c>
    </row>
    <row r="213">
      <c r="A213" s="107">
        <v>200.0</v>
      </c>
      <c r="B213" s="1" t="str">
        <f t="array" ref="B213">IF(I213,IF(J213,INDEX(PossibleEncountersRegioned!$C$2:$C886,RANDBETWEEN(1,COUNTA(PossibleEncountersRegioned!$C$2:$C886)+1)),INDEX(PossibleEncountersRegioned!$B$2:$B886,RANDBETWEEN(1,COUNTA(PossibleEncountersRegioned!$B$2:$B886)+1))),IF($D$6&gt;(A213-1), INDEX(PossibleEncountersRegioned!$A$2:$A886,RANDBETWEEN(1,COUNTA(PossibleEncountersRegioned!$A$2:$A886))),""))</f>
        <v/>
      </c>
      <c r="D213" s="1" t="str">
        <f t="shared" si="5"/>
        <v/>
      </c>
      <c r="E213" s="131" t="str">
        <f t="shared" si="6"/>
        <v/>
      </c>
      <c r="F213" s="1" t="str">
        <f t="shared" si="4"/>
        <v/>
      </c>
      <c r="I213" s="1" t="str">
        <f t="shared" si="7"/>
        <v/>
      </c>
      <c r="J213" s="1" t="str">
        <f t="shared" si="8"/>
        <v/>
      </c>
    </row>
  </sheetData>
  <dataValidations>
    <dataValidation type="list" allowBlank="1" sqref="D1">
      <formula1>Worlds!$A$2:$A886</formula1>
    </dataValidation>
    <dataValidation type="list" allowBlank="1" sqref="D2:D4">
      <formula1>SelectedWorldRegions!$A$1:$A886</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0"/>
    <col customWidth="1" min="3" max="3" width="13.38"/>
  </cols>
  <sheetData>
    <row r="1">
      <c r="A1" s="128" t="s">
        <v>54</v>
      </c>
      <c r="B1" s="128" t="s">
        <v>55</v>
      </c>
      <c r="C1" s="128" t="s">
        <v>56</v>
      </c>
    </row>
    <row r="2">
      <c r="A2" s="107" t="s">
        <v>57</v>
      </c>
      <c r="B2" s="107" t="s">
        <v>39</v>
      </c>
      <c r="C2" s="107" t="s">
        <v>34</v>
      </c>
    </row>
    <row r="3">
      <c r="A3" s="107" t="s">
        <v>58</v>
      </c>
      <c r="B3" s="107" t="s">
        <v>39</v>
      </c>
      <c r="C3" s="107" t="s">
        <v>34</v>
      </c>
    </row>
    <row r="4">
      <c r="B4" s="1"/>
      <c r="C4" s="1"/>
    </row>
    <row r="5">
      <c r="B5" s="1"/>
      <c r="C5" s="1"/>
    </row>
    <row r="6">
      <c r="B6" s="1"/>
      <c r="C6" s="1"/>
    </row>
    <row r="7">
      <c r="B7" s="1"/>
      <c r="C7" s="1"/>
    </row>
    <row r="8">
      <c r="B8" s="1"/>
      <c r="C8" s="1"/>
    </row>
    <row r="9">
      <c r="B9" s="1"/>
      <c r="C9" s="1"/>
    </row>
    <row r="10">
      <c r="B10" s="1"/>
      <c r="C10" s="1"/>
    </row>
    <row r="11">
      <c r="B11" s="1"/>
      <c r="C11" s="1"/>
    </row>
    <row r="12">
      <c r="B12" s="1"/>
      <c r="C12" s="1"/>
    </row>
    <row r="13">
      <c r="B13" s="1"/>
      <c r="C13" s="1"/>
    </row>
    <row r="14">
      <c r="B14" s="1"/>
      <c r="C14" s="1"/>
    </row>
    <row r="15">
      <c r="B15" s="1"/>
      <c r="C15" s="1"/>
    </row>
    <row r="16">
      <c r="B16" s="1"/>
      <c r="C16" s="1"/>
    </row>
    <row r="17">
      <c r="B17" s="1"/>
      <c r="C17" s="1"/>
    </row>
    <row r="18">
      <c r="B18" s="1"/>
      <c r="C18" s="1"/>
    </row>
    <row r="19">
      <c r="B19" s="1"/>
      <c r="C19" s="1"/>
    </row>
    <row r="20">
      <c r="B20" s="1"/>
      <c r="C20" s="1"/>
    </row>
    <row r="21">
      <c r="B21" s="1"/>
      <c r="C21" s="1"/>
    </row>
    <row r="22">
      <c r="B22" s="1"/>
      <c r="C22" s="1"/>
    </row>
    <row r="23">
      <c r="B23" s="1"/>
      <c r="C23" s="1"/>
    </row>
    <row r="24">
      <c r="B24" s="1"/>
      <c r="C24" s="1"/>
    </row>
    <row r="25">
      <c r="B25" s="1"/>
      <c r="C25" s="1"/>
    </row>
    <row r="26">
      <c r="B26" s="1"/>
      <c r="C26" s="1"/>
    </row>
    <row r="27">
      <c r="B27" s="1"/>
      <c r="C27" s="1"/>
    </row>
    <row r="28">
      <c r="B28" s="1"/>
      <c r="C28" s="1"/>
    </row>
    <row r="29">
      <c r="B29" s="1"/>
      <c r="C29" s="1"/>
    </row>
    <row r="30">
      <c r="B30" s="1"/>
      <c r="C30" s="1"/>
    </row>
    <row r="31">
      <c r="B31" s="1"/>
      <c r="C31" s="1"/>
    </row>
    <row r="32">
      <c r="B32" s="1"/>
      <c r="C32" s="1"/>
    </row>
    <row r="33">
      <c r="B33" s="1"/>
      <c r="C33" s="1"/>
    </row>
    <row r="34">
      <c r="B34" s="1"/>
      <c r="C34" s="1"/>
    </row>
    <row r="35">
      <c r="B35" s="1"/>
      <c r="C35" s="1"/>
    </row>
    <row r="36">
      <c r="B36" s="1"/>
      <c r="C36" s="1"/>
    </row>
    <row r="37">
      <c r="B37" s="1"/>
      <c r="C37" s="1"/>
    </row>
    <row r="38">
      <c r="B38" s="1"/>
      <c r="C38" s="1"/>
    </row>
    <row r="39">
      <c r="B39" s="1"/>
      <c r="C39" s="1"/>
    </row>
    <row r="40">
      <c r="B40" s="1"/>
      <c r="C40" s="1"/>
    </row>
    <row r="41">
      <c r="B41" s="1"/>
      <c r="C41" s="1"/>
    </row>
    <row r="42">
      <c r="B42" s="1"/>
      <c r="C42" s="1"/>
    </row>
    <row r="43">
      <c r="B43" s="1"/>
      <c r="C43" s="1"/>
    </row>
    <row r="44">
      <c r="B44" s="1"/>
      <c r="C44" s="1"/>
    </row>
    <row r="45">
      <c r="B45" s="1"/>
      <c r="C45" s="1"/>
    </row>
    <row r="46">
      <c r="B46" s="1"/>
      <c r="C46" s="1"/>
    </row>
    <row r="47">
      <c r="B47" s="1"/>
      <c r="C47" s="1"/>
    </row>
    <row r="48">
      <c r="B48" s="1"/>
      <c r="C48" s="1"/>
    </row>
    <row r="49">
      <c r="B49" s="1"/>
      <c r="C49" s="1"/>
    </row>
    <row r="50">
      <c r="B50" s="1"/>
      <c r="C50" s="1"/>
    </row>
    <row r="51">
      <c r="B51" s="1"/>
      <c r="C51" s="1"/>
    </row>
    <row r="52">
      <c r="B52" s="1"/>
      <c r="C52" s="1"/>
    </row>
    <row r="53">
      <c r="B53" s="1"/>
      <c r="C53" s="1"/>
    </row>
    <row r="54">
      <c r="B54" s="1"/>
      <c r="C54" s="1"/>
    </row>
    <row r="55">
      <c r="B55" s="1"/>
      <c r="C55" s="1"/>
    </row>
    <row r="56">
      <c r="B56" s="1"/>
      <c r="C56" s="1"/>
    </row>
    <row r="57">
      <c r="B57" s="1"/>
      <c r="C57" s="1"/>
    </row>
    <row r="58">
      <c r="B58" s="1"/>
      <c r="C58" s="1"/>
    </row>
    <row r="59">
      <c r="B59" s="1"/>
      <c r="C59" s="1"/>
    </row>
    <row r="60">
      <c r="B60" s="1"/>
      <c r="C60" s="1"/>
    </row>
    <row r="61">
      <c r="B61" s="1"/>
      <c r="C61" s="1"/>
    </row>
    <row r="62">
      <c r="B62" s="1"/>
      <c r="C62" s="1"/>
    </row>
    <row r="63">
      <c r="B63" s="1"/>
      <c r="C63" s="1"/>
    </row>
    <row r="64">
      <c r="B64" s="1"/>
      <c r="C64" s="1"/>
    </row>
    <row r="65">
      <c r="B65" s="1"/>
      <c r="C65" s="1"/>
    </row>
    <row r="66">
      <c r="B66" s="1"/>
      <c r="C66" s="1"/>
    </row>
    <row r="67">
      <c r="B67" s="1"/>
      <c r="C67" s="1"/>
    </row>
    <row r="68">
      <c r="B68" s="1"/>
      <c r="C68" s="1"/>
    </row>
    <row r="69">
      <c r="B69" s="1"/>
      <c r="C69" s="1"/>
    </row>
    <row r="70">
      <c r="B70" s="1"/>
      <c r="C70" s="1"/>
    </row>
    <row r="71">
      <c r="B71" s="1"/>
      <c r="C71" s="1"/>
    </row>
    <row r="72">
      <c r="B72" s="1"/>
      <c r="C72" s="1"/>
    </row>
    <row r="73">
      <c r="B73" s="1"/>
      <c r="C73" s="1"/>
    </row>
    <row r="74">
      <c r="B74" s="1"/>
      <c r="C74" s="1"/>
    </row>
    <row r="75">
      <c r="B75" s="1"/>
      <c r="C75" s="1"/>
    </row>
    <row r="76">
      <c r="B76" s="1"/>
      <c r="C76" s="1"/>
    </row>
    <row r="77">
      <c r="B77" s="1"/>
      <c r="C77" s="1"/>
    </row>
    <row r="78">
      <c r="B78" s="1"/>
      <c r="C78" s="1"/>
    </row>
    <row r="79">
      <c r="B79" s="1"/>
      <c r="C79" s="1"/>
    </row>
    <row r="80">
      <c r="B80" s="1"/>
      <c r="C80" s="1"/>
    </row>
    <row r="81">
      <c r="B81" s="1"/>
      <c r="C81" s="1"/>
    </row>
    <row r="82">
      <c r="B82" s="1"/>
      <c r="C82" s="1"/>
    </row>
    <row r="83">
      <c r="B83" s="1"/>
      <c r="C83" s="1"/>
    </row>
    <row r="84">
      <c r="B84" s="1"/>
      <c r="C84" s="1"/>
    </row>
    <row r="85">
      <c r="B85" s="1"/>
      <c r="C85" s="1"/>
    </row>
    <row r="86">
      <c r="B86" s="1"/>
      <c r="C86" s="1"/>
    </row>
    <row r="87">
      <c r="B87" s="1"/>
      <c r="C87" s="1"/>
    </row>
    <row r="88">
      <c r="B88" s="1"/>
      <c r="C88" s="1"/>
    </row>
    <row r="89">
      <c r="B89" s="1"/>
      <c r="C89" s="1"/>
    </row>
    <row r="90">
      <c r="B90" s="1"/>
      <c r="C90" s="1"/>
    </row>
    <row r="91">
      <c r="B91" s="1"/>
      <c r="C91" s="1"/>
    </row>
    <row r="92">
      <c r="B92" s="1"/>
      <c r="C92" s="1"/>
    </row>
    <row r="93">
      <c r="B93" s="1"/>
      <c r="C93" s="1"/>
    </row>
    <row r="94">
      <c r="B94" s="1"/>
      <c r="C94" s="1"/>
    </row>
    <row r="95">
      <c r="B95" s="1"/>
      <c r="C95" s="1"/>
    </row>
    <row r="96">
      <c r="B96" s="1"/>
      <c r="C96" s="1"/>
    </row>
    <row r="97">
      <c r="B97" s="1"/>
      <c r="C97" s="1"/>
    </row>
    <row r="98">
      <c r="B98" s="1"/>
      <c r="C98" s="1"/>
    </row>
    <row r="99">
      <c r="B99" s="1"/>
      <c r="C99" s="1"/>
    </row>
    <row r="100">
      <c r="B100" s="1"/>
      <c r="C100" s="1"/>
    </row>
    <row r="101">
      <c r="B101" s="1"/>
      <c r="C101" s="1"/>
    </row>
    <row r="102">
      <c r="B102" s="1"/>
      <c r="C102" s="1"/>
    </row>
    <row r="103">
      <c r="B103" s="1"/>
      <c r="C103" s="1"/>
    </row>
    <row r="104">
      <c r="B104" s="1"/>
      <c r="C104" s="1"/>
    </row>
    <row r="105">
      <c r="B105" s="1"/>
      <c r="C105" s="1"/>
    </row>
    <row r="106">
      <c r="B106" s="1"/>
      <c r="C106" s="1"/>
    </row>
    <row r="107">
      <c r="B107" s="1"/>
      <c r="C107" s="1"/>
    </row>
    <row r="108">
      <c r="B108" s="1"/>
      <c r="C108" s="1"/>
    </row>
    <row r="109">
      <c r="B109" s="1"/>
      <c r="C109" s="1"/>
    </row>
    <row r="110">
      <c r="B110" s="1"/>
      <c r="C110" s="1"/>
    </row>
    <row r="111">
      <c r="B111" s="1"/>
      <c r="C111" s="1"/>
    </row>
    <row r="112">
      <c r="B112" s="1"/>
      <c r="C112" s="1"/>
    </row>
    <row r="113">
      <c r="B113" s="1"/>
      <c r="C113" s="1"/>
    </row>
    <row r="114">
      <c r="B114" s="1"/>
      <c r="C114" s="1"/>
    </row>
    <row r="115">
      <c r="B115" s="1"/>
      <c r="C115" s="1"/>
    </row>
    <row r="116">
      <c r="B116" s="1"/>
      <c r="C116" s="1"/>
    </row>
    <row r="117">
      <c r="B117" s="1"/>
      <c r="C117" s="1"/>
    </row>
    <row r="118">
      <c r="B118" s="1"/>
      <c r="C118" s="1"/>
    </row>
    <row r="119">
      <c r="B119" s="1"/>
      <c r="C119" s="1"/>
    </row>
    <row r="120">
      <c r="B120" s="1"/>
      <c r="C120" s="1"/>
    </row>
    <row r="121">
      <c r="B121" s="1"/>
      <c r="C121" s="1"/>
    </row>
    <row r="122">
      <c r="B122" s="1"/>
      <c r="C122" s="1"/>
    </row>
    <row r="123">
      <c r="B123" s="1"/>
      <c r="C123" s="1"/>
    </row>
    <row r="124">
      <c r="B124" s="1"/>
      <c r="C124" s="1"/>
    </row>
    <row r="125">
      <c r="B125" s="1"/>
      <c r="C125" s="1"/>
    </row>
    <row r="126">
      <c r="B126" s="1"/>
      <c r="C126" s="1"/>
    </row>
    <row r="127">
      <c r="B127" s="1"/>
      <c r="C127" s="1"/>
    </row>
    <row r="128">
      <c r="B128" s="1"/>
      <c r="C128" s="1"/>
    </row>
    <row r="129">
      <c r="B129" s="1"/>
      <c r="C129" s="1"/>
    </row>
    <row r="130">
      <c r="B130" s="1"/>
      <c r="C130" s="1"/>
    </row>
    <row r="131">
      <c r="B131" s="1"/>
      <c r="C131" s="1"/>
    </row>
    <row r="132">
      <c r="B132" s="1"/>
      <c r="C132" s="1"/>
    </row>
    <row r="133">
      <c r="B133" s="1"/>
      <c r="C133" s="1"/>
    </row>
    <row r="134">
      <c r="B134" s="1"/>
      <c r="C134" s="1"/>
    </row>
    <row r="135">
      <c r="B135" s="1"/>
      <c r="C135" s="1"/>
    </row>
    <row r="136">
      <c r="B136" s="1"/>
      <c r="C136" s="1"/>
    </row>
    <row r="137">
      <c r="B137" s="1"/>
      <c r="C137" s="1"/>
    </row>
    <row r="138">
      <c r="B138" s="1"/>
      <c r="C138" s="1"/>
    </row>
    <row r="139">
      <c r="B139" s="1"/>
      <c r="C139" s="1"/>
    </row>
    <row r="140">
      <c r="B140" s="1"/>
      <c r="C140" s="1"/>
    </row>
    <row r="141">
      <c r="B141" s="1"/>
      <c r="C141" s="1"/>
    </row>
    <row r="142">
      <c r="B142" s="1"/>
      <c r="C142" s="1"/>
    </row>
    <row r="143">
      <c r="B143" s="1"/>
      <c r="C143" s="1"/>
    </row>
    <row r="144">
      <c r="B144" s="1"/>
      <c r="C144" s="1"/>
    </row>
    <row r="145">
      <c r="B145" s="1"/>
      <c r="C145" s="1"/>
    </row>
    <row r="146">
      <c r="B146" s="1"/>
      <c r="C146" s="1"/>
    </row>
    <row r="147">
      <c r="B147" s="1"/>
      <c r="C147" s="1"/>
    </row>
    <row r="148">
      <c r="B148" s="1"/>
      <c r="C148" s="1"/>
    </row>
    <row r="149">
      <c r="B149" s="1"/>
      <c r="C149" s="1"/>
    </row>
    <row r="150">
      <c r="B150" s="1"/>
      <c r="C150" s="1"/>
    </row>
    <row r="151">
      <c r="B151" s="1"/>
      <c r="C151" s="1"/>
    </row>
    <row r="152">
      <c r="B152" s="1"/>
      <c r="C152" s="1"/>
    </row>
    <row r="153">
      <c r="B153" s="1"/>
      <c r="C153" s="1"/>
    </row>
    <row r="154">
      <c r="B154" s="1"/>
      <c r="C154" s="1"/>
    </row>
    <row r="155">
      <c r="B155" s="1"/>
      <c r="C155" s="1"/>
    </row>
    <row r="156">
      <c r="B156" s="1"/>
      <c r="C156" s="1"/>
    </row>
    <row r="157">
      <c r="B157" s="1"/>
      <c r="C157" s="1"/>
    </row>
    <row r="158">
      <c r="B158" s="1"/>
      <c r="C158" s="1"/>
    </row>
    <row r="159">
      <c r="B159" s="1"/>
      <c r="C159" s="1"/>
    </row>
    <row r="160">
      <c r="B160" s="1"/>
      <c r="C160" s="1"/>
    </row>
    <row r="161">
      <c r="B161" s="1"/>
      <c r="C161" s="1"/>
    </row>
    <row r="162">
      <c r="B162" s="1"/>
      <c r="C162" s="1"/>
    </row>
    <row r="163">
      <c r="B163" s="1"/>
      <c r="C163" s="1"/>
    </row>
    <row r="164">
      <c r="B164" s="1"/>
      <c r="C164" s="1"/>
    </row>
    <row r="165">
      <c r="B165" s="1"/>
      <c r="C165" s="1"/>
    </row>
    <row r="166">
      <c r="B166" s="1"/>
      <c r="C166" s="1"/>
    </row>
    <row r="167">
      <c r="B167" s="1"/>
      <c r="C167" s="1"/>
    </row>
    <row r="168">
      <c r="B168" s="1"/>
      <c r="C168" s="1"/>
    </row>
    <row r="169">
      <c r="B169" s="1"/>
      <c r="C169" s="1"/>
    </row>
    <row r="170">
      <c r="B170" s="1"/>
      <c r="C170" s="1"/>
    </row>
    <row r="171">
      <c r="B171" s="1"/>
      <c r="C171" s="1"/>
    </row>
    <row r="172">
      <c r="B172" s="1"/>
      <c r="C172" s="1"/>
    </row>
    <row r="173">
      <c r="B173" s="1"/>
      <c r="C173" s="1"/>
    </row>
    <row r="174">
      <c r="B174" s="1"/>
      <c r="C174" s="1"/>
    </row>
    <row r="175">
      <c r="B175" s="1"/>
      <c r="C175" s="1"/>
    </row>
    <row r="176">
      <c r="B176" s="1"/>
      <c r="C176" s="1"/>
    </row>
    <row r="177">
      <c r="B177" s="1"/>
      <c r="C177" s="1"/>
    </row>
    <row r="178">
      <c r="B178" s="1"/>
      <c r="C178" s="1"/>
    </row>
    <row r="179">
      <c r="B179" s="1"/>
      <c r="C179" s="1"/>
    </row>
    <row r="180">
      <c r="B180" s="1"/>
      <c r="C180" s="1"/>
    </row>
    <row r="181">
      <c r="B181" s="1"/>
      <c r="C181" s="1"/>
    </row>
    <row r="182">
      <c r="B182" s="1"/>
      <c r="C182" s="1"/>
    </row>
    <row r="183">
      <c r="B183" s="1"/>
      <c r="C183" s="1"/>
    </row>
    <row r="184">
      <c r="B184" s="1"/>
      <c r="C184" s="1"/>
    </row>
    <row r="185">
      <c r="B185" s="1"/>
      <c r="C185" s="1"/>
    </row>
    <row r="186">
      <c r="B186" s="1"/>
      <c r="C186" s="1"/>
    </row>
    <row r="187">
      <c r="B187" s="1"/>
      <c r="C187" s="1"/>
    </row>
    <row r="188">
      <c r="B188" s="1"/>
      <c r="C188" s="1"/>
    </row>
    <row r="189">
      <c r="B189" s="1"/>
      <c r="C189" s="1"/>
    </row>
    <row r="190">
      <c r="B190" s="1"/>
      <c r="C190" s="1"/>
    </row>
    <row r="191">
      <c r="B191" s="1"/>
      <c r="C191" s="1"/>
    </row>
    <row r="192">
      <c r="B192" s="1"/>
      <c r="C192" s="1"/>
    </row>
    <row r="193">
      <c r="B193" s="1"/>
      <c r="C193" s="1"/>
    </row>
    <row r="194">
      <c r="B194" s="1"/>
      <c r="C194" s="1"/>
    </row>
    <row r="195">
      <c r="B195" s="1"/>
      <c r="C195" s="1"/>
    </row>
    <row r="196">
      <c r="B196" s="1"/>
      <c r="C196" s="1"/>
    </row>
    <row r="197">
      <c r="B197" s="1"/>
      <c r="C197" s="1"/>
    </row>
    <row r="198">
      <c r="B198" s="1"/>
      <c r="C198" s="1"/>
    </row>
    <row r="199">
      <c r="B199" s="1"/>
      <c r="C199" s="1"/>
    </row>
    <row r="200">
      <c r="B200" s="1"/>
      <c r="C200" s="1"/>
    </row>
    <row r="201">
      <c r="B201" s="1"/>
      <c r="C201" s="1"/>
    </row>
    <row r="202">
      <c r="B202" s="1"/>
      <c r="C202" s="1"/>
    </row>
    <row r="203">
      <c r="B203" s="1"/>
      <c r="C203" s="1"/>
    </row>
    <row r="204">
      <c r="B204" s="1"/>
      <c r="C204" s="1"/>
    </row>
    <row r="205">
      <c r="B205" s="1"/>
      <c r="C205" s="1"/>
    </row>
    <row r="206">
      <c r="B206" s="1"/>
      <c r="C206" s="1"/>
    </row>
    <row r="207">
      <c r="B207" s="1"/>
      <c r="C207" s="1"/>
    </row>
    <row r="208">
      <c r="B208" s="1"/>
      <c r="C208" s="1"/>
    </row>
    <row r="209">
      <c r="B209" s="1"/>
      <c r="C209" s="1"/>
    </row>
    <row r="210">
      <c r="B210" s="1"/>
      <c r="C210" s="1"/>
    </row>
    <row r="211">
      <c r="B211" s="1"/>
      <c r="C211" s="1"/>
    </row>
    <row r="212">
      <c r="B212" s="1"/>
      <c r="C212" s="1"/>
    </row>
    <row r="213">
      <c r="B213" s="1"/>
      <c r="C213" s="1"/>
    </row>
    <row r="214">
      <c r="B214" s="1"/>
      <c r="C214" s="1"/>
    </row>
    <row r="215">
      <c r="B215" s="1"/>
      <c r="C215" s="1"/>
    </row>
    <row r="216">
      <c r="B216" s="1"/>
      <c r="C216" s="1"/>
    </row>
    <row r="217">
      <c r="B217" s="1"/>
      <c r="C217" s="1"/>
    </row>
    <row r="218">
      <c r="B218" s="1"/>
      <c r="C218" s="1"/>
    </row>
    <row r="219">
      <c r="B219" s="1"/>
      <c r="C219" s="1"/>
    </row>
    <row r="220">
      <c r="B220" s="1"/>
      <c r="C220" s="1"/>
    </row>
    <row r="221">
      <c r="B221" s="1"/>
      <c r="C221" s="1"/>
    </row>
    <row r="222">
      <c r="B222" s="1"/>
      <c r="C222" s="1"/>
    </row>
    <row r="223">
      <c r="B223" s="1"/>
      <c r="C223" s="1"/>
    </row>
    <row r="224">
      <c r="B224" s="1"/>
      <c r="C224" s="1"/>
    </row>
    <row r="225">
      <c r="B225" s="1"/>
      <c r="C225" s="1"/>
    </row>
    <row r="226">
      <c r="B226" s="1"/>
      <c r="C226" s="1"/>
    </row>
    <row r="227">
      <c r="B227" s="1"/>
      <c r="C227" s="1"/>
    </row>
    <row r="228">
      <c r="B228" s="1"/>
      <c r="C228" s="1"/>
    </row>
    <row r="229">
      <c r="B229" s="1"/>
      <c r="C229" s="1"/>
    </row>
    <row r="230">
      <c r="B230" s="1"/>
      <c r="C230" s="1"/>
    </row>
    <row r="231">
      <c r="B231" s="1"/>
      <c r="C231" s="1"/>
    </row>
    <row r="232">
      <c r="B232" s="1"/>
      <c r="C232" s="1"/>
    </row>
    <row r="233">
      <c r="B233" s="1"/>
      <c r="C233" s="1"/>
    </row>
    <row r="234">
      <c r="B234" s="1"/>
      <c r="C234" s="1"/>
    </row>
    <row r="235">
      <c r="B235" s="1"/>
      <c r="C235" s="1"/>
    </row>
    <row r="236">
      <c r="B236" s="1"/>
      <c r="C236" s="1"/>
    </row>
    <row r="237">
      <c r="B237" s="1"/>
      <c r="C237" s="1"/>
    </row>
    <row r="238">
      <c r="B238" s="1"/>
      <c r="C238" s="1"/>
    </row>
    <row r="239">
      <c r="B239" s="1"/>
      <c r="C239" s="1"/>
    </row>
    <row r="240">
      <c r="B240" s="1"/>
      <c r="C240" s="1"/>
    </row>
    <row r="241">
      <c r="B241" s="1"/>
      <c r="C241" s="1"/>
    </row>
    <row r="242">
      <c r="B242" s="1"/>
      <c r="C242" s="1"/>
    </row>
    <row r="243">
      <c r="B243" s="1"/>
      <c r="C243" s="1"/>
    </row>
    <row r="244">
      <c r="B244" s="1"/>
      <c r="C244" s="1"/>
    </row>
    <row r="245">
      <c r="B245" s="1"/>
      <c r="C245" s="1"/>
    </row>
    <row r="246">
      <c r="B246" s="1"/>
      <c r="C246" s="1"/>
    </row>
    <row r="247">
      <c r="B247" s="1"/>
      <c r="C247" s="1"/>
    </row>
    <row r="248">
      <c r="B248" s="1"/>
      <c r="C248" s="1"/>
    </row>
    <row r="249">
      <c r="B249" s="1"/>
      <c r="C249" s="1"/>
    </row>
    <row r="250">
      <c r="B250" s="1"/>
      <c r="C250" s="1"/>
    </row>
    <row r="251">
      <c r="B251" s="1"/>
      <c r="C251" s="1"/>
    </row>
    <row r="252">
      <c r="B252" s="1"/>
      <c r="C252" s="1"/>
    </row>
    <row r="253">
      <c r="B253" s="1"/>
      <c r="C253" s="1"/>
    </row>
    <row r="254">
      <c r="B254" s="1"/>
      <c r="C254" s="1"/>
    </row>
    <row r="255">
      <c r="B255" s="1"/>
      <c r="C255" s="1"/>
    </row>
    <row r="256">
      <c r="B256" s="1"/>
      <c r="C256" s="1"/>
    </row>
    <row r="257">
      <c r="B257" s="1"/>
      <c r="C257" s="1"/>
    </row>
    <row r="258">
      <c r="B258" s="1"/>
      <c r="C258" s="1"/>
    </row>
    <row r="259">
      <c r="B259" s="1"/>
      <c r="C259" s="1"/>
    </row>
    <row r="260">
      <c r="B260" s="1"/>
      <c r="C260" s="1"/>
    </row>
    <row r="261">
      <c r="B261" s="1"/>
      <c r="C261" s="1"/>
    </row>
    <row r="262">
      <c r="B262" s="1"/>
      <c r="C262" s="1"/>
    </row>
    <row r="263">
      <c r="B263" s="1"/>
      <c r="C263" s="1"/>
    </row>
    <row r="264">
      <c r="B264" s="1"/>
      <c r="C264" s="1"/>
    </row>
    <row r="265">
      <c r="B265" s="1"/>
      <c r="C265" s="1"/>
    </row>
    <row r="266">
      <c r="B266" s="1"/>
      <c r="C266" s="1"/>
    </row>
    <row r="267">
      <c r="B267" s="1"/>
      <c r="C267" s="1"/>
    </row>
    <row r="268">
      <c r="B268" s="1"/>
      <c r="C268" s="1"/>
    </row>
    <row r="269">
      <c r="B269" s="1"/>
      <c r="C269" s="1"/>
    </row>
    <row r="270">
      <c r="B270" s="1"/>
      <c r="C270" s="1"/>
    </row>
    <row r="271">
      <c r="B271" s="1"/>
      <c r="C271" s="1"/>
    </row>
    <row r="272">
      <c r="B272" s="1"/>
      <c r="C272" s="1"/>
    </row>
    <row r="273">
      <c r="B273" s="1"/>
      <c r="C273" s="1"/>
    </row>
    <row r="274">
      <c r="B274" s="1"/>
      <c r="C274" s="1"/>
    </row>
    <row r="275">
      <c r="B275" s="1"/>
      <c r="C275" s="1"/>
    </row>
    <row r="276">
      <c r="B276" s="1"/>
      <c r="C276" s="1"/>
    </row>
    <row r="277">
      <c r="B277" s="1"/>
      <c r="C277" s="1"/>
    </row>
    <row r="278">
      <c r="B278" s="1"/>
      <c r="C278" s="1"/>
    </row>
    <row r="279">
      <c r="B279" s="1"/>
      <c r="C279" s="1"/>
    </row>
    <row r="280">
      <c r="B280" s="1"/>
      <c r="C280" s="1"/>
    </row>
    <row r="281">
      <c r="B281" s="1"/>
      <c r="C281" s="1"/>
    </row>
    <row r="282">
      <c r="B282" s="1"/>
      <c r="C282" s="1"/>
    </row>
    <row r="283">
      <c r="B283" s="1"/>
      <c r="C283" s="1"/>
    </row>
    <row r="284">
      <c r="B284" s="1"/>
      <c r="C284" s="1"/>
    </row>
    <row r="285">
      <c r="B285" s="1"/>
      <c r="C285" s="1"/>
    </row>
    <row r="286">
      <c r="B286" s="1"/>
      <c r="C286" s="1"/>
    </row>
    <row r="287">
      <c r="B287" s="1"/>
      <c r="C287" s="1"/>
    </row>
    <row r="288">
      <c r="B288" s="1"/>
      <c r="C288" s="1"/>
    </row>
    <row r="289">
      <c r="B289" s="1"/>
      <c r="C289" s="1"/>
    </row>
    <row r="290">
      <c r="B290" s="1"/>
      <c r="C290" s="1"/>
    </row>
    <row r="291">
      <c r="B291" s="1"/>
      <c r="C291" s="1"/>
    </row>
    <row r="292">
      <c r="B292" s="1"/>
      <c r="C292" s="1"/>
    </row>
    <row r="293">
      <c r="B293" s="1"/>
      <c r="C293" s="1"/>
    </row>
    <row r="294">
      <c r="B294" s="1"/>
      <c r="C294" s="1"/>
    </row>
    <row r="295">
      <c r="B295" s="1"/>
      <c r="C295" s="1"/>
    </row>
    <row r="296">
      <c r="B296" s="1"/>
      <c r="C296" s="1"/>
    </row>
    <row r="297">
      <c r="B297" s="1"/>
      <c r="C297" s="1"/>
    </row>
    <row r="298">
      <c r="B298" s="1"/>
      <c r="C298" s="1"/>
    </row>
    <row r="299">
      <c r="B299" s="1"/>
      <c r="C299" s="1"/>
    </row>
    <row r="300">
      <c r="B300" s="1"/>
      <c r="C300" s="1"/>
    </row>
    <row r="301">
      <c r="B301" s="1"/>
      <c r="C301" s="1"/>
    </row>
    <row r="302">
      <c r="B302" s="1"/>
      <c r="C302" s="1"/>
    </row>
    <row r="303">
      <c r="B303" s="1"/>
      <c r="C303" s="1"/>
    </row>
    <row r="304">
      <c r="B304" s="1"/>
      <c r="C304" s="1"/>
    </row>
    <row r="305">
      <c r="B305" s="1"/>
      <c r="C305" s="1"/>
    </row>
    <row r="306">
      <c r="B306" s="1"/>
      <c r="C306" s="1"/>
    </row>
    <row r="307">
      <c r="B307" s="1"/>
      <c r="C307" s="1"/>
    </row>
    <row r="308">
      <c r="B308" s="1"/>
      <c r="C308" s="1"/>
    </row>
    <row r="309">
      <c r="B309" s="1"/>
      <c r="C309" s="1"/>
    </row>
    <row r="310">
      <c r="B310" s="1"/>
      <c r="C310" s="1"/>
    </row>
    <row r="311">
      <c r="B311" s="1"/>
      <c r="C311" s="1"/>
    </row>
    <row r="312">
      <c r="B312" s="1"/>
      <c r="C312" s="1"/>
    </row>
    <row r="313">
      <c r="B313" s="1"/>
      <c r="C313" s="1"/>
    </row>
    <row r="314">
      <c r="B314" s="1"/>
      <c r="C314" s="1"/>
    </row>
    <row r="315">
      <c r="B315" s="1"/>
      <c r="C315" s="1"/>
    </row>
    <row r="316">
      <c r="B316" s="1"/>
      <c r="C316" s="1"/>
    </row>
    <row r="317">
      <c r="B317" s="1"/>
      <c r="C317" s="1"/>
    </row>
    <row r="318">
      <c r="B318" s="1"/>
      <c r="C318" s="1"/>
    </row>
    <row r="319">
      <c r="B319" s="1"/>
      <c r="C319" s="1"/>
    </row>
    <row r="320">
      <c r="B320" s="1"/>
      <c r="C320" s="1"/>
    </row>
    <row r="321">
      <c r="B321" s="1"/>
      <c r="C321" s="1"/>
    </row>
    <row r="322">
      <c r="B322" s="1"/>
      <c r="C322" s="1"/>
    </row>
    <row r="323">
      <c r="B323" s="1"/>
      <c r="C323" s="1"/>
    </row>
    <row r="324">
      <c r="B324" s="1"/>
      <c r="C324" s="1"/>
    </row>
    <row r="325">
      <c r="B325" s="1"/>
      <c r="C325" s="1"/>
    </row>
    <row r="326">
      <c r="B326" s="1"/>
      <c r="C326" s="1"/>
    </row>
    <row r="327">
      <c r="B327" s="1"/>
      <c r="C327" s="1"/>
    </row>
    <row r="328">
      <c r="B328" s="1"/>
      <c r="C328" s="1"/>
    </row>
    <row r="329">
      <c r="B329" s="1"/>
      <c r="C329" s="1"/>
    </row>
    <row r="330">
      <c r="B330" s="1"/>
      <c r="C330" s="1"/>
    </row>
    <row r="331">
      <c r="B331" s="1"/>
      <c r="C331" s="1"/>
    </row>
    <row r="332">
      <c r="B332" s="1"/>
      <c r="C332" s="1"/>
    </row>
    <row r="333">
      <c r="B333" s="1"/>
      <c r="C333" s="1"/>
    </row>
    <row r="334">
      <c r="B334" s="1"/>
      <c r="C334" s="1"/>
    </row>
    <row r="335">
      <c r="B335" s="1"/>
      <c r="C335" s="1"/>
    </row>
    <row r="336">
      <c r="B336" s="1"/>
      <c r="C336" s="1"/>
    </row>
    <row r="337">
      <c r="B337" s="1"/>
      <c r="C337" s="1"/>
    </row>
    <row r="338">
      <c r="B338" s="1"/>
      <c r="C338" s="1"/>
    </row>
    <row r="339">
      <c r="B339" s="1"/>
      <c r="C339" s="1"/>
    </row>
    <row r="340">
      <c r="B340" s="1"/>
      <c r="C340" s="1"/>
    </row>
    <row r="341">
      <c r="B341" s="1"/>
      <c r="C341" s="1"/>
    </row>
    <row r="342">
      <c r="B342" s="1"/>
      <c r="C342" s="1"/>
    </row>
    <row r="343">
      <c r="B343" s="1"/>
      <c r="C343" s="1"/>
    </row>
    <row r="344">
      <c r="B344" s="1"/>
      <c r="C344" s="1"/>
    </row>
    <row r="345">
      <c r="B345" s="1"/>
      <c r="C345" s="1"/>
    </row>
    <row r="346">
      <c r="B346" s="1"/>
      <c r="C346" s="1"/>
    </row>
    <row r="347">
      <c r="B347" s="1"/>
      <c r="C347" s="1"/>
    </row>
    <row r="348">
      <c r="B348" s="1"/>
      <c r="C348" s="1"/>
    </row>
    <row r="349">
      <c r="B349" s="1"/>
      <c r="C349" s="1"/>
    </row>
    <row r="350">
      <c r="B350" s="1"/>
      <c r="C350" s="1"/>
    </row>
    <row r="351">
      <c r="B351" s="1"/>
      <c r="C351" s="1"/>
    </row>
    <row r="352">
      <c r="B352" s="1"/>
      <c r="C352" s="1"/>
    </row>
    <row r="353">
      <c r="B353" s="1"/>
      <c r="C353" s="1"/>
    </row>
    <row r="354">
      <c r="B354" s="1"/>
      <c r="C354" s="1"/>
    </row>
    <row r="355">
      <c r="B355" s="1"/>
      <c r="C355" s="1"/>
    </row>
    <row r="356">
      <c r="B356" s="1"/>
      <c r="C356" s="1"/>
    </row>
    <row r="357">
      <c r="B357" s="1"/>
      <c r="C357" s="1"/>
    </row>
    <row r="358">
      <c r="B358" s="1"/>
      <c r="C358" s="1"/>
    </row>
    <row r="359">
      <c r="B359" s="1"/>
      <c r="C359" s="1"/>
    </row>
    <row r="360">
      <c r="B360" s="1"/>
      <c r="C360" s="1"/>
    </row>
    <row r="361">
      <c r="B361" s="1"/>
      <c r="C361" s="1"/>
    </row>
    <row r="362">
      <c r="B362" s="1"/>
      <c r="C362" s="1"/>
    </row>
    <row r="363">
      <c r="B363" s="1"/>
      <c r="C363" s="1"/>
    </row>
    <row r="364">
      <c r="B364" s="1"/>
      <c r="C364" s="1"/>
    </row>
    <row r="365">
      <c r="B365" s="1"/>
      <c r="C365" s="1"/>
    </row>
    <row r="366">
      <c r="B366" s="1"/>
      <c r="C366" s="1"/>
    </row>
    <row r="367">
      <c r="B367" s="1"/>
      <c r="C367" s="1"/>
    </row>
    <row r="368">
      <c r="B368" s="1"/>
      <c r="C368" s="1"/>
    </row>
    <row r="369">
      <c r="B369" s="1"/>
      <c r="C369" s="1"/>
    </row>
    <row r="370">
      <c r="B370" s="1"/>
      <c r="C370" s="1"/>
    </row>
    <row r="371">
      <c r="B371" s="1"/>
      <c r="C371" s="1"/>
    </row>
    <row r="372">
      <c r="B372" s="1"/>
      <c r="C372" s="1"/>
    </row>
    <row r="373">
      <c r="B373" s="1"/>
      <c r="C373" s="1"/>
    </row>
    <row r="374">
      <c r="B374" s="1"/>
      <c r="C374" s="1"/>
    </row>
    <row r="375">
      <c r="B375" s="1"/>
      <c r="C375" s="1"/>
    </row>
    <row r="376">
      <c r="B376" s="1"/>
      <c r="C376" s="1"/>
    </row>
    <row r="377">
      <c r="B377" s="1"/>
      <c r="C377" s="1"/>
    </row>
    <row r="378">
      <c r="B378" s="1"/>
      <c r="C378" s="1"/>
    </row>
    <row r="379">
      <c r="B379" s="1"/>
      <c r="C379" s="1"/>
    </row>
    <row r="380">
      <c r="B380" s="1"/>
      <c r="C380" s="1"/>
    </row>
    <row r="381">
      <c r="B381" s="1"/>
      <c r="C381" s="1"/>
    </row>
    <row r="382">
      <c r="B382" s="1"/>
      <c r="C382" s="1"/>
    </row>
    <row r="383">
      <c r="B383" s="1"/>
      <c r="C383" s="1"/>
    </row>
    <row r="384">
      <c r="B384" s="1"/>
      <c r="C384" s="1"/>
    </row>
    <row r="385">
      <c r="B385" s="1"/>
      <c r="C385" s="1"/>
    </row>
    <row r="386">
      <c r="B386" s="1"/>
      <c r="C386" s="1"/>
    </row>
    <row r="387">
      <c r="B387" s="1"/>
      <c r="C387" s="1"/>
    </row>
    <row r="388">
      <c r="B388" s="1"/>
      <c r="C388" s="1"/>
    </row>
    <row r="389">
      <c r="B389" s="1"/>
      <c r="C389" s="1"/>
    </row>
    <row r="390">
      <c r="B390" s="1"/>
      <c r="C390" s="1"/>
    </row>
    <row r="391">
      <c r="B391" s="1"/>
      <c r="C391" s="1"/>
    </row>
    <row r="392">
      <c r="B392" s="1"/>
      <c r="C392" s="1"/>
    </row>
    <row r="393">
      <c r="B393" s="1"/>
      <c r="C393" s="1"/>
    </row>
    <row r="394">
      <c r="B394" s="1"/>
      <c r="C394" s="1"/>
    </row>
    <row r="395">
      <c r="B395" s="1"/>
      <c r="C395" s="1"/>
    </row>
    <row r="396">
      <c r="B396" s="1"/>
      <c r="C396" s="1"/>
    </row>
    <row r="397">
      <c r="B397" s="1"/>
      <c r="C397" s="1"/>
    </row>
    <row r="398">
      <c r="B398" s="1"/>
      <c r="C398" s="1"/>
    </row>
    <row r="399">
      <c r="B399" s="1"/>
      <c r="C399" s="1"/>
    </row>
    <row r="400">
      <c r="B400" s="1"/>
      <c r="C400" s="1"/>
    </row>
    <row r="401">
      <c r="B401" s="1"/>
      <c r="C401" s="1"/>
    </row>
    <row r="402">
      <c r="B402" s="1"/>
      <c r="C402" s="1"/>
    </row>
    <row r="403">
      <c r="B403" s="1"/>
      <c r="C403" s="1"/>
    </row>
    <row r="404">
      <c r="B404" s="1"/>
      <c r="C404" s="1"/>
    </row>
    <row r="405">
      <c r="B405" s="1"/>
      <c r="C405" s="1"/>
    </row>
    <row r="406">
      <c r="B406" s="1"/>
      <c r="C406" s="1"/>
    </row>
    <row r="407">
      <c r="B407" s="1"/>
      <c r="C407" s="1"/>
    </row>
    <row r="408">
      <c r="B408" s="1"/>
      <c r="C408" s="1"/>
    </row>
    <row r="409">
      <c r="B409" s="1"/>
      <c r="C409" s="1"/>
    </row>
    <row r="410">
      <c r="B410" s="1"/>
      <c r="C410" s="1"/>
    </row>
    <row r="411">
      <c r="B411" s="1"/>
      <c r="C411" s="1"/>
    </row>
    <row r="412">
      <c r="B412" s="1"/>
      <c r="C412" s="1"/>
    </row>
    <row r="413">
      <c r="B413" s="1"/>
      <c r="C413" s="1"/>
    </row>
    <row r="414">
      <c r="B414" s="1"/>
      <c r="C414" s="1"/>
    </row>
    <row r="415">
      <c r="B415" s="1"/>
      <c r="C415" s="1"/>
    </row>
    <row r="416">
      <c r="B416" s="1"/>
      <c r="C416" s="1"/>
    </row>
    <row r="417">
      <c r="B417" s="1"/>
      <c r="C417" s="1"/>
    </row>
    <row r="418">
      <c r="B418" s="1"/>
      <c r="C418" s="1"/>
    </row>
    <row r="419">
      <c r="B419" s="1"/>
      <c r="C419" s="1"/>
    </row>
    <row r="420">
      <c r="B420" s="1"/>
      <c r="C420" s="1"/>
    </row>
    <row r="421">
      <c r="B421" s="1"/>
      <c r="C421" s="1"/>
    </row>
    <row r="422">
      <c r="B422" s="1"/>
      <c r="C422" s="1"/>
    </row>
    <row r="423">
      <c r="B423" s="1"/>
      <c r="C423" s="1"/>
    </row>
    <row r="424">
      <c r="B424" s="1"/>
      <c r="C424" s="1"/>
    </row>
    <row r="425">
      <c r="B425" s="1"/>
      <c r="C425" s="1"/>
    </row>
    <row r="426">
      <c r="B426" s="1"/>
      <c r="C426" s="1"/>
    </row>
    <row r="427">
      <c r="B427" s="1"/>
      <c r="C427" s="1"/>
    </row>
    <row r="428">
      <c r="B428" s="1"/>
      <c r="C428" s="1"/>
    </row>
    <row r="429">
      <c r="B429" s="1"/>
      <c r="C429" s="1"/>
    </row>
    <row r="430">
      <c r="B430" s="1"/>
      <c r="C430" s="1"/>
    </row>
    <row r="431">
      <c r="B431" s="1"/>
      <c r="C431" s="1"/>
    </row>
    <row r="432">
      <c r="B432" s="1"/>
      <c r="C432" s="1"/>
    </row>
    <row r="433">
      <c r="B433" s="1"/>
      <c r="C433" s="1"/>
    </row>
    <row r="434">
      <c r="B434" s="1"/>
      <c r="C434" s="1"/>
    </row>
    <row r="435">
      <c r="B435" s="1"/>
      <c r="C435" s="1"/>
    </row>
    <row r="436">
      <c r="B436" s="1"/>
      <c r="C436" s="1"/>
    </row>
    <row r="437">
      <c r="B437" s="1"/>
      <c r="C437" s="1"/>
    </row>
    <row r="438">
      <c r="B438" s="1"/>
      <c r="C438" s="1"/>
    </row>
    <row r="439">
      <c r="B439" s="1"/>
      <c r="C439" s="1"/>
    </row>
    <row r="440">
      <c r="B440" s="1"/>
      <c r="C440" s="1"/>
    </row>
    <row r="441">
      <c r="B441" s="1"/>
      <c r="C441" s="1"/>
    </row>
    <row r="442">
      <c r="B442" s="1"/>
      <c r="C442" s="1"/>
    </row>
    <row r="443">
      <c r="B443" s="1"/>
      <c r="C443" s="1"/>
    </row>
    <row r="444">
      <c r="B444" s="1"/>
      <c r="C444" s="1"/>
    </row>
    <row r="445">
      <c r="B445" s="1"/>
      <c r="C445" s="1"/>
    </row>
    <row r="446">
      <c r="B446" s="1"/>
      <c r="C446" s="1"/>
    </row>
    <row r="447">
      <c r="B447" s="1"/>
      <c r="C447" s="1"/>
    </row>
    <row r="448">
      <c r="B448" s="1"/>
      <c r="C448" s="1"/>
    </row>
    <row r="449">
      <c r="B449" s="1"/>
      <c r="C449" s="1"/>
    </row>
    <row r="450">
      <c r="B450" s="1"/>
      <c r="C450" s="1"/>
    </row>
    <row r="451">
      <c r="B451" s="1"/>
      <c r="C451" s="1"/>
    </row>
    <row r="452">
      <c r="B452" s="1"/>
      <c r="C452" s="1"/>
    </row>
    <row r="453">
      <c r="B453" s="1"/>
      <c r="C453" s="1"/>
    </row>
    <row r="454">
      <c r="B454" s="1"/>
      <c r="C454" s="1"/>
    </row>
    <row r="455">
      <c r="B455" s="1"/>
      <c r="C455" s="1"/>
    </row>
    <row r="456">
      <c r="B456" s="1"/>
      <c r="C456" s="1"/>
    </row>
    <row r="457">
      <c r="B457" s="1"/>
      <c r="C457" s="1"/>
    </row>
    <row r="458">
      <c r="B458" s="1"/>
      <c r="C458" s="1"/>
    </row>
    <row r="459">
      <c r="B459" s="1"/>
      <c r="C459" s="1"/>
    </row>
    <row r="460">
      <c r="B460" s="1"/>
      <c r="C460" s="1"/>
    </row>
    <row r="461">
      <c r="B461" s="1"/>
      <c r="C461" s="1"/>
    </row>
    <row r="462">
      <c r="B462" s="1"/>
      <c r="C462" s="1"/>
    </row>
    <row r="463">
      <c r="B463" s="1"/>
      <c r="C463" s="1"/>
    </row>
    <row r="464">
      <c r="B464" s="1"/>
      <c r="C464" s="1"/>
    </row>
    <row r="465">
      <c r="B465" s="1"/>
      <c r="C465" s="1"/>
    </row>
    <row r="466">
      <c r="B466" s="1"/>
      <c r="C466" s="1"/>
    </row>
    <row r="467">
      <c r="B467" s="1"/>
      <c r="C467" s="1"/>
    </row>
    <row r="468">
      <c r="B468" s="1"/>
      <c r="C468" s="1"/>
    </row>
    <row r="469">
      <c r="B469" s="1"/>
      <c r="C469" s="1"/>
    </row>
    <row r="470">
      <c r="B470" s="1"/>
      <c r="C470" s="1"/>
    </row>
    <row r="471">
      <c r="B471" s="1"/>
      <c r="C471" s="1"/>
    </row>
    <row r="472">
      <c r="B472" s="1"/>
      <c r="C472" s="1"/>
    </row>
    <row r="473">
      <c r="B473" s="1"/>
      <c r="C473" s="1"/>
    </row>
    <row r="474">
      <c r="B474" s="1"/>
      <c r="C474" s="1"/>
    </row>
    <row r="475">
      <c r="B475" s="1"/>
      <c r="C475" s="1"/>
    </row>
    <row r="476">
      <c r="B476" s="1"/>
      <c r="C476" s="1"/>
    </row>
    <row r="477">
      <c r="B477" s="1"/>
      <c r="C477" s="1"/>
    </row>
    <row r="478">
      <c r="B478" s="1"/>
      <c r="C478" s="1"/>
    </row>
    <row r="479">
      <c r="B479" s="1"/>
      <c r="C479" s="1"/>
    </row>
    <row r="480">
      <c r="B480" s="1"/>
      <c r="C480" s="1"/>
    </row>
    <row r="481">
      <c r="B481" s="1"/>
      <c r="C481" s="1"/>
    </row>
    <row r="482">
      <c r="B482" s="1"/>
      <c r="C482" s="1"/>
    </row>
    <row r="483">
      <c r="B483" s="1"/>
      <c r="C483" s="1"/>
    </row>
    <row r="484">
      <c r="B484" s="1"/>
      <c r="C484" s="1"/>
    </row>
    <row r="485">
      <c r="B485" s="1"/>
      <c r="C485" s="1"/>
    </row>
    <row r="486">
      <c r="B486" s="1"/>
      <c r="C486" s="1"/>
    </row>
    <row r="487">
      <c r="B487" s="1"/>
      <c r="C487" s="1"/>
    </row>
    <row r="488">
      <c r="B488" s="1"/>
      <c r="C488" s="1"/>
    </row>
    <row r="489">
      <c r="B489" s="1"/>
      <c r="C489" s="1"/>
    </row>
    <row r="490">
      <c r="B490" s="1"/>
      <c r="C490" s="1"/>
    </row>
    <row r="491">
      <c r="B491" s="1"/>
      <c r="C491" s="1"/>
    </row>
    <row r="492">
      <c r="B492" s="1"/>
      <c r="C492" s="1"/>
    </row>
    <row r="493">
      <c r="B493" s="1"/>
      <c r="C493" s="1"/>
    </row>
    <row r="494">
      <c r="B494" s="1"/>
      <c r="C494" s="1"/>
    </row>
    <row r="495">
      <c r="B495" s="1"/>
      <c r="C495" s="1"/>
    </row>
    <row r="496">
      <c r="B496" s="1"/>
      <c r="C496" s="1"/>
    </row>
    <row r="497">
      <c r="B497" s="1"/>
      <c r="C497" s="1"/>
    </row>
    <row r="498">
      <c r="B498" s="1"/>
      <c r="C498" s="1"/>
    </row>
    <row r="499">
      <c r="B499" s="1"/>
      <c r="C499" s="1"/>
    </row>
    <row r="500">
      <c r="B500" s="1"/>
      <c r="C500" s="1"/>
    </row>
    <row r="501">
      <c r="B501" s="1"/>
      <c r="C501" s="1"/>
    </row>
    <row r="502">
      <c r="B502" s="1"/>
      <c r="C502" s="1"/>
    </row>
    <row r="503">
      <c r="B503" s="1"/>
      <c r="C503" s="1"/>
    </row>
    <row r="504">
      <c r="B504" s="1"/>
      <c r="C504" s="1"/>
    </row>
    <row r="505">
      <c r="B505" s="1"/>
      <c r="C505" s="1"/>
    </row>
    <row r="506">
      <c r="B506" s="1"/>
      <c r="C506" s="1"/>
    </row>
    <row r="507">
      <c r="B507" s="1"/>
      <c r="C507" s="1"/>
    </row>
    <row r="508">
      <c r="B508" s="1"/>
      <c r="C508" s="1"/>
    </row>
    <row r="509">
      <c r="B509" s="1"/>
      <c r="C509" s="1"/>
    </row>
    <row r="510">
      <c r="B510" s="1"/>
      <c r="C510" s="1"/>
    </row>
    <row r="511">
      <c r="B511" s="1"/>
      <c r="C511" s="1"/>
    </row>
    <row r="512">
      <c r="B512" s="1"/>
      <c r="C512" s="1"/>
    </row>
    <row r="513">
      <c r="B513" s="1"/>
      <c r="C513" s="1"/>
    </row>
    <row r="514">
      <c r="B514" s="1"/>
      <c r="C514" s="1"/>
    </row>
    <row r="515">
      <c r="B515" s="1"/>
      <c r="C515" s="1"/>
    </row>
    <row r="516">
      <c r="B516" s="1"/>
      <c r="C516" s="1"/>
    </row>
    <row r="517">
      <c r="B517" s="1"/>
      <c r="C517" s="1"/>
    </row>
    <row r="518">
      <c r="B518" s="1"/>
      <c r="C518" s="1"/>
    </row>
    <row r="519">
      <c r="B519" s="1"/>
      <c r="C519" s="1"/>
    </row>
    <row r="520">
      <c r="B520" s="1"/>
      <c r="C520" s="1"/>
    </row>
    <row r="521">
      <c r="B521" s="1"/>
      <c r="C521" s="1"/>
    </row>
    <row r="522">
      <c r="B522" s="1"/>
      <c r="C522" s="1"/>
    </row>
    <row r="523">
      <c r="B523" s="1"/>
      <c r="C523" s="1"/>
    </row>
    <row r="524">
      <c r="B524" s="1"/>
      <c r="C524" s="1"/>
    </row>
    <row r="525">
      <c r="B525" s="1"/>
      <c r="C525" s="1"/>
    </row>
    <row r="526">
      <c r="B526" s="1"/>
      <c r="C526" s="1"/>
    </row>
    <row r="527">
      <c r="B527" s="1"/>
      <c r="C527" s="1"/>
    </row>
    <row r="528">
      <c r="B528" s="1"/>
      <c r="C528" s="1"/>
    </row>
    <row r="529">
      <c r="B529" s="1"/>
      <c r="C529" s="1"/>
    </row>
    <row r="530">
      <c r="B530" s="1"/>
      <c r="C530" s="1"/>
    </row>
    <row r="531">
      <c r="B531" s="1"/>
      <c r="C531" s="1"/>
    </row>
    <row r="532">
      <c r="B532" s="1"/>
      <c r="C532" s="1"/>
    </row>
    <row r="533">
      <c r="B533" s="1"/>
      <c r="C533" s="1"/>
    </row>
    <row r="534">
      <c r="B534" s="1"/>
      <c r="C534" s="1"/>
    </row>
    <row r="535">
      <c r="B535" s="1"/>
      <c r="C535" s="1"/>
    </row>
    <row r="536">
      <c r="B536" s="1"/>
      <c r="C536" s="1"/>
    </row>
    <row r="537">
      <c r="B537" s="1"/>
      <c r="C537" s="1"/>
    </row>
    <row r="538">
      <c r="B538" s="1"/>
      <c r="C538" s="1"/>
    </row>
    <row r="539">
      <c r="B539" s="1"/>
      <c r="C539" s="1"/>
    </row>
    <row r="540">
      <c r="B540" s="1"/>
      <c r="C540" s="1"/>
    </row>
    <row r="541">
      <c r="B541" s="1"/>
      <c r="C541" s="1"/>
    </row>
    <row r="542">
      <c r="B542" s="1"/>
      <c r="C542" s="1"/>
    </row>
    <row r="543">
      <c r="B543" s="1"/>
      <c r="C543" s="1"/>
    </row>
    <row r="544">
      <c r="B544" s="1"/>
      <c r="C544" s="1"/>
    </row>
    <row r="545">
      <c r="B545" s="1"/>
      <c r="C545" s="1"/>
    </row>
    <row r="546">
      <c r="B546" s="1"/>
      <c r="C546" s="1"/>
    </row>
    <row r="547">
      <c r="B547" s="1"/>
      <c r="C547" s="1"/>
    </row>
    <row r="548">
      <c r="B548" s="1"/>
      <c r="C548" s="1"/>
    </row>
    <row r="549">
      <c r="B549" s="1"/>
      <c r="C549" s="1"/>
    </row>
    <row r="550">
      <c r="B550" s="1"/>
      <c r="C550" s="1"/>
    </row>
    <row r="551">
      <c r="B551" s="1"/>
      <c r="C551" s="1"/>
    </row>
    <row r="552">
      <c r="B552" s="1"/>
      <c r="C552" s="1"/>
    </row>
    <row r="553">
      <c r="B553" s="1"/>
      <c r="C553" s="1"/>
    </row>
    <row r="554">
      <c r="B554" s="1"/>
      <c r="C554" s="1"/>
    </row>
    <row r="555">
      <c r="B555" s="1"/>
      <c r="C555" s="1"/>
    </row>
    <row r="556">
      <c r="B556" s="1"/>
      <c r="C556" s="1"/>
    </row>
    <row r="557">
      <c r="B557" s="1"/>
      <c r="C557" s="1"/>
    </row>
    <row r="558">
      <c r="B558" s="1"/>
      <c r="C558" s="1"/>
    </row>
    <row r="559">
      <c r="B559" s="1"/>
      <c r="C559" s="1"/>
    </row>
    <row r="560">
      <c r="B560" s="1"/>
      <c r="C560" s="1"/>
    </row>
    <row r="561">
      <c r="B561" s="1"/>
      <c r="C561" s="1"/>
    </row>
    <row r="562">
      <c r="B562" s="1"/>
      <c r="C562" s="1"/>
    </row>
    <row r="563">
      <c r="B563" s="1"/>
      <c r="C563" s="1"/>
    </row>
    <row r="564">
      <c r="B564" s="1"/>
      <c r="C564" s="1"/>
    </row>
    <row r="565">
      <c r="B565" s="1"/>
      <c r="C565" s="1"/>
    </row>
    <row r="566">
      <c r="B566" s="1"/>
      <c r="C566" s="1"/>
    </row>
    <row r="567">
      <c r="B567" s="1"/>
      <c r="C567" s="1"/>
    </row>
    <row r="568">
      <c r="B568" s="1"/>
      <c r="C568" s="1"/>
    </row>
    <row r="569">
      <c r="B569" s="1"/>
      <c r="C569" s="1"/>
    </row>
    <row r="570">
      <c r="B570" s="1"/>
      <c r="C570" s="1"/>
    </row>
    <row r="571">
      <c r="B571" s="1"/>
      <c r="C571" s="1"/>
    </row>
    <row r="572">
      <c r="B572" s="1"/>
      <c r="C572" s="1"/>
    </row>
    <row r="573">
      <c r="B573" s="1"/>
      <c r="C573" s="1"/>
    </row>
    <row r="574">
      <c r="B574" s="1"/>
      <c r="C574" s="1"/>
    </row>
    <row r="575">
      <c r="B575" s="1"/>
      <c r="C575" s="1"/>
    </row>
    <row r="576">
      <c r="B576" s="1"/>
      <c r="C576" s="1"/>
    </row>
    <row r="577">
      <c r="B577" s="1"/>
      <c r="C577" s="1"/>
    </row>
    <row r="578">
      <c r="B578" s="1"/>
      <c r="C578" s="1"/>
    </row>
    <row r="579">
      <c r="B579" s="1"/>
      <c r="C579" s="1"/>
    </row>
    <row r="580">
      <c r="B580" s="1"/>
      <c r="C580" s="1"/>
    </row>
    <row r="581">
      <c r="B581" s="1"/>
      <c r="C581" s="1"/>
    </row>
    <row r="582">
      <c r="B582" s="1"/>
      <c r="C582" s="1"/>
    </row>
    <row r="583">
      <c r="B583" s="1"/>
      <c r="C583" s="1"/>
    </row>
    <row r="584">
      <c r="B584" s="1"/>
      <c r="C584" s="1"/>
    </row>
    <row r="585">
      <c r="B585" s="1"/>
      <c r="C585" s="1"/>
    </row>
    <row r="586">
      <c r="B586" s="1"/>
      <c r="C586" s="1"/>
    </row>
    <row r="587">
      <c r="B587" s="1"/>
      <c r="C587" s="1"/>
    </row>
    <row r="588">
      <c r="B588" s="1"/>
      <c r="C588" s="1"/>
    </row>
    <row r="589">
      <c r="B589" s="1"/>
      <c r="C589" s="1"/>
    </row>
    <row r="590">
      <c r="B590" s="1"/>
      <c r="C590" s="1"/>
    </row>
    <row r="591">
      <c r="B591" s="1"/>
      <c r="C591" s="1"/>
    </row>
    <row r="592">
      <c r="B592" s="1"/>
      <c r="C592" s="1"/>
    </row>
    <row r="593">
      <c r="B593" s="1"/>
      <c r="C593" s="1"/>
    </row>
    <row r="594">
      <c r="B594" s="1"/>
      <c r="C594" s="1"/>
    </row>
    <row r="595">
      <c r="B595" s="1"/>
      <c r="C595" s="1"/>
    </row>
    <row r="596">
      <c r="B596" s="1"/>
      <c r="C596" s="1"/>
    </row>
    <row r="597">
      <c r="B597" s="1"/>
      <c r="C597" s="1"/>
    </row>
    <row r="598">
      <c r="B598" s="1"/>
      <c r="C598" s="1"/>
    </row>
    <row r="599">
      <c r="B599" s="1"/>
      <c r="C599" s="1"/>
    </row>
    <row r="600">
      <c r="B600" s="1"/>
      <c r="C600" s="1"/>
    </row>
    <row r="601">
      <c r="B601" s="1"/>
      <c r="C601" s="1"/>
    </row>
    <row r="602">
      <c r="B602" s="1"/>
      <c r="C602" s="1"/>
    </row>
    <row r="603">
      <c r="B603" s="1"/>
      <c r="C603" s="1"/>
    </row>
    <row r="604">
      <c r="B604" s="1"/>
      <c r="C604" s="1"/>
    </row>
    <row r="605">
      <c r="B605" s="1"/>
      <c r="C605" s="1"/>
    </row>
    <row r="606">
      <c r="B606" s="1"/>
      <c r="C606" s="1"/>
    </row>
    <row r="607">
      <c r="B607" s="1"/>
      <c r="C607" s="1"/>
    </row>
    <row r="608">
      <c r="B608" s="1"/>
      <c r="C608" s="1"/>
    </row>
    <row r="609">
      <c r="B609" s="1"/>
      <c r="C609" s="1"/>
    </row>
    <row r="610">
      <c r="B610" s="1"/>
      <c r="C610" s="1"/>
    </row>
    <row r="611">
      <c r="B611" s="1"/>
      <c r="C611" s="1"/>
    </row>
    <row r="612">
      <c r="B612" s="1"/>
      <c r="C612" s="1"/>
    </row>
    <row r="613">
      <c r="B613" s="1"/>
      <c r="C613" s="1"/>
    </row>
    <row r="614">
      <c r="B614" s="1"/>
      <c r="C614" s="1"/>
    </row>
    <row r="615">
      <c r="B615" s="1"/>
      <c r="C615" s="1"/>
    </row>
    <row r="616">
      <c r="B616" s="1"/>
      <c r="C616" s="1"/>
    </row>
    <row r="617">
      <c r="B617" s="1"/>
      <c r="C617" s="1"/>
    </row>
    <row r="618">
      <c r="B618" s="1"/>
      <c r="C618" s="1"/>
    </row>
    <row r="619">
      <c r="B619" s="1"/>
      <c r="C619" s="1"/>
    </row>
    <row r="620">
      <c r="B620" s="1"/>
      <c r="C620" s="1"/>
    </row>
    <row r="621">
      <c r="B621" s="1"/>
      <c r="C621" s="1"/>
    </row>
    <row r="622">
      <c r="B622" s="1"/>
      <c r="C622" s="1"/>
    </row>
    <row r="623">
      <c r="B623" s="1"/>
      <c r="C623" s="1"/>
    </row>
    <row r="624">
      <c r="B624" s="1"/>
      <c r="C624" s="1"/>
    </row>
    <row r="625">
      <c r="B625" s="1"/>
      <c r="C625" s="1"/>
    </row>
    <row r="626">
      <c r="B626" s="1"/>
      <c r="C626" s="1"/>
    </row>
    <row r="627">
      <c r="B627" s="1"/>
      <c r="C627" s="1"/>
    </row>
    <row r="628">
      <c r="B628" s="1"/>
      <c r="C628" s="1"/>
    </row>
    <row r="629">
      <c r="B629" s="1"/>
      <c r="C629" s="1"/>
    </row>
    <row r="630">
      <c r="B630" s="1"/>
      <c r="C630" s="1"/>
    </row>
    <row r="631">
      <c r="B631" s="1"/>
      <c r="C631" s="1"/>
    </row>
    <row r="632">
      <c r="B632" s="1"/>
      <c r="C632" s="1"/>
    </row>
    <row r="633">
      <c r="B633" s="1"/>
      <c r="C633" s="1"/>
    </row>
    <row r="634">
      <c r="B634" s="1"/>
      <c r="C634" s="1"/>
    </row>
    <row r="635">
      <c r="B635" s="1"/>
      <c r="C635" s="1"/>
    </row>
    <row r="636">
      <c r="B636" s="1"/>
      <c r="C636" s="1"/>
    </row>
    <row r="637">
      <c r="B637" s="1"/>
      <c r="C637" s="1"/>
    </row>
    <row r="638">
      <c r="B638" s="1"/>
      <c r="C638" s="1"/>
    </row>
    <row r="639">
      <c r="B639" s="1"/>
      <c r="C639" s="1"/>
    </row>
    <row r="640">
      <c r="B640" s="1"/>
      <c r="C640" s="1"/>
    </row>
    <row r="641">
      <c r="B641" s="1"/>
      <c r="C641" s="1"/>
    </row>
    <row r="642">
      <c r="B642" s="1"/>
      <c r="C642" s="1"/>
    </row>
    <row r="643">
      <c r="B643" s="1"/>
      <c r="C643" s="1"/>
    </row>
    <row r="644">
      <c r="B644" s="1"/>
      <c r="C644" s="1"/>
    </row>
    <row r="645">
      <c r="B645" s="1"/>
      <c r="C645" s="1"/>
    </row>
    <row r="646">
      <c r="B646" s="1"/>
      <c r="C646" s="1"/>
    </row>
    <row r="647">
      <c r="B647" s="1"/>
      <c r="C647" s="1"/>
    </row>
    <row r="648">
      <c r="B648" s="1"/>
      <c r="C648" s="1"/>
    </row>
    <row r="649">
      <c r="B649" s="1"/>
      <c r="C649" s="1"/>
    </row>
    <row r="650">
      <c r="B650" s="1"/>
      <c r="C650" s="1"/>
    </row>
    <row r="651">
      <c r="B651" s="1"/>
      <c r="C651" s="1"/>
    </row>
    <row r="652">
      <c r="B652" s="1"/>
      <c r="C652" s="1"/>
    </row>
    <row r="653">
      <c r="B653" s="1"/>
      <c r="C653" s="1"/>
    </row>
    <row r="654">
      <c r="B654" s="1"/>
      <c r="C654" s="1"/>
    </row>
    <row r="655">
      <c r="B655" s="1"/>
      <c r="C655" s="1"/>
    </row>
    <row r="656">
      <c r="B656" s="1"/>
      <c r="C656" s="1"/>
    </row>
    <row r="657">
      <c r="B657" s="1"/>
      <c r="C657" s="1"/>
    </row>
    <row r="658">
      <c r="B658" s="1"/>
      <c r="C658" s="1"/>
    </row>
    <row r="659">
      <c r="B659" s="1"/>
      <c r="C659" s="1"/>
    </row>
    <row r="660">
      <c r="B660" s="1"/>
      <c r="C660" s="1"/>
    </row>
    <row r="661">
      <c r="B661" s="1"/>
      <c r="C661" s="1"/>
    </row>
    <row r="662">
      <c r="B662" s="1"/>
      <c r="C662" s="1"/>
    </row>
    <row r="663">
      <c r="B663" s="1"/>
      <c r="C663" s="1"/>
    </row>
    <row r="664">
      <c r="B664" s="1"/>
      <c r="C664" s="1"/>
    </row>
    <row r="665">
      <c r="B665" s="1"/>
      <c r="C665" s="1"/>
    </row>
    <row r="666">
      <c r="B666" s="1"/>
      <c r="C666" s="1"/>
    </row>
    <row r="667">
      <c r="B667" s="1"/>
      <c r="C667" s="1"/>
    </row>
    <row r="668">
      <c r="B668" s="1"/>
      <c r="C668" s="1"/>
    </row>
    <row r="669">
      <c r="B669" s="1"/>
      <c r="C669" s="1"/>
    </row>
    <row r="670">
      <c r="B670" s="1"/>
      <c r="C670" s="1"/>
    </row>
    <row r="671">
      <c r="B671" s="1"/>
      <c r="C671" s="1"/>
    </row>
    <row r="672">
      <c r="B672" s="1"/>
      <c r="C672" s="1"/>
    </row>
    <row r="673">
      <c r="B673" s="1"/>
      <c r="C673" s="1"/>
    </row>
    <row r="674">
      <c r="B674" s="1"/>
      <c r="C674" s="1"/>
    </row>
    <row r="675">
      <c r="B675" s="1"/>
      <c r="C675" s="1"/>
    </row>
    <row r="676">
      <c r="B676" s="1"/>
      <c r="C676" s="1"/>
    </row>
    <row r="677">
      <c r="B677" s="1"/>
      <c r="C677" s="1"/>
    </row>
    <row r="678">
      <c r="B678" s="1"/>
      <c r="C678" s="1"/>
    </row>
    <row r="679">
      <c r="B679" s="1"/>
      <c r="C679" s="1"/>
    </row>
    <row r="680">
      <c r="B680" s="1"/>
      <c r="C680" s="1"/>
    </row>
    <row r="681">
      <c r="B681" s="1"/>
      <c r="C681" s="1"/>
    </row>
    <row r="682">
      <c r="B682" s="1"/>
      <c r="C682" s="1"/>
    </row>
    <row r="683">
      <c r="B683" s="1"/>
      <c r="C683" s="1"/>
    </row>
    <row r="684">
      <c r="B684" s="1"/>
      <c r="C684" s="1"/>
    </row>
    <row r="685">
      <c r="B685" s="1"/>
      <c r="C685" s="1"/>
    </row>
    <row r="686">
      <c r="B686" s="1"/>
      <c r="C686" s="1"/>
    </row>
    <row r="687">
      <c r="B687" s="1"/>
      <c r="C687" s="1"/>
    </row>
    <row r="688">
      <c r="B688" s="1"/>
      <c r="C688" s="1"/>
    </row>
    <row r="689">
      <c r="B689" s="1"/>
      <c r="C689" s="1"/>
    </row>
    <row r="690">
      <c r="B690" s="1"/>
      <c r="C690" s="1"/>
    </row>
    <row r="691">
      <c r="B691" s="1"/>
      <c r="C691" s="1"/>
    </row>
    <row r="692">
      <c r="B692" s="1"/>
      <c r="C692" s="1"/>
    </row>
    <row r="693">
      <c r="B693" s="1"/>
      <c r="C693" s="1"/>
    </row>
    <row r="694">
      <c r="B694" s="1"/>
      <c r="C694" s="1"/>
    </row>
    <row r="695">
      <c r="B695" s="1"/>
      <c r="C695" s="1"/>
    </row>
    <row r="696">
      <c r="B696" s="1"/>
      <c r="C696" s="1"/>
    </row>
    <row r="697">
      <c r="B697" s="1"/>
      <c r="C697" s="1"/>
    </row>
    <row r="698">
      <c r="B698" s="1"/>
      <c r="C698" s="1"/>
    </row>
    <row r="699">
      <c r="B699" s="1"/>
      <c r="C699" s="1"/>
    </row>
    <row r="700">
      <c r="B700" s="1"/>
      <c r="C700" s="1"/>
    </row>
    <row r="701">
      <c r="B701" s="1"/>
      <c r="C701" s="1"/>
    </row>
    <row r="702">
      <c r="B702" s="1"/>
      <c r="C702" s="1"/>
    </row>
    <row r="703">
      <c r="B703" s="1"/>
      <c r="C703" s="1"/>
    </row>
    <row r="704">
      <c r="B704" s="1"/>
      <c r="C704" s="1"/>
    </row>
    <row r="705">
      <c r="B705" s="1"/>
      <c r="C705" s="1"/>
    </row>
    <row r="706">
      <c r="B706" s="1"/>
      <c r="C706" s="1"/>
    </row>
    <row r="707">
      <c r="B707" s="1"/>
      <c r="C707" s="1"/>
    </row>
    <row r="708">
      <c r="B708" s="1"/>
      <c r="C708" s="1"/>
    </row>
    <row r="709">
      <c r="B709" s="1"/>
      <c r="C709" s="1"/>
    </row>
    <row r="710">
      <c r="B710" s="1"/>
      <c r="C710" s="1"/>
    </row>
    <row r="711">
      <c r="B711" s="1"/>
      <c r="C711" s="1"/>
    </row>
    <row r="712">
      <c r="B712" s="1"/>
      <c r="C712" s="1"/>
    </row>
    <row r="713">
      <c r="B713" s="1"/>
      <c r="C713" s="1"/>
    </row>
    <row r="714">
      <c r="B714" s="1"/>
      <c r="C714" s="1"/>
    </row>
    <row r="715">
      <c r="B715" s="1"/>
      <c r="C715" s="1"/>
    </row>
    <row r="716">
      <c r="B716" s="1"/>
      <c r="C716" s="1"/>
    </row>
    <row r="717">
      <c r="B717" s="1"/>
      <c r="C717" s="1"/>
    </row>
    <row r="718">
      <c r="B718" s="1"/>
      <c r="C718" s="1"/>
    </row>
    <row r="719">
      <c r="B719" s="1"/>
      <c r="C719" s="1"/>
    </row>
    <row r="720">
      <c r="B720" s="1"/>
      <c r="C720" s="1"/>
    </row>
    <row r="721">
      <c r="B721" s="1"/>
      <c r="C721" s="1"/>
    </row>
    <row r="722">
      <c r="B722" s="1"/>
      <c r="C722" s="1"/>
    </row>
    <row r="723">
      <c r="B723" s="1"/>
      <c r="C723" s="1"/>
    </row>
    <row r="724">
      <c r="B724" s="1"/>
      <c r="C724" s="1"/>
    </row>
    <row r="725">
      <c r="B725" s="1"/>
      <c r="C725" s="1"/>
    </row>
    <row r="726">
      <c r="B726" s="1"/>
      <c r="C726" s="1"/>
    </row>
    <row r="727">
      <c r="B727" s="1"/>
      <c r="C727" s="1"/>
    </row>
    <row r="728">
      <c r="B728" s="1"/>
      <c r="C728" s="1"/>
    </row>
    <row r="729">
      <c r="B729" s="1"/>
      <c r="C729" s="1"/>
    </row>
    <row r="730">
      <c r="B730" s="1"/>
      <c r="C730" s="1"/>
    </row>
    <row r="731">
      <c r="B731" s="1"/>
      <c r="C731" s="1"/>
    </row>
    <row r="732">
      <c r="B732" s="1"/>
      <c r="C732" s="1"/>
    </row>
    <row r="733">
      <c r="B733" s="1"/>
      <c r="C733" s="1"/>
    </row>
    <row r="734">
      <c r="B734" s="1"/>
      <c r="C734" s="1"/>
    </row>
    <row r="735">
      <c r="B735" s="1"/>
      <c r="C735" s="1"/>
    </row>
    <row r="736">
      <c r="B736" s="1"/>
      <c r="C736" s="1"/>
    </row>
    <row r="737">
      <c r="B737" s="1"/>
      <c r="C737" s="1"/>
    </row>
    <row r="738">
      <c r="B738" s="1"/>
      <c r="C738" s="1"/>
    </row>
    <row r="739">
      <c r="B739" s="1"/>
      <c r="C739" s="1"/>
    </row>
    <row r="740">
      <c r="B740" s="1"/>
      <c r="C740" s="1"/>
    </row>
    <row r="741">
      <c r="B741" s="1"/>
      <c r="C741" s="1"/>
    </row>
    <row r="742">
      <c r="B742" s="1"/>
      <c r="C742" s="1"/>
    </row>
    <row r="743">
      <c r="B743" s="1"/>
      <c r="C743" s="1"/>
    </row>
    <row r="744">
      <c r="B744" s="1"/>
      <c r="C744" s="1"/>
    </row>
    <row r="745">
      <c r="B745" s="1"/>
      <c r="C745" s="1"/>
    </row>
    <row r="746">
      <c r="B746" s="1"/>
      <c r="C746" s="1"/>
    </row>
    <row r="747">
      <c r="B747" s="1"/>
      <c r="C747" s="1"/>
    </row>
    <row r="748">
      <c r="B748" s="1"/>
      <c r="C748" s="1"/>
    </row>
    <row r="749">
      <c r="B749" s="1"/>
      <c r="C749" s="1"/>
    </row>
    <row r="750">
      <c r="B750" s="1"/>
      <c r="C750" s="1"/>
    </row>
    <row r="751">
      <c r="B751" s="1"/>
      <c r="C751" s="1"/>
    </row>
    <row r="752">
      <c r="B752" s="1"/>
      <c r="C752" s="1"/>
    </row>
    <row r="753">
      <c r="B753" s="1"/>
      <c r="C753" s="1"/>
    </row>
    <row r="754">
      <c r="B754" s="1"/>
      <c r="C754" s="1"/>
    </row>
    <row r="755">
      <c r="B755" s="1"/>
      <c r="C755" s="1"/>
    </row>
    <row r="756">
      <c r="B756" s="1"/>
      <c r="C756" s="1"/>
    </row>
    <row r="757">
      <c r="B757" s="1"/>
      <c r="C757" s="1"/>
    </row>
    <row r="758">
      <c r="B758" s="1"/>
      <c r="C758" s="1"/>
    </row>
    <row r="759">
      <c r="B759" s="1"/>
      <c r="C759" s="1"/>
    </row>
    <row r="760">
      <c r="B760" s="1"/>
      <c r="C760" s="1"/>
    </row>
    <row r="761">
      <c r="B761" s="1"/>
      <c r="C761" s="1"/>
    </row>
    <row r="762">
      <c r="B762" s="1"/>
      <c r="C762" s="1"/>
    </row>
    <row r="763">
      <c r="B763" s="1"/>
      <c r="C763" s="1"/>
    </row>
    <row r="764">
      <c r="B764" s="1"/>
      <c r="C764" s="1"/>
    </row>
    <row r="765">
      <c r="B765" s="1"/>
      <c r="C765" s="1"/>
    </row>
    <row r="766">
      <c r="B766" s="1"/>
      <c r="C766" s="1"/>
    </row>
    <row r="767">
      <c r="B767" s="1"/>
      <c r="C767" s="1"/>
    </row>
    <row r="768">
      <c r="B768" s="1"/>
      <c r="C768" s="1"/>
    </row>
    <row r="769">
      <c r="B769" s="1"/>
      <c r="C769" s="1"/>
    </row>
    <row r="770">
      <c r="B770" s="1"/>
      <c r="C770" s="1"/>
    </row>
    <row r="771">
      <c r="B771" s="1"/>
      <c r="C771" s="1"/>
    </row>
    <row r="772">
      <c r="B772" s="1"/>
      <c r="C772" s="1"/>
    </row>
    <row r="773">
      <c r="B773" s="1"/>
      <c r="C773" s="1"/>
    </row>
    <row r="774">
      <c r="B774" s="1"/>
      <c r="C774" s="1"/>
    </row>
    <row r="775">
      <c r="B775" s="1"/>
      <c r="C775" s="1"/>
    </row>
    <row r="776">
      <c r="B776" s="1"/>
      <c r="C776" s="1"/>
    </row>
    <row r="777">
      <c r="B777" s="1"/>
      <c r="C777" s="1"/>
    </row>
    <row r="778">
      <c r="B778" s="1"/>
      <c r="C778" s="1"/>
    </row>
    <row r="779">
      <c r="B779" s="1"/>
      <c r="C779" s="1"/>
    </row>
    <row r="780">
      <c r="B780" s="1"/>
      <c r="C780" s="1"/>
    </row>
    <row r="781">
      <c r="B781" s="1"/>
      <c r="C781" s="1"/>
    </row>
    <row r="782">
      <c r="B782" s="1"/>
      <c r="C782" s="1"/>
    </row>
    <row r="783">
      <c r="B783" s="1"/>
      <c r="C783" s="1"/>
    </row>
    <row r="784">
      <c r="B784" s="1"/>
      <c r="C784" s="1"/>
    </row>
    <row r="785">
      <c r="B785" s="1"/>
      <c r="C785" s="1"/>
    </row>
    <row r="786">
      <c r="B786" s="1"/>
      <c r="C786" s="1"/>
    </row>
    <row r="787">
      <c r="B787" s="1"/>
      <c r="C787" s="1"/>
    </row>
    <row r="788">
      <c r="B788" s="1"/>
      <c r="C788" s="1"/>
    </row>
    <row r="789">
      <c r="B789" s="1"/>
      <c r="C789" s="1"/>
    </row>
    <row r="790">
      <c r="B790" s="1"/>
      <c r="C790" s="1"/>
    </row>
    <row r="791">
      <c r="B791" s="1"/>
      <c r="C791" s="1"/>
    </row>
    <row r="792">
      <c r="B792" s="1"/>
      <c r="C792" s="1"/>
    </row>
    <row r="793">
      <c r="B793" s="1"/>
      <c r="C793" s="1"/>
    </row>
    <row r="794">
      <c r="B794" s="1"/>
      <c r="C794" s="1"/>
    </row>
    <row r="795">
      <c r="B795" s="1"/>
      <c r="C795" s="1"/>
    </row>
    <row r="796">
      <c r="B796" s="1"/>
      <c r="C796" s="1"/>
    </row>
    <row r="797">
      <c r="B797" s="1"/>
      <c r="C797" s="1"/>
    </row>
    <row r="798">
      <c r="B798" s="1"/>
      <c r="C798" s="1"/>
    </row>
    <row r="799">
      <c r="B799" s="1"/>
      <c r="C799" s="1"/>
    </row>
    <row r="800">
      <c r="B800" s="1"/>
      <c r="C800" s="1"/>
    </row>
    <row r="801">
      <c r="B801" s="1"/>
      <c r="C801" s="1"/>
    </row>
    <row r="802">
      <c r="B802" s="1"/>
      <c r="C802" s="1"/>
    </row>
    <row r="803">
      <c r="B803" s="1"/>
      <c r="C803" s="1"/>
    </row>
    <row r="804">
      <c r="B804" s="1"/>
      <c r="C804" s="1"/>
    </row>
    <row r="805">
      <c r="B805" s="1"/>
      <c r="C805" s="1"/>
    </row>
    <row r="806">
      <c r="B806" s="1"/>
      <c r="C806" s="1"/>
    </row>
    <row r="807">
      <c r="B807" s="1"/>
      <c r="C807" s="1"/>
    </row>
    <row r="808">
      <c r="B808" s="1"/>
      <c r="C808" s="1"/>
    </row>
    <row r="809">
      <c r="B809" s="1"/>
      <c r="C809" s="1"/>
    </row>
    <row r="810">
      <c r="B810" s="1"/>
      <c r="C810" s="1"/>
    </row>
    <row r="811">
      <c r="B811" s="1"/>
      <c r="C811" s="1"/>
    </row>
    <row r="812">
      <c r="B812" s="1"/>
      <c r="C812" s="1"/>
    </row>
    <row r="813">
      <c r="B813" s="1"/>
      <c r="C813" s="1"/>
    </row>
    <row r="814">
      <c r="B814" s="1"/>
      <c r="C814" s="1"/>
    </row>
    <row r="815">
      <c r="B815" s="1"/>
      <c r="C815" s="1"/>
    </row>
    <row r="816">
      <c r="B816" s="1"/>
      <c r="C816" s="1"/>
    </row>
    <row r="817">
      <c r="B817" s="1"/>
      <c r="C817" s="1"/>
    </row>
    <row r="818">
      <c r="B818" s="1"/>
      <c r="C818" s="1"/>
    </row>
    <row r="819">
      <c r="B819" s="1"/>
      <c r="C819" s="1"/>
    </row>
    <row r="820">
      <c r="B820" s="1"/>
      <c r="C820" s="1"/>
    </row>
    <row r="821">
      <c r="B821" s="1"/>
      <c r="C821" s="1"/>
    </row>
    <row r="822">
      <c r="B822" s="1"/>
      <c r="C822" s="1"/>
    </row>
    <row r="823">
      <c r="B823" s="1"/>
      <c r="C823" s="1"/>
    </row>
    <row r="824">
      <c r="B824" s="1"/>
      <c r="C824" s="1"/>
    </row>
    <row r="825">
      <c r="B825" s="1"/>
      <c r="C825" s="1"/>
    </row>
    <row r="826">
      <c r="B826" s="1"/>
      <c r="C826" s="1"/>
    </row>
    <row r="827">
      <c r="B827" s="1"/>
      <c r="C827" s="1"/>
    </row>
    <row r="828">
      <c r="B828" s="1"/>
      <c r="C828" s="1"/>
    </row>
    <row r="829">
      <c r="B829" s="1"/>
      <c r="C829" s="1"/>
    </row>
    <row r="830">
      <c r="B830" s="1"/>
      <c r="C830" s="1"/>
    </row>
    <row r="831">
      <c r="B831" s="1"/>
      <c r="C831" s="1"/>
    </row>
    <row r="832">
      <c r="B832" s="1"/>
      <c r="C832" s="1"/>
    </row>
    <row r="833">
      <c r="B833" s="1"/>
      <c r="C833" s="1"/>
    </row>
    <row r="834">
      <c r="B834" s="1"/>
      <c r="C834" s="1"/>
    </row>
    <row r="835">
      <c r="B835" s="1"/>
      <c r="C835" s="1"/>
    </row>
    <row r="836">
      <c r="B836" s="1"/>
      <c r="C836" s="1"/>
    </row>
    <row r="837">
      <c r="B837" s="1"/>
      <c r="C837" s="1"/>
    </row>
    <row r="838">
      <c r="B838" s="1"/>
      <c r="C838" s="1"/>
    </row>
    <row r="839">
      <c r="B839" s="1"/>
      <c r="C839" s="1"/>
    </row>
    <row r="840">
      <c r="B840" s="1"/>
      <c r="C840" s="1"/>
    </row>
    <row r="841">
      <c r="B841" s="1"/>
      <c r="C841" s="1"/>
    </row>
    <row r="842">
      <c r="B842" s="1"/>
      <c r="C842" s="1"/>
    </row>
    <row r="843">
      <c r="B843" s="1"/>
      <c r="C843" s="1"/>
    </row>
    <row r="844">
      <c r="B844" s="1"/>
      <c r="C844" s="1"/>
    </row>
    <row r="845">
      <c r="B845" s="1"/>
      <c r="C845" s="1"/>
    </row>
    <row r="846">
      <c r="B846" s="1"/>
      <c r="C846" s="1"/>
    </row>
    <row r="847">
      <c r="B847" s="1"/>
      <c r="C847" s="1"/>
    </row>
    <row r="848">
      <c r="B848" s="1"/>
      <c r="C848" s="1"/>
    </row>
    <row r="849">
      <c r="B849" s="1"/>
      <c r="C849" s="1"/>
    </row>
    <row r="850">
      <c r="B850" s="1"/>
      <c r="C850" s="1"/>
    </row>
    <row r="851">
      <c r="B851" s="1"/>
      <c r="C851" s="1"/>
    </row>
    <row r="852">
      <c r="B852" s="1"/>
      <c r="C852" s="1"/>
    </row>
    <row r="853">
      <c r="B853" s="1"/>
      <c r="C853" s="1"/>
    </row>
    <row r="854">
      <c r="B854" s="1"/>
      <c r="C854" s="1"/>
    </row>
    <row r="855">
      <c r="B855" s="1"/>
      <c r="C855" s="1"/>
    </row>
    <row r="856">
      <c r="B856" s="1"/>
      <c r="C856" s="1"/>
    </row>
    <row r="857">
      <c r="B857" s="1"/>
      <c r="C857" s="1"/>
    </row>
    <row r="858">
      <c r="B858" s="1"/>
      <c r="C858" s="1"/>
    </row>
    <row r="859">
      <c r="B859" s="1"/>
      <c r="C859" s="1"/>
    </row>
    <row r="860">
      <c r="B860" s="1"/>
      <c r="C860" s="1"/>
    </row>
    <row r="861">
      <c r="B861" s="1"/>
      <c r="C861" s="1"/>
    </row>
    <row r="862">
      <c r="B862" s="1"/>
      <c r="C862" s="1"/>
    </row>
    <row r="863">
      <c r="B863" s="1"/>
      <c r="C863" s="1"/>
    </row>
    <row r="864">
      <c r="B864" s="1"/>
      <c r="C864" s="1"/>
    </row>
    <row r="865">
      <c r="B865" s="1"/>
      <c r="C865" s="1"/>
    </row>
    <row r="866">
      <c r="B866" s="1"/>
      <c r="C866" s="1"/>
    </row>
    <row r="867">
      <c r="B867" s="1"/>
      <c r="C867" s="1"/>
    </row>
    <row r="868">
      <c r="B868" s="1"/>
      <c r="C868" s="1"/>
    </row>
    <row r="869">
      <c r="B869" s="1"/>
      <c r="C869" s="1"/>
    </row>
    <row r="870">
      <c r="B870" s="1"/>
      <c r="C870" s="1"/>
    </row>
    <row r="871">
      <c r="B871" s="1"/>
      <c r="C871" s="1"/>
    </row>
    <row r="872">
      <c r="B872" s="1"/>
      <c r="C872" s="1"/>
    </row>
    <row r="873">
      <c r="B873" s="1"/>
      <c r="C873" s="1"/>
    </row>
    <row r="874">
      <c r="B874" s="1"/>
      <c r="C874" s="1"/>
    </row>
    <row r="875">
      <c r="B875" s="1"/>
      <c r="C875" s="1"/>
    </row>
    <row r="876">
      <c r="B876" s="1"/>
      <c r="C876" s="1"/>
    </row>
    <row r="877">
      <c r="B877" s="1"/>
      <c r="C877" s="1"/>
    </row>
    <row r="878">
      <c r="B878" s="1"/>
      <c r="C878" s="1"/>
    </row>
    <row r="879">
      <c r="B879" s="1"/>
      <c r="C879" s="1"/>
    </row>
    <row r="880">
      <c r="B880" s="1"/>
      <c r="C880" s="1"/>
    </row>
    <row r="881">
      <c r="B881" s="1"/>
      <c r="C881" s="1"/>
    </row>
    <row r="882">
      <c r="B882" s="1"/>
      <c r="C882" s="1"/>
    </row>
    <row r="883">
      <c r="B883" s="1"/>
      <c r="C883" s="1"/>
    </row>
    <row r="884">
      <c r="B884" s="1"/>
      <c r="C884" s="1"/>
    </row>
    <row r="885">
      <c r="B885" s="1"/>
      <c r="C885" s="1"/>
    </row>
    <row r="886">
      <c r="B886" s="1"/>
      <c r="C886" s="1"/>
    </row>
    <row r="887">
      <c r="B887" s="1"/>
      <c r="C887" s="1"/>
    </row>
    <row r="888">
      <c r="B888" s="1"/>
      <c r="C888" s="1"/>
    </row>
    <row r="889">
      <c r="B889" s="1"/>
      <c r="C889" s="1"/>
    </row>
    <row r="890">
      <c r="B890" s="1"/>
      <c r="C890" s="1"/>
    </row>
    <row r="891">
      <c r="B891" s="1"/>
      <c r="C891" s="1"/>
    </row>
    <row r="892">
      <c r="B892" s="1"/>
      <c r="C892" s="1"/>
    </row>
    <row r="893">
      <c r="B893" s="1"/>
      <c r="C893" s="1"/>
    </row>
    <row r="894">
      <c r="B894" s="1"/>
      <c r="C894" s="1"/>
    </row>
    <row r="895">
      <c r="B895" s="1"/>
      <c r="C895" s="1"/>
    </row>
    <row r="896">
      <c r="B896" s="1"/>
      <c r="C896" s="1"/>
    </row>
    <row r="897">
      <c r="B897" s="1"/>
      <c r="C897" s="1"/>
    </row>
    <row r="898">
      <c r="B898" s="1"/>
      <c r="C898" s="1"/>
    </row>
    <row r="899">
      <c r="B899" s="1"/>
      <c r="C899" s="1"/>
    </row>
    <row r="900">
      <c r="B900" s="1"/>
      <c r="C900" s="1"/>
    </row>
    <row r="901">
      <c r="B901" s="1"/>
      <c r="C901" s="1"/>
    </row>
    <row r="902">
      <c r="B902" s="1"/>
      <c r="C902" s="1"/>
    </row>
    <row r="903">
      <c r="B903" s="1"/>
      <c r="C903" s="1"/>
    </row>
    <row r="904">
      <c r="B904" s="1"/>
      <c r="C904" s="1"/>
    </row>
    <row r="905">
      <c r="B905" s="1"/>
      <c r="C905" s="1"/>
    </row>
    <row r="906">
      <c r="B906" s="1"/>
      <c r="C906" s="1"/>
    </row>
    <row r="907">
      <c r="B907" s="1"/>
      <c r="C907" s="1"/>
    </row>
    <row r="908">
      <c r="B908" s="1"/>
      <c r="C908" s="1"/>
    </row>
    <row r="909">
      <c r="B909" s="1"/>
      <c r="C909" s="1"/>
    </row>
    <row r="910">
      <c r="B910" s="1"/>
      <c r="C910" s="1"/>
    </row>
    <row r="911">
      <c r="B911" s="1"/>
      <c r="C911" s="1"/>
    </row>
    <row r="912">
      <c r="B912" s="1"/>
      <c r="C912" s="1"/>
    </row>
    <row r="913">
      <c r="B913" s="1"/>
      <c r="C913" s="1"/>
    </row>
    <row r="914">
      <c r="B914" s="1"/>
      <c r="C914" s="1"/>
    </row>
    <row r="915">
      <c r="B915" s="1"/>
      <c r="C915" s="1"/>
    </row>
    <row r="916">
      <c r="B916" s="1"/>
      <c r="C916" s="1"/>
    </row>
    <row r="917">
      <c r="B917" s="1"/>
      <c r="C917" s="1"/>
    </row>
    <row r="918">
      <c r="B918" s="1"/>
      <c r="C918" s="1"/>
    </row>
    <row r="919">
      <c r="B919" s="1"/>
      <c r="C919" s="1"/>
    </row>
    <row r="920">
      <c r="B920" s="1"/>
      <c r="C920" s="1"/>
    </row>
    <row r="921">
      <c r="B921" s="1"/>
      <c r="C921" s="1"/>
    </row>
    <row r="922">
      <c r="B922" s="1"/>
      <c r="C922" s="1"/>
    </row>
    <row r="923">
      <c r="B923" s="1"/>
      <c r="C923" s="1"/>
    </row>
    <row r="924">
      <c r="B924" s="1"/>
      <c r="C924" s="1"/>
    </row>
    <row r="925">
      <c r="B925" s="1"/>
      <c r="C925" s="1"/>
    </row>
    <row r="926">
      <c r="B926" s="1"/>
      <c r="C926" s="1"/>
    </row>
    <row r="927">
      <c r="B927" s="1"/>
      <c r="C927" s="1"/>
    </row>
    <row r="928">
      <c r="B928" s="1"/>
      <c r="C928" s="1"/>
    </row>
    <row r="929">
      <c r="B929" s="1"/>
      <c r="C929" s="1"/>
    </row>
    <row r="930">
      <c r="B930" s="1"/>
      <c r="C930" s="1"/>
    </row>
    <row r="931">
      <c r="B931" s="1"/>
      <c r="C931" s="1"/>
    </row>
    <row r="932">
      <c r="B932" s="1"/>
      <c r="C932" s="1"/>
    </row>
    <row r="933">
      <c r="B933" s="1"/>
      <c r="C933" s="1"/>
    </row>
    <row r="934">
      <c r="B934" s="1"/>
      <c r="C934" s="1"/>
    </row>
    <row r="935">
      <c r="B935" s="1"/>
      <c r="C935" s="1"/>
    </row>
    <row r="936">
      <c r="B936" s="1"/>
      <c r="C936" s="1"/>
    </row>
    <row r="937">
      <c r="B937" s="1"/>
      <c r="C937" s="1"/>
    </row>
    <row r="938">
      <c r="B938" s="1"/>
      <c r="C938" s="1"/>
    </row>
    <row r="939">
      <c r="B939" s="1"/>
      <c r="C939" s="1"/>
    </row>
    <row r="940">
      <c r="B940" s="1"/>
      <c r="C940" s="1"/>
    </row>
    <row r="941">
      <c r="B941" s="1"/>
      <c r="C941" s="1"/>
    </row>
    <row r="942">
      <c r="B942" s="1"/>
      <c r="C942" s="1"/>
    </row>
    <row r="943">
      <c r="B943" s="1"/>
      <c r="C943" s="1"/>
    </row>
    <row r="944">
      <c r="B944" s="1"/>
      <c r="C944" s="1"/>
    </row>
    <row r="945">
      <c r="B945" s="1"/>
      <c r="C945" s="1"/>
    </row>
    <row r="946">
      <c r="B946" s="1"/>
      <c r="C946" s="1"/>
    </row>
    <row r="947">
      <c r="B947" s="1"/>
      <c r="C947" s="1"/>
    </row>
    <row r="948">
      <c r="B948" s="1"/>
      <c r="C948" s="1"/>
    </row>
    <row r="949">
      <c r="B949" s="1"/>
      <c r="C949" s="1"/>
    </row>
    <row r="950">
      <c r="B950" s="1"/>
      <c r="C950" s="1"/>
    </row>
    <row r="951">
      <c r="B951" s="1"/>
      <c r="C951" s="1"/>
    </row>
    <row r="952">
      <c r="B952" s="1"/>
      <c r="C952" s="1"/>
    </row>
    <row r="953">
      <c r="B953" s="1"/>
      <c r="C953" s="1"/>
    </row>
    <row r="954">
      <c r="B954" s="1"/>
      <c r="C954" s="1"/>
    </row>
    <row r="955">
      <c r="B955" s="1"/>
      <c r="C955" s="1"/>
    </row>
    <row r="956">
      <c r="B956" s="1"/>
      <c r="C956" s="1"/>
    </row>
    <row r="957">
      <c r="B957" s="1"/>
      <c r="C957" s="1"/>
    </row>
    <row r="958">
      <c r="B958" s="1"/>
      <c r="C958" s="1"/>
    </row>
    <row r="959">
      <c r="B959" s="1"/>
      <c r="C959" s="1"/>
    </row>
    <row r="960">
      <c r="B960" s="1"/>
      <c r="C960" s="1"/>
    </row>
    <row r="961">
      <c r="B961" s="1"/>
      <c r="C961" s="1"/>
    </row>
    <row r="962">
      <c r="B962" s="1"/>
      <c r="C962" s="1"/>
    </row>
    <row r="963">
      <c r="B963" s="1"/>
      <c r="C963" s="1"/>
    </row>
    <row r="964">
      <c r="B964" s="1"/>
      <c r="C964" s="1"/>
    </row>
    <row r="965">
      <c r="B965" s="1"/>
      <c r="C965" s="1"/>
    </row>
    <row r="966">
      <c r="B966" s="1"/>
      <c r="C966" s="1"/>
    </row>
    <row r="967">
      <c r="B967" s="1"/>
      <c r="C967" s="1"/>
    </row>
    <row r="968">
      <c r="B968" s="1"/>
      <c r="C968" s="1"/>
    </row>
    <row r="969">
      <c r="B969" s="1"/>
      <c r="C969" s="1"/>
    </row>
    <row r="970">
      <c r="B970" s="1"/>
      <c r="C970" s="1"/>
    </row>
    <row r="971">
      <c r="B971" s="1"/>
      <c r="C971" s="1"/>
    </row>
    <row r="972">
      <c r="B972" s="1"/>
      <c r="C972" s="1"/>
    </row>
    <row r="973">
      <c r="B973" s="1"/>
      <c r="C973" s="1"/>
    </row>
    <row r="974">
      <c r="B974" s="1"/>
      <c r="C974" s="1"/>
    </row>
    <row r="975">
      <c r="B975" s="1"/>
      <c r="C975" s="1"/>
    </row>
    <row r="976">
      <c r="B976" s="1"/>
      <c r="C976" s="1"/>
    </row>
    <row r="977">
      <c r="B977" s="1"/>
      <c r="C977" s="1"/>
    </row>
    <row r="978">
      <c r="B978" s="1"/>
      <c r="C978" s="1"/>
    </row>
    <row r="979">
      <c r="B979" s="1"/>
      <c r="C979" s="1"/>
    </row>
    <row r="980">
      <c r="B980" s="1"/>
      <c r="C980" s="1"/>
    </row>
    <row r="981">
      <c r="B981" s="1"/>
      <c r="C981" s="1"/>
    </row>
    <row r="982">
      <c r="B982" s="1"/>
      <c r="C982" s="1"/>
    </row>
    <row r="983">
      <c r="B983" s="1"/>
      <c r="C983" s="1"/>
    </row>
    <row r="984">
      <c r="B984" s="1"/>
      <c r="C984" s="1"/>
    </row>
    <row r="985">
      <c r="B985" s="1"/>
      <c r="C985" s="1"/>
    </row>
    <row r="986">
      <c r="B986" s="1"/>
      <c r="C986" s="1"/>
    </row>
    <row r="987">
      <c r="B987" s="1"/>
      <c r="C987" s="1"/>
    </row>
    <row r="988">
      <c r="B988" s="1"/>
      <c r="C988" s="1"/>
    </row>
    <row r="989">
      <c r="B989" s="1"/>
      <c r="C989" s="1"/>
    </row>
    <row r="990">
      <c r="B990" s="1"/>
      <c r="C990" s="1"/>
    </row>
    <row r="991">
      <c r="B991" s="1"/>
      <c r="C991" s="1"/>
    </row>
    <row r="992">
      <c r="B992" s="1"/>
      <c r="C992" s="1"/>
    </row>
    <row r="993">
      <c r="B993" s="1"/>
      <c r="C993" s="1"/>
    </row>
    <row r="994">
      <c r="B994" s="1"/>
      <c r="C994" s="1"/>
    </row>
    <row r="995">
      <c r="B995" s="1"/>
      <c r="C995" s="1"/>
    </row>
    <row r="996">
      <c r="B996" s="1"/>
      <c r="C996" s="1"/>
    </row>
    <row r="997">
      <c r="B997" s="1"/>
      <c r="C997" s="1"/>
    </row>
    <row r="998">
      <c r="B998" s="1"/>
      <c r="C998" s="1"/>
    </row>
    <row r="999">
      <c r="B999" s="1"/>
      <c r="C999" s="1"/>
    </row>
    <row r="1000">
      <c r="B1000" s="1"/>
      <c r="C1000" s="1"/>
    </row>
  </sheetData>
  <dataValidations>
    <dataValidation type="list" allowBlank="1" sqref="C2:C1000">
      <formula1>Worlds!$A$2:$A1000</formula1>
    </dataValidation>
    <dataValidation type="list" allowBlank="1" sqref="B2:B1000">
      <formula1>SelectedWorldRegions!$A$1:$A1000</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0"/>
    <col customWidth="1" min="2" max="2" width="15.5"/>
    <col customWidth="1" min="3" max="3" width="18.63"/>
  </cols>
  <sheetData>
    <row r="1">
      <c r="A1" s="128" t="s">
        <v>59</v>
      </c>
      <c r="B1" s="128" t="s">
        <v>55</v>
      </c>
      <c r="C1" s="128" t="s">
        <v>56</v>
      </c>
    </row>
    <row r="2">
      <c r="A2" s="107" t="s">
        <v>60</v>
      </c>
      <c r="B2" s="107" t="s">
        <v>39</v>
      </c>
      <c r="C2" s="107" t="s">
        <v>34</v>
      </c>
    </row>
    <row r="3">
      <c r="A3" s="107" t="s">
        <v>60</v>
      </c>
      <c r="B3" s="107" t="s">
        <v>39</v>
      </c>
      <c r="C3" s="107" t="s">
        <v>61</v>
      </c>
    </row>
    <row r="4">
      <c r="A4" s="107" t="s">
        <v>60</v>
      </c>
      <c r="B4" s="107" t="s">
        <v>39</v>
      </c>
      <c r="C4" s="107" t="s">
        <v>62</v>
      </c>
    </row>
    <row r="5">
      <c r="A5" s="107" t="s">
        <v>60</v>
      </c>
      <c r="B5" s="107" t="s">
        <v>39</v>
      </c>
      <c r="C5" s="107" t="s">
        <v>63</v>
      </c>
    </row>
    <row r="6">
      <c r="A6" s="107" t="s">
        <v>64</v>
      </c>
      <c r="B6" s="107" t="s">
        <v>39</v>
      </c>
      <c r="C6" s="107" t="s">
        <v>34</v>
      </c>
    </row>
    <row r="7">
      <c r="A7" s="107" t="s">
        <v>65</v>
      </c>
      <c r="B7" s="107" t="s">
        <v>39</v>
      </c>
      <c r="C7" s="107" t="s">
        <v>34</v>
      </c>
    </row>
    <row r="8">
      <c r="A8" s="107" t="s">
        <v>66</v>
      </c>
      <c r="B8" s="107" t="s">
        <v>39</v>
      </c>
      <c r="C8" s="107" t="s">
        <v>34</v>
      </c>
    </row>
    <row r="9">
      <c r="A9" s="107" t="s">
        <v>67</v>
      </c>
      <c r="B9" s="107" t="s">
        <v>39</v>
      </c>
      <c r="C9" s="107" t="s">
        <v>34</v>
      </c>
    </row>
    <row r="10">
      <c r="A10" s="107" t="s">
        <v>68</v>
      </c>
      <c r="B10" s="107" t="s">
        <v>39</v>
      </c>
      <c r="C10" s="107" t="s">
        <v>34</v>
      </c>
    </row>
    <row r="11">
      <c r="A11" s="107" t="s">
        <v>69</v>
      </c>
      <c r="B11" s="107" t="s">
        <v>39</v>
      </c>
      <c r="C11" s="107" t="s">
        <v>34</v>
      </c>
    </row>
    <row r="12">
      <c r="A12" s="107" t="s">
        <v>70</v>
      </c>
      <c r="B12" s="107" t="s">
        <v>39</v>
      </c>
      <c r="C12" s="107" t="s">
        <v>34</v>
      </c>
    </row>
    <row r="13">
      <c r="A13" s="107" t="s">
        <v>71</v>
      </c>
      <c r="B13" s="107" t="s">
        <v>39</v>
      </c>
      <c r="C13" s="107" t="s">
        <v>34</v>
      </c>
    </row>
    <row r="14">
      <c r="A14" s="107" t="s">
        <v>64</v>
      </c>
      <c r="B14" s="107" t="s">
        <v>39</v>
      </c>
      <c r="C14" s="107" t="s">
        <v>63</v>
      </c>
    </row>
    <row r="15">
      <c r="A15" s="107" t="s">
        <v>65</v>
      </c>
      <c r="B15" s="107" t="s">
        <v>39</v>
      </c>
      <c r="C15" s="107" t="s">
        <v>63</v>
      </c>
    </row>
    <row r="16">
      <c r="A16" s="107" t="s">
        <v>66</v>
      </c>
      <c r="B16" s="107" t="s">
        <v>39</v>
      </c>
      <c r="C16" s="107" t="s">
        <v>63</v>
      </c>
    </row>
    <row r="17">
      <c r="A17" s="107" t="s">
        <v>67</v>
      </c>
      <c r="B17" s="107" t="s">
        <v>39</v>
      </c>
      <c r="C17" s="107" t="s">
        <v>63</v>
      </c>
    </row>
    <row r="18">
      <c r="A18" s="107" t="s">
        <v>68</v>
      </c>
      <c r="B18" s="107" t="s">
        <v>39</v>
      </c>
      <c r="C18" s="107" t="s">
        <v>63</v>
      </c>
    </row>
    <row r="19">
      <c r="A19" s="107" t="s">
        <v>69</v>
      </c>
      <c r="B19" s="107" t="s">
        <v>39</v>
      </c>
      <c r="C19" s="107" t="s">
        <v>63</v>
      </c>
    </row>
    <row r="20">
      <c r="A20" s="107" t="s">
        <v>70</v>
      </c>
      <c r="B20" s="107" t="s">
        <v>39</v>
      </c>
      <c r="C20" s="107" t="s">
        <v>63</v>
      </c>
    </row>
    <row r="21">
      <c r="A21" s="107" t="s">
        <v>71</v>
      </c>
      <c r="B21" s="107" t="s">
        <v>39</v>
      </c>
      <c r="C21" s="107" t="s">
        <v>63</v>
      </c>
    </row>
    <row r="22">
      <c r="A22" s="107" t="s">
        <v>72</v>
      </c>
      <c r="B22" s="107" t="s">
        <v>39</v>
      </c>
      <c r="C22" s="107" t="s">
        <v>61</v>
      </c>
    </row>
    <row r="23">
      <c r="A23" s="107" t="s">
        <v>73</v>
      </c>
      <c r="B23" s="107" t="s">
        <v>39</v>
      </c>
      <c r="C23" s="107" t="s">
        <v>61</v>
      </c>
    </row>
    <row r="24">
      <c r="A24" s="107" t="s">
        <v>74</v>
      </c>
      <c r="B24" s="107" t="s">
        <v>39</v>
      </c>
      <c r="C24" s="107" t="s">
        <v>61</v>
      </c>
    </row>
    <row r="25">
      <c r="A25" s="107" t="s">
        <v>75</v>
      </c>
      <c r="B25" s="107" t="s">
        <v>39</v>
      </c>
      <c r="C25" s="107" t="s">
        <v>61</v>
      </c>
    </row>
    <row r="26">
      <c r="A26" s="107" t="s">
        <v>76</v>
      </c>
      <c r="B26" s="107" t="s">
        <v>39</v>
      </c>
      <c r="C26" s="107" t="s">
        <v>61</v>
      </c>
    </row>
    <row r="27">
      <c r="A27" s="107" t="s">
        <v>77</v>
      </c>
      <c r="B27" s="107" t="s">
        <v>39</v>
      </c>
      <c r="C27" s="107" t="s">
        <v>61</v>
      </c>
    </row>
    <row r="28">
      <c r="A28" s="107" t="s">
        <v>78</v>
      </c>
      <c r="B28" s="107" t="s">
        <v>39</v>
      </c>
      <c r="C28" s="107" t="s">
        <v>61</v>
      </c>
    </row>
    <row r="29">
      <c r="A29" s="107" t="s">
        <v>79</v>
      </c>
      <c r="B29" s="107" t="s">
        <v>39</v>
      </c>
      <c r="C29" s="107" t="s">
        <v>61</v>
      </c>
    </row>
    <row r="30">
      <c r="A30" s="107" t="s">
        <v>80</v>
      </c>
      <c r="B30" s="107" t="s">
        <v>39</v>
      </c>
      <c r="C30" s="107" t="s">
        <v>34</v>
      </c>
    </row>
    <row r="31">
      <c r="A31" s="107" t="s">
        <v>80</v>
      </c>
      <c r="B31" s="107" t="s">
        <v>39</v>
      </c>
      <c r="C31" s="107" t="s">
        <v>63</v>
      </c>
    </row>
    <row r="32">
      <c r="A32" s="107" t="s">
        <v>81</v>
      </c>
      <c r="B32" s="107" t="s">
        <v>39</v>
      </c>
      <c r="C32" s="107" t="s">
        <v>34</v>
      </c>
    </row>
    <row r="33">
      <c r="A33" s="107" t="s">
        <v>82</v>
      </c>
      <c r="B33" s="107" t="s">
        <v>39</v>
      </c>
      <c r="C33" s="107" t="s">
        <v>34</v>
      </c>
    </row>
    <row r="34">
      <c r="A34" s="107" t="s">
        <v>83</v>
      </c>
      <c r="B34" s="107" t="s">
        <v>39</v>
      </c>
      <c r="C34" s="107" t="s">
        <v>34</v>
      </c>
    </row>
    <row r="35">
      <c r="A35" s="107" t="s">
        <v>84</v>
      </c>
      <c r="B35" s="107" t="s">
        <v>85</v>
      </c>
      <c r="C35" s="107" t="s">
        <v>34</v>
      </c>
    </row>
    <row r="36">
      <c r="A36" s="107" t="s">
        <v>86</v>
      </c>
      <c r="B36" s="107" t="s">
        <v>85</v>
      </c>
      <c r="C36" s="107" t="s">
        <v>34</v>
      </c>
    </row>
    <row r="37">
      <c r="A37" s="107" t="s">
        <v>87</v>
      </c>
      <c r="B37" s="107" t="s">
        <v>39</v>
      </c>
      <c r="C37" s="107" t="s">
        <v>34</v>
      </c>
    </row>
    <row r="38">
      <c r="A38" s="107" t="s">
        <v>88</v>
      </c>
      <c r="B38" s="107" t="s">
        <v>39</v>
      </c>
      <c r="C38" s="107" t="s">
        <v>34</v>
      </c>
    </row>
    <row r="39">
      <c r="A39" s="107" t="s">
        <v>89</v>
      </c>
      <c r="B39" s="107" t="s">
        <v>39</v>
      </c>
      <c r="C39" s="107" t="s">
        <v>34</v>
      </c>
    </row>
    <row r="40">
      <c r="A40" s="107" t="s">
        <v>90</v>
      </c>
      <c r="B40" s="107" t="s">
        <v>85</v>
      </c>
      <c r="C40" s="107" t="s">
        <v>34</v>
      </c>
    </row>
    <row r="41">
      <c r="A41" s="107" t="s">
        <v>91</v>
      </c>
      <c r="B41" s="107" t="s">
        <v>39</v>
      </c>
      <c r="C41" s="107" t="s">
        <v>34</v>
      </c>
    </row>
    <row r="42">
      <c r="A42" s="107" t="s">
        <v>92</v>
      </c>
      <c r="B42" s="107" t="s">
        <v>39</v>
      </c>
      <c r="C42" s="107" t="s">
        <v>34</v>
      </c>
    </row>
    <row r="43">
      <c r="A43" s="107" t="s">
        <v>93</v>
      </c>
      <c r="B43" s="107" t="s">
        <v>39</v>
      </c>
      <c r="C43" s="107" t="s">
        <v>34</v>
      </c>
    </row>
    <row r="44">
      <c r="A44" s="107" t="s">
        <v>94</v>
      </c>
      <c r="B44" s="107" t="s">
        <v>95</v>
      </c>
      <c r="C44" s="107" t="s">
        <v>34</v>
      </c>
    </row>
    <row r="45">
      <c r="A45" s="107" t="s">
        <v>96</v>
      </c>
      <c r="B45" s="107" t="s">
        <v>97</v>
      </c>
      <c r="C45" s="107" t="s">
        <v>34</v>
      </c>
    </row>
    <row r="46">
      <c r="A46" s="107" t="s">
        <v>96</v>
      </c>
      <c r="B46" s="107" t="s">
        <v>97</v>
      </c>
      <c r="C46" s="107" t="s">
        <v>34</v>
      </c>
    </row>
    <row r="47">
      <c r="A47" s="107" t="s">
        <v>96</v>
      </c>
      <c r="B47" s="107" t="s">
        <v>97</v>
      </c>
      <c r="C47" s="107" t="s">
        <v>34</v>
      </c>
    </row>
    <row r="48">
      <c r="A48" s="107" t="s">
        <v>96</v>
      </c>
      <c r="B48" s="107" t="s">
        <v>97</v>
      </c>
      <c r="C48" s="107" t="s">
        <v>34</v>
      </c>
    </row>
    <row r="49">
      <c r="A49" s="107" t="s">
        <v>98</v>
      </c>
      <c r="B49" s="107" t="s">
        <v>99</v>
      </c>
      <c r="C49" s="107" t="s">
        <v>34</v>
      </c>
    </row>
    <row r="50">
      <c r="A50" s="1" t="s">
        <v>100</v>
      </c>
      <c r="B50" s="1" t="s">
        <v>39</v>
      </c>
      <c r="C50" s="1" t="s">
        <v>34</v>
      </c>
    </row>
    <row r="51">
      <c r="A51" s="1" t="s">
        <v>101</v>
      </c>
      <c r="B51" s="1" t="s">
        <v>39</v>
      </c>
      <c r="C51" s="1" t="s">
        <v>34</v>
      </c>
    </row>
    <row r="52">
      <c r="A52" s="1" t="s">
        <v>102</v>
      </c>
      <c r="B52" s="1" t="s">
        <v>39</v>
      </c>
      <c r="C52" s="1" t="s">
        <v>34</v>
      </c>
    </row>
    <row r="53">
      <c r="A53" s="1" t="s">
        <v>103</v>
      </c>
      <c r="B53" s="1" t="s">
        <v>39</v>
      </c>
      <c r="C53" s="1" t="s">
        <v>34</v>
      </c>
    </row>
    <row r="54">
      <c r="A54" s="1" t="s">
        <v>81</v>
      </c>
      <c r="B54" s="1" t="s">
        <v>39</v>
      </c>
      <c r="C54" s="1" t="s">
        <v>34</v>
      </c>
    </row>
    <row r="55">
      <c r="A55" s="1" t="s">
        <v>82</v>
      </c>
      <c r="B55" s="1" t="s">
        <v>39</v>
      </c>
      <c r="C55" s="1" t="s">
        <v>34</v>
      </c>
    </row>
    <row r="56">
      <c r="A56" s="1" t="s">
        <v>104</v>
      </c>
      <c r="B56" s="1" t="s">
        <v>39</v>
      </c>
      <c r="C56" s="1" t="s">
        <v>63</v>
      </c>
    </row>
    <row r="57">
      <c r="A57" s="1" t="s">
        <v>87</v>
      </c>
      <c r="B57" s="1" t="s">
        <v>39</v>
      </c>
      <c r="C57" s="1" t="s">
        <v>63</v>
      </c>
    </row>
    <row r="58">
      <c r="A58" s="1" t="s">
        <v>88</v>
      </c>
      <c r="B58" s="1" t="s">
        <v>39</v>
      </c>
      <c r="C58" s="1" t="s">
        <v>63</v>
      </c>
    </row>
    <row r="59">
      <c r="A59" s="1" t="s">
        <v>89</v>
      </c>
      <c r="B59" s="1" t="s">
        <v>39</v>
      </c>
      <c r="C59" s="1" t="s">
        <v>63</v>
      </c>
    </row>
    <row r="60">
      <c r="A60" s="1" t="s">
        <v>91</v>
      </c>
      <c r="B60" s="1" t="s">
        <v>39</v>
      </c>
      <c r="C60" s="1" t="s">
        <v>63</v>
      </c>
    </row>
    <row r="61">
      <c r="A61" s="1" t="s">
        <v>92</v>
      </c>
      <c r="B61" s="1" t="s">
        <v>39</v>
      </c>
      <c r="C61" s="1" t="s">
        <v>63</v>
      </c>
    </row>
    <row r="62">
      <c r="A62" s="1" t="s">
        <v>93</v>
      </c>
      <c r="B62" s="1" t="s">
        <v>39</v>
      </c>
      <c r="C62" s="1" t="s">
        <v>63</v>
      </c>
    </row>
    <row r="63">
      <c r="A63" s="1" t="s">
        <v>94</v>
      </c>
      <c r="B63" s="107" t="s">
        <v>95</v>
      </c>
      <c r="C63" s="1" t="s">
        <v>63</v>
      </c>
    </row>
    <row r="64">
      <c r="A64" s="1" t="s">
        <v>98</v>
      </c>
      <c r="B64" s="107" t="s">
        <v>99</v>
      </c>
      <c r="C64" s="1" t="s">
        <v>63</v>
      </c>
    </row>
    <row r="65">
      <c r="A65" s="1" t="s">
        <v>100</v>
      </c>
      <c r="B65" s="1" t="s">
        <v>39</v>
      </c>
      <c r="C65" s="1" t="s">
        <v>63</v>
      </c>
    </row>
    <row r="66">
      <c r="A66" s="1" t="s">
        <v>101</v>
      </c>
      <c r="B66" s="1" t="s">
        <v>39</v>
      </c>
      <c r="C66" s="1" t="s">
        <v>63</v>
      </c>
    </row>
    <row r="67">
      <c r="A67" s="1" t="s">
        <v>102</v>
      </c>
      <c r="B67" s="1" t="s">
        <v>39</v>
      </c>
      <c r="C67" s="1" t="s">
        <v>63</v>
      </c>
    </row>
    <row r="68">
      <c r="A68" s="1" t="s">
        <v>103</v>
      </c>
      <c r="B68" s="1" t="s">
        <v>39</v>
      </c>
      <c r="C68" s="1" t="s">
        <v>63</v>
      </c>
    </row>
    <row r="69">
      <c r="A69" s="107" t="s">
        <v>105</v>
      </c>
      <c r="B69" s="107" t="s">
        <v>99</v>
      </c>
      <c r="C69" s="107" t="s">
        <v>63</v>
      </c>
    </row>
    <row r="70">
      <c r="B70" s="1"/>
      <c r="C70" s="1"/>
    </row>
    <row r="71">
      <c r="B71" s="1"/>
      <c r="C71" s="1"/>
    </row>
    <row r="72">
      <c r="B72" s="1"/>
      <c r="C72" s="1"/>
    </row>
    <row r="73">
      <c r="B73" s="1"/>
      <c r="C73" s="1"/>
    </row>
    <row r="74">
      <c r="B74" s="1"/>
      <c r="C74" s="1"/>
    </row>
    <row r="75">
      <c r="B75" s="1"/>
      <c r="C75" s="1"/>
    </row>
    <row r="76">
      <c r="B76" s="1"/>
      <c r="C76" s="1"/>
    </row>
    <row r="77">
      <c r="B77" s="1"/>
      <c r="C77" s="1"/>
    </row>
    <row r="78">
      <c r="B78" s="1"/>
      <c r="C78" s="1"/>
    </row>
    <row r="79">
      <c r="B79" s="1"/>
      <c r="C79" s="1"/>
    </row>
    <row r="80">
      <c r="B80" s="1"/>
      <c r="C80" s="1"/>
    </row>
    <row r="81">
      <c r="B81" s="1"/>
      <c r="C81" s="1"/>
    </row>
    <row r="82">
      <c r="B82" s="1"/>
      <c r="C82" s="1"/>
    </row>
    <row r="83">
      <c r="B83" s="1"/>
      <c r="C83" s="1"/>
    </row>
    <row r="84">
      <c r="B84" s="1"/>
      <c r="C84" s="1"/>
    </row>
    <row r="85">
      <c r="B85" s="1"/>
      <c r="C85" s="1"/>
    </row>
    <row r="86">
      <c r="B86" s="1"/>
      <c r="C86" s="1"/>
    </row>
    <row r="87">
      <c r="B87" s="1"/>
      <c r="C87" s="1"/>
    </row>
    <row r="88">
      <c r="B88" s="1"/>
      <c r="C88" s="1"/>
    </row>
    <row r="89">
      <c r="B89" s="1"/>
      <c r="C89" s="1"/>
    </row>
    <row r="90">
      <c r="B90" s="1"/>
      <c r="C90" s="1"/>
    </row>
    <row r="91">
      <c r="B91" s="1"/>
      <c r="C91" s="1"/>
    </row>
    <row r="92">
      <c r="B92" s="1"/>
      <c r="C92" s="1"/>
    </row>
    <row r="93">
      <c r="B93" s="1"/>
      <c r="C93" s="1"/>
    </row>
    <row r="94">
      <c r="B94" s="1"/>
      <c r="C94" s="1"/>
    </row>
    <row r="95">
      <c r="B95" s="1"/>
      <c r="C95" s="1"/>
    </row>
    <row r="96">
      <c r="B96" s="1"/>
      <c r="C96" s="1"/>
    </row>
    <row r="97">
      <c r="B97" s="1"/>
      <c r="C97" s="1"/>
    </row>
    <row r="98">
      <c r="B98" s="1"/>
      <c r="C98" s="1"/>
    </row>
    <row r="99">
      <c r="B99" s="1"/>
      <c r="C99" s="1"/>
    </row>
    <row r="100">
      <c r="B100" s="1"/>
      <c r="C100" s="1"/>
    </row>
    <row r="101">
      <c r="B101" s="1"/>
      <c r="C101" s="1"/>
    </row>
    <row r="102">
      <c r="B102" s="1"/>
      <c r="C102" s="1"/>
    </row>
    <row r="103">
      <c r="B103" s="1"/>
      <c r="C103" s="1"/>
    </row>
    <row r="104">
      <c r="B104" s="1"/>
      <c r="C104" s="1"/>
    </row>
    <row r="105">
      <c r="B105" s="1"/>
      <c r="C105" s="1"/>
    </row>
    <row r="106">
      <c r="B106" s="1"/>
      <c r="C106" s="1"/>
    </row>
    <row r="107">
      <c r="B107" s="1"/>
      <c r="C107" s="1"/>
    </row>
    <row r="108">
      <c r="B108" s="1"/>
      <c r="C108" s="1"/>
    </row>
    <row r="109">
      <c r="B109" s="1"/>
      <c r="C109" s="1"/>
    </row>
    <row r="110">
      <c r="B110" s="1"/>
      <c r="C110" s="1"/>
    </row>
    <row r="111">
      <c r="B111" s="1"/>
      <c r="C111" s="1"/>
    </row>
    <row r="112">
      <c r="B112" s="1"/>
      <c r="C112" s="1"/>
    </row>
    <row r="113">
      <c r="B113" s="1"/>
      <c r="C113" s="1"/>
    </row>
    <row r="114">
      <c r="B114" s="1"/>
      <c r="C114" s="1"/>
    </row>
    <row r="115">
      <c r="B115" s="1"/>
      <c r="C115" s="1"/>
    </row>
    <row r="116">
      <c r="B116" s="1"/>
      <c r="C116" s="1"/>
    </row>
    <row r="117">
      <c r="B117" s="1"/>
      <c r="C117" s="1"/>
    </row>
    <row r="118">
      <c r="B118" s="1"/>
      <c r="C118" s="1"/>
    </row>
    <row r="119">
      <c r="B119" s="1"/>
      <c r="C119" s="1"/>
    </row>
    <row r="120">
      <c r="B120" s="1"/>
      <c r="C120" s="1"/>
    </row>
    <row r="121">
      <c r="B121" s="1"/>
      <c r="C121" s="1"/>
    </row>
    <row r="122">
      <c r="B122" s="1"/>
      <c r="C122" s="1"/>
    </row>
    <row r="123">
      <c r="B123" s="1"/>
      <c r="C123" s="1"/>
    </row>
    <row r="124">
      <c r="B124" s="1"/>
      <c r="C124" s="1"/>
    </row>
    <row r="125">
      <c r="B125" s="1"/>
      <c r="C125" s="1"/>
    </row>
    <row r="126">
      <c r="B126" s="1"/>
      <c r="C126" s="1"/>
    </row>
    <row r="127">
      <c r="B127" s="1"/>
      <c r="C127" s="1"/>
    </row>
    <row r="128">
      <c r="B128" s="1"/>
      <c r="C128" s="1"/>
    </row>
    <row r="129">
      <c r="B129" s="1"/>
      <c r="C129" s="1"/>
    </row>
    <row r="130">
      <c r="B130" s="1"/>
      <c r="C130" s="1"/>
    </row>
    <row r="131">
      <c r="B131" s="1"/>
      <c r="C131" s="1"/>
    </row>
    <row r="132">
      <c r="B132" s="1"/>
      <c r="C132" s="1"/>
    </row>
    <row r="133">
      <c r="B133" s="1"/>
      <c r="C133" s="1"/>
    </row>
    <row r="134">
      <c r="B134" s="1"/>
      <c r="C134" s="1"/>
    </row>
    <row r="135">
      <c r="B135" s="1"/>
      <c r="C135" s="1"/>
    </row>
    <row r="136">
      <c r="B136" s="1"/>
      <c r="C136" s="1"/>
    </row>
    <row r="137">
      <c r="B137" s="1"/>
      <c r="C137" s="1"/>
    </row>
    <row r="138">
      <c r="B138" s="1"/>
      <c r="C138" s="1"/>
    </row>
    <row r="139">
      <c r="B139" s="1"/>
      <c r="C139" s="1"/>
    </row>
    <row r="140">
      <c r="B140" s="1"/>
      <c r="C140" s="1"/>
    </row>
    <row r="141">
      <c r="B141" s="1"/>
      <c r="C141" s="1"/>
    </row>
    <row r="142">
      <c r="B142" s="1"/>
      <c r="C142" s="1"/>
    </row>
    <row r="143">
      <c r="B143" s="1"/>
      <c r="C143" s="1"/>
    </row>
    <row r="144">
      <c r="B144" s="1"/>
      <c r="C144" s="1"/>
    </row>
    <row r="145">
      <c r="B145" s="1"/>
      <c r="C145" s="1"/>
    </row>
    <row r="146">
      <c r="B146" s="1"/>
      <c r="C146" s="1"/>
    </row>
    <row r="147">
      <c r="B147" s="1"/>
      <c r="C147" s="1"/>
    </row>
    <row r="148">
      <c r="B148" s="1"/>
      <c r="C148" s="1"/>
    </row>
    <row r="149">
      <c r="B149" s="1"/>
      <c r="C149" s="1"/>
    </row>
    <row r="150">
      <c r="B150" s="1"/>
      <c r="C150" s="1"/>
    </row>
    <row r="151">
      <c r="B151" s="1"/>
      <c r="C151" s="1"/>
    </row>
    <row r="152">
      <c r="B152" s="1"/>
      <c r="C152" s="1"/>
    </row>
    <row r="153">
      <c r="B153" s="1"/>
      <c r="C153" s="1"/>
    </row>
    <row r="154">
      <c r="B154" s="1"/>
      <c r="C154" s="1"/>
    </row>
    <row r="155">
      <c r="B155" s="1"/>
      <c r="C155" s="1"/>
    </row>
    <row r="156">
      <c r="B156" s="1"/>
      <c r="C156" s="1"/>
    </row>
    <row r="157">
      <c r="B157" s="1"/>
      <c r="C157" s="1"/>
    </row>
    <row r="158">
      <c r="B158" s="1"/>
      <c r="C158" s="1"/>
    </row>
    <row r="159">
      <c r="B159" s="1"/>
      <c r="C159" s="1"/>
    </row>
    <row r="160">
      <c r="B160" s="1"/>
      <c r="C160" s="1"/>
    </row>
    <row r="161">
      <c r="B161" s="1"/>
      <c r="C161" s="1"/>
    </row>
    <row r="162">
      <c r="B162" s="1"/>
      <c r="C162" s="1"/>
    </row>
    <row r="163">
      <c r="B163" s="1"/>
      <c r="C163" s="1"/>
    </row>
    <row r="164">
      <c r="B164" s="1"/>
      <c r="C164" s="1"/>
    </row>
    <row r="165">
      <c r="B165" s="1"/>
      <c r="C165" s="1"/>
    </row>
    <row r="166">
      <c r="B166" s="1"/>
      <c r="C166" s="1"/>
    </row>
    <row r="167">
      <c r="B167" s="1"/>
      <c r="C167" s="1"/>
    </row>
    <row r="168">
      <c r="B168" s="1"/>
      <c r="C168" s="1"/>
    </row>
    <row r="169">
      <c r="B169" s="1"/>
      <c r="C169" s="1"/>
    </row>
    <row r="170">
      <c r="B170" s="1"/>
      <c r="C170" s="1"/>
    </row>
    <row r="171">
      <c r="B171" s="1"/>
      <c r="C171" s="1"/>
    </row>
    <row r="172">
      <c r="B172" s="1"/>
      <c r="C172" s="1"/>
    </row>
    <row r="173">
      <c r="B173" s="1"/>
      <c r="C173" s="1"/>
    </row>
    <row r="174">
      <c r="B174" s="1"/>
      <c r="C174" s="1"/>
    </row>
    <row r="175">
      <c r="B175" s="1"/>
      <c r="C175" s="1"/>
    </row>
    <row r="176">
      <c r="B176" s="1"/>
      <c r="C176" s="1"/>
    </row>
    <row r="177">
      <c r="B177" s="1"/>
      <c r="C177" s="1"/>
    </row>
    <row r="178">
      <c r="B178" s="1"/>
      <c r="C178" s="1"/>
    </row>
    <row r="179">
      <c r="B179" s="1"/>
      <c r="C179" s="1"/>
    </row>
    <row r="180">
      <c r="B180" s="1"/>
      <c r="C180" s="1"/>
    </row>
    <row r="181">
      <c r="B181" s="1"/>
      <c r="C181" s="1"/>
    </row>
    <row r="182">
      <c r="B182" s="1"/>
      <c r="C182" s="1"/>
    </row>
    <row r="183">
      <c r="B183" s="1"/>
      <c r="C183" s="1"/>
    </row>
    <row r="184">
      <c r="B184" s="1"/>
      <c r="C184" s="1"/>
    </row>
    <row r="185">
      <c r="B185" s="1"/>
      <c r="C185" s="1"/>
    </row>
    <row r="186">
      <c r="B186" s="1"/>
      <c r="C186" s="1"/>
    </row>
    <row r="187">
      <c r="B187" s="1"/>
      <c r="C187" s="1"/>
    </row>
    <row r="188">
      <c r="B188" s="1"/>
      <c r="C188" s="1"/>
    </row>
    <row r="189">
      <c r="B189" s="1"/>
      <c r="C189" s="1"/>
    </row>
    <row r="190">
      <c r="B190" s="1"/>
      <c r="C190" s="1"/>
    </row>
    <row r="191">
      <c r="B191" s="1"/>
      <c r="C191" s="1"/>
    </row>
    <row r="192">
      <c r="B192" s="1"/>
      <c r="C192" s="1"/>
    </row>
    <row r="193">
      <c r="B193" s="1"/>
      <c r="C193" s="1"/>
    </row>
    <row r="194">
      <c r="B194" s="1"/>
      <c r="C194" s="1"/>
    </row>
    <row r="195">
      <c r="B195" s="1"/>
      <c r="C195" s="1"/>
    </row>
    <row r="196">
      <c r="B196" s="1"/>
      <c r="C196" s="1"/>
    </row>
    <row r="197">
      <c r="B197" s="1"/>
      <c r="C197" s="1"/>
    </row>
    <row r="198">
      <c r="B198" s="1"/>
      <c r="C198" s="1"/>
    </row>
    <row r="199">
      <c r="B199" s="1"/>
      <c r="C199" s="1"/>
    </row>
    <row r="200">
      <c r="B200" s="1"/>
      <c r="C200" s="1"/>
    </row>
    <row r="201">
      <c r="B201" s="1"/>
      <c r="C201" s="1"/>
    </row>
    <row r="202">
      <c r="B202" s="1"/>
      <c r="C202" s="1"/>
    </row>
    <row r="203">
      <c r="B203" s="1"/>
      <c r="C203" s="1"/>
    </row>
    <row r="204">
      <c r="B204" s="1"/>
      <c r="C204" s="1"/>
    </row>
    <row r="205">
      <c r="B205" s="1"/>
      <c r="C205" s="1"/>
    </row>
    <row r="206">
      <c r="B206" s="1"/>
      <c r="C206" s="1"/>
    </row>
    <row r="207">
      <c r="B207" s="1"/>
      <c r="C207" s="1"/>
    </row>
    <row r="208">
      <c r="B208" s="1"/>
      <c r="C208" s="1"/>
    </row>
    <row r="209">
      <c r="B209" s="1"/>
      <c r="C209" s="1"/>
    </row>
    <row r="210">
      <c r="B210" s="1"/>
      <c r="C210" s="1"/>
    </row>
    <row r="211">
      <c r="B211" s="1"/>
      <c r="C211" s="1"/>
    </row>
    <row r="212">
      <c r="B212" s="1"/>
      <c r="C212" s="1"/>
    </row>
    <row r="213">
      <c r="B213" s="1"/>
      <c r="C213" s="1"/>
    </row>
    <row r="214">
      <c r="B214" s="1"/>
      <c r="C214" s="1"/>
    </row>
    <row r="215">
      <c r="B215" s="1"/>
      <c r="C215" s="1"/>
    </row>
    <row r="216">
      <c r="B216" s="1"/>
      <c r="C216" s="1"/>
    </row>
    <row r="217">
      <c r="B217" s="1"/>
      <c r="C217" s="1"/>
    </row>
    <row r="218">
      <c r="B218" s="1"/>
      <c r="C218" s="1"/>
    </row>
    <row r="219">
      <c r="B219" s="1"/>
      <c r="C219" s="1"/>
    </row>
    <row r="220">
      <c r="B220" s="1"/>
      <c r="C220" s="1"/>
    </row>
    <row r="221">
      <c r="B221" s="1"/>
      <c r="C221" s="1"/>
    </row>
    <row r="222">
      <c r="B222" s="1"/>
      <c r="C222" s="1"/>
    </row>
    <row r="223">
      <c r="B223" s="1"/>
      <c r="C223" s="1"/>
    </row>
    <row r="224">
      <c r="B224" s="1"/>
      <c r="C224" s="1"/>
    </row>
    <row r="225">
      <c r="B225" s="1"/>
      <c r="C225" s="1"/>
    </row>
    <row r="226">
      <c r="B226" s="1"/>
      <c r="C226" s="1"/>
    </row>
    <row r="227">
      <c r="B227" s="1"/>
      <c r="C227" s="1"/>
    </row>
    <row r="228">
      <c r="B228" s="1"/>
      <c r="C228" s="1"/>
    </row>
    <row r="229">
      <c r="B229" s="1"/>
      <c r="C229" s="1"/>
    </row>
    <row r="230">
      <c r="B230" s="1"/>
      <c r="C230" s="1"/>
    </row>
    <row r="231">
      <c r="B231" s="1"/>
      <c r="C231" s="1"/>
    </row>
    <row r="232">
      <c r="B232" s="1"/>
      <c r="C232" s="1"/>
    </row>
    <row r="233">
      <c r="B233" s="1"/>
      <c r="C233" s="1"/>
    </row>
    <row r="234">
      <c r="B234" s="1"/>
      <c r="C234" s="1"/>
    </row>
    <row r="235">
      <c r="B235" s="1"/>
      <c r="C235" s="1"/>
    </row>
    <row r="236">
      <c r="B236" s="1"/>
      <c r="C236" s="1"/>
    </row>
    <row r="237">
      <c r="B237" s="1"/>
      <c r="C237" s="1"/>
    </row>
    <row r="238">
      <c r="B238" s="1"/>
      <c r="C238" s="1"/>
    </row>
    <row r="239">
      <c r="B239" s="1"/>
      <c r="C239" s="1"/>
    </row>
    <row r="240">
      <c r="B240" s="1"/>
      <c r="C240" s="1"/>
    </row>
    <row r="241">
      <c r="B241" s="1"/>
      <c r="C241" s="1"/>
    </row>
    <row r="242">
      <c r="B242" s="1"/>
      <c r="C242" s="1"/>
    </row>
    <row r="243">
      <c r="B243" s="1"/>
      <c r="C243" s="1"/>
    </row>
    <row r="244">
      <c r="B244" s="1"/>
      <c r="C244" s="1"/>
    </row>
    <row r="245">
      <c r="B245" s="1"/>
      <c r="C245" s="1"/>
    </row>
    <row r="246">
      <c r="B246" s="1"/>
      <c r="C246" s="1"/>
    </row>
    <row r="247">
      <c r="B247" s="1"/>
      <c r="C247" s="1"/>
    </row>
    <row r="248">
      <c r="B248" s="1"/>
      <c r="C248" s="1"/>
    </row>
    <row r="249">
      <c r="B249" s="1"/>
      <c r="C249" s="1"/>
    </row>
    <row r="250">
      <c r="B250" s="1"/>
      <c r="C250" s="1"/>
    </row>
    <row r="251">
      <c r="B251" s="1"/>
      <c r="C251" s="1"/>
    </row>
    <row r="252">
      <c r="B252" s="1"/>
      <c r="C252" s="1"/>
    </row>
    <row r="253">
      <c r="B253" s="1"/>
      <c r="C253" s="1"/>
    </row>
    <row r="254">
      <c r="B254" s="1"/>
      <c r="C254" s="1"/>
    </row>
    <row r="255">
      <c r="B255" s="1"/>
      <c r="C255" s="1"/>
    </row>
    <row r="256">
      <c r="B256" s="1"/>
      <c r="C256" s="1"/>
    </row>
    <row r="257">
      <c r="B257" s="1"/>
      <c r="C257" s="1"/>
    </row>
    <row r="258">
      <c r="B258" s="1"/>
      <c r="C258" s="1"/>
    </row>
    <row r="259">
      <c r="B259" s="1"/>
      <c r="C259" s="1"/>
    </row>
    <row r="260">
      <c r="B260" s="1"/>
      <c r="C260" s="1"/>
    </row>
    <row r="261">
      <c r="B261" s="1"/>
      <c r="C261" s="1"/>
    </row>
    <row r="262">
      <c r="B262" s="1"/>
      <c r="C262" s="1"/>
    </row>
    <row r="263">
      <c r="B263" s="1"/>
      <c r="C263" s="1"/>
    </row>
    <row r="264">
      <c r="B264" s="1"/>
      <c r="C264" s="1"/>
    </row>
    <row r="265">
      <c r="B265" s="1"/>
      <c r="C265" s="1"/>
    </row>
    <row r="266">
      <c r="B266" s="1"/>
      <c r="C266" s="1"/>
    </row>
    <row r="267">
      <c r="B267" s="1"/>
      <c r="C267" s="1"/>
    </row>
    <row r="268">
      <c r="B268" s="1"/>
      <c r="C268" s="1"/>
    </row>
    <row r="269">
      <c r="B269" s="1"/>
      <c r="C269" s="1"/>
    </row>
    <row r="270">
      <c r="B270" s="1"/>
      <c r="C270" s="1"/>
    </row>
    <row r="271">
      <c r="B271" s="1"/>
      <c r="C271" s="1"/>
    </row>
    <row r="272">
      <c r="B272" s="1"/>
      <c r="C272" s="1"/>
    </row>
    <row r="273">
      <c r="B273" s="1"/>
      <c r="C273" s="1"/>
    </row>
    <row r="274">
      <c r="B274" s="1"/>
      <c r="C274" s="1"/>
    </row>
    <row r="275">
      <c r="B275" s="1"/>
      <c r="C275" s="1"/>
    </row>
    <row r="276">
      <c r="B276" s="1"/>
      <c r="C276" s="1"/>
    </row>
    <row r="277">
      <c r="B277" s="1"/>
      <c r="C277" s="1"/>
    </row>
    <row r="278">
      <c r="B278" s="1"/>
      <c r="C278" s="1"/>
    </row>
    <row r="279">
      <c r="B279" s="1"/>
      <c r="C279" s="1"/>
    </row>
    <row r="280">
      <c r="B280" s="1"/>
      <c r="C280" s="1"/>
    </row>
    <row r="281">
      <c r="B281" s="1"/>
      <c r="C281" s="1"/>
    </row>
    <row r="282">
      <c r="B282" s="1"/>
      <c r="C282" s="1"/>
    </row>
    <row r="283">
      <c r="B283" s="1"/>
      <c r="C283" s="1"/>
    </row>
    <row r="284">
      <c r="B284" s="1"/>
      <c r="C284" s="1"/>
    </row>
    <row r="285">
      <c r="B285" s="1"/>
      <c r="C285" s="1"/>
    </row>
    <row r="286">
      <c r="B286" s="1"/>
      <c r="C286" s="1"/>
    </row>
    <row r="287">
      <c r="B287" s="1"/>
      <c r="C287" s="1"/>
    </row>
    <row r="288">
      <c r="B288" s="1"/>
      <c r="C288" s="1"/>
    </row>
    <row r="289">
      <c r="B289" s="1"/>
      <c r="C289" s="1"/>
    </row>
    <row r="290">
      <c r="B290" s="1"/>
      <c r="C290" s="1"/>
    </row>
    <row r="291">
      <c r="B291" s="1"/>
      <c r="C291" s="1"/>
    </row>
    <row r="292">
      <c r="B292" s="1"/>
      <c r="C292" s="1"/>
    </row>
    <row r="293">
      <c r="B293" s="1"/>
      <c r="C293" s="1"/>
    </row>
    <row r="294">
      <c r="B294" s="1"/>
      <c r="C294" s="1"/>
    </row>
    <row r="295">
      <c r="B295" s="1"/>
      <c r="C295" s="1"/>
    </row>
    <row r="296">
      <c r="B296" s="1"/>
      <c r="C296" s="1"/>
    </row>
    <row r="297">
      <c r="B297" s="1"/>
      <c r="C297" s="1"/>
    </row>
    <row r="298">
      <c r="B298" s="1"/>
      <c r="C298" s="1"/>
    </row>
    <row r="299">
      <c r="B299" s="1"/>
      <c r="C299" s="1"/>
    </row>
    <row r="300">
      <c r="B300" s="1"/>
      <c r="C300" s="1"/>
    </row>
    <row r="301">
      <c r="B301" s="1"/>
      <c r="C301" s="1"/>
    </row>
    <row r="302">
      <c r="B302" s="1"/>
      <c r="C302" s="1"/>
    </row>
    <row r="303">
      <c r="B303" s="1"/>
      <c r="C303" s="1"/>
    </row>
    <row r="304">
      <c r="B304" s="1"/>
      <c r="C304" s="1"/>
    </row>
    <row r="305">
      <c r="B305" s="1"/>
      <c r="C305" s="1"/>
    </row>
    <row r="306">
      <c r="B306" s="1"/>
      <c r="C306" s="1"/>
    </row>
    <row r="307">
      <c r="B307" s="1"/>
      <c r="C307" s="1"/>
    </row>
    <row r="308">
      <c r="B308" s="1"/>
      <c r="C308" s="1"/>
    </row>
    <row r="309">
      <c r="B309" s="1"/>
      <c r="C309" s="1"/>
    </row>
    <row r="310">
      <c r="B310" s="1"/>
      <c r="C310" s="1"/>
    </row>
    <row r="311">
      <c r="B311" s="1"/>
      <c r="C311" s="1"/>
    </row>
    <row r="312">
      <c r="B312" s="1"/>
      <c r="C312" s="1"/>
    </row>
    <row r="313">
      <c r="B313" s="1"/>
      <c r="C313" s="1"/>
    </row>
    <row r="314">
      <c r="B314" s="1"/>
      <c r="C314" s="1"/>
    </row>
    <row r="315">
      <c r="B315" s="1"/>
      <c r="C315" s="1"/>
    </row>
    <row r="316">
      <c r="B316" s="1"/>
      <c r="C316" s="1"/>
    </row>
    <row r="317">
      <c r="B317" s="1"/>
      <c r="C317" s="1"/>
    </row>
    <row r="318">
      <c r="B318" s="1"/>
      <c r="C318" s="1"/>
    </row>
    <row r="319">
      <c r="B319" s="1"/>
      <c r="C319" s="1"/>
    </row>
    <row r="320">
      <c r="B320" s="1"/>
      <c r="C320" s="1"/>
    </row>
    <row r="321">
      <c r="B321" s="1"/>
      <c r="C321" s="1"/>
    </row>
    <row r="322">
      <c r="B322" s="1"/>
      <c r="C322" s="1"/>
    </row>
    <row r="323">
      <c r="B323" s="1"/>
      <c r="C323" s="1"/>
    </row>
    <row r="324">
      <c r="B324" s="1"/>
      <c r="C324" s="1"/>
    </row>
    <row r="325">
      <c r="B325" s="1"/>
      <c r="C325" s="1"/>
    </row>
    <row r="326">
      <c r="B326" s="1"/>
      <c r="C326" s="1"/>
    </row>
    <row r="327">
      <c r="B327" s="1"/>
      <c r="C327" s="1"/>
    </row>
    <row r="328">
      <c r="B328" s="1"/>
      <c r="C328" s="1"/>
    </row>
    <row r="329">
      <c r="B329" s="1"/>
      <c r="C329" s="1"/>
    </row>
    <row r="330">
      <c r="B330" s="1"/>
      <c r="C330" s="1"/>
    </row>
    <row r="331">
      <c r="B331" s="1"/>
      <c r="C331" s="1"/>
    </row>
    <row r="332">
      <c r="B332" s="1"/>
      <c r="C332" s="1"/>
    </row>
    <row r="333">
      <c r="B333" s="1"/>
      <c r="C333" s="1"/>
    </row>
    <row r="334">
      <c r="B334" s="1"/>
      <c r="C334" s="1"/>
    </row>
    <row r="335">
      <c r="B335" s="1"/>
      <c r="C335" s="1"/>
    </row>
    <row r="336">
      <c r="B336" s="1"/>
      <c r="C336" s="1"/>
    </row>
    <row r="337">
      <c r="B337" s="1"/>
      <c r="C337" s="1"/>
    </row>
    <row r="338">
      <c r="B338" s="1"/>
      <c r="C338" s="1"/>
    </row>
    <row r="339">
      <c r="B339" s="1"/>
      <c r="C339" s="1"/>
    </row>
    <row r="340">
      <c r="B340" s="1"/>
      <c r="C340" s="1"/>
    </row>
    <row r="341">
      <c r="B341" s="1"/>
      <c r="C341" s="1"/>
    </row>
    <row r="342">
      <c r="B342" s="1"/>
      <c r="C342" s="1"/>
    </row>
    <row r="343">
      <c r="B343" s="1"/>
      <c r="C343" s="1"/>
    </row>
    <row r="344">
      <c r="B344" s="1"/>
      <c r="C344" s="1"/>
    </row>
    <row r="345">
      <c r="B345" s="1"/>
      <c r="C345" s="1"/>
    </row>
    <row r="346">
      <c r="B346" s="1"/>
      <c r="C346" s="1"/>
    </row>
    <row r="347">
      <c r="B347" s="1"/>
      <c r="C347" s="1"/>
    </row>
    <row r="348">
      <c r="B348" s="1"/>
      <c r="C348" s="1"/>
    </row>
    <row r="349">
      <c r="B349" s="1"/>
      <c r="C349" s="1"/>
    </row>
    <row r="350">
      <c r="B350" s="1"/>
      <c r="C350" s="1"/>
    </row>
    <row r="351">
      <c r="B351" s="1"/>
      <c r="C351" s="1"/>
    </row>
    <row r="352">
      <c r="B352" s="1"/>
      <c r="C352" s="1"/>
    </row>
    <row r="353">
      <c r="B353" s="1"/>
      <c r="C353" s="1"/>
    </row>
    <row r="354">
      <c r="B354" s="1"/>
      <c r="C354" s="1"/>
    </row>
    <row r="355">
      <c r="B355" s="1"/>
      <c r="C355" s="1"/>
    </row>
    <row r="356">
      <c r="B356" s="1"/>
      <c r="C356" s="1"/>
    </row>
    <row r="357">
      <c r="B357" s="1"/>
      <c r="C357" s="1"/>
    </row>
    <row r="358">
      <c r="B358" s="1"/>
      <c r="C358" s="1"/>
    </row>
    <row r="359">
      <c r="B359" s="1"/>
      <c r="C359" s="1"/>
    </row>
    <row r="360">
      <c r="B360" s="1"/>
      <c r="C360" s="1"/>
    </row>
    <row r="361">
      <c r="B361" s="1"/>
      <c r="C361" s="1"/>
    </row>
    <row r="362">
      <c r="B362" s="1"/>
      <c r="C362" s="1"/>
    </row>
    <row r="363">
      <c r="B363" s="1"/>
      <c r="C363" s="1"/>
    </row>
    <row r="364">
      <c r="B364" s="1"/>
      <c r="C364" s="1"/>
    </row>
    <row r="365">
      <c r="B365" s="1"/>
      <c r="C365" s="1"/>
    </row>
    <row r="366">
      <c r="B366" s="1"/>
      <c r="C366" s="1"/>
    </row>
    <row r="367">
      <c r="B367" s="1"/>
      <c r="C367" s="1"/>
    </row>
    <row r="368">
      <c r="B368" s="1"/>
      <c r="C368" s="1"/>
    </row>
    <row r="369">
      <c r="B369" s="1"/>
      <c r="C369" s="1"/>
    </row>
    <row r="370">
      <c r="B370" s="1"/>
      <c r="C370" s="1"/>
    </row>
    <row r="371">
      <c r="B371" s="1"/>
      <c r="C371" s="1"/>
    </row>
    <row r="372">
      <c r="B372" s="1"/>
      <c r="C372" s="1"/>
    </row>
    <row r="373">
      <c r="B373" s="1"/>
      <c r="C373" s="1"/>
    </row>
    <row r="374">
      <c r="B374" s="1"/>
      <c r="C374" s="1"/>
    </row>
    <row r="375">
      <c r="B375" s="1"/>
      <c r="C375" s="1"/>
    </row>
    <row r="376">
      <c r="B376" s="1"/>
      <c r="C376" s="1"/>
    </row>
    <row r="377">
      <c r="B377" s="1"/>
      <c r="C377" s="1"/>
    </row>
    <row r="378">
      <c r="B378" s="1"/>
      <c r="C378" s="1"/>
    </row>
    <row r="379">
      <c r="B379" s="1"/>
      <c r="C379" s="1"/>
    </row>
    <row r="380">
      <c r="B380" s="1"/>
      <c r="C380" s="1"/>
    </row>
    <row r="381">
      <c r="B381" s="1"/>
      <c r="C381" s="1"/>
    </row>
    <row r="382">
      <c r="B382" s="1"/>
      <c r="C382" s="1"/>
    </row>
    <row r="383">
      <c r="B383" s="1"/>
      <c r="C383" s="1"/>
    </row>
    <row r="384">
      <c r="B384" s="1"/>
      <c r="C384" s="1"/>
    </row>
    <row r="385">
      <c r="B385" s="1"/>
      <c r="C385" s="1"/>
    </row>
    <row r="386">
      <c r="B386" s="1"/>
      <c r="C386" s="1"/>
    </row>
    <row r="387">
      <c r="B387" s="1"/>
      <c r="C387" s="1"/>
    </row>
    <row r="388">
      <c r="B388" s="1"/>
      <c r="C388" s="1"/>
    </row>
    <row r="389">
      <c r="B389" s="1"/>
      <c r="C389" s="1"/>
    </row>
    <row r="390">
      <c r="B390" s="1"/>
      <c r="C390" s="1"/>
    </row>
    <row r="391">
      <c r="B391" s="1"/>
      <c r="C391" s="1"/>
    </row>
    <row r="392">
      <c r="B392" s="1"/>
      <c r="C392" s="1"/>
    </row>
    <row r="393">
      <c r="B393" s="1"/>
      <c r="C393" s="1"/>
    </row>
    <row r="394">
      <c r="B394" s="1"/>
      <c r="C394" s="1"/>
    </row>
    <row r="395">
      <c r="B395" s="1"/>
      <c r="C395" s="1"/>
    </row>
    <row r="396">
      <c r="B396" s="1"/>
      <c r="C396" s="1"/>
    </row>
    <row r="397">
      <c r="B397" s="1"/>
      <c r="C397" s="1"/>
    </row>
    <row r="398">
      <c r="B398" s="1"/>
      <c r="C398" s="1"/>
    </row>
    <row r="399">
      <c r="B399" s="1"/>
      <c r="C399" s="1"/>
    </row>
    <row r="400">
      <c r="B400" s="1"/>
      <c r="C400" s="1"/>
    </row>
    <row r="401">
      <c r="B401" s="1"/>
      <c r="C401" s="1"/>
    </row>
    <row r="402">
      <c r="B402" s="1"/>
      <c r="C402" s="1"/>
    </row>
    <row r="403">
      <c r="B403" s="1"/>
      <c r="C403" s="1"/>
    </row>
    <row r="404">
      <c r="B404" s="1"/>
      <c r="C404" s="1"/>
    </row>
    <row r="405">
      <c r="B405" s="1"/>
      <c r="C405" s="1"/>
    </row>
    <row r="406">
      <c r="B406" s="1"/>
      <c r="C406" s="1"/>
    </row>
    <row r="407">
      <c r="B407" s="1"/>
      <c r="C407" s="1"/>
    </row>
    <row r="408">
      <c r="B408" s="1"/>
      <c r="C408" s="1"/>
    </row>
    <row r="409">
      <c r="B409" s="1"/>
      <c r="C409" s="1"/>
    </row>
    <row r="410">
      <c r="B410" s="1"/>
      <c r="C410" s="1"/>
    </row>
    <row r="411">
      <c r="B411" s="1"/>
      <c r="C411" s="1"/>
    </row>
    <row r="412">
      <c r="B412" s="1"/>
      <c r="C412" s="1"/>
    </row>
    <row r="413">
      <c r="B413" s="1"/>
      <c r="C413" s="1"/>
    </row>
    <row r="414">
      <c r="B414" s="1"/>
      <c r="C414" s="1"/>
    </row>
    <row r="415">
      <c r="B415" s="1"/>
      <c r="C415" s="1"/>
    </row>
    <row r="416">
      <c r="B416" s="1"/>
      <c r="C416" s="1"/>
    </row>
    <row r="417">
      <c r="B417" s="1"/>
      <c r="C417" s="1"/>
    </row>
    <row r="418">
      <c r="B418" s="1"/>
      <c r="C418" s="1"/>
    </row>
    <row r="419">
      <c r="B419" s="1"/>
      <c r="C419" s="1"/>
    </row>
    <row r="420">
      <c r="B420" s="1"/>
      <c r="C420" s="1"/>
    </row>
    <row r="421">
      <c r="B421" s="1"/>
      <c r="C421" s="1"/>
    </row>
    <row r="422">
      <c r="B422" s="1"/>
      <c r="C422" s="1"/>
    </row>
    <row r="423">
      <c r="B423" s="1"/>
      <c r="C423" s="1"/>
    </row>
    <row r="424">
      <c r="B424" s="1"/>
      <c r="C424" s="1"/>
    </row>
    <row r="425">
      <c r="B425" s="1"/>
      <c r="C425" s="1"/>
    </row>
    <row r="426">
      <c r="B426" s="1"/>
      <c r="C426" s="1"/>
    </row>
    <row r="427">
      <c r="B427" s="1"/>
      <c r="C427" s="1"/>
    </row>
    <row r="428">
      <c r="B428" s="1"/>
      <c r="C428" s="1"/>
    </row>
    <row r="429">
      <c r="B429" s="1"/>
      <c r="C429" s="1"/>
    </row>
    <row r="430">
      <c r="B430" s="1"/>
      <c r="C430" s="1"/>
    </row>
    <row r="431">
      <c r="B431" s="1"/>
      <c r="C431" s="1"/>
    </row>
    <row r="432">
      <c r="B432" s="1"/>
      <c r="C432" s="1"/>
    </row>
    <row r="433">
      <c r="B433" s="1"/>
      <c r="C433" s="1"/>
    </row>
    <row r="434">
      <c r="B434" s="1"/>
      <c r="C434" s="1"/>
    </row>
    <row r="435">
      <c r="B435" s="1"/>
      <c r="C435" s="1"/>
    </row>
    <row r="436">
      <c r="B436" s="1"/>
      <c r="C436" s="1"/>
    </row>
    <row r="437">
      <c r="B437" s="1"/>
      <c r="C437" s="1"/>
    </row>
    <row r="438">
      <c r="B438" s="1"/>
      <c r="C438" s="1"/>
    </row>
    <row r="439">
      <c r="B439" s="1"/>
      <c r="C439" s="1"/>
    </row>
    <row r="440">
      <c r="B440" s="1"/>
      <c r="C440" s="1"/>
    </row>
    <row r="441">
      <c r="B441" s="1"/>
      <c r="C441" s="1"/>
    </row>
    <row r="442">
      <c r="B442" s="1"/>
      <c r="C442" s="1"/>
    </row>
    <row r="443">
      <c r="B443" s="1"/>
      <c r="C443" s="1"/>
    </row>
    <row r="444">
      <c r="B444" s="1"/>
      <c r="C444" s="1"/>
    </row>
    <row r="445">
      <c r="B445" s="1"/>
      <c r="C445" s="1"/>
    </row>
    <row r="446">
      <c r="B446" s="1"/>
      <c r="C446" s="1"/>
    </row>
    <row r="447">
      <c r="B447" s="1"/>
      <c r="C447" s="1"/>
    </row>
    <row r="448">
      <c r="B448" s="1"/>
      <c r="C448" s="1"/>
    </row>
    <row r="449">
      <c r="B449" s="1"/>
      <c r="C449" s="1"/>
    </row>
    <row r="450">
      <c r="B450" s="1"/>
      <c r="C450" s="1"/>
    </row>
    <row r="451">
      <c r="B451" s="1"/>
      <c r="C451" s="1"/>
    </row>
    <row r="452">
      <c r="B452" s="1"/>
      <c r="C452" s="1"/>
    </row>
    <row r="453">
      <c r="B453" s="1"/>
      <c r="C453" s="1"/>
    </row>
    <row r="454">
      <c r="B454" s="1"/>
      <c r="C454" s="1"/>
    </row>
    <row r="455">
      <c r="B455" s="1"/>
      <c r="C455" s="1"/>
    </row>
    <row r="456">
      <c r="B456" s="1"/>
      <c r="C456" s="1"/>
    </row>
    <row r="457">
      <c r="B457" s="1"/>
      <c r="C457" s="1"/>
    </row>
    <row r="458">
      <c r="B458" s="1"/>
      <c r="C458" s="1"/>
    </row>
    <row r="459">
      <c r="B459" s="1"/>
      <c r="C459" s="1"/>
    </row>
    <row r="460">
      <c r="B460" s="1"/>
      <c r="C460" s="1"/>
    </row>
    <row r="461">
      <c r="B461" s="1"/>
      <c r="C461" s="1"/>
    </row>
    <row r="462">
      <c r="B462" s="1"/>
      <c r="C462" s="1"/>
    </row>
    <row r="463">
      <c r="B463" s="1"/>
      <c r="C463" s="1"/>
    </row>
    <row r="464">
      <c r="B464" s="1"/>
      <c r="C464" s="1"/>
    </row>
    <row r="465">
      <c r="B465" s="1"/>
      <c r="C465" s="1"/>
    </row>
    <row r="466">
      <c r="B466" s="1"/>
      <c r="C466" s="1"/>
    </row>
    <row r="467">
      <c r="B467" s="1"/>
      <c r="C467" s="1"/>
    </row>
    <row r="468">
      <c r="B468" s="1"/>
      <c r="C468" s="1"/>
    </row>
    <row r="469">
      <c r="B469" s="1"/>
      <c r="C469" s="1"/>
    </row>
    <row r="470">
      <c r="B470" s="1"/>
      <c r="C470" s="1"/>
    </row>
    <row r="471">
      <c r="B471" s="1"/>
      <c r="C471" s="1"/>
    </row>
    <row r="472">
      <c r="B472" s="1"/>
      <c r="C472" s="1"/>
    </row>
    <row r="473">
      <c r="B473" s="1"/>
      <c r="C473" s="1"/>
    </row>
    <row r="474">
      <c r="B474" s="1"/>
      <c r="C474" s="1"/>
    </row>
    <row r="475">
      <c r="B475" s="1"/>
      <c r="C475" s="1"/>
    </row>
    <row r="476">
      <c r="B476" s="1"/>
      <c r="C476" s="1"/>
    </row>
    <row r="477">
      <c r="B477" s="1"/>
      <c r="C477" s="1"/>
    </row>
    <row r="478">
      <c r="B478" s="1"/>
      <c r="C478" s="1"/>
    </row>
    <row r="479">
      <c r="B479" s="1"/>
      <c r="C479" s="1"/>
    </row>
    <row r="480">
      <c r="B480" s="1"/>
      <c r="C480" s="1"/>
    </row>
    <row r="481">
      <c r="B481" s="1"/>
      <c r="C481" s="1"/>
    </row>
    <row r="482">
      <c r="B482" s="1"/>
      <c r="C482" s="1"/>
    </row>
    <row r="483">
      <c r="B483" s="1"/>
      <c r="C483" s="1"/>
    </row>
    <row r="484">
      <c r="B484" s="1"/>
      <c r="C484" s="1"/>
    </row>
    <row r="485">
      <c r="B485" s="1"/>
      <c r="C485" s="1"/>
    </row>
    <row r="486">
      <c r="B486" s="1"/>
      <c r="C486" s="1"/>
    </row>
    <row r="487">
      <c r="B487" s="1"/>
      <c r="C487" s="1"/>
    </row>
    <row r="488">
      <c r="B488" s="1"/>
      <c r="C488" s="1"/>
    </row>
    <row r="489">
      <c r="B489" s="1"/>
      <c r="C489" s="1"/>
    </row>
    <row r="490">
      <c r="B490" s="1"/>
      <c r="C490" s="1"/>
    </row>
    <row r="491">
      <c r="B491" s="1"/>
      <c r="C491" s="1"/>
    </row>
    <row r="492">
      <c r="B492" s="1"/>
      <c r="C492" s="1"/>
    </row>
    <row r="493">
      <c r="B493" s="1"/>
      <c r="C493" s="1"/>
    </row>
    <row r="494">
      <c r="B494" s="1"/>
      <c r="C494" s="1"/>
    </row>
    <row r="495">
      <c r="B495" s="1"/>
      <c r="C495" s="1"/>
    </row>
    <row r="496">
      <c r="B496" s="1"/>
      <c r="C496" s="1"/>
    </row>
    <row r="497">
      <c r="B497" s="1"/>
      <c r="C497" s="1"/>
    </row>
    <row r="498">
      <c r="B498" s="1"/>
      <c r="C498" s="1"/>
    </row>
    <row r="499">
      <c r="B499" s="1"/>
      <c r="C499" s="1"/>
    </row>
    <row r="500">
      <c r="B500" s="1"/>
      <c r="C500" s="1"/>
    </row>
    <row r="501">
      <c r="B501" s="1"/>
      <c r="C501" s="1"/>
    </row>
    <row r="502">
      <c r="B502" s="1"/>
      <c r="C502" s="1"/>
    </row>
    <row r="503">
      <c r="B503" s="1"/>
      <c r="C503" s="1"/>
    </row>
    <row r="504">
      <c r="B504" s="1"/>
      <c r="C504" s="1"/>
    </row>
    <row r="505">
      <c r="B505" s="1"/>
      <c r="C505" s="1"/>
    </row>
    <row r="506">
      <c r="B506" s="1"/>
      <c r="C506" s="1"/>
    </row>
    <row r="507">
      <c r="B507" s="1"/>
      <c r="C507" s="1"/>
    </row>
    <row r="508">
      <c r="B508" s="1"/>
      <c r="C508" s="1"/>
    </row>
    <row r="509">
      <c r="B509" s="1"/>
      <c r="C509" s="1"/>
    </row>
    <row r="510">
      <c r="B510" s="1"/>
      <c r="C510" s="1"/>
    </row>
    <row r="511">
      <c r="B511" s="1"/>
      <c r="C511" s="1"/>
    </row>
    <row r="512">
      <c r="B512" s="1"/>
      <c r="C512" s="1"/>
    </row>
    <row r="513">
      <c r="B513" s="1"/>
      <c r="C513" s="1"/>
    </row>
    <row r="514">
      <c r="B514" s="1"/>
      <c r="C514" s="1"/>
    </row>
    <row r="515">
      <c r="B515" s="1"/>
      <c r="C515" s="1"/>
    </row>
    <row r="516">
      <c r="B516" s="1"/>
      <c r="C516" s="1"/>
    </row>
    <row r="517">
      <c r="B517" s="1"/>
      <c r="C517" s="1"/>
    </row>
    <row r="518">
      <c r="B518" s="1"/>
      <c r="C518" s="1"/>
    </row>
    <row r="519">
      <c r="B519" s="1"/>
      <c r="C519" s="1"/>
    </row>
    <row r="520">
      <c r="B520" s="1"/>
      <c r="C520" s="1"/>
    </row>
    <row r="521">
      <c r="B521" s="1"/>
      <c r="C521" s="1"/>
    </row>
    <row r="522">
      <c r="B522" s="1"/>
      <c r="C522" s="1"/>
    </row>
    <row r="523">
      <c r="B523" s="1"/>
      <c r="C523" s="1"/>
    </row>
    <row r="524">
      <c r="B524" s="1"/>
      <c r="C524" s="1"/>
    </row>
    <row r="525">
      <c r="B525" s="1"/>
      <c r="C525" s="1"/>
    </row>
    <row r="526">
      <c r="B526" s="1"/>
      <c r="C526" s="1"/>
    </row>
    <row r="527">
      <c r="B527" s="1"/>
      <c r="C527" s="1"/>
    </row>
    <row r="528">
      <c r="B528" s="1"/>
      <c r="C528" s="1"/>
    </row>
    <row r="529">
      <c r="B529" s="1"/>
      <c r="C529" s="1"/>
    </row>
    <row r="530">
      <c r="B530" s="1"/>
      <c r="C530" s="1"/>
    </row>
    <row r="531">
      <c r="B531" s="1"/>
      <c r="C531" s="1"/>
    </row>
    <row r="532">
      <c r="B532" s="1"/>
      <c r="C532" s="1"/>
    </row>
    <row r="533">
      <c r="B533" s="1"/>
      <c r="C533" s="1"/>
    </row>
    <row r="534">
      <c r="B534" s="1"/>
      <c r="C534" s="1"/>
    </row>
    <row r="535">
      <c r="B535" s="1"/>
      <c r="C535" s="1"/>
    </row>
    <row r="536">
      <c r="B536" s="1"/>
      <c r="C536" s="1"/>
    </row>
    <row r="537">
      <c r="B537" s="1"/>
      <c r="C537" s="1"/>
    </row>
    <row r="538">
      <c r="B538" s="1"/>
      <c r="C538" s="1"/>
    </row>
    <row r="539">
      <c r="B539" s="1"/>
      <c r="C539" s="1"/>
    </row>
    <row r="540">
      <c r="B540" s="1"/>
      <c r="C540" s="1"/>
    </row>
    <row r="541">
      <c r="B541" s="1"/>
      <c r="C541" s="1"/>
    </row>
    <row r="542">
      <c r="B542" s="1"/>
      <c r="C542" s="1"/>
    </row>
    <row r="543">
      <c r="B543" s="1"/>
      <c r="C543" s="1"/>
    </row>
    <row r="544">
      <c r="B544" s="1"/>
      <c r="C544" s="1"/>
    </row>
    <row r="545">
      <c r="B545" s="1"/>
      <c r="C545" s="1"/>
    </row>
    <row r="546">
      <c r="B546" s="1"/>
      <c r="C546" s="1"/>
    </row>
    <row r="547">
      <c r="B547" s="1"/>
      <c r="C547" s="1"/>
    </row>
    <row r="548">
      <c r="B548" s="1"/>
      <c r="C548" s="1"/>
    </row>
    <row r="549">
      <c r="B549" s="1"/>
      <c r="C549" s="1"/>
    </row>
    <row r="550">
      <c r="B550" s="1"/>
      <c r="C550" s="1"/>
    </row>
    <row r="551">
      <c r="B551" s="1"/>
      <c r="C551" s="1"/>
    </row>
    <row r="552">
      <c r="B552" s="1"/>
      <c r="C552" s="1"/>
    </row>
    <row r="553">
      <c r="B553" s="1"/>
      <c r="C553" s="1"/>
    </row>
    <row r="554">
      <c r="B554" s="1"/>
      <c r="C554" s="1"/>
    </row>
    <row r="555">
      <c r="B555" s="1"/>
      <c r="C555" s="1"/>
    </row>
    <row r="556">
      <c r="B556" s="1"/>
      <c r="C556" s="1"/>
    </row>
    <row r="557">
      <c r="B557" s="1"/>
      <c r="C557" s="1"/>
    </row>
    <row r="558">
      <c r="B558" s="1"/>
      <c r="C558" s="1"/>
    </row>
    <row r="559">
      <c r="B559" s="1"/>
      <c r="C559" s="1"/>
    </row>
    <row r="560">
      <c r="B560" s="1"/>
      <c r="C560" s="1"/>
    </row>
    <row r="561">
      <c r="B561" s="1"/>
      <c r="C561" s="1"/>
    </row>
    <row r="562">
      <c r="B562" s="1"/>
      <c r="C562" s="1"/>
    </row>
    <row r="563">
      <c r="B563" s="1"/>
      <c r="C563" s="1"/>
    </row>
    <row r="564">
      <c r="B564" s="1"/>
      <c r="C564" s="1"/>
    </row>
    <row r="565">
      <c r="B565" s="1"/>
      <c r="C565" s="1"/>
    </row>
    <row r="566">
      <c r="B566" s="1"/>
      <c r="C566" s="1"/>
    </row>
    <row r="567">
      <c r="B567" s="1"/>
      <c r="C567" s="1"/>
    </row>
    <row r="568">
      <c r="B568" s="1"/>
      <c r="C568" s="1"/>
    </row>
    <row r="569">
      <c r="B569" s="1"/>
      <c r="C569" s="1"/>
    </row>
    <row r="570">
      <c r="B570" s="1"/>
      <c r="C570" s="1"/>
    </row>
    <row r="571">
      <c r="B571" s="1"/>
      <c r="C571" s="1"/>
    </row>
    <row r="572">
      <c r="B572" s="1"/>
      <c r="C572" s="1"/>
    </row>
    <row r="573">
      <c r="B573" s="1"/>
      <c r="C573" s="1"/>
    </row>
    <row r="574">
      <c r="B574" s="1"/>
      <c r="C574" s="1"/>
    </row>
    <row r="575">
      <c r="B575" s="1"/>
      <c r="C575" s="1"/>
    </row>
    <row r="576">
      <c r="B576" s="1"/>
      <c r="C576" s="1"/>
    </row>
    <row r="577">
      <c r="B577" s="1"/>
      <c r="C577" s="1"/>
    </row>
    <row r="578">
      <c r="B578" s="1"/>
      <c r="C578" s="1"/>
    </row>
    <row r="579">
      <c r="B579" s="1"/>
      <c r="C579" s="1"/>
    </row>
    <row r="580">
      <c r="B580" s="1"/>
      <c r="C580" s="1"/>
    </row>
    <row r="581">
      <c r="B581" s="1"/>
      <c r="C581" s="1"/>
    </row>
    <row r="582">
      <c r="B582" s="1"/>
      <c r="C582" s="1"/>
    </row>
    <row r="583">
      <c r="B583" s="1"/>
      <c r="C583" s="1"/>
    </row>
    <row r="584">
      <c r="B584" s="1"/>
      <c r="C584" s="1"/>
    </row>
    <row r="585">
      <c r="B585" s="1"/>
      <c r="C585" s="1"/>
    </row>
    <row r="586">
      <c r="B586" s="1"/>
      <c r="C586" s="1"/>
    </row>
    <row r="587">
      <c r="B587" s="1"/>
      <c r="C587" s="1"/>
    </row>
    <row r="588">
      <c r="B588" s="1"/>
      <c r="C588" s="1"/>
    </row>
    <row r="589">
      <c r="B589" s="1"/>
      <c r="C589" s="1"/>
    </row>
    <row r="590">
      <c r="B590" s="1"/>
      <c r="C590" s="1"/>
    </row>
    <row r="591">
      <c r="B591" s="1"/>
      <c r="C591" s="1"/>
    </row>
    <row r="592">
      <c r="B592" s="1"/>
      <c r="C592" s="1"/>
    </row>
    <row r="593">
      <c r="B593" s="1"/>
      <c r="C593" s="1"/>
    </row>
    <row r="594">
      <c r="B594" s="1"/>
      <c r="C594" s="1"/>
    </row>
    <row r="595">
      <c r="B595" s="1"/>
      <c r="C595" s="1"/>
    </row>
    <row r="596">
      <c r="B596" s="1"/>
      <c r="C596" s="1"/>
    </row>
    <row r="597">
      <c r="B597" s="1"/>
      <c r="C597" s="1"/>
    </row>
    <row r="598">
      <c r="B598" s="1"/>
      <c r="C598" s="1"/>
    </row>
    <row r="599">
      <c r="B599" s="1"/>
      <c r="C599" s="1"/>
    </row>
    <row r="600">
      <c r="B600" s="1"/>
      <c r="C600" s="1"/>
    </row>
    <row r="601">
      <c r="B601" s="1"/>
      <c r="C601" s="1"/>
    </row>
    <row r="602">
      <c r="B602" s="1"/>
      <c r="C602" s="1"/>
    </row>
    <row r="603">
      <c r="B603" s="1"/>
      <c r="C603" s="1"/>
    </row>
    <row r="604">
      <c r="B604" s="1"/>
      <c r="C604" s="1"/>
    </row>
    <row r="605">
      <c r="B605" s="1"/>
      <c r="C605" s="1"/>
    </row>
    <row r="606">
      <c r="B606" s="1"/>
      <c r="C606" s="1"/>
    </row>
    <row r="607">
      <c r="B607" s="1"/>
      <c r="C607" s="1"/>
    </row>
    <row r="608">
      <c r="B608" s="1"/>
      <c r="C608" s="1"/>
    </row>
    <row r="609">
      <c r="B609" s="1"/>
      <c r="C609" s="1"/>
    </row>
    <row r="610">
      <c r="B610" s="1"/>
      <c r="C610" s="1"/>
    </row>
    <row r="611">
      <c r="B611" s="1"/>
      <c r="C611" s="1"/>
    </row>
    <row r="612">
      <c r="B612" s="1"/>
      <c r="C612" s="1"/>
    </row>
    <row r="613">
      <c r="B613" s="1"/>
      <c r="C613" s="1"/>
    </row>
    <row r="614">
      <c r="B614" s="1"/>
      <c r="C614" s="1"/>
    </row>
    <row r="615">
      <c r="B615" s="1"/>
      <c r="C615" s="1"/>
    </row>
    <row r="616">
      <c r="B616" s="1"/>
      <c r="C616" s="1"/>
    </row>
    <row r="617">
      <c r="B617" s="1"/>
      <c r="C617" s="1"/>
    </row>
    <row r="618">
      <c r="B618" s="1"/>
      <c r="C618" s="1"/>
    </row>
    <row r="619">
      <c r="B619" s="1"/>
      <c r="C619" s="1"/>
    </row>
    <row r="620">
      <c r="B620" s="1"/>
      <c r="C620" s="1"/>
    </row>
    <row r="621">
      <c r="B621" s="1"/>
      <c r="C621" s="1"/>
    </row>
    <row r="622">
      <c r="B622" s="1"/>
      <c r="C622" s="1"/>
    </row>
    <row r="623">
      <c r="B623" s="1"/>
      <c r="C623" s="1"/>
    </row>
    <row r="624">
      <c r="B624" s="1"/>
      <c r="C624" s="1"/>
    </row>
    <row r="625">
      <c r="B625" s="1"/>
      <c r="C625" s="1"/>
    </row>
    <row r="626">
      <c r="B626" s="1"/>
      <c r="C626" s="1"/>
    </row>
    <row r="627">
      <c r="B627" s="1"/>
      <c r="C627" s="1"/>
    </row>
    <row r="628">
      <c r="B628" s="1"/>
      <c r="C628" s="1"/>
    </row>
    <row r="629">
      <c r="B629" s="1"/>
      <c r="C629" s="1"/>
    </row>
    <row r="630">
      <c r="B630" s="1"/>
      <c r="C630" s="1"/>
    </row>
    <row r="631">
      <c r="B631" s="1"/>
      <c r="C631" s="1"/>
    </row>
    <row r="632">
      <c r="B632" s="1"/>
      <c r="C632" s="1"/>
    </row>
    <row r="633">
      <c r="B633" s="1"/>
      <c r="C633" s="1"/>
    </row>
    <row r="634">
      <c r="B634" s="1"/>
      <c r="C634" s="1"/>
    </row>
    <row r="635">
      <c r="B635" s="1"/>
      <c r="C635" s="1"/>
    </row>
    <row r="636">
      <c r="B636" s="1"/>
      <c r="C636" s="1"/>
    </row>
    <row r="637">
      <c r="B637" s="1"/>
      <c r="C637" s="1"/>
    </row>
    <row r="638">
      <c r="B638" s="1"/>
      <c r="C638" s="1"/>
    </row>
    <row r="639">
      <c r="B639" s="1"/>
      <c r="C639" s="1"/>
    </row>
    <row r="640">
      <c r="B640" s="1"/>
      <c r="C640" s="1"/>
    </row>
    <row r="641">
      <c r="B641" s="1"/>
      <c r="C641" s="1"/>
    </row>
    <row r="642">
      <c r="B642" s="1"/>
      <c r="C642" s="1"/>
    </row>
    <row r="643">
      <c r="B643" s="1"/>
      <c r="C643" s="1"/>
    </row>
    <row r="644">
      <c r="B644" s="1"/>
      <c r="C644" s="1"/>
    </row>
    <row r="645">
      <c r="B645" s="1"/>
      <c r="C645" s="1"/>
    </row>
    <row r="646">
      <c r="B646" s="1"/>
      <c r="C646" s="1"/>
    </row>
    <row r="647">
      <c r="B647" s="1"/>
      <c r="C647" s="1"/>
    </row>
    <row r="648">
      <c r="B648" s="1"/>
      <c r="C648" s="1"/>
    </row>
    <row r="649">
      <c r="B649" s="1"/>
      <c r="C649" s="1"/>
    </row>
    <row r="650">
      <c r="B650" s="1"/>
      <c r="C650" s="1"/>
    </row>
    <row r="651">
      <c r="B651" s="1"/>
      <c r="C651" s="1"/>
    </row>
    <row r="652">
      <c r="B652" s="1"/>
      <c r="C652" s="1"/>
    </row>
    <row r="653">
      <c r="B653" s="1"/>
      <c r="C653" s="1"/>
    </row>
    <row r="654">
      <c r="B654" s="1"/>
      <c r="C654" s="1"/>
    </row>
    <row r="655">
      <c r="B655" s="1"/>
      <c r="C655" s="1"/>
    </row>
    <row r="656">
      <c r="B656" s="1"/>
      <c r="C656" s="1"/>
    </row>
    <row r="657">
      <c r="B657" s="1"/>
      <c r="C657" s="1"/>
    </row>
    <row r="658">
      <c r="B658" s="1"/>
      <c r="C658" s="1"/>
    </row>
    <row r="659">
      <c r="B659" s="1"/>
      <c r="C659" s="1"/>
    </row>
    <row r="660">
      <c r="B660" s="1"/>
      <c r="C660" s="1"/>
    </row>
    <row r="661">
      <c r="B661" s="1"/>
      <c r="C661" s="1"/>
    </row>
    <row r="662">
      <c r="B662" s="1"/>
      <c r="C662" s="1"/>
    </row>
    <row r="663">
      <c r="B663" s="1"/>
      <c r="C663" s="1"/>
    </row>
    <row r="664">
      <c r="B664" s="1"/>
      <c r="C664" s="1"/>
    </row>
    <row r="665">
      <c r="B665" s="1"/>
      <c r="C665" s="1"/>
    </row>
    <row r="666">
      <c r="B666" s="1"/>
      <c r="C666" s="1"/>
    </row>
    <row r="667">
      <c r="B667" s="1"/>
      <c r="C667" s="1"/>
    </row>
    <row r="668">
      <c r="B668" s="1"/>
      <c r="C668" s="1"/>
    </row>
    <row r="669">
      <c r="B669" s="1"/>
      <c r="C669" s="1"/>
    </row>
    <row r="670">
      <c r="B670" s="1"/>
      <c r="C670" s="1"/>
    </row>
    <row r="671">
      <c r="B671" s="1"/>
      <c r="C671" s="1"/>
    </row>
    <row r="672">
      <c r="B672" s="1"/>
      <c r="C672" s="1"/>
    </row>
    <row r="673">
      <c r="B673" s="1"/>
      <c r="C673" s="1"/>
    </row>
    <row r="674">
      <c r="B674" s="1"/>
      <c r="C674" s="1"/>
    </row>
    <row r="675">
      <c r="B675" s="1"/>
      <c r="C675" s="1"/>
    </row>
    <row r="676">
      <c r="B676" s="1"/>
      <c r="C676" s="1"/>
    </row>
    <row r="677">
      <c r="B677" s="1"/>
      <c r="C677" s="1"/>
    </row>
    <row r="678">
      <c r="B678" s="1"/>
      <c r="C678" s="1"/>
    </row>
    <row r="679">
      <c r="B679" s="1"/>
      <c r="C679" s="1"/>
    </row>
    <row r="680">
      <c r="B680" s="1"/>
      <c r="C680" s="1"/>
    </row>
    <row r="681">
      <c r="B681" s="1"/>
      <c r="C681" s="1"/>
    </row>
    <row r="682">
      <c r="B682" s="1"/>
      <c r="C682" s="1"/>
    </row>
    <row r="683">
      <c r="B683" s="1"/>
      <c r="C683" s="1"/>
    </row>
    <row r="684">
      <c r="B684" s="1"/>
      <c r="C684" s="1"/>
    </row>
    <row r="685">
      <c r="B685" s="1"/>
      <c r="C685" s="1"/>
    </row>
    <row r="686">
      <c r="B686" s="1"/>
      <c r="C686" s="1"/>
    </row>
    <row r="687">
      <c r="B687" s="1"/>
      <c r="C687" s="1"/>
    </row>
    <row r="688">
      <c r="B688" s="1"/>
      <c r="C688" s="1"/>
    </row>
    <row r="689">
      <c r="B689" s="1"/>
      <c r="C689" s="1"/>
    </row>
    <row r="690">
      <c r="B690" s="1"/>
      <c r="C690" s="1"/>
    </row>
    <row r="691">
      <c r="B691" s="1"/>
      <c r="C691" s="1"/>
    </row>
    <row r="692">
      <c r="B692" s="1"/>
      <c r="C692" s="1"/>
    </row>
    <row r="693">
      <c r="B693" s="1"/>
      <c r="C693" s="1"/>
    </row>
    <row r="694">
      <c r="B694" s="1"/>
      <c r="C694" s="1"/>
    </row>
    <row r="695">
      <c r="B695" s="1"/>
      <c r="C695" s="1"/>
    </row>
    <row r="696">
      <c r="B696" s="1"/>
      <c r="C696" s="1"/>
    </row>
    <row r="697">
      <c r="B697" s="1"/>
      <c r="C697" s="1"/>
    </row>
    <row r="698">
      <c r="B698" s="1"/>
      <c r="C698" s="1"/>
    </row>
    <row r="699">
      <c r="B699" s="1"/>
      <c r="C699" s="1"/>
    </row>
    <row r="700">
      <c r="B700" s="1"/>
      <c r="C700" s="1"/>
    </row>
    <row r="701">
      <c r="B701" s="1"/>
      <c r="C701" s="1"/>
    </row>
    <row r="702">
      <c r="B702" s="1"/>
      <c r="C702" s="1"/>
    </row>
    <row r="703">
      <c r="B703" s="1"/>
      <c r="C703" s="1"/>
    </row>
    <row r="704">
      <c r="B704" s="1"/>
      <c r="C704" s="1"/>
    </row>
    <row r="705">
      <c r="B705" s="1"/>
      <c r="C705" s="1"/>
    </row>
    <row r="706">
      <c r="B706" s="1"/>
      <c r="C706" s="1"/>
    </row>
    <row r="707">
      <c r="B707" s="1"/>
      <c r="C707" s="1"/>
    </row>
    <row r="708">
      <c r="B708" s="1"/>
      <c r="C708" s="1"/>
    </row>
    <row r="709">
      <c r="B709" s="1"/>
      <c r="C709" s="1"/>
    </row>
    <row r="710">
      <c r="B710" s="1"/>
      <c r="C710" s="1"/>
    </row>
    <row r="711">
      <c r="B711" s="1"/>
      <c r="C711" s="1"/>
    </row>
    <row r="712">
      <c r="B712" s="1"/>
      <c r="C712" s="1"/>
    </row>
    <row r="713">
      <c r="B713" s="1"/>
      <c r="C713" s="1"/>
    </row>
    <row r="714">
      <c r="B714" s="1"/>
      <c r="C714" s="1"/>
    </row>
    <row r="715">
      <c r="B715" s="1"/>
      <c r="C715" s="1"/>
    </row>
    <row r="716">
      <c r="B716" s="1"/>
      <c r="C716" s="1"/>
    </row>
    <row r="717">
      <c r="B717" s="1"/>
      <c r="C717" s="1"/>
    </row>
    <row r="718">
      <c r="B718" s="1"/>
      <c r="C718" s="1"/>
    </row>
    <row r="719">
      <c r="B719" s="1"/>
      <c r="C719" s="1"/>
    </row>
    <row r="720">
      <c r="B720" s="1"/>
      <c r="C720" s="1"/>
    </row>
    <row r="721">
      <c r="B721" s="1"/>
      <c r="C721" s="1"/>
    </row>
    <row r="722">
      <c r="B722" s="1"/>
      <c r="C722" s="1"/>
    </row>
    <row r="723">
      <c r="B723" s="1"/>
      <c r="C723" s="1"/>
    </row>
    <row r="724">
      <c r="B724" s="1"/>
      <c r="C724" s="1"/>
    </row>
    <row r="725">
      <c r="B725" s="1"/>
      <c r="C725" s="1"/>
    </row>
    <row r="726">
      <c r="B726" s="1"/>
      <c r="C726" s="1"/>
    </row>
    <row r="727">
      <c r="B727" s="1"/>
      <c r="C727" s="1"/>
    </row>
    <row r="728">
      <c r="B728" s="1"/>
      <c r="C728" s="1"/>
    </row>
    <row r="729">
      <c r="B729" s="1"/>
      <c r="C729" s="1"/>
    </row>
    <row r="730">
      <c r="B730" s="1"/>
      <c r="C730" s="1"/>
    </row>
    <row r="731">
      <c r="B731" s="1"/>
      <c r="C731" s="1"/>
    </row>
    <row r="732">
      <c r="B732" s="1"/>
      <c r="C732" s="1"/>
    </row>
    <row r="733">
      <c r="B733" s="1"/>
      <c r="C733" s="1"/>
    </row>
    <row r="734">
      <c r="B734" s="1"/>
      <c r="C734" s="1"/>
    </row>
    <row r="735">
      <c r="B735" s="1"/>
      <c r="C735" s="1"/>
    </row>
    <row r="736">
      <c r="B736" s="1"/>
      <c r="C736" s="1"/>
    </row>
    <row r="737">
      <c r="B737" s="1"/>
      <c r="C737" s="1"/>
    </row>
    <row r="738">
      <c r="B738" s="1"/>
      <c r="C738" s="1"/>
    </row>
    <row r="739">
      <c r="B739" s="1"/>
      <c r="C739" s="1"/>
    </row>
    <row r="740">
      <c r="B740" s="1"/>
      <c r="C740" s="1"/>
    </row>
    <row r="741">
      <c r="B741" s="1"/>
      <c r="C741" s="1"/>
    </row>
    <row r="742">
      <c r="B742" s="1"/>
      <c r="C742" s="1"/>
    </row>
    <row r="743">
      <c r="B743" s="1"/>
      <c r="C743" s="1"/>
    </row>
    <row r="744">
      <c r="B744" s="1"/>
      <c r="C744" s="1"/>
    </row>
    <row r="745">
      <c r="B745" s="1"/>
      <c r="C745" s="1"/>
    </row>
    <row r="746">
      <c r="B746" s="1"/>
      <c r="C746" s="1"/>
    </row>
    <row r="747">
      <c r="B747" s="1"/>
      <c r="C747" s="1"/>
    </row>
    <row r="748">
      <c r="B748" s="1"/>
      <c r="C748" s="1"/>
    </row>
    <row r="749">
      <c r="B749" s="1"/>
      <c r="C749" s="1"/>
    </row>
    <row r="750">
      <c r="B750" s="1"/>
      <c r="C750" s="1"/>
    </row>
    <row r="751">
      <c r="B751" s="1"/>
      <c r="C751" s="1"/>
    </row>
    <row r="752">
      <c r="B752" s="1"/>
      <c r="C752" s="1"/>
    </row>
    <row r="753">
      <c r="B753" s="1"/>
      <c r="C753" s="1"/>
    </row>
    <row r="754">
      <c r="B754" s="1"/>
      <c r="C754" s="1"/>
    </row>
    <row r="755">
      <c r="B755" s="1"/>
      <c r="C755" s="1"/>
    </row>
    <row r="756">
      <c r="B756" s="1"/>
      <c r="C756" s="1"/>
    </row>
    <row r="757">
      <c r="B757" s="1"/>
      <c r="C757" s="1"/>
    </row>
    <row r="758">
      <c r="B758" s="1"/>
      <c r="C758" s="1"/>
    </row>
    <row r="759">
      <c r="B759" s="1"/>
      <c r="C759" s="1"/>
    </row>
    <row r="760">
      <c r="B760" s="1"/>
      <c r="C760" s="1"/>
    </row>
    <row r="761">
      <c r="B761" s="1"/>
      <c r="C761" s="1"/>
    </row>
    <row r="762">
      <c r="B762" s="1"/>
      <c r="C762" s="1"/>
    </row>
    <row r="763">
      <c r="B763" s="1"/>
      <c r="C763" s="1"/>
    </row>
    <row r="764">
      <c r="B764" s="1"/>
      <c r="C764" s="1"/>
    </row>
    <row r="765">
      <c r="B765" s="1"/>
      <c r="C765" s="1"/>
    </row>
    <row r="766">
      <c r="B766" s="1"/>
      <c r="C766" s="1"/>
    </row>
    <row r="767">
      <c r="B767" s="1"/>
      <c r="C767" s="1"/>
    </row>
    <row r="768">
      <c r="B768" s="1"/>
      <c r="C768" s="1"/>
    </row>
    <row r="769">
      <c r="B769" s="1"/>
      <c r="C769" s="1"/>
    </row>
    <row r="770">
      <c r="B770" s="1"/>
      <c r="C770" s="1"/>
    </row>
    <row r="771">
      <c r="B771" s="1"/>
      <c r="C771" s="1"/>
    </row>
    <row r="772">
      <c r="B772" s="1"/>
      <c r="C772" s="1"/>
    </row>
    <row r="773">
      <c r="B773" s="1"/>
      <c r="C773" s="1"/>
    </row>
    <row r="774">
      <c r="B774" s="1"/>
      <c r="C774" s="1"/>
    </row>
    <row r="775">
      <c r="B775" s="1"/>
      <c r="C775" s="1"/>
    </row>
    <row r="776">
      <c r="B776" s="1"/>
      <c r="C776" s="1"/>
    </row>
    <row r="777">
      <c r="B777" s="1"/>
      <c r="C777" s="1"/>
    </row>
    <row r="778">
      <c r="B778" s="1"/>
      <c r="C778" s="1"/>
    </row>
    <row r="779">
      <c r="B779" s="1"/>
      <c r="C779" s="1"/>
    </row>
    <row r="780">
      <c r="B780" s="1"/>
      <c r="C780" s="1"/>
    </row>
    <row r="781">
      <c r="B781" s="1"/>
      <c r="C781" s="1"/>
    </row>
    <row r="782">
      <c r="B782" s="1"/>
      <c r="C782" s="1"/>
    </row>
    <row r="783">
      <c r="B783" s="1"/>
      <c r="C783" s="1"/>
    </row>
    <row r="784">
      <c r="B784" s="1"/>
      <c r="C784" s="1"/>
    </row>
    <row r="785">
      <c r="B785" s="1"/>
      <c r="C785" s="1"/>
    </row>
    <row r="786">
      <c r="B786" s="1"/>
      <c r="C786" s="1"/>
    </row>
    <row r="787">
      <c r="B787" s="1"/>
      <c r="C787" s="1"/>
    </row>
    <row r="788">
      <c r="B788" s="1"/>
      <c r="C788" s="1"/>
    </row>
    <row r="789">
      <c r="B789" s="1"/>
      <c r="C789" s="1"/>
    </row>
    <row r="790">
      <c r="B790" s="1"/>
      <c r="C790" s="1"/>
    </row>
    <row r="791">
      <c r="B791" s="1"/>
      <c r="C791" s="1"/>
    </row>
    <row r="792">
      <c r="B792" s="1"/>
      <c r="C792" s="1"/>
    </row>
    <row r="793">
      <c r="B793" s="1"/>
      <c r="C793" s="1"/>
    </row>
    <row r="794">
      <c r="B794" s="1"/>
      <c r="C794" s="1"/>
    </row>
    <row r="795">
      <c r="B795" s="1"/>
      <c r="C795" s="1"/>
    </row>
    <row r="796">
      <c r="B796" s="1"/>
      <c r="C796" s="1"/>
    </row>
    <row r="797">
      <c r="B797" s="1"/>
      <c r="C797" s="1"/>
    </row>
    <row r="798">
      <c r="B798" s="1"/>
      <c r="C798" s="1"/>
    </row>
    <row r="799">
      <c r="B799" s="1"/>
      <c r="C799" s="1"/>
    </row>
    <row r="800">
      <c r="B800" s="1"/>
      <c r="C800" s="1"/>
    </row>
    <row r="801">
      <c r="B801" s="1"/>
      <c r="C801" s="1"/>
    </row>
    <row r="802">
      <c r="B802" s="1"/>
      <c r="C802" s="1"/>
    </row>
    <row r="803">
      <c r="B803" s="1"/>
      <c r="C803" s="1"/>
    </row>
    <row r="804">
      <c r="B804" s="1"/>
      <c r="C804" s="1"/>
    </row>
    <row r="805">
      <c r="B805" s="1"/>
      <c r="C805" s="1"/>
    </row>
    <row r="806">
      <c r="B806" s="1"/>
      <c r="C806" s="1"/>
    </row>
    <row r="807">
      <c r="B807" s="1"/>
      <c r="C807" s="1"/>
    </row>
    <row r="808">
      <c r="B808" s="1"/>
      <c r="C808" s="1"/>
    </row>
    <row r="809">
      <c r="B809" s="1"/>
      <c r="C809" s="1"/>
    </row>
    <row r="810">
      <c r="B810" s="1"/>
      <c r="C810" s="1"/>
    </row>
    <row r="811">
      <c r="B811" s="1"/>
      <c r="C811" s="1"/>
    </row>
    <row r="812">
      <c r="B812" s="1"/>
      <c r="C812" s="1"/>
    </row>
    <row r="813">
      <c r="B813" s="1"/>
      <c r="C813" s="1"/>
    </row>
    <row r="814">
      <c r="B814" s="1"/>
      <c r="C814" s="1"/>
    </row>
    <row r="815">
      <c r="B815" s="1"/>
      <c r="C815" s="1"/>
    </row>
    <row r="816">
      <c r="B816" s="1"/>
      <c r="C816" s="1"/>
    </row>
    <row r="817">
      <c r="B817" s="1"/>
      <c r="C817" s="1"/>
    </row>
    <row r="818">
      <c r="B818" s="1"/>
      <c r="C818" s="1"/>
    </row>
    <row r="819">
      <c r="B819" s="1"/>
      <c r="C819" s="1"/>
    </row>
    <row r="820">
      <c r="B820" s="1"/>
      <c r="C820" s="1"/>
    </row>
    <row r="821">
      <c r="B821" s="1"/>
      <c r="C821" s="1"/>
    </row>
    <row r="822">
      <c r="B822" s="1"/>
      <c r="C822" s="1"/>
    </row>
    <row r="823">
      <c r="B823" s="1"/>
      <c r="C823" s="1"/>
    </row>
    <row r="824">
      <c r="B824" s="1"/>
      <c r="C824" s="1"/>
    </row>
    <row r="825">
      <c r="B825" s="1"/>
      <c r="C825" s="1"/>
    </row>
    <row r="826">
      <c r="B826" s="1"/>
      <c r="C826" s="1"/>
    </row>
    <row r="827">
      <c r="B827" s="1"/>
      <c r="C827" s="1"/>
    </row>
    <row r="828">
      <c r="B828" s="1"/>
      <c r="C828" s="1"/>
    </row>
    <row r="829">
      <c r="B829" s="1"/>
      <c r="C829" s="1"/>
    </row>
    <row r="830">
      <c r="B830" s="1"/>
      <c r="C830" s="1"/>
    </row>
    <row r="831">
      <c r="B831" s="1"/>
      <c r="C831" s="1"/>
    </row>
    <row r="832">
      <c r="B832" s="1"/>
      <c r="C832" s="1"/>
    </row>
    <row r="833">
      <c r="B833" s="1"/>
      <c r="C833" s="1"/>
    </row>
    <row r="834">
      <c r="B834" s="1"/>
      <c r="C834" s="1"/>
    </row>
    <row r="835">
      <c r="B835" s="1"/>
      <c r="C835" s="1"/>
    </row>
    <row r="836">
      <c r="B836" s="1"/>
      <c r="C836" s="1"/>
    </row>
    <row r="837">
      <c r="B837" s="1"/>
      <c r="C837" s="1"/>
    </row>
    <row r="838">
      <c r="B838" s="1"/>
      <c r="C838" s="1"/>
    </row>
    <row r="839">
      <c r="B839" s="1"/>
      <c r="C839" s="1"/>
    </row>
    <row r="840">
      <c r="B840" s="1"/>
      <c r="C840" s="1"/>
    </row>
    <row r="841">
      <c r="B841" s="1"/>
      <c r="C841" s="1"/>
    </row>
    <row r="842">
      <c r="B842" s="1"/>
      <c r="C842" s="1"/>
    </row>
    <row r="843">
      <c r="B843" s="1"/>
      <c r="C843" s="1"/>
    </row>
    <row r="844">
      <c r="B844" s="1"/>
      <c r="C844" s="1"/>
    </row>
    <row r="845">
      <c r="B845" s="1"/>
      <c r="C845" s="1"/>
    </row>
    <row r="846">
      <c r="B846" s="1"/>
      <c r="C846" s="1"/>
    </row>
    <row r="847">
      <c r="B847" s="1"/>
      <c r="C847" s="1"/>
    </row>
    <row r="848">
      <c r="B848" s="1"/>
      <c r="C848" s="1"/>
    </row>
    <row r="849">
      <c r="B849" s="1"/>
      <c r="C849" s="1"/>
    </row>
    <row r="850">
      <c r="B850" s="1"/>
      <c r="C850" s="1"/>
    </row>
    <row r="851">
      <c r="B851" s="1"/>
      <c r="C851" s="1"/>
    </row>
    <row r="852">
      <c r="B852" s="1"/>
      <c r="C852" s="1"/>
    </row>
    <row r="853">
      <c r="B853" s="1"/>
      <c r="C853" s="1"/>
    </row>
    <row r="854">
      <c r="B854" s="1"/>
      <c r="C854" s="1"/>
    </row>
    <row r="855">
      <c r="B855" s="1"/>
      <c r="C855" s="1"/>
    </row>
    <row r="856">
      <c r="B856" s="1"/>
      <c r="C856" s="1"/>
    </row>
    <row r="857">
      <c r="B857" s="1"/>
      <c r="C857" s="1"/>
    </row>
    <row r="858">
      <c r="B858" s="1"/>
      <c r="C858" s="1"/>
    </row>
    <row r="859">
      <c r="B859" s="1"/>
      <c r="C859" s="1"/>
    </row>
    <row r="860">
      <c r="B860" s="1"/>
      <c r="C860" s="1"/>
    </row>
    <row r="861">
      <c r="B861" s="1"/>
      <c r="C861" s="1"/>
    </row>
    <row r="862">
      <c r="B862" s="1"/>
      <c r="C862" s="1"/>
    </row>
    <row r="863">
      <c r="B863" s="1"/>
      <c r="C863" s="1"/>
    </row>
    <row r="864">
      <c r="B864" s="1"/>
      <c r="C864" s="1"/>
    </row>
    <row r="865">
      <c r="B865" s="1"/>
      <c r="C865" s="1"/>
    </row>
    <row r="866">
      <c r="B866" s="1"/>
      <c r="C866" s="1"/>
    </row>
    <row r="867">
      <c r="B867" s="1"/>
      <c r="C867" s="1"/>
    </row>
    <row r="868">
      <c r="B868" s="1"/>
      <c r="C868" s="1"/>
    </row>
    <row r="869">
      <c r="B869" s="1"/>
      <c r="C869" s="1"/>
    </row>
    <row r="870">
      <c r="B870" s="1"/>
      <c r="C870" s="1"/>
    </row>
    <row r="871">
      <c r="B871" s="1"/>
      <c r="C871" s="1"/>
    </row>
    <row r="872">
      <c r="B872" s="1"/>
      <c r="C872" s="1"/>
    </row>
    <row r="873">
      <c r="B873" s="1"/>
      <c r="C873" s="1"/>
    </row>
    <row r="874">
      <c r="B874" s="1"/>
      <c r="C874" s="1"/>
    </row>
    <row r="875">
      <c r="B875" s="1"/>
      <c r="C875" s="1"/>
    </row>
    <row r="876">
      <c r="B876" s="1"/>
      <c r="C876" s="1"/>
    </row>
    <row r="877">
      <c r="B877" s="1"/>
      <c r="C877" s="1"/>
    </row>
    <row r="878">
      <c r="B878" s="1"/>
      <c r="C878" s="1"/>
    </row>
    <row r="879">
      <c r="B879" s="1"/>
      <c r="C879" s="1"/>
    </row>
    <row r="880">
      <c r="B880" s="1"/>
      <c r="C880" s="1"/>
    </row>
    <row r="881">
      <c r="B881" s="1"/>
      <c r="C881" s="1"/>
    </row>
    <row r="882">
      <c r="B882" s="1"/>
      <c r="C882" s="1"/>
    </row>
    <row r="883">
      <c r="B883" s="1"/>
      <c r="C883" s="1"/>
    </row>
    <row r="884">
      <c r="B884" s="1"/>
      <c r="C884" s="1"/>
    </row>
    <row r="885">
      <c r="B885" s="1"/>
      <c r="C885" s="1"/>
    </row>
    <row r="886">
      <c r="B886" s="1"/>
      <c r="C886" s="1"/>
    </row>
    <row r="887">
      <c r="B887" s="1"/>
      <c r="C887" s="1"/>
    </row>
    <row r="888">
      <c r="B888" s="1"/>
      <c r="C888" s="1"/>
    </row>
    <row r="889">
      <c r="B889" s="1"/>
      <c r="C889" s="1"/>
    </row>
    <row r="890">
      <c r="B890" s="1"/>
      <c r="C890" s="1"/>
    </row>
    <row r="891">
      <c r="B891" s="1"/>
      <c r="C891" s="1"/>
    </row>
    <row r="892">
      <c r="B892" s="1"/>
      <c r="C892" s="1"/>
    </row>
    <row r="893">
      <c r="B893" s="1"/>
      <c r="C893" s="1"/>
    </row>
    <row r="894">
      <c r="B894" s="1"/>
      <c r="C894" s="1"/>
    </row>
    <row r="895">
      <c r="B895" s="1"/>
      <c r="C895" s="1"/>
    </row>
    <row r="896">
      <c r="B896" s="1"/>
      <c r="C896" s="1"/>
    </row>
    <row r="897">
      <c r="B897" s="1"/>
      <c r="C897" s="1"/>
    </row>
    <row r="898">
      <c r="B898" s="1"/>
      <c r="C898" s="1"/>
    </row>
    <row r="899">
      <c r="B899" s="1"/>
      <c r="C899" s="1"/>
    </row>
    <row r="900">
      <c r="B900" s="1"/>
      <c r="C900" s="1"/>
    </row>
    <row r="901">
      <c r="B901" s="1"/>
      <c r="C901" s="1"/>
    </row>
    <row r="902">
      <c r="B902" s="1"/>
      <c r="C902" s="1"/>
    </row>
    <row r="903">
      <c r="B903" s="1"/>
      <c r="C903" s="1"/>
    </row>
    <row r="904">
      <c r="B904" s="1"/>
      <c r="C904" s="1"/>
    </row>
    <row r="905">
      <c r="B905" s="1"/>
      <c r="C905" s="1"/>
    </row>
    <row r="906">
      <c r="B906" s="1"/>
      <c r="C906" s="1"/>
    </row>
    <row r="907">
      <c r="B907" s="1"/>
      <c r="C907" s="1"/>
    </row>
    <row r="908">
      <c r="B908" s="1"/>
      <c r="C908" s="1"/>
    </row>
    <row r="909">
      <c r="B909" s="1"/>
      <c r="C909" s="1"/>
    </row>
    <row r="910">
      <c r="B910" s="1"/>
      <c r="C910" s="1"/>
    </row>
    <row r="911">
      <c r="B911" s="1"/>
      <c r="C911" s="1"/>
    </row>
    <row r="912">
      <c r="B912" s="1"/>
      <c r="C912" s="1"/>
    </row>
    <row r="913">
      <c r="B913" s="1"/>
      <c r="C913" s="1"/>
    </row>
    <row r="914">
      <c r="B914" s="1"/>
      <c r="C914" s="1"/>
    </row>
    <row r="915">
      <c r="B915" s="1"/>
      <c r="C915" s="1"/>
    </row>
    <row r="916">
      <c r="B916" s="1"/>
      <c r="C916" s="1"/>
    </row>
    <row r="917">
      <c r="B917" s="1"/>
      <c r="C917" s="1"/>
    </row>
    <row r="918">
      <c r="B918" s="1"/>
      <c r="C918" s="1"/>
    </row>
    <row r="919">
      <c r="B919" s="1"/>
      <c r="C919" s="1"/>
    </row>
    <row r="920">
      <c r="B920" s="1"/>
      <c r="C920" s="1"/>
    </row>
    <row r="921">
      <c r="B921" s="1"/>
      <c r="C921" s="1"/>
    </row>
    <row r="922">
      <c r="B922" s="1"/>
      <c r="C922" s="1"/>
    </row>
    <row r="923">
      <c r="B923" s="1"/>
      <c r="C923" s="1"/>
    </row>
    <row r="924">
      <c r="B924" s="1"/>
      <c r="C924" s="1"/>
    </row>
    <row r="925">
      <c r="B925" s="1"/>
      <c r="C925" s="1"/>
    </row>
    <row r="926">
      <c r="B926" s="1"/>
      <c r="C926" s="1"/>
    </row>
    <row r="927">
      <c r="B927" s="1"/>
      <c r="C927" s="1"/>
    </row>
    <row r="928">
      <c r="B928" s="1"/>
      <c r="C928" s="1"/>
    </row>
    <row r="929">
      <c r="B929" s="1"/>
      <c r="C929" s="1"/>
    </row>
    <row r="930">
      <c r="B930" s="1"/>
      <c r="C930" s="1"/>
    </row>
    <row r="931">
      <c r="B931" s="1"/>
      <c r="C931" s="1"/>
    </row>
    <row r="932">
      <c r="B932" s="1"/>
      <c r="C932" s="1"/>
    </row>
    <row r="933">
      <c r="B933" s="1"/>
      <c r="C933" s="1"/>
    </row>
    <row r="934">
      <c r="B934" s="1"/>
      <c r="C934" s="1"/>
    </row>
    <row r="935">
      <c r="B935" s="1"/>
      <c r="C935" s="1"/>
    </row>
    <row r="936">
      <c r="B936" s="1"/>
      <c r="C936" s="1"/>
    </row>
    <row r="937">
      <c r="B937" s="1"/>
      <c r="C937" s="1"/>
    </row>
    <row r="938">
      <c r="B938" s="1"/>
      <c r="C938" s="1"/>
    </row>
    <row r="939">
      <c r="B939" s="1"/>
      <c r="C939" s="1"/>
    </row>
    <row r="940">
      <c r="B940" s="1"/>
      <c r="C940" s="1"/>
    </row>
    <row r="941">
      <c r="B941" s="1"/>
      <c r="C941" s="1"/>
    </row>
    <row r="942">
      <c r="B942" s="1"/>
      <c r="C942" s="1"/>
    </row>
    <row r="943">
      <c r="B943" s="1"/>
      <c r="C943" s="1"/>
    </row>
    <row r="944">
      <c r="B944" s="1"/>
      <c r="C944" s="1"/>
    </row>
    <row r="945">
      <c r="B945" s="1"/>
      <c r="C945" s="1"/>
    </row>
    <row r="946">
      <c r="B946" s="1"/>
      <c r="C946" s="1"/>
    </row>
    <row r="947">
      <c r="B947" s="1"/>
      <c r="C947" s="1"/>
    </row>
    <row r="948">
      <c r="B948" s="1"/>
      <c r="C948" s="1"/>
    </row>
    <row r="949">
      <c r="B949" s="1"/>
      <c r="C949" s="1"/>
    </row>
    <row r="950">
      <c r="B950" s="1"/>
      <c r="C950" s="1"/>
    </row>
    <row r="951">
      <c r="B951" s="1"/>
      <c r="C951" s="1"/>
    </row>
    <row r="952">
      <c r="B952" s="1"/>
      <c r="C952" s="1"/>
    </row>
    <row r="953">
      <c r="B953" s="1"/>
      <c r="C953" s="1"/>
    </row>
    <row r="954">
      <c r="B954" s="1"/>
      <c r="C954" s="1"/>
    </row>
    <row r="955">
      <c r="B955" s="1"/>
      <c r="C955" s="1"/>
    </row>
    <row r="956">
      <c r="B956" s="1"/>
      <c r="C956" s="1"/>
    </row>
    <row r="957">
      <c r="B957" s="1"/>
      <c r="C957" s="1"/>
    </row>
    <row r="958">
      <c r="B958" s="1"/>
      <c r="C958" s="1"/>
    </row>
    <row r="959">
      <c r="B959" s="1"/>
      <c r="C959" s="1"/>
    </row>
    <row r="960">
      <c r="B960" s="1"/>
      <c r="C960" s="1"/>
    </row>
    <row r="961">
      <c r="B961" s="1"/>
      <c r="C961" s="1"/>
    </row>
    <row r="962">
      <c r="B962" s="1"/>
      <c r="C962" s="1"/>
    </row>
    <row r="963">
      <c r="B963" s="1"/>
      <c r="C963" s="1"/>
    </row>
    <row r="964">
      <c r="B964" s="1"/>
      <c r="C964" s="1"/>
    </row>
    <row r="965">
      <c r="B965" s="1"/>
      <c r="C965" s="1"/>
    </row>
    <row r="966">
      <c r="B966" s="1"/>
      <c r="C966" s="1"/>
    </row>
    <row r="967">
      <c r="B967" s="1"/>
      <c r="C967" s="1"/>
    </row>
    <row r="968">
      <c r="B968" s="1"/>
      <c r="C968" s="1"/>
    </row>
    <row r="969">
      <c r="B969" s="1"/>
      <c r="C969" s="1"/>
    </row>
    <row r="970">
      <c r="B970" s="1"/>
      <c r="C970" s="1"/>
    </row>
    <row r="971">
      <c r="B971" s="1"/>
      <c r="C971" s="1"/>
    </row>
    <row r="972">
      <c r="B972" s="1"/>
      <c r="C972" s="1"/>
    </row>
    <row r="973">
      <c r="B973" s="1"/>
      <c r="C973" s="1"/>
    </row>
    <row r="974">
      <c r="B974" s="1"/>
      <c r="C974" s="1"/>
    </row>
    <row r="975">
      <c r="B975" s="1"/>
      <c r="C975" s="1"/>
    </row>
    <row r="976">
      <c r="B976" s="1"/>
      <c r="C976" s="1"/>
    </row>
    <row r="977">
      <c r="B977" s="1"/>
      <c r="C977" s="1"/>
    </row>
    <row r="978">
      <c r="B978" s="1"/>
      <c r="C978" s="1"/>
    </row>
    <row r="979">
      <c r="B979" s="1"/>
      <c r="C979" s="1"/>
    </row>
    <row r="980">
      <c r="B980" s="1"/>
      <c r="C980" s="1"/>
    </row>
    <row r="981">
      <c r="B981" s="1"/>
      <c r="C981" s="1"/>
    </row>
    <row r="982">
      <c r="B982" s="1"/>
      <c r="C982" s="1"/>
    </row>
    <row r="983">
      <c r="B983" s="1"/>
      <c r="C983" s="1"/>
    </row>
    <row r="984">
      <c r="B984" s="1"/>
      <c r="C984" s="1"/>
    </row>
    <row r="985">
      <c r="B985" s="1"/>
      <c r="C985" s="1"/>
    </row>
    <row r="986">
      <c r="B986" s="1"/>
      <c r="C986" s="1"/>
    </row>
    <row r="987">
      <c r="B987" s="1"/>
      <c r="C987" s="1"/>
    </row>
    <row r="988">
      <c r="B988" s="1"/>
      <c r="C988" s="1"/>
    </row>
    <row r="989">
      <c r="B989" s="1"/>
      <c r="C989" s="1"/>
    </row>
    <row r="990">
      <c r="B990" s="1"/>
      <c r="C990" s="1"/>
    </row>
    <row r="991">
      <c r="B991" s="1"/>
      <c r="C991" s="1"/>
    </row>
    <row r="992">
      <c r="B992" s="1"/>
      <c r="C992" s="1"/>
    </row>
    <row r="993">
      <c r="B993" s="1"/>
      <c r="C993" s="1"/>
    </row>
    <row r="994">
      <c r="B994" s="1"/>
      <c r="C994" s="1"/>
    </row>
    <row r="995">
      <c r="B995" s="1"/>
      <c r="C995" s="1"/>
    </row>
    <row r="996">
      <c r="B996" s="1"/>
      <c r="C996" s="1"/>
    </row>
    <row r="997">
      <c r="B997" s="1"/>
      <c r="C997" s="1"/>
    </row>
    <row r="998">
      <c r="B998" s="1"/>
      <c r="C998" s="1"/>
    </row>
    <row r="999">
      <c r="B999" s="1"/>
      <c r="C999" s="1"/>
    </row>
    <row r="1000">
      <c r="B1000" s="1"/>
      <c r="C1000" s="1"/>
    </row>
  </sheetData>
  <dataValidations>
    <dataValidation type="list" allowBlank="1" sqref="C2:C1000">
      <formula1>Worlds!$A$2:$A1000</formula1>
    </dataValidation>
    <dataValidation type="list" allowBlank="1" sqref="B2:B1000">
      <formula1>SelectedWorldRegions!$A$1:$A1000</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5.5"/>
  </cols>
  <sheetData>
    <row r="1">
      <c r="A1" s="128" t="s">
        <v>106</v>
      </c>
      <c r="B1" s="128" t="s">
        <v>55</v>
      </c>
      <c r="C1" s="128" t="s">
        <v>56</v>
      </c>
    </row>
    <row r="2">
      <c r="A2" s="107" t="s">
        <v>107</v>
      </c>
      <c r="B2" s="107" t="s">
        <v>39</v>
      </c>
      <c r="C2" s="107" t="s">
        <v>34</v>
      </c>
    </row>
    <row r="3">
      <c r="A3" s="107" t="s">
        <v>108</v>
      </c>
      <c r="B3" s="107" t="s">
        <v>39</v>
      </c>
      <c r="C3" s="107" t="s">
        <v>34</v>
      </c>
    </row>
    <row r="4">
      <c r="A4" s="107" t="s">
        <v>108</v>
      </c>
      <c r="B4" s="107" t="s">
        <v>39</v>
      </c>
      <c r="C4" s="107" t="s">
        <v>63</v>
      </c>
    </row>
    <row r="5">
      <c r="A5" s="107" t="s">
        <v>109</v>
      </c>
      <c r="B5" s="107" t="s">
        <v>39</v>
      </c>
      <c r="C5" s="107" t="s">
        <v>34</v>
      </c>
    </row>
    <row r="6">
      <c r="A6" s="107" t="s">
        <v>109</v>
      </c>
      <c r="B6" s="107" t="s">
        <v>39</v>
      </c>
      <c r="C6" s="107" t="s">
        <v>34</v>
      </c>
    </row>
    <row r="7">
      <c r="A7" s="107" t="s">
        <v>109</v>
      </c>
      <c r="B7" s="107" t="s">
        <v>39</v>
      </c>
      <c r="C7" s="107" t="s">
        <v>34</v>
      </c>
    </row>
    <row r="8">
      <c r="A8" s="107" t="s">
        <v>109</v>
      </c>
      <c r="B8" s="107" t="s">
        <v>39</v>
      </c>
      <c r="C8" s="107" t="s">
        <v>110</v>
      </c>
    </row>
    <row r="9">
      <c r="A9" s="107" t="s">
        <v>109</v>
      </c>
      <c r="B9" s="107" t="s">
        <v>39</v>
      </c>
      <c r="C9" s="107" t="s">
        <v>111</v>
      </c>
    </row>
    <row r="10">
      <c r="A10" s="107" t="s">
        <v>109</v>
      </c>
      <c r="B10" s="107" t="s">
        <v>39</v>
      </c>
      <c r="C10" s="107" t="s">
        <v>63</v>
      </c>
    </row>
    <row r="11">
      <c r="A11" s="107" t="s">
        <v>109</v>
      </c>
      <c r="B11" s="107" t="s">
        <v>39</v>
      </c>
      <c r="C11" s="107" t="s">
        <v>61</v>
      </c>
    </row>
    <row r="12">
      <c r="A12" s="107" t="s">
        <v>109</v>
      </c>
      <c r="B12" s="107" t="s">
        <v>39</v>
      </c>
      <c r="C12" s="107" t="s">
        <v>62</v>
      </c>
    </row>
    <row r="13">
      <c r="A13" s="107" t="s">
        <v>112</v>
      </c>
      <c r="B13" s="107" t="s">
        <v>39</v>
      </c>
      <c r="C13" s="107" t="s">
        <v>34</v>
      </c>
    </row>
    <row r="14">
      <c r="A14" s="107" t="s">
        <v>112</v>
      </c>
      <c r="B14" s="107" t="s">
        <v>39</v>
      </c>
      <c r="C14" s="107" t="s">
        <v>63</v>
      </c>
    </row>
    <row r="15">
      <c r="A15" s="107" t="s">
        <v>113</v>
      </c>
      <c r="B15" s="107" t="s">
        <v>39</v>
      </c>
      <c r="C15" s="107" t="s">
        <v>34</v>
      </c>
    </row>
    <row r="16">
      <c r="A16" s="107" t="s">
        <v>114</v>
      </c>
      <c r="B16" s="107" t="s">
        <v>39</v>
      </c>
      <c r="C16" s="107" t="s">
        <v>34</v>
      </c>
    </row>
    <row r="17">
      <c r="A17" s="107" t="s">
        <v>115</v>
      </c>
      <c r="B17" s="107" t="s">
        <v>39</v>
      </c>
      <c r="C17" s="107" t="s">
        <v>34</v>
      </c>
    </row>
    <row r="18">
      <c r="A18" s="1" t="s">
        <v>113</v>
      </c>
      <c r="B18" s="1" t="s">
        <v>39</v>
      </c>
      <c r="C18" s="1" t="s">
        <v>61</v>
      </c>
    </row>
    <row r="19">
      <c r="A19" s="1" t="s">
        <v>114</v>
      </c>
      <c r="B19" s="1" t="s">
        <v>39</v>
      </c>
      <c r="C19" s="1" t="s">
        <v>61</v>
      </c>
    </row>
    <row r="20">
      <c r="A20" s="1" t="s">
        <v>115</v>
      </c>
      <c r="B20" s="1" t="s">
        <v>39</v>
      </c>
      <c r="C20" s="1" t="s">
        <v>61</v>
      </c>
    </row>
    <row r="21">
      <c r="A21" s="1" t="s">
        <v>113</v>
      </c>
      <c r="B21" s="1" t="s">
        <v>39</v>
      </c>
      <c r="C21" s="1" t="s">
        <v>62</v>
      </c>
    </row>
    <row r="22">
      <c r="A22" s="1" t="s">
        <v>114</v>
      </c>
      <c r="B22" s="1" t="s">
        <v>39</v>
      </c>
      <c r="C22" s="1" t="s">
        <v>62</v>
      </c>
    </row>
    <row r="23">
      <c r="A23" s="1" t="s">
        <v>115</v>
      </c>
      <c r="B23" s="1" t="s">
        <v>39</v>
      </c>
      <c r="C23" s="1" t="s">
        <v>62</v>
      </c>
    </row>
    <row r="24">
      <c r="B24" s="1"/>
      <c r="C24" s="1"/>
    </row>
    <row r="25">
      <c r="A25" s="1" t="s">
        <v>113</v>
      </c>
      <c r="B25" s="1" t="s">
        <v>39</v>
      </c>
      <c r="C25" s="1" t="s">
        <v>63</v>
      </c>
    </row>
    <row r="26">
      <c r="A26" s="1" t="s">
        <v>114</v>
      </c>
      <c r="B26" s="1" t="s">
        <v>39</v>
      </c>
      <c r="C26" s="1" t="s">
        <v>63</v>
      </c>
    </row>
    <row r="27">
      <c r="A27" s="1" t="s">
        <v>115</v>
      </c>
      <c r="B27" s="1" t="s">
        <v>39</v>
      </c>
      <c r="C27" s="1" t="s">
        <v>63</v>
      </c>
    </row>
    <row r="28">
      <c r="A28" s="107" t="s">
        <v>116</v>
      </c>
      <c r="B28" s="1" t="s">
        <v>39</v>
      </c>
      <c r="C28" s="107" t="s">
        <v>34</v>
      </c>
    </row>
    <row r="29">
      <c r="A29" s="107" t="s">
        <v>117</v>
      </c>
      <c r="B29" s="1" t="s">
        <v>39</v>
      </c>
      <c r="C29" s="107" t="s">
        <v>63</v>
      </c>
    </row>
    <row r="30">
      <c r="A30" s="107" t="s">
        <v>118</v>
      </c>
      <c r="B30" s="107" t="s">
        <v>39</v>
      </c>
      <c r="C30" s="107" t="s">
        <v>34</v>
      </c>
    </row>
    <row r="31">
      <c r="A31" s="107" t="s">
        <v>118</v>
      </c>
      <c r="B31" s="107" t="s">
        <v>39</v>
      </c>
      <c r="C31" s="107" t="s">
        <v>63</v>
      </c>
    </row>
    <row r="32">
      <c r="A32" s="107" t="s">
        <v>119</v>
      </c>
      <c r="B32" s="107" t="s">
        <v>39</v>
      </c>
      <c r="C32" s="107" t="s">
        <v>34</v>
      </c>
    </row>
    <row r="33">
      <c r="A33" s="107" t="s">
        <v>120</v>
      </c>
      <c r="B33" s="107" t="s">
        <v>39</v>
      </c>
      <c r="C33" s="107" t="s">
        <v>63</v>
      </c>
    </row>
    <row r="34">
      <c r="A34" s="107" t="s">
        <v>121</v>
      </c>
      <c r="B34" s="107" t="s">
        <v>39</v>
      </c>
      <c r="C34" s="107" t="s">
        <v>61</v>
      </c>
    </row>
    <row r="35">
      <c r="A35" s="107" t="s">
        <v>122</v>
      </c>
      <c r="B35" s="107" t="s">
        <v>39</v>
      </c>
      <c r="C35" s="107" t="s">
        <v>62</v>
      </c>
    </row>
    <row r="36">
      <c r="A36" s="107" t="s">
        <v>123</v>
      </c>
      <c r="B36" s="1"/>
      <c r="C36" s="107" t="s">
        <v>34</v>
      </c>
    </row>
    <row r="37">
      <c r="B37" s="1"/>
      <c r="C37" s="1"/>
    </row>
    <row r="38">
      <c r="B38" s="1"/>
      <c r="C38" s="1"/>
    </row>
    <row r="39">
      <c r="B39" s="1"/>
      <c r="C39" s="1"/>
    </row>
    <row r="40">
      <c r="B40" s="1"/>
      <c r="C40" s="1"/>
    </row>
    <row r="41">
      <c r="B41" s="1"/>
      <c r="C41" s="1"/>
    </row>
    <row r="42">
      <c r="B42" s="1"/>
      <c r="C42" s="1"/>
    </row>
    <row r="43">
      <c r="B43" s="1"/>
      <c r="C43" s="1"/>
    </row>
    <row r="44">
      <c r="B44" s="1"/>
      <c r="C44" s="1"/>
    </row>
    <row r="45">
      <c r="B45" s="1"/>
      <c r="C45" s="1"/>
    </row>
    <row r="46">
      <c r="B46" s="1"/>
      <c r="C46" s="1"/>
    </row>
    <row r="47">
      <c r="B47" s="1"/>
      <c r="C47" s="1"/>
    </row>
    <row r="48">
      <c r="B48" s="1"/>
      <c r="C48" s="1"/>
    </row>
    <row r="49">
      <c r="B49" s="1"/>
      <c r="C49" s="1"/>
    </row>
    <row r="50">
      <c r="B50" s="1"/>
      <c r="C50" s="1"/>
    </row>
    <row r="51">
      <c r="B51" s="1"/>
      <c r="C51" s="1"/>
    </row>
    <row r="52">
      <c r="B52" s="1"/>
      <c r="C52" s="1"/>
    </row>
    <row r="53">
      <c r="B53" s="1"/>
      <c r="C53" s="1"/>
    </row>
    <row r="54">
      <c r="B54" s="1"/>
      <c r="C54" s="1"/>
    </row>
    <row r="55">
      <c r="B55" s="1"/>
      <c r="C55" s="1"/>
    </row>
    <row r="56">
      <c r="B56" s="1"/>
      <c r="C56" s="1"/>
    </row>
    <row r="57">
      <c r="B57" s="1"/>
      <c r="C57" s="1"/>
    </row>
    <row r="58">
      <c r="B58" s="1"/>
      <c r="C58" s="1"/>
    </row>
    <row r="59">
      <c r="B59" s="1"/>
      <c r="C59" s="1"/>
    </row>
    <row r="60">
      <c r="B60" s="1"/>
      <c r="C60" s="1"/>
    </row>
    <row r="61">
      <c r="B61" s="1"/>
      <c r="C61" s="1"/>
    </row>
    <row r="62">
      <c r="B62" s="1"/>
      <c r="C62" s="1"/>
    </row>
    <row r="63">
      <c r="B63" s="1"/>
      <c r="C63" s="1"/>
    </row>
    <row r="64">
      <c r="B64" s="1"/>
      <c r="C64" s="1"/>
    </row>
    <row r="65">
      <c r="B65" s="1"/>
      <c r="C65" s="1"/>
    </row>
    <row r="66">
      <c r="B66" s="1"/>
      <c r="C66" s="1"/>
    </row>
    <row r="67">
      <c r="B67" s="1"/>
      <c r="C67" s="1"/>
    </row>
    <row r="68">
      <c r="B68" s="1"/>
      <c r="C68" s="1"/>
    </row>
    <row r="69">
      <c r="B69" s="1"/>
      <c r="C69" s="1"/>
    </row>
    <row r="70">
      <c r="B70" s="1"/>
      <c r="C70" s="1"/>
    </row>
    <row r="71">
      <c r="B71" s="1"/>
      <c r="C71" s="1"/>
    </row>
    <row r="72">
      <c r="B72" s="1"/>
      <c r="C72" s="1"/>
    </row>
    <row r="73">
      <c r="B73" s="1"/>
      <c r="C73" s="1"/>
    </row>
    <row r="74">
      <c r="B74" s="1"/>
      <c r="C74" s="1"/>
    </row>
    <row r="75">
      <c r="B75" s="1"/>
      <c r="C75" s="1"/>
    </row>
    <row r="76">
      <c r="B76" s="1"/>
      <c r="C76" s="1"/>
    </row>
    <row r="77">
      <c r="B77" s="1"/>
      <c r="C77" s="1"/>
    </row>
    <row r="78">
      <c r="B78" s="1"/>
      <c r="C78" s="1"/>
    </row>
    <row r="79">
      <c r="B79" s="1"/>
      <c r="C79" s="1"/>
    </row>
    <row r="80">
      <c r="B80" s="1"/>
      <c r="C80" s="1"/>
    </row>
    <row r="81">
      <c r="B81" s="1"/>
      <c r="C81" s="1"/>
    </row>
    <row r="82">
      <c r="B82" s="1"/>
      <c r="C82" s="1"/>
    </row>
    <row r="83">
      <c r="B83" s="1"/>
      <c r="C83" s="1"/>
    </row>
    <row r="84">
      <c r="B84" s="1"/>
      <c r="C84" s="1"/>
    </row>
    <row r="85">
      <c r="B85" s="1"/>
      <c r="C85" s="1"/>
    </row>
    <row r="86">
      <c r="B86" s="1"/>
      <c r="C86" s="1"/>
    </row>
    <row r="87">
      <c r="B87" s="1"/>
      <c r="C87" s="1"/>
    </row>
    <row r="88">
      <c r="B88" s="1"/>
      <c r="C88" s="1"/>
    </row>
    <row r="89">
      <c r="B89" s="1"/>
      <c r="C89" s="1"/>
    </row>
    <row r="90">
      <c r="B90" s="1"/>
      <c r="C90" s="1"/>
    </row>
    <row r="91">
      <c r="B91" s="1"/>
      <c r="C91" s="1"/>
    </row>
    <row r="92">
      <c r="B92" s="1"/>
      <c r="C92" s="1"/>
    </row>
    <row r="93">
      <c r="B93" s="1"/>
      <c r="C93" s="1"/>
    </row>
    <row r="94">
      <c r="B94" s="1"/>
      <c r="C94" s="1"/>
    </row>
    <row r="95">
      <c r="B95" s="1"/>
      <c r="C95" s="1"/>
    </row>
    <row r="96">
      <c r="B96" s="1"/>
      <c r="C96" s="1"/>
    </row>
    <row r="97">
      <c r="B97" s="1"/>
      <c r="C97" s="1"/>
    </row>
    <row r="98">
      <c r="B98" s="1"/>
      <c r="C98" s="1"/>
    </row>
    <row r="99">
      <c r="B99" s="1"/>
      <c r="C99" s="1"/>
    </row>
    <row r="100">
      <c r="B100" s="1"/>
      <c r="C100" s="1"/>
    </row>
    <row r="101">
      <c r="B101" s="1"/>
      <c r="C101" s="1"/>
    </row>
    <row r="102">
      <c r="B102" s="1"/>
      <c r="C102" s="1"/>
    </row>
    <row r="103">
      <c r="B103" s="1"/>
      <c r="C103" s="1"/>
    </row>
    <row r="104">
      <c r="B104" s="1"/>
      <c r="C104" s="1"/>
    </row>
    <row r="105">
      <c r="B105" s="1"/>
      <c r="C105" s="1"/>
    </row>
    <row r="106">
      <c r="B106" s="1"/>
      <c r="C106" s="1"/>
    </row>
    <row r="107">
      <c r="B107" s="1"/>
      <c r="C107" s="1"/>
    </row>
    <row r="108">
      <c r="B108" s="1"/>
      <c r="C108" s="1"/>
    </row>
    <row r="109">
      <c r="B109" s="1"/>
      <c r="C109" s="1"/>
    </row>
    <row r="110">
      <c r="B110" s="1"/>
      <c r="C110" s="1"/>
    </row>
    <row r="111">
      <c r="B111" s="1"/>
      <c r="C111" s="1"/>
    </row>
    <row r="112">
      <c r="B112" s="1"/>
      <c r="C112" s="1"/>
    </row>
    <row r="113">
      <c r="B113" s="1"/>
      <c r="C113" s="1"/>
    </row>
    <row r="114">
      <c r="B114" s="1"/>
      <c r="C114" s="1"/>
    </row>
    <row r="115">
      <c r="B115" s="1"/>
      <c r="C115" s="1"/>
    </row>
    <row r="116">
      <c r="B116" s="1"/>
      <c r="C116" s="1"/>
    </row>
    <row r="117">
      <c r="B117" s="1"/>
      <c r="C117" s="1"/>
    </row>
    <row r="118">
      <c r="B118" s="1"/>
      <c r="C118" s="1"/>
    </row>
    <row r="119">
      <c r="B119" s="1"/>
      <c r="C119" s="1"/>
    </row>
    <row r="120">
      <c r="B120" s="1"/>
      <c r="C120" s="1"/>
    </row>
    <row r="121">
      <c r="B121" s="1"/>
      <c r="C121" s="1"/>
    </row>
    <row r="122">
      <c r="B122" s="1"/>
      <c r="C122" s="1"/>
    </row>
    <row r="123">
      <c r="B123" s="1"/>
      <c r="C123" s="1"/>
    </row>
    <row r="124">
      <c r="B124" s="1"/>
      <c r="C124" s="1"/>
    </row>
    <row r="125">
      <c r="B125" s="1"/>
      <c r="C125" s="1"/>
    </row>
    <row r="126">
      <c r="B126" s="1"/>
      <c r="C126" s="1"/>
    </row>
    <row r="127">
      <c r="B127" s="1"/>
      <c r="C127" s="1"/>
    </row>
    <row r="128">
      <c r="B128" s="1"/>
      <c r="C128" s="1"/>
    </row>
    <row r="129">
      <c r="B129" s="1"/>
      <c r="C129" s="1"/>
    </row>
    <row r="130">
      <c r="B130" s="1"/>
      <c r="C130" s="1"/>
    </row>
    <row r="131">
      <c r="B131" s="1"/>
      <c r="C131" s="1"/>
    </row>
    <row r="132">
      <c r="B132" s="1"/>
      <c r="C132" s="1"/>
    </row>
    <row r="133">
      <c r="B133" s="1"/>
      <c r="C133" s="1"/>
    </row>
    <row r="134">
      <c r="B134" s="1"/>
      <c r="C134" s="1"/>
    </row>
    <row r="135">
      <c r="B135" s="1"/>
      <c r="C135" s="1"/>
    </row>
    <row r="136">
      <c r="B136" s="1"/>
      <c r="C136" s="1"/>
    </row>
    <row r="137">
      <c r="B137" s="1"/>
      <c r="C137" s="1"/>
    </row>
    <row r="138">
      <c r="B138" s="1"/>
      <c r="C138" s="1"/>
    </row>
    <row r="139">
      <c r="B139" s="1"/>
      <c r="C139" s="1"/>
    </row>
    <row r="140">
      <c r="B140" s="1"/>
      <c r="C140" s="1"/>
    </row>
    <row r="141">
      <c r="B141" s="1"/>
      <c r="C141" s="1"/>
    </row>
    <row r="142">
      <c r="B142" s="1"/>
      <c r="C142" s="1"/>
    </row>
    <row r="143">
      <c r="B143" s="1"/>
      <c r="C143" s="1"/>
    </row>
    <row r="144">
      <c r="B144" s="1"/>
      <c r="C144" s="1"/>
    </row>
    <row r="145">
      <c r="B145" s="1"/>
      <c r="C145" s="1"/>
    </row>
    <row r="146">
      <c r="B146" s="1"/>
      <c r="C146" s="1"/>
    </row>
    <row r="147">
      <c r="B147" s="1"/>
      <c r="C147" s="1"/>
    </row>
    <row r="148">
      <c r="B148" s="1"/>
      <c r="C148" s="1"/>
    </row>
    <row r="149">
      <c r="B149" s="1"/>
      <c r="C149" s="1"/>
    </row>
    <row r="150">
      <c r="B150" s="1"/>
      <c r="C150" s="1"/>
    </row>
    <row r="151">
      <c r="B151" s="1"/>
      <c r="C151" s="1"/>
    </row>
    <row r="152">
      <c r="B152" s="1"/>
      <c r="C152" s="1"/>
    </row>
    <row r="153">
      <c r="B153" s="1"/>
      <c r="C153" s="1"/>
    </row>
    <row r="154">
      <c r="B154" s="1"/>
      <c r="C154" s="1"/>
    </row>
    <row r="155">
      <c r="B155" s="1"/>
      <c r="C155" s="1"/>
    </row>
    <row r="156">
      <c r="B156" s="1"/>
      <c r="C156" s="1"/>
    </row>
    <row r="157">
      <c r="B157" s="1"/>
      <c r="C157" s="1"/>
    </row>
    <row r="158">
      <c r="B158" s="1"/>
      <c r="C158" s="1"/>
    </row>
    <row r="159">
      <c r="B159" s="1"/>
      <c r="C159" s="1"/>
    </row>
    <row r="160">
      <c r="B160" s="1"/>
      <c r="C160" s="1"/>
    </row>
    <row r="161">
      <c r="B161" s="1"/>
      <c r="C161" s="1"/>
    </row>
    <row r="162">
      <c r="B162" s="1"/>
      <c r="C162" s="1"/>
    </row>
    <row r="163">
      <c r="B163" s="1"/>
      <c r="C163" s="1"/>
    </row>
    <row r="164">
      <c r="B164" s="1"/>
      <c r="C164" s="1"/>
    </row>
    <row r="165">
      <c r="B165" s="1"/>
      <c r="C165" s="1"/>
    </row>
    <row r="166">
      <c r="B166" s="1"/>
      <c r="C166" s="1"/>
    </row>
    <row r="167">
      <c r="B167" s="1"/>
      <c r="C167" s="1"/>
    </row>
    <row r="168">
      <c r="B168" s="1"/>
      <c r="C168" s="1"/>
    </row>
    <row r="169">
      <c r="B169" s="1"/>
      <c r="C169" s="1"/>
    </row>
    <row r="170">
      <c r="B170" s="1"/>
      <c r="C170" s="1"/>
    </row>
    <row r="171">
      <c r="B171" s="1"/>
      <c r="C171" s="1"/>
    </row>
    <row r="172">
      <c r="B172" s="1"/>
      <c r="C172" s="1"/>
    </row>
    <row r="173">
      <c r="B173" s="1"/>
      <c r="C173" s="1"/>
    </row>
    <row r="174">
      <c r="B174" s="1"/>
      <c r="C174" s="1"/>
    </row>
    <row r="175">
      <c r="B175" s="1"/>
      <c r="C175" s="1"/>
    </row>
    <row r="176">
      <c r="B176" s="1"/>
      <c r="C176" s="1"/>
    </row>
    <row r="177">
      <c r="B177" s="1"/>
      <c r="C177" s="1"/>
    </row>
    <row r="178">
      <c r="B178" s="1"/>
      <c r="C178" s="1"/>
    </row>
    <row r="179">
      <c r="B179" s="1"/>
      <c r="C179" s="1"/>
    </row>
    <row r="180">
      <c r="B180" s="1"/>
      <c r="C180" s="1"/>
    </row>
    <row r="181">
      <c r="B181" s="1"/>
      <c r="C181" s="1"/>
    </row>
    <row r="182">
      <c r="B182" s="1"/>
      <c r="C182" s="1"/>
    </row>
    <row r="183">
      <c r="B183" s="1"/>
      <c r="C183" s="1"/>
    </row>
    <row r="184">
      <c r="B184" s="1"/>
      <c r="C184" s="1"/>
    </row>
    <row r="185">
      <c r="B185" s="1"/>
      <c r="C185" s="1"/>
    </row>
    <row r="186">
      <c r="B186" s="1"/>
      <c r="C186" s="1"/>
    </row>
    <row r="187">
      <c r="B187" s="1"/>
      <c r="C187" s="1"/>
    </row>
    <row r="188">
      <c r="B188" s="1"/>
      <c r="C188" s="1"/>
    </row>
    <row r="189">
      <c r="B189" s="1"/>
      <c r="C189" s="1"/>
    </row>
    <row r="190">
      <c r="B190" s="1"/>
      <c r="C190" s="1"/>
    </row>
    <row r="191">
      <c r="B191" s="1"/>
      <c r="C191" s="1"/>
    </row>
    <row r="192">
      <c r="B192" s="1"/>
      <c r="C192" s="1"/>
    </row>
    <row r="193">
      <c r="B193" s="1"/>
      <c r="C193" s="1"/>
    </row>
    <row r="194">
      <c r="B194" s="1"/>
      <c r="C194" s="1"/>
    </row>
    <row r="195">
      <c r="B195" s="1"/>
      <c r="C195" s="1"/>
    </row>
    <row r="196">
      <c r="B196" s="1"/>
      <c r="C196" s="1"/>
    </row>
    <row r="197">
      <c r="B197" s="1"/>
      <c r="C197" s="1"/>
    </row>
    <row r="198">
      <c r="B198" s="1"/>
      <c r="C198" s="1"/>
    </row>
    <row r="199">
      <c r="B199" s="1"/>
      <c r="C199" s="1"/>
    </row>
    <row r="200">
      <c r="B200" s="1"/>
      <c r="C200" s="1"/>
    </row>
    <row r="201">
      <c r="B201" s="1"/>
      <c r="C201" s="1"/>
    </row>
    <row r="202">
      <c r="B202" s="1"/>
      <c r="C202" s="1"/>
    </row>
    <row r="203">
      <c r="B203" s="1"/>
      <c r="C203" s="1"/>
    </row>
    <row r="204">
      <c r="B204" s="1"/>
      <c r="C204" s="1"/>
    </row>
    <row r="205">
      <c r="B205" s="1"/>
      <c r="C205" s="1"/>
    </row>
    <row r="206">
      <c r="B206" s="1"/>
      <c r="C206" s="1"/>
    </row>
    <row r="207">
      <c r="B207" s="1"/>
      <c r="C207" s="1"/>
    </row>
    <row r="208">
      <c r="B208" s="1"/>
      <c r="C208" s="1"/>
    </row>
    <row r="209">
      <c r="B209" s="1"/>
      <c r="C209" s="1"/>
    </row>
    <row r="210">
      <c r="B210" s="1"/>
      <c r="C210" s="1"/>
    </row>
    <row r="211">
      <c r="B211" s="1"/>
      <c r="C211" s="1"/>
    </row>
    <row r="212">
      <c r="B212" s="1"/>
      <c r="C212" s="1"/>
    </row>
    <row r="213">
      <c r="B213" s="1"/>
      <c r="C213" s="1"/>
    </row>
    <row r="214">
      <c r="B214" s="1"/>
      <c r="C214" s="1"/>
    </row>
    <row r="215">
      <c r="B215" s="1"/>
      <c r="C215" s="1"/>
    </row>
    <row r="216">
      <c r="B216" s="1"/>
      <c r="C216" s="1"/>
    </row>
    <row r="217">
      <c r="B217" s="1"/>
      <c r="C217" s="1"/>
    </row>
    <row r="218">
      <c r="B218" s="1"/>
      <c r="C218" s="1"/>
    </row>
    <row r="219">
      <c r="B219" s="1"/>
      <c r="C219" s="1"/>
    </row>
    <row r="220">
      <c r="B220" s="1"/>
      <c r="C220" s="1"/>
    </row>
    <row r="221">
      <c r="B221" s="1"/>
      <c r="C221" s="1"/>
    </row>
    <row r="222">
      <c r="B222" s="1"/>
      <c r="C222" s="1"/>
    </row>
    <row r="223">
      <c r="B223" s="1"/>
      <c r="C223" s="1"/>
    </row>
    <row r="224">
      <c r="B224" s="1"/>
      <c r="C224" s="1"/>
    </row>
    <row r="225">
      <c r="B225" s="1"/>
      <c r="C225" s="1"/>
    </row>
    <row r="226">
      <c r="B226" s="1"/>
      <c r="C226" s="1"/>
    </row>
    <row r="227">
      <c r="B227" s="1"/>
      <c r="C227" s="1"/>
    </row>
    <row r="228">
      <c r="B228" s="1"/>
      <c r="C228" s="1"/>
    </row>
    <row r="229">
      <c r="B229" s="1"/>
      <c r="C229" s="1"/>
    </row>
    <row r="230">
      <c r="B230" s="1"/>
      <c r="C230" s="1"/>
    </row>
    <row r="231">
      <c r="B231" s="1"/>
      <c r="C231" s="1"/>
    </row>
    <row r="232">
      <c r="B232" s="1"/>
      <c r="C232" s="1"/>
    </row>
    <row r="233">
      <c r="B233" s="1"/>
      <c r="C233" s="1"/>
    </row>
    <row r="234">
      <c r="B234" s="1"/>
      <c r="C234" s="1"/>
    </row>
    <row r="235">
      <c r="B235" s="1"/>
      <c r="C235" s="1"/>
    </row>
    <row r="236">
      <c r="B236" s="1"/>
      <c r="C236" s="1"/>
    </row>
    <row r="237">
      <c r="B237" s="1"/>
      <c r="C237" s="1"/>
    </row>
    <row r="238">
      <c r="B238" s="1"/>
      <c r="C238" s="1"/>
    </row>
    <row r="239">
      <c r="B239" s="1"/>
      <c r="C239" s="1"/>
    </row>
    <row r="240">
      <c r="B240" s="1"/>
      <c r="C240" s="1"/>
    </row>
    <row r="241">
      <c r="B241" s="1"/>
      <c r="C241" s="1"/>
    </row>
    <row r="242">
      <c r="B242" s="1"/>
      <c r="C242" s="1"/>
    </row>
    <row r="243">
      <c r="B243" s="1"/>
      <c r="C243" s="1"/>
    </row>
    <row r="244">
      <c r="B244" s="1"/>
      <c r="C244" s="1"/>
    </row>
    <row r="245">
      <c r="B245" s="1"/>
      <c r="C245" s="1"/>
    </row>
    <row r="246">
      <c r="B246" s="1"/>
      <c r="C246" s="1"/>
    </row>
    <row r="247">
      <c r="B247" s="1"/>
      <c r="C247" s="1"/>
    </row>
    <row r="248">
      <c r="B248" s="1"/>
      <c r="C248" s="1"/>
    </row>
    <row r="249">
      <c r="B249" s="1"/>
      <c r="C249" s="1"/>
    </row>
    <row r="250">
      <c r="B250" s="1"/>
      <c r="C250" s="1"/>
    </row>
    <row r="251">
      <c r="B251" s="1"/>
      <c r="C251" s="1"/>
    </row>
    <row r="252">
      <c r="B252" s="1"/>
      <c r="C252" s="1"/>
    </row>
    <row r="253">
      <c r="B253" s="1"/>
      <c r="C253" s="1"/>
    </row>
    <row r="254">
      <c r="B254" s="1"/>
      <c r="C254" s="1"/>
    </row>
    <row r="255">
      <c r="B255" s="1"/>
      <c r="C255" s="1"/>
    </row>
    <row r="256">
      <c r="B256" s="1"/>
      <c r="C256" s="1"/>
    </row>
    <row r="257">
      <c r="B257" s="1"/>
      <c r="C257" s="1"/>
    </row>
    <row r="258">
      <c r="B258" s="1"/>
      <c r="C258" s="1"/>
    </row>
    <row r="259">
      <c r="B259" s="1"/>
      <c r="C259" s="1"/>
    </row>
    <row r="260">
      <c r="B260" s="1"/>
      <c r="C260" s="1"/>
    </row>
    <row r="261">
      <c r="B261" s="1"/>
      <c r="C261" s="1"/>
    </row>
    <row r="262">
      <c r="B262" s="1"/>
      <c r="C262" s="1"/>
    </row>
    <row r="263">
      <c r="B263" s="1"/>
      <c r="C263" s="1"/>
    </row>
    <row r="264">
      <c r="B264" s="1"/>
      <c r="C264" s="1"/>
    </row>
    <row r="265">
      <c r="B265" s="1"/>
      <c r="C265" s="1"/>
    </row>
    <row r="266">
      <c r="B266" s="1"/>
      <c r="C266" s="1"/>
    </row>
    <row r="267">
      <c r="B267" s="1"/>
      <c r="C267" s="1"/>
    </row>
    <row r="268">
      <c r="B268" s="1"/>
      <c r="C268" s="1"/>
    </row>
    <row r="269">
      <c r="B269" s="1"/>
      <c r="C269" s="1"/>
    </row>
    <row r="270">
      <c r="B270" s="1"/>
      <c r="C270" s="1"/>
    </row>
    <row r="271">
      <c r="B271" s="1"/>
      <c r="C271" s="1"/>
    </row>
    <row r="272">
      <c r="B272" s="1"/>
      <c r="C272" s="1"/>
    </row>
    <row r="273">
      <c r="B273" s="1"/>
      <c r="C273" s="1"/>
    </row>
    <row r="274">
      <c r="B274" s="1"/>
      <c r="C274" s="1"/>
    </row>
    <row r="275">
      <c r="B275" s="1"/>
      <c r="C275" s="1"/>
    </row>
    <row r="276">
      <c r="B276" s="1"/>
      <c r="C276" s="1"/>
    </row>
    <row r="277">
      <c r="B277" s="1"/>
      <c r="C277" s="1"/>
    </row>
    <row r="278">
      <c r="B278" s="1"/>
      <c r="C278" s="1"/>
    </row>
    <row r="279">
      <c r="B279" s="1"/>
      <c r="C279" s="1"/>
    </row>
    <row r="280">
      <c r="B280" s="1"/>
      <c r="C280" s="1"/>
    </row>
    <row r="281">
      <c r="B281" s="1"/>
      <c r="C281" s="1"/>
    </row>
    <row r="282">
      <c r="B282" s="1"/>
      <c r="C282" s="1"/>
    </row>
    <row r="283">
      <c r="B283" s="1"/>
      <c r="C283" s="1"/>
    </row>
    <row r="284">
      <c r="B284" s="1"/>
      <c r="C284" s="1"/>
    </row>
    <row r="285">
      <c r="B285" s="1"/>
      <c r="C285" s="1"/>
    </row>
    <row r="286">
      <c r="B286" s="1"/>
      <c r="C286" s="1"/>
    </row>
    <row r="287">
      <c r="B287" s="1"/>
      <c r="C287" s="1"/>
    </row>
    <row r="288">
      <c r="B288" s="1"/>
      <c r="C288" s="1"/>
    </row>
    <row r="289">
      <c r="B289" s="1"/>
      <c r="C289" s="1"/>
    </row>
    <row r="290">
      <c r="B290" s="1"/>
      <c r="C290" s="1"/>
    </row>
    <row r="291">
      <c r="B291" s="1"/>
      <c r="C291" s="1"/>
    </row>
    <row r="292">
      <c r="B292" s="1"/>
      <c r="C292" s="1"/>
    </row>
    <row r="293">
      <c r="B293" s="1"/>
      <c r="C293" s="1"/>
    </row>
    <row r="294">
      <c r="B294" s="1"/>
      <c r="C294" s="1"/>
    </row>
    <row r="295">
      <c r="B295" s="1"/>
      <c r="C295" s="1"/>
    </row>
    <row r="296">
      <c r="B296" s="1"/>
      <c r="C296" s="1"/>
    </row>
    <row r="297">
      <c r="B297" s="1"/>
      <c r="C297" s="1"/>
    </row>
    <row r="298">
      <c r="B298" s="1"/>
      <c r="C298" s="1"/>
    </row>
    <row r="299">
      <c r="B299" s="1"/>
      <c r="C299" s="1"/>
    </row>
    <row r="300">
      <c r="B300" s="1"/>
      <c r="C300" s="1"/>
    </row>
    <row r="301">
      <c r="B301" s="1"/>
      <c r="C301" s="1"/>
    </row>
    <row r="302">
      <c r="B302" s="1"/>
      <c r="C302" s="1"/>
    </row>
    <row r="303">
      <c r="B303" s="1"/>
      <c r="C303" s="1"/>
    </row>
    <row r="304">
      <c r="B304" s="1"/>
      <c r="C304" s="1"/>
    </row>
    <row r="305">
      <c r="B305" s="1"/>
      <c r="C305" s="1"/>
    </row>
    <row r="306">
      <c r="B306" s="1"/>
      <c r="C306" s="1"/>
    </row>
    <row r="307">
      <c r="B307" s="1"/>
      <c r="C307" s="1"/>
    </row>
    <row r="308">
      <c r="B308" s="1"/>
      <c r="C308" s="1"/>
    </row>
    <row r="309">
      <c r="B309" s="1"/>
      <c r="C309" s="1"/>
    </row>
    <row r="310">
      <c r="B310" s="1"/>
      <c r="C310" s="1"/>
    </row>
    <row r="311">
      <c r="B311" s="1"/>
      <c r="C311" s="1"/>
    </row>
    <row r="312">
      <c r="B312" s="1"/>
      <c r="C312" s="1"/>
    </row>
    <row r="313">
      <c r="B313" s="1"/>
      <c r="C313" s="1"/>
    </row>
    <row r="314">
      <c r="B314" s="1"/>
      <c r="C314" s="1"/>
    </row>
    <row r="315">
      <c r="B315" s="1"/>
      <c r="C315" s="1"/>
    </row>
    <row r="316">
      <c r="B316" s="1"/>
      <c r="C316" s="1"/>
    </row>
    <row r="317">
      <c r="B317" s="1"/>
      <c r="C317" s="1"/>
    </row>
    <row r="318">
      <c r="B318" s="1"/>
      <c r="C318" s="1"/>
    </row>
    <row r="319">
      <c r="B319" s="1"/>
      <c r="C319" s="1"/>
    </row>
    <row r="320">
      <c r="B320" s="1"/>
      <c r="C320" s="1"/>
    </row>
    <row r="321">
      <c r="B321" s="1"/>
      <c r="C321" s="1"/>
    </row>
    <row r="322">
      <c r="B322" s="1"/>
      <c r="C322" s="1"/>
    </row>
    <row r="323">
      <c r="B323" s="1"/>
      <c r="C323" s="1"/>
    </row>
    <row r="324">
      <c r="B324" s="1"/>
      <c r="C324" s="1"/>
    </row>
    <row r="325">
      <c r="B325" s="1"/>
      <c r="C325" s="1"/>
    </row>
    <row r="326">
      <c r="B326" s="1"/>
      <c r="C326" s="1"/>
    </row>
    <row r="327">
      <c r="B327" s="1"/>
      <c r="C327" s="1"/>
    </row>
    <row r="328">
      <c r="B328" s="1"/>
      <c r="C328" s="1"/>
    </row>
    <row r="329">
      <c r="B329" s="1"/>
      <c r="C329" s="1"/>
    </row>
    <row r="330">
      <c r="B330" s="1"/>
      <c r="C330" s="1"/>
    </row>
    <row r="331">
      <c r="B331" s="1"/>
      <c r="C331" s="1"/>
    </row>
    <row r="332">
      <c r="B332" s="1"/>
      <c r="C332" s="1"/>
    </row>
    <row r="333">
      <c r="B333" s="1"/>
      <c r="C333" s="1"/>
    </row>
    <row r="334">
      <c r="B334" s="1"/>
      <c r="C334" s="1"/>
    </row>
    <row r="335">
      <c r="B335" s="1"/>
      <c r="C335" s="1"/>
    </row>
    <row r="336">
      <c r="B336" s="1"/>
      <c r="C336" s="1"/>
    </row>
    <row r="337">
      <c r="B337" s="1"/>
      <c r="C337" s="1"/>
    </row>
    <row r="338">
      <c r="B338" s="1"/>
      <c r="C338" s="1"/>
    </row>
    <row r="339">
      <c r="B339" s="1"/>
      <c r="C339" s="1"/>
    </row>
    <row r="340">
      <c r="B340" s="1"/>
      <c r="C340" s="1"/>
    </row>
    <row r="341">
      <c r="B341" s="1"/>
      <c r="C341" s="1"/>
    </row>
    <row r="342">
      <c r="B342" s="1"/>
      <c r="C342" s="1"/>
    </row>
    <row r="343">
      <c r="B343" s="1"/>
      <c r="C343" s="1"/>
    </row>
    <row r="344">
      <c r="B344" s="1"/>
      <c r="C344" s="1"/>
    </row>
    <row r="345">
      <c r="B345" s="1"/>
      <c r="C345" s="1"/>
    </row>
    <row r="346">
      <c r="B346" s="1"/>
      <c r="C346" s="1"/>
    </row>
    <row r="347">
      <c r="B347" s="1"/>
      <c r="C347" s="1"/>
    </row>
    <row r="348">
      <c r="B348" s="1"/>
      <c r="C348" s="1"/>
    </row>
    <row r="349">
      <c r="B349" s="1"/>
      <c r="C349" s="1"/>
    </row>
    <row r="350">
      <c r="B350" s="1"/>
      <c r="C350" s="1"/>
    </row>
    <row r="351">
      <c r="B351" s="1"/>
      <c r="C351" s="1"/>
    </row>
    <row r="352">
      <c r="B352" s="1"/>
      <c r="C352" s="1"/>
    </row>
    <row r="353">
      <c r="B353" s="1"/>
      <c r="C353" s="1"/>
    </row>
    <row r="354">
      <c r="B354" s="1"/>
      <c r="C354" s="1"/>
    </row>
    <row r="355">
      <c r="B355" s="1"/>
      <c r="C355" s="1"/>
    </row>
    <row r="356">
      <c r="B356" s="1"/>
      <c r="C356" s="1"/>
    </row>
    <row r="357">
      <c r="B357" s="1"/>
      <c r="C357" s="1"/>
    </row>
    <row r="358">
      <c r="B358" s="1"/>
      <c r="C358" s="1"/>
    </row>
    <row r="359">
      <c r="B359" s="1"/>
      <c r="C359" s="1"/>
    </row>
    <row r="360">
      <c r="B360" s="1"/>
      <c r="C360" s="1"/>
    </row>
    <row r="361">
      <c r="B361" s="1"/>
      <c r="C361" s="1"/>
    </row>
    <row r="362">
      <c r="B362" s="1"/>
      <c r="C362" s="1"/>
    </row>
    <row r="363">
      <c r="B363" s="1"/>
      <c r="C363" s="1"/>
    </row>
    <row r="364">
      <c r="B364" s="1"/>
      <c r="C364" s="1"/>
    </row>
    <row r="365">
      <c r="B365" s="1"/>
      <c r="C365" s="1"/>
    </row>
    <row r="366">
      <c r="B366" s="1"/>
      <c r="C366" s="1"/>
    </row>
    <row r="367">
      <c r="B367" s="1"/>
      <c r="C367" s="1"/>
    </row>
    <row r="368">
      <c r="B368" s="1"/>
      <c r="C368" s="1"/>
    </row>
    <row r="369">
      <c r="B369" s="1"/>
      <c r="C369" s="1"/>
    </row>
    <row r="370">
      <c r="B370" s="1"/>
      <c r="C370" s="1"/>
    </row>
    <row r="371">
      <c r="B371" s="1"/>
      <c r="C371" s="1"/>
    </row>
    <row r="372">
      <c r="B372" s="1"/>
      <c r="C372" s="1"/>
    </row>
    <row r="373">
      <c r="B373" s="1"/>
      <c r="C373" s="1"/>
    </row>
    <row r="374">
      <c r="B374" s="1"/>
      <c r="C374" s="1"/>
    </row>
    <row r="375">
      <c r="B375" s="1"/>
      <c r="C375" s="1"/>
    </row>
    <row r="376">
      <c r="B376" s="1"/>
      <c r="C376" s="1"/>
    </row>
    <row r="377">
      <c r="B377" s="1"/>
      <c r="C377" s="1"/>
    </row>
    <row r="378">
      <c r="B378" s="1"/>
      <c r="C378" s="1"/>
    </row>
    <row r="379">
      <c r="B379" s="1"/>
      <c r="C379" s="1"/>
    </row>
    <row r="380">
      <c r="B380" s="1"/>
      <c r="C380" s="1"/>
    </row>
    <row r="381">
      <c r="B381" s="1"/>
      <c r="C381" s="1"/>
    </row>
    <row r="382">
      <c r="B382" s="1"/>
      <c r="C382" s="1"/>
    </row>
    <row r="383">
      <c r="B383" s="1"/>
      <c r="C383" s="1"/>
    </row>
    <row r="384">
      <c r="B384" s="1"/>
      <c r="C384" s="1"/>
    </row>
    <row r="385">
      <c r="B385" s="1"/>
      <c r="C385" s="1"/>
    </row>
    <row r="386">
      <c r="B386" s="1"/>
      <c r="C386" s="1"/>
    </row>
    <row r="387">
      <c r="B387" s="1"/>
      <c r="C387" s="1"/>
    </row>
    <row r="388">
      <c r="B388" s="1"/>
      <c r="C388" s="1"/>
    </row>
    <row r="389">
      <c r="B389" s="1"/>
      <c r="C389" s="1"/>
    </row>
    <row r="390">
      <c r="B390" s="1"/>
      <c r="C390" s="1"/>
    </row>
    <row r="391">
      <c r="B391" s="1"/>
      <c r="C391" s="1"/>
    </row>
    <row r="392">
      <c r="B392" s="1"/>
      <c r="C392" s="1"/>
    </row>
    <row r="393">
      <c r="B393" s="1"/>
      <c r="C393" s="1"/>
    </row>
    <row r="394">
      <c r="B394" s="1"/>
      <c r="C394" s="1"/>
    </row>
    <row r="395">
      <c r="B395" s="1"/>
      <c r="C395" s="1"/>
    </row>
    <row r="396">
      <c r="B396" s="1"/>
      <c r="C396" s="1"/>
    </row>
    <row r="397">
      <c r="B397" s="1"/>
      <c r="C397" s="1"/>
    </row>
    <row r="398">
      <c r="B398" s="1"/>
      <c r="C398" s="1"/>
    </row>
    <row r="399">
      <c r="B399" s="1"/>
      <c r="C399" s="1"/>
    </row>
    <row r="400">
      <c r="B400" s="1"/>
      <c r="C400" s="1"/>
    </row>
    <row r="401">
      <c r="B401" s="1"/>
      <c r="C401" s="1"/>
    </row>
    <row r="402">
      <c r="B402" s="1"/>
      <c r="C402" s="1"/>
    </row>
    <row r="403">
      <c r="B403" s="1"/>
      <c r="C403" s="1"/>
    </row>
    <row r="404">
      <c r="B404" s="1"/>
      <c r="C404" s="1"/>
    </row>
    <row r="405">
      <c r="B405" s="1"/>
      <c r="C405" s="1"/>
    </row>
    <row r="406">
      <c r="B406" s="1"/>
      <c r="C406" s="1"/>
    </row>
    <row r="407">
      <c r="B407" s="1"/>
      <c r="C407" s="1"/>
    </row>
    <row r="408">
      <c r="B408" s="1"/>
      <c r="C408" s="1"/>
    </row>
    <row r="409">
      <c r="B409" s="1"/>
      <c r="C409" s="1"/>
    </row>
    <row r="410">
      <c r="B410" s="1"/>
      <c r="C410" s="1"/>
    </row>
    <row r="411">
      <c r="B411" s="1"/>
      <c r="C411" s="1"/>
    </row>
    <row r="412">
      <c r="B412" s="1"/>
      <c r="C412" s="1"/>
    </row>
    <row r="413">
      <c r="B413" s="1"/>
      <c r="C413" s="1"/>
    </row>
    <row r="414">
      <c r="B414" s="1"/>
      <c r="C414" s="1"/>
    </row>
    <row r="415">
      <c r="B415" s="1"/>
      <c r="C415" s="1"/>
    </row>
    <row r="416">
      <c r="B416" s="1"/>
      <c r="C416" s="1"/>
    </row>
    <row r="417">
      <c r="B417" s="1"/>
      <c r="C417" s="1"/>
    </row>
    <row r="418">
      <c r="B418" s="1"/>
      <c r="C418" s="1"/>
    </row>
    <row r="419">
      <c r="B419" s="1"/>
      <c r="C419" s="1"/>
    </row>
    <row r="420">
      <c r="B420" s="1"/>
      <c r="C420" s="1"/>
    </row>
    <row r="421">
      <c r="B421" s="1"/>
      <c r="C421" s="1"/>
    </row>
    <row r="422">
      <c r="B422" s="1"/>
      <c r="C422" s="1"/>
    </row>
    <row r="423">
      <c r="B423" s="1"/>
      <c r="C423" s="1"/>
    </row>
    <row r="424">
      <c r="B424" s="1"/>
      <c r="C424" s="1"/>
    </row>
    <row r="425">
      <c r="B425" s="1"/>
      <c r="C425" s="1"/>
    </row>
    <row r="426">
      <c r="B426" s="1"/>
      <c r="C426" s="1"/>
    </row>
    <row r="427">
      <c r="B427" s="1"/>
      <c r="C427" s="1"/>
    </row>
    <row r="428">
      <c r="B428" s="1"/>
      <c r="C428" s="1"/>
    </row>
    <row r="429">
      <c r="B429" s="1"/>
      <c r="C429" s="1"/>
    </row>
    <row r="430">
      <c r="B430" s="1"/>
      <c r="C430" s="1"/>
    </row>
    <row r="431">
      <c r="B431" s="1"/>
      <c r="C431" s="1"/>
    </row>
    <row r="432">
      <c r="B432" s="1"/>
      <c r="C432" s="1"/>
    </row>
    <row r="433">
      <c r="B433" s="1"/>
      <c r="C433" s="1"/>
    </row>
    <row r="434">
      <c r="B434" s="1"/>
      <c r="C434" s="1"/>
    </row>
    <row r="435">
      <c r="B435" s="1"/>
      <c r="C435" s="1"/>
    </row>
    <row r="436">
      <c r="B436" s="1"/>
      <c r="C436" s="1"/>
    </row>
    <row r="437">
      <c r="B437" s="1"/>
      <c r="C437" s="1"/>
    </row>
    <row r="438">
      <c r="B438" s="1"/>
      <c r="C438" s="1"/>
    </row>
    <row r="439">
      <c r="B439" s="1"/>
      <c r="C439" s="1"/>
    </row>
    <row r="440">
      <c r="B440" s="1"/>
      <c r="C440" s="1"/>
    </row>
    <row r="441">
      <c r="B441" s="1"/>
      <c r="C441" s="1"/>
    </row>
    <row r="442">
      <c r="B442" s="1"/>
      <c r="C442" s="1"/>
    </row>
    <row r="443">
      <c r="B443" s="1"/>
      <c r="C443" s="1"/>
    </row>
    <row r="444">
      <c r="B444" s="1"/>
      <c r="C444" s="1"/>
    </row>
    <row r="445">
      <c r="B445" s="1"/>
      <c r="C445" s="1"/>
    </row>
    <row r="446">
      <c r="B446" s="1"/>
      <c r="C446" s="1"/>
    </row>
    <row r="447">
      <c r="B447" s="1"/>
      <c r="C447" s="1"/>
    </row>
    <row r="448">
      <c r="B448" s="1"/>
      <c r="C448" s="1"/>
    </row>
    <row r="449">
      <c r="B449" s="1"/>
      <c r="C449" s="1"/>
    </row>
    <row r="450">
      <c r="B450" s="1"/>
      <c r="C450" s="1"/>
    </row>
    <row r="451">
      <c r="B451" s="1"/>
      <c r="C451" s="1"/>
    </row>
    <row r="452">
      <c r="B452" s="1"/>
      <c r="C452" s="1"/>
    </row>
    <row r="453">
      <c r="B453" s="1"/>
      <c r="C453" s="1"/>
    </row>
    <row r="454">
      <c r="B454" s="1"/>
      <c r="C454" s="1"/>
    </row>
    <row r="455">
      <c r="B455" s="1"/>
      <c r="C455" s="1"/>
    </row>
    <row r="456">
      <c r="B456" s="1"/>
      <c r="C456" s="1"/>
    </row>
    <row r="457">
      <c r="B457" s="1"/>
      <c r="C457" s="1"/>
    </row>
    <row r="458">
      <c r="B458" s="1"/>
      <c r="C458" s="1"/>
    </row>
    <row r="459">
      <c r="B459" s="1"/>
      <c r="C459" s="1"/>
    </row>
    <row r="460">
      <c r="B460" s="1"/>
      <c r="C460" s="1"/>
    </row>
    <row r="461">
      <c r="B461" s="1"/>
      <c r="C461" s="1"/>
    </row>
    <row r="462">
      <c r="B462" s="1"/>
      <c r="C462" s="1"/>
    </row>
    <row r="463">
      <c r="B463" s="1"/>
      <c r="C463" s="1"/>
    </row>
    <row r="464">
      <c r="B464" s="1"/>
      <c r="C464" s="1"/>
    </row>
    <row r="465">
      <c r="B465" s="1"/>
      <c r="C465" s="1"/>
    </row>
    <row r="466">
      <c r="B466" s="1"/>
      <c r="C466" s="1"/>
    </row>
    <row r="467">
      <c r="B467" s="1"/>
      <c r="C467" s="1"/>
    </row>
    <row r="468">
      <c r="B468" s="1"/>
      <c r="C468" s="1"/>
    </row>
    <row r="469">
      <c r="B469" s="1"/>
      <c r="C469" s="1"/>
    </row>
    <row r="470">
      <c r="B470" s="1"/>
      <c r="C470" s="1"/>
    </row>
    <row r="471">
      <c r="B471" s="1"/>
      <c r="C471" s="1"/>
    </row>
    <row r="472">
      <c r="B472" s="1"/>
      <c r="C472" s="1"/>
    </row>
    <row r="473">
      <c r="B473" s="1"/>
      <c r="C473" s="1"/>
    </row>
    <row r="474">
      <c r="B474" s="1"/>
      <c r="C474" s="1"/>
    </row>
    <row r="475">
      <c r="B475" s="1"/>
      <c r="C475" s="1"/>
    </row>
    <row r="476">
      <c r="B476" s="1"/>
      <c r="C476" s="1"/>
    </row>
    <row r="477">
      <c r="B477" s="1"/>
      <c r="C477" s="1"/>
    </row>
    <row r="478">
      <c r="B478" s="1"/>
      <c r="C478" s="1"/>
    </row>
    <row r="479">
      <c r="B479" s="1"/>
      <c r="C479" s="1"/>
    </row>
    <row r="480">
      <c r="B480" s="1"/>
      <c r="C480" s="1"/>
    </row>
    <row r="481">
      <c r="B481" s="1"/>
      <c r="C481" s="1"/>
    </row>
    <row r="482">
      <c r="B482" s="1"/>
      <c r="C482" s="1"/>
    </row>
    <row r="483">
      <c r="B483" s="1"/>
      <c r="C483" s="1"/>
    </row>
    <row r="484">
      <c r="B484" s="1"/>
      <c r="C484" s="1"/>
    </row>
    <row r="485">
      <c r="B485" s="1"/>
      <c r="C485" s="1"/>
    </row>
    <row r="486">
      <c r="B486" s="1"/>
      <c r="C486" s="1"/>
    </row>
    <row r="487">
      <c r="B487" s="1"/>
      <c r="C487" s="1"/>
    </row>
    <row r="488">
      <c r="B488" s="1"/>
      <c r="C488" s="1"/>
    </row>
    <row r="489">
      <c r="B489" s="1"/>
      <c r="C489" s="1"/>
    </row>
    <row r="490">
      <c r="B490" s="1"/>
      <c r="C490" s="1"/>
    </row>
    <row r="491">
      <c r="B491" s="1"/>
      <c r="C491" s="1"/>
    </row>
    <row r="492">
      <c r="B492" s="1"/>
      <c r="C492" s="1"/>
    </row>
    <row r="493">
      <c r="B493" s="1"/>
      <c r="C493" s="1"/>
    </row>
    <row r="494">
      <c r="B494" s="1"/>
      <c r="C494" s="1"/>
    </row>
    <row r="495">
      <c r="B495" s="1"/>
      <c r="C495" s="1"/>
    </row>
    <row r="496">
      <c r="B496" s="1"/>
      <c r="C496" s="1"/>
    </row>
    <row r="497">
      <c r="B497" s="1"/>
      <c r="C497" s="1"/>
    </row>
    <row r="498">
      <c r="B498" s="1"/>
      <c r="C498" s="1"/>
    </row>
    <row r="499">
      <c r="B499" s="1"/>
      <c r="C499" s="1"/>
    </row>
    <row r="500">
      <c r="B500" s="1"/>
      <c r="C500" s="1"/>
    </row>
    <row r="501">
      <c r="B501" s="1"/>
      <c r="C501" s="1"/>
    </row>
    <row r="502">
      <c r="B502" s="1"/>
      <c r="C502" s="1"/>
    </row>
    <row r="503">
      <c r="B503" s="1"/>
      <c r="C503" s="1"/>
    </row>
    <row r="504">
      <c r="B504" s="1"/>
      <c r="C504" s="1"/>
    </row>
    <row r="505">
      <c r="B505" s="1"/>
      <c r="C505" s="1"/>
    </row>
    <row r="506">
      <c r="B506" s="1"/>
      <c r="C506" s="1"/>
    </row>
    <row r="507">
      <c r="B507" s="1"/>
      <c r="C507" s="1"/>
    </row>
    <row r="508">
      <c r="B508" s="1"/>
      <c r="C508" s="1"/>
    </row>
    <row r="509">
      <c r="B509" s="1"/>
      <c r="C509" s="1"/>
    </row>
    <row r="510">
      <c r="B510" s="1"/>
      <c r="C510" s="1"/>
    </row>
    <row r="511">
      <c r="B511" s="1"/>
      <c r="C511" s="1"/>
    </row>
    <row r="512">
      <c r="B512" s="1"/>
      <c r="C512" s="1"/>
    </row>
    <row r="513">
      <c r="B513" s="1"/>
      <c r="C513" s="1"/>
    </row>
    <row r="514">
      <c r="B514" s="1"/>
      <c r="C514" s="1"/>
    </row>
    <row r="515">
      <c r="B515" s="1"/>
      <c r="C515" s="1"/>
    </row>
    <row r="516">
      <c r="B516" s="1"/>
      <c r="C516" s="1"/>
    </row>
    <row r="517">
      <c r="B517" s="1"/>
      <c r="C517" s="1"/>
    </row>
    <row r="518">
      <c r="B518" s="1"/>
      <c r="C518" s="1"/>
    </row>
    <row r="519">
      <c r="B519" s="1"/>
      <c r="C519" s="1"/>
    </row>
    <row r="520">
      <c r="B520" s="1"/>
      <c r="C520" s="1"/>
    </row>
    <row r="521">
      <c r="B521" s="1"/>
      <c r="C521" s="1"/>
    </row>
    <row r="522">
      <c r="B522" s="1"/>
      <c r="C522" s="1"/>
    </row>
    <row r="523">
      <c r="B523" s="1"/>
      <c r="C523" s="1"/>
    </row>
    <row r="524">
      <c r="B524" s="1"/>
      <c r="C524" s="1"/>
    </row>
    <row r="525">
      <c r="B525" s="1"/>
      <c r="C525" s="1"/>
    </row>
    <row r="526">
      <c r="B526" s="1"/>
      <c r="C526" s="1"/>
    </row>
    <row r="527">
      <c r="B527" s="1"/>
      <c r="C527" s="1"/>
    </row>
    <row r="528">
      <c r="B528" s="1"/>
      <c r="C528" s="1"/>
    </row>
    <row r="529">
      <c r="B529" s="1"/>
      <c r="C529" s="1"/>
    </row>
    <row r="530">
      <c r="B530" s="1"/>
      <c r="C530" s="1"/>
    </row>
    <row r="531">
      <c r="B531" s="1"/>
      <c r="C531" s="1"/>
    </row>
    <row r="532">
      <c r="B532" s="1"/>
      <c r="C532" s="1"/>
    </row>
    <row r="533">
      <c r="B533" s="1"/>
      <c r="C533" s="1"/>
    </row>
    <row r="534">
      <c r="B534" s="1"/>
      <c r="C534" s="1"/>
    </row>
    <row r="535">
      <c r="B535" s="1"/>
      <c r="C535" s="1"/>
    </row>
    <row r="536">
      <c r="B536" s="1"/>
      <c r="C536" s="1"/>
    </row>
    <row r="537">
      <c r="B537" s="1"/>
      <c r="C537" s="1"/>
    </row>
    <row r="538">
      <c r="B538" s="1"/>
      <c r="C538" s="1"/>
    </row>
    <row r="539">
      <c r="B539" s="1"/>
      <c r="C539" s="1"/>
    </row>
    <row r="540">
      <c r="B540" s="1"/>
      <c r="C540" s="1"/>
    </row>
    <row r="541">
      <c r="B541" s="1"/>
      <c r="C541" s="1"/>
    </row>
    <row r="542">
      <c r="B542" s="1"/>
      <c r="C542" s="1"/>
    </row>
    <row r="543">
      <c r="B543" s="1"/>
      <c r="C543" s="1"/>
    </row>
    <row r="544">
      <c r="B544" s="1"/>
      <c r="C544" s="1"/>
    </row>
    <row r="545">
      <c r="B545" s="1"/>
      <c r="C545" s="1"/>
    </row>
    <row r="546">
      <c r="B546" s="1"/>
      <c r="C546" s="1"/>
    </row>
    <row r="547">
      <c r="B547" s="1"/>
      <c r="C547" s="1"/>
    </row>
    <row r="548">
      <c r="B548" s="1"/>
      <c r="C548" s="1"/>
    </row>
    <row r="549">
      <c r="B549" s="1"/>
      <c r="C549" s="1"/>
    </row>
    <row r="550">
      <c r="B550" s="1"/>
      <c r="C550" s="1"/>
    </row>
    <row r="551">
      <c r="B551" s="1"/>
      <c r="C551" s="1"/>
    </row>
    <row r="552">
      <c r="B552" s="1"/>
      <c r="C552" s="1"/>
    </row>
    <row r="553">
      <c r="B553" s="1"/>
      <c r="C553" s="1"/>
    </row>
    <row r="554">
      <c r="B554" s="1"/>
      <c r="C554" s="1"/>
    </row>
    <row r="555">
      <c r="B555" s="1"/>
      <c r="C555" s="1"/>
    </row>
    <row r="556">
      <c r="B556" s="1"/>
      <c r="C556" s="1"/>
    </row>
    <row r="557">
      <c r="B557" s="1"/>
      <c r="C557" s="1"/>
    </row>
    <row r="558">
      <c r="B558" s="1"/>
      <c r="C558" s="1"/>
    </row>
    <row r="559">
      <c r="B559" s="1"/>
      <c r="C559" s="1"/>
    </row>
    <row r="560">
      <c r="B560" s="1"/>
      <c r="C560" s="1"/>
    </row>
    <row r="561">
      <c r="B561" s="1"/>
      <c r="C561" s="1"/>
    </row>
    <row r="562">
      <c r="B562" s="1"/>
      <c r="C562" s="1"/>
    </row>
    <row r="563">
      <c r="B563" s="1"/>
      <c r="C563" s="1"/>
    </row>
    <row r="564">
      <c r="B564" s="1"/>
      <c r="C564" s="1"/>
    </row>
    <row r="565">
      <c r="B565" s="1"/>
      <c r="C565" s="1"/>
    </row>
    <row r="566">
      <c r="B566" s="1"/>
      <c r="C566" s="1"/>
    </row>
    <row r="567">
      <c r="B567" s="1"/>
      <c r="C567" s="1"/>
    </row>
    <row r="568">
      <c r="B568" s="1"/>
      <c r="C568" s="1"/>
    </row>
    <row r="569">
      <c r="B569" s="1"/>
      <c r="C569" s="1"/>
    </row>
    <row r="570">
      <c r="B570" s="1"/>
      <c r="C570" s="1"/>
    </row>
    <row r="571">
      <c r="B571" s="1"/>
      <c r="C571" s="1"/>
    </row>
    <row r="572">
      <c r="B572" s="1"/>
      <c r="C572" s="1"/>
    </row>
    <row r="573">
      <c r="B573" s="1"/>
      <c r="C573" s="1"/>
    </row>
    <row r="574">
      <c r="B574" s="1"/>
      <c r="C574" s="1"/>
    </row>
    <row r="575">
      <c r="B575" s="1"/>
      <c r="C575" s="1"/>
    </row>
    <row r="576">
      <c r="B576" s="1"/>
      <c r="C576" s="1"/>
    </row>
    <row r="577">
      <c r="B577" s="1"/>
      <c r="C577" s="1"/>
    </row>
    <row r="578">
      <c r="B578" s="1"/>
      <c r="C578" s="1"/>
    </row>
    <row r="579">
      <c r="B579" s="1"/>
      <c r="C579" s="1"/>
    </row>
    <row r="580">
      <c r="B580" s="1"/>
      <c r="C580" s="1"/>
    </row>
    <row r="581">
      <c r="B581" s="1"/>
      <c r="C581" s="1"/>
    </row>
    <row r="582">
      <c r="B582" s="1"/>
      <c r="C582" s="1"/>
    </row>
    <row r="583">
      <c r="B583" s="1"/>
      <c r="C583" s="1"/>
    </row>
    <row r="584">
      <c r="B584" s="1"/>
      <c r="C584" s="1"/>
    </row>
    <row r="585">
      <c r="B585" s="1"/>
      <c r="C585" s="1"/>
    </row>
    <row r="586">
      <c r="B586" s="1"/>
      <c r="C586" s="1"/>
    </row>
    <row r="587">
      <c r="B587" s="1"/>
      <c r="C587" s="1"/>
    </row>
    <row r="588">
      <c r="B588" s="1"/>
      <c r="C588" s="1"/>
    </row>
    <row r="589">
      <c r="B589" s="1"/>
      <c r="C589" s="1"/>
    </row>
    <row r="590">
      <c r="B590" s="1"/>
      <c r="C590" s="1"/>
    </row>
    <row r="591">
      <c r="B591" s="1"/>
      <c r="C591" s="1"/>
    </row>
    <row r="592">
      <c r="B592" s="1"/>
      <c r="C592" s="1"/>
    </row>
    <row r="593">
      <c r="B593" s="1"/>
      <c r="C593" s="1"/>
    </row>
    <row r="594">
      <c r="B594" s="1"/>
      <c r="C594" s="1"/>
    </row>
    <row r="595">
      <c r="B595" s="1"/>
      <c r="C595" s="1"/>
    </row>
    <row r="596">
      <c r="B596" s="1"/>
      <c r="C596" s="1"/>
    </row>
    <row r="597">
      <c r="B597" s="1"/>
      <c r="C597" s="1"/>
    </row>
    <row r="598">
      <c r="B598" s="1"/>
      <c r="C598" s="1"/>
    </row>
    <row r="599">
      <c r="B599" s="1"/>
      <c r="C599" s="1"/>
    </row>
    <row r="600">
      <c r="B600" s="1"/>
      <c r="C600" s="1"/>
    </row>
    <row r="601">
      <c r="B601" s="1"/>
      <c r="C601" s="1"/>
    </row>
    <row r="602">
      <c r="B602" s="1"/>
      <c r="C602" s="1"/>
    </row>
    <row r="603">
      <c r="B603" s="1"/>
      <c r="C603" s="1"/>
    </row>
    <row r="604">
      <c r="B604" s="1"/>
      <c r="C604" s="1"/>
    </row>
    <row r="605">
      <c r="B605" s="1"/>
      <c r="C605" s="1"/>
    </row>
    <row r="606">
      <c r="B606" s="1"/>
      <c r="C606" s="1"/>
    </row>
    <row r="607">
      <c r="B607" s="1"/>
      <c r="C607" s="1"/>
    </row>
    <row r="608">
      <c r="B608" s="1"/>
      <c r="C608" s="1"/>
    </row>
    <row r="609">
      <c r="B609" s="1"/>
      <c r="C609" s="1"/>
    </row>
    <row r="610">
      <c r="B610" s="1"/>
      <c r="C610" s="1"/>
    </row>
    <row r="611">
      <c r="B611" s="1"/>
      <c r="C611" s="1"/>
    </row>
    <row r="612">
      <c r="B612" s="1"/>
      <c r="C612" s="1"/>
    </row>
    <row r="613">
      <c r="B613" s="1"/>
      <c r="C613" s="1"/>
    </row>
    <row r="614">
      <c r="B614" s="1"/>
      <c r="C614" s="1"/>
    </row>
    <row r="615">
      <c r="B615" s="1"/>
      <c r="C615" s="1"/>
    </row>
    <row r="616">
      <c r="B616" s="1"/>
      <c r="C616" s="1"/>
    </row>
    <row r="617">
      <c r="B617" s="1"/>
      <c r="C617" s="1"/>
    </row>
    <row r="618">
      <c r="B618" s="1"/>
      <c r="C618" s="1"/>
    </row>
    <row r="619">
      <c r="B619" s="1"/>
      <c r="C619" s="1"/>
    </row>
    <row r="620">
      <c r="B620" s="1"/>
      <c r="C620" s="1"/>
    </row>
    <row r="621">
      <c r="B621" s="1"/>
      <c r="C621" s="1"/>
    </row>
    <row r="622">
      <c r="B622" s="1"/>
      <c r="C622" s="1"/>
    </row>
    <row r="623">
      <c r="B623" s="1"/>
      <c r="C623" s="1"/>
    </row>
    <row r="624">
      <c r="B624" s="1"/>
      <c r="C624" s="1"/>
    </row>
    <row r="625">
      <c r="B625" s="1"/>
      <c r="C625" s="1"/>
    </row>
    <row r="626">
      <c r="B626" s="1"/>
      <c r="C626" s="1"/>
    </row>
    <row r="627">
      <c r="B627" s="1"/>
      <c r="C627" s="1"/>
    </row>
    <row r="628">
      <c r="B628" s="1"/>
      <c r="C628" s="1"/>
    </row>
    <row r="629">
      <c r="B629" s="1"/>
      <c r="C629" s="1"/>
    </row>
    <row r="630">
      <c r="B630" s="1"/>
      <c r="C630" s="1"/>
    </row>
    <row r="631">
      <c r="B631" s="1"/>
      <c r="C631" s="1"/>
    </row>
    <row r="632">
      <c r="B632" s="1"/>
      <c r="C632" s="1"/>
    </row>
    <row r="633">
      <c r="B633" s="1"/>
      <c r="C633" s="1"/>
    </row>
    <row r="634">
      <c r="B634" s="1"/>
      <c r="C634" s="1"/>
    </row>
    <row r="635">
      <c r="B635" s="1"/>
      <c r="C635" s="1"/>
    </row>
    <row r="636">
      <c r="B636" s="1"/>
      <c r="C636" s="1"/>
    </row>
    <row r="637">
      <c r="B637" s="1"/>
      <c r="C637" s="1"/>
    </row>
    <row r="638">
      <c r="B638" s="1"/>
      <c r="C638" s="1"/>
    </row>
    <row r="639">
      <c r="B639" s="1"/>
      <c r="C639" s="1"/>
    </row>
    <row r="640">
      <c r="B640" s="1"/>
      <c r="C640" s="1"/>
    </row>
    <row r="641">
      <c r="B641" s="1"/>
      <c r="C641" s="1"/>
    </row>
    <row r="642">
      <c r="B642" s="1"/>
      <c r="C642" s="1"/>
    </row>
    <row r="643">
      <c r="B643" s="1"/>
      <c r="C643" s="1"/>
    </row>
    <row r="644">
      <c r="B644" s="1"/>
      <c r="C644" s="1"/>
    </row>
    <row r="645">
      <c r="B645" s="1"/>
      <c r="C645" s="1"/>
    </row>
    <row r="646">
      <c r="B646" s="1"/>
      <c r="C646" s="1"/>
    </row>
    <row r="647">
      <c r="B647" s="1"/>
      <c r="C647" s="1"/>
    </row>
    <row r="648">
      <c r="B648" s="1"/>
      <c r="C648" s="1"/>
    </row>
    <row r="649">
      <c r="B649" s="1"/>
      <c r="C649" s="1"/>
    </row>
    <row r="650">
      <c r="B650" s="1"/>
      <c r="C650" s="1"/>
    </row>
    <row r="651">
      <c r="B651" s="1"/>
      <c r="C651" s="1"/>
    </row>
    <row r="652">
      <c r="B652" s="1"/>
      <c r="C652" s="1"/>
    </row>
    <row r="653">
      <c r="B653" s="1"/>
      <c r="C653" s="1"/>
    </row>
    <row r="654">
      <c r="B654" s="1"/>
      <c r="C654" s="1"/>
    </row>
    <row r="655">
      <c r="B655" s="1"/>
      <c r="C655" s="1"/>
    </row>
    <row r="656">
      <c r="B656" s="1"/>
      <c r="C656" s="1"/>
    </row>
    <row r="657">
      <c r="B657" s="1"/>
      <c r="C657" s="1"/>
    </row>
    <row r="658">
      <c r="B658" s="1"/>
      <c r="C658" s="1"/>
    </row>
    <row r="659">
      <c r="B659" s="1"/>
      <c r="C659" s="1"/>
    </row>
    <row r="660">
      <c r="B660" s="1"/>
      <c r="C660" s="1"/>
    </row>
    <row r="661">
      <c r="B661" s="1"/>
      <c r="C661" s="1"/>
    </row>
    <row r="662">
      <c r="B662" s="1"/>
      <c r="C662" s="1"/>
    </row>
    <row r="663">
      <c r="B663" s="1"/>
      <c r="C663" s="1"/>
    </row>
    <row r="664">
      <c r="B664" s="1"/>
      <c r="C664" s="1"/>
    </row>
    <row r="665">
      <c r="B665" s="1"/>
      <c r="C665" s="1"/>
    </row>
    <row r="666">
      <c r="B666" s="1"/>
      <c r="C666" s="1"/>
    </row>
    <row r="667">
      <c r="B667" s="1"/>
      <c r="C667" s="1"/>
    </row>
    <row r="668">
      <c r="B668" s="1"/>
      <c r="C668" s="1"/>
    </row>
    <row r="669">
      <c r="B669" s="1"/>
      <c r="C669" s="1"/>
    </row>
    <row r="670">
      <c r="B670" s="1"/>
      <c r="C670" s="1"/>
    </row>
    <row r="671">
      <c r="B671" s="1"/>
      <c r="C671" s="1"/>
    </row>
    <row r="672">
      <c r="B672" s="1"/>
      <c r="C672" s="1"/>
    </row>
    <row r="673">
      <c r="B673" s="1"/>
      <c r="C673" s="1"/>
    </row>
    <row r="674">
      <c r="B674" s="1"/>
      <c r="C674" s="1"/>
    </row>
    <row r="675">
      <c r="B675" s="1"/>
      <c r="C675" s="1"/>
    </row>
    <row r="676">
      <c r="B676" s="1"/>
      <c r="C676" s="1"/>
    </row>
    <row r="677">
      <c r="B677" s="1"/>
      <c r="C677" s="1"/>
    </row>
    <row r="678">
      <c r="B678" s="1"/>
      <c r="C678" s="1"/>
    </row>
    <row r="679">
      <c r="B679" s="1"/>
      <c r="C679" s="1"/>
    </row>
    <row r="680">
      <c r="B680" s="1"/>
      <c r="C680" s="1"/>
    </row>
    <row r="681">
      <c r="B681" s="1"/>
      <c r="C681" s="1"/>
    </row>
    <row r="682">
      <c r="B682" s="1"/>
      <c r="C682" s="1"/>
    </row>
    <row r="683">
      <c r="B683" s="1"/>
      <c r="C683" s="1"/>
    </row>
    <row r="684">
      <c r="B684" s="1"/>
      <c r="C684" s="1"/>
    </row>
    <row r="685">
      <c r="B685" s="1"/>
      <c r="C685" s="1"/>
    </row>
    <row r="686">
      <c r="B686" s="1"/>
      <c r="C686" s="1"/>
    </row>
    <row r="687">
      <c r="B687" s="1"/>
      <c r="C687" s="1"/>
    </row>
    <row r="688">
      <c r="B688" s="1"/>
      <c r="C688" s="1"/>
    </row>
    <row r="689">
      <c r="B689" s="1"/>
      <c r="C689" s="1"/>
    </row>
    <row r="690">
      <c r="B690" s="1"/>
      <c r="C690" s="1"/>
    </row>
    <row r="691">
      <c r="B691" s="1"/>
      <c r="C691" s="1"/>
    </row>
    <row r="692">
      <c r="B692" s="1"/>
      <c r="C692" s="1"/>
    </row>
    <row r="693">
      <c r="B693" s="1"/>
      <c r="C693" s="1"/>
    </row>
    <row r="694">
      <c r="B694" s="1"/>
      <c r="C694" s="1"/>
    </row>
    <row r="695">
      <c r="B695" s="1"/>
      <c r="C695" s="1"/>
    </row>
    <row r="696">
      <c r="B696" s="1"/>
      <c r="C696" s="1"/>
    </row>
    <row r="697">
      <c r="B697" s="1"/>
      <c r="C697" s="1"/>
    </row>
    <row r="698">
      <c r="B698" s="1"/>
      <c r="C698" s="1"/>
    </row>
    <row r="699">
      <c r="B699" s="1"/>
      <c r="C699" s="1"/>
    </row>
    <row r="700">
      <c r="B700" s="1"/>
      <c r="C700" s="1"/>
    </row>
    <row r="701">
      <c r="B701" s="1"/>
      <c r="C701" s="1"/>
    </row>
    <row r="702">
      <c r="B702" s="1"/>
      <c r="C702" s="1"/>
    </row>
    <row r="703">
      <c r="B703" s="1"/>
      <c r="C703" s="1"/>
    </row>
    <row r="704">
      <c r="B704" s="1"/>
      <c r="C704" s="1"/>
    </row>
    <row r="705">
      <c r="B705" s="1"/>
      <c r="C705" s="1"/>
    </row>
    <row r="706">
      <c r="B706" s="1"/>
      <c r="C706" s="1"/>
    </row>
    <row r="707">
      <c r="B707" s="1"/>
      <c r="C707" s="1"/>
    </row>
    <row r="708">
      <c r="B708" s="1"/>
      <c r="C708" s="1"/>
    </row>
    <row r="709">
      <c r="B709" s="1"/>
      <c r="C709" s="1"/>
    </row>
    <row r="710">
      <c r="B710" s="1"/>
      <c r="C710" s="1"/>
    </row>
    <row r="711">
      <c r="B711" s="1"/>
      <c r="C711" s="1"/>
    </row>
    <row r="712">
      <c r="B712" s="1"/>
      <c r="C712" s="1"/>
    </row>
    <row r="713">
      <c r="B713" s="1"/>
      <c r="C713" s="1"/>
    </row>
    <row r="714">
      <c r="B714" s="1"/>
      <c r="C714" s="1"/>
    </row>
    <row r="715">
      <c r="B715" s="1"/>
      <c r="C715" s="1"/>
    </row>
    <row r="716">
      <c r="B716" s="1"/>
      <c r="C716" s="1"/>
    </row>
    <row r="717">
      <c r="B717" s="1"/>
      <c r="C717" s="1"/>
    </row>
    <row r="718">
      <c r="B718" s="1"/>
      <c r="C718" s="1"/>
    </row>
    <row r="719">
      <c r="B719" s="1"/>
      <c r="C719" s="1"/>
    </row>
    <row r="720">
      <c r="B720" s="1"/>
      <c r="C720" s="1"/>
    </row>
    <row r="721">
      <c r="B721" s="1"/>
      <c r="C721" s="1"/>
    </row>
    <row r="722">
      <c r="B722" s="1"/>
      <c r="C722" s="1"/>
    </row>
    <row r="723">
      <c r="B723" s="1"/>
      <c r="C723" s="1"/>
    </row>
    <row r="724">
      <c r="B724" s="1"/>
      <c r="C724" s="1"/>
    </row>
    <row r="725">
      <c r="B725" s="1"/>
      <c r="C725" s="1"/>
    </row>
    <row r="726">
      <c r="B726" s="1"/>
      <c r="C726" s="1"/>
    </row>
    <row r="727">
      <c r="B727" s="1"/>
      <c r="C727" s="1"/>
    </row>
    <row r="728">
      <c r="B728" s="1"/>
      <c r="C728" s="1"/>
    </row>
    <row r="729">
      <c r="B729" s="1"/>
      <c r="C729" s="1"/>
    </row>
    <row r="730">
      <c r="B730" s="1"/>
      <c r="C730" s="1"/>
    </row>
    <row r="731">
      <c r="B731" s="1"/>
      <c r="C731" s="1"/>
    </row>
    <row r="732">
      <c r="B732" s="1"/>
      <c r="C732" s="1"/>
    </row>
    <row r="733">
      <c r="B733" s="1"/>
      <c r="C733" s="1"/>
    </row>
    <row r="734">
      <c r="B734" s="1"/>
      <c r="C734" s="1"/>
    </row>
    <row r="735">
      <c r="B735" s="1"/>
      <c r="C735" s="1"/>
    </row>
    <row r="736">
      <c r="B736" s="1"/>
      <c r="C736" s="1"/>
    </row>
    <row r="737">
      <c r="B737" s="1"/>
      <c r="C737" s="1"/>
    </row>
    <row r="738">
      <c r="B738" s="1"/>
      <c r="C738" s="1"/>
    </row>
    <row r="739">
      <c r="B739" s="1"/>
      <c r="C739" s="1"/>
    </row>
    <row r="740">
      <c r="B740" s="1"/>
      <c r="C740" s="1"/>
    </row>
    <row r="741">
      <c r="B741" s="1"/>
      <c r="C741" s="1"/>
    </row>
    <row r="742">
      <c r="B742" s="1"/>
      <c r="C742" s="1"/>
    </row>
    <row r="743">
      <c r="B743" s="1"/>
      <c r="C743" s="1"/>
    </row>
    <row r="744">
      <c r="B744" s="1"/>
      <c r="C744" s="1"/>
    </row>
    <row r="745">
      <c r="B745" s="1"/>
      <c r="C745" s="1"/>
    </row>
    <row r="746">
      <c r="B746" s="1"/>
      <c r="C746" s="1"/>
    </row>
    <row r="747">
      <c r="B747" s="1"/>
      <c r="C747" s="1"/>
    </row>
    <row r="748">
      <c r="B748" s="1"/>
      <c r="C748" s="1"/>
    </row>
    <row r="749">
      <c r="B749" s="1"/>
      <c r="C749" s="1"/>
    </row>
    <row r="750">
      <c r="B750" s="1"/>
      <c r="C750" s="1"/>
    </row>
    <row r="751">
      <c r="B751" s="1"/>
      <c r="C751" s="1"/>
    </row>
    <row r="752">
      <c r="B752" s="1"/>
      <c r="C752" s="1"/>
    </row>
    <row r="753">
      <c r="B753" s="1"/>
      <c r="C753" s="1"/>
    </row>
    <row r="754">
      <c r="B754" s="1"/>
      <c r="C754" s="1"/>
    </row>
    <row r="755">
      <c r="B755" s="1"/>
      <c r="C755" s="1"/>
    </row>
    <row r="756">
      <c r="B756" s="1"/>
      <c r="C756" s="1"/>
    </row>
    <row r="757">
      <c r="B757" s="1"/>
      <c r="C757" s="1"/>
    </row>
    <row r="758">
      <c r="B758" s="1"/>
      <c r="C758" s="1"/>
    </row>
    <row r="759">
      <c r="B759" s="1"/>
      <c r="C759" s="1"/>
    </row>
    <row r="760">
      <c r="B760" s="1"/>
      <c r="C760" s="1"/>
    </row>
    <row r="761">
      <c r="B761" s="1"/>
      <c r="C761" s="1"/>
    </row>
    <row r="762">
      <c r="B762" s="1"/>
      <c r="C762" s="1"/>
    </row>
    <row r="763">
      <c r="B763" s="1"/>
      <c r="C763" s="1"/>
    </row>
    <row r="764">
      <c r="B764" s="1"/>
      <c r="C764" s="1"/>
    </row>
    <row r="765">
      <c r="B765" s="1"/>
      <c r="C765" s="1"/>
    </row>
    <row r="766">
      <c r="B766" s="1"/>
      <c r="C766" s="1"/>
    </row>
    <row r="767">
      <c r="B767" s="1"/>
      <c r="C767" s="1"/>
    </row>
    <row r="768">
      <c r="B768" s="1"/>
      <c r="C768" s="1"/>
    </row>
    <row r="769">
      <c r="B769" s="1"/>
      <c r="C769" s="1"/>
    </row>
    <row r="770">
      <c r="B770" s="1"/>
      <c r="C770" s="1"/>
    </row>
    <row r="771">
      <c r="B771" s="1"/>
      <c r="C771" s="1"/>
    </row>
    <row r="772">
      <c r="B772" s="1"/>
      <c r="C772" s="1"/>
    </row>
    <row r="773">
      <c r="B773" s="1"/>
      <c r="C773" s="1"/>
    </row>
    <row r="774">
      <c r="B774" s="1"/>
      <c r="C774" s="1"/>
    </row>
    <row r="775">
      <c r="B775" s="1"/>
      <c r="C775" s="1"/>
    </row>
    <row r="776">
      <c r="B776" s="1"/>
      <c r="C776" s="1"/>
    </row>
    <row r="777">
      <c r="B777" s="1"/>
      <c r="C777" s="1"/>
    </row>
    <row r="778">
      <c r="B778" s="1"/>
      <c r="C778" s="1"/>
    </row>
    <row r="779">
      <c r="B779" s="1"/>
      <c r="C779" s="1"/>
    </row>
    <row r="780">
      <c r="B780" s="1"/>
      <c r="C780" s="1"/>
    </row>
    <row r="781">
      <c r="B781" s="1"/>
      <c r="C781" s="1"/>
    </row>
    <row r="782">
      <c r="B782" s="1"/>
      <c r="C782" s="1"/>
    </row>
    <row r="783">
      <c r="B783" s="1"/>
      <c r="C783" s="1"/>
    </row>
    <row r="784">
      <c r="B784" s="1"/>
      <c r="C784" s="1"/>
    </row>
    <row r="785">
      <c r="B785" s="1"/>
      <c r="C785" s="1"/>
    </row>
    <row r="786">
      <c r="B786" s="1"/>
      <c r="C786" s="1"/>
    </row>
    <row r="787">
      <c r="B787" s="1"/>
      <c r="C787" s="1"/>
    </row>
    <row r="788">
      <c r="B788" s="1"/>
      <c r="C788" s="1"/>
    </row>
    <row r="789">
      <c r="B789" s="1"/>
      <c r="C789" s="1"/>
    </row>
    <row r="790">
      <c r="B790" s="1"/>
      <c r="C790" s="1"/>
    </row>
    <row r="791">
      <c r="B791" s="1"/>
      <c r="C791" s="1"/>
    </row>
    <row r="792">
      <c r="B792" s="1"/>
      <c r="C792" s="1"/>
    </row>
    <row r="793">
      <c r="B793" s="1"/>
      <c r="C793" s="1"/>
    </row>
    <row r="794">
      <c r="B794" s="1"/>
      <c r="C794" s="1"/>
    </row>
    <row r="795">
      <c r="B795" s="1"/>
      <c r="C795" s="1"/>
    </row>
    <row r="796">
      <c r="B796" s="1"/>
      <c r="C796" s="1"/>
    </row>
    <row r="797">
      <c r="B797" s="1"/>
      <c r="C797" s="1"/>
    </row>
    <row r="798">
      <c r="B798" s="1"/>
      <c r="C798" s="1"/>
    </row>
    <row r="799">
      <c r="B799" s="1"/>
      <c r="C799" s="1"/>
    </row>
    <row r="800">
      <c r="B800" s="1"/>
      <c r="C800" s="1"/>
    </row>
    <row r="801">
      <c r="B801" s="1"/>
      <c r="C801" s="1"/>
    </row>
    <row r="802">
      <c r="B802" s="1"/>
      <c r="C802" s="1"/>
    </row>
    <row r="803">
      <c r="B803" s="1"/>
      <c r="C803" s="1"/>
    </row>
    <row r="804">
      <c r="B804" s="1"/>
      <c r="C804" s="1"/>
    </row>
    <row r="805">
      <c r="B805" s="1"/>
      <c r="C805" s="1"/>
    </row>
    <row r="806">
      <c r="B806" s="1"/>
      <c r="C806" s="1"/>
    </row>
    <row r="807">
      <c r="B807" s="1"/>
      <c r="C807" s="1"/>
    </row>
    <row r="808">
      <c r="B808" s="1"/>
      <c r="C808" s="1"/>
    </row>
    <row r="809">
      <c r="B809" s="1"/>
      <c r="C809" s="1"/>
    </row>
    <row r="810">
      <c r="B810" s="1"/>
      <c r="C810" s="1"/>
    </row>
    <row r="811">
      <c r="B811" s="1"/>
      <c r="C811" s="1"/>
    </row>
    <row r="812">
      <c r="B812" s="1"/>
      <c r="C812" s="1"/>
    </row>
    <row r="813">
      <c r="B813" s="1"/>
      <c r="C813" s="1"/>
    </row>
    <row r="814">
      <c r="B814" s="1"/>
      <c r="C814" s="1"/>
    </row>
    <row r="815">
      <c r="B815" s="1"/>
      <c r="C815" s="1"/>
    </row>
    <row r="816">
      <c r="B816" s="1"/>
      <c r="C816" s="1"/>
    </row>
    <row r="817">
      <c r="B817" s="1"/>
      <c r="C817" s="1"/>
    </row>
    <row r="818">
      <c r="B818" s="1"/>
      <c r="C818" s="1"/>
    </row>
    <row r="819">
      <c r="B819" s="1"/>
      <c r="C819" s="1"/>
    </row>
    <row r="820">
      <c r="B820" s="1"/>
      <c r="C820" s="1"/>
    </row>
    <row r="821">
      <c r="B821" s="1"/>
      <c r="C821" s="1"/>
    </row>
    <row r="822">
      <c r="B822" s="1"/>
      <c r="C822" s="1"/>
    </row>
    <row r="823">
      <c r="B823" s="1"/>
      <c r="C823" s="1"/>
    </row>
    <row r="824">
      <c r="B824" s="1"/>
      <c r="C824" s="1"/>
    </row>
    <row r="825">
      <c r="B825" s="1"/>
      <c r="C825" s="1"/>
    </row>
    <row r="826">
      <c r="B826" s="1"/>
      <c r="C826" s="1"/>
    </row>
    <row r="827">
      <c r="B827" s="1"/>
      <c r="C827" s="1"/>
    </row>
    <row r="828">
      <c r="B828" s="1"/>
      <c r="C828" s="1"/>
    </row>
    <row r="829">
      <c r="B829" s="1"/>
      <c r="C829" s="1"/>
    </row>
    <row r="830">
      <c r="B830" s="1"/>
      <c r="C830" s="1"/>
    </row>
    <row r="831">
      <c r="B831" s="1"/>
      <c r="C831" s="1"/>
    </row>
    <row r="832">
      <c r="B832" s="1"/>
      <c r="C832" s="1"/>
    </row>
    <row r="833">
      <c r="B833" s="1"/>
      <c r="C833" s="1"/>
    </row>
    <row r="834">
      <c r="B834" s="1"/>
      <c r="C834" s="1"/>
    </row>
    <row r="835">
      <c r="B835" s="1"/>
      <c r="C835" s="1"/>
    </row>
    <row r="836">
      <c r="B836" s="1"/>
      <c r="C836" s="1"/>
    </row>
    <row r="837">
      <c r="B837" s="1"/>
      <c r="C837" s="1"/>
    </row>
    <row r="838">
      <c r="B838" s="1"/>
      <c r="C838" s="1"/>
    </row>
    <row r="839">
      <c r="B839" s="1"/>
      <c r="C839" s="1"/>
    </row>
    <row r="840">
      <c r="B840" s="1"/>
      <c r="C840" s="1"/>
    </row>
    <row r="841">
      <c r="B841" s="1"/>
      <c r="C841" s="1"/>
    </row>
    <row r="842">
      <c r="B842" s="1"/>
      <c r="C842" s="1"/>
    </row>
    <row r="843">
      <c r="B843" s="1"/>
      <c r="C843" s="1"/>
    </row>
    <row r="844">
      <c r="B844" s="1"/>
      <c r="C844" s="1"/>
    </row>
    <row r="845">
      <c r="B845" s="1"/>
      <c r="C845" s="1"/>
    </row>
    <row r="846">
      <c r="B846" s="1"/>
      <c r="C846" s="1"/>
    </row>
    <row r="847">
      <c r="B847" s="1"/>
      <c r="C847" s="1"/>
    </row>
    <row r="848">
      <c r="B848" s="1"/>
      <c r="C848" s="1"/>
    </row>
    <row r="849">
      <c r="B849" s="1"/>
      <c r="C849" s="1"/>
    </row>
    <row r="850">
      <c r="B850" s="1"/>
      <c r="C850" s="1"/>
    </row>
    <row r="851">
      <c r="B851" s="1"/>
      <c r="C851" s="1"/>
    </row>
    <row r="852">
      <c r="B852" s="1"/>
      <c r="C852" s="1"/>
    </row>
    <row r="853">
      <c r="B853" s="1"/>
      <c r="C853" s="1"/>
    </row>
    <row r="854">
      <c r="B854" s="1"/>
      <c r="C854" s="1"/>
    </row>
    <row r="855">
      <c r="B855" s="1"/>
      <c r="C855" s="1"/>
    </row>
    <row r="856">
      <c r="B856" s="1"/>
      <c r="C856" s="1"/>
    </row>
    <row r="857">
      <c r="B857" s="1"/>
      <c r="C857" s="1"/>
    </row>
    <row r="858">
      <c r="B858" s="1"/>
      <c r="C858" s="1"/>
    </row>
    <row r="859">
      <c r="B859" s="1"/>
      <c r="C859" s="1"/>
    </row>
    <row r="860">
      <c r="B860" s="1"/>
      <c r="C860" s="1"/>
    </row>
    <row r="861">
      <c r="B861" s="1"/>
      <c r="C861" s="1"/>
    </row>
    <row r="862">
      <c r="B862" s="1"/>
      <c r="C862" s="1"/>
    </row>
    <row r="863">
      <c r="B863" s="1"/>
      <c r="C863" s="1"/>
    </row>
    <row r="864">
      <c r="B864" s="1"/>
      <c r="C864" s="1"/>
    </row>
    <row r="865">
      <c r="B865" s="1"/>
      <c r="C865" s="1"/>
    </row>
    <row r="866">
      <c r="B866" s="1"/>
      <c r="C866" s="1"/>
    </row>
    <row r="867">
      <c r="B867" s="1"/>
      <c r="C867" s="1"/>
    </row>
    <row r="868">
      <c r="B868" s="1"/>
      <c r="C868" s="1"/>
    </row>
    <row r="869">
      <c r="B869" s="1"/>
      <c r="C869" s="1"/>
    </row>
    <row r="870">
      <c r="B870" s="1"/>
      <c r="C870" s="1"/>
    </row>
    <row r="871">
      <c r="B871" s="1"/>
      <c r="C871" s="1"/>
    </row>
    <row r="872">
      <c r="B872" s="1"/>
      <c r="C872" s="1"/>
    </row>
    <row r="873">
      <c r="B873" s="1"/>
      <c r="C873" s="1"/>
    </row>
    <row r="874">
      <c r="B874" s="1"/>
      <c r="C874" s="1"/>
    </row>
    <row r="875">
      <c r="B875" s="1"/>
      <c r="C875" s="1"/>
    </row>
    <row r="876">
      <c r="B876" s="1"/>
      <c r="C876" s="1"/>
    </row>
    <row r="877">
      <c r="B877" s="1"/>
      <c r="C877" s="1"/>
    </row>
    <row r="878">
      <c r="B878" s="1"/>
      <c r="C878" s="1"/>
    </row>
    <row r="879">
      <c r="B879" s="1"/>
      <c r="C879" s="1"/>
    </row>
    <row r="880">
      <c r="B880" s="1"/>
      <c r="C880" s="1"/>
    </row>
    <row r="881">
      <c r="B881" s="1"/>
      <c r="C881" s="1"/>
    </row>
    <row r="882">
      <c r="B882" s="1"/>
      <c r="C882" s="1"/>
    </row>
    <row r="883">
      <c r="B883" s="1"/>
      <c r="C883" s="1"/>
    </row>
    <row r="884">
      <c r="B884" s="1"/>
      <c r="C884" s="1"/>
    </row>
    <row r="885">
      <c r="B885" s="1"/>
      <c r="C885" s="1"/>
    </row>
    <row r="886">
      <c r="B886" s="1"/>
      <c r="C886" s="1"/>
    </row>
    <row r="887">
      <c r="B887" s="1"/>
      <c r="C887" s="1"/>
    </row>
    <row r="888">
      <c r="B888" s="1"/>
      <c r="C888" s="1"/>
    </row>
    <row r="889">
      <c r="B889" s="1"/>
      <c r="C889" s="1"/>
    </row>
    <row r="890">
      <c r="B890" s="1"/>
      <c r="C890" s="1"/>
    </row>
    <row r="891">
      <c r="B891" s="1"/>
      <c r="C891" s="1"/>
    </row>
    <row r="892">
      <c r="B892" s="1"/>
      <c r="C892" s="1"/>
    </row>
    <row r="893">
      <c r="B893" s="1"/>
      <c r="C893" s="1"/>
    </row>
    <row r="894">
      <c r="B894" s="1"/>
      <c r="C894" s="1"/>
    </row>
    <row r="895">
      <c r="B895" s="1"/>
      <c r="C895" s="1"/>
    </row>
    <row r="896">
      <c r="B896" s="1"/>
      <c r="C896" s="1"/>
    </row>
    <row r="897">
      <c r="B897" s="1"/>
      <c r="C897" s="1"/>
    </row>
    <row r="898">
      <c r="B898" s="1"/>
      <c r="C898" s="1"/>
    </row>
    <row r="899">
      <c r="B899" s="1"/>
      <c r="C899" s="1"/>
    </row>
    <row r="900">
      <c r="B900" s="1"/>
      <c r="C900" s="1"/>
    </row>
    <row r="901">
      <c r="B901" s="1"/>
      <c r="C901" s="1"/>
    </row>
    <row r="902">
      <c r="B902" s="1"/>
      <c r="C902" s="1"/>
    </row>
    <row r="903">
      <c r="B903" s="1"/>
      <c r="C903" s="1"/>
    </row>
    <row r="904">
      <c r="B904" s="1"/>
      <c r="C904" s="1"/>
    </row>
    <row r="905">
      <c r="B905" s="1"/>
      <c r="C905" s="1"/>
    </row>
    <row r="906">
      <c r="B906" s="1"/>
      <c r="C906" s="1"/>
    </row>
    <row r="907">
      <c r="B907" s="1"/>
      <c r="C907" s="1"/>
    </row>
    <row r="908">
      <c r="B908" s="1"/>
      <c r="C908" s="1"/>
    </row>
    <row r="909">
      <c r="B909" s="1"/>
      <c r="C909" s="1"/>
    </row>
    <row r="910">
      <c r="B910" s="1"/>
      <c r="C910" s="1"/>
    </row>
    <row r="911">
      <c r="B911" s="1"/>
      <c r="C911" s="1"/>
    </row>
    <row r="912">
      <c r="B912" s="1"/>
      <c r="C912" s="1"/>
    </row>
    <row r="913">
      <c r="B913" s="1"/>
      <c r="C913" s="1"/>
    </row>
    <row r="914">
      <c r="B914" s="1"/>
      <c r="C914" s="1"/>
    </row>
    <row r="915">
      <c r="B915" s="1"/>
      <c r="C915" s="1"/>
    </row>
    <row r="916">
      <c r="B916" s="1"/>
      <c r="C916" s="1"/>
    </row>
    <row r="917">
      <c r="B917" s="1"/>
      <c r="C917" s="1"/>
    </row>
    <row r="918">
      <c r="B918" s="1"/>
      <c r="C918" s="1"/>
    </row>
    <row r="919">
      <c r="B919" s="1"/>
      <c r="C919" s="1"/>
    </row>
    <row r="920">
      <c r="B920" s="1"/>
      <c r="C920" s="1"/>
    </row>
    <row r="921">
      <c r="B921" s="1"/>
      <c r="C921" s="1"/>
    </row>
    <row r="922">
      <c r="B922" s="1"/>
      <c r="C922" s="1"/>
    </row>
    <row r="923">
      <c r="B923" s="1"/>
      <c r="C923" s="1"/>
    </row>
    <row r="924">
      <c r="B924" s="1"/>
      <c r="C924" s="1"/>
    </row>
    <row r="925">
      <c r="B925" s="1"/>
      <c r="C925" s="1"/>
    </row>
    <row r="926">
      <c r="B926" s="1"/>
      <c r="C926" s="1"/>
    </row>
    <row r="927">
      <c r="B927" s="1"/>
      <c r="C927" s="1"/>
    </row>
    <row r="928">
      <c r="B928" s="1"/>
      <c r="C928" s="1"/>
    </row>
    <row r="929">
      <c r="B929" s="1"/>
      <c r="C929" s="1"/>
    </row>
    <row r="930">
      <c r="B930" s="1"/>
      <c r="C930" s="1"/>
    </row>
    <row r="931">
      <c r="B931" s="1"/>
      <c r="C931" s="1"/>
    </row>
    <row r="932">
      <c r="B932" s="1"/>
      <c r="C932" s="1"/>
    </row>
    <row r="933">
      <c r="B933" s="1"/>
      <c r="C933" s="1"/>
    </row>
    <row r="934">
      <c r="B934" s="1"/>
      <c r="C934" s="1"/>
    </row>
    <row r="935">
      <c r="B935" s="1"/>
      <c r="C935" s="1"/>
    </row>
    <row r="936">
      <c r="B936" s="1"/>
      <c r="C936" s="1"/>
    </row>
    <row r="937">
      <c r="B937" s="1"/>
      <c r="C937" s="1"/>
    </row>
    <row r="938">
      <c r="B938" s="1"/>
      <c r="C938" s="1"/>
    </row>
    <row r="939">
      <c r="B939" s="1"/>
      <c r="C939" s="1"/>
    </row>
    <row r="940">
      <c r="B940" s="1"/>
      <c r="C940" s="1"/>
    </row>
    <row r="941">
      <c r="B941" s="1"/>
      <c r="C941" s="1"/>
    </row>
    <row r="942">
      <c r="B942" s="1"/>
      <c r="C942" s="1"/>
    </row>
    <row r="943">
      <c r="B943" s="1"/>
      <c r="C943" s="1"/>
    </row>
    <row r="944">
      <c r="B944" s="1"/>
      <c r="C944" s="1"/>
    </row>
    <row r="945">
      <c r="B945" s="1"/>
      <c r="C945" s="1"/>
    </row>
    <row r="946">
      <c r="B946" s="1"/>
      <c r="C946" s="1"/>
    </row>
    <row r="947">
      <c r="B947" s="1"/>
      <c r="C947" s="1"/>
    </row>
    <row r="948">
      <c r="B948" s="1"/>
      <c r="C948" s="1"/>
    </row>
    <row r="949">
      <c r="B949" s="1"/>
      <c r="C949" s="1"/>
    </row>
    <row r="950">
      <c r="B950" s="1"/>
      <c r="C950" s="1"/>
    </row>
    <row r="951">
      <c r="B951" s="1"/>
      <c r="C951" s="1"/>
    </row>
    <row r="952">
      <c r="B952" s="1"/>
      <c r="C952" s="1"/>
    </row>
    <row r="953">
      <c r="B953" s="1"/>
      <c r="C953" s="1"/>
    </row>
    <row r="954">
      <c r="B954" s="1"/>
      <c r="C954" s="1"/>
    </row>
    <row r="955">
      <c r="B955" s="1"/>
      <c r="C955" s="1"/>
    </row>
    <row r="956">
      <c r="B956" s="1"/>
      <c r="C956" s="1"/>
    </row>
    <row r="957">
      <c r="B957" s="1"/>
      <c r="C957" s="1"/>
    </row>
    <row r="958">
      <c r="B958" s="1"/>
      <c r="C958" s="1"/>
    </row>
    <row r="959">
      <c r="B959" s="1"/>
      <c r="C959" s="1"/>
    </row>
    <row r="960">
      <c r="B960" s="1"/>
      <c r="C960" s="1"/>
    </row>
    <row r="961">
      <c r="B961" s="1"/>
      <c r="C961" s="1"/>
    </row>
    <row r="962">
      <c r="B962" s="1"/>
      <c r="C962" s="1"/>
    </row>
    <row r="963">
      <c r="B963" s="1"/>
      <c r="C963" s="1"/>
    </row>
    <row r="964">
      <c r="B964" s="1"/>
      <c r="C964" s="1"/>
    </row>
    <row r="965">
      <c r="B965" s="1"/>
      <c r="C965" s="1"/>
    </row>
    <row r="966">
      <c r="B966" s="1"/>
      <c r="C966" s="1"/>
    </row>
    <row r="967">
      <c r="B967" s="1"/>
      <c r="C967" s="1"/>
    </row>
    <row r="968">
      <c r="B968" s="1"/>
      <c r="C968" s="1"/>
    </row>
    <row r="969">
      <c r="B969" s="1"/>
      <c r="C969" s="1"/>
    </row>
    <row r="970">
      <c r="B970" s="1"/>
      <c r="C970" s="1"/>
    </row>
    <row r="971">
      <c r="B971" s="1"/>
      <c r="C971" s="1"/>
    </row>
    <row r="972">
      <c r="B972" s="1"/>
      <c r="C972" s="1"/>
    </row>
    <row r="973">
      <c r="B973" s="1"/>
      <c r="C973" s="1"/>
    </row>
    <row r="974">
      <c r="B974" s="1"/>
      <c r="C974" s="1"/>
    </row>
    <row r="975">
      <c r="B975" s="1"/>
      <c r="C975" s="1"/>
    </row>
    <row r="976">
      <c r="B976" s="1"/>
      <c r="C976" s="1"/>
    </row>
    <row r="977">
      <c r="B977" s="1"/>
      <c r="C977" s="1"/>
    </row>
    <row r="978">
      <c r="B978" s="1"/>
      <c r="C978" s="1"/>
    </row>
    <row r="979">
      <c r="B979" s="1"/>
      <c r="C979" s="1"/>
    </row>
    <row r="980">
      <c r="B980" s="1"/>
      <c r="C980" s="1"/>
    </row>
    <row r="981">
      <c r="B981" s="1"/>
      <c r="C981" s="1"/>
    </row>
    <row r="982">
      <c r="B982" s="1"/>
      <c r="C982" s="1"/>
    </row>
    <row r="983">
      <c r="B983" s="1"/>
      <c r="C983" s="1"/>
    </row>
    <row r="984">
      <c r="B984" s="1"/>
      <c r="C984" s="1"/>
    </row>
    <row r="985">
      <c r="B985" s="1"/>
      <c r="C985" s="1"/>
    </row>
    <row r="986">
      <c r="B986" s="1"/>
      <c r="C986" s="1"/>
    </row>
    <row r="987">
      <c r="B987" s="1"/>
      <c r="C987" s="1"/>
    </row>
    <row r="988">
      <c r="B988" s="1"/>
      <c r="C988" s="1"/>
    </row>
    <row r="989">
      <c r="B989" s="1"/>
      <c r="C989" s="1"/>
    </row>
    <row r="990">
      <c r="B990" s="1"/>
      <c r="C990" s="1"/>
    </row>
    <row r="991">
      <c r="B991" s="1"/>
      <c r="C991" s="1"/>
    </row>
    <row r="992">
      <c r="B992" s="1"/>
      <c r="C992" s="1"/>
    </row>
    <row r="993">
      <c r="B993" s="1"/>
      <c r="C993" s="1"/>
    </row>
    <row r="994">
      <c r="B994" s="1"/>
      <c r="C994" s="1"/>
    </row>
    <row r="995">
      <c r="B995" s="1"/>
      <c r="C995" s="1"/>
    </row>
    <row r="996">
      <c r="B996" s="1"/>
      <c r="C996" s="1"/>
    </row>
    <row r="997">
      <c r="B997" s="1"/>
      <c r="C997" s="1"/>
    </row>
    <row r="998">
      <c r="B998" s="1"/>
      <c r="C998" s="1"/>
    </row>
    <row r="999">
      <c r="B999" s="1"/>
      <c r="C999" s="1"/>
    </row>
    <row r="1000">
      <c r="B1000" s="1"/>
      <c r="C1000" s="1"/>
    </row>
  </sheetData>
  <dataValidations>
    <dataValidation type="list" allowBlank="1" sqref="C2:C1000">
      <formula1>Worlds!$A$2:$A1000</formula1>
    </dataValidation>
    <dataValidation type="list" allowBlank="1" sqref="B2:B1000">
      <formula1>SelectedWorldRegions!$A$1:$A1000</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1.63"/>
    <col customWidth="1" min="2" max="2" width="19.38"/>
    <col customWidth="1" min="3" max="3" width="21.75"/>
  </cols>
  <sheetData>
    <row r="1">
      <c r="A1" s="128" t="s">
        <v>52</v>
      </c>
      <c r="B1" s="128" t="s">
        <v>124</v>
      </c>
      <c r="C1" s="128" t="s">
        <v>53</v>
      </c>
    </row>
    <row r="2">
      <c r="A2" s="1" t="str">
        <f>IFERROR(__xludf.DUMMYFUNCTION("VSTACK(IFERROR(QUERY(SelectedWorldRegionMobs!$A:$A,""Select A where A &lt;&gt; ''"")),IFERROR(QUERY(BadEncounters!$A$2:$C1000,""Select A where B contains '""&amp;Encounters!D2&amp;""' ""&amp;Encounters!E3&amp;"" B contains '""&amp;Encounters!D3&amp;""' ""&amp;Encounters!E4&amp;"" B contains '"&amp;"""&amp;Encounters!D4&amp;""' AND C contains '""&amp;Encounters!D1&amp;""'"")))"),"Assassin Doll")</f>
        <v>Assassin Doll</v>
      </c>
      <c r="B2" s="1" t="str">
        <f>IFERROR(__xludf.DUMMYFUNCTION("IFERROR(QUERY(NeutEncounters!$A$2:$C1000,""Select A where B contains '""&amp;Encounters!D2&amp;""' ""&amp;Encounters!E3&amp;"" B contains '""&amp;Encounters!D3&amp;""' ""&amp;Encounters!E4&amp;"" B contains '""&amp;Encounters!D4&amp;""' AND C contains '""&amp;Encounters!D1&amp;""'""))"),"Glowing Red Herb")</f>
        <v>Glowing Red Herb</v>
      </c>
      <c r="C2" s="1" t="str">
        <f>IFERROR(__xludf.DUMMYFUNCTION("IFERROR(QUERY(GoodEncounters!$A$2:$C1000,""Select A where B contains '""&amp;Encounters!D2&amp;""' ""&amp;Encounters!E3&amp;"" B contains '""&amp;Encounters!D3&amp;""' ""&amp;Encounters!E4&amp;"" B contains '""&amp;Encounters!D4&amp;""' AND C contains '""&amp;Encounters!D1&amp;""'""))"),"Gold Portal")</f>
        <v>Gold Portal</v>
      </c>
    </row>
    <row r="3">
      <c r="A3" s="1" t="str">
        <f>IFERROR(__xludf.DUMMYFUNCTION("""COMPUTED_VALUE"""),"Bandit")</f>
        <v>Bandit</v>
      </c>
      <c r="B3" s="1" t="str">
        <f>IFERROR(__xludf.DUMMYFUNCTION("""COMPUTED_VALUE"""),"Lost Child")</f>
        <v>Lost Child</v>
      </c>
      <c r="C3" s="1" t="str">
        <f>IFERROR(__xludf.DUMMYFUNCTION("""COMPUTED_VALUE"""),"10,000G")</f>
        <v>10,000G</v>
      </c>
    </row>
    <row r="4">
      <c r="A4" s="1" t="str">
        <f>IFERROR(__xludf.DUMMYFUNCTION("""COMPUTED_VALUE"""),"Bounty Hunter")</f>
        <v>Bounty Hunter</v>
      </c>
      <c r="B4" s="1" t="str">
        <f>IFERROR(__xludf.DUMMYFUNCTION("""COMPUTED_VALUE"""),"Nothing")</f>
        <v>Nothing</v>
      </c>
      <c r="C4" s="1" t="str">
        <f>IFERROR(__xludf.DUMMYFUNCTION("""COMPUTED_VALUE"""),"25,000G")</f>
        <v>25,000G</v>
      </c>
    </row>
    <row r="5">
      <c r="A5" s="1" t="str">
        <f>IFERROR(__xludf.DUMMYFUNCTION("""COMPUTED_VALUE"""),"Colossus Suit of Armor")</f>
        <v>Colossus Suit of Armor</v>
      </c>
      <c r="B5" s="1" t="str">
        <f>IFERROR(__xludf.DUMMYFUNCTION("""COMPUTED_VALUE"""),"Nothing")</f>
        <v>Nothing</v>
      </c>
      <c r="C5" s="1" t="str">
        <f>IFERROR(__xludf.DUMMYFUNCTION("""COMPUTED_VALUE"""),"50,000G")</f>
        <v>50,000G</v>
      </c>
    </row>
    <row r="6">
      <c r="A6" s="1" t="str">
        <f>IFERROR(__xludf.DUMMYFUNCTION("""COMPUTED_VALUE"""),"Corrupted Twilight Knight")</f>
        <v>Corrupted Twilight Knight</v>
      </c>
      <c r="B6" s="1" t="str">
        <f>IFERROR(__xludf.DUMMYFUNCTION("""COMPUTED_VALUE"""),"Nothing")</f>
        <v>Nothing</v>
      </c>
      <c r="C6" s="1" t="str">
        <f>IFERROR(__xludf.DUMMYFUNCTION("""COMPUTED_VALUE"""),"100,000G")</f>
        <v>100,000G</v>
      </c>
    </row>
    <row r="7">
      <c r="A7" s="1" t="str">
        <f>IFERROR(__xludf.DUMMYFUNCTION("""COMPUTED_VALUE"""),"Crow")</f>
        <v>Crow</v>
      </c>
      <c r="B7" s="1" t="str">
        <f>IFERROR(__xludf.DUMMYFUNCTION("""COMPUTED_VALUE"""),"Beggar")</f>
        <v>Beggar</v>
      </c>
      <c r="C7" s="1" t="str">
        <f>IFERROR(__xludf.DUMMYFUNCTION("""COMPUTED_VALUE"""),"250,000G")</f>
        <v>250,000G</v>
      </c>
    </row>
    <row r="8">
      <c r="A8" s="1" t="str">
        <f>IFERROR(__xludf.DUMMYFUNCTION("""COMPUTED_VALUE"""),"Cultist of Dreadful")</f>
        <v>Cultist of Dreadful</v>
      </c>
      <c r="B8" s="1" t="str">
        <f>IFERROR(__xludf.DUMMYFUNCTION("""COMPUTED_VALUE"""),"Red Portal")</f>
        <v>Red Portal</v>
      </c>
      <c r="C8" s="1" t="str">
        <f>IFERROR(__xludf.DUMMYFUNCTION("""COMPUTED_VALUE"""),"500,000G")</f>
        <v>500,000G</v>
      </c>
    </row>
    <row r="9">
      <c r="A9" s="1" t="str">
        <f>IFERROR(__xludf.DUMMYFUNCTION("""COMPUTED_VALUE"""),"Cultist Leader")</f>
        <v>Cultist Leader</v>
      </c>
      <c r="B9" s="1" t="str">
        <f>IFERROR(__xludf.DUMMYFUNCTION("""COMPUTED_VALUE"""),"Blue Portal")</f>
        <v>Blue Portal</v>
      </c>
      <c r="C9" s="1" t="str">
        <f>IFERROR(__xludf.DUMMYFUNCTION("""COMPUTED_VALUE"""),"750,000G")</f>
        <v>750,000G</v>
      </c>
    </row>
    <row r="10">
      <c r="A10" s="1" t="str">
        <f>IFERROR(__xludf.DUMMYFUNCTION("""COMPUTED_VALUE"""),"Cyclops")</f>
        <v>Cyclops</v>
      </c>
      <c r="B10" s="1" t="str">
        <f>IFERROR(__xludf.DUMMYFUNCTION("""COMPUTED_VALUE"""),"Green Portal")</f>
        <v>Green Portal</v>
      </c>
      <c r="C10" s="1" t="str">
        <f>IFERROR(__xludf.DUMMYFUNCTION("""COMPUTED_VALUE"""),"1,000,000G")</f>
        <v>1,000,000G</v>
      </c>
    </row>
    <row r="11">
      <c r="A11" s="1" t="str">
        <f>IFERROR(__xludf.DUMMYFUNCTION("""COMPUTED_VALUE"""),"Dark Wizard")</f>
        <v>Dark Wizard</v>
      </c>
      <c r="B11" s="1" t="str">
        <f>IFERROR(__xludf.DUMMYFUNCTION("""COMPUTED_VALUE"""),"Traveling Guard - Will escort corrupt guards you arrested during travel to the nearest courthouse for you if this day is the next day of travel. ")</f>
        <v>Traveling Guard - Will escort corrupt guards you arrested during travel to the nearest courthouse for you if this day is the next day of travel. </v>
      </c>
      <c r="C11" s="1" t="str">
        <f>IFERROR(__xludf.DUMMYFUNCTION("""COMPUTED_VALUE"""),"Four-Leaf Clover - +4 To turn order for the next battle. (Does not stack)")</f>
        <v>Four-Leaf Clover - +4 To turn order for the next battle. (Does not stack)</v>
      </c>
    </row>
    <row r="12">
      <c r="A12" s="1" t="str">
        <f>IFERROR(__xludf.DUMMYFUNCTION("""COMPUTED_VALUE"""),"Death's Royal Guard")</f>
        <v>Death's Royal Guard</v>
      </c>
      <c r="B12" s="1" t="str">
        <f>IFERROR(__xludf.DUMMYFUNCTION("""COMPUTED_VALUE"""),"Bounty Hunter - A player with a bounty in the party will be engaged in battle.")</f>
        <v>Bounty Hunter - A player with a bounty in the party will be engaged in battle.</v>
      </c>
      <c r="C12" s="1" t="str">
        <f>IFERROR(__xludf.DUMMYFUNCTION("""COMPUTED_VALUE"""),"Gold")</f>
        <v>Gold</v>
      </c>
    </row>
    <row r="13">
      <c r="A13" s="1" t="str">
        <f>IFERROR(__xludf.DUMMYFUNCTION("""COMPUTED_VALUE"""),"Deathblade The Dragon Hunter")</f>
        <v>Deathblade The Dragon Hunter</v>
      </c>
      <c r="B13" s="1" t="str">
        <f>IFERROR(__xludf.DUMMYFUNCTION("""COMPUTED_VALUE"""),"Mysterious Merchant (Spira)")</f>
        <v>Mysterious Merchant (Spira)</v>
      </c>
      <c r="C13" s="1" t="str">
        <f>IFERROR(__xludf.DUMMYFUNCTION("""COMPUTED_VALUE"""),"Iron")</f>
        <v>Iron</v>
      </c>
    </row>
    <row r="14">
      <c r="A14" s="1" t="str">
        <f>IFERROR(__xludf.DUMMYFUNCTION("""COMPUTED_VALUE"""),"Defensive Rock Giant")</f>
        <v>Defensive Rock Giant</v>
      </c>
      <c r="C14" s="1" t="str">
        <f>IFERROR(__xludf.DUMMYFUNCTION("""COMPUTED_VALUE"""),"Dragon scales")</f>
        <v>Dragon scales</v>
      </c>
    </row>
    <row r="15">
      <c r="A15" s="1" t="str">
        <f>IFERROR(__xludf.DUMMYFUNCTION("""COMPUTED_VALUE"""),"Donkey")</f>
        <v>Donkey</v>
      </c>
      <c r="C15" s="1" t="str">
        <f>IFERROR(__xludf.DUMMYFUNCTION("""COMPUTED_VALUE"""),"Diamonds")</f>
        <v>Diamonds</v>
      </c>
    </row>
    <row r="16">
      <c r="A16" s="1" t="str">
        <f>IFERROR(__xludf.DUMMYFUNCTION("""COMPUTED_VALUE"""),"Eagle")</f>
        <v>Eagle</v>
      </c>
      <c r="C16" s="1" t="str">
        <f>IFERROR(__xludf.DUMMYFUNCTION("""COMPUTED_VALUE"""),"Bricks")</f>
        <v>Bricks</v>
      </c>
    </row>
    <row r="17">
      <c r="A17" s="1" t="str">
        <f>IFERROR(__xludf.DUMMYFUNCTION("""COMPUTED_VALUE"""),"Evil Moth")</f>
        <v>Evil Moth</v>
      </c>
      <c r="C17" s="1" t="str">
        <f>IFERROR(__xludf.DUMMYFUNCTION("""COMPUTED_VALUE"""),"Obsidian")</f>
        <v>Obsidian</v>
      </c>
    </row>
    <row r="18">
      <c r="A18" s="1" t="str">
        <f>IFERROR(__xludf.DUMMYFUNCTION("""COMPUTED_VALUE"""),"Fireflies")</f>
        <v>Fireflies</v>
      </c>
      <c r="C18" s="1" t="str">
        <f>IFERROR(__xludf.DUMMYFUNCTION("""COMPUTED_VALUE"""),"Steel")</f>
        <v>Steel</v>
      </c>
    </row>
    <row r="19">
      <c r="A19" s="1" t="str">
        <f>IFERROR(__xludf.DUMMYFUNCTION("""COMPUTED_VALUE"""),"Flamethrower Corpse")</f>
        <v>Flamethrower Corpse</v>
      </c>
      <c r="C19" s="1" t="str">
        <f>IFERROR(__xludf.DUMMYFUNCTION("""COMPUTED_VALUE"""),"Silver")</f>
        <v>Silver</v>
      </c>
    </row>
    <row r="20">
      <c r="A20" s="1" t="str">
        <f>IFERROR(__xludf.DUMMYFUNCTION("""COMPUTED_VALUE"""),"Flaming Dragon Knight")</f>
        <v>Flaming Dragon Knight</v>
      </c>
      <c r="C20" s="1" t="str">
        <f>IFERROR(__xludf.DUMMYFUNCTION("""COMPUTED_VALUE"""),"Chains")</f>
        <v>Chains</v>
      </c>
    </row>
    <row r="21">
      <c r="A21" s="1" t="str">
        <f>IFERROR(__xludf.DUMMYFUNCTION("""COMPUTED_VALUE"""),"Floating Skull")</f>
        <v>Floating Skull</v>
      </c>
      <c r="C21" s="1" t="str">
        <f>IFERROR(__xludf.DUMMYFUNCTION("""COMPUTED_VALUE"""),"Bronze")</f>
        <v>Bronze</v>
      </c>
    </row>
    <row r="22">
      <c r="A22" s="1" t="str">
        <f>IFERROR(__xludf.DUMMYFUNCTION("""COMPUTED_VALUE"""),"Giant")</f>
        <v>Giant</v>
      </c>
      <c r="C22" s="1" t="str">
        <f>IFERROR(__xludf.DUMMYFUNCTION("""COMPUTED_VALUE"""),"Diamond")</f>
        <v>Diamond</v>
      </c>
    </row>
    <row r="23">
      <c r="A23" s="1" t="str">
        <f>IFERROR(__xludf.DUMMYFUNCTION("""COMPUTED_VALUE"""),"Giant Spider")</f>
        <v>Giant Spider</v>
      </c>
      <c r="C23" s="1" t="str">
        <f>IFERROR(__xludf.DUMMYFUNCTION("""COMPUTED_VALUE"""),"Wood")</f>
        <v>Wood</v>
      </c>
    </row>
    <row r="24">
      <c r="A24" s="1" t="str">
        <f>IFERROR(__xludf.DUMMYFUNCTION("""COMPUTED_VALUE"""),"Goblin")</f>
        <v>Goblin</v>
      </c>
      <c r="C24" s="1" t="str">
        <f>IFERROR(__xludf.DUMMYFUNCTION("""COMPUTED_VALUE"""),"Stone")</f>
        <v>Stone</v>
      </c>
    </row>
    <row r="25">
      <c r="A25" s="1" t="str">
        <f>IFERROR(__xludf.DUMMYFUNCTION("""COMPUTED_VALUE"""),"Griffin")</f>
        <v>Griffin</v>
      </c>
      <c r="C25" s="1" t="str">
        <f>IFERROR(__xludf.DUMMYFUNCTION("""COMPUTED_VALUE"""),"Gold")</f>
        <v>Gold</v>
      </c>
    </row>
    <row r="26">
      <c r="A26" s="1" t="str">
        <f>IFERROR(__xludf.DUMMYFUNCTION("""COMPUTED_VALUE"""),"Ground Tiger")</f>
        <v>Ground Tiger</v>
      </c>
      <c r="C26" s="1" t="str">
        <f>IFERROR(__xludf.DUMMYFUNCTION("""COMPUTED_VALUE"""),"Iron")</f>
        <v>Iron</v>
      </c>
    </row>
    <row r="27">
      <c r="A27" s="1" t="str">
        <f>IFERROR(__xludf.DUMMYFUNCTION("""COMPUTED_VALUE"""),"Guard Tier III")</f>
        <v>Guard Tier III</v>
      </c>
    </row>
    <row r="28">
      <c r="A28" s="1" t="str">
        <f>IFERROR(__xludf.DUMMYFUNCTION("""COMPUTED_VALUE"""),"Guard Tier II")</f>
        <v>Guard Tier II</v>
      </c>
    </row>
    <row r="29">
      <c r="A29" s="1" t="str">
        <f>IFERROR(__xludf.DUMMYFUNCTION("""COMPUTED_VALUE"""),"Guard Tier I")</f>
        <v>Guard Tier I</v>
      </c>
    </row>
    <row r="30">
      <c r="A30" s="1" t="str">
        <f>IFERROR(__xludf.DUMMYFUNCTION("""COMPUTED_VALUE"""),"Haunted Scarecrow")</f>
        <v>Haunted Scarecrow</v>
      </c>
    </row>
    <row r="31">
      <c r="A31" s="1" t="str">
        <f>IFERROR(__xludf.DUMMYFUNCTION("""COMPUTED_VALUE"""),"Hyena")</f>
        <v>Hyena</v>
      </c>
    </row>
    <row r="32">
      <c r="A32" s="1" t="str">
        <f>IFERROR(__xludf.DUMMYFUNCTION("""COMPUTED_VALUE"""),"Ice Slime")</f>
        <v>Ice Slime</v>
      </c>
    </row>
    <row r="33">
      <c r="A33" s="1" t="str">
        <f>IFERROR(__xludf.DUMMYFUNCTION("""COMPUTED_VALUE"""),"King Goose")</f>
        <v>King Goose</v>
      </c>
    </row>
    <row r="34">
      <c r="A34" s="1" t="str">
        <f>IFERROR(__xludf.DUMMYFUNCTION("""COMPUTED_VALUE"""),"Lamia ")</f>
        <v>Lamia </v>
      </c>
    </row>
    <row r="35">
      <c r="A35" s="1" t="str">
        <f>IFERROR(__xludf.DUMMYFUNCTION("""COMPUTED_VALUE"""),"Lord Goose")</f>
        <v>Lord Goose</v>
      </c>
    </row>
    <row r="36">
      <c r="A36" s="1" t="str">
        <f>IFERROR(__xludf.DUMMYFUNCTION("""COMPUTED_VALUE"""),"Manticore")</f>
        <v>Manticore</v>
      </c>
    </row>
    <row r="37">
      <c r="A37" s="1" t="str">
        <f>IFERROR(__xludf.DUMMYFUNCTION("""COMPUTED_VALUE"""),"Mournful Mother")</f>
        <v>Mournful Mother</v>
      </c>
    </row>
    <row r="38">
      <c r="A38" s="1" t="str">
        <f>IFERROR(__xludf.DUMMYFUNCTION("""COMPUTED_VALUE"""),"Ox")</f>
        <v>Ox</v>
      </c>
    </row>
    <row r="39">
      <c r="A39" s="1" t="str">
        <f>IFERROR(__xludf.DUMMYFUNCTION("""COMPUTED_VALUE"""),"Phantom")</f>
        <v>Phantom</v>
      </c>
    </row>
    <row r="40">
      <c r="A40" s="1" t="str">
        <f>IFERROR(__xludf.DUMMYFUNCTION("""COMPUTED_VALUE"""),"Puppet")</f>
        <v>Puppet</v>
      </c>
    </row>
    <row r="41">
      <c r="A41" s="1" t="str">
        <f>IFERROR(__xludf.DUMMYFUNCTION("""COMPUTED_VALUE"""),"Rock Snake")</f>
        <v>Rock Snake</v>
      </c>
    </row>
    <row r="42">
      <c r="A42" s="1" t="str">
        <f>IFERROR(__xludf.DUMMYFUNCTION("""COMPUTED_VALUE"""),"Rooster")</f>
        <v>Rooster</v>
      </c>
    </row>
    <row r="43">
      <c r="A43" s="1" t="str">
        <f>IFERROR(__xludf.DUMMYFUNCTION("""COMPUTED_VALUE"""),"Shadow Suit of Armor")</f>
        <v>Shadow Suit of Armor</v>
      </c>
    </row>
    <row r="44">
      <c r="A44" s="1" t="str">
        <f>IFERROR(__xludf.DUMMYFUNCTION("""COMPUTED_VALUE"""),"Skeletal Warrior")</f>
        <v>Skeletal Warrior</v>
      </c>
    </row>
    <row r="45">
      <c r="A45" s="1" t="str">
        <f>IFERROR(__xludf.DUMMYFUNCTION("""COMPUTED_VALUE"""),"Skeleton Lord")</f>
        <v>Skeleton Lord</v>
      </c>
    </row>
    <row r="46">
      <c r="A46" s="1" t="str">
        <f>IFERROR(__xludf.DUMMYFUNCTION("""COMPUTED_VALUE"""),"Slime")</f>
        <v>Slime</v>
      </c>
    </row>
    <row r="47">
      <c r="A47" s="1" t="str">
        <f>IFERROR(__xludf.DUMMYFUNCTION("""COMPUTED_VALUE"""),"The Guardian Of Death")</f>
        <v>The Guardian Of Death</v>
      </c>
    </row>
    <row r="48">
      <c r="A48" s="1" t="str">
        <f>IFERROR(__xludf.DUMMYFUNCTION("""COMPUTED_VALUE"""),"The Undead King")</f>
        <v>The Undead King</v>
      </c>
    </row>
    <row r="49">
      <c r="A49" s="1" t="str">
        <f>IFERROR(__xludf.DUMMYFUNCTION("""COMPUTED_VALUE"""),"Vampire")</f>
        <v>Vampire</v>
      </c>
    </row>
    <row r="50">
      <c r="A50" s="1" t="str">
        <f>IFERROR(__xludf.DUMMYFUNCTION("""COMPUTED_VALUE"""),"Vampire Lord")</f>
        <v>Vampire Lord</v>
      </c>
    </row>
    <row r="51">
      <c r="A51" s="1" t="str">
        <f>IFERROR(__xludf.DUMMYFUNCTION("""COMPUTED_VALUE"""),"Voodoo Shameness")</f>
        <v>Voodoo Shameness</v>
      </c>
    </row>
    <row r="52">
      <c r="A52" s="1" t="str">
        <f>IFERROR(__xludf.DUMMYFUNCTION("""COMPUTED_VALUE"""),"Witch")</f>
        <v>Witch</v>
      </c>
    </row>
    <row r="53">
      <c r="A53" s="1" t="str">
        <f>IFERROR(__xludf.DUMMYFUNCTION("""COMPUTED_VALUE"""),"Zombie")</f>
        <v>Zombie</v>
      </c>
    </row>
    <row r="54">
      <c r="A54" s="1" t="str">
        <f>IFERROR(__xludf.DUMMYFUNCTION("""COMPUTED_VALUE"""),"Pirate")</f>
        <v>Pirate</v>
      </c>
    </row>
    <row r="55">
      <c r="A55" s="1" t="str">
        <f>IFERROR(__xludf.DUMMYFUNCTION("""COMPUTED_VALUE"""),"Pirate Captain")</f>
        <v>Pirate Captain</v>
      </c>
    </row>
    <row r="56">
      <c r="A56" s="1" t="str">
        <f>IFERROR(__xludf.DUMMYFUNCTION("""COMPUTED_VALUE"""),"Mekanian Soldier")</f>
        <v>Mekanian Soldier</v>
      </c>
    </row>
    <row r="57">
      <c r="A57" s="1" t="str">
        <f>IFERROR(__xludf.DUMMYFUNCTION("""COMPUTED_VALUE"""),"Mekanian Knight")</f>
        <v>Mekanian Knight</v>
      </c>
    </row>
    <row r="58">
      <c r="A58" s="1" t="str">
        <f>IFERROR(__xludf.DUMMYFUNCTION("""COMPUTED_VALUE"""),"Mekanian ")</f>
        <v>Mekanian </v>
      </c>
    </row>
    <row r="59">
      <c r="A59" s="1" t="str">
        <f>IFERROR(__xludf.DUMMYFUNCTION("""COMPUTED_VALUE"""),"Armored Car")</f>
        <v>Armored Car</v>
      </c>
    </row>
    <row r="60">
      <c r="A60" s="1" t="str">
        <f>IFERROR(__xludf.DUMMYFUNCTION("""COMPUTED_VALUE"""),"Tank")</f>
        <v>Tank</v>
      </c>
    </row>
    <row r="61">
      <c r="A61" s="1" t="str">
        <f>IFERROR(__xludf.DUMMYFUNCTION("""COMPUTED_VALUE"""),"Ninja of Bashe")</f>
        <v>Ninja of Bashe</v>
      </c>
    </row>
    <row r="62">
      <c r="A62" s="1" t="str">
        <f>IFERROR(__xludf.DUMMYFUNCTION("""COMPUTED_VALUE"""),"The Great Storm Kaiju")</f>
        <v>The Great Storm Kaiju</v>
      </c>
    </row>
    <row r="63">
      <c r="A63" s="1" t="str">
        <f>IFERROR(__xludf.DUMMYFUNCTION("""COMPUTED_VALUE"""),"Earth Golem")</f>
        <v>Earth Golem</v>
      </c>
    </row>
    <row r="64">
      <c r="A64" s="1" t="str">
        <f>IFERROR(__xludf.DUMMYFUNCTION("""COMPUTED_VALUE"""),"Trap: Bear Trap")</f>
        <v>Trap: Bear Trap</v>
      </c>
    </row>
    <row r="65">
      <c r="A65" s="1" t="str">
        <f>IFERROR(__xludf.DUMMYFUNCTION("""COMPUTED_VALUE"""),"Trap: Pitfall")</f>
        <v>Trap: Pitfall</v>
      </c>
    </row>
    <row r="66">
      <c r="A66" s="1" t="str">
        <f>IFERROR(__xludf.DUMMYFUNCTION("""COMPUTED_VALUE"""),"Trap: Flaming Arrows")</f>
        <v>Trap: Flaming Arrows</v>
      </c>
    </row>
    <row r="67">
      <c r="A67" s="1" t="str">
        <f>IFERROR(__xludf.DUMMYFUNCTION("""COMPUTED_VALUE"""),"Trap: Bolder")</f>
        <v>Trap: Bolder</v>
      </c>
    </row>
    <row r="68">
      <c r="A68" s="1" t="str">
        <f>IFERROR(__xludf.DUMMYFUNCTION("""COMPUTED_VALUE"""),"Trap: Mimic")</f>
        <v>Trap: Mimic</v>
      </c>
    </row>
    <row r="69">
      <c r="A69" s="1" t="str">
        <f>IFERROR(__xludf.DUMMYFUNCTION("""COMPUTED_VALUE"""),"Mimic (Mob)")</f>
        <v>Mimic (Mob)</v>
      </c>
    </row>
    <row r="70">
      <c r="A70" s="1" t="str">
        <f>IFERROR(__xludf.DUMMYFUNCTION("""COMPUTED_VALUE"""),"Urchin Swiffer Paladins")</f>
        <v>Urchin Swiffer Paladins</v>
      </c>
    </row>
    <row r="71">
      <c r="A71" s="1" t="str">
        <f>IFERROR(__xludf.DUMMYFUNCTION("""COMPUTED_VALUE"""),"The Harbingers of The Voidwoken (Spira)")</f>
        <v>The Harbingers of The Voidwoken (Spira)</v>
      </c>
    </row>
    <row r="72">
      <c r="A72" s="1" t="str">
        <f>IFERROR(__xludf.DUMMYFUNCTION("""COMPUTED_VALUE"""),"Wolf")</f>
        <v>Wolf</v>
      </c>
    </row>
    <row r="73">
      <c r="A73" s="1" t="str">
        <f>IFERROR(__xludf.DUMMYFUNCTION("""COMPUTED_VALUE"""),"Imp")</f>
        <v>Imp</v>
      </c>
    </row>
    <row r="74">
      <c r="A74" s="1" t="str">
        <f>IFERROR(__xludf.DUMMYFUNCTION("""COMPUTED_VALUE"""),"Fire Wyrm")</f>
        <v>Fire Wyrm</v>
      </c>
    </row>
    <row r="75">
      <c r="A75" s="1" t="str">
        <f>IFERROR(__xludf.DUMMYFUNCTION("""COMPUTED_VALUE"""),"Storm Wyrm")</f>
        <v>Storm Wyrm</v>
      </c>
    </row>
    <row r="76">
      <c r="A76" s="1" t="str">
        <f>IFERROR(__xludf.DUMMYFUNCTION("""COMPUTED_VALUE"""),"Earth Wyrm")</f>
        <v>Earth Wyrm</v>
      </c>
    </row>
    <row r="77">
      <c r="A77" s="1" t="str">
        <f>IFERROR(__xludf.DUMMYFUNCTION("""COMPUTED_VALUE"""),"Water Wyrm")</f>
        <v>Water Wyrm</v>
      </c>
    </row>
    <row r="78">
      <c r="A78" s="1" t="str">
        <f>IFERROR(__xludf.DUMMYFUNCTION("""COMPUTED_VALUE"""),"Nature Wyrm")</f>
        <v>Nature Wyrm</v>
      </c>
    </row>
    <row r="79">
      <c r="A79" s="1" t="str">
        <f>IFERROR(__xludf.DUMMYFUNCTION("""COMPUTED_VALUE"""),"Lesser tengu")</f>
        <v>Lesser tengu</v>
      </c>
    </row>
    <row r="80">
      <c r="A80" s="1" t="str">
        <f>IFERROR(__xludf.DUMMYFUNCTION("""COMPUTED_VALUE"""),"Acid Wyrm")</f>
        <v>Acid Wyrm</v>
      </c>
    </row>
    <row r="81">
      <c r="A81" s="1" t="str">
        <f>IFERROR(__xludf.DUMMYFUNCTION("""COMPUTED_VALUE"""),"Astral Wyrm")</f>
        <v>Astral Wyrm</v>
      </c>
    </row>
    <row r="82">
      <c r="A82" s="1" t="str">
        <f>IFERROR(__xludf.DUMMYFUNCTION("""COMPUTED_VALUE"""),"Celestial Wyrm")</f>
        <v>Celestial Wyrm</v>
      </c>
    </row>
    <row r="83">
      <c r="A83" s="1" t="str">
        <f>IFERROR(__xludf.DUMMYFUNCTION("""COMPUTED_VALUE"""),"Chaos Wyrm")</f>
        <v>Chaos Wyrm</v>
      </c>
    </row>
    <row r="84">
      <c r="A84" s="1" t="str">
        <f>IFERROR(__xludf.DUMMYFUNCTION("""COMPUTED_VALUE"""),"Dark Wyrm")</f>
        <v>Dark Wyrm</v>
      </c>
    </row>
    <row r="85">
      <c r="A85" s="1" t="str">
        <f>IFERROR(__xludf.DUMMYFUNCTION("""COMPUTED_VALUE"""),"Delta Wyrm")</f>
        <v>Delta Wyrm</v>
      </c>
    </row>
    <row r="86">
      <c r="A86" s="1" t="str">
        <f>IFERROR(__xludf.DUMMYFUNCTION("""COMPUTED_VALUE"""),"Frost Wyrm")</f>
        <v>Frost Wyrm</v>
      </c>
    </row>
    <row r="87">
      <c r="A87" s="1" t="str">
        <f>IFERROR(__xludf.DUMMYFUNCTION("""COMPUTED_VALUE"""),"Soul Wyrm")</f>
        <v>Soul Wyrm</v>
      </c>
    </row>
    <row r="88">
      <c r="A88" s="1" t="str">
        <f>IFERROR(__xludf.DUMMYFUNCTION("""COMPUTED_VALUE"""),"Spirit Wyrm")</f>
        <v>Spirit Wyrm</v>
      </c>
    </row>
    <row r="89">
      <c r="A89" s="1" t="str">
        <f>IFERROR(__xludf.DUMMYFUNCTION("""COMPUTED_VALUE"""),"Undead Wyrm")</f>
        <v>Undead Wyrm</v>
      </c>
    </row>
    <row r="90">
      <c r="A90" s="1" t="str">
        <f>IFERROR(__xludf.DUMMYFUNCTION("""COMPUTED_VALUE"""),"Crystal Wyrm")</f>
        <v>Crystal Wyrm</v>
      </c>
    </row>
    <row r="91">
      <c r="A91" s="1" t="str">
        <f>IFERROR(__xludf.DUMMYFUNCTION("""COMPUTED_VALUE"""),"Fire Elemental")</f>
        <v>Fire Elemental</v>
      </c>
    </row>
    <row r="92">
      <c r="A92" s="1" t="str">
        <f>IFERROR(__xludf.DUMMYFUNCTION("""COMPUTED_VALUE"""),"Nature Elemental")</f>
        <v>Nature Elemental</v>
      </c>
    </row>
    <row r="93">
      <c r="A93" s="1" t="str">
        <f>IFERROR(__xludf.DUMMYFUNCTION("""COMPUTED_VALUE"""),"Earth Elemental")</f>
        <v>Earth Elemental</v>
      </c>
    </row>
    <row r="94">
      <c r="A94" s="1" t="str">
        <f>IFERROR(__xludf.DUMMYFUNCTION("""COMPUTED_VALUE"""),"Storm Elemental")</f>
        <v>Storm Elemental</v>
      </c>
    </row>
    <row r="95">
      <c r="A95" s="1" t="str">
        <f>IFERROR(__xludf.DUMMYFUNCTION("""COMPUTED_VALUE"""),"Random Non-Permanent Curse")</f>
        <v>Random Non-Permanent Curse</v>
      </c>
    </row>
    <row r="96">
      <c r="A96" s="1" t="str">
        <f>IFERROR(__xludf.DUMMYFUNCTION("""COMPUTED_VALUE"""),"Random Non-Permanent Disease")</f>
        <v>Random Non-Permanent Disease</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tr">
        <f>IFERROR(__xludf.DUMMYFUNCTION("IFNA(QUERY(Mobs!$A$2:$BL1000,""Select A where BG contains '""&amp;Encounters!D2&amp;""' ""&amp;Encounters!E3&amp;"" BG contains '""&amp;Encounters!D3&amp;""' ""&amp;Encounters!E4&amp;"" BG contains '""&amp;Encounters!D4&amp;""' AND BH contains '""&amp;Encounters!D1&amp;""'""))"),"Assassin Doll")</f>
        <v>Assassin Doll</v>
      </c>
    </row>
    <row r="2">
      <c r="A2" s="1" t="str">
        <f>IFERROR(__xludf.DUMMYFUNCTION("""COMPUTED_VALUE"""),"Bandit")</f>
        <v>Bandit</v>
      </c>
    </row>
    <row r="3">
      <c r="A3" s="1" t="str">
        <f>IFERROR(__xludf.DUMMYFUNCTION("""COMPUTED_VALUE"""),"Bounty Hunter")</f>
        <v>Bounty Hunter</v>
      </c>
    </row>
    <row r="4">
      <c r="A4" s="1" t="str">
        <f>IFERROR(__xludf.DUMMYFUNCTION("""COMPUTED_VALUE"""),"Colossus Suit of Armor")</f>
        <v>Colossus Suit of Armor</v>
      </c>
    </row>
    <row r="5">
      <c r="A5" s="1" t="str">
        <f>IFERROR(__xludf.DUMMYFUNCTION("""COMPUTED_VALUE"""),"Corrupted Twilight Knight")</f>
        <v>Corrupted Twilight Knight</v>
      </c>
    </row>
    <row r="6">
      <c r="A6" s="1" t="str">
        <f>IFERROR(__xludf.DUMMYFUNCTION("""COMPUTED_VALUE"""),"Crow")</f>
        <v>Crow</v>
      </c>
    </row>
    <row r="7">
      <c r="A7" s="1" t="str">
        <f>IFERROR(__xludf.DUMMYFUNCTION("""COMPUTED_VALUE"""),"Cultist of Dreadful")</f>
        <v>Cultist of Dreadful</v>
      </c>
    </row>
    <row r="8">
      <c r="A8" s="1" t="str">
        <f>IFERROR(__xludf.DUMMYFUNCTION("""COMPUTED_VALUE"""),"Cultist Leader")</f>
        <v>Cultist Leader</v>
      </c>
    </row>
    <row r="9">
      <c r="A9" s="1" t="str">
        <f>IFERROR(__xludf.DUMMYFUNCTION("""COMPUTED_VALUE"""),"Cyclops")</f>
        <v>Cyclops</v>
      </c>
    </row>
    <row r="10">
      <c r="A10" s="1" t="str">
        <f>IFERROR(__xludf.DUMMYFUNCTION("""COMPUTED_VALUE"""),"Dark Wizard")</f>
        <v>Dark Wizard</v>
      </c>
    </row>
    <row r="11">
      <c r="A11" s="1" t="str">
        <f>IFERROR(__xludf.DUMMYFUNCTION("""COMPUTED_VALUE"""),"Death's Royal Guard")</f>
        <v>Death's Royal Guard</v>
      </c>
    </row>
    <row r="12">
      <c r="A12" s="1" t="str">
        <f>IFERROR(__xludf.DUMMYFUNCTION("""COMPUTED_VALUE"""),"Deathblade The Dragon Hunter")</f>
        <v>Deathblade The Dragon Hunter</v>
      </c>
    </row>
    <row r="13">
      <c r="A13" s="1" t="str">
        <f>IFERROR(__xludf.DUMMYFUNCTION("""COMPUTED_VALUE"""),"Defensive Rock Giant")</f>
        <v>Defensive Rock Giant</v>
      </c>
    </row>
    <row r="14">
      <c r="A14" s="1" t="str">
        <f>IFERROR(__xludf.DUMMYFUNCTION("""COMPUTED_VALUE"""),"Donkey")</f>
        <v>Donkey</v>
      </c>
    </row>
    <row r="15">
      <c r="A15" s="1" t="str">
        <f>IFERROR(__xludf.DUMMYFUNCTION("""COMPUTED_VALUE"""),"Eagle")</f>
        <v>Eagle</v>
      </c>
    </row>
    <row r="16">
      <c r="A16" s="1" t="str">
        <f>IFERROR(__xludf.DUMMYFUNCTION("""COMPUTED_VALUE"""),"Evil Moth")</f>
        <v>Evil Moth</v>
      </c>
    </row>
    <row r="17">
      <c r="A17" s="1" t="str">
        <f>IFERROR(__xludf.DUMMYFUNCTION("""COMPUTED_VALUE"""),"Fireflies")</f>
        <v>Fireflies</v>
      </c>
    </row>
    <row r="18">
      <c r="A18" s="1" t="str">
        <f>IFERROR(__xludf.DUMMYFUNCTION("""COMPUTED_VALUE"""),"Flamethrower Corpse")</f>
        <v>Flamethrower Corpse</v>
      </c>
    </row>
    <row r="19">
      <c r="A19" s="1" t="str">
        <f>IFERROR(__xludf.DUMMYFUNCTION("""COMPUTED_VALUE"""),"Flaming Dragon Knight")</f>
        <v>Flaming Dragon Knight</v>
      </c>
    </row>
    <row r="20">
      <c r="A20" s="1" t="str">
        <f>IFERROR(__xludf.DUMMYFUNCTION("""COMPUTED_VALUE"""),"Floating Skull")</f>
        <v>Floating Skull</v>
      </c>
    </row>
    <row r="21">
      <c r="A21" s="1" t="str">
        <f>IFERROR(__xludf.DUMMYFUNCTION("""COMPUTED_VALUE"""),"Giant")</f>
        <v>Giant</v>
      </c>
    </row>
    <row r="22">
      <c r="A22" s="1" t="str">
        <f>IFERROR(__xludf.DUMMYFUNCTION("""COMPUTED_VALUE"""),"Giant Spider")</f>
        <v>Giant Spider</v>
      </c>
    </row>
    <row r="23">
      <c r="A23" s="1" t="str">
        <f>IFERROR(__xludf.DUMMYFUNCTION("""COMPUTED_VALUE"""),"Goblin")</f>
        <v>Goblin</v>
      </c>
    </row>
    <row r="24">
      <c r="A24" s="1" t="str">
        <f>IFERROR(__xludf.DUMMYFUNCTION("""COMPUTED_VALUE"""),"Griffin")</f>
        <v>Griffin</v>
      </c>
    </row>
    <row r="25">
      <c r="A25" s="1" t="str">
        <f>IFERROR(__xludf.DUMMYFUNCTION("""COMPUTED_VALUE"""),"Ground Tiger")</f>
        <v>Ground Tiger</v>
      </c>
    </row>
    <row r="26">
      <c r="A26" s="1" t="str">
        <f>IFERROR(__xludf.DUMMYFUNCTION("""COMPUTED_VALUE"""),"Guard Tier III")</f>
        <v>Guard Tier III</v>
      </c>
    </row>
    <row r="27">
      <c r="A27" s="1" t="str">
        <f>IFERROR(__xludf.DUMMYFUNCTION("""COMPUTED_VALUE"""),"Guard Tier II")</f>
        <v>Guard Tier II</v>
      </c>
    </row>
    <row r="28">
      <c r="A28" s="1" t="str">
        <f>IFERROR(__xludf.DUMMYFUNCTION("""COMPUTED_VALUE"""),"Guard Tier I")</f>
        <v>Guard Tier I</v>
      </c>
    </row>
    <row r="29">
      <c r="A29" s="1" t="str">
        <f>IFERROR(__xludf.DUMMYFUNCTION("""COMPUTED_VALUE"""),"Haunted Scarecrow")</f>
        <v>Haunted Scarecrow</v>
      </c>
    </row>
    <row r="30">
      <c r="A30" s="1" t="str">
        <f>IFERROR(__xludf.DUMMYFUNCTION("""COMPUTED_VALUE"""),"Hyena")</f>
        <v>Hyena</v>
      </c>
    </row>
    <row r="31">
      <c r="A31" s="1" t="str">
        <f>IFERROR(__xludf.DUMMYFUNCTION("""COMPUTED_VALUE"""),"Ice Slime")</f>
        <v>Ice Slime</v>
      </c>
    </row>
    <row r="32">
      <c r="A32" s="1" t="str">
        <f>IFERROR(__xludf.DUMMYFUNCTION("""COMPUTED_VALUE"""),"King Goose")</f>
        <v>King Goose</v>
      </c>
    </row>
    <row r="33">
      <c r="A33" s="1" t="str">
        <f>IFERROR(__xludf.DUMMYFUNCTION("""COMPUTED_VALUE"""),"Lamia ")</f>
        <v>Lamia </v>
      </c>
    </row>
    <row r="34">
      <c r="A34" s="1" t="str">
        <f>IFERROR(__xludf.DUMMYFUNCTION("""COMPUTED_VALUE"""),"Lord Goose")</f>
        <v>Lord Goose</v>
      </c>
    </row>
    <row r="35">
      <c r="A35" s="1" t="str">
        <f>IFERROR(__xludf.DUMMYFUNCTION("""COMPUTED_VALUE"""),"Manticore")</f>
        <v>Manticore</v>
      </c>
    </row>
    <row r="36">
      <c r="A36" s="1" t="str">
        <f>IFERROR(__xludf.DUMMYFUNCTION("""COMPUTED_VALUE"""),"Mournful Mother")</f>
        <v>Mournful Mother</v>
      </c>
    </row>
    <row r="37">
      <c r="A37" s="1" t="str">
        <f>IFERROR(__xludf.DUMMYFUNCTION("""COMPUTED_VALUE"""),"Ox")</f>
        <v>Ox</v>
      </c>
    </row>
    <row r="38">
      <c r="A38" s="1" t="str">
        <f>IFERROR(__xludf.DUMMYFUNCTION("""COMPUTED_VALUE"""),"Phantom")</f>
        <v>Phantom</v>
      </c>
    </row>
    <row r="39">
      <c r="A39" s="1" t="str">
        <f>IFERROR(__xludf.DUMMYFUNCTION("""COMPUTED_VALUE"""),"Puppet")</f>
        <v>Puppet</v>
      </c>
    </row>
    <row r="40">
      <c r="A40" s="1" t="str">
        <f>IFERROR(__xludf.DUMMYFUNCTION("""COMPUTED_VALUE"""),"Rock Snake")</f>
        <v>Rock Snake</v>
      </c>
    </row>
    <row r="41">
      <c r="A41" s="1" t="str">
        <f>IFERROR(__xludf.DUMMYFUNCTION("""COMPUTED_VALUE"""),"Rooster")</f>
        <v>Rooster</v>
      </c>
    </row>
    <row r="42">
      <c r="A42" s="1" t="str">
        <f>IFERROR(__xludf.DUMMYFUNCTION("""COMPUTED_VALUE"""),"Shadow Suit of Armor")</f>
        <v>Shadow Suit of Armor</v>
      </c>
    </row>
    <row r="43">
      <c r="A43" s="1" t="str">
        <f>IFERROR(__xludf.DUMMYFUNCTION("""COMPUTED_VALUE"""),"Skeletal Warrior")</f>
        <v>Skeletal Warrior</v>
      </c>
    </row>
    <row r="44">
      <c r="A44" s="1" t="str">
        <f>IFERROR(__xludf.DUMMYFUNCTION("""COMPUTED_VALUE"""),"Skeleton Lord")</f>
        <v>Skeleton Lord</v>
      </c>
    </row>
    <row r="45">
      <c r="A45" s="1" t="str">
        <f>IFERROR(__xludf.DUMMYFUNCTION("""COMPUTED_VALUE"""),"Slime")</f>
        <v>Slime</v>
      </c>
    </row>
    <row r="46">
      <c r="A46" s="1"/>
    </row>
    <row r="47">
      <c r="A47" s="1" t="str">
        <f>IFERROR(__xludf.DUMMYFUNCTION("""COMPUTED_VALUE"""),"The Guardian Of Death")</f>
        <v>The Guardian Of Death</v>
      </c>
    </row>
    <row r="48">
      <c r="A48" s="1" t="str">
        <f>IFERROR(__xludf.DUMMYFUNCTION("""COMPUTED_VALUE"""),"The Undead King")</f>
        <v>The Undead King</v>
      </c>
    </row>
    <row r="49">
      <c r="A49" s="1" t="str">
        <f>IFERROR(__xludf.DUMMYFUNCTION("""COMPUTED_VALUE"""),"Vampire")</f>
        <v>Vampire</v>
      </c>
    </row>
    <row r="50">
      <c r="A50" s="1" t="str">
        <f>IFERROR(__xludf.DUMMYFUNCTION("""COMPUTED_VALUE"""),"Vampire Lord")</f>
        <v>Vampire Lord</v>
      </c>
    </row>
    <row r="51">
      <c r="A51" s="1" t="str">
        <f>IFERROR(__xludf.DUMMYFUNCTION("""COMPUTED_VALUE"""),"Voodoo Shameness")</f>
        <v>Voodoo Shameness</v>
      </c>
    </row>
    <row r="52">
      <c r="A52" s="1" t="str">
        <f>IFERROR(__xludf.DUMMYFUNCTION("""COMPUTED_VALUE"""),"Witch")</f>
        <v>Witch</v>
      </c>
    </row>
    <row r="53">
      <c r="A53" s="1" t="str">
        <f>IFERROR(__xludf.DUMMYFUNCTION("""COMPUTED_VALUE"""),"Zombie")</f>
        <v>Zombie</v>
      </c>
    </row>
    <row r="54">
      <c r="A54" s="1" t="str">
        <f>IFERROR(__xludf.DUMMYFUNCTION("""COMPUTED_VALUE"""),"Pirate")</f>
        <v>Pirate</v>
      </c>
    </row>
    <row r="55">
      <c r="A55" s="1" t="str">
        <f>IFERROR(__xludf.DUMMYFUNCTION("""COMPUTED_VALUE"""),"Pirate Captain")</f>
        <v>Pirate Captain</v>
      </c>
    </row>
    <row r="56">
      <c r="A56" s="1" t="str">
        <f>IFERROR(__xludf.DUMMYFUNCTION("""COMPUTED_VALUE"""),"Mekanian Soldier")</f>
        <v>Mekanian Soldier</v>
      </c>
    </row>
    <row r="57">
      <c r="A57" s="1" t="str">
        <f>IFERROR(__xludf.DUMMYFUNCTION("""COMPUTED_VALUE"""),"Mekanian Knight")</f>
        <v>Mekanian Knight</v>
      </c>
    </row>
    <row r="58">
      <c r="A58" s="1" t="str">
        <f>IFERROR(__xludf.DUMMYFUNCTION("""COMPUTED_VALUE"""),"Mekanian ")</f>
        <v>Mekanian </v>
      </c>
    </row>
    <row r="59">
      <c r="A59" s="1" t="str">
        <f>IFERROR(__xludf.DUMMYFUNCTION("""COMPUTED_VALUE"""),"Armored Car")</f>
        <v>Armored Car</v>
      </c>
    </row>
    <row r="60">
      <c r="A60" s="1" t="str">
        <f>IFERROR(__xludf.DUMMYFUNCTION("""COMPUTED_VALUE"""),"Tank")</f>
        <v>Tank</v>
      </c>
    </row>
    <row r="61">
      <c r="A61" s="1" t="str">
        <f>IFERROR(__xludf.DUMMYFUNCTION("""COMPUTED_VALUE"""),"Ninja of Bashe")</f>
        <v>Ninja of Bashe</v>
      </c>
    </row>
    <row r="62">
      <c r="A62" s="1" t="str">
        <f>IFERROR(__xludf.DUMMYFUNCTION("""COMPUTED_VALUE"""),"The Great Storm Kaiju")</f>
        <v>The Great Storm Kaiju</v>
      </c>
    </row>
    <row r="63">
      <c r="A63" s="1" t="str">
        <f>IFERROR(__xludf.DUMMYFUNCTION("""COMPUTED_VALUE"""),"Earth Golem")</f>
        <v>Earth Golem</v>
      </c>
    </row>
    <row r="64">
      <c r="A64" s="1" t="str">
        <f>IFERROR(__xludf.DUMMYFUNCTION("""COMPUTED_VALUE"""),"Trap: Bear Trap")</f>
        <v>Trap: Bear Trap</v>
      </c>
    </row>
    <row r="65">
      <c r="A65" s="1" t="str">
        <f>IFERROR(__xludf.DUMMYFUNCTION("""COMPUTED_VALUE"""),"Trap: Pitfall")</f>
        <v>Trap: Pitfall</v>
      </c>
    </row>
    <row r="66">
      <c r="A66" s="1" t="str">
        <f>IFERROR(__xludf.DUMMYFUNCTION("""COMPUTED_VALUE"""),"Trap: Flaming Arrows")</f>
        <v>Trap: Flaming Arrows</v>
      </c>
    </row>
    <row r="67">
      <c r="A67" s="1" t="str">
        <f>IFERROR(__xludf.DUMMYFUNCTION("""COMPUTED_VALUE"""),"Trap: Bolder")</f>
        <v>Trap: Bolder</v>
      </c>
    </row>
    <row r="68">
      <c r="A68" s="1" t="str">
        <f>IFERROR(__xludf.DUMMYFUNCTION("""COMPUTED_VALUE"""),"Trap: Mimic")</f>
        <v>Trap: Mimic</v>
      </c>
    </row>
    <row r="69">
      <c r="A69" s="1" t="str">
        <f>IFERROR(__xludf.DUMMYFUNCTION("""COMPUTED_VALUE"""),"Mimic (Mob)")</f>
        <v>Mimic (Mob)</v>
      </c>
    </row>
    <row r="70">
      <c r="A70" s="1" t="str">
        <f>IFERROR(__xludf.DUMMYFUNCTION("""COMPUTED_VALUE"""),"Urchin Swiffer Paladins")</f>
        <v>Urchin Swiffer Paladins</v>
      </c>
    </row>
    <row r="71">
      <c r="A71" s="1" t="str">
        <f>IFERROR(__xludf.DUMMYFUNCTION("""COMPUTED_VALUE"""),"The Harbingers of The Voidwoken (Spira)")</f>
        <v>The Harbingers of The Voidwoken (Spira)</v>
      </c>
    </row>
    <row r="72">
      <c r="A72" s="1" t="str">
        <f>IFERROR(__xludf.DUMMYFUNCTION("""COMPUTED_VALUE"""),"Wolf")</f>
        <v>Wolf</v>
      </c>
    </row>
    <row r="73">
      <c r="A73" s="1" t="str">
        <f>IFERROR(__xludf.DUMMYFUNCTION("""COMPUTED_VALUE"""),"Imp")</f>
        <v>Imp</v>
      </c>
    </row>
    <row r="74">
      <c r="A74" s="1" t="str">
        <f>IFERROR(__xludf.DUMMYFUNCTION("""COMPUTED_VALUE"""),"Fire Wyrm")</f>
        <v>Fire Wyrm</v>
      </c>
    </row>
    <row r="75">
      <c r="A75" s="1" t="str">
        <f>IFERROR(__xludf.DUMMYFUNCTION("""COMPUTED_VALUE"""),"Storm Wyrm")</f>
        <v>Storm Wyrm</v>
      </c>
    </row>
    <row r="76">
      <c r="A76" s="1" t="str">
        <f>IFERROR(__xludf.DUMMYFUNCTION("""COMPUTED_VALUE"""),"Earth Wyrm")</f>
        <v>Earth Wyrm</v>
      </c>
    </row>
    <row r="77">
      <c r="A77" s="1" t="str">
        <f>IFERROR(__xludf.DUMMYFUNCTION("""COMPUTED_VALUE"""),"Water Wyrm")</f>
        <v>Water Wyrm</v>
      </c>
    </row>
    <row r="78">
      <c r="A78" s="1" t="str">
        <f>IFERROR(__xludf.DUMMYFUNCTION("""COMPUTED_VALUE"""),"Nature Wyrm")</f>
        <v>Nature Wyrm</v>
      </c>
    </row>
    <row r="79">
      <c r="A79" s="1" t="str">
        <f>IFERROR(__xludf.DUMMYFUNCTION("""COMPUTED_VALUE"""),"Lesser tengu")</f>
        <v>Lesser tengu</v>
      </c>
    </row>
    <row r="80">
      <c r="A80" s="1" t="str">
        <f>IFERROR(__xludf.DUMMYFUNCTION("""COMPUTED_VALUE"""),"Acid Wyrm")</f>
        <v>Acid Wyrm</v>
      </c>
    </row>
    <row r="81">
      <c r="A81" s="1" t="str">
        <f>IFERROR(__xludf.DUMMYFUNCTION("""COMPUTED_VALUE"""),"Astral Wyrm")</f>
        <v>Astral Wyrm</v>
      </c>
    </row>
    <row r="82">
      <c r="A82" s="1" t="str">
        <f>IFERROR(__xludf.DUMMYFUNCTION("""COMPUTED_VALUE"""),"Celestial Wyrm")</f>
        <v>Celestial Wyrm</v>
      </c>
    </row>
    <row r="83">
      <c r="A83" s="1" t="str">
        <f>IFERROR(__xludf.DUMMYFUNCTION("""COMPUTED_VALUE"""),"Chaos Wyrm")</f>
        <v>Chaos Wyrm</v>
      </c>
    </row>
    <row r="84">
      <c r="A84" s="1" t="str">
        <f>IFERROR(__xludf.DUMMYFUNCTION("""COMPUTED_VALUE"""),"Dark Wyrm")</f>
        <v>Dark Wyrm</v>
      </c>
    </row>
    <row r="85">
      <c r="A85" s="1" t="str">
        <f>IFERROR(__xludf.DUMMYFUNCTION("""COMPUTED_VALUE"""),"Delta Wyrm")</f>
        <v>Delta Wyrm</v>
      </c>
    </row>
    <row r="86">
      <c r="A86" s="1" t="str">
        <f>IFERROR(__xludf.DUMMYFUNCTION("""COMPUTED_VALUE"""),"Frost Wyrm")</f>
        <v>Frost Wyrm</v>
      </c>
    </row>
    <row r="87">
      <c r="A87" s="1" t="str">
        <f>IFERROR(__xludf.DUMMYFUNCTION("""COMPUTED_VALUE"""),"Soul Wyrm")</f>
        <v>Soul Wyrm</v>
      </c>
    </row>
    <row r="88">
      <c r="A88" s="1" t="str">
        <f>IFERROR(__xludf.DUMMYFUNCTION("""COMPUTED_VALUE"""),"Spirit Wyrm")</f>
        <v>Spirit Wyrm</v>
      </c>
    </row>
    <row r="89">
      <c r="A89" s="1" t="str">
        <f>IFERROR(__xludf.DUMMYFUNCTION("""COMPUTED_VALUE"""),"Undead Wyrm")</f>
        <v>Undead Wyrm</v>
      </c>
    </row>
    <row r="90">
      <c r="A90" s="1" t="str">
        <f>IFERROR(__xludf.DUMMYFUNCTION("""COMPUTED_VALUE"""),"Crystal Wyrm")</f>
        <v>Crystal Wyrm</v>
      </c>
    </row>
    <row r="91">
      <c r="A91" s="1" t="str">
        <f>IFERROR(__xludf.DUMMYFUNCTION("""COMPUTED_VALUE"""),"Fire Elemental")</f>
        <v>Fire Elemental</v>
      </c>
    </row>
    <row r="92">
      <c r="A92" s="1" t="str">
        <f>IFERROR(__xludf.DUMMYFUNCTION("""COMPUTED_VALUE"""),"Nature Elemental")</f>
        <v>Nature Elemental</v>
      </c>
    </row>
    <row r="93">
      <c r="A93" s="1" t="str">
        <f>IFERROR(__xludf.DUMMYFUNCTION("""COMPUTED_VALUE"""),"Earth Elemental")</f>
        <v>Earth Elemental</v>
      </c>
    </row>
    <row r="94">
      <c r="A94" s="1" t="str">
        <f>IFERROR(__xludf.DUMMYFUNCTION("""COMPUTED_VALUE"""),"Storm Elemental")</f>
        <v>Storm Elemental</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tr">
        <f>IFERROR(__xludf.DUMMYFUNCTION("IFNA(QUERY(Regions!$A$2:$B1000,""Select A where B = '""&amp;Encounters!$D$1&amp;""'""))"),"City/Town")</f>
        <v>City/Town</v>
      </c>
    </row>
    <row r="2">
      <c r="A2" s="1" t="str">
        <f>IFERROR(__xludf.DUMMYFUNCTION("""COMPUTED_VALUE"""),"All")</f>
        <v>All</v>
      </c>
    </row>
    <row r="3">
      <c r="A3" s="1" t="str">
        <f>IFERROR(__xludf.DUMMYFUNCTION("""COMPUTED_VALUE"""),"Plains")</f>
        <v>Plains</v>
      </c>
    </row>
    <row r="4">
      <c r="A4" s="1" t="str">
        <f>IFERROR(__xludf.DUMMYFUNCTION("""COMPUTED_VALUE"""),"Jungle")</f>
        <v>Jungle</v>
      </c>
    </row>
    <row r="5">
      <c r="A5" s="1" t="str">
        <f>IFERROR(__xludf.DUMMYFUNCTION("""COMPUTED_VALUE"""),"Desert")</f>
        <v>Desert</v>
      </c>
    </row>
    <row r="6">
      <c r="A6" s="1" t="str">
        <f>IFERROR(__xludf.DUMMYFUNCTION("""COMPUTED_VALUE"""),"Swamp")</f>
        <v>Swamp</v>
      </c>
    </row>
    <row r="7">
      <c r="A7" s="1" t="str">
        <f>IFERROR(__xludf.DUMMYFUNCTION("""COMPUTED_VALUE"""),"Forest")</f>
        <v>Forest</v>
      </c>
    </row>
    <row r="8">
      <c r="A8" s="1" t="str">
        <f>IFERROR(__xludf.DUMMYFUNCTION("""COMPUTED_VALUE"""),"Ocean")</f>
        <v>Ocean</v>
      </c>
    </row>
    <row r="9">
      <c r="A9" s="1" t="str">
        <f>IFERROR(__xludf.DUMMYFUNCTION("""COMPUTED_VALUE"""),"Dungeon")</f>
        <v>Dungeon</v>
      </c>
    </row>
    <row r="10">
      <c r="A10" s="1" t="str">
        <f>IFERROR(__xludf.DUMMYFUNCTION("""COMPUTED_VALUE"""),"Tundra")</f>
        <v>Tundra</v>
      </c>
    </row>
    <row r="11">
      <c r="A11" s="1" t="str">
        <f>IFERROR(__xludf.DUMMYFUNCTION("""COMPUTED_VALUE"""),"Mountains")</f>
        <v>Mountains</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tr">
        <f>IFERROR(__xludf.DUMMYFUNCTION("IMPORTRANGE(""https://docs.google.com/spreadsheets/d/1HXoAI5UG3zq1UHqU5n7fPdbQk93qOha2VQb1r7iRi1o"",""Worlds!A:C"")"),"Name")</f>
        <v>Name</v>
      </c>
      <c r="B1" s="1"/>
      <c r="C1" s="1"/>
    </row>
    <row r="2">
      <c r="A2" s="1" t="str">
        <f>IFERROR(__xludf.DUMMYFUNCTION("""COMPUTED_VALUE"""),"Land of Spira")</f>
        <v>Land of Spira</v>
      </c>
      <c r="B2" s="1"/>
      <c r="C2" s="1"/>
    </row>
    <row r="3">
      <c r="A3" s="1" t="str">
        <f>IFERROR(__xludf.DUMMYFUNCTION("""COMPUTED_VALUE"""),"Abstara")</f>
        <v>Abstara</v>
      </c>
      <c r="B3" s="1"/>
      <c r="C3" s="1"/>
    </row>
    <row r="4">
      <c r="A4" s="1" t="str">
        <f>IFERROR(__xludf.DUMMYFUNCTION("""COMPUTED_VALUE"""),"Solreach")</f>
        <v>Solreach</v>
      </c>
      <c r="B4" s="1"/>
      <c r="C4" s="1"/>
    </row>
    <row r="5">
      <c r="A5" s="1" t="str">
        <f>IFERROR(__xludf.DUMMYFUNCTION("""COMPUTED_VALUE"""),"Halloween Kingdom")</f>
        <v>Halloween Kingdom</v>
      </c>
      <c r="B5" s="1"/>
      <c r="C5" s="1"/>
    </row>
    <row r="6">
      <c r="A6" s="1" t="str">
        <f>IFERROR(__xludf.DUMMYFUNCTION("""COMPUTED_VALUE"""),"Land of The Forgotten")</f>
        <v>Land of The Forgotten</v>
      </c>
      <c r="B6" s="1"/>
      <c r="C6" s="1"/>
    </row>
    <row r="7">
      <c r="A7" s="1" t="str">
        <f>IFERROR(__xludf.DUMMYFUNCTION("""COMPUTED_VALUE"""),"Dragonscale Island")</f>
        <v>Dragonscale Island</v>
      </c>
      <c r="B7" s="1"/>
      <c r="C7" s="1"/>
    </row>
    <row r="8">
      <c r="A8" s="1" t="str">
        <f>IFERROR(__xludf.DUMMYFUNCTION("""COMPUTED_VALUE"""),"Event Hub")</f>
        <v>Event Hub</v>
      </c>
      <c r="B8" s="1"/>
      <c r="C8" s="1"/>
    </row>
    <row r="9">
      <c r="A9" s="1" t="str">
        <f>IFERROR(__xludf.DUMMYFUNCTION("""COMPUTED_VALUE"""),"Tantalus - The Void")</f>
        <v>Tantalus - The Void</v>
      </c>
      <c r="B9" s="1"/>
      <c r="C9" s="1"/>
    </row>
    <row r="10">
      <c r="A10" s="1" t="str">
        <f>IFERROR(__xludf.DUMMYFUNCTION("""COMPUTED_VALUE"""),"Tantalus - Muspelheim")</f>
        <v>Tantalus - Muspelheim</v>
      </c>
      <c r="B10" s="1"/>
      <c r="C10" s="1"/>
    </row>
    <row r="11">
      <c r="A11" s="1" t="str">
        <f>IFERROR(__xludf.DUMMYFUNCTION("""COMPUTED_VALUE"""),"Hestheimer")</f>
        <v>Hestheimer</v>
      </c>
      <c r="B11" s="1"/>
      <c r="C11" s="1"/>
    </row>
    <row r="12">
      <c r="A12" s="1" t="str">
        <f>IFERROR(__xludf.DUMMYFUNCTION("""COMPUTED_VALUE"""),"Mekaheim")</f>
        <v>Mekaheim</v>
      </c>
      <c r="B12" s="1"/>
      <c r="C12" s="1"/>
    </row>
    <row r="13">
      <c r="A13" s="1" t="str">
        <f>IFERROR(__xludf.DUMMYFUNCTION("""COMPUTED_VALUE"""),"Celeste")</f>
        <v>Celeste</v>
      </c>
      <c r="B13" s="1"/>
      <c r="C13" s="1"/>
    </row>
    <row r="14">
      <c r="A14" s="1" t="str">
        <f>IFERROR(__xludf.DUMMYFUNCTION("""COMPUTED_VALUE"""),"Lostheimer")</f>
        <v>Lostheimer</v>
      </c>
      <c r="B14" s="1"/>
      <c r="C14" s="1"/>
    </row>
    <row r="15">
      <c r="A15" s="1" t="str">
        <f>IFERROR(__xludf.DUMMYFUNCTION("""COMPUTED_VALUE"""),"Jutulheim")</f>
        <v>Jutulheim</v>
      </c>
      <c r="B15" s="1"/>
      <c r="C15" s="1"/>
    </row>
    <row r="16">
      <c r="A16" s="1"/>
      <c r="B16" s="1"/>
      <c r="C16" s="1"/>
    </row>
    <row r="17">
      <c r="A17" s="1"/>
      <c r="B17" s="1"/>
      <c r="C17" s="1"/>
    </row>
    <row r="18">
      <c r="A18" s="1"/>
      <c r="B18" s="1"/>
      <c r="C18" s="1"/>
    </row>
    <row r="19">
      <c r="A19" s="1"/>
      <c r="B19" s="1"/>
      <c r="C19" s="1"/>
    </row>
    <row r="20">
      <c r="A20" s="1"/>
      <c r="B20" s="1"/>
      <c r="C20" s="1"/>
    </row>
    <row r="21">
      <c r="A21" s="1"/>
      <c r="B21" s="1"/>
      <c r="C21" s="1"/>
    </row>
    <row r="22">
      <c r="A22" s="1"/>
      <c r="B22" s="1"/>
      <c r="C22" s="1"/>
    </row>
    <row r="23">
      <c r="A23" s="1"/>
      <c r="B23" s="1"/>
      <c r="C23" s="1"/>
    </row>
    <row r="24">
      <c r="A24" s="1"/>
      <c r="B24" s="1"/>
      <c r="C24" s="1"/>
    </row>
    <row r="25">
      <c r="A25" s="1"/>
      <c r="B25" s="1"/>
      <c r="C25" s="1"/>
    </row>
    <row r="26">
      <c r="A26" s="1"/>
      <c r="B26" s="1"/>
      <c r="C26" s="1"/>
    </row>
    <row r="27">
      <c r="A27" s="1"/>
      <c r="B27" s="1"/>
      <c r="C27" s="1"/>
    </row>
    <row r="28">
      <c r="A28" s="1"/>
      <c r="B28" s="1"/>
      <c r="C28" s="1"/>
    </row>
    <row r="29">
      <c r="A29" s="1"/>
      <c r="B29" s="1"/>
      <c r="C29" s="1"/>
    </row>
    <row r="30">
      <c r="A30" s="1"/>
      <c r="B30" s="1"/>
      <c r="C30" s="1"/>
    </row>
    <row r="31">
      <c r="A31" s="1"/>
      <c r="B31" s="1"/>
      <c r="C31" s="1"/>
    </row>
    <row r="32">
      <c r="A32" s="1"/>
      <c r="B32" s="1"/>
      <c r="C32" s="1"/>
    </row>
    <row r="33">
      <c r="A33" s="1"/>
      <c r="B33" s="1"/>
      <c r="C33" s="1"/>
    </row>
    <row r="34">
      <c r="A34" s="1"/>
      <c r="B34" s="1"/>
      <c r="C34" s="1"/>
    </row>
    <row r="35">
      <c r="A35" s="1"/>
      <c r="B35" s="1"/>
      <c r="C35" s="1"/>
    </row>
    <row r="36">
      <c r="A36" s="1"/>
      <c r="B36" s="1"/>
      <c r="C36" s="1"/>
    </row>
    <row r="37">
      <c r="A37" s="1"/>
      <c r="B37" s="1"/>
      <c r="C37" s="1"/>
    </row>
    <row r="38">
      <c r="A38" s="1"/>
      <c r="B38" s="1"/>
      <c r="C38" s="1"/>
    </row>
    <row r="39">
      <c r="A39" s="1"/>
      <c r="B39" s="1"/>
      <c r="C39" s="1"/>
    </row>
    <row r="40">
      <c r="A40" s="1"/>
      <c r="B40" s="1"/>
      <c r="C40" s="1"/>
    </row>
    <row r="41">
      <c r="A41" s="1"/>
      <c r="B41" s="1"/>
      <c r="C41" s="1"/>
    </row>
    <row r="42">
      <c r="A42" s="1"/>
      <c r="B42" s="1"/>
      <c r="C42" s="1"/>
    </row>
    <row r="43">
      <c r="A43" s="1"/>
      <c r="B43" s="1"/>
      <c r="C43" s="1"/>
    </row>
    <row r="44">
      <c r="A44" s="1"/>
      <c r="B44" s="1"/>
      <c r="C44" s="1"/>
    </row>
    <row r="45">
      <c r="A45" s="1"/>
      <c r="B45" s="1"/>
      <c r="C45" s="1"/>
    </row>
    <row r="46">
      <c r="A46" s="1"/>
      <c r="B46" s="1"/>
      <c r="C46" s="1"/>
    </row>
    <row r="47">
      <c r="A47" s="1"/>
      <c r="B47" s="1"/>
      <c r="C47" s="1"/>
    </row>
    <row r="48">
      <c r="A48" s="1"/>
      <c r="B48" s="1"/>
      <c r="C48" s="1"/>
    </row>
    <row r="49">
      <c r="A49" s="1"/>
      <c r="B49" s="1"/>
      <c r="C49" s="1"/>
    </row>
    <row r="50">
      <c r="A50" s="1"/>
      <c r="B50" s="1"/>
      <c r="C50" s="1"/>
    </row>
    <row r="51">
      <c r="A51" s="1"/>
      <c r="B51" s="1"/>
      <c r="C51" s="1"/>
    </row>
    <row r="52">
      <c r="A52" s="1"/>
      <c r="B52" s="1"/>
      <c r="C52" s="1"/>
    </row>
    <row r="53">
      <c r="A53" s="1"/>
      <c r="B53" s="1"/>
      <c r="C53" s="1"/>
    </row>
    <row r="54">
      <c r="A54" s="1"/>
      <c r="B54" s="1"/>
      <c r="C54" s="1"/>
    </row>
    <row r="55">
      <c r="A55" s="1"/>
      <c r="B55" s="1"/>
      <c r="C55" s="1"/>
    </row>
    <row r="56">
      <c r="A56" s="1"/>
      <c r="B56" s="1"/>
      <c r="C56" s="1"/>
    </row>
    <row r="57">
      <c r="A57" s="1"/>
      <c r="B57" s="1"/>
      <c r="C57" s="1"/>
    </row>
    <row r="58">
      <c r="A58" s="1"/>
      <c r="B58" s="1"/>
      <c r="C58" s="1"/>
    </row>
    <row r="59">
      <c r="A59" s="1"/>
      <c r="B59" s="1"/>
      <c r="C59" s="1"/>
    </row>
    <row r="60">
      <c r="A60" s="1"/>
      <c r="B60" s="1"/>
      <c r="C60" s="1"/>
    </row>
    <row r="61">
      <c r="A61" s="1"/>
      <c r="B61" s="1"/>
      <c r="C61" s="1"/>
    </row>
    <row r="62">
      <c r="A62" s="1"/>
      <c r="B62" s="1"/>
      <c r="C62" s="1"/>
    </row>
    <row r="63">
      <c r="A63" s="1"/>
      <c r="B63" s="1"/>
      <c r="C63" s="1"/>
    </row>
    <row r="64">
      <c r="A64" s="1"/>
      <c r="B64" s="1"/>
      <c r="C64" s="1"/>
    </row>
    <row r="65">
      <c r="A65" s="1"/>
      <c r="B65" s="1"/>
      <c r="C65" s="1"/>
    </row>
    <row r="66">
      <c r="A66" s="1"/>
      <c r="B66" s="1"/>
      <c r="C66" s="1"/>
    </row>
    <row r="67">
      <c r="A67" s="1"/>
      <c r="B67" s="1"/>
      <c r="C67" s="1"/>
    </row>
    <row r="68">
      <c r="A68" s="1"/>
      <c r="B68" s="1"/>
      <c r="C68" s="1"/>
    </row>
    <row r="69">
      <c r="A69" s="1"/>
      <c r="B69" s="1"/>
      <c r="C69" s="1"/>
    </row>
    <row r="70">
      <c r="A70" s="1"/>
      <c r="B70" s="1"/>
      <c r="C70" s="1"/>
    </row>
    <row r="71">
      <c r="A71" s="1"/>
      <c r="B71" s="1"/>
      <c r="C71" s="1"/>
    </row>
    <row r="72">
      <c r="A72" s="1"/>
      <c r="B72" s="1"/>
      <c r="C72" s="1"/>
    </row>
    <row r="73">
      <c r="A73" s="1"/>
      <c r="B73" s="1"/>
      <c r="C73" s="1"/>
    </row>
    <row r="74">
      <c r="A74" s="1"/>
      <c r="B74" s="1"/>
      <c r="C74" s="1"/>
    </row>
    <row r="75">
      <c r="A75" s="1"/>
      <c r="B75" s="1"/>
      <c r="C75" s="1"/>
    </row>
    <row r="76">
      <c r="A76" s="1"/>
      <c r="B76" s="1"/>
      <c r="C76" s="1"/>
    </row>
    <row r="77">
      <c r="A77" s="1"/>
      <c r="B77" s="1"/>
      <c r="C77" s="1"/>
    </row>
    <row r="78">
      <c r="A78" s="1"/>
      <c r="B78" s="1"/>
      <c r="C78" s="1"/>
    </row>
    <row r="79">
      <c r="A79" s="1"/>
      <c r="B79" s="1"/>
      <c r="C79" s="1"/>
    </row>
    <row r="80">
      <c r="A80" s="1"/>
      <c r="B80" s="1"/>
      <c r="C80" s="1"/>
    </row>
    <row r="81">
      <c r="A81" s="1"/>
      <c r="B81" s="1"/>
      <c r="C81" s="1"/>
    </row>
    <row r="82">
      <c r="A82" s="1"/>
      <c r="B82" s="1"/>
      <c r="C82" s="1"/>
    </row>
    <row r="83">
      <c r="A83" s="1"/>
      <c r="B83" s="1"/>
      <c r="C83" s="1"/>
    </row>
    <row r="84">
      <c r="A84" s="1"/>
      <c r="B84" s="1"/>
      <c r="C84" s="1"/>
    </row>
    <row r="85">
      <c r="A85" s="1"/>
      <c r="B85" s="1"/>
      <c r="C85" s="1"/>
    </row>
    <row r="86">
      <c r="A86" s="1"/>
      <c r="B86" s="1"/>
      <c r="C86" s="1"/>
    </row>
    <row r="87">
      <c r="A87" s="1"/>
      <c r="B87" s="1"/>
      <c r="C87" s="1"/>
    </row>
    <row r="88">
      <c r="A88" s="1"/>
      <c r="B88" s="1"/>
      <c r="C88" s="1"/>
    </row>
    <row r="89">
      <c r="A89" s="1"/>
      <c r="B89" s="1"/>
      <c r="C89" s="1"/>
    </row>
    <row r="90">
      <c r="A90" s="1"/>
      <c r="B90" s="1"/>
      <c r="C90" s="1"/>
    </row>
    <row r="91">
      <c r="A91" s="1"/>
      <c r="B91" s="1"/>
      <c r="C91" s="1"/>
    </row>
    <row r="92">
      <c r="A92" s="1"/>
      <c r="B92" s="1"/>
      <c r="C92" s="1"/>
    </row>
    <row r="93">
      <c r="A93" s="1"/>
      <c r="B93" s="1"/>
      <c r="C93" s="1"/>
    </row>
    <row r="94">
      <c r="A94" s="1"/>
      <c r="B94" s="1"/>
      <c r="C94" s="1"/>
    </row>
    <row r="95">
      <c r="A95" s="1"/>
      <c r="B95" s="1"/>
      <c r="C95" s="1"/>
    </row>
    <row r="96">
      <c r="A96" s="1"/>
      <c r="B96" s="1"/>
      <c r="C96" s="1"/>
    </row>
    <row r="97">
      <c r="A97" s="1"/>
      <c r="B97" s="1"/>
      <c r="C97" s="1"/>
    </row>
    <row r="98">
      <c r="A98" s="1"/>
      <c r="B98" s="1"/>
      <c r="C98" s="1"/>
    </row>
    <row r="99">
      <c r="A99" s="1"/>
      <c r="B99" s="1"/>
      <c r="C99" s="1"/>
    </row>
    <row r="100">
      <c r="A100" s="1"/>
      <c r="B100" s="1"/>
      <c r="C100" s="1"/>
    </row>
    <row r="101">
      <c r="A101" s="1"/>
      <c r="B101" s="1"/>
      <c r="C101" s="1"/>
    </row>
    <row r="102">
      <c r="A102" s="1"/>
      <c r="B102" s="1"/>
      <c r="C102" s="1"/>
    </row>
    <row r="103">
      <c r="A103" s="1"/>
      <c r="B103" s="1"/>
      <c r="C103" s="1"/>
    </row>
    <row r="104">
      <c r="A104" s="1"/>
      <c r="B104" s="1"/>
      <c r="C104" s="1"/>
    </row>
    <row r="105">
      <c r="A105" s="1"/>
      <c r="B105" s="1"/>
      <c r="C105" s="1"/>
    </row>
    <row r="106">
      <c r="A106" s="1"/>
      <c r="B106" s="1"/>
      <c r="C106" s="1"/>
    </row>
    <row r="107">
      <c r="A107" s="1"/>
      <c r="B107" s="1"/>
      <c r="C107" s="1"/>
    </row>
    <row r="108">
      <c r="A108" s="1"/>
      <c r="B108" s="1"/>
      <c r="C108" s="1"/>
    </row>
    <row r="109">
      <c r="A109" s="1"/>
      <c r="B109" s="1"/>
      <c r="C109" s="1"/>
    </row>
    <row r="110">
      <c r="A110" s="1"/>
      <c r="B110" s="1"/>
      <c r="C110" s="1"/>
    </row>
    <row r="111">
      <c r="A111" s="1"/>
      <c r="B111" s="1"/>
      <c r="C111" s="1"/>
    </row>
    <row r="112">
      <c r="A112" s="1"/>
      <c r="B112" s="1"/>
      <c r="C112" s="1"/>
    </row>
    <row r="113">
      <c r="A113" s="1"/>
      <c r="B113" s="1"/>
      <c r="C113" s="1"/>
    </row>
    <row r="114">
      <c r="A114" s="1"/>
      <c r="B114" s="1"/>
      <c r="C114" s="1"/>
    </row>
    <row r="115">
      <c r="A115" s="1"/>
      <c r="B115" s="1"/>
      <c r="C115" s="1"/>
    </row>
    <row r="116">
      <c r="A116" s="1"/>
      <c r="B116" s="1"/>
      <c r="C116" s="1"/>
    </row>
    <row r="117">
      <c r="A117" s="1"/>
      <c r="B117" s="1"/>
      <c r="C117" s="1"/>
    </row>
    <row r="118">
      <c r="A118" s="1"/>
      <c r="B118" s="1"/>
      <c r="C118" s="1"/>
    </row>
    <row r="119">
      <c r="A119" s="1"/>
      <c r="B119" s="1"/>
      <c r="C119" s="1"/>
    </row>
    <row r="120">
      <c r="A120" s="1"/>
      <c r="B120" s="1"/>
      <c r="C120" s="1"/>
    </row>
    <row r="121">
      <c r="A121" s="1"/>
      <c r="B121" s="1"/>
      <c r="C121" s="1"/>
    </row>
    <row r="122">
      <c r="A122" s="1"/>
      <c r="B122" s="1"/>
      <c r="C122" s="1"/>
    </row>
    <row r="123">
      <c r="A123" s="1"/>
      <c r="B123" s="1"/>
      <c r="C123" s="1"/>
    </row>
    <row r="124">
      <c r="A124" s="1"/>
      <c r="B124" s="1"/>
      <c r="C124" s="1"/>
    </row>
    <row r="125">
      <c r="A125" s="1"/>
      <c r="B125" s="1"/>
      <c r="C125" s="1"/>
    </row>
    <row r="126">
      <c r="A126" s="1"/>
      <c r="B126" s="1"/>
      <c r="C126" s="1"/>
    </row>
    <row r="127">
      <c r="A127" s="1"/>
      <c r="B127" s="1"/>
      <c r="C127" s="1"/>
    </row>
    <row r="128">
      <c r="A128" s="1"/>
      <c r="B128" s="1"/>
      <c r="C128" s="1"/>
    </row>
    <row r="129">
      <c r="A129" s="1"/>
      <c r="B129" s="1"/>
      <c r="C129" s="1"/>
    </row>
    <row r="130">
      <c r="A130" s="1"/>
      <c r="B130" s="1"/>
      <c r="C130" s="1"/>
    </row>
    <row r="131">
      <c r="A131" s="1"/>
      <c r="B131" s="1"/>
      <c r="C131" s="1"/>
    </row>
    <row r="132">
      <c r="A132" s="1"/>
      <c r="B132" s="1"/>
      <c r="C132" s="1"/>
    </row>
    <row r="133">
      <c r="A133" s="1"/>
      <c r="B133" s="1"/>
      <c r="C133" s="1"/>
    </row>
    <row r="134">
      <c r="A134" s="1"/>
      <c r="B134" s="1"/>
      <c r="C134" s="1"/>
    </row>
    <row r="135">
      <c r="A135" s="1"/>
      <c r="B135" s="1"/>
      <c r="C135" s="1"/>
    </row>
    <row r="136">
      <c r="A136" s="1"/>
      <c r="B136" s="1"/>
      <c r="C136" s="1"/>
    </row>
    <row r="137">
      <c r="A137" s="1"/>
      <c r="B137" s="1"/>
      <c r="C137" s="1"/>
    </row>
    <row r="138">
      <c r="A138" s="1"/>
      <c r="B138" s="1"/>
      <c r="C138" s="1"/>
    </row>
    <row r="139">
      <c r="A139" s="1"/>
      <c r="B139" s="1"/>
      <c r="C139" s="1"/>
    </row>
    <row r="140">
      <c r="A140" s="1"/>
      <c r="B140" s="1"/>
      <c r="C140" s="1"/>
    </row>
    <row r="141">
      <c r="A141" s="1"/>
      <c r="B141" s="1"/>
      <c r="C141" s="1"/>
    </row>
    <row r="142">
      <c r="A142" s="1"/>
      <c r="B142" s="1"/>
      <c r="C142" s="1"/>
    </row>
    <row r="143">
      <c r="A143" s="1"/>
      <c r="B143" s="1"/>
      <c r="C143" s="1"/>
    </row>
    <row r="144">
      <c r="A144" s="1"/>
      <c r="B144" s="1"/>
      <c r="C144" s="1"/>
    </row>
    <row r="145">
      <c r="A145" s="1"/>
      <c r="B145" s="1"/>
      <c r="C145" s="1"/>
    </row>
    <row r="146">
      <c r="A146" s="1"/>
      <c r="B146" s="1"/>
      <c r="C146" s="1"/>
    </row>
    <row r="147">
      <c r="A147" s="1"/>
      <c r="B147" s="1"/>
      <c r="C147" s="1"/>
    </row>
    <row r="148">
      <c r="A148" s="1"/>
      <c r="B148" s="1"/>
      <c r="C148" s="1"/>
    </row>
    <row r="149">
      <c r="A149" s="1"/>
      <c r="B149" s="1"/>
      <c r="C149" s="1"/>
    </row>
    <row r="150">
      <c r="A150" s="1"/>
      <c r="B150" s="1"/>
      <c r="C150" s="1"/>
    </row>
    <row r="151">
      <c r="A151" s="1"/>
      <c r="B151" s="1"/>
      <c r="C151" s="1"/>
    </row>
    <row r="152">
      <c r="A152" s="1"/>
      <c r="B152" s="1"/>
      <c r="C152" s="1"/>
    </row>
    <row r="153">
      <c r="A153" s="1"/>
      <c r="B153" s="1"/>
      <c r="C153" s="1"/>
    </row>
    <row r="154">
      <c r="A154" s="1"/>
      <c r="B154" s="1"/>
      <c r="C154" s="1"/>
    </row>
    <row r="155">
      <c r="A155" s="1"/>
      <c r="B155" s="1"/>
      <c r="C155" s="1"/>
    </row>
    <row r="156">
      <c r="A156" s="1"/>
      <c r="B156" s="1"/>
      <c r="C156" s="1"/>
    </row>
    <row r="157">
      <c r="A157" s="1"/>
      <c r="B157" s="1"/>
      <c r="C157" s="1"/>
    </row>
    <row r="158">
      <c r="A158" s="1"/>
      <c r="B158" s="1"/>
      <c r="C158" s="1"/>
    </row>
    <row r="159">
      <c r="A159" s="1"/>
      <c r="B159" s="1"/>
      <c r="C159" s="1"/>
    </row>
    <row r="160">
      <c r="A160" s="1"/>
      <c r="B160" s="1"/>
      <c r="C160" s="1"/>
    </row>
    <row r="161">
      <c r="A161" s="1"/>
      <c r="B161" s="1"/>
      <c r="C161" s="1"/>
    </row>
    <row r="162">
      <c r="A162" s="1"/>
      <c r="B162" s="1"/>
      <c r="C162" s="1"/>
    </row>
    <row r="163">
      <c r="A163" s="1"/>
      <c r="B163" s="1"/>
      <c r="C163" s="1"/>
    </row>
    <row r="164">
      <c r="A164" s="1"/>
      <c r="B164" s="1"/>
      <c r="C164" s="1"/>
    </row>
    <row r="165">
      <c r="A165" s="1"/>
      <c r="B165" s="1"/>
      <c r="C165" s="1"/>
    </row>
    <row r="166">
      <c r="A166" s="1"/>
      <c r="B166" s="1"/>
      <c r="C166" s="1"/>
    </row>
    <row r="167">
      <c r="A167" s="1"/>
      <c r="B167" s="1"/>
      <c r="C167" s="1"/>
    </row>
    <row r="168">
      <c r="A168" s="1"/>
      <c r="B168" s="1"/>
      <c r="C168" s="1"/>
    </row>
    <row r="169">
      <c r="A169" s="1"/>
      <c r="B169" s="1"/>
      <c r="C169" s="1"/>
    </row>
    <row r="170">
      <c r="A170" s="1"/>
      <c r="B170" s="1"/>
      <c r="C170" s="1"/>
    </row>
    <row r="171">
      <c r="A171" s="1"/>
      <c r="B171" s="1"/>
      <c r="C171" s="1"/>
    </row>
    <row r="172">
      <c r="A172" s="1"/>
      <c r="B172" s="1"/>
      <c r="C172" s="1"/>
    </row>
    <row r="173">
      <c r="A173" s="1"/>
      <c r="B173" s="1"/>
      <c r="C173" s="1"/>
    </row>
    <row r="174">
      <c r="A174" s="1"/>
      <c r="B174" s="1"/>
      <c r="C174" s="1"/>
    </row>
    <row r="175">
      <c r="A175" s="1"/>
      <c r="B175" s="1"/>
      <c r="C175" s="1"/>
    </row>
    <row r="176">
      <c r="A176" s="1"/>
      <c r="B176" s="1"/>
      <c r="C176" s="1"/>
    </row>
    <row r="177">
      <c r="A177" s="1"/>
      <c r="B177" s="1"/>
      <c r="C177" s="1"/>
    </row>
    <row r="178">
      <c r="A178" s="1"/>
      <c r="B178" s="1"/>
      <c r="C178" s="1"/>
    </row>
    <row r="179">
      <c r="A179" s="1"/>
      <c r="B179" s="1"/>
      <c r="C179" s="1"/>
    </row>
    <row r="180">
      <c r="A180" s="1"/>
      <c r="B180" s="1"/>
      <c r="C180" s="1"/>
    </row>
    <row r="181">
      <c r="A181" s="1"/>
      <c r="B181" s="1"/>
      <c r="C181" s="1"/>
    </row>
    <row r="182">
      <c r="A182" s="1"/>
      <c r="B182" s="1"/>
      <c r="C182" s="1"/>
    </row>
    <row r="183">
      <c r="A183" s="1"/>
      <c r="B183" s="1"/>
      <c r="C183" s="1"/>
    </row>
    <row r="184">
      <c r="A184" s="1"/>
      <c r="B184" s="1"/>
      <c r="C184" s="1"/>
    </row>
    <row r="185">
      <c r="A185" s="1"/>
      <c r="B185" s="1"/>
      <c r="C185" s="1"/>
    </row>
    <row r="186">
      <c r="A186" s="1"/>
      <c r="B186" s="1"/>
      <c r="C186" s="1"/>
    </row>
    <row r="187">
      <c r="A187" s="1"/>
      <c r="B187" s="1"/>
      <c r="C187" s="1"/>
    </row>
    <row r="188">
      <c r="A188" s="1"/>
      <c r="B188" s="1"/>
      <c r="C188" s="1"/>
    </row>
    <row r="189">
      <c r="A189" s="1"/>
      <c r="B189" s="1"/>
      <c r="C189" s="1"/>
    </row>
    <row r="190">
      <c r="A190" s="1"/>
      <c r="B190" s="1"/>
      <c r="C190" s="1"/>
    </row>
    <row r="191">
      <c r="A191" s="1"/>
      <c r="B191" s="1"/>
      <c r="C191" s="1"/>
    </row>
    <row r="192">
      <c r="A192" s="1"/>
      <c r="B192" s="1"/>
      <c r="C192" s="1"/>
    </row>
    <row r="193">
      <c r="A193" s="1"/>
      <c r="B193" s="1"/>
      <c r="C193" s="1"/>
    </row>
    <row r="194">
      <c r="A194" s="1"/>
      <c r="B194" s="1"/>
      <c r="C194" s="1"/>
    </row>
    <row r="195">
      <c r="A195" s="1"/>
      <c r="B195" s="1"/>
      <c r="C195" s="1"/>
    </row>
    <row r="196">
      <c r="A196" s="1"/>
      <c r="B196" s="1"/>
      <c r="C196" s="1"/>
    </row>
    <row r="197">
      <c r="A197" s="1"/>
      <c r="B197" s="1"/>
      <c r="C197" s="1"/>
    </row>
    <row r="198">
      <c r="A198" s="1"/>
      <c r="B198" s="1"/>
      <c r="C198" s="1"/>
    </row>
    <row r="199">
      <c r="A199" s="1"/>
      <c r="B199" s="1"/>
      <c r="C199" s="1"/>
    </row>
    <row r="200">
      <c r="A200" s="1"/>
      <c r="B200" s="1"/>
      <c r="C200" s="1"/>
    </row>
    <row r="201">
      <c r="A201" s="1"/>
      <c r="B201" s="1"/>
      <c r="C201" s="1"/>
    </row>
    <row r="202">
      <c r="A202" s="1"/>
      <c r="B202" s="1"/>
      <c r="C202" s="1"/>
    </row>
    <row r="203">
      <c r="A203" s="1"/>
      <c r="B203" s="1"/>
      <c r="C203" s="1"/>
    </row>
    <row r="204">
      <c r="A204" s="1"/>
      <c r="B204" s="1"/>
      <c r="C204" s="1"/>
    </row>
    <row r="205">
      <c r="A205" s="1"/>
      <c r="B205" s="1"/>
      <c r="C205" s="1"/>
    </row>
    <row r="206">
      <c r="A206" s="1"/>
      <c r="B206" s="1"/>
      <c r="C206" s="1"/>
    </row>
    <row r="207">
      <c r="A207" s="1"/>
      <c r="B207" s="1"/>
      <c r="C207" s="1"/>
    </row>
    <row r="208">
      <c r="A208" s="1"/>
      <c r="B208" s="1"/>
      <c r="C208" s="1"/>
    </row>
    <row r="209">
      <c r="A209" s="1"/>
      <c r="B209" s="1"/>
      <c r="C209" s="1"/>
    </row>
    <row r="210">
      <c r="A210" s="1"/>
      <c r="B210" s="1"/>
      <c r="C210" s="1"/>
    </row>
    <row r="211">
      <c r="A211" s="1"/>
      <c r="B211" s="1"/>
      <c r="C211" s="1"/>
    </row>
    <row r="212">
      <c r="A212" s="1"/>
      <c r="B212" s="1"/>
      <c r="C212" s="1"/>
    </row>
    <row r="213">
      <c r="A213" s="1"/>
      <c r="B213" s="1"/>
      <c r="C213" s="1"/>
    </row>
    <row r="214">
      <c r="A214" s="1"/>
      <c r="B214" s="1"/>
      <c r="C214" s="1"/>
    </row>
    <row r="215">
      <c r="A215" s="1"/>
      <c r="B215" s="1"/>
      <c r="C215" s="1"/>
    </row>
    <row r="216">
      <c r="A216" s="1"/>
      <c r="B216" s="1"/>
      <c r="C216" s="1"/>
    </row>
    <row r="217">
      <c r="A217" s="1"/>
      <c r="B217" s="1"/>
      <c r="C217" s="1"/>
    </row>
    <row r="218">
      <c r="A218" s="1"/>
      <c r="B218" s="1"/>
      <c r="C218" s="1"/>
    </row>
    <row r="219">
      <c r="A219" s="1"/>
      <c r="B219" s="1"/>
      <c r="C219" s="1"/>
    </row>
    <row r="220">
      <c r="A220" s="1"/>
      <c r="B220" s="1"/>
      <c r="C220" s="1"/>
    </row>
    <row r="221">
      <c r="A221" s="1"/>
      <c r="B221" s="1"/>
      <c r="C221" s="1"/>
    </row>
    <row r="222">
      <c r="A222" s="1"/>
      <c r="B222" s="1"/>
      <c r="C222" s="1"/>
    </row>
    <row r="223">
      <c r="A223" s="1"/>
      <c r="B223" s="1"/>
      <c r="C223" s="1"/>
    </row>
    <row r="224">
      <c r="A224" s="1"/>
      <c r="B224" s="1"/>
      <c r="C224" s="1"/>
    </row>
    <row r="225">
      <c r="A225" s="1"/>
      <c r="B225" s="1"/>
      <c r="C225" s="1"/>
    </row>
    <row r="226">
      <c r="A226" s="1"/>
      <c r="B226" s="1"/>
      <c r="C226" s="1"/>
    </row>
    <row r="227">
      <c r="A227" s="1"/>
      <c r="B227" s="1"/>
      <c r="C227" s="1"/>
    </row>
    <row r="228">
      <c r="A228" s="1"/>
      <c r="B228" s="1"/>
      <c r="C228" s="1"/>
    </row>
    <row r="229">
      <c r="A229" s="1"/>
      <c r="B229" s="1"/>
      <c r="C229" s="1"/>
    </row>
    <row r="230">
      <c r="A230" s="1"/>
      <c r="B230" s="1"/>
      <c r="C230" s="1"/>
    </row>
    <row r="231">
      <c r="A231" s="1"/>
      <c r="B231" s="1"/>
      <c r="C231" s="1"/>
    </row>
    <row r="232">
      <c r="A232" s="1"/>
      <c r="B232" s="1"/>
      <c r="C232" s="1"/>
    </row>
    <row r="233">
      <c r="A233" s="1"/>
      <c r="B233" s="1"/>
      <c r="C233" s="1"/>
    </row>
    <row r="234">
      <c r="A234" s="1"/>
      <c r="B234" s="1"/>
      <c r="C234" s="1"/>
    </row>
    <row r="235">
      <c r="A235" s="1"/>
      <c r="B235" s="1"/>
      <c r="C235" s="1"/>
    </row>
    <row r="236">
      <c r="A236" s="1"/>
      <c r="B236" s="1"/>
      <c r="C236" s="1"/>
    </row>
    <row r="237">
      <c r="A237" s="1"/>
      <c r="B237" s="1"/>
      <c r="C237" s="1"/>
    </row>
    <row r="238">
      <c r="A238" s="1"/>
      <c r="B238" s="1"/>
      <c r="C238" s="1"/>
    </row>
    <row r="239">
      <c r="A239" s="1"/>
      <c r="B239" s="1"/>
      <c r="C239" s="1"/>
    </row>
    <row r="240">
      <c r="A240" s="1"/>
      <c r="B240" s="1"/>
      <c r="C240" s="1"/>
    </row>
    <row r="241">
      <c r="A241" s="1"/>
      <c r="B241" s="1"/>
      <c r="C241" s="1"/>
    </row>
    <row r="242">
      <c r="A242" s="1"/>
      <c r="B242" s="1"/>
      <c r="C242" s="1"/>
    </row>
    <row r="243">
      <c r="A243" s="1"/>
      <c r="B243" s="1"/>
      <c r="C243" s="1"/>
    </row>
    <row r="244">
      <c r="A244" s="1"/>
      <c r="B244" s="1"/>
      <c r="C244" s="1"/>
    </row>
    <row r="245">
      <c r="A245" s="1"/>
      <c r="B245" s="1"/>
      <c r="C245" s="1"/>
    </row>
    <row r="246">
      <c r="A246" s="1"/>
      <c r="B246" s="1"/>
      <c r="C246" s="1"/>
    </row>
    <row r="247">
      <c r="A247" s="1"/>
      <c r="B247" s="1"/>
      <c r="C247" s="1"/>
    </row>
    <row r="248">
      <c r="A248" s="1"/>
      <c r="B248" s="1"/>
      <c r="C248" s="1"/>
    </row>
    <row r="249">
      <c r="A249" s="1"/>
      <c r="B249" s="1"/>
      <c r="C249" s="1"/>
    </row>
    <row r="250">
      <c r="A250" s="1"/>
      <c r="B250" s="1"/>
      <c r="C250" s="1"/>
    </row>
    <row r="251">
      <c r="A251" s="1"/>
      <c r="B251" s="1"/>
      <c r="C251" s="1"/>
    </row>
    <row r="252">
      <c r="A252" s="1"/>
      <c r="B252" s="1"/>
      <c r="C252" s="1"/>
    </row>
    <row r="253">
      <c r="A253" s="1"/>
      <c r="B253" s="1"/>
      <c r="C253" s="1"/>
    </row>
    <row r="254">
      <c r="A254" s="1"/>
      <c r="B254" s="1"/>
      <c r="C254" s="1"/>
    </row>
    <row r="255">
      <c r="A255" s="1"/>
      <c r="B255" s="1"/>
      <c r="C255" s="1"/>
    </row>
    <row r="256">
      <c r="A256" s="1"/>
      <c r="B256" s="1"/>
      <c r="C256" s="1"/>
    </row>
    <row r="257">
      <c r="A257" s="1"/>
      <c r="B257" s="1"/>
      <c r="C257" s="1"/>
    </row>
    <row r="258">
      <c r="A258" s="1"/>
      <c r="B258" s="1"/>
      <c r="C258" s="1"/>
    </row>
    <row r="259">
      <c r="A259" s="1"/>
      <c r="B259" s="1"/>
      <c r="C259" s="1"/>
    </row>
    <row r="260">
      <c r="A260" s="1"/>
      <c r="B260" s="1"/>
      <c r="C260" s="1"/>
    </row>
    <row r="261">
      <c r="A261" s="1"/>
      <c r="B261" s="1"/>
      <c r="C261" s="1"/>
    </row>
    <row r="262">
      <c r="A262" s="1"/>
      <c r="B262" s="1"/>
      <c r="C262" s="1"/>
    </row>
    <row r="263">
      <c r="A263" s="1"/>
      <c r="B263" s="1"/>
      <c r="C263" s="1"/>
    </row>
    <row r="264">
      <c r="A264" s="1"/>
      <c r="B264" s="1"/>
      <c r="C264" s="1"/>
    </row>
    <row r="265">
      <c r="A265" s="1"/>
      <c r="B265" s="1"/>
      <c r="C265" s="1"/>
    </row>
    <row r="266">
      <c r="A266" s="1"/>
      <c r="B266" s="1"/>
      <c r="C266" s="1"/>
    </row>
    <row r="267">
      <c r="A267" s="1"/>
      <c r="B267" s="1"/>
      <c r="C267" s="1"/>
    </row>
    <row r="268">
      <c r="A268" s="1"/>
      <c r="B268" s="1"/>
      <c r="C268" s="1"/>
    </row>
    <row r="269">
      <c r="A269" s="1"/>
      <c r="B269" s="1"/>
      <c r="C269" s="1"/>
    </row>
    <row r="270">
      <c r="A270" s="1"/>
      <c r="B270" s="1"/>
      <c r="C270" s="1"/>
    </row>
    <row r="271">
      <c r="A271" s="1"/>
      <c r="B271" s="1"/>
      <c r="C271" s="1"/>
    </row>
    <row r="272">
      <c r="A272" s="1"/>
      <c r="B272" s="1"/>
      <c r="C272" s="1"/>
    </row>
    <row r="273">
      <c r="A273" s="1"/>
      <c r="B273" s="1"/>
      <c r="C273" s="1"/>
    </row>
    <row r="274">
      <c r="A274" s="1"/>
      <c r="B274" s="1"/>
      <c r="C274" s="1"/>
    </row>
    <row r="275">
      <c r="A275" s="1"/>
      <c r="B275" s="1"/>
      <c r="C275" s="1"/>
    </row>
    <row r="276">
      <c r="A276" s="1"/>
      <c r="B276" s="1"/>
      <c r="C276" s="1"/>
    </row>
    <row r="277">
      <c r="A277" s="1"/>
      <c r="B277" s="1"/>
      <c r="C277" s="1"/>
    </row>
    <row r="278">
      <c r="A278" s="1"/>
      <c r="B278" s="1"/>
      <c r="C278" s="1"/>
    </row>
    <row r="279">
      <c r="A279" s="1"/>
      <c r="B279" s="1"/>
      <c r="C279" s="1"/>
    </row>
    <row r="280">
      <c r="A280" s="1"/>
      <c r="B280" s="1"/>
      <c r="C280" s="1"/>
    </row>
    <row r="281">
      <c r="A281" s="1"/>
      <c r="B281" s="1"/>
      <c r="C281" s="1"/>
    </row>
    <row r="282">
      <c r="A282" s="1"/>
      <c r="B282" s="1"/>
      <c r="C282" s="1"/>
    </row>
    <row r="283">
      <c r="A283" s="1"/>
      <c r="B283" s="1"/>
      <c r="C283" s="1"/>
    </row>
    <row r="284">
      <c r="A284" s="1"/>
      <c r="B284" s="1"/>
      <c r="C284" s="1"/>
    </row>
    <row r="285">
      <c r="A285" s="1"/>
      <c r="B285" s="1"/>
      <c r="C285" s="1"/>
    </row>
    <row r="286">
      <c r="A286" s="1"/>
      <c r="B286" s="1"/>
      <c r="C286" s="1"/>
    </row>
    <row r="287">
      <c r="A287" s="1"/>
      <c r="B287" s="1"/>
      <c r="C287" s="1"/>
    </row>
    <row r="288">
      <c r="A288" s="1"/>
      <c r="B288" s="1"/>
      <c r="C288" s="1"/>
    </row>
    <row r="289">
      <c r="A289" s="1"/>
      <c r="B289" s="1"/>
      <c r="C289" s="1"/>
    </row>
    <row r="290">
      <c r="A290" s="1"/>
      <c r="B290" s="1"/>
      <c r="C290" s="1"/>
    </row>
    <row r="291">
      <c r="A291" s="1"/>
      <c r="B291" s="1"/>
      <c r="C291" s="1"/>
    </row>
    <row r="292">
      <c r="A292" s="1"/>
      <c r="B292" s="1"/>
      <c r="C292" s="1"/>
    </row>
    <row r="293">
      <c r="A293" s="1"/>
      <c r="B293" s="1"/>
      <c r="C293" s="1"/>
    </row>
    <row r="294">
      <c r="A294" s="1"/>
      <c r="B294" s="1"/>
      <c r="C294" s="1"/>
    </row>
    <row r="295">
      <c r="A295" s="1"/>
      <c r="B295" s="1"/>
      <c r="C295" s="1"/>
    </row>
    <row r="296">
      <c r="A296" s="1"/>
      <c r="B296" s="1"/>
      <c r="C296" s="1"/>
    </row>
    <row r="297">
      <c r="A297" s="1"/>
      <c r="B297" s="1"/>
      <c r="C297" s="1"/>
    </row>
    <row r="298">
      <c r="A298" s="1"/>
      <c r="B298" s="1"/>
      <c r="C298" s="1"/>
    </row>
    <row r="299">
      <c r="A299" s="1"/>
      <c r="B299" s="1"/>
      <c r="C299" s="1"/>
    </row>
    <row r="300">
      <c r="A300" s="1"/>
      <c r="B300" s="1"/>
      <c r="C300" s="1"/>
    </row>
    <row r="301">
      <c r="A301" s="1"/>
      <c r="B301" s="1"/>
      <c r="C301" s="1"/>
    </row>
    <row r="302">
      <c r="A302" s="1"/>
      <c r="B302" s="1"/>
      <c r="C302" s="1"/>
    </row>
    <row r="303">
      <c r="A303" s="1"/>
      <c r="B303" s="1"/>
      <c r="C303" s="1"/>
    </row>
    <row r="304">
      <c r="A304" s="1"/>
      <c r="B304" s="1"/>
      <c r="C304" s="1"/>
    </row>
    <row r="305">
      <c r="A305" s="1"/>
      <c r="B305" s="1"/>
      <c r="C305" s="1"/>
    </row>
    <row r="306">
      <c r="A306" s="1"/>
      <c r="B306" s="1"/>
      <c r="C306" s="1"/>
    </row>
    <row r="307">
      <c r="A307" s="1"/>
      <c r="B307" s="1"/>
      <c r="C307" s="1"/>
    </row>
    <row r="308">
      <c r="A308" s="1"/>
      <c r="B308" s="1"/>
      <c r="C308" s="1"/>
    </row>
    <row r="309">
      <c r="A309" s="1"/>
      <c r="B309" s="1"/>
      <c r="C309" s="1"/>
    </row>
    <row r="310">
      <c r="A310" s="1"/>
      <c r="B310" s="1"/>
      <c r="C310" s="1"/>
    </row>
    <row r="311">
      <c r="A311" s="1"/>
      <c r="B311" s="1"/>
      <c r="C311" s="1"/>
    </row>
    <row r="312">
      <c r="A312" s="1"/>
      <c r="B312" s="1"/>
      <c r="C312" s="1"/>
    </row>
    <row r="313">
      <c r="A313" s="1"/>
      <c r="B313" s="1"/>
      <c r="C313" s="1"/>
    </row>
    <row r="314">
      <c r="A314" s="1"/>
      <c r="B314" s="1"/>
      <c r="C314" s="1"/>
    </row>
    <row r="315">
      <c r="A315" s="1"/>
      <c r="B315" s="1"/>
      <c r="C315" s="1"/>
    </row>
    <row r="316">
      <c r="A316" s="1"/>
      <c r="B316" s="1"/>
      <c r="C316" s="1"/>
    </row>
    <row r="317">
      <c r="A317" s="1"/>
      <c r="B317" s="1"/>
      <c r="C317" s="1"/>
    </row>
    <row r="318">
      <c r="A318" s="1"/>
      <c r="B318" s="1"/>
      <c r="C318" s="1"/>
    </row>
    <row r="319">
      <c r="A319" s="1"/>
      <c r="B319" s="1"/>
      <c r="C319" s="1"/>
    </row>
    <row r="320">
      <c r="A320" s="1"/>
      <c r="B320" s="1"/>
      <c r="C320" s="1"/>
    </row>
    <row r="321">
      <c r="A321" s="1"/>
      <c r="B321" s="1"/>
      <c r="C321" s="1"/>
    </row>
    <row r="322">
      <c r="A322" s="1"/>
      <c r="B322" s="1"/>
      <c r="C322" s="1"/>
    </row>
    <row r="323">
      <c r="A323" s="1"/>
      <c r="B323" s="1"/>
      <c r="C323" s="1"/>
    </row>
    <row r="324">
      <c r="A324" s="1"/>
      <c r="B324" s="1"/>
      <c r="C324" s="1"/>
    </row>
    <row r="325">
      <c r="A325" s="1"/>
      <c r="B325" s="1"/>
      <c r="C325" s="1"/>
    </row>
    <row r="326">
      <c r="A326" s="1"/>
      <c r="B326" s="1"/>
      <c r="C326" s="1"/>
    </row>
    <row r="327">
      <c r="A327" s="1"/>
      <c r="B327" s="1"/>
      <c r="C327" s="1"/>
    </row>
    <row r="328">
      <c r="A328" s="1"/>
      <c r="B328" s="1"/>
      <c r="C328" s="1"/>
    </row>
    <row r="329">
      <c r="A329" s="1"/>
      <c r="B329" s="1"/>
      <c r="C329" s="1"/>
    </row>
    <row r="330">
      <c r="A330" s="1"/>
      <c r="B330" s="1"/>
      <c r="C330" s="1"/>
    </row>
    <row r="331">
      <c r="A331" s="1"/>
      <c r="B331" s="1"/>
      <c r="C331" s="1"/>
    </row>
    <row r="332">
      <c r="A332" s="1"/>
      <c r="B332" s="1"/>
      <c r="C332" s="1"/>
    </row>
    <row r="333">
      <c r="A333" s="1"/>
      <c r="B333" s="1"/>
      <c r="C333" s="1"/>
    </row>
    <row r="334">
      <c r="A334" s="1"/>
      <c r="B334" s="1"/>
      <c r="C334" s="1"/>
    </row>
    <row r="335">
      <c r="A335" s="1"/>
      <c r="B335" s="1"/>
      <c r="C335" s="1"/>
    </row>
    <row r="336">
      <c r="A336" s="1"/>
      <c r="B336" s="1"/>
      <c r="C336" s="1"/>
    </row>
    <row r="337">
      <c r="A337" s="1"/>
      <c r="B337" s="1"/>
      <c r="C337" s="1"/>
    </row>
    <row r="338">
      <c r="A338" s="1"/>
      <c r="B338" s="1"/>
      <c r="C338" s="1"/>
    </row>
    <row r="339">
      <c r="A339" s="1"/>
      <c r="B339" s="1"/>
      <c r="C339" s="1"/>
    </row>
    <row r="340">
      <c r="A340" s="1"/>
      <c r="B340" s="1"/>
      <c r="C340" s="1"/>
    </row>
    <row r="341">
      <c r="A341" s="1"/>
      <c r="B341" s="1"/>
      <c r="C341" s="1"/>
    </row>
    <row r="342">
      <c r="A342" s="1"/>
      <c r="B342" s="1"/>
      <c r="C342" s="1"/>
    </row>
    <row r="343">
      <c r="A343" s="1"/>
      <c r="B343" s="1"/>
      <c r="C343" s="1"/>
    </row>
    <row r="344">
      <c r="A344" s="1"/>
      <c r="B344" s="1"/>
      <c r="C344" s="1"/>
    </row>
    <row r="345">
      <c r="A345" s="1"/>
      <c r="B345" s="1"/>
      <c r="C345" s="1"/>
    </row>
    <row r="346">
      <c r="A346" s="1"/>
      <c r="B346" s="1"/>
      <c r="C346" s="1"/>
    </row>
    <row r="347">
      <c r="A347" s="1"/>
      <c r="B347" s="1"/>
      <c r="C347" s="1"/>
    </row>
    <row r="348">
      <c r="A348" s="1"/>
      <c r="B348" s="1"/>
      <c r="C348" s="1"/>
    </row>
    <row r="349">
      <c r="A349" s="1"/>
      <c r="B349" s="1"/>
      <c r="C349" s="1"/>
    </row>
    <row r="350">
      <c r="A350" s="1"/>
      <c r="B350" s="1"/>
      <c r="C350" s="1"/>
    </row>
    <row r="351">
      <c r="A351" s="1"/>
      <c r="B351" s="1"/>
      <c r="C351" s="1"/>
    </row>
    <row r="352">
      <c r="A352" s="1"/>
      <c r="B352" s="1"/>
      <c r="C352" s="1"/>
    </row>
    <row r="353">
      <c r="A353" s="1"/>
      <c r="B353" s="1"/>
      <c r="C353" s="1"/>
    </row>
    <row r="354">
      <c r="A354" s="1"/>
      <c r="B354" s="1"/>
      <c r="C354" s="1"/>
    </row>
    <row r="355">
      <c r="A355" s="1"/>
      <c r="B355" s="1"/>
      <c r="C355" s="1"/>
    </row>
    <row r="356">
      <c r="A356" s="1"/>
      <c r="B356" s="1"/>
      <c r="C356" s="1"/>
    </row>
    <row r="357">
      <c r="A357" s="1"/>
      <c r="B357" s="1"/>
      <c r="C357" s="1"/>
    </row>
    <row r="358">
      <c r="A358" s="1"/>
      <c r="B358" s="1"/>
      <c r="C358" s="1"/>
    </row>
    <row r="359">
      <c r="A359" s="1"/>
      <c r="B359" s="1"/>
      <c r="C359" s="1"/>
    </row>
    <row r="360">
      <c r="A360" s="1"/>
      <c r="B360" s="1"/>
      <c r="C360" s="1"/>
    </row>
    <row r="361">
      <c r="A361" s="1"/>
      <c r="B361" s="1"/>
      <c r="C361" s="1"/>
    </row>
    <row r="362">
      <c r="A362" s="1"/>
      <c r="B362" s="1"/>
      <c r="C362" s="1"/>
    </row>
    <row r="363">
      <c r="A363" s="1"/>
      <c r="B363" s="1"/>
      <c r="C363" s="1"/>
    </row>
    <row r="364">
      <c r="A364" s="1"/>
      <c r="B364" s="1"/>
      <c r="C364" s="1"/>
    </row>
    <row r="365">
      <c r="A365" s="1"/>
      <c r="B365" s="1"/>
      <c r="C365" s="1"/>
    </row>
    <row r="366">
      <c r="A366" s="1"/>
      <c r="B366" s="1"/>
      <c r="C366" s="1"/>
    </row>
    <row r="367">
      <c r="A367" s="1"/>
      <c r="B367" s="1"/>
      <c r="C367" s="1"/>
    </row>
    <row r="368">
      <c r="A368" s="1"/>
      <c r="B368" s="1"/>
      <c r="C368" s="1"/>
    </row>
    <row r="369">
      <c r="A369" s="1"/>
      <c r="B369" s="1"/>
      <c r="C369" s="1"/>
    </row>
    <row r="370">
      <c r="A370" s="1"/>
      <c r="B370" s="1"/>
      <c r="C370" s="1"/>
    </row>
    <row r="371">
      <c r="A371" s="1"/>
      <c r="B371" s="1"/>
      <c r="C371" s="1"/>
    </row>
    <row r="372">
      <c r="A372" s="1"/>
      <c r="B372" s="1"/>
      <c r="C372" s="1"/>
    </row>
    <row r="373">
      <c r="A373" s="1"/>
      <c r="B373" s="1"/>
      <c r="C373" s="1"/>
    </row>
    <row r="374">
      <c r="A374" s="1"/>
      <c r="B374" s="1"/>
      <c r="C374" s="1"/>
    </row>
    <row r="375">
      <c r="A375" s="1"/>
      <c r="B375" s="1"/>
      <c r="C375" s="1"/>
    </row>
    <row r="376">
      <c r="A376" s="1"/>
      <c r="B376" s="1"/>
      <c r="C376" s="1"/>
    </row>
    <row r="377">
      <c r="A377" s="1"/>
      <c r="B377" s="1"/>
      <c r="C377" s="1"/>
    </row>
    <row r="378">
      <c r="A378" s="1"/>
      <c r="B378" s="1"/>
      <c r="C378" s="1"/>
    </row>
    <row r="379">
      <c r="A379" s="1"/>
      <c r="B379" s="1"/>
      <c r="C379" s="1"/>
    </row>
    <row r="380">
      <c r="A380" s="1"/>
      <c r="B380" s="1"/>
      <c r="C380" s="1"/>
    </row>
    <row r="381">
      <c r="A381" s="1"/>
      <c r="B381" s="1"/>
      <c r="C381" s="1"/>
    </row>
    <row r="382">
      <c r="A382" s="1"/>
      <c r="B382" s="1"/>
      <c r="C382" s="1"/>
    </row>
    <row r="383">
      <c r="A383" s="1"/>
      <c r="B383" s="1"/>
      <c r="C383" s="1"/>
    </row>
    <row r="384">
      <c r="A384" s="1"/>
      <c r="B384" s="1"/>
      <c r="C384" s="1"/>
    </row>
    <row r="385">
      <c r="A385" s="1"/>
      <c r="B385" s="1"/>
      <c r="C385" s="1"/>
    </row>
    <row r="386">
      <c r="A386" s="1"/>
      <c r="B386" s="1"/>
      <c r="C386" s="1"/>
    </row>
    <row r="387">
      <c r="A387" s="1"/>
      <c r="B387" s="1"/>
      <c r="C387" s="1"/>
    </row>
    <row r="388">
      <c r="A388" s="1"/>
      <c r="B388" s="1"/>
      <c r="C388" s="1"/>
    </row>
    <row r="389">
      <c r="A389" s="1"/>
      <c r="B389" s="1"/>
      <c r="C389" s="1"/>
    </row>
    <row r="390">
      <c r="A390" s="1"/>
      <c r="B390" s="1"/>
      <c r="C390" s="1"/>
    </row>
    <row r="391">
      <c r="A391" s="1"/>
      <c r="B391" s="1"/>
      <c r="C391" s="1"/>
    </row>
    <row r="392">
      <c r="A392" s="1"/>
      <c r="B392" s="1"/>
      <c r="C392" s="1"/>
    </row>
    <row r="393">
      <c r="A393" s="1"/>
      <c r="B393" s="1"/>
      <c r="C393" s="1"/>
    </row>
    <row r="394">
      <c r="A394" s="1"/>
      <c r="B394" s="1"/>
      <c r="C394" s="1"/>
    </row>
    <row r="395">
      <c r="A395" s="1"/>
      <c r="B395" s="1"/>
      <c r="C395" s="1"/>
    </row>
    <row r="396">
      <c r="A396" s="1"/>
      <c r="B396" s="1"/>
      <c r="C396" s="1"/>
    </row>
    <row r="397">
      <c r="A397" s="1"/>
      <c r="B397" s="1"/>
      <c r="C397" s="1"/>
    </row>
    <row r="398">
      <c r="A398" s="1"/>
      <c r="B398" s="1"/>
      <c r="C398" s="1"/>
    </row>
    <row r="399">
      <c r="A399" s="1"/>
      <c r="B399" s="1"/>
      <c r="C399" s="1"/>
    </row>
    <row r="400">
      <c r="A400" s="1"/>
      <c r="B400" s="1"/>
      <c r="C400" s="1"/>
    </row>
    <row r="401">
      <c r="A401" s="1"/>
      <c r="B401" s="1"/>
      <c r="C401" s="1"/>
    </row>
    <row r="402">
      <c r="A402" s="1"/>
      <c r="B402" s="1"/>
      <c r="C402" s="1"/>
    </row>
    <row r="403">
      <c r="A403" s="1"/>
      <c r="B403" s="1"/>
      <c r="C403" s="1"/>
    </row>
    <row r="404">
      <c r="A404" s="1"/>
      <c r="B404" s="1"/>
      <c r="C404" s="1"/>
    </row>
    <row r="405">
      <c r="A405" s="1"/>
      <c r="B405" s="1"/>
      <c r="C405" s="1"/>
    </row>
    <row r="406">
      <c r="A406" s="1"/>
      <c r="B406" s="1"/>
      <c r="C406" s="1"/>
    </row>
    <row r="407">
      <c r="A407" s="1"/>
      <c r="B407" s="1"/>
      <c r="C407" s="1"/>
    </row>
    <row r="408">
      <c r="A408" s="1"/>
      <c r="B408" s="1"/>
      <c r="C408" s="1"/>
    </row>
    <row r="409">
      <c r="A409" s="1"/>
      <c r="B409" s="1"/>
      <c r="C409" s="1"/>
    </row>
    <row r="410">
      <c r="A410" s="1"/>
      <c r="B410" s="1"/>
      <c r="C410" s="1"/>
    </row>
    <row r="411">
      <c r="A411" s="1"/>
      <c r="B411" s="1"/>
      <c r="C411" s="1"/>
    </row>
    <row r="412">
      <c r="A412" s="1"/>
      <c r="B412" s="1"/>
      <c r="C412" s="1"/>
    </row>
    <row r="413">
      <c r="A413" s="1"/>
      <c r="B413" s="1"/>
      <c r="C413" s="1"/>
    </row>
    <row r="414">
      <c r="A414" s="1"/>
      <c r="B414" s="1"/>
      <c r="C414" s="1"/>
    </row>
    <row r="415">
      <c r="A415" s="1"/>
      <c r="B415" s="1"/>
      <c r="C415" s="1"/>
    </row>
    <row r="416">
      <c r="A416" s="1"/>
      <c r="B416" s="1"/>
      <c r="C416" s="1"/>
    </row>
    <row r="417">
      <c r="A417" s="1"/>
      <c r="B417" s="1"/>
      <c r="C417" s="1"/>
    </row>
    <row r="418">
      <c r="A418" s="1"/>
      <c r="B418" s="1"/>
      <c r="C418" s="1"/>
    </row>
    <row r="419">
      <c r="A419" s="1"/>
      <c r="B419" s="1"/>
      <c r="C419" s="1"/>
    </row>
    <row r="420">
      <c r="A420" s="1"/>
      <c r="B420" s="1"/>
      <c r="C420" s="1"/>
    </row>
    <row r="421">
      <c r="A421" s="1"/>
      <c r="B421" s="1"/>
      <c r="C421" s="1"/>
    </row>
    <row r="422">
      <c r="A422" s="1"/>
      <c r="B422" s="1"/>
      <c r="C422" s="1"/>
    </row>
    <row r="423">
      <c r="A423" s="1"/>
      <c r="B423" s="1"/>
      <c r="C423" s="1"/>
    </row>
    <row r="424">
      <c r="A424" s="1"/>
      <c r="B424" s="1"/>
      <c r="C424" s="1"/>
    </row>
    <row r="425">
      <c r="A425" s="1"/>
      <c r="B425" s="1"/>
      <c r="C425" s="1"/>
    </row>
    <row r="426">
      <c r="A426" s="1"/>
      <c r="B426" s="1"/>
      <c r="C426" s="1"/>
    </row>
    <row r="427">
      <c r="A427" s="1"/>
      <c r="B427" s="1"/>
      <c r="C427" s="1"/>
    </row>
    <row r="428">
      <c r="A428" s="1"/>
      <c r="B428" s="1"/>
      <c r="C428" s="1"/>
    </row>
    <row r="429">
      <c r="A429" s="1"/>
      <c r="B429" s="1"/>
      <c r="C429" s="1"/>
    </row>
    <row r="430">
      <c r="A430" s="1"/>
      <c r="B430" s="1"/>
      <c r="C430" s="1"/>
    </row>
    <row r="431">
      <c r="A431" s="1"/>
      <c r="B431" s="1"/>
      <c r="C431" s="1"/>
    </row>
    <row r="432">
      <c r="A432" s="1"/>
      <c r="B432" s="1"/>
      <c r="C432" s="1"/>
    </row>
    <row r="433">
      <c r="A433" s="1"/>
      <c r="B433" s="1"/>
      <c r="C433" s="1"/>
    </row>
    <row r="434">
      <c r="A434" s="1"/>
      <c r="B434" s="1"/>
      <c r="C434" s="1"/>
    </row>
    <row r="435">
      <c r="A435" s="1"/>
      <c r="B435" s="1"/>
      <c r="C435" s="1"/>
    </row>
    <row r="436">
      <c r="A436" s="1"/>
      <c r="B436" s="1"/>
      <c r="C436" s="1"/>
    </row>
    <row r="437">
      <c r="A437" s="1"/>
      <c r="B437" s="1"/>
      <c r="C437" s="1"/>
    </row>
    <row r="438">
      <c r="A438" s="1"/>
      <c r="B438" s="1"/>
      <c r="C438" s="1"/>
    </row>
    <row r="439">
      <c r="A439" s="1"/>
      <c r="B439" s="1"/>
      <c r="C439" s="1"/>
    </row>
    <row r="440">
      <c r="A440" s="1"/>
      <c r="B440" s="1"/>
      <c r="C440" s="1"/>
    </row>
    <row r="441">
      <c r="A441" s="1"/>
      <c r="B441" s="1"/>
      <c r="C441" s="1"/>
    </row>
    <row r="442">
      <c r="A442" s="1"/>
      <c r="B442" s="1"/>
      <c r="C442" s="1"/>
    </row>
    <row r="443">
      <c r="A443" s="1"/>
      <c r="B443" s="1"/>
      <c r="C443" s="1"/>
    </row>
    <row r="444">
      <c r="A444" s="1"/>
      <c r="B444" s="1"/>
      <c r="C444" s="1"/>
    </row>
    <row r="445">
      <c r="A445" s="1"/>
      <c r="B445" s="1"/>
      <c r="C445" s="1"/>
    </row>
    <row r="446">
      <c r="A446" s="1"/>
      <c r="B446" s="1"/>
      <c r="C446" s="1"/>
    </row>
    <row r="447">
      <c r="A447" s="1"/>
      <c r="B447" s="1"/>
      <c r="C447" s="1"/>
    </row>
    <row r="448">
      <c r="A448" s="1"/>
      <c r="B448" s="1"/>
      <c r="C448" s="1"/>
    </row>
    <row r="449">
      <c r="A449" s="1"/>
      <c r="B449" s="1"/>
      <c r="C449" s="1"/>
    </row>
    <row r="450">
      <c r="A450" s="1"/>
      <c r="B450" s="1"/>
      <c r="C450" s="1"/>
    </row>
    <row r="451">
      <c r="A451" s="1"/>
      <c r="B451" s="1"/>
      <c r="C451" s="1"/>
    </row>
    <row r="452">
      <c r="A452" s="1"/>
      <c r="B452" s="1"/>
      <c r="C452" s="1"/>
    </row>
    <row r="453">
      <c r="A453" s="1"/>
      <c r="B453" s="1"/>
      <c r="C453" s="1"/>
    </row>
    <row r="454">
      <c r="A454" s="1"/>
      <c r="B454" s="1"/>
      <c r="C454" s="1"/>
    </row>
    <row r="455">
      <c r="A455" s="1"/>
      <c r="B455" s="1"/>
      <c r="C455" s="1"/>
    </row>
    <row r="456">
      <c r="A456" s="1"/>
      <c r="B456" s="1"/>
      <c r="C456" s="1"/>
    </row>
    <row r="457">
      <c r="A457" s="1"/>
      <c r="B457" s="1"/>
      <c r="C457" s="1"/>
    </row>
    <row r="458">
      <c r="A458" s="1"/>
      <c r="B458" s="1"/>
      <c r="C458" s="1"/>
    </row>
    <row r="459">
      <c r="A459" s="1"/>
      <c r="B459" s="1"/>
      <c r="C459" s="1"/>
    </row>
    <row r="460">
      <c r="A460" s="1"/>
      <c r="B460" s="1"/>
      <c r="C460" s="1"/>
    </row>
    <row r="461">
      <c r="A461" s="1"/>
      <c r="B461" s="1"/>
      <c r="C461" s="1"/>
    </row>
    <row r="462">
      <c r="A462" s="1"/>
      <c r="B462" s="1"/>
      <c r="C462" s="1"/>
    </row>
    <row r="463">
      <c r="A463" s="1"/>
      <c r="B463" s="1"/>
      <c r="C463" s="1"/>
    </row>
    <row r="464">
      <c r="A464" s="1"/>
      <c r="B464" s="1"/>
      <c r="C464" s="1"/>
    </row>
    <row r="465">
      <c r="A465" s="1"/>
      <c r="B465" s="1"/>
      <c r="C465" s="1"/>
    </row>
    <row r="466">
      <c r="A466" s="1"/>
      <c r="B466" s="1"/>
      <c r="C466" s="1"/>
    </row>
    <row r="467">
      <c r="A467" s="1"/>
      <c r="B467" s="1"/>
      <c r="C467" s="1"/>
    </row>
    <row r="468">
      <c r="A468" s="1"/>
      <c r="B468" s="1"/>
      <c r="C468" s="1"/>
    </row>
    <row r="469">
      <c r="A469" s="1"/>
      <c r="B469" s="1"/>
      <c r="C469" s="1"/>
    </row>
    <row r="470">
      <c r="A470" s="1"/>
      <c r="B470" s="1"/>
      <c r="C470" s="1"/>
    </row>
    <row r="471">
      <c r="A471" s="1"/>
      <c r="B471" s="1"/>
      <c r="C471" s="1"/>
    </row>
    <row r="472">
      <c r="A472" s="1"/>
      <c r="B472" s="1"/>
      <c r="C472" s="1"/>
    </row>
    <row r="473">
      <c r="A473" s="1"/>
      <c r="B473" s="1"/>
      <c r="C473" s="1"/>
    </row>
    <row r="474">
      <c r="A474" s="1"/>
      <c r="B474" s="1"/>
      <c r="C474" s="1"/>
    </row>
    <row r="475">
      <c r="A475" s="1"/>
      <c r="B475" s="1"/>
      <c r="C475" s="1"/>
    </row>
    <row r="476">
      <c r="A476" s="1"/>
      <c r="B476" s="1"/>
      <c r="C476" s="1"/>
    </row>
    <row r="477">
      <c r="A477" s="1"/>
      <c r="B477" s="1"/>
      <c r="C477" s="1"/>
    </row>
    <row r="478">
      <c r="A478" s="1"/>
      <c r="B478" s="1"/>
      <c r="C478" s="1"/>
    </row>
    <row r="479">
      <c r="A479" s="1"/>
      <c r="B479" s="1"/>
      <c r="C479" s="1"/>
    </row>
    <row r="480">
      <c r="A480" s="1"/>
      <c r="B480" s="1"/>
      <c r="C480" s="1"/>
    </row>
    <row r="481">
      <c r="A481" s="1"/>
      <c r="B481" s="1"/>
      <c r="C481" s="1"/>
    </row>
    <row r="482">
      <c r="A482" s="1"/>
      <c r="B482" s="1"/>
      <c r="C482" s="1"/>
    </row>
    <row r="483">
      <c r="A483" s="1"/>
      <c r="B483" s="1"/>
      <c r="C483" s="1"/>
    </row>
    <row r="484">
      <c r="A484" s="1"/>
      <c r="B484" s="1"/>
      <c r="C484" s="1"/>
    </row>
    <row r="485">
      <c r="A485" s="1"/>
      <c r="B485" s="1"/>
      <c r="C485" s="1"/>
    </row>
    <row r="486">
      <c r="A486" s="1"/>
      <c r="B486" s="1"/>
      <c r="C486" s="1"/>
    </row>
    <row r="487">
      <c r="A487" s="1"/>
      <c r="B487" s="1"/>
      <c r="C487" s="1"/>
    </row>
    <row r="488">
      <c r="A488" s="1"/>
      <c r="B488" s="1"/>
      <c r="C488" s="1"/>
    </row>
    <row r="489">
      <c r="A489" s="1"/>
      <c r="B489" s="1"/>
      <c r="C489" s="1"/>
    </row>
    <row r="490">
      <c r="A490" s="1"/>
      <c r="B490" s="1"/>
      <c r="C490" s="1"/>
    </row>
    <row r="491">
      <c r="A491" s="1"/>
      <c r="B491" s="1"/>
      <c r="C491" s="1"/>
    </row>
    <row r="492">
      <c r="A492" s="1"/>
      <c r="B492" s="1"/>
      <c r="C492" s="1"/>
    </row>
    <row r="493">
      <c r="A493" s="1"/>
      <c r="B493" s="1"/>
      <c r="C493" s="1"/>
    </row>
    <row r="494">
      <c r="A494" s="1"/>
      <c r="B494" s="1"/>
      <c r="C494" s="1"/>
    </row>
    <row r="495">
      <c r="A495" s="1"/>
      <c r="B495" s="1"/>
      <c r="C495" s="1"/>
    </row>
    <row r="496">
      <c r="A496" s="1"/>
      <c r="B496" s="1"/>
      <c r="C496" s="1"/>
    </row>
    <row r="497">
      <c r="A497" s="1"/>
      <c r="B497" s="1"/>
      <c r="C497" s="1"/>
    </row>
    <row r="498">
      <c r="A498" s="1"/>
      <c r="B498" s="1"/>
      <c r="C498" s="1"/>
    </row>
    <row r="499">
      <c r="A499" s="1"/>
      <c r="B499" s="1"/>
      <c r="C499" s="1"/>
    </row>
    <row r="500">
      <c r="A500" s="1"/>
      <c r="B500" s="1"/>
      <c r="C500" s="1"/>
    </row>
    <row r="501">
      <c r="A501" s="1"/>
      <c r="B501" s="1"/>
      <c r="C501" s="1"/>
    </row>
    <row r="502">
      <c r="A502" s="1"/>
      <c r="B502" s="1"/>
      <c r="C502" s="1"/>
    </row>
    <row r="503">
      <c r="A503" s="1"/>
      <c r="B503" s="1"/>
      <c r="C503" s="1"/>
    </row>
    <row r="504">
      <c r="A504" s="1"/>
      <c r="B504" s="1"/>
      <c r="C504" s="1"/>
    </row>
    <row r="505">
      <c r="A505" s="1"/>
      <c r="B505" s="1"/>
      <c r="C505" s="1"/>
    </row>
    <row r="506">
      <c r="A506" s="1"/>
      <c r="B506" s="1"/>
      <c r="C506" s="1"/>
    </row>
    <row r="507">
      <c r="A507" s="1"/>
      <c r="B507" s="1"/>
      <c r="C507" s="1"/>
    </row>
    <row r="508">
      <c r="A508" s="1"/>
      <c r="B508" s="1"/>
      <c r="C508" s="1"/>
    </row>
    <row r="509">
      <c r="A509" s="1"/>
      <c r="B509" s="1"/>
      <c r="C509" s="1"/>
    </row>
    <row r="510">
      <c r="A510" s="1"/>
      <c r="B510" s="1"/>
      <c r="C510" s="1"/>
    </row>
    <row r="511">
      <c r="A511" s="1"/>
      <c r="B511" s="1"/>
      <c r="C511" s="1"/>
    </row>
    <row r="512">
      <c r="A512" s="1"/>
      <c r="B512" s="1"/>
      <c r="C512" s="1"/>
    </row>
    <row r="513">
      <c r="A513" s="1"/>
      <c r="B513" s="1"/>
      <c r="C513" s="1"/>
    </row>
    <row r="514">
      <c r="A514" s="1"/>
      <c r="B514" s="1"/>
      <c r="C514" s="1"/>
    </row>
    <row r="515">
      <c r="A515" s="1"/>
      <c r="B515" s="1"/>
      <c r="C515" s="1"/>
    </row>
    <row r="516">
      <c r="A516" s="1"/>
      <c r="B516" s="1"/>
      <c r="C516" s="1"/>
    </row>
    <row r="517">
      <c r="A517" s="1"/>
      <c r="B517" s="1"/>
      <c r="C517" s="1"/>
    </row>
    <row r="518">
      <c r="A518" s="1"/>
      <c r="B518" s="1"/>
      <c r="C518" s="1"/>
    </row>
    <row r="519">
      <c r="A519" s="1"/>
      <c r="B519" s="1"/>
      <c r="C519" s="1"/>
    </row>
    <row r="520">
      <c r="A520" s="1"/>
      <c r="B520" s="1"/>
      <c r="C520" s="1"/>
    </row>
    <row r="521">
      <c r="A521" s="1"/>
      <c r="B521" s="1"/>
      <c r="C521" s="1"/>
    </row>
    <row r="522">
      <c r="A522" s="1"/>
      <c r="B522" s="1"/>
      <c r="C522" s="1"/>
    </row>
    <row r="523">
      <c r="A523" s="1"/>
      <c r="B523" s="1"/>
      <c r="C523" s="1"/>
    </row>
    <row r="524">
      <c r="A524" s="1"/>
      <c r="B524" s="1"/>
      <c r="C524" s="1"/>
    </row>
    <row r="525">
      <c r="A525" s="1"/>
      <c r="B525" s="1"/>
      <c r="C525" s="1"/>
    </row>
    <row r="526">
      <c r="A526" s="1"/>
      <c r="B526" s="1"/>
      <c r="C526" s="1"/>
    </row>
    <row r="527">
      <c r="A527" s="1"/>
      <c r="B527" s="1"/>
      <c r="C527" s="1"/>
    </row>
    <row r="528">
      <c r="A528" s="1"/>
      <c r="B528" s="1"/>
      <c r="C528" s="1"/>
    </row>
    <row r="529">
      <c r="A529" s="1"/>
      <c r="B529" s="1"/>
      <c r="C529" s="1"/>
    </row>
    <row r="530">
      <c r="A530" s="1"/>
      <c r="B530" s="1"/>
      <c r="C530" s="1"/>
    </row>
    <row r="531">
      <c r="A531" s="1"/>
      <c r="B531" s="1"/>
      <c r="C531" s="1"/>
    </row>
    <row r="532">
      <c r="A532" s="1"/>
      <c r="B532" s="1"/>
      <c r="C532" s="1"/>
    </row>
    <row r="533">
      <c r="A533" s="1"/>
      <c r="B533" s="1"/>
      <c r="C533" s="1"/>
    </row>
    <row r="534">
      <c r="A534" s="1"/>
      <c r="B534" s="1"/>
      <c r="C534" s="1"/>
    </row>
    <row r="535">
      <c r="A535" s="1"/>
      <c r="B535" s="1"/>
      <c r="C535" s="1"/>
    </row>
    <row r="536">
      <c r="A536" s="1"/>
      <c r="B536" s="1"/>
      <c r="C536" s="1"/>
    </row>
    <row r="537">
      <c r="A537" s="1"/>
      <c r="B537" s="1"/>
      <c r="C537" s="1"/>
    </row>
    <row r="538">
      <c r="A538" s="1"/>
      <c r="B538" s="1"/>
      <c r="C538" s="1"/>
    </row>
    <row r="539">
      <c r="A539" s="1"/>
      <c r="B539" s="1"/>
      <c r="C539" s="1"/>
    </row>
    <row r="540">
      <c r="A540" s="1"/>
      <c r="B540" s="1"/>
      <c r="C540" s="1"/>
    </row>
    <row r="541">
      <c r="A541" s="1"/>
      <c r="B541" s="1"/>
      <c r="C541" s="1"/>
    </row>
    <row r="542">
      <c r="A542" s="1"/>
      <c r="B542" s="1"/>
      <c r="C542" s="1"/>
    </row>
    <row r="543">
      <c r="A543" s="1"/>
      <c r="B543" s="1"/>
      <c r="C543" s="1"/>
    </row>
    <row r="544">
      <c r="A544" s="1"/>
      <c r="B544" s="1"/>
      <c r="C544" s="1"/>
    </row>
    <row r="545">
      <c r="A545" s="1"/>
      <c r="B545" s="1"/>
      <c r="C545" s="1"/>
    </row>
    <row r="546">
      <c r="A546" s="1"/>
      <c r="B546" s="1"/>
      <c r="C546" s="1"/>
    </row>
    <row r="547">
      <c r="A547" s="1"/>
      <c r="B547" s="1"/>
      <c r="C547" s="1"/>
    </row>
    <row r="548">
      <c r="A548" s="1"/>
      <c r="B548" s="1"/>
      <c r="C548" s="1"/>
    </row>
    <row r="549">
      <c r="A549" s="1"/>
      <c r="B549" s="1"/>
      <c r="C549" s="1"/>
    </row>
    <row r="550">
      <c r="A550" s="1"/>
      <c r="B550" s="1"/>
      <c r="C550" s="1"/>
    </row>
    <row r="551">
      <c r="A551" s="1"/>
      <c r="B551" s="1"/>
      <c r="C551" s="1"/>
    </row>
    <row r="552">
      <c r="A552" s="1"/>
      <c r="B552" s="1"/>
      <c r="C552" s="1"/>
    </row>
    <row r="553">
      <c r="A553" s="1"/>
      <c r="B553" s="1"/>
      <c r="C553" s="1"/>
    </row>
    <row r="554">
      <c r="A554" s="1"/>
      <c r="B554" s="1"/>
      <c r="C554" s="1"/>
    </row>
    <row r="555">
      <c r="A555" s="1"/>
      <c r="B555" s="1"/>
      <c r="C555" s="1"/>
    </row>
    <row r="556">
      <c r="A556" s="1"/>
      <c r="B556" s="1"/>
      <c r="C556" s="1"/>
    </row>
    <row r="557">
      <c r="A557" s="1"/>
      <c r="B557" s="1"/>
      <c r="C557" s="1"/>
    </row>
    <row r="558">
      <c r="A558" s="1"/>
      <c r="B558" s="1"/>
      <c r="C558" s="1"/>
    </row>
    <row r="559">
      <c r="A559" s="1"/>
      <c r="B559" s="1"/>
      <c r="C559" s="1"/>
    </row>
    <row r="560">
      <c r="A560" s="1"/>
      <c r="B560" s="1"/>
      <c r="C560" s="1"/>
    </row>
    <row r="561">
      <c r="A561" s="1"/>
      <c r="B561" s="1"/>
      <c r="C561" s="1"/>
    </row>
    <row r="562">
      <c r="A562" s="1"/>
      <c r="B562" s="1"/>
      <c r="C562" s="1"/>
    </row>
    <row r="563">
      <c r="A563" s="1"/>
      <c r="B563" s="1"/>
      <c r="C563" s="1"/>
    </row>
    <row r="564">
      <c r="A564" s="1"/>
      <c r="B564" s="1"/>
      <c r="C564" s="1"/>
    </row>
    <row r="565">
      <c r="A565" s="1"/>
      <c r="B565" s="1"/>
      <c r="C565" s="1"/>
    </row>
    <row r="566">
      <c r="A566" s="1"/>
      <c r="B566" s="1"/>
      <c r="C566" s="1"/>
    </row>
    <row r="567">
      <c r="A567" s="1"/>
      <c r="B567" s="1"/>
      <c r="C567" s="1"/>
    </row>
    <row r="568">
      <c r="A568" s="1"/>
      <c r="B568" s="1"/>
      <c r="C568" s="1"/>
    </row>
    <row r="569">
      <c r="A569" s="1"/>
      <c r="B569" s="1"/>
      <c r="C569" s="1"/>
    </row>
    <row r="570">
      <c r="A570" s="1"/>
      <c r="B570" s="1"/>
      <c r="C570" s="1"/>
    </row>
    <row r="571">
      <c r="A571" s="1"/>
      <c r="B571" s="1"/>
      <c r="C571" s="1"/>
    </row>
    <row r="572">
      <c r="A572" s="1"/>
      <c r="B572" s="1"/>
      <c r="C572" s="1"/>
    </row>
    <row r="573">
      <c r="A573" s="1"/>
      <c r="B573" s="1"/>
      <c r="C573" s="1"/>
    </row>
    <row r="574">
      <c r="A574" s="1"/>
      <c r="B574" s="1"/>
      <c r="C574" s="1"/>
    </row>
    <row r="575">
      <c r="A575" s="1"/>
      <c r="B575" s="1"/>
      <c r="C575" s="1"/>
    </row>
    <row r="576">
      <c r="A576" s="1"/>
      <c r="B576" s="1"/>
      <c r="C576" s="1"/>
    </row>
    <row r="577">
      <c r="A577" s="1"/>
      <c r="B577" s="1"/>
      <c r="C577" s="1"/>
    </row>
    <row r="578">
      <c r="A578" s="1"/>
      <c r="B578" s="1"/>
      <c r="C578" s="1"/>
    </row>
    <row r="579">
      <c r="A579" s="1"/>
      <c r="B579" s="1"/>
      <c r="C579" s="1"/>
    </row>
    <row r="580">
      <c r="A580" s="1"/>
      <c r="B580" s="1"/>
      <c r="C580" s="1"/>
    </row>
    <row r="581">
      <c r="A581" s="1"/>
      <c r="B581" s="1"/>
      <c r="C581" s="1"/>
    </row>
    <row r="582">
      <c r="A582" s="1"/>
      <c r="B582" s="1"/>
      <c r="C582" s="1"/>
    </row>
    <row r="583">
      <c r="A583" s="1"/>
      <c r="B583" s="1"/>
      <c r="C583" s="1"/>
    </row>
    <row r="584">
      <c r="A584" s="1"/>
      <c r="B584" s="1"/>
      <c r="C584" s="1"/>
    </row>
    <row r="585">
      <c r="A585" s="1"/>
      <c r="B585" s="1"/>
      <c r="C585" s="1"/>
    </row>
    <row r="586">
      <c r="A586" s="1"/>
      <c r="B586" s="1"/>
      <c r="C586" s="1"/>
    </row>
    <row r="587">
      <c r="A587" s="1"/>
      <c r="B587" s="1"/>
      <c r="C587" s="1"/>
    </row>
    <row r="588">
      <c r="A588" s="1"/>
      <c r="B588" s="1"/>
      <c r="C588" s="1"/>
    </row>
    <row r="589">
      <c r="A589" s="1"/>
      <c r="B589" s="1"/>
      <c r="C589" s="1"/>
    </row>
    <row r="590">
      <c r="A590" s="1"/>
      <c r="B590" s="1"/>
      <c r="C590" s="1"/>
    </row>
    <row r="591">
      <c r="A591" s="1"/>
      <c r="B591" s="1"/>
      <c r="C591" s="1"/>
    </row>
    <row r="592">
      <c r="A592" s="1"/>
      <c r="B592" s="1"/>
      <c r="C592" s="1"/>
    </row>
    <row r="593">
      <c r="A593" s="1"/>
      <c r="B593" s="1"/>
      <c r="C593" s="1"/>
    </row>
    <row r="594">
      <c r="A594" s="1"/>
      <c r="B594" s="1"/>
      <c r="C594" s="1"/>
    </row>
    <row r="595">
      <c r="A595" s="1"/>
      <c r="B595" s="1"/>
      <c r="C595" s="1"/>
    </row>
    <row r="596">
      <c r="A596" s="1"/>
      <c r="B596" s="1"/>
      <c r="C596" s="1"/>
    </row>
    <row r="597">
      <c r="A597" s="1"/>
      <c r="B597" s="1"/>
      <c r="C597" s="1"/>
    </row>
    <row r="598">
      <c r="A598" s="1"/>
      <c r="B598" s="1"/>
      <c r="C598" s="1"/>
    </row>
    <row r="599">
      <c r="A599" s="1"/>
      <c r="B599" s="1"/>
      <c r="C599" s="1"/>
    </row>
    <row r="600">
      <c r="A600" s="1"/>
      <c r="B600" s="1"/>
      <c r="C600" s="1"/>
    </row>
    <row r="601">
      <c r="A601" s="1"/>
      <c r="B601" s="1"/>
      <c r="C601" s="1"/>
    </row>
    <row r="602">
      <c r="A602" s="1"/>
      <c r="B602" s="1"/>
      <c r="C602" s="1"/>
    </row>
    <row r="603">
      <c r="A603" s="1"/>
      <c r="B603" s="1"/>
      <c r="C603" s="1"/>
    </row>
    <row r="604">
      <c r="A604" s="1"/>
      <c r="B604" s="1"/>
      <c r="C604" s="1"/>
    </row>
    <row r="605">
      <c r="A605" s="1"/>
      <c r="B605" s="1"/>
      <c r="C605" s="1"/>
    </row>
    <row r="606">
      <c r="A606" s="1"/>
      <c r="B606" s="1"/>
      <c r="C606" s="1"/>
    </row>
    <row r="607">
      <c r="A607" s="1"/>
      <c r="B607" s="1"/>
      <c r="C607" s="1"/>
    </row>
    <row r="608">
      <c r="A608" s="1"/>
      <c r="B608" s="1"/>
      <c r="C608" s="1"/>
    </row>
    <row r="609">
      <c r="A609" s="1"/>
      <c r="B609" s="1"/>
      <c r="C609" s="1"/>
    </row>
    <row r="610">
      <c r="A610" s="1"/>
      <c r="B610" s="1"/>
      <c r="C610" s="1"/>
    </row>
    <row r="611">
      <c r="A611" s="1"/>
      <c r="B611" s="1"/>
      <c r="C611" s="1"/>
    </row>
    <row r="612">
      <c r="A612" s="1"/>
      <c r="B612" s="1"/>
      <c r="C612" s="1"/>
    </row>
    <row r="613">
      <c r="A613" s="1"/>
      <c r="B613" s="1"/>
      <c r="C613" s="1"/>
    </row>
    <row r="614">
      <c r="A614" s="1"/>
      <c r="B614" s="1"/>
      <c r="C614" s="1"/>
    </row>
    <row r="615">
      <c r="A615" s="1"/>
      <c r="B615" s="1"/>
      <c r="C615" s="1"/>
    </row>
    <row r="616">
      <c r="A616" s="1"/>
      <c r="B616" s="1"/>
      <c r="C616" s="1"/>
    </row>
    <row r="617">
      <c r="A617" s="1"/>
      <c r="B617" s="1"/>
      <c r="C617" s="1"/>
    </row>
    <row r="618">
      <c r="A618" s="1"/>
      <c r="B618" s="1"/>
      <c r="C618" s="1"/>
    </row>
    <row r="619">
      <c r="A619" s="1"/>
      <c r="B619" s="1"/>
      <c r="C619" s="1"/>
    </row>
    <row r="620">
      <c r="A620" s="1"/>
      <c r="B620" s="1"/>
      <c r="C620" s="1"/>
    </row>
    <row r="621">
      <c r="A621" s="1"/>
      <c r="B621" s="1"/>
      <c r="C621" s="1"/>
    </row>
    <row r="622">
      <c r="A622" s="1"/>
      <c r="B622" s="1"/>
      <c r="C622" s="1"/>
    </row>
    <row r="623">
      <c r="A623" s="1"/>
      <c r="B623" s="1"/>
      <c r="C623" s="1"/>
    </row>
    <row r="624">
      <c r="A624" s="1"/>
      <c r="B624" s="1"/>
      <c r="C624" s="1"/>
    </row>
    <row r="625">
      <c r="A625" s="1"/>
      <c r="B625" s="1"/>
      <c r="C625" s="1"/>
    </row>
    <row r="626">
      <c r="A626" s="1"/>
      <c r="B626" s="1"/>
      <c r="C626" s="1"/>
    </row>
    <row r="627">
      <c r="A627" s="1"/>
      <c r="B627" s="1"/>
      <c r="C627" s="1"/>
    </row>
    <row r="628">
      <c r="A628" s="1"/>
      <c r="B628" s="1"/>
      <c r="C628" s="1"/>
    </row>
    <row r="629">
      <c r="A629" s="1"/>
      <c r="B629" s="1"/>
      <c r="C629" s="1"/>
    </row>
    <row r="630">
      <c r="A630" s="1"/>
      <c r="B630" s="1"/>
      <c r="C630" s="1"/>
    </row>
    <row r="631">
      <c r="A631" s="1"/>
      <c r="B631" s="1"/>
      <c r="C631" s="1"/>
    </row>
    <row r="632">
      <c r="A632" s="1"/>
      <c r="B632" s="1"/>
      <c r="C632" s="1"/>
    </row>
    <row r="633">
      <c r="A633" s="1"/>
      <c r="B633" s="1"/>
      <c r="C633" s="1"/>
    </row>
    <row r="634">
      <c r="A634" s="1"/>
      <c r="B634" s="1"/>
      <c r="C634" s="1"/>
    </row>
    <row r="635">
      <c r="A635" s="1"/>
      <c r="B635" s="1"/>
      <c r="C635" s="1"/>
    </row>
    <row r="636">
      <c r="A636" s="1"/>
      <c r="B636" s="1"/>
      <c r="C636" s="1"/>
    </row>
    <row r="637">
      <c r="A637" s="1"/>
      <c r="B637" s="1"/>
      <c r="C637" s="1"/>
    </row>
    <row r="638">
      <c r="A638" s="1"/>
      <c r="B638" s="1"/>
      <c r="C638" s="1"/>
    </row>
    <row r="639">
      <c r="A639" s="1"/>
      <c r="B639" s="1"/>
      <c r="C639" s="1"/>
    </row>
    <row r="640">
      <c r="A640" s="1"/>
      <c r="B640" s="1"/>
      <c r="C640" s="1"/>
    </row>
    <row r="641">
      <c r="A641" s="1"/>
      <c r="B641" s="1"/>
      <c r="C641" s="1"/>
    </row>
    <row r="642">
      <c r="A642" s="1"/>
      <c r="B642" s="1"/>
      <c r="C642" s="1"/>
    </row>
    <row r="643">
      <c r="A643" s="1"/>
      <c r="B643" s="1"/>
      <c r="C643" s="1"/>
    </row>
    <row r="644">
      <c r="A644" s="1"/>
      <c r="B644" s="1"/>
      <c r="C644" s="1"/>
    </row>
    <row r="645">
      <c r="A645" s="1"/>
      <c r="B645" s="1"/>
      <c r="C645" s="1"/>
    </row>
    <row r="646">
      <c r="A646" s="1"/>
      <c r="B646" s="1"/>
      <c r="C646" s="1"/>
    </row>
    <row r="647">
      <c r="A647" s="1"/>
      <c r="B647" s="1"/>
      <c r="C647" s="1"/>
    </row>
    <row r="648">
      <c r="A648" s="1"/>
      <c r="B648" s="1"/>
      <c r="C648" s="1"/>
    </row>
    <row r="649">
      <c r="A649" s="1"/>
      <c r="B649" s="1"/>
      <c r="C649" s="1"/>
    </row>
    <row r="650">
      <c r="A650" s="1"/>
      <c r="B650" s="1"/>
      <c r="C650" s="1"/>
    </row>
    <row r="651">
      <c r="A651" s="1"/>
      <c r="B651" s="1"/>
      <c r="C651" s="1"/>
    </row>
    <row r="652">
      <c r="A652" s="1"/>
      <c r="B652" s="1"/>
      <c r="C652" s="1"/>
    </row>
    <row r="653">
      <c r="A653" s="1"/>
      <c r="B653" s="1"/>
      <c r="C653" s="1"/>
    </row>
    <row r="654">
      <c r="A654" s="1"/>
      <c r="B654" s="1"/>
      <c r="C654" s="1"/>
    </row>
    <row r="655">
      <c r="A655" s="1"/>
      <c r="B655" s="1"/>
      <c r="C655" s="1"/>
    </row>
    <row r="656">
      <c r="A656" s="1"/>
      <c r="B656" s="1"/>
      <c r="C656" s="1"/>
    </row>
    <row r="657">
      <c r="A657" s="1"/>
      <c r="B657" s="1"/>
      <c r="C657" s="1"/>
    </row>
    <row r="658">
      <c r="A658" s="1"/>
      <c r="B658" s="1"/>
      <c r="C658" s="1"/>
    </row>
    <row r="659">
      <c r="A659" s="1"/>
      <c r="B659" s="1"/>
      <c r="C659" s="1"/>
    </row>
    <row r="660">
      <c r="A660" s="1"/>
      <c r="B660" s="1"/>
      <c r="C660" s="1"/>
    </row>
    <row r="661">
      <c r="A661" s="1"/>
      <c r="B661" s="1"/>
      <c r="C661" s="1"/>
    </row>
    <row r="662">
      <c r="A662" s="1"/>
      <c r="B662" s="1"/>
      <c r="C662" s="1"/>
    </row>
    <row r="663">
      <c r="A663" s="1"/>
      <c r="B663" s="1"/>
      <c r="C663" s="1"/>
    </row>
    <row r="664">
      <c r="A664" s="1"/>
      <c r="B664" s="1"/>
      <c r="C664" s="1"/>
    </row>
    <row r="665">
      <c r="A665" s="1"/>
      <c r="B665" s="1"/>
      <c r="C665" s="1"/>
    </row>
    <row r="666">
      <c r="A666" s="1"/>
      <c r="B666" s="1"/>
      <c r="C666" s="1"/>
    </row>
    <row r="667">
      <c r="A667" s="1"/>
      <c r="B667" s="1"/>
      <c r="C667" s="1"/>
    </row>
    <row r="668">
      <c r="A668" s="1"/>
      <c r="B668" s="1"/>
      <c r="C668" s="1"/>
    </row>
    <row r="669">
      <c r="A669" s="1"/>
      <c r="B669" s="1"/>
      <c r="C669" s="1"/>
    </row>
    <row r="670">
      <c r="A670" s="1"/>
      <c r="B670" s="1"/>
      <c r="C670" s="1"/>
    </row>
    <row r="671">
      <c r="A671" s="1"/>
      <c r="B671" s="1"/>
      <c r="C671" s="1"/>
    </row>
    <row r="672">
      <c r="A672" s="1"/>
      <c r="B672" s="1"/>
      <c r="C672" s="1"/>
    </row>
    <row r="673">
      <c r="A673" s="1"/>
      <c r="B673" s="1"/>
      <c r="C673" s="1"/>
    </row>
    <row r="674">
      <c r="A674" s="1"/>
      <c r="B674" s="1"/>
      <c r="C674" s="1"/>
    </row>
    <row r="675">
      <c r="A675" s="1"/>
      <c r="B675" s="1"/>
      <c r="C675" s="1"/>
    </row>
    <row r="676">
      <c r="A676" s="1"/>
      <c r="B676" s="1"/>
      <c r="C676" s="1"/>
    </row>
    <row r="677">
      <c r="A677" s="1"/>
      <c r="B677" s="1"/>
      <c r="C677" s="1"/>
    </row>
    <row r="678">
      <c r="A678" s="1"/>
      <c r="B678" s="1"/>
      <c r="C678" s="1"/>
    </row>
    <row r="679">
      <c r="A679" s="1"/>
      <c r="B679" s="1"/>
      <c r="C679" s="1"/>
    </row>
    <row r="680">
      <c r="A680" s="1"/>
      <c r="B680" s="1"/>
      <c r="C680" s="1"/>
    </row>
    <row r="681">
      <c r="A681" s="1"/>
      <c r="B681" s="1"/>
      <c r="C681" s="1"/>
    </row>
    <row r="682">
      <c r="A682" s="1"/>
      <c r="B682" s="1"/>
      <c r="C682" s="1"/>
    </row>
    <row r="683">
      <c r="A683" s="1"/>
      <c r="B683" s="1"/>
      <c r="C683" s="1"/>
    </row>
    <row r="684">
      <c r="A684" s="1"/>
      <c r="B684" s="1"/>
      <c r="C684" s="1"/>
    </row>
    <row r="685">
      <c r="A685" s="1"/>
      <c r="B685" s="1"/>
      <c r="C685" s="1"/>
    </row>
    <row r="686">
      <c r="A686" s="1"/>
      <c r="B686" s="1"/>
      <c r="C686" s="1"/>
    </row>
    <row r="687">
      <c r="A687" s="1"/>
      <c r="B687" s="1"/>
      <c r="C687" s="1"/>
    </row>
    <row r="688">
      <c r="A688" s="1"/>
      <c r="B688" s="1"/>
      <c r="C688" s="1"/>
    </row>
    <row r="689">
      <c r="A689" s="1"/>
      <c r="B689" s="1"/>
      <c r="C689" s="1"/>
    </row>
    <row r="690">
      <c r="A690" s="1"/>
      <c r="B690" s="1"/>
      <c r="C690" s="1"/>
    </row>
    <row r="691">
      <c r="A691" s="1"/>
      <c r="B691" s="1"/>
      <c r="C691" s="1"/>
    </row>
    <row r="692">
      <c r="A692" s="1"/>
      <c r="B692" s="1"/>
      <c r="C692" s="1"/>
    </row>
    <row r="693">
      <c r="A693" s="1"/>
      <c r="B693" s="1"/>
      <c r="C693" s="1"/>
    </row>
    <row r="694">
      <c r="A694" s="1"/>
      <c r="B694" s="1"/>
      <c r="C694" s="1"/>
    </row>
    <row r="695">
      <c r="A695" s="1"/>
      <c r="B695" s="1"/>
      <c r="C695" s="1"/>
    </row>
    <row r="696">
      <c r="A696" s="1"/>
      <c r="B696" s="1"/>
      <c r="C696" s="1"/>
    </row>
    <row r="697">
      <c r="A697" s="1"/>
      <c r="B697" s="1"/>
      <c r="C697" s="1"/>
    </row>
    <row r="698">
      <c r="A698" s="1"/>
      <c r="B698" s="1"/>
      <c r="C698" s="1"/>
    </row>
    <row r="699">
      <c r="A699" s="1"/>
      <c r="B699" s="1"/>
      <c r="C699" s="1"/>
    </row>
    <row r="700">
      <c r="A700" s="1"/>
      <c r="B700" s="1"/>
      <c r="C700" s="1"/>
    </row>
    <row r="701">
      <c r="A701" s="1"/>
      <c r="B701" s="1"/>
      <c r="C701" s="1"/>
    </row>
    <row r="702">
      <c r="A702" s="1"/>
      <c r="B702" s="1"/>
      <c r="C702" s="1"/>
    </row>
    <row r="703">
      <c r="A703" s="1"/>
      <c r="B703" s="1"/>
      <c r="C703" s="1"/>
    </row>
    <row r="704">
      <c r="A704" s="1"/>
      <c r="B704" s="1"/>
      <c r="C704" s="1"/>
    </row>
    <row r="705">
      <c r="A705" s="1"/>
      <c r="B705" s="1"/>
      <c r="C705" s="1"/>
    </row>
    <row r="706">
      <c r="A706" s="1"/>
      <c r="B706" s="1"/>
      <c r="C706" s="1"/>
    </row>
    <row r="707">
      <c r="A707" s="1"/>
      <c r="B707" s="1"/>
      <c r="C707" s="1"/>
    </row>
    <row r="708">
      <c r="A708" s="1"/>
      <c r="B708" s="1"/>
      <c r="C708" s="1"/>
    </row>
    <row r="709">
      <c r="A709" s="1"/>
      <c r="B709" s="1"/>
      <c r="C709" s="1"/>
    </row>
    <row r="710">
      <c r="A710" s="1"/>
      <c r="B710" s="1"/>
      <c r="C710" s="1"/>
    </row>
    <row r="711">
      <c r="A711" s="1"/>
      <c r="B711" s="1"/>
      <c r="C711" s="1"/>
    </row>
    <row r="712">
      <c r="A712" s="1"/>
      <c r="B712" s="1"/>
      <c r="C712" s="1"/>
    </row>
    <row r="713">
      <c r="A713" s="1"/>
      <c r="B713" s="1"/>
      <c r="C713" s="1"/>
    </row>
    <row r="714">
      <c r="A714" s="1"/>
      <c r="B714" s="1"/>
      <c r="C714" s="1"/>
    </row>
    <row r="715">
      <c r="A715" s="1"/>
      <c r="B715" s="1"/>
      <c r="C715" s="1"/>
    </row>
    <row r="716">
      <c r="A716" s="1"/>
      <c r="B716" s="1"/>
      <c r="C716" s="1"/>
    </row>
    <row r="717">
      <c r="A717" s="1"/>
      <c r="B717" s="1"/>
      <c r="C717" s="1"/>
    </row>
    <row r="718">
      <c r="A718" s="1"/>
      <c r="B718" s="1"/>
      <c r="C718" s="1"/>
    </row>
    <row r="719">
      <c r="A719" s="1"/>
      <c r="B719" s="1"/>
      <c r="C719" s="1"/>
    </row>
    <row r="720">
      <c r="A720" s="1"/>
      <c r="B720" s="1"/>
      <c r="C720" s="1"/>
    </row>
    <row r="721">
      <c r="A721" s="1"/>
      <c r="B721" s="1"/>
      <c r="C721" s="1"/>
    </row>
    <row r="722">
      <c r="A722" s="1"/>
      <c r="B722" s="1"/>
      <c r="C722" s="1"/>
    </row>
    <row r="723">
      <c r="A723" s="1"/>
      <c r="B723" s="1"/>
      <c r="C723" s="1"/>
    </row>
    <row r="724">
      <c r="A724" s="1"/>
      <c r="B724" s="1"/>
      <c r="C724" s="1"/>
    </row>
    <row r="725">
      <c r="A725" s="1"/>
      <c r="B725" s="1"/>
      <c r="C725" s="1"/>
    </row>
    <row r="726">
      <c r="A726" s="1"/>
      <c r="B726" s="1"/>
      <c r="C726" s="1"/>
    </row>
    <row r="727">
      <c r="A727" s="1"/>
      <c r="B727" s="1"/>
      <c r="C727" s="1"/>
    </row>
    <row r="728">
      <c r="A728" s="1"/>
      <c r="B728" s="1"/>
      <c r="C728" s="1"/>
    </row>
    <row r="729">
      <c r="A729" s="1"/>
      <c r="B729" s="1"/>
      <c r="C729" s="1"/>
    </row>
    <row r="730">
      <c r="A730" s="1"/>
      <c r="B730" s="1"/>
      <c r="C730" s="1"/>
    </row>
    <row r="731">
      <c r="A731" s="1"/>
      <c r="B731" s="1"/>
      <c r="C731" s="1"/>
    </row>
    <row r="732">
      <c r="A732" s="1"/>
      <c r="B732" s="1"/>
      <c r="C732" s="1"/>
    </row>
    <row r="733">
      <c r="A733" s="1"/>
      <c r="B733" s="1"/>
      <c r="C733" s="1"/>
    </row>
    <row r="734">
      <c r="A734" s="1"/>
      <c r="B734" s="1"/>
      <c r="C734" s="1"/>
    </row>
    <row r="735">
      <c r="A735" s="1"/>
      <c r="B735" s="1"/>
      <c r="C735" s="1"/>
    </row>
    <row r="736">
      <c r="A736" s="1"/>
      <c r="B736" s="1"/>
      <c r="C736" s="1"/>
    </row>
    <row r="737">
      <c r="A737" s="1"/>
      <c r="B737" s="1"/>
      <c r="C737" s="1"/>
    </row>
    <row r="738">
      <c r="A738" s="1"/>
      <c r="B738" s="1"/>
      <c r="C738" s="1"/>
    </row>
    <row r="739">
      <c r="A739" s="1"/>
      <c r="B739" s="1"/>
      <c r="C739" s="1"/>
    </row>
    <row r="740">
      <c r="A740" s="1"/>
      <c r="B740" s="1"/>
      <c r="C740" s="1"/>
    </row>
    <row r="741">
      <c r="A741" s="1"/>
      <c r="B741" s="1"/>
      <c r="C741" s="1"/>
    </row>
    <row r="742">
      <c r="A742" s="1"/>
      <c r="B742" s="1"/>
      <c r="C742" s="1"/>
    </row>
    <row r="743">
      <c r="A743" s="1"/>
      <c r="B743" s="1"/>
      <c r="C743" s="1"/>
    </row>
    <row r="744">
      <c r="A744" s="1"/>
      <c r="B744" s="1"/>
      <c r="C744" s="1"/>
    </row>
    <row r="745">
      <c r="A745" s="1"/>
      <c r="B745" s="1"/>
      <c r="C745" s="1"/>
    </row>
    <row r="746">
      <c r="A746" s="1"/>
      <c r="B746" s="1"/>
      <c r="C746" s="1"/>
    </row>
    <row r="747">
      <c r="A747" s="1"/>
      <c r="B747" s="1"/>
      <c r="C747" s="1"/>
    </row>
    <row r="748">
      <c r="A748" s="1"/>
      <c r="B748" s="1"/>
      <c r="C748" s="1"/>
    </row>
    <row r="749">
      <c r="A749" s="1"/>
      <c r="B749" s="1"/>
      <c r="C749" s="1"/>
    </row>
    <row r="750">
      <c r="A750" s="1"/>
      <c r="B750" s="1"/>
      <c r="C750" s="1"/>
    </row>
    <row r="751">
      <c r="A751" s="1"/>
      <c r="B751" s="1"/>
      <c r="C751" s="1"/>
    </row>
    <row r="752">
      <c r="A752" s="1"/>
      <c r="B752" s="1"/>
      <c r="C752" s="1"/>
    </row>
    <row r="753">
      <c r="A753" s="1"/>
      <c r="B753" s="1"/>
      <c r="C753" s="1"/>
    </row>
    <row r="754">
      <c r="A754" s="1"/>
      <c r="B754" s="1"/>
      <c r="C754" s="1"/>
    </row>
    <row r="755">
      <c r="A755" s="1"/>
      <c r="B755" s="1"/>
      <c r="C755" s="1"/>
    </row>
    <row r="756">
      <c r="A756" s="1"/>
      <c r="B756" s="1"/>
      <c r="C756" s="1"/>
    </row>
    <row r="757">
      <c r="A757" s="1"/>
      <c r="B757" s="1"/>
      <c r="C757" s="1"/>
    </row>
    <row r="758">
      <c r="A758" s="1"/>
      <c r="B758" s="1"/>
      <c r="C758" s="1"/>
    </row>
    <row r="759">
      <c r="A759" s="1"/>
      <c r="B759" s="1"/>
      <c r="C759" s="1"/>
    </row>
    <row r="760">
      <c r="A760" s="1"/>
      <c r="B760" s="1"/>
      <c r="C760" s="1"/>
    </row>
    <row r="761">
      <c r="A761" s="1"/>
      <c r="B761" s="1"/>
      <c r="C761" s="1"/>
    </row>
    <row r="762">
      <c r="A762" s="1"/>
      <c r="B762" s="1"/>
      <c r="C762" s="1"/>
    </row>
    <row r="763">
      <c r="A763" s="1"/>
      <c r="B763" s="1"/>
      <c r="C763" s="1"/>
    </row>
    <row r="764">
      <c r="A764" s="1"/>
      <c r="B764" s="1"/>
      <c r="C764" s="1"/>
    </row>
    <row r="765">
      <c r="A765" s="1"/>
      <c r="B765" s="1"/>
      <c r="C765" s="1"/>
    </row>
    <row r="766">
      <c r="A766" s="1"/>
      <c r="B766" s="1"/>
      <c r="C766" s="1"/>
    </row>
    <row r="767">
      <c r="A767" s="1"/>
      <c r="B767" s="1"/>
      <c r="C767" s="1"/>
    </row>
    <row r="768">
      <c r="A768" s="1"/>
      <c r="B768" s="1"/>
      <c r="C768" s="1"/>
    </row>
    <row r="769">
      <c r="A769" s="1"/>
      <c r="B769" s="1"/>
      <c r="C769" s="1"/>
    </row>
    <row r="770">
      <c r="A770" s="1"/>
      <c r="B770" s="1"/>
      <c r="C770" s="1"/>
    </row>
    <row r="771">
      <c r="A771" s="1"/>
      <c r="B771" s="1"/>
      <c r="C771" s="1"/>
    </row>
    <row r="772">
      <c r="A772" s="1"/>
      <c r="B772" s="1"/>
      <c r="C772" s="1"/>
    </row>
    <row r="773">
      <c r="A773" s="1"/>
      <c r="B773" s="1"/>
      <c r="C773" s="1"/>
    </row>
    <row r="774">
      <c r="A774" s="1"/>
      <c r="B774" s="1"/>
      <c r="C774" s="1"/>
    </row>
    <row r="775">
      <c r="A775" s="1"/>
      <c r="B775" s="1"/>
      <c r="C775" s="1"/>
    </row>
    <row r="776">
      <c r="A776" s="1"/>
      <c r="B776" s="1"/>
      <c r="C776" s="1"/>
    </row>
    <row r="777">
      <c r="A777" s="1"/>
      <c r="B777" s="1"/>
      <c r="C777" s="1"/>
    </row>
    <row r="778">
      <c r="A778" s="1"/>
      <c r="B778" s="1"/>
      <c r="C778" s="1"/>
    </row>
    <row r="779">
      <c r="A779" s="1"/>
      <c r="B779" s="1"/>
      <c r="C779" s="1"/>
    </row>
    <row r="780">
      <c r="A780" s="1"/>
      <c r="B780" s="1"/>
      <c r="C780" s="1"/>
    </row>
    <row r="781">
      <c r="A781" s="1"/>
      <c r="B781" s="1"/>
      <c r="C781" s="1"/>
    </row>
    <row r="782">
      <c r="A782" s="1"/>
      <c r="B782" s="1"/>
      <c r="C782" s="1"/>
    </row>
    <row r="783">
      <c r="A783" s="1"/>
      <c r="B783" s="1"/>
      <c r="C783" s="1"/>
    </row>
    <row r="784">
      <c r="A784" s="1"/>
      <c r="B784" s="1"/>
      <c r="C784" s="1"/>
    </row>
    <row r="785">
      <c r="A785" s="1"/>
      <c r="B785" s="1"/>
      <c r="C785" s="1"/>
    </row>
    <row r="786">
      <c r="A786" s="1"/>
      <c r="B786" s="1"/>
      <c r="C786" s="1"/>
    </row>
    <row r="787">
      <c r="A787" s="1"/>
      <c r="B787" s="1"/>
      <c r="C787" s="1"/>
    </row>
    <row r="788">
      <c r="A788" s="1"/>
      <c r="B788" s="1"/>
      <c r="C788" s="1"/>
    </row>
    <row r="789">
      <c r="A789" s="1"/>
      <c r="B789" s="1"/>
      <c r="C789" s="1"/>
    </row>
    <row r="790">
      <c r="A790" s="1"/>
      <c r="B790" s="1"/>
      <c r="C790" s="1"/>
    </row>
    <row r="791">
      <c r="A791" s="1"/>
      <c r="B791" s="1"/>
      <c r="C791" s="1"/>
    </row>
    <row r="792">
      <c r="A792" s="1"/>
      <c r="B792" s="1"/>
      <c r="C792" s="1"/>
    </row>
    <row r="793">
      <c r="A793" s="1"/>
      <c r="B793" s="1"/>
      <c r="C793" s="1"/>
    </row>
    <row r="794">
      <c r="A794" s="1"/>
      <c r="B794" s="1"/>
      <c r="C794" s="1"/>
    </row>
    <row r="795">
      <c r="A795" s="1"/>
      <c r="B795" s="1"/>
      <c r="C795" s="1"/>
    </row>
    <row r="796">
      <c r="A796" s="1"/>
      <c r="B796" s="1"/>
      <c r="C796" s="1"/>
    </row>
    <row r="797">
      <c r="A797" s="1"/>
      <c r="B797" s="1"/>
      <c r="C797" s="1"/>
    </row>
    <row r="798">
      <c r="A798" s="1"/>
      <c r="B798" s="1"/>
      <c r="C798" s="1"/>
    </row>
    <row r="799">
      <c r="A799" s="1"/>
      <c r="B799" s="1"/>
      <c r="C799" s="1"/>
    </row>
    <row r="800">
      <c r="A800" s="1"/>
      <c r="B800" s="1"/>
      <c r="C800" s="1"/>
    </row>
    <row r="801">
      <c r="A801" s="1"/>
      <c r="B801" s="1"/>
      <c r="C801" s="1"/>
    </row>
    <row r="802">
      <c r="A802" s="1"/>
      <c r="B802" s="1"/>
      <c r="C802" s="1"/>
    </row>
    <row r="803">
      <c r="A803" s="1"/>
      <c r="B803" s="1"/>
      <c r="C803" s="1"/>
    </row>
    <row r="804">
      <c r="A804" s="1"/>
      <c r="B804" s="1"/>
      <c r="C804" s="1"/>
    </row>
    <row r="805">
      <c r="A805" s="1"/>
      <c r="B805" s="1"/>
      <c r="C805" s="1"/>
    </row>
    <row r="806">
      <c r="A806" s="1"/>
      <c r="B806" s="1"/>
      <c r="C806" s="1"/>
    </row>
    <row r="807">
      <c r="A807" s="1"/>
      <c r="B807" s="1"/>
      <c r="C807" s="1"/>
    </row>
    <row r="808">
      <c r="A808" s="1"/>
      <c r="B808" s="1"/>
      <c r="C808" s="1"/>
    </row>
    <row r="809">
      <c r="A809" s="1"/>
      <c r="B809" s="1"/>
      <c r="C809" s="1"/>
    </row>
    <row r="810">
      <c r="A810" s="1"/>
      <c r="B810" s="1"/>
      <c r="C810" s="1"/>
    </row>
    <row r="811">
      <c r="A811" s="1"/>
      <c r="B811" s="1"/>
      <c r="C811" s="1"/>
    </row>
    <row r="812">
      <c r="A812" s="1"/>
      <c r="B812" s="1"/>
      <c r="C812" s="1"/>
    </row>
    <row r="813">
      <c r="A813" s="1"/>
      <c r="B813" s="1"/>
      <c r="C813" s="1"/>
    </row>
    <row r="814">
      <c r="A814" s="1"/>
      <c r="B814" s="1"/>
      <c r="C814" s="1"/>
    </row>
    <row r="815">
      <c r="A815" s="1"/>
      <c r="B815" s="1"/>
      <c r="C815" s="1"/>
    </row>
    <row r="816">
      <c r="A816" s="1"/>
      <c r="B816" s="1"/>
      <c r="C816" s="1"/>
    </row>
    <row r="817">
      <c r="A817" s="1"/>
      <c r="B817" s="1"/>
      <c r="C817" s="1"/>
    </row>
    <row r="818">
      <c r="A818" s="1"/>
      <c r="B818" s="1"/>
      <c r="C818" s="1"/>
    </row>
    <row r="819">
      <c r="A819" s="1"/>
      <c r="B819" s="1"/>
      <c r="C819" s="1"/>
    </row>
    <row r="820">
      <c r="A820" s="1"/>
      <c r="B820" s="1"/>
      <c r="C820" s="1"/>
    </row>
    <row r="821">
      <c r="A821" s="1"/>
      <c r="B821" s="1"/>
      <c r="C821" s="1"/>
    </row>
    <row r="822">
      <c r="A822" s="1"/>
      <c r="B822" s="1"/>
      <c r="C822" s="1"/>
    </row>
    <row r="823">
      <c r="A823" s="1"/>
      <c r="B823" s="1"/>
      <c r="C823" s="1"/>
    </row>
    <row r="824">
      <c r="A824" s="1"/>
      <c r="B824" s="1"/>
      <c r="C824" s="1"/>
    </row>
    <row r="825">
      <c r="A825" s="1"/>
      <c r="B825" s="1"/>
      <c r="C825" s="1"/>
    </row>
    <row r="826">
      <c r="A826" s="1"/>
      <c r="B826" s="1"/>
      <c r="C826" s="1"/>
    </row>
    <row r="827">
      <c r="A827" s="1"/>
      <c r="B827" s="1"/>
      <c r="C827" s="1"/>
    </row>
    <row r="828">
      <c r="A828" s="1"/>
      <c r="B828" s="1"/>
      <c r="C828" s="1"/>
    </row>
    <row r="829">
      <c r="A829" s="1"/>
      <c r="B829" s="1"/>
      <c r="C829" s="1"/>
    </row>
    <row r="830">
      <c r="A830" s="1"/>
      <c r="B830" s="1"/>
      <c r="C830" s="1"/>
    </row>
    <row r="831">
      <c r="A831" s="1"/>
      <c r="B831" s="1"/>
      <c r="C831" s="1"/>
    </row>
    <row r="832">
      <c r="A832" s="1"/>
      <c r="B832" s="1"/>
      <c r="C832" s="1"/>
    </row>
    <row r="833">
      <c r="A833" s="1"/>
      <c r="B833" s="1"/>
      <c r="C833" s="1"/>
    </row>
    <row r="834">
      <c r="A834" s="1"/>
      <c r="B834" s="1"/>
      <c r="C834" s="1"/>
    </row>
    <row r="835">
      <c r="A835" s="1"/>
      <c r="B835" s="1"/>
      <c r="C835" s="1"/>
    </row>
    <row r="836">
      <c r="A836" s="1"/>
      <c r="B836" s="1"/>
      <c r="C836" s="1"/>
    </row>
    <row r="837">
      <c r="A837" s="1"/>
      <c r="B837" s="1"/>
      <c r="C837" s="1"/>
    </row>
    <row r="838">
      <c r="A838" s="1"/>
      <c r="B838" s="1"/>
      <c r="C838" s="1"/>
    </row>
    <row r="839">
      <c r="A839" s="1"/>
      <c r="B839" s="1"/>
      <c r="C839" s="1"/>
    </row>
    <row r="840">
      <c r="A840" s="1"/>
      <c r="B840" s="1"/>
      <c r="C840" s="1"/>
    </row>
    <row r="841">
      <c r="A841" s="1"/>
      <c r="B841" s="1"/>
      <c r="C841" s="1"/>
    </row>
    <row r="842">
      <c r="A842" s="1"/>
      <c r="B842" s="1"/>
      <c r="C842" s="1"/>
    </row>
    <row r="843">
      <c r="A843" s="1"/>
      <c r="B843" s="1"/>
      <c r="C843" s="1"/>
    </row>
    <row r="844">
      <c r="A844" s="1"/>
      <c r="B844" s="1"/>
      <c r="C844" s="1"/>
    </row>
    <row r="845">
      <c r="A845" s="1"/>
      <c r="B845" s="1"/>
      <c r="C845" s="1"/>
    </row>
    <row r="846">
      <c r="A846" s="1"/>
      <c r="B846" s="1"/>
      <c r="C846" s="1"/>
    </row>
    <row r="847">
      <c r="A847" s="1"/>
      <c r="B847" s="1"/>
      <c r="C847" s="1"/>
    </row>
    <row r="848">
      <c r="A848" s="1"/>
      <c r="B848" s="1"/>
      <c r="C848" s="1"/>
    </row>
    <row r="849">
      <c r="A849" s="1"/>
      <c r="B849" s="1"/>
      <c r="C849" s="1"/>
    </row>
    <row r="850">
      <c r="A850" s="1"/>
      <c r="B850" s="1"/>
      <c r="C850" s="1"/>
    </row>
    <row r="851">
      <c r="A851" s="1"/>
      <c r="B851" s="1"/>
      <c r="C851" s="1"/>
    </row>
    <row r="852">
      <c r="A852" s="1"/>
      <c r="B852" s="1"/>
      <c r="C852" s="1"/>
    </row>
    <row r="853">
      <c r="A853" s="1"/>
      <c r="B853" s="1"/>
      <c r="C853" s="1"/>
    </row>
    <row r="854">
      <c r="A854" s="1"/>
      <c r="B854" s="1"/>
      <c r="C854" s="1"/>
    </row>
    <row r="855">
      <c r="A855" s="1"/>
      <c r="B855" s="1"/>
      <c r="C855" s="1"/>
    </row>
    <row r="856">
      <c r="A856" s="1"/>
      <c r="B856" s="1"/>
      <c r="C856" s="1"/>
    </row>
    <row r="857">
      <c r="A857" s="1"/>
      <c r="B857" s="1"/>
      <c r="C857" s="1"/>
    </row>
    <row r="858">
      <c r="A858" s="1"/>
      <c r="B858" s="1"/>
      <c r="C858" s="1"/>
    </row>
    <row r="859">
      <c r="A859" s="1"/>
      <c r="B859" s="1"/>
      <c r="C859" s="1"/>
    </row>
    <row r="860">
      <c r="A860" s="1"/>
      <c r="B860" s="1"/>
      <c r="C860" s="1"/>
    </row>
    <row r="861">
      <c r="A861" s="1"/>
      <c r="B861" s="1"/>
      <c r="C861" s="1"/>
    </row>
    <row r="862">
      <c r="A862" s="1"/>
      <c r="B862" s="1"/>
      <c r="C862" s="1"/>
    </row>
    <row r="863">
      <c r="A863" s="1"/>
      <c r="B863" s="1"/>
      <c r="C863" s="1"/>
    </row>
    <row r="864">
      <c r="A864" s="1"/>
      <c r="B864" s="1"/>
      <c r="C864" s="1"/>
    </row>
    <row r="865">
      <c r="A865" s="1"/>
      <c r="B865" s="1"/>
      <c r="C865" s="1"/>
    </row>
    <row r="866">
      <c r="A866" s="1"/>
      <c r="B866" s="1"/>
      <c r="C866" s="1"/>
    </row>
    <row r="867">
      <c r="A867" s="1"/>
      <c r="B867" s="1"/>
      <c r="C867" s="1"/>
    </row>
    <row r="868">
      <c r="A868" s="1"/>
      <c r="B868" s="1"/>
      <c r="C868" s="1"/>
    </row>
    <row r="869">
      <c r="A869" s="1"/>
      <c r="B869" s="1"/>
      <c r="C869" s="1"/>
    </row>
    <row r="870">
      <c r="A870" s="1"/>
      <c r="B870" s="1"/>
      <c r="C870" s="1"/>
    </row>
    <row r="871">
      <c r="A871" s="1"/>
      <c r="B871" s="1"/>
      <c r="C871" s="1"/>
    </row>
    <row r="872">
      <c r="A872" s="1"/>
      <c r="B872" s="1"/>
      <c r="C872" s="1"/>
    </row>
    <row r="873">
      <c r="A873" s="1"/>
      <c r="B873" s="1"/>
      <c r="C873" s="1"/>
    </row>
    <row r="874">
      <c r="A874" s="1"/>
      <c r="B874" s="1"/>
      <c r="C874" s="1"/>
    </row>
    <row r="875">
      <c r="A875" s="1"/>
      <c r="B875" s="1"/>
      <c r="C875" s="1"/>
    </row>
    <row r="876">
      <c r="A876" s="1"/>
      <c r="B876" s="1"/>
      <c r="C876" s="1"/>
    </row>
    <row r="877">
      <c r="A877" s="1"/>
      <c r="B877" s="1"/>
      <c r="C877" s="1"/>
    </row>
    <row r="878">
      <c r="A878" s="1"/>
      <c r="B878" s="1"/>
      <c r="C878" s="1"/>
    </row>
    <row r="879">
      <c r="A879" s="1"/>
      <c r="B879" s="1"/>
      <c r="C879" s="1"/>
    </row>
    <row r="880">
      <c r="A880" s="1"/>
      <c r="B880" s="1"/>
      <c r="C880" s="1"/>
    </row>
    <row r="881">
      <c r="A881" s="1"/>
      <c r="B881" s="1"/>
      <c r="C881" s="1"/>
    </row>
    <row r="882">
      <c r="A882" s="1"/>
      <c r="B882" s="1"/>
      <c r="C882" s="1"/>
    </row>
    <row r="883">
      <c r="A883" s="1"/>
      <c r="B883" s="1"/>
      <c r="C883" s="1"/>
    </row>
    <row r="884">
      <c r="A884" s="1"/>
      <c r="B884" s="1"/>
      <c r="C884" s="1"/>
    </row>
    <row r="885">
      <c r="A885" s="1"/>
      <c r="B885" s="1"/>
      <c r="C885" s="1"/>
    </row>
    <row r="886">
      <c r="A886" s="1"/>
      <c r="B886" s="1"/>
      <c r="C886" s="1"/>
    </row>
    <row r="887">
      <c r="A887" s="1"/>
      <c r="B887" s="1"/>
      <c r="C887" s="1"/>
    </row>
    <row r="888">
      <c r="A888" s="1"/>
      <c r="B888" s="1"/>
      <c r="C888" s="1"/>
    </row>
    <row r="889">
      <c r="A889" s="1"/>
      <c r="B889" s="1"/>
      <c r="C889" s="1"/>
    </row>
    <row r="890">
      <c r="A890" s="1"/>
      <c r="B890" s="1"/>
      <c r="C890" s="1"/>
    </row>
    <row r="891">
      <c r="A891" s="1"/>
      <c r="B891" s="1"/>
      <c r="C891" s="1"/>
    </row>
    <row r="892">
      <c r="A892" s="1"/>
      <c r="B892" s="1"/>
      <c r="C892" s="1"/>
    </row>
    <row r="893">
      <c r="A893" s="1"/>
      <c r="B893" s="1"/>
      <c r="C893" s="1"/>
    </row>
    <row r="894">
      <c r="A894" s="1"/>
      <c r="B894" s="1"/>
      <c r="C894" s="1"/>
    </row>
    <row r="895">
      <c r="A895" s="1"/>
      <c r="B895" s="1"/>
      <c r="C895" s="1"/>
    </row>
    <row r="896">
      <c r="A896" s="1"/>
      <c r="B896" s="1"/>
      <c r="C896" s="1"/>
    </row>
    <row r="897">
      <c r="A897" s="1"/>
      <c r="B897" s="1"/>
      <c r="C897" s="1"/>
    </row>
    <row r="898">
      <c r="A898" s="1"/>
      <c r="B898" s="1"/>
      <c r="C898" s="1"/>
    </row>
    <row r="899">
      <c r="A899" s="1"/>
      <c r="B899" s="1"/>
      <c r="C899" s="1"/>
    </row>
    <row r="900">
      <c r="A900" s="1"/>
      <c r="B900" s="1"/>
      <c r="C900" s="1"/>
    </row>
    <row r="901">
      <c r="A901" s="1"/>
      <c r="B901" s="1"/>
      <c r="C901" s="1"/>
    </row>
    <row r="902">
      <c r="A902" s="1"/>
      <c r="B902" s="1"/>
      <c r="C902" s="1"/>
    </row>
    <row r="903">
      <c r="A903" s="1"/>
      <c r="B903" s="1"/>
      <c r="C903" s="1"/>
    </row>
    <row r="904">
      <c r="A904" s="1"/>
      <c r="B904" s="1"/>
      <c r="C904" s="1"/>
    </row>
    <row r="905">
      <c r="A905" s="1"/>
      <c r="B905" s="1"/>
      <c r="C905" s="1"/>
    </row>
    <row r="906">
      <c r="A906" s="1"/>
      <c r="B906" s="1"/>
      <c r="C906" s="1"/>
    </row>
    <row r="907">
      <c r="A907" s="1"/>
      <c r="B907" s="1"/>
      <c r="C907" s="1"/>
    </row>
    <row r="908">
      <c r="A908" s="1"/>
      <c r="B908" s="1"/>
      <c r="C908" s="1"/>
    </row>
    <row r="909">
      <c r="A909" s="1"/>
      <c r="B909" s="1"/>
      <c r="C909" s="1"/>
    </row>
    <row r="910">
      <c r="A910" s="1"/>
      <c r="B910" s="1"/>
      <c r="C910" s="1"/>
    </row>
    <row r="911">
      <c r="A911" s="1"/>
      <c r="B911" s="1"/>
      <c r="C911" s="1"/>
    </row>
    <row r="912">
      <c r="A912" s="1"/>
      <c r="B912" s="1"/>
      <c r="C912" s="1"/>
    </row>
    <row r="913">
      <c r="A913" s="1"/>
      <c r="B913" s="1"/>
      <c r="C913" s="1"/>
    </row>
    <row r="914">
      <c r="A914" s="1"/>
      <c r="B914" s="1"/>
      <c r="C914" s="1"/>
    </row>
    <row r="915">
      <c r="A915" s="1"/>
      <c r="B915" s="1"/>
      <c r="C915" s="1"/>
    </row>
    <row r="916">
      <c r="A916" s="1"/>
      <c r="B916" s="1"/>
      <c r="C916" s="1"/>
    </row>
    <row r="917">
      <c r="A917" s="1"/>
      <c r="B917" s="1"/>
      <c r="C917" s="1"/>
    </row>
    <row r="918">
      <c r="A918" s="1"/>
      <c r="B918" s="1"/>
      <c r="C918" s="1"/>
    </row>
    <row r="919">
      <c r="A919" s="1"/>
      <c r="B919" s="1"/>
      <c r="C919" s="1"/>
    </row>
    <row r="920">
      <c r="A920" s="1"/>
      <c r="B920" s="1"/>
      <c r="C920" s="1"/>
    </row>
    <row r="921">
      <c r="A921" s="1"/>
      <c r="B921" s="1"/>
      <c r="C921" s="1"/>
    </row>
    <row r="922">
      <c r="A922" s="1"/>
      <c r="B922" s="1"/>
      <c r="C922" s="1"/>
    </row>
    <row r="923">
      <c r="A923" s="1"/>
      <c r="B923" s="1"/>
      <c r="C923" s="1"/>
    </row>
    <row r="924">
      <c r="A924" s="1"/>
      <c r="B924" s="1"/>
      <c r="C924" s="1"/>
    </row>
    <row r="925">
      <c r="A925" s="1"/>
      <c r="B925" s="1"/>
      <c r="C925" s="1"/>
    </row>
    <row r="926">
      <c r="A926" s="1"/>
      <c r="B926" s="1"/>
      <c r="C926" s="1"/>
    </row>
    <row r="927">
      <c r="A927" s="1"/>
      <c r="B927" s="1"/>
      <c r="C927" s="1"/>
    </row>
    <row r="928">
      <c r="A928" s="1"/>
      <c r="B928" s="1"/>
      <c r="C928" s="1"/>
    </row>
    <row r="929">
      <c r="A929" s="1"/>
      <c r="B929" s="1"/>
      <c r="C929" s="1"/>
    </row>
    <row r="930">
      <c r="A930" s="1"/>
      <c r="B930" s="1"/>
      <c r="C930" s="1"/>
    </row>
    <row r="931">
      <c r="A931" s="1"/>
      <c r="B931" s="1"/>
      <c r="C931" s="1"/>
    </row>
    <row r="932">
      <c r="A932" s="1"/>
      <c r="B932" s="1"/>
      <c r="C932" s="1"/>
    </row>
    <row r="933">
      <c r="A933" s="1"/>
      <c r="B933" s="1"/>
      <c r="C933" s="1"/>
    </row>
    <row r="934">
      <c r="A934" s="1"/>
      <c r="B934" s="1"/>
      <c r="C934" s="1"/>
    </row>
    <row r="935">
      <c r="A935" s="1"/>
      <c r="B935" s="1"/>
      <c r="C935" s="1"/>
    </row>
    <row r="936">
      <c r="A936" s="1"/>
      <c r="B936" s="1"/>
      <c r="C936" s="1"/>
    </row>
    <row r="937">
      <c r="A937" s="1"/>
      <c r="B937" s="1"/>
      <c r="C937" s="1"/>
    </row>
    <row r="938">
      <c r="A938" s="1"/>
      <c r="B938" s="1"/>
      <c r="C938" s="1"/>
    </row>
    <row r="939">
      <c r="A939" s="1"/>
      <c r="B939" s="1"/>
      <c r="C939" s="1"/>
    </row>
    <row r="940">
      <c r="A940" s="1"/>
      <c r="B940" s="1"/>
      <c r="C940" s="1"/>
    </row>
    <row r="941">
      <c r="A941" s="1"/>
      <c r="B941" s="1"/>
      <c r="C941" s="1"/>
    </row>
    <row r="942">
      <c r="A942" s="1"/>
      <c r="B942" s="1"/>
      <c r="C942" s="1"/>
    </row>
    <row r="943">
      <c r="A943" s="1"/>
      <c r="B943" s="1"/>
      <c r="C943" s="1"/>
    </row>
    <row r="944">
      <c r="A944" s="1"/>
      <c r="B944" s="1"/>
      <c r="C944" s="1"/>
    </row>
    <row r="945">
      <c r="A945" s="1"/>
      <c r="B945" s="1"/>
      <c r="C945" s="1"/>
    </row>
    <row r="946">
      <c r="A946" s="1"/>
      <c r="B946" s="1"/>
      <c r="C946" s="1"/>
    </row>
    <row r="947">
      <c r="A947" s="1"/>
      <c r="B947" s="1"/>
      <c r="C947" s="1"/>
    </row>
    <row r="948">
      <c r="A948" s="1"/>
      <c r="B948" s="1"/>
      <c r="C948" s="1"/>
    </row>
    <row r="949">
      <c r="A949" s="1"/>
      <c r="B949" s="1"/>
      <c r="C949" s="1"/>
    </row>
    <row r="950">
      <c r="A950" s="1"/>
      <c r="B950" s="1"/>
      <c r="C950" s="1"/>
    </row>
    <row r="951">
      <c r="A951" s="1"/>
      <c r="B951" s="1"/>
      <c r="C951" s="1"/>
    </row>
    <row r="952">
      <c r="A952" s="1"/>
      <c r="B952" s="1"/>
      <c r="C952" s="1"/>
    </row>
    <row r="953">
      <c r="A953" s="1"/>
      <c r="B953" s="1"/>
      <c r="C953" s="1"/>
    </row>
    <row r="954">
      <c r="A954" s="1"/>
      <c r="B954" s="1"/>
      <c r="C954" s="1"/>
    </row>
    <row r="955">
      <c r="A955" s="1"/>
      <c r="B955" s="1"/>
      <c r="C955" s="1"/>
    </row>
    <row r="956">
      <c r="A956" s="1"/>
      <c r="B956" s="1"/>
      <c r="C956" s="1"/>
    </row>
    <row r="957">
      <c r="A957" s="1"/>
      <c r="B957" s="1"/>
      <c r="C957" s="1"/>
    </row>
    <row r="958">
      <c r="A958" s="1"/>
      <c r="B958" s="1"/>
      <c r="C958" s="1"/>
    </row>
    <row r="959">
      <c r="A959" s="1"/>
      <c r="B959" s="1"/>
      <c r="C959" s="1"/>
    </row>
    <row r="960">
      <c r="A960" s="1"/>
      <c r="B960" s="1"/>
      <c r="C960" s="1"/>
    </row>
    <row r="961">
      <c r="A961" s="1"/>
      <c r="B961" s="1"/>
      <c r="C961" s="1"/>
    </row>
    <row r="962">
      <c r="A962" s="1"/>
      <c r="B962" s="1"/>
      <c r="C962" s="1"/>
    </row>
    <row r="963">
      <c r="A963" s="1"/>
      <c r="B963" s="1"/>
      <c r="C963" s="1"/>
    </row>
    <row r="964">
      <c r="A964" s="1"/>
      <c r="B964" s="1"/>
      <c r="C964" s="1"/>
    </row>
    <row r="965">
      <c r="A965" s="1"/>
      <c r="B965" s="1"/>
      <c r="C965" s="1"/>
    </row>
    <row r="966">
      <c r="A966" s="1"/>
      <c r="B966" s="1"/>
      <c r="C966" s="1"/>
    </row>
    <row r="967">
      <c r="A967" s="1"/>
      <c r="B967" s="1"/>
      <c r="C967" s="1"/>
    </row>
    <row r="968">
      <c r="A968" s="1"/>
      <c r="B968" s="1"/>
      <c r="C968" s="1"/>
    </row>
    <row r="969">
      <c r="A969" s="1"/>
      <c r="B969" s="1"/>
      <c r="C969" s="1"/>
    </row>
    <row r="970">
      <c r="A970" s="1"/>
      <c r="B970" s="1"/>
      <c r="C970" s="1"/>
    </row>
    <row r="971">
      <c r="A971" s="1"/>
      <c r="B971" s="1"/>
      <c r="C971" s="1"/>
    </row>
    <row r="972">
      <c r="A972" s="1"/>
      <c r="B972" s="1"/>
      <c r="C972" s="1"/>
    </row>
    <row r="973">
      <c r="A973" s="1"/>
      <c r="B973" s="1"/>
      <c r="C973" s="1"/>
    </row>
    <row r="974">
      <c r="A974" s="1"/>
      <c r="B974" s="1"/>
      <c r="C974" s="1"/>
    </row>
    <row r="975">
      <c r="A975" s="1"/>
      <c r="B975" s="1"/>
      <c r="C975" s="1"/>
    </row>
    <row r="976">
      <c r="A976" s="1"/>
      <c r="B976" s="1"/>
      <c r="C976" s="1"/>
    </row>
    <row r="977">
      <c r="A977" s="1"/>
      <c r="B977" s="1"/>
      <c r="C977" s="1"/>
    </row>
    <row r="978">
      <c r="A978" s="1"/>
      <c r="B978" s="1"/>
      <c r="C978" s="1"/>
    </row>
    <row r="979">
      <c r="A979" s="1"/>
      <c r="B979" s="1"/>
      <c r="C979" s="1"/>
    </row>
    <row r="980">
      <c r="A980" s="1"/>
      <c r="B980" s="1"/>
      <c r="C980" s="1"/>
    </row>
    <row r="981">
      <c r="A981" s="1"/>
      <c r="B981" s="1"/>
      <c r="C981" s="1"/>
    </row>
    <row r="982">
      <c r="A982" s="1"/>
      <c r="B982" s="1"/>
      <c r="C982" s="1"/>
    </row>
    <row r="983">
      <c r="A983" s="1"/>
      <c r="B983" s="1"/>
      <c r="C983" s="1"/>
    </row>
    <row r="984">
      <c r="A984" s="1"/>
      <c r="B984" s="1"/>
      <c r="C984" s="1"/>
    </row>
    <row r="985">
      <c r="A985" s="1"/>
      <c r="B985" s="1"/>
      <c r="C985" s="1"/>
    </row>
    <row r="986">
      <c r="A986" s="1"/>
      <c r="B986" s="1"/>
      <c r="C986" s="1"/>
    </row>
    <row r="987">
      <c r="A987" s="1"/>
      <c r="B987" s="1"/>
      <c r="C987" s="1"/>
    </row>
    <row r="988">
      <c r="A988" s="1"/>
      <c r="B988" s="1"/>
      <c r="C988" s="1"/>
    </row>
    <row r="989">
      <c r="A989" s="1"/>
      <c r="B989" s="1"/>
      <c r="C989" s="1"/>
    </row>
    <row r="990">
      <c r="A990" s="1"/>
      <c r="B990" s="1"/>
      <c r="C990" s="1"/>
    </row>
    <row r="991">
      <c r="A991" s="1"/>
      <c r="B991" s="1"/>
      <c r="C991" s="1"/>
    </row>
    <row r="992">
      <c r="A992" s="1"/>
      <c r="B992" s="1"/>
      <c r="C992" s="1"/>
    </row>
    <row r="993">
      <c r="A993" s="1"/>
      <c r="B993" s="1"/>
      <c r="C993" s="1"/>
    </row>
    <row r="994">
      <c r="A994" s="1"/>
      <c r="B994" s="1"/>
      <c r="C994" s="1"/>
    </row>
    <row r="995">
      <c r="A995" s="1"/>
      <c r="B995" s="1"/>
      <c r="C995" s="1"/>
    </row>
    <row r="996">
      <c r="A996" s="1"/>
      <c r="B996" s="1"/>
      <c r="C996" s="1"/>
    </row>
    <row r="997">
      <c r="A997" s="1"/>
      <c r="B997" s="1"/>
      <c r="C997" s="1"/>
    </row>
    <row r="998">
      <c r="A998" s="1"/>
      <c r="B998" s="1"/>
      <c r="C998" s="1"/>
    </row>
    <row r="999">
      <c r="A999" s="1"/>
      <c r="B999" s="1"/>
      <c r="C999" s="1"/>
    </row>
    <row r="1000">
      <c r="A1000" s="1"/>
      <c r="B1000" s="1"/>
      <c r="C1000" s="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tr">
        <f>IFERROR(__xludf.DUMMYFUNCTION("IMPORTRANGE(""https://docs.google.com/spreadsheets/d/1HXoAI5UG3zq1UHqU5n7fPdbQk93qOha2VQb1r7iRi1o"",""Regions!A:C"")"),"Name")</f>
        <v>Name</v>
      </c>
      <c r="B1" s="1" t="str">
        <f>IFERROR(__xludf.DUMMYFUNCTION("""COMPUTED_VALUE"""),"World")</f>
        <v>World</v>
      </c>
      <c r="C1" s="1"/>
    </row>
    <row r="2">
      <c r="A2" s="1" t="str">
        <f>IFERROR(__xludf.DUMMYFUNCTION("""COMPUTED_VALUE"""),"City/Town")</f>
        <v>City/Town</v>
      </c>
      <c r="B2" s="1" t="str">
        <f>IFERROR(__xludf.DUMMYFUNCTION("""COMPUTED_VALUE"""),"Land of Spira")</f>
        <v>Land of Spira</v>
      </c>
      <c r="C2" s="1"/>
    </row>
    <row r="3">
      <c r="A3" s="1" t="str">
        <f>IFERROR(__xludf.DUMMYFUNCTION("""COMPUTED_VALUE"""),"All")</f>
        <v>All</v>
      </c>
      <c r="B3" s="1" t="str">
        <f>IFERROR(__xludf.DUMMYFUNCTION("""COMPUTED_VALUE"""),"Land of Spira")</f>
        <v>Land of Spira</v>
      </c>
      <c r="C3" s="1"/>
    </row>
    <row r="4">
      <c r="A4" s="1" t="str">
        <f>IFERROR(__xludf.DUMMYFUNCTION("""COMPUTED_VALUE"""),"All")</f>
        <v>All</v>
      </c>
      <c r="B4" s="1" t="str">
        <f>IFERROR(__xludf.DUMMYFUNCTION("""COMPUTED_VALUE"""),"Abstara")</f>
        <v>Abstara</v>
      </c>
      <c r="C4" s="1"/>
    </row>
    <row r="5">
      <c r="A5" s="1" t="str">
        <f>IFERROR(__xludf.DUMMYFUNCTION("""COMPUTED_VALUE"""),"All")</f>
        <v>All</v>
      </c>
      <c r="B5" s="1" t="str">
        <f>IFERROR(__xludf.DUMMYFUNCTION("""COMPUTED_VALUE"""),"Solreach")</f>
        <v>Solreach</v>
      </c>
      <c r="C5" s="1"/>
    </row>
    <row r="6">
      <c r="A6" s="1" t="str">
        <f>IFERROR(__xludf.DUMMYFUNCTION("""COMPUTED_VALUE"""),"All")</f>
        <v>All</v>
      </c>
      <c r="B6" s="1" t="str">
        <f>IFERROR(__xludf.DUMMYFUNCTION("""COMPUTED_VALUE"""),"Halloween Kingdom")</f>
        <v>Halloween Kingdom</v>
      </c>
      <c r="C6" s="1"/>
    </row>
    <row r="7">
      <c r="A7" s="1" t="str">
        <f>IFERROR(__xludf.DUMMYFUNCTION("""COMPUTED_VALUE"""),"All")</f>
        <v>All</v>
      </c>
      <c r="B7" s="1" t="str">
        <f>IFERROR(__xludf.DUMMYFUNCTION("""COMPUTED_VALUE"""),"Land of The Forgotten")</f>
        <v>Land of The Forgotten</v>
      </c>
      <c r="C7" s="1"/>
    </row>
    <row r="8">
      <c r="A8" s="1" t="str">
        <f>IFERROR(__xludf.DUMMYFUNCTION("""COMPUTED_VALUE"""),"All")</f>
        <v>All</v>
      </c>
      <c r="B8" s="1" t="str">
        <f>IFERROR(__xludf.DUMMYFUNCTION("""COMPUTED_VALUE"""),"Dragonscale Island")</f>
        <v>Dragonscale Island</v>
      </c>
      <c r="C8" s="1"/>
    </row>
    <row r="9">
      <c r="A9" s="1" t="str">
        <f>IFERROR(__xludf.DUMMYFUNCTION("""COMPUTED_VALUE"""),"Plains")</f>
        <v>Plains</v>
      </c>
      <c r="B9" s="1" t="str">
        <f>IFERROR(__xludf.DUMMYFUNCTION("""COMPUTED_VALUE"""),"Land of Spira")</f>
        <v>Land of Spira</v>
      </c>
      <c r="C9" s="1"/>
    </row>
    <row r="10">
      <c r="A10" s="1" t="str">
        <f>IFERROR(__xludf.DUMMYFUNCTION("""COMPUTED_VALUE"""),"Jungle")</f>
        <v>Jungle</v>
      </c>
      <c r="B10" s="1" t="str">
        <f>IFERROR(__xludf.DUMMYFUNCTION("""COMPUTED_VALUE"""),"Land of Spira")</f>
        <v>Land of Spira</v>
      </c>
      <c r="C10" s="1"/>
    </row>
    <row r="11">
      <c r="A11" s="1" t="str">
        <f>IFERROR(__xludf.DUMMYFUNCTION("""COMPUTED_VALUE"""),"Desert")</f>
        <v>Desert</v>
      </c>
      <c r="B11" s="1" t="str">
        <f>IFERROR(__xludf.DUMMYFUNCTION("""COMPUTED_VALUE"""),"Land of Spira")</f>
        <v>Land of Spira</v>
      </c>
      <c r="C11" s="1"/>
    </row>
    <row r="12">
      <c r="A12" s="1" t="str">
        <f>IFERROR(__xludf.DUMMYFUNCTION("""COMPUTED_VALUE"""),"Swamp")</f>
        <v>Swamp</v>
      </c>
      <c r="B12" s="1" t="str">
        <f>IFERROR(__xludf.DUMMYFUNCTION("""COMPUTED_VALUE"""),"Land of Spira")</f>
        <v>Land of Spira</v>
      </c>
      <c r="C12" s="1"/>
    </row>
    <row r="13">
      <c r="A13" s="1" t="str">
        <f>IFERROR(__xludf.DUMMYFUNCTION("""COMPUTED_VALUE"""),"Forest")</f>
        <v>Forest</v>
      </c>
      <c r="B13" s="1" t="str">
        <f>IFERROR(__xludf.DUMMYFUNCTION("""COMPUTED_VALUE"""),"Land of Spira")</f>
        <v>Land of Spira</v>
      </c>
      <c r="C13" s="1"/>
    </row>
    <row r="14">
      <c r="A14" s="1" t="str">
        <f>IFERROR(__xludf.DUMMYFUNCTION("""COMPUTED_VALUE"""),"Ocean")</f>
        <v>Ocean</v>
      </c>
      <c r="B14" s="1" t="str">
        <f>IFERROR(__xludf.DUMMYFUNCTION("""COMPUTED_VALUE"""),"Land of Spira")</f>
        <v>Land of Spira</v>
      </c>
      <c r="C14" s="1"/>
    </row>
    <row r="15">
      <c r="A15" s="1" t="str">
        <f>IFERROR(__xludf.DUMMYFUNCTION("""COMPUTED_VALUE"""),"Dungeon")</f>
        <v>Dungeon</v>
      </c>
      <c r="B15" s="1" t="str">
        <f>IFERROR(__xludf.DUMMYFUNCTION("""COMPUTED_VALUE"""),"Land of Spira")</f>
        <v>Land of Spira</v>
      </c>
      <c r="C15" s="1"/>
    </row>
    <row r="16">
      <c r="A16" s="1" t="str">
        <f>IFERROR(__xludf.DUMMYFUNCTION("""COMPUTED_VALUE"""),"Dungeon")</f>
        <v>Dungeon</v>
      </c>
      <c r="B16" s="1" t="str">
        <f>IFERROR(__xludf.DUMMYFUNCTION("""COMPUTED_VALUE"""),"Abstara")</f>
        <v>Abstara</v>
      </c>
      <c r="C16" s="1"/>
    </row>
    <row r="17">
      <c r="A17" s="1" t="str">
        <f>IFERROR(__xludf.DUMMYFUNCTION("""COMPUTED_VALUE"""),"Dungeon")</f>
        <v>Dungeon</v>
      </c>
      <c r="B17" s="1" t="str">
        <f>IFERROR(__xludf.DUMMYFUNCTION("""COMPUTED_VALUE"""),"Halloween Kingdom")</f>
        <v>Halloween Kingdom</v>
      </c>
      <c r="C17" s="1"/>
    </row>
    <row r="18">
      <c r="A18" s="1" t="str">
        <f>IFERROR(__xludf.DUMMYFUNCTION("""COMPUTED_VALUE"""),"Dungeon")</f>
        <v>Dungeon</v>
      </c>
      <c r="B18" s="1" t="str">
        <f>IFERROR(__xludf.DUMMYFUNCTION("""COMPUTED_VALUE"""),"Solreach")</f>
        <v>Solreach</v>
      </c>
      <c r="C18" s="1"/>
    </row>
    <row r="19">
      <c r="A19" s="1" t="str">
        <f>IFERROR(__xludf.DUMMYFUNCTION("""COMPUTED_VALUE"""),"Dungeon")</f>
        <v>Dungeon</v>
      </c>
      <c r="B19" s="1" t="str">
        <f>IFERROR(__xludf.DUMMYFUNCTION("""COMPUTED_VALUE"""),"Land of The Forgotten")</f>
        <v>Land of The Forgotten</v>
      </c>
      <c r="C19" s="1"/>
    </row>
    <row r="20">
      <c r="A20" s="1" t="str">
        <f>IFERROR(__xludf.DUMMYFUNCTION("""COMPUTED_VALUE"""),"Dungeon")</f>
        <v>Dungeon</v>
      </c>
      <c r="B20" s="1" t="str">
        <f>IFERROR(__xludf.DUMMYFUNCTION("""COMPUTED_VALUE"""),"Dragonscale Island")</f>
        <v>Dragonscale Island</v>
      </c>
      <c r="C20" s="1"/>
    </row>
    <row r="21">
      <c r="A21" s="1" t="str">
        <f>IFERROR(__xludf.DUMMYFUNCTION("""COMPUTED_VALUE"""),"Tundra")</f>
        <v>Tundra</v>
      </c>
      <c r="B21" s="1" t="str">
        <f>IFERROR(__xludf.DUMMYFUNCTION("""COMPUTED_VALUE"""),"Land of Spira")</f>
        <v>Land of Spira</v>
      </c>
      <c r="C21" s="1"/>
    </row>
    <row r="22">
      <c r="A22" s="1" t="str">
        <f>IFERROR(__xludf.DUMMYFUNCTION("""COMPUTED_VALUE"""),"Mountains")</f>
        <v>Mountains</v>
      </c>
      <c r="B22" s="1" t="str">
        <f>IFERROR(__xludf.DUMMYFUNCTION("""COMPUTED_VALUE"""),"Land of Spira")</f>
        <v>Land of Spira</v>
      </c>
      <c r="C22" s="1"/>
    </row>
    <row r="23">
      <c r="A23" s="1" t="str">
        <f>IFERROR(__xludf.DUMMYFUNCTION("""COMPUTED_VALUE"""),"Mountains")</f>
        <v>Mountains</v>
      </c>
      <c r="B23" s="1" t="str">
        <f>IFERROR(__xludf.DUMMYFUNCTION("""COMPUTED_VALUE"""),"Dragonscale Island")</f>
        <v>Dragonscale Island</v>
      </c>
      <c r="C23" s="1"/>
    </row>
    <row r="24">
      <c r="A24" s="1"/>
      <c r="B24" s="1"/>
      <c r="C24" s="1"/>
    </row>
    <row r="25">
      <c r="A25" s="1"/>
      <c r="B25" s="1"/>
      <c r="C25" s="1"/>
    </row>
    <row r="26">
      <c r="A26" s="1"/>
      <c r="B26" s="1"/>
      <c r="C26" s="1"/>
    </row>
    <row r="27">
      <c r="A27" s="1"/>
      <c r="B27" s="1"/>
      <c r="C27" s="1"/>
    </row>
    <row r="28">
      <c r="A28" s="1"/>
      <c r="B28" s="1"/>
      <c r="C28" s="1"/>
    </row>
    <row r="29">
      <c r="A29" s="1"/>
      <c r="B29" s="1"/>
      <c r="C29" s="1"/>
    </row>
    <row r="30">
      <c r="A30" s="1"/>
      <c r="B30" s="1"/>
      <c r="C30" s="1"/>
    </row>
    <row r="31">
      <c r="A31" s="1"/>
      <c r="B31" s="1"/>
      <c r="C31" s="1"/>
    </row>
    <row r="32">
      <c r="A32" s="1"/>
      <c r="B32" s="1"/>
      <c r="C32" s="1"/>
    </row>
    <row r="33">
      <c r="A33" s="1"/>
      <c r="B33" s="1"/>
      <c r="C33" s="1"/>
    </row>
    <row r="34">
      <c r="A34" s="1"/>
      <c r="B34" s="1"/>
      <c r="C34" s="1"/>
    </row>
    <row r="35">
      <c r="A35" s="1"/>
      <c r="B35" s="1"/>
      <c r="C35" s="1"/>
    </row>
    <row r="36">
      <c r="A36" s="1"/>
      <c r="B36" s="1"/>
      <c r="C36" s="1"/>
    </row>
    <row r="37">
      <c r="A37" s="1"/>
      <c r="B37" s="1"/>
      <c r="C37" s="1"/>
    </row>
    <row r="38">
      <c r="A38" s="1"/>
      <c r="B38" s="1"/>
      <c r="C38" s="1"/>
    </row>
    <row r="39">
      <c r="A39" s="1"/>
      <c r="B39" s="1"/>
      <c r="C39" s="1"/>
    </row>
    <row r="40">
      <c r="A40" s="1"/>
      <c r="B40" s="1"/>
      <c r="C40" s="1"/>
    </row>
    <row r="41">
      <c r="A41" s="1"/>
      <c r="B41" s="1"/>
      <c r="C41" s="1"/>
    </row>
    <row r="42">
      <c r="A42" s="1"/>
      <c r="B42" s="1"/>
      <c r="C42" s="1"/>
    </row>
    <row r="43">
      <c r="A43" s="1"/>
      <c r="B43" s="1"/>
      <c r="C43" s="1"/>
    </row>
    <row r="44">
      <c r="A44" s="1"/>
      <c r="B44" s="1"/>
      <c r="C44" s="1"/>
    </row>
    <row r="45">
      <c r="A45" s="1"/>
      <c r="B45" s="1"/>
      <c r="C45" s="1"/>
    </row>
    <row r="46">
      <c r="A46" s="1"/>
      <c r="B46" s="1"/>
      <c r="C46" s="1"/>
    </row>
    <row r="47">
      <c r="A47" s="1"/>
      <c r="B47" s="1"/>
      <c r="C47" s="1"/>
    </row>
    <row r="48">
      <c r="A48" s="1"/>
      <c r="B48" s="1"/>
      <c r="C48" s="1"/>
    </row>
    <row r="49">
      <c r="A49" s="1"/>
      <c r="B49" s="1"/>
      <c r="C49" s="1"/>
    </row>
    <row r="50">
      <c r="A50" s="1"/>
      <c r="B50" s="1"/>
      <c r="C50" s="1"/>
    </row>
    <row r="51">
      <c r="A51" s="1"/>
      <c r="B51" s="1"/>
      <c r="C51" s="1"/>
    </row>
    <row r="52">
      <c r="A52" s="1"/>
      <c r="B52" s="1"/>
      <c r="C52" s="1"/>
    </row>
    <row r="53">
      <c r="A53" s="1"/>
      <c r="B53" s="1"/>
      <c r="C53" s="1"/>
    </row>
    <row r="54">
      <c r="A54" s="1"/>
      <c r="B54" s="1"/>
      <c r="C54" s="1"/>
    </row>
    <row r="55">
      <c r="A55" s="1"/>
      <c r="B55" s="1"/>
      <c r="C55" s="1"/>
    </row>
    <row r="56">
      <c r="A56" s="1"/>
      <c r="B56" s="1"/>
      <c r="C56" s="1"/>
    </row>
    <row r="57">
      <c r="A57" s="1"/>
      <c r="B57" s="1"/>
      <c r="C57" s="1"/>
    </row>
    <row r="58">
      <c r="A58" s="1"/>
      <c r="B58" s="1"/>
      <c r="C58" s="1"/>
    </row>
    <row r="59">
      <c r="A59" s="1"/>
      <c r="B59" s="1"/>
      <c r="C59" s="1"/>
    </row>
    <row r="60">
      <c r="A60" s="1"/>
      <c r="B60" s="1"/>
      <c r="C60" s="1"/>
    </row>
    <row r="61">
      <c r="A61" s="1"/>
      <c r="B61" s="1"/>
      <c r="C61" s="1"/>
    </row>
    <row r="62">
      <c r="A62" s="1"/>
      <c r="B62" s="1"/>
      <c r="C62" s="1"/>
    </row>
    <row r="63">
      <c r="A63" s="1"/>
      <c r="B63" s="1"/>
      <c r="C63" s="1"/>
    </row>
    <row r="64">
      <c r="A64" s="1"/>
      <c r="B64" s="1"/>
      <c r="C64" s="1"/>
    </row>
    <row r="65">
      <c r="A65" s="1"/>
      <c r="B65" s="1"/>
      <c r="C65" s="1"/>
    </row>
    <row r="66">
      <c r="A66" s="1"/>
      <c r="B66" s="1"/>
      <c r="C66" s="1"/>
    </row>
    <row r="67">
      <c r="A67" s="1"/>
      <c r="B67" s="1"/>
      <c r="C67" s="1"/>
    </row>
    <row r="68">
      <c r="A68" s="1"/>
      <c r="B68" s="1"/>
      <c r="C68" s="1"/>
    </row>
    <row r="69">
      <c r="A69" s="1"/>
      <c r="B69" s="1"/>
      <c r="C69" s="1"/>
    </row>
    <row r="70">
      <c r="A70" s="1"/>
      <c r="B70" s="1"/>
      <c r="C70" s="1"/>
    </row>
    <row r="71">
      <c r="A71" s="1"/>
      <c r="B71" s="1"/>
      <c r="C71" s="1"/>
    </row>
    <row r="72">
      <c r="A72" s="1"/>
      <c r="B72" s="1"/>
      <c r="C72" s="1"/>
    </row>
    <row r="73">
      <c r="A73" s="1"/>
      <c r="B73" s="1"/>
      <c r="C73" s="1"/>
    </row>
    <row r="74">
      <c r="A74" s="1"/>
      <c r="B74" s="1"/>
      <c r="C74" s="1"/>
    </row>
    <row r="75">
      <c r="A75" s="1"/>
      <c r="B75" s="1"/>
      <c r="C75" s="1"/>
    </row>
    <row r="76">
      <c r="A76" s="1"/>
      <c r="B76" s="1"/>
      <c r="C76" s="1"/>
    </row>
    <row r="77">
      <c r="A77" s="1"/>
      <c r="B77" s="1"/>
      <c r="C77" s="1"/>
    </row>
    <row r="78">
      <c r="A78" s="1"/>
      <c r="B78" s="1"/>
      <c r="C78" s="1"/>
    </row>
    <row r="79">
      <c r="A79" s="1"/>
      <c r="B79" s="1"/>
      <c r="C79" s="1"/>
    </row>
    <row r="80">
      <c r="A80" s="1"/>
      <c r="B80" s="1"/>
      <c r="C80" s="1"/>
    </row>
    <row r="81">
      <c r="A81" s="1"/>
      <c r="B81" s="1"/>
      <c r="C81" s="1"/>
    </row>
    <row r="82">
      <c r="A82" s="1"/>
      <c r="B82" s="1"/>
      <c r="C82" s="1"/>
    </row>
    <row r="83">
      <c r="A83" s="1"/>
      <c r="B83" s="1"/>
      <c r="C83" s="1"/>
    </row>
    <row r="84">
      <c r="A84" s="1"/>
      <c r="B84" s="1"/>
      <c r="C84" s="1"/>
    </row>
    <row r="85">
      <c r="A85" s="1"/>
      <c r="B85" s="1"/>
      <c r="C85" s="1"/>
    </row>
    <row r="86">
      <c r="A86" s="1"/>
      <c r="B86" s="1"/>
      <c r="C86" s="1"/>
    </row>
    <row r="87">
      <c r="A87" s="1"/>
      <c r="B87" s="1"/>
      <c r="C87" s="1"/>
    </row>
    <row r="88">
      <c r="A88" s="1"/>
      <c r="B88" s="1"/>
      <c r="C88" s="1"/>
    </row>
    <row r="89">
      <c r="A89" s="1"/>
      <c r="B89" s="1"/>
      <c r="C89" s="1"/>
    </row>
    <row r="90">
      <c r="A90" s="1"/>
      <c r="B90" s="1"/>
      <c r="C90" s="1"/>
    </row>
    <row r="91">
      <c r="A91" s="1"/>
      <c r="B91" s="1"/>
      <c r="C91" s="1"/>
    </row>
    <row r="92">
      <c r="A92" s="1"/>
      <c r="B92" s="1"/>
      <c r="C92" s="1"/>
    </row>
    <row r="93">
      <c r="A93" s="1"/>
      <c r="B93" s="1"/>
      <c r="C93" s="1"/>
    </row>
    <row r="94">
      <c r="A94" s="1"/>
      <c r="B94" s="1"/>
      <c r="C94" s="1"/>
    </row>
    <row r="95">
      <c r="A95" s="1"/>
      <c r="B95" s="1"/>
      <c r="C95" s="1"/>
    </row>
    <row r="96">
      <c r="A96" s="1"/>
      <c r="B96" s="1"/>
      <c r="C96" s="1"/>
    </row>
    <row r="97">
      <c r="A97" s="1"/>
      <c r="B97" s="1"/>
      <c r="C97" s="1"/>
    </row>
    <row r="98">
      <c r="A98" s="1"/>
      <c r="B98" s="1"/>
      <c r="C98" s="1"/>
    </row>
    <row r="99">
      <c r="A99" s="1"/>
      <c r="B99" s="1"/>
      <c r="C99" s="1"/>
    </row>
    <row r="100">
      <c r="A100" s="1"/>
      <c r="B100" s="1"/>
      <c r="C100" s="1"/>
    </row>
    <row r="101">
      <c r="A101" s="1"/>
      <c r="B101" s="1"/>
      <c r="C101" s="1"/>
    </row>
    <row r="102">
      <c r="A102" s="1"/>
      <c r="B102" s="1"/>
      <c r="C102" s="1"/>
    </row>
    <row r="103">
      <c r="A103" s="1"/>
      <c r="B103" s="1"/>
      <c r="C103" s="1"/>
    </row>
    <row r="104">
      <c r="A104" s="1"/>
      <c r="B104" s="1"/>
      <c r="C104" s="1"/>
    </row>
    <row r="105">
      <c r="A105" s="1"/>
      <c r="B105" s="1"/>
      <c r="C105" s="1"/>
    </row>
    <row r="106">
      <c r="A106" s="1"/>
      <c r="B106" s="1"/>
      <c r="C106" s="1"/>
    </row>
    <row r="107">
      <c r="A107" s="1"/>
      <c r="B107" s="1"/>
      <c r="C107" s="1"/>
    </row>
    <row r="108">
      <c r="A108" s="1"/>
      <c r="B108" s="1"/>
      <c r="C108" s="1"/>
    </row>
    <row r="109">
      <c r="A109" s="1"/>
      <c r="B109" s="1"/>
      <c r="C109" s="1"/>
    </row>
    <row r="110">
      <c r="A110" s="1"/>
      <c r="B110" s="1"/>
      <c r="C110" s="1"/>
    </row>
    <row r="111">
      <c r="A111" s="1"/>
      <c r="B111" s="1"/>
      <c r="C111" s="1"/>
    </row>
    <row r="112">
      <c r="A112" s="1"/>
      <c r="B112" s="1"/>
      <c r="C112" s="1"/>
    </row>
    <row r="113">
      <c r="A113" s="1"/>
      <c r="B113" s="1"/>
      <c r="C113" s="1"/>
    </row>
    <row r="114">
      <c r="A114" s="1"/>
      <c r="B114" s="1"/>
      <c r="C114" s="1"/>
    </row>
    <row r="115">
      <c r="A115" s="1"/>
      <c r="B115" s="1"/>
      <c r="C115" s="1"/>
    </row>
    <row r="116">
      <c r="A116" s="1"/>
      <c r="B116" s="1"/>
      <c r="C116" s="1"/>
    </row>
    <row r="117">
      <c r="A117" s="1"/>
      <c r="B117" s="1"/>
      <c r="C117" s="1"/>
    </row>
    <row r="118">
      <c r="A118" s="1"/>
      <c r="B118" s="1"/>
      <c r="C118" s="1"/>
    </row>
    <row r="119">
      <c r="A119" s="1"/>
      <c r="B119" s="1"/>
      <c r="C119" s="1"/>
    </row>
    <row r="120">
      <c r="A120" s="1"/>
      <c r="B120" s="1"/>
      <c r="C120" s="1"/>
    </row>
    <row r="121">
      <c r="A121" s="1"/>
      <c r="B121" s="1"/>
      <c r="C121" s="1"/>
    </row>
    <row r="122">
      <c r="A122" s="1"/>
      <c r="B122" s="1"/>
      <c r="C122" s="1"/>
    </row>
    <row r="123">
      <c r="A123" s="1"/>
      <c r="B123" s="1"/>
      <c r="C123" s="1"/>
    </row>
    <row r="124">
      <c r="A124" s="1"/>
      <c r="B124" s="1"/>
      <c r="C124" s="1"/>
    </row>
    <row r="125">
      <c r="A125" s="1"/>
      <c r="B125" s="1"/>
      <c r="C125" s="1"/>
    </row>
    <row r="126">
      <c r="A126" s="1"/>
      <c r="B126" s="1"/>
      <c r="C126" s="1"/>
    </row>
    <row r="127">
      <c r="A127" s="1"/>
      <c r="B127" s="1"/>
      <c r="C127" s="1"/>
    </row>
    <row r="128">
      <c r="A128" s="1"/>
      <c r="B128" s="1"/>
      <c r="C128" s="1"/>
    </row>
    <row r="129">
      <c r="A129" s="1"/>
      <c r="B129" s="1"/>
      <c r="C129" s="1"/>
    </row>
    <row r="130">
      <c r="A130" s="1"/>
      <c r="B130" s="1"/>
      <c r="C130" s="1"/>
    </row>
    <row r="131">
      <c r="A131" s="1"/>
      <c r="B131" s="1"/>
      <c r="C131" s="1"/>
    </row>
    <row r="132">
      <c r="A132" s="1"/>
      <c r="B132" s="1"/>
      <c r="C132" s="1"/>
    </row>
    <row r="133">
      <c r="A133" s="1"/>
      <c r="B133" s="1"/>
      <c r="C133" s="1"/>
    </row>
    <row r="134">
      <c r="A134" s="1"/>
      <c r="B134" s="1"/>
      <c r="C134" s="1"/>
    </row>
    <row r="135">
      <c r="A135" s="1"/>
      <c r="B135" s="1"/>
      <c r="C135" s="1"/>
    </row>
    <row r="136">
      <c r="A136" s="1"/>
      <c r="B136" s="1"/>
      <c r="C136" s="1"/>
    </row>
    <row r="137">
      <c r="A137" s="1"/>
      <c r="B137" s="1"/>
      <c r="C137" s="1"/>
    </row>
    <row r="138">
      <c r="A138" s="1"/>
      <c r="B138" s="1"/>
      <c r="C138" s="1"/>
    </row>
    <row r="139">
      <c r="A139" s="1"/>
      <c r="B139" s="1"/>
      <c r="C139" s="1"/>
    </row>
    <row r="140">
      <c r="A140" s="1"/>
      <c r="B140" s="1"/>
      <c r="C140" s="1"/>
    </row>
    <row r="141">
      <c r="A141" s="1"/>
      <c r="B141" s="1"/>
      <c r="C141" s="1"/>
    </row>
    <row r="142">
      <c r="A142" s="1"/>
      <c r="B142" s="1"/>
      <c r="C142" s="1"/>
    </row>
    <row r="143">
      <c r="A143" s="1"/>
      <c r="B143" s="1"/>
      <c r="C143" s="1"/>
    </row>
    <row r="144">
      <c r="A144" s="1"/>
      <c r="B144" s="1"/>
      <c r="C144" s="1"/>
    </row>
    <row r="145">
      <c r="A145" s="1"/>
      <c r="B145" s="1"/>
      <c r="C145" s="1"/>
    </row>
    <row r="146">
      <c r="A146" s="1"/>
      <c r="B146" s="1"/>
      <c r="C146" s="1"/>
    </row>
    <row r="147">
      <c r="A147" s="1"/>
      <c r="B147" s="1"/>
      <c r="C147" s="1"/>
    </row>
    <row r="148">
      <c r="A148" s="1"/>
      <c r="B148" s="1"/>
      <c r="C148" s="1"/>
    </row>
    <row r="149">
      <c r="A149" s="1"/>
      <c r="B149" s="1"/>
      <c r="C149" s="1"/>
    </row>
    <row r="150">
      <c r="A150" s="1"/>
      <c r="B150" s="1"/>
      <c r="C150" s="1"/>
    </row>
    <row r="151">
      <c r="A151" s="1"/>
      <c r="B151" s="1"/>
      <c r="C151" s="1"/>
    </row>
    <row r="152">
      <c r="A152" s="1"/>
      <c r="B152" s="1"/>
      <c r="C152" s="1"/>
    </row>
    <row r="153">
      <c r="A153" s="1"/>
      <c r="B153" s="1"/>
      <c r="C153" s="1"/>
    </row>
    <row r="154">
      <c r="A154" s="1"/>
      <c r="B154" s="1"/>
      <c r="C154" s="1"/>
    </row>
    <row r="155">
      <c r="A155" s="1"/>
      <c r="B155" s="1"/>
      <c r="C155" s="1"/>
    </row>
    <row r="156">
      <c r="A156" s="1"/>
      <c r="B156" s="1"/>
      <c r="C156" s="1"/>
    </row>
    <row r="157">
      <c r="A157" s="1"/>
      <c r="B157" s="1"/>
      <c r="C157" s="1"/>
    </row>
    <row r="158">
      <c r="A158" s="1"/>
      <c r="B158" s="1"/>
      <c r="C158" s="1"/>
    </row>
    <row r="159">
      <c r="A159" s="1"/>
      <c r="B159" s="1"/>
      <c r="C159" s="1"/>
    </row>
    <row r="160">
      <c r="A160" s="1"/>
      <c r="B160" s="1"/>
      <c r="C160" s="1"/>
    </row>
    <row r="161">
      <c r="A161" s="1"/>
      <c r="B161" s="1"/>
      <c r="C161" s="1"/>
    </row>
    <row r="162">
      <c r="A162" s="1"/>
      <c r="B162" s="1"/>
      <c r="C162" s="1"/>
    </row>
    <row r="163">
      <c r="A163" s="1"/>
      <c r="B163" s="1"/>
      <c r="C163" s="1"/>
    </row>
    <row r="164">
      <c r="A164" s="1"/>
      <c r="B164" s="1"/>
      <c r="C164" s="1"/>
    </row>
    <row r="165">
      <c r="A165" s="1"/>
      <c r="B165" s="1"/>
      <c r="C165" s="1"/>
    </row>
    <row r="166">
      <c r="A166" s="1"/>
      <c r="B166" s="1"/>
      <c r="C166" s="1"/>
    </row>
    <row r="167">
      <c r="A167" s="1"/>
      <c r="B167" s="1"/>
      <c r="C167" s="1"/>
    </row>
    <row r="168">
      <c r="A168" s="1"/>
      <c r="B168" s="1"/>
      <c r="C168" s="1"/>
    </row>
    <row r="169">
      <c r="A169" s="1"/>
      <c r="B169" s="1"/>
      <c r="C169" s="1"/>
    </row>
    <row r="170">
      <c r="A170" s="1"/>
      <c r="B170" s="1"/>
      <c r="C170" s="1"/>
    </row>
    <row r="171">
      <c r="A171" s="1"/>
      <c r="B171" s="1"/>
      <c r="C171" s="1"/>
    </row>
    <row r="172">
      <c r="A172" s="1"/>
      <c r="B172" s="1"/>
      <c r="C172" s="1"/>
    </row>
    <row r="173">
      <c r="A173" s="1"/>
      <c r="B173" s="1"/>
      <c r="C173" s="1"/>
    </row>
    <row r="174">
      <c r="A174" s="1"/>
      <c r="B174" s="1"/>
      <c r="C174" s="1"/>
    </row>
    <row r="175">
      <c r="A175" s="1"/>
      <c r="B175" s="1"/>
      <c r="C175" s="1"/>
    </row>
    <row r="176">
      <c r="A176" s="1"/>
      <c r="B176" s="1"/>
      <c r="C176" s="1"/>
    </row>
    <row r="177">
      <c r="A177" s="1"/>
      <c r="B177" s="1"/>
      <c r="C177" s="1"/>
    </row>
    <row r="178">
      <c r="A178" s="1"/>
      <c r="B178" s="1"/>
      <c r="C178" s="1"/>
    </row>
    <row r="179">
      <c r="A179" s="1"/>
      <c r="B179" s="1"/>
      <c r="C179" s="1"/>
    </row>
    <row r="180">
      <c r="A180" s="1"/>
      <c r="B180" s="1"/>
      <c r="C180" s="1"/>
    </row>
    <row r="181">
      <c r="A181" s="1"/>
      <c r="B181" s="1"/>
      <c r="C181" s="1"/>
    </row>
    <row r="182">
      <c r="A182" s="1"/>
      <c r="B182" s="1"/>
      <c r="C182" s="1"/>
    </row>
    <row r="183">
      <c r="A183" s="1"/>
      <c r="B183" s="1"/>
      <c r="C183" s="1"/>
    </row>
    <row r="184">
      <c r="A184" s="1"/>
      <c r="B184" s="1"/>
      <c r="C184" s="1"/>
    </row>
    <row r="185">
      <c r="A185" s="1"/>
      <c r="B185" s="1"/>
      <c r="C185" s="1"/>
    </row>
    <row r="186">
      <c r="A186" s="1"/>
      <c r="B186" s="1"/>
      <c r="C186" s="1"/>
    </row>
    <row r="187">
      <c r="A187" s="1"/>
      <c r="B187" s="1"/>
      <c r="C187" s="1"/>
    </row>
    <row r="188">
      <c r="A188" s="1"/>
      <c r="B188" s="1"/>
      <c r="C188" s="1"/>
    </row>
    <row r="189">
      <c r="A189" s="1"/>
      <c r="B189" s="1"/>
      <c r="C189" s="1"/>
    </row>
    <row r="190">
      <c r="A190" s="1"/>
      <c r="B190" s="1"/>
      <c r="C190" s="1"/>
    </row>
    <row r="191">
      <c r="A191" s="1"/>
      <c r="B191" s="1"/>
      <c r="C191" s="1"/>
    </row>
    <row r="192">
      <c r="A192" s="1"/>
      <c r="B192" s="1"/>
      <c r="C192" s="1"/>
    </row>
    <row r="193">
      <c r="A193" s="1"/>
      <c r="B193" s="1"/>
      <c r="C193" s="1"/>
    </row>
    <row r="194">
      <c r="A194" s="1"/>
      <c r="B194" s="1"/>
      <c r="C194" s="1"/>
    </row>
    <row r="195">
      <c r="A195" s="1"/>
      <c r="B195" s="1"/>
      <c r="C195" s="1"/>
    </row>
    <row r="196">
      <c r="A196" s="1"/>
      <c r="B196" s="1"/>
      <c r="C196" s="1"/>
    </row>
    <row r="197">
      <c r="A197" s="1"/>
      <c r="B197" s="1"/>
      <c r="C197" s="1"/>
    </row>
    <row r="198">
      <c r="A198" s="1"/>
      <c r="B198" s="1"/>
      <c r="C198" s="1"/>
    </row>
    <row r="199">
      <c r="A199" s="1"/>
      <c r="B199" s="1"/>
      <c r="C199" s="1"/>
    </row>
    <row r="200">
      <c r="A200" s="1"/>
      <c r="B200" s="1"/>
      <c r="C200" s="1"/>
    </row>
    <row r="201">
      <c r="A201" s="1"/>
      <c r="B201" s="1"/>
      <c r="C201" s="1"/>
    </row>
    <row r="202">
      <c r="A202" s="1"/>
      <c r="B202" s="1"/>
      <c r="C202" s="1"/>
    </row>
    <row r="203">
      <c r="A203" s="1"/>
      <c r="B203" s="1"/>
      <c r="C203" s="1"/>
    </row>
    <row r="204">
      <c r="A204" s="1"/>
      <c r="B204" s="1"/>
      <c r="C204" s="1"/>
    </row>
    <row r="205">
      <c r="A205" s="1"/>
      <c r="B205" s="1"/>
      <c r="C205" s="1"/>
    </row>
    <row r="206">
      <c r="A206" s="1"/>
      <c r="B206" s="1"/>
      <c r="C206" s="1"/>
    </row>
    <row r="207">
      <c r="A207" s="1"/>
      <c r="B207" s="1"/>
      <c r="C207" s="1"/>
    </row>
    <row r="208">
      <c r="A208" s="1"/>
      <c r="B208" s="1"/>
      <c r="C208" s="1"/>
    </row>
    <row r="209">
      <c r="A209" s="1"/>
      <c r="B209" s="1"/>
      <c r="C209" s="1"/>
    </row>
    <row r="210">
      <c r="A210" s="1"/>
      <c r="B210" s="1"/>
      <c r="C210" s="1"/>
    </row>
    <row r="211">
      <c r="A211" s="1"/>
      <c r="B211" s="1"/>
      <c r="C211" s="1"/>
    </row>
    <row r="212">
      <c r="A212" s="1"/>
      <c r="B212" s="1"/>
      <c r="C212" s="1"/>
    </row>
    <row r="213">
      <c r="A213" s="1"/>
      <c r="B213" s="1"/>
      <c r="C213" s="1"/>
    </row>
    <row r="214">
      <c r="A214" s="1"/>
      <c r="B214" s="1"/>
      <c r="C214" s="1"/>
    </row>
    <row r="215">
      <c r="A215" s="1"/>
      <c r="B215" s="1"/>
      <c r="C215" s="1"/>
    </row>
    <row r="216">
      <c r="A216" s="1"/>
      <c r="B216" s="1"/>
      <c r="C216" s="1"/>
    </row>
    <row r="217">
      <c r="A217" s="1"/>
      <c r="B217" s="1"/>
      <c r="C217" s="1"/>
    </row>
    <row r="218">
      <c r="A218" s="1"/>
      <c r="B218" s="1"/>
      <c r="C218" s="1"/>
    </row>
    <row r="219">
      <c r="A219" s="1"/>
      <c r="B219" s="1"/>
      <c r="C219" s="1"/>
    </row>
    <row r="220">
      <c r="A220" s="1"/>
      <c r="B220" s="1"/>
      <c r="C220" s="1"/>
    </row>
    <row r="221">
      <c r="A221" s="1"/>
      <c r="B221" s="1"/>
      <c r="C221" s="1"/>
    </row>
    <row r="222">
      <c r="A222" s="1"/>
      <c r="B222" s="1"/>
      <c r="C222" s="1"/>
    </row>
    <row r="223">
      <c r="A223" s="1"/>
      <c r="B223" s="1"/>
      <c r="C223" s="1"/>
    </row>
    <row r="224">
      <c r="A224" s="1"/>
      <c r="B224" s="1"/>
      <c r="C224" s="1"/>
    </row>
    <row r="225">
      <c r="A225" s="1"/>
      <c r="B225" s="1"/>
      <c r="C225" s="1"/>
    </row>
    <row r="226">
      <c r="A226" s="1"/>
      <c r="B226" s="1"/>
      <c r="C226" s="1"/>
    </row>
    <row r="227">
      <c r="A227" s="1"/>
      <c r="B227" s="1"/>
      <c r="C227" s="1"/>
    </row>
    <row r="228">
      <c r="A228" s="1"/>
      <c r="B228" s="1"/>
      <c r="C228" s="1"/>
    </row>
    <row r="229">
      <c r="A229" s="1"/>
      <c r="B229" s="1"/>
      <c r="C229" s="1"/>
    </row>
    <row r="230">
      <c r="A230" s="1"/>
      <c r="B230" s="1"/>
      <c r="C230" s="1"/>
    </row>
    <row r="231">
      <c r="A231" s="1"/>
      <c r="B231" s="1"/>
      <c r="C231" s="1"/>
    </row>
    <row r="232">
      <c r="A232" s="1"/>
      <c r="B232" s="1"/>
      <c r="C232" s="1"/>
    </row>
    <row r="233">
      <c r="A233" s="1"/>
      <c r="B233" s="1"/>
      <c r="C233" s="1"/>
    </row>
    <row r="234">
      <c r="A234" s="1"/>
      <c r="B234" s="1"/>
      <c r="C234" s="1"/>
    </row>
    <row r="235">
      <c r="A235" s="1"/>
      <c r="B235" s="1"/>
      <c r="C235" s="1"/>
    </row>
    <row r="236">
      <c r="A236" s="1"/>
      <c r="B236" s="1"/>
      <c r="C236" s="1"/>
    </row>
    <row r="237">
      <c r="A237" s="1"/>
      <c r="B237" s="1"/>
      <c r="C237" s="1"/>
    </row>
    <row r="238">
      <c r="A238" s="1"/>
      <c r="B238" s="1"/>
      <c r="C238" s="1"/>
    </row>
    <row r="239">
      <c r="A239" s="1"/>
      <c r="B239" s="1"/>
      <c r="C239" s="1"/>
    </row>
    <row r="240">
      <c r="A240" s="1"/>
      <c r="B240" s="1"/>
      <c r="C240" s="1"/>
    </row>
    <row r="241">
      <c r="A241" s="1"/>
      <c r="B241" s="1"/>
      <c r="C241" s="1"/>
    </row>
    <row r="242">
      <c r="A242" s="1"/>
      <c r="B242" s="1"/>
      <c r="C242" s="1"/>
    </row>
    <row r="243">
      <c r="A243" s="1"/>
      <c r="B243" s="1"/>
      <c r="C243" s="1"/>
    </row>
    <row r="244">
      <c r="A244" s="1"/>
      <c r="B244" s="1"/>
      <c r="C244" s="1"/>
    </row>
    <row r="245">
      <c r="A245" s="1"/>
      <c r="B245" s="1"/>
      <c r="C245" s="1"/>
    </row>
    <row r="246">
      <c r="A246" s="1"/>
      <c r="B246" s="1"/>
      <c r="C246" s="1"/>
    </row>
    <row r="247">
      <c r="A247" s="1"/>
      <c r="B247" s="1"/>
      <c r="C247" s="1"/>
    </row>
    <row r="248">
      <c r="A248" s="1"/>
      <c r="B248" s="1"/>
      <c r="C248" s="1"/>
    </row>
    <row r="249">
      <c r="A249" s="1"/>
      <c r="B249" s="1"/>
      <c r="C249" s="1"/>
    </row>
    <row r="250">
      <c r="A250" s="1"/>
      <c r="B250" s="1"/>
      <c r="C250" s="1"/>
    </row>
    <row r="251">
      <c r="A251" s="1"/>
      <c r="B251" s="1"/>
      <c r="C251" s="1"/>
    </row>
    <row r="252">
      <c r="A252" s="1"/>
      <c r="B252" s="1"/>
      <c r="C252" s="1"/>
    </row>
    <row r="253">
      <c r="A253" s="1"/>
      <c r="B253" s="1"/>
      <c r="C253" s="1"/>
    </row>
    <row r="254">
      <c r="A254" s="1"/>
      <c r="B254" s="1"/>
      <c r="C254" s="1"/>
    </row>
    <row r="255">
      <c r="A255" s="1"/>
      <c r="B255" s="1"/>
      <c r="C255" s="1"/>
    </row>
    <row r="256">
      <c r="A256" s="1"/>
      <c r="B256" s="1"/>
      <c r="C256" s="1"/>
    </row>
    <row r="257">
      <c r="A257" s="1"/>
      <c r="B257" s="1"/>
      <c r="C257" s="1"/>
    </row>
    <row r="258">
      <c r="A258" s="1"/>
      <c r="B258" s="1"/>
      <c r="C258" s="1"/>
    </row>
    <row r="259">
      <c r="A259" s="1"/>
      <c r="B259" s="1"/>
      <c r="C259" s="1"/>
    </row>
    <row r="260">
      <c r="A260" s="1"/>
      <c r="B260" s="1"/>
      <c r="C260" s="1"/>
    </row>
    <row r="261">
      <c r="A261" s="1"/>
      <c r="B261" s="1"/>
      <c r="C261" s="1"/>
    </row>
    <row r="262">
      <c r="A262" s="1"/>
      <c r="B262" s="1"/>
      <c r="C262" s="1"/>
    </row>
    <row r="263">
      <c r="A263" s="1"/>
      <c r="B263" s="1"/>
      <c r="C263" s="1"/>
    </row>
    <row r="264">
      <c r="A264" s="1"/>
      <c r="B264" s="1"/>
      <c r="C264" s="1"/>
    </row>
    <row r="265">
      <c r="A265" s="1"/>
      <c r="B265" s="1"/>
      <c r="C265" s="1"/>
    </row>
    <row r="266">
      <c r="A266" s="1"/>
      <c r="B266" s="1"/>
      <c r="C266" s="1"/>
    </row>
    <row r="267">
      <c r="A267" s="1"/>
      <c r="B267" s="1"/>
      <c r="C267" s="1"/>
    </row>
    <row r="268">
      <c r="A268" s="1"/>
      <c r="B268" s="1"/>
      <c r="C268" s="1"/>
    </row>
    <row r="269">
      <c r="A269" s="1"/>
      <c r="B269" s="1"/>
      <c r="C269" s="1"/>
    </row>
    <row r="270">
      <c r="A270" s="1"/>
      <c r="B270" s="1"/>
      <c r="C270" s="1"/>
    </row>
    <row r="271">
      <c r="A271" s="1"/>
      <c r="B271" s="1"/>
      <c r="C271" s="1"/>
    </row>
    <row r="272">
      <c r="A272" s="1"/>
      <c r="B272" s="1"/>
      <c r="C272" s="1"/>
    </row>
    <row r="273">
      <c r="A273" s="1"/>
      <c r="B273" s="1"/>
      <c r="C273" s="1"/>
    </row>
    <row r="274">
      <c r="A274" s="1"/>
      <c r="B274" s="1"/>
      <c r="C274" s="1"/>
    </row>
    <row r="275">
      <c r="A275" s="1"/>
      <c r="B275" s="1"/>
      <c r="C275" s="1"/>
    </row>
    <row r="276">
      <c r="A276" s="1"/>
      <c r="B276" s="1"/>
      <c r="C276" s="1"/>
    </row>
    <row r="277">
      <c r="A277" s="1"/>
      <c r="B277" s="1"/>
      <c r="C277" s="1"/>
    </row>
    <row r="278">
      <c r="A278" s="1"/>
      <c r="B278" s="1"/>
      <c r="C278" s="1"/>
    </row>
    <row r="279">
      <c r="A279" s="1"/>
      <c r="B279" s="1"/>
      <c r="C279" s="1"/>
    </row>
    <row r="280">
      <c r="A280" s="1"/>
      <c r="B280" s="1"/>
      <c r="C280" s="1"/>
    </row>
    <row r="281">
      <c r="A281" s="1"/>
      <c r="B281" s="1"/>
      <c r="C281" s="1"/>
    </row>
    <row r="282">
      <c r="A282" s="1"/>
      <c r="B282" s="1"/>
      <c r="C282" s="1"/>
    </row>
    <row r="283">
      <c r="A283" s="1"/>
      <c r="B283" s="1"/>
      <c r="C283" s="1"/>
    </row>
    <row r="284">
      <c r="A284" s="1"/>
      <c r="B284" s="1"/>
      <c r="C284" s="1"/>
    </row>
    <row r="285">
      <c r="A285" s="1"/>
      <c r="B285" s="1"/>
      <c r="C285" s="1"/>
    </row>
    <row r="286">
      <c r="A286" s="1"/>
      <c r="B286" s="1"/>
      <c r="C286" s="1"/>
    </row>
    <row r="287">
      <c r="A287" s="1"/>
      <c r="B287" s="1"/>
      <c r="C287" s="1"/>
    </row>
    <row r="288">
      <c r="A288" s="1"/>
      <c r="B288" s="1"/>
      <c r="C288" s="1"/>
    </row>
    <row r="289">
      <c r="A289" s="1"/>
      <c r="B289" s="1"/>
      <c r="C289" s="1"/>
    </row>
    <row r="290">
      <c r="A290" s="1"/>
      <c r="B290" s="1"/>
      <c r="C290" s="1"/>
    </row>
    <row r="291">
      <c r="A291" s="1"/>
      <c r="B291" s="1"/>
      <c r="C291" s="1"/>
    </row>
    <row r="292">
      <c r="A292" s="1"/>
      <c r="B292" s="1"/>
      <c r="C292" s="1"/>
    </row>
    <row r="293">
      <c r="A293" s="1"/>
      <c r="B293" s="1"/>
      <c r="C293" s="1"/>
    </row>
    <row r="294">
      <c r="A294" s="1"/>
      <c r="B294" s="1"/>
      <c r="C294" s="1"/>
    </row>
    <row r="295">
      <c r="A295" s="1"/>
      <c r="B295" s="1"/>
      <c r="C295" s="1"/>
    </row>
    <row r="296">
      <c r="A296" s="1"/>
      <c r="B296" s="1"/>
      <c r="C296" s="1"/>
    </row>
    <row r="297">
      <c r="A297" s="1"/>
      <c r="B297" s="1"/>
      <c r="C297" s="1"/>
    </row>
    <row r="298">
      <c r="A298" s="1"/>
      <c r="B298" s="1"/>
      <c r="C298" s="1"/>
    </row>
    <row r="299">
      <c r="A299" s="1"/>
      <c r="B299" s="1"/>
      <c r="C299" s="1"/>
    </row>
    <row r="300">
      <c r="A300" s="1"/>
      <c r="B300" s="1"/>
      <c r="C300" s="1"/>
    </row>
    <row r="301">
      <c r="A301" s="1"/>
      <c r="B301" s="1"/>
      <c r="C301" s="1"/>
    </row>
    <row r="302">
      <c r="A302" s="1"/>
      <c r="B302" s="1"/>
      <c r="C302" s="1"/>
    </row>
    <row r="303">
      <c r="A303" s="1"/>
      <c r="B303" s="1"/>
      <c r="C303" s="1"/>
    </row>
    <row r="304">
      <c r="A304" s="1"/>
      <c r="B304" s="1"/>
      <c r="C304" s="1"/>
    </row>
    <row r="305">
      <c r="A305" s="1"/>
      <c r="B305" s="1"/>
      <c r="C305" s="1"/>
    </row>
    <row r="306">
      <c r="A306" s="1"/>
      <c r="B306" s="1"/>
      <c r="C306" s="1"/>
    </row>
    <row r="307">
      <c r="A307" s="1"/>
      <c r="B307" s="1"/>
      <c r="C307" s="1"/>
    </row>
    <row r="308">
      <c r="A308" s="1"/>
      <c r="B308" s="1"/>
      <c r="C308" s="1"/>
    </row>
    <row r="309">
      <c r="A309" s="1"/>
      <c r="B309" s="1"/>
      <c r="C309" s="1"/>
    </row>
    <row r="310">
      <c r="A310" s="1"/>
      <c r="B310" s="1"/>
      <c r="C310" s="1"/>
    </row>
    <row r="311">
      <c r="A311" s="1"/>
      <c r="B311" s="1"/>
      <c r="C311" s="1"/>
    </row>
    <row r="312">
      <c r="A312" s="1"/>
      <c r="B312" s="1"/>
      <c r="C312" s="1"/>
    </row>
    <row r="313">
      <c r="A313" s="1"/>
      <c r="B313" s="1"/>
      <c r="C313" s="1"/>
    </row>
    <row r="314">
      <c r="A314" s="1"/>
      <c r="B314" s="1"/>
      <c r="C314" s="1"/>
    </row>
    <row r="315">
      <c r="A315" s="1"/>
      <c r="B315" s="1"/>
      <c r="C315" s="1"/>
    </row>
    <row r="316">
      <c r="A316" s="1"/>
      <c r="B316" s="1"/>
      <c r="C316" s="1"/>
    </row>
    <row r="317">
      <c r="A317" s="1"/>
      <c r="B317" s="1"/>
      <c r="C317" s="1"/>
    </row>
    <row r="318">
      <c r="A318" s="1"/>
      <c r="B318" s="1"/>
      <c r="C318" s="1"/>
    </row>
    <row r="319">
      <c r="A319" s="1"/>
      <c r="B319" s="1"/>
      <c r="C319" s="1"/>
    </row>
    <row r="320">
      <c r="A320" s="1"/>
      <c r="B320" s="1"/>
      <c r="C320" s="1"/>
    </row>
    <row r="321">
      <c r="A321" s="1"/>
      <c r="B321" s="1"/>
      <c r="C321" s="1"/>
    </row>
    <row r="322">
      <c r="A322" s="1"/>
      <c r="B322" s="1"/>
      <c r="C322" s="1"/>
    </row>
    <row r="323">
      <c r="A323" s="1"/>
      <c r="B323" s="1"/>
      <c r="C323" s="1"/>
    </row>
    <row r="324">
      <c r="A324" s="1"/>
      <c r="B324" s="1"/>
      <c r="C324" s="1"/>
    </row>
    <row r="325">
      <c r="A325" s="1"/>
      <c r="B325" s="1"/>
      <c r="C325" s="1"/>
    </row>
    <row r="326">
      <c r="A326" s="1"/>
      <c r="B326" s="1"/>
      <c r="C326" s="1"/>
    </row>
    <row r="327">
      <c r="A327" s="1"/>
      <c r="B327" s="1"/>
      <c r="C327" s="1"/>
    </row>
    <row r="328">
      <c r="A328" s="1"/>
      <c r="B328" s="1"/>
      <c r="C328" s="1"/>
    </row>
    <row r="329">
      <c r="A329" s="1"/>
      <c r="B329" s="1"/>
      <c r="C329" s="1"/>
    </row>
    <row r="330">
      <c r="A330" s="1"/>
      <c r="B330" s="1"/>
      <c r="C330" s="1"/>
    </row>
    <row r="331">
      <c r="A331" s="1"/>
      <c r="B331" s="1"/>
      <c r="C331" s="1"/>
    </row>
    <row r="332">
      <c r="A332" s="1"/>
      <c r="B332" s="1"/>
      <c r="C332" s="1"/>
    </row>
    <row r="333">
      <c r="A333" s="1"/>
      <c r="B333" s="1"/>
      <c r="C333" s="1"/>
    </row>
    <row r="334">
      <c r="A334" s="1"/>
      <c r="B334" s="1"/>
      <c r="C334" s="1"/>
    </row>
    <row r="335">
      <c r="A335" s="1"/>
      <c r="B335" s="1"/>
      <c r="C335" s="1"/>
    </row>
    <row r="336">
      <c r="A336" s="1"/>
      <c r="B336" s="1"/>
      <c r="C336" s="1"/>
    </row>
    <row r="337">
      <c r="A337" s="1"/>
      <c r="B337" s="1"/>
      <c r="C337" s="1"/>
    </row>
    <row r="338">
      <c r="A338" s="1"/>
      <c r="B338" s="1"/>
      <c r="C338" s="1"/>
    </row>
    <row r="339">
      <c r="A339" s="1"/>
      <c r="B339" s="1"/>
      <c r="C339" s="1"/>
    </row>
    <row r="340">
      <c r="A340" s="1"/>
      <c r="B340" s="1"/>
      <c r="C340" s="1"/>
    </row>
    <row r="341">
      <c r="A341" s="1"/>
      <c r="B341" s="1"/>
      <c r="C341" s="1"/>
    </row>
    <row r="342">
      <c r="A342" s="1"/>
      <c r="B342" s="1"/>
      <c r="C342" s="1"/>
    </row>
    <row r="343">
      <c r="A343" s="1"/>
      <c r="B343" s="1"/>
      <c r="C343" s="1"/>
    </row>
    <row r="344">
      <c r="A344" s="1"/>
      <c r="B344" s="1"/>
      <c r="C344" s="1"/>
    </row>
    <row r="345">
      <c r="A345" s="1"/>
      <c r="B345" s="1"/>
      <c r="C345" s="1"/>
    </row>
    <row r="346">
      <c r="A346" s="1"/>
      <c r="B346" s="1"/>
      <c r="C346" s="1"/>
    </row>
    <row r="347">
      <c r="A347" s="1"/>
      <c r="B347" s="1"/>
      <c r="C347" s="1"/>
    </row>
    <row r="348">
      <c r="A348" s="1"/>
      <c r="B348" s="1"/>
      <c r="C348" s="1"/>
    </row>
    <row r="349">
      <c r="A349" s="1"/>
      <c r="B349" s="1"/>
      <c r="C349" s="1"/>
    </row>
    <row r="350">
      <c r="A350" s="1"/>
      <c r="B350" s="1"/>
      <c r="C350" s="1"/>
    </row>
    <row r="351">
      <c r="A351" s="1"/>
      <c r="B351" s="1"/>
      <c r="C351" s="1"/>
    </row>
    <row r="352">
      <c r="A352" s="1"/>
      <c r="B352" s="1"/>
      <c r="C352" s="1"/>
    </row>
    <row r="353">
      <c r="A353" s="1"/>
      <c r="B353" s="1"/>
      <c r="C353" s="1"/>
    </row>
    <row r="354">
      <c r="A354" s="1"/>
      <c r="B354" s="1"/>
      <c r="C354" s="1"/>
    </row>
    <row r="355">
      <c r="A355" s="1"/>
      <c r="B355" s="1"/>
      <c r="C355" s="1"/>
    </row>
    <row r="356">
      <c r="A356" s="1"/>
      <c r="B356" s="1"/>
      <c r="C356" s="1"/>
    </row>
    <row r="357">
      <c r="A357" s="1"/>
      <c r="B357" s="1"/>
      <c r="C357" s="1"/>
    </row>
    <row r="358">
      <c r="A358" s="1"/>
      <c r="B358" s="1"/>
      <c r="C358" s="1"/>
    </row>
    <row r="359">
      <c r="A359" s="1"/>
      <c r="B359" s="1"/>
      <c r="C359" s="1"/>
    </row>
    <row r="360">
      <c r="A360" s="1"/>
      <c r="B360" s="1"/>
      <c r="C360" s="1"/>
    </row>
    <row r="361">
      <c r="A361" s="1"/>
      <c r="B361" s="1"/>
      <c r="C361" s="1"/>
    </row>
    <row r="362">
      <c r="A362" s="1"/>
      <c r="B362" s="1"/>
      <c r="C362" s="1"/>
    </row>
    <row r="363">
      <c r="A363" s="1"/>
      <c r="B363" s="1"/>
      <c r="C363" s="1"/>
    </row>
    <row r="364">
      <c r="A364" s="1"/>
      <c r="B364" s="1"/>
      <c r="C364" s="1"/>
    </row>
    <row r="365">
      <c r="A365" s="1"/>
      <c r="B365" s="1"/>
      <c r="C365" s="1"/>
    </row>
    <row r="366">
      <c r="A366" s="1"/>
      <c r="B366" s="1"/>
      <c r="C366" s="1"/>
    </row>
    <row r="367">
      <c r="A367" s="1"/>
      <c r="B367" s="1"/>
      <c r="C367" s="1"/>
    </row>
    <row r="368">
      <c r="A368" s="1"/>
      <c r="B368" s="1"/>
      <c r="C368" s="1"/>
    </row>
    <row r="369">
      <c r="A369" s="1"/>
      <c r="B369" s="1"/>
      <c r="C369" s="1"/>
    </row>
    <row r="370">
      <c r="A370" s="1"/>
      <c r="B370" s="1"/>
      <c r="C370" s="1"/>
    </row>
    <row r="371">
      <c r="A371" s="1"/>
      <c r="B371" s="1"/>
      <c r="C371" s="1"/>
    </row>
    <row r="372">
      <c r="A372" s="1"/>
      <c r="B372" s="1"/>
      <c r="C372" s="1"/>
    </row>
    <row r="373">
      <c r="A373" s="1"/>
      <c r="B373" s="1"/>
      <c r="C373" s="1"/>
    </row>
    <row r="374">
      <c r="A374" s="1"/>
      <c r="B374" s="1"/>
      <c r="C374" s="1"/>
    </row>
    <row r="375">
      <c r="A375" s="1"/>
      <c r="B375" s="1"/>
      <c r="C375" s="1"/>
    </row>
    <row r="376">
      <c r="A376" s="1"/>
      <c r="B376" s="1"/>
      <c r="C376" s="1"/>
    </row>
    <row r="377">
      <c r="A377" s="1"/>
      <c r="B377" s="1"/>
      <c r="C377" s="1"/>
    </row>
    <row r="378">
      <c r="A378" s="1"/>
      <c r="B378" s="1"/>
      <c r="C378" s="1"/>
    </row>
    <row r="379">
      <c r="A379" s="1"/>
      <c r="B379" s="1"/>
      <c r="C379" s="1"/>
    </row>
    <row r="380">
      <c r="A380" s="1"/>
      <c r="B380" s="1"/>
      <c r="C380" s="1"/>
    </row>
    <row r="381">
      <c r="A381" s="1"/>
      <c r="B381" s="1"/>
      <c r="C381" s="1"/>
    </row>
    <row r="382">
      <c r="A382" s="1"/>
      <c r="B382" s="1"/>
      <c r="C382" s="1"/>
    </row>
    <row r="383">
      <c r="A383" s="1"/>
      <c r="B383" s="1"/>
      <c r="C383" s="1"/>
    </row>
    <row r="384">
      <c r="A384" s="1"/>
      <c r="B384" s="1"/>
      <c r="C384" s="1"/>
    </row>
    <row r="385">
      <c r="A385" s="1"/>
      <c r="B385" s="1"/>
      <c r="C385" s="1"/>
    </row>
    <row r="386">
      <c r="A386" s="1"/>
      <c r="B386" s="1"/>
      <c r="C386" s="1"/>
    </row>
    <row r="387">
      <c r="A387" s="1"/>
      <c r="B387" s="1"/>
      <c r="C387" s="1"/>
    </row>
    <row r="388">
      <c r="A388" s="1"/>
      <c r="B388" s="1"/>
      <c r="C388" s="1"/>
    </row>
    <row r="389">
      <c r="A389" s="1"/>
      <c r="B389" s="1"/>
      <c r="C389" s="1"/>
    </row>
    <row r="390">
      <c r="A390" s="1"/>
      <c r="B390" s="1"/>
      <c r="C390" s="1"/>
    </row>
    <row r="391">
      <c r="A391" s="1"/>
      <c r="B391" s="1"/>
      <c r="C391" s="1"/>
    </row>
    <row r="392">
      <c r="A392" s="1"/>
      <c r="B392" s="1"/>
      <c r="C392" s="1"/>
    </row>
    <row r="393">
      <c r="A393" s="1"/>
      <c r="B393" s="1"/>
      <c r="C393" s="1"/>
    </row>
    <row r="394">
      <c r="A394" s="1"/>
      <c r="B394" s="1"/>
      <c r="C394" s="1"/>
    </row>
    <row r="395">
      <c r="A395" s="1"/>
      <c r="B395" s="1"/>
      <c r="C395" s="1"/>
    </row>
    <row r="396">
      <c r="A396" s="1"/>
      <c r="B396" s="1"/>
      <c r="C396" s="1"/>
    </row>
    <row r="397">
      <c r="A397" s="1"/>
      <c r="B397" s="1"/>
      <c r="C397" s="1"/>
    </row>
    <row r="398">
      <c r="A398" s="1"/>
      <c r="B398" s="1"/>
      <c r="C398" s="1"/>
    </row>
    <row r="399">
      <c r="A399" s="1"/>
      <c r="B399" s="1"/>
      <c r="C399" s="1"/>
    </row>
    <row r="400">
      <c r="A400" s="1"/>
      <c r="B400" s="1"/>
      <c r="C400" s="1"/>
    </row>
    <row r="401">
      <c r="A401" s="1"/>
      <c r="B401" s="1"/>
      <c r="C401" s="1"/>
    </row>
    <row r="402">
      <c r="A402" s="1"/>
      <c r="B402" s="1"/>
      <c r="C402" s="1"/>
    </row>
    <row r="403">
      <c r="A403" s="1"/>
      <c r="B403" s="1"/>
      <c r="C403" s="1"/>
    </row>
    <row r="404">
      <c r="A404" s="1"/>
      <c r="B404" s="1"/>
      <c r="C404" s="1"/>
    </row>
    <row r="405">
      <c r="A405" s="1"/>
      <c r="B405" s="1"/>
      <c r="C405" s="1"/>
    </row>
    <row r="406">
      <c r="A406" s="1"/>
      <c r="B406" s="1"/>
      <c r="C406" s="1"/>
    </row>
    <row r="407">
      <c r="A407" s="1"/>
      <c r="B407" s="1"/>
      <c r="C407" s="1"/>
    </row>
    <row r="408">
      <c r="A408" s="1"/>
      <c r="B408" s="1"/>
      <c r="C408" s="1"/>
    </row>
    <row r="409">
      <c r="A409" s="1"/>
      <c r="B409" s="1"/>
      <c r="C409" s="1"/>
    </row>
    <row r="410">
      <c r="A410" s="1"/>
      <c r="B410" s="1"/>
      <c r="C410" s="1"/>
    </row>
    <row r="411">
      <c r="A411" s="1"/>
      <c r="B411" s="1"/>
      <c r="C411" s="1"/>
    </row>
    <row r="412">
      <c r="A412" s="1"/>
      <c r="B412" s="1"/>
      <c r="C412" s="1"/>
    </row>
    <row r="413">
      <c r="A413" s="1"/>
      <c r="B413" s="1"/>
      <c r="C413" s="1"/>
    </row>
    <row r="414">
      <c r="A414" s="1"/>
      <c r="B414" s="1"/>
      <c r="C414" s="1"/>
    </row>
    <row r="415">
      <c r="A415" s="1"/>
      <c r="B415" s="1"/>
      <c r="C415" s="1"/>
    </row>
    <row r="416">
      <c r="A416" s="1"/>
      <c r="B416" s="1"/>
      <c r="C416" s="1"/>
    </row>
    <row r="417">
      <c r="A417" s="1"/>
      <c r="B417" s="1"/>
      <c r="C417" s="1"/>
    </row>
    <row r="418">
      <c r="A418" s="1"/>
      <c r="B418" s="1"/>
      <c r="C418" s="1"/>
    </row>
    <row r="419">
      <c r="A419" s="1"/>
      <c r="B419" s="1"/>
      <c r="C419" s="1"/>
    </row>
    <row r="420">
      <c r="A420" s="1"/>
      <c r="B420" s="1"/>
      <c r="C420" s="1"/>
    </row>
    <row r="421">
      <c r="A421" s="1"/>
      <c r="B421" s="1"/>
      <c r="C421" s="1"/>
    </row>
    <row r="422">
      <c r="A422" s="1"/>
      <c r="B422" s="1"/>
      <c r="C422" s="1"/>
    </row>
    <row r="423">
      <c r="A423" s="1"/>
      <c r="B423" s="1"/>
      <c r="C423" s="1"/>
    </row>
    <row r="424">
      <c r="A424" s="1"/>
      <c r="B424" s="1"/>
      <c r="C424" s="1"/>
    </row>
    <row r="425">
      <c r="A425" s="1"/>
      <c r="B425" s="1"/>
      <c r="C425" s="1"/>
    </row>
    <row r="426">
      <c r="A426" s="1"/>
      <c r="B426" s="1"/>
      <c r="C426" s="1"/>
    </row>
    <row r="427">
      <c r="A427" s="1"/>
      <c r="B427" s="1"/>
      <c r="C427" s="1"/>
    </row>
    <row r="428">
      <c r="A428" s="1"/>
      <c r="B428" s="1"/>
      <c r="C428" s="1"/>
    </row>
    <row r="429">
      <c r="A429" s="1"/>
      <c r="B429" s="1"/>
      <c r="C429" s="1"/>
    </row>
    <row r="430">
      <c r="A430" s="1"/>
      <c r="B430" s="1"/>
      <c r="C430" s="1"/>
    </row>
    <row r="431">
      <c r="A431" s="1"/>
      <c r="B431" s="1"/>
      <c r="C431" s="1"/>
    </row>
    <row r="432">
      <c r="A432" s="1"/>
      <c r="B432" s="1"/>
      <c r="C432" s="1"/>
    </row>
    <row r="433">
      <c r="A433" s="1"/>
      <c r="B433" s="1"/>
      <c r="C433" s="1"/>
    </row>
    <row r="434">
      <c r="A434" s="1"/>
      <c r="B434" s="1"/>
      <c r="C434" s="1"/>
    </row>
    <row r="435">
      <c r="A435" s="1"/>
      <c r="B435" s="1"/>
      <c r="C435" s="1"/>
    </row>
    <row r="436">
      <c r="A436" s="1"/>
      <c r="B436" s="1"/>
      <c r="C436" s="1"/>
    </row>
    <row r="437">
      <c r="A437" s="1"/>
      <c r="B437" s="1"/>
      <c r="C437" s="1"/>
    </row>
    <row r="438">
      <c r="A438" s="1"/>
      <c r="B438" s="1"/>
      <c r="C438" s="1"/>
    </row>
    <row r="439">
      <c r="A439" s="1"/>
      <c r="B439" s="1"/>
      <c r="C439" s="1"/>
    </row>
    <row r="440">
      <c r="A440" s="1"/>
      <c r="B440" s="1"/>
      <c r="C440" s="1"/>
    </row>
    <row r="441">
      <c r="A441" s="1"/>
      <c r="B441" s="1"/>
      <c r="C441" s="1"/>
    </row>
    <row r="442">
      <c r="A442" s="1"/>
      <c r="B442" s="1"/>
      <c r="C442" s="1"/>
    </row>
    <row r="443">
      <c r="A443" s="1"/>
      <c r="B443" s="1"/>
      <c r="C443" s="1"/>
    </row>
    <row r="444">
      <c r="A444" s="1"/>
      <c r="B444" s="1"/>
      <c r="C444" s="1"/>
    </row>
    <row r="445">
      <c r="A445" s="1"/>
      <c r="B445" s="1"/>
      <c r="C445" s="1"/>
    </row>
    <row r="446">
      <c r="A446" s="1"/>
      <c r="B446" s="1"/>
      <c r="C446" s="1"/>
    </row>
    <row r="447">
      <c r="A447" s="1"/>
      <c r="B447" s="1"/>
      <c r="C447" s="1"/>
    </row>
    <row r="448">
      <c r="A448" s="1"/>
      <c r="B448" s="1"/>
      <c r="C448" s="1"/>
    </row>
    <row r="449">
      <c r="A449" s="1"/>
      <c r="B449" s="1"/>
      <c r="C449" s="1"/>
    </row>
    <row r="450">
      <c r="A450" s="1"/>
      <c r="B450" s="1"/>
      <c r="C450" s="1"/>
    </row>
    <row r="451">
      <c r="A451" s="1"/>
      <c r="B451" s="1"/>
      <c r="C451" s="1"/>
    </row>
    <row r="452">
      <c r="A452" s="1"/>
      <c r="B452" s="1"/>
      <c r="C452" s="1"/>
    </row>
    <row r="453">
      <c r="A453" s="1"/>
      <c r="B453" s="1"/>
      <c r="C453" s="1"/>
    </row>
    <row r="454">
      <c r="A454" s="1"/>
      <c r="B454" s="1"/>
      <c r="C454" s="1"/>
    </row>
    <row r="455">
      <c r="A455" s="1"/>
      <c r="B455" s="1"/>
      <c r="C455" s="1"/>
    </row>
    <row r="456">
      <c r="A456" s="1"/>
      <c r="B456" s="1"/>
      <c r="C456" s="1"/>
    </row>
    <row r="457">
      <c r="A457" s="1"/>
      <c r="B457" s="1"/>
      <c r="C457" s="1"/>
    </row>
    <row r="458">
      <c r="A458" s="1"/>
      <c r="B458" s="1"/>
      <c r="C458" s="1"/>
    </row>
    <row r="459">
      <c r="A459" s="1"/>
      <c r="B459" s="1"/>
      <c r="C459" s="1"/>
    </row>
    <row r="460">
      <c r="A460" s="1"/>
      <c r="B460" s="1"/>
      <c r="C460" s="1"/>
    </row>
    <row r="461">
      <c r="A461" s="1"/>
      <c r="B461" s="1"/>
      <c r="C461" s="1"/>
    </row>
    <row r="462">
      <c r="A462" s="1"/>
      <c r="B462" s="1"/>
      <c r="C462" s="1"/>
    </row>
    <row r="463">
      <c r="A463" s="1"/>
      <c r="B463" s="1"/>
      <c r="C463" s="1"/>
    </row>
    <row r="464">
      <c r="A464" s="1"/>
      <c r="B464" s="1"/>
      <c r="C464" s="1"/>
    </row>
    <row r="465">
      <c r="A465" s="1"/>
      <c r="B465" s="1"/>
      <c r="C465" s="1"/>
    </row>
    <row r="466">
      <c r="A466" s="1"/>
      <c r="B466" s="1"/>
      <c r="C466" s="1"/>
    </row>
    <row r="467">
      <c r="A467" s="1"/>
      <c r="B467" s="1"/>
      <c r="C467" s="1"/>
    </row>
    <row r="468">
      <c r="A468" s="1"/>
      <c r="B468" s="1"/>
      <c r="C468" s="1"/>
    </row>
    <row r="469">
      <c r="A469" s="1"/>
      <c r="B469" s="1"/>
      <c r="C469" s="1"/>
    </row>
    <row r="470">
      <c r="A470" s="1"/>
      <c r="B470" s="1"/>
      <c r="C470" s="1"/>
    </row>
    <row r="471">
      <c r="A471" s="1"/>
      <c r="B471" s="1"/>
      <c r="C471" s="1"/>
    </row>
    <row r="472">
      <c r="A472" s="1"/>
      <c r="B472" s="1"/>
      <c r="C472" s="1"/>
    </row>
    <row r="473">
      <c r="A473" s="1"/>
      <c r="B473" s="1"/>
      <c r="C473" s="1"/>
    </row>
    <row r="474">
      <c r="A474" s="1"/>
      <c r="B474" s="1"/>
      <c r="C474" s="1"/>
    </row>
    <row r="475">
      <c r="A475" s="1"/>
      <c r="B475" s="1"/>
      <c r="C475" s="1"/>
    </row>
    <row r="476">
      <c r="A476" s="1"/>
      <c r="B476" s="1"/>
      <c r="C476" s="1"/>
    </row>
    <row r="477">
      <c r="A477" s="1"/>
      <c r="B477" s="1"/>
      <c r="C477" s="1"/>
    </row>
    <row r="478">
      <c r="A478" s="1"/>
      <c r="B478" s="1"/>
      <c r="C478" s="1"/>
    </row>
    <row r="479">
      <c r="A479" s="1"/>
      <c r="B479" s="1"/>
      <c r="C479" s="1"/>
    </row>
    <row r="480">
      <c r="A480" s="1"/>
      <c r="B480" s="1"/>
      <c r="C480" s="1"/>
    </row>
    <row r="481">
      <c r="A481" s="1"/>
      <c r="B481" s="1"/>
      <c r="C481" s="1"/>
    </row>
    <row r="482">
      <c r="A482" s="1"/>
      <c r="B482" s="1"/>
      <c r="C482" s="1"/>
    </row>
    <row r="483">
      <c r="A483" s="1"/>
      <c r="B483" s="1"/>
      <c r="C483" s="1"/>
    </row>
    <row r="484">
      <c r="A484" s="1"/>
      <c r="B484" s="1"/>
      <c r="C484" s="1"/>
    </row>
    <row r="485">
      <c r="A485" s="1"/>
      <c r="B485" s="1"/>
      <c r="C485" s="1"/>
    </row>
    <row r="486">
      <c r="A486" s="1"/>
      <c r="B486" s="1"/>
      <c r="C486" s="1"/>
    </row>
    <row r="487">
      <c r="A487" s="1"/>
      <c r="B487" s="1"/>
      <c r="C487" s="1"/>
    </row>
    <row r="488">
      <c r="A488" s="1"/>
      <c r="B488" s="1"/>
      <c r="C488" s="1"/>
    </row>
    <row r="489">
      <c r="A489" s="1"/>
      <c r="B489" s="1"/>
      <c r="C489" s="1"/>
    </row>
    <row r="490">
      <c r="A490" s="1"/>
      <c r="B490" s="1"/>
      <c r="C490" s="1"/>
    </row>
    <row r="491">
      <c r="A491" s="1"/>
      <c r="B491" s="1"/>
      <c r="C491" s="1"/>
    </row>
    <row r="492">
      <c r="A492" s="1"/>
      <c r="B492" s="1"/>
      <c r="C492" s="1"/>
    </row>
    <row r="493">
      <c r="A493" s="1"/>
      <c r="B493" s="1"/>
      <c r="C493" s="1"/>
    </row>
    <row r="494">
      <c r="A494" s="1"/>
      <c r="B494" s="1"/>
      <c r="C494" s="1"/>
    </row>
    <row r="495">
      <c r="A495" s="1"/>
      <c r="B495" s="1"/>
      <c r="C495" s="1"/>
    </row>
    <row r="496">
      <c r="A496" s="1"/>
      <c r="B496" s="1"/>
      <c r="C496" s="1"/>
    </row>
    <row r="497">
      <c r="A497" s="1"/>
      <c r="B497" s="1"/>
      <c r="C497" s="1"/>
    </row>
    <row r="498">
      <c r="A498" s="1"/>
      <c r="B498" s="1"/>
      <c r="C498" s="1"/>
    </row>
    <row r="499">
      <c r="A499" s="1"/>
      <c r="B499" s="1"/>
      <c r="C499" s="1"/>
    </row>
    <row r="500">
      <c r="A500" s="1"/>
      <c r="B500" s="1"/>
      <c r="C500" s="1"/>
    </row>
    <row r="501">
      <c r="A501" s="1"/>
      <c r="B501" s="1"/>
      <c r="C501" s="1"/>
    </row>
    <row r="502">
      <c r="A502" s="1"/>
      <c r="B502" s="1"/>
      <c r="C502" s="1"/>
    </row>
    <row r="503">
      <c r="A503" s="1"/>
      <c r="B503" s="1"/>
      <c r="C503" s="1"/>
    </row>
    <row r="504">
      <c r="A504" s="1"/>
      <c r="B504" s="1"/>
      <c r="C504" s="1"/>
    </row>
    <row r="505">
      <c r="A505" s="1"/>
      <c r="B505" s="1"/>
      <c r="C505" s="1"/>
    </row>
    <row r="506">
      <c r="A506" s="1"/>
      <c r="B506" s="1"/>
      <c r="C506" s="1"/>
    </row>
    <row r="507">
      <c r="A507" s="1"/>
      <c r="B507" s="1"/>
      <c r="C507" s="1"/>
    </row>
    <row r="508">
      <c r="A508" s="1"/>
      <c r="B508" s="1"/>
      <c r="C508" s="1"/>
    </row>
    <row r="509">
      <c r="A509" s="1"/>
      <c r="B509" s="1"/>
      <c r="C509" s="1"/>
    </row>
    <row r="510">
      <c r="A510" s="1"/>
      <c r="B510" s="1"/>
      <c r="C510" s="1"/>
    </row>
    <row r="511">
      <c r="A511" s="1"/>
      <c r="B511" s="1"/>
      <c r="C511" s="1"/>
    </row>
    <row r="512">
      <c r="A512" s="1"/>
      <c r="B512" s="1"/>
      <c r="C512" s="1"/>
    </row>
    <row r="513">
      <c r="A513" s="1"/>
      <c r="B513" s="1"/>
      <c r="C513" s="1"/>
    </row>
    <row r="514">
      <c r="A514" s="1"/>
      <c r="B514" s="1"/>
      <c r="C514" s="1"/>
    </row>
    <row r="515">
      <c r="A515" s="1"/>
      <c r="B515" s="1"/>
      <c r="C515" s="1"/>
    </row>
    <row r="516">
      <c r="A516" s="1"/>
      <c r="B516" s="1"/>
      <c r="C516" s="1"/>
    </row>
    <row r="517">
      <c r="A517" s="1"/>
      <c r="B517" s="1"/>
      <c r="C517" s="1"/>
    </row>
    <row r="518">
      <c r="A518" s="1"/>
      <c r="B518" s="1"/>
      <c r="C518" s="1"/>
    </row>
    <row r="519">
      <c r="A519" s="1"/>
      <c r="B519" s="1"/>
      <c r="C519" s="1"/>
    </row>
    <row r="520">
      <c r="A520" s="1"/>
      <c r="B520" s="1"/>
      <c r="C520" s="1"/>
    </row>
    <row r="521">
      <c r="A521" s="1"/>
      <c r="B521" s="1"/>
      <c r="C521" s="1"/>
    </row>
    <row r="522">
      <c r="A522" s="1"/>
      <c r="B522" s="1"/>
      <c r="C522" s="1"/>
    </row>
    <row r="523">
      <c r="A523" s="1"/>
      <c r="B523" s="1"/>
      <c r="C523" s="1"/>
    </row>
    <row r="524">
      <c r="A524" s="1"/>
      <c r="B524" s="1"/>
      <c r="C524" s="1"/>
    </row>
    <row r="525">
      <c r="A525" s="1"/>
      <c r="B525" s="1"/>
      <c r="C525" s="1"/>
    </row>
    <row r="526">
      <c r="A526" s="1"/>
      <c r="B526" s="1"/>
      <c r="C526" s="1"/>
    </row>
    <row r="527">
      <c r="A527" s="1"/>
      <c r="B527" s="1"/>
      <c r="C527" s="1"/>
    </row>
    <row r="528">
      <c r="A528" s="1"/>
      <c r="B528" s="1"/>
      <c r="C528" s="1"/>
    </row>
    <row r="529">
      <c r="A529" s="1"/>
      <c r="B529" s="1"/>
      <c r="C529" s="1"/>
    </row>
    <row r="530">
      <c r="A530" s="1"/>
      <c r="B530" s="1"/>
      <c r="C530" s="1"/>
    </row>
    <row r="531">
      <c r="A531" s="1"/>
      <c r="B531" s="1"/>
      <c r="C531" s="1"/>
    </row>
    <row r="532">
      <c r="A532" s="1"/>
      <c r="B532" s="1"/>
      <c r="C532" s="1"/>
    </row>
    <row r="533">
      <c r="A533" s="1"/>
      <c r="B533" s="1"/>
      <c r="C533" s="1"/>
    </row>
    <row r="534">
      <c r="A534" s="1"/>
      <c r="B534" s="1"/>
      <c r="C534" s="1"/>
    </row>
    <row r="535">
      <c r="A535" s="1"/>
      <c r="B535" s="1"/>
      <c r="C535" s="1"/>
    </row>
    <row r="536">
      <c r="A536" s="1"/>
      <c r="B536" s="1"/>
      <c r="C536" s="1"/>
    </row>
    <row r="537">
      <c r="A537" s="1"/>
      <c r="B537" s="1"/>
      <c r="C537" s="1"/>
    </row>
    <row r="538">
      <c r="A538" s="1"/>
      <c r="B538" s="1"/>
      <c r="C538" s="1"/>
    </row>
    <row r="539">
      <c r="A539" s="1"/>
      <c r="B539" s="1"/>
      <c r="C539" s="1"/>
    </row>
    <row r="540">
      <c r="A540" s="1"/>
      <c r="B540" s="1"/>
      <c r="C540" s="1"/>
    </row>
    <row r="541">
      <c r="A541" s="1"/>
      <c r="B541" s="1"/>
      <c r="C541" s="1"/>
    </row>
    <row r="542">
      <c r="A542" s="1"/>
      <c r="B542" s="1"/>
      <c r="C542" s="1"/>
    </row>
    <row r="543">
      <c r="A543" s="1"/>
      <c r="B543" s="1"/>
      <c r="C543" s="1"/>
    </row>
    <row r="544">
      <c r="A544" s="1"/>
      <c r="B544" s="1"/>
      <c r="C544" s="1"/>
    </row>
    <row r="545">
      <c r="A545" s="1"/>
      <c r="B545" s="1"/>
      <c r="C545" s="1"/>
    </row>
    <row r="546">
      <c r="A546" s="1"/>
      <c r="B546" s="1"/>
      <c r="C546" s="1"/>
    </row>
    <row r="547">
      <c r="A547" s="1"/>
      <c r="B547" s="1"/>
      <c r="C547" s="1"/>
    </row>
    <row r="548">
      <c r="A548" s="1"/>
      <c r="B548" s="1"/>
      <c r="C548" s="1"/>
    </row>
    <row r="549">
      <c r="A549" s="1"/>
      <c r="B549" s="1"/>
      <c r="C549" s="1"/>
    </row>
    <row r="550">
      <c r="A550" s="1"/>
      <c r="B550" s="1"/>
      <c r="C550" s="1"/>
    </row>
    <row r="551">
      <c r="A551" s="1"/>
      <c r="B551" s="1"/>
      <c r="C551" s="1"/>
    </row>
    <row r="552">
      <c r="A552" s="1"/>
      <c r="B552" s="1"/>
      <c r="C552" s="1"/>
    </row>
    <row r="553">
      <c r="A553" s="1"/>
      <c r="B553" s="1"/>
      <c r="C553" s="1"/>
    </row>
    <row r="554">
      <c r="A554" s="1"/>
      <c r="B554" s="1"/>
      <c r="C554" s="1"/>
    </row>
    <row r="555">
      <c r="A555" s="1"/>
      <c r="B555" s="1"/>
      <c r="C555" s="1"/>
    </row>
    <row r="556">
      <c r="A556" s="1"/>
      <c r="B556" s="1"/>
      <c r="C556" s="1"/>
    </row>
    <row r="557">
      <c r="A557" s="1"/>
      <c r="B557" s="1"/>
      <c r="C557" s="1"/>
    </row>
    <row r="558">
      <c r="A558" s="1"/>
      <c r="B558" s="1"/>
      <c r="C558" s="1"/>
    </row>
    <row r="559">
      <c r="A559" s="1"/>
      <c r="B559" s="1"/>
      <c r="C559" s="1"/>
    </row>
    <row r="560">
      <c r="A560" s="1"/>
      <c r="B560" s="1"/>
      <c r="C560" s="1"/>
    </row>
    <row r="561">
      <c r="A561" s="1"/>
      <c r="B561" s="1"/>
      <c r="C561" s="1"/>
    </row>
    <row r="562">
      <c r="A562" s="1"/>
      <c r="B562" s="1"/>
      <c r="C562" s="1"/>
    </row>
    <row r="563">
      <c r="A563" s="1"/>
      <c r="B563" s="1"/>
      <c r="C563" s="1"/>
    </row>
    <row r="564">
      <c r="A564" s="1"/>
      <c r="B564" s="1"/>
      <c r="C564" s="1"/>
    </row>
    <row r="565">
      <c r="A565" s="1"/>
      <c r="B565" s="1"/>
      <c r="C565" s="1"/>
    </row>
    <row r="566">
      <c r="A566" s="1"/>
      <c r="B566" s="1"/>
      <c r="C566" s="1"/>
    </row>
    <row r="567">
      <c r="A567" s="1"/>
      <c r="B567" s="1"/>
      <c r="C567" s="1"/>
    </row>
    <row r="568">
      <c r="A568" s="1"/>
      <c r="B568" s="1"/>
      <c r="C568" s="1"/>
    </row>
    <row r="569">
      <c r="A569" s="1"/>
      <c r="B569" s="1"/>
      <c r="C569" s="1"/>
    </row>
    <row r="570">
      <c r="A570" s="1"/>
      <c r="B570" s="1"/>
      <c r="C570" s="1"/>
    </row>
    <row r="571">
      <c r="A571" s="1"/>
      <c r="B571" s="1"/>
      <c r="C571" s="1"/>
    </row>
    <row r="572">
      <c r="A572" s="1"/>
      <c r="B572" s="1"/>
      <c r="C572" s="1"/>
    </row>
    <row r="573">
      <c r="A573" s="1"/>
      <c r="B573" s="1"/>
      <c r="C573" s="1"/>
    </row>
    <row r="574">
      <c r="A574" s="1"/>
      <c r="B574" s="1"/>
      <c r="C574" s="1"/>
    </row>
    <row r="575">
      <c r="A575" s="1"/>
      <c r="B575" s="1"/>
      <c r="C575" s="1"/>
    </row>
    <row r="576">
      <c r="A576" s="1"/>
      <c r="B576" s="1"/>
      <c r="C576" s="1"/>
    </row>
    <row r="577">
      <c r="A577" s="1"/>
      <c r="B577" s="1"/>
      <c r="C577" s="1"/>
    </row>
    <row r="578">
      <c r="A578" s="1"/>
      <c r="B578" s="1"/>
      <c r="C578" s="1"/>
    </row>
    <row r="579">
      <c r="A579" s="1"/>
      <c r="B579" s="1"/>
      <c r="C579" s="1"/>
    </row>
    <row r="580">
      <c r="A580" s="1"/>
      <c r="B580" s="1"/>
      <c r="C580" s="1"/>
    </row>
    <row r="581">
      <c r="A581" s="1"/>
      <c r="B581" s="1"/>
      <c r="C581" s="1"/>
    </row>
    <row r="582">
      <c r="A582" s="1"/>
      <c r="B582" s="1"/>
      <c r="C582" s="1"/>
    </row>
    <row r="583">
      <c r="A583" s="1"/>
      <c r="B583" s="1"/>
      <c r="C583" s="1"/>
    </row>
    <row r="584">
      <c r="A584" s="1"/>
      <c r="B584" s="1"/>
      <c r="C584" s="1"/>
    </row>
    <row r="585">
      <c r="A585" s="1"/>
      <c r="B585" s="1"/>
      <c r="C585" s="1"/>
    </row>
    <row r="586">
      <c r="A586" s="1"/>
      <c r="B586" s="1"/>
      <c r="C586" s="1"/>
    </row>
    <row r="587">
      <c r="A587" s="1"/>
      <c r="B587" s="1"/>
      <c r="C587" s="1"/>
    </row>
    <row r="588">
      <c r="A588" s="1"/>
      <c r="B588" s="1"/>
      <c r="C588" s="1"/>
    </row>
    <row r="589">
      <c r="A589" s="1"/>
      <c r="B589" s="1"/>
      <c r="C589" s="1"/>
    </row>
    <row r="590">
      <c r="A590" s="1"/>
      <c r="B590" s="1"/>
      <c r="C590" s="1"/>
    </row>
    <row r="591">
      <c r="A591" s="1"/>
      <c r="B591" s="1"/>
      <c r="C591" s="1"/>
    </row>
    <row r="592">
      <c r="A592" s="1"/>
      <c r="B592" s="1"/>
      <c r="C592" s="1"/>
    </row>
    <row r="593">
      <c r="A593" s="1"/>
      <c r="B593" s="1"/>
      <c r="C593" s="1"/>
    </row>
    <row r="594">
      <c r="A594" s="1"/>
      <c r="B594" s="1"/>
      <c r="C594" s="1"/>
    </row>
    <row r="595">
      <c r="A595" s="1"/>
      <c r="B595" s="1"/>
      <c r="C595" s="1"/>
    </row>
    <row r="596">
      <c r="A596" s="1"/>
      <c r="B596" s="1"/>
      <c r="C596" s="1"/>
    </row>
    <row r="597">
      <c r="A597" s="1"/>
      <c r="B597" s="1"/>
      <c r="C597" s="1"/>
    </row>
    <row r="598">
      <c r="A598" s="1"/>
      <c r="B598" s="1"/>
      <c r="C598" s="1"/>
    </row>
    <row r="599">
      <c r="A599" s="1"/>
      <c r="B599" s="1"/>
      <c r="C599" s="1"/>
    </row>
    <row r="600">
      <c r="A600" s="1"/>
      <c r="B600" s="1"/>
      <c r="C600" s="1"/>
    </row>
    <row r="601">
      <c r="A601" s="1"/>
      <c r="B601" s="1"/>
      <c r="C601" s="1"/>
    </row>
    <row r="602">
      <c r="A602" s="1"/>
      <c r="B602" s="1"/>
      <c r="C602" s="1"/>
    </row>
    <row r="603">
      <c r="A603" s="1"/>
      <c r="B603" s="1"/>
      <c r="C603" s="1"/>
    </row>
    <row r="604">
      <c r="A604" s="1"/>
      <c r="B604" s="1"/>
      <c r="C604" s="1"/>
    </row>
    <row r="605">
      <c r="A605" s="1"/>
      <c r="B605" s="1"/>
      <c r="C605" s="1"/>
    </row>
    <row r="606">
      <c r="A606" s="1"/>
      <c r="B606" s="1"/>
      <c r="C606" s="1"/>
    </row>
    <row r="607">
      <c r="A607" s="1"/>
      <c r="B607" s="1"/>
      <c r="C607" s="1"/>
    </row>
    <row r="608">
      <c r="A608" s="1"/>
      <c r="B608" s="1"/>
      <c r="C608" s="1"/>
    </row>
    <row r="609">
      <c r="A609" s="1"/>
      <c r="B609" s="1"/>
      <c r="C609" s="1"/>
    </row>
    <row r="610">
      <c r="A610" s="1"/>
      <c r="B610" s="1"/>
      <c r="C610" s="1"/>
    </row>
    <row r="611">
      <c r="A611" s="1"/>
      <c r="B611" s="1"/>
      <c r="C611" s="1"/>
    </row>
    <row r="612">
      <c r="A612" s="1"/>
      <c r="B612" s="1"/>
      <c r="C612" s="1"/>
    </row>
    <row r="613">
      <c r="A613" s="1"/>
      <c r="B613" s="1"/>
      <c r="C613" s="1"/>
    </row>
    <row r="614">
      <c r="A614" s="1"/>
      <c r="B614" s="1"/>
      <c r="C614" s="1"/>
    </row>
    <row r="615">
      <c r="A615" s="1"/>
      <c r="B615" s="1"/>
      <c r="C615" s="1"/>
    </row>
    <row r="616">
      <c r="A616" s="1"/>
      <c r="B616" s="1"/>
      <c r="C616" s="1"/>
    </row>
    <row r="617">
      <c r="A617" s="1"/>
      <c r="B617" s="1"/>
      <c r="C617" s="1"/>
    </row>
    <row r="618">
      <c r="A618" s="1"/>
      <c r="B618" s="1"/>
      <c r="C618" s="1"/>
    </row>
    <row r="619">
      <c r="A619" s="1"/>
      <c r="B619" s="1"/>
      <c r="C619" s="1"/>
    </row>
    <row r="620">
      <c r="A620" s="1"/>
      <c r="B620" s="1"/>
      <c r="C620" s="1"/>
    </row>
    <row r="621">
      <c r="A621" s="1"/>
      <c r="B621" s="1"/>
      <c r="C621" s="1"/>
    </row>
    <row r="622">
      <c r="A622" s="1"/>
      <c r="B622" s="1"/>
      <c r="C622" s="1"/>
    </row>
    <row r="623">
      <c r="A623" s="1"/>
      <c r="B623" s="1"/>
      <c r="C623" s="1"/>
    </row>
    <row r="624">
      <c r="A624" s="1"/>
      <c r="B624" s="1"/>
      <c r="C624" s="1"/>
    </row>
    <row r="625">
      <c r="A625" s="1"/>
      <c r="B625" s="1"/>
      <c r="C625" s="1"/>
    </row>
    <row r="626">
      <c r="A626" s="1"/>
      <c r="B626" s="1"/>
      <c r="C626" s="1"/>
    </row>
    <row r="627">
      <c r="A627" s="1"/>
      <c r="B627" s="1"/>
      <c r="C627" s="1"/>
    </row>
    <row r="628">
      <c r="A628" s="1"/>
      <c r="B628" s="1"/>
      <c r="C628" s="1"/>
    </row>
    <row r="629">
      <c r="A629" s="1"/>
      <c r="B629" s="1"/>
      <c r="C629" s="1"/>
    </row>
    <row r="630">
      <c r="A630" s="1"/>
      <c r="B630" s="1"/>
      <c r="C630" s="1"/>
    </row>
    <row r="631">
      <c r="A631" s="1"/>
      <c r="B631" s="1"/>
      <c r="C631" s="1"/>
    </row>
    <row r="632">
      <c r="A632" s="1"/>
      <c r="B632" s="1"/>
      <c r="C632" s="1"/>
    </row>
    <row r="633">
      <c r="A633" s="1"/>
      <c r="B633" s="1"/>
      <c r="C633" s="1"/>
    </row>
    <row r="634">
      <c r="A634" s="1"/>
      <c r="B634" s="1"/>
      <c r="C634" s="1"/>
    </row>
    <row r="635">
      <c r="A635" s="1"/>
      <c r="B635" s="1"/>
      <c r="C635" s="1"/>
    </row>
    <row r="636">
      <c r="A636" s="1"/>
      <c r="B636" s="1"/>
      <c r="C636" s="1"/>
    </row>
    <row r="637">
      <c r="A637" s="1"/>
      <c r="B637" s="1"/>
      <c r="C637" s="1"/>
    </row>
    <row r="638">
      <c r="A638" s="1"/>
      <c r="B638" s="1"/>
      <c r="C638" s="1"/>
    </row>
    <row r="639">
      <c r="A639" s="1"/>
      <c r="B639" s="1"/>
      <c r="C639" s="1"/>
    </row>
    <row r="640">
      <c r="A640" s="1"/>
      <c r="B640" s="1"/>
      <c r="C640" s="1"/>
    </row>
    <row r="641">
      <c r="A641" s="1"/>
      <c r="B641" s="1"/>
      <c r="C641" s="1"/>
    </row>
    <row r="642">
      <c r="A642" s="1"/>
      <c r="B642" s="1"/>
      <c r="C642" s="1"/>
    </row>
    <row r="643">
      <c r="A643" s="1"/>
      <c r="B643" s="1"/>
      <c r="C643" s="1"/>
    </row>
    <row r="644">
      <c r="A644" s="1"/>
      <c r="B644" s="1"/>
      <c r="C644" s="1"/>
    </row>
    <row r="645">
      <c r="A645" s="1"/>
      <c r="B645" s="1"/>
      <c r="C645" s="1"/>
    </row>
    <row r="646">
      <c r="A646" s="1"/>
      <c r="B646" s="1"/>
      <c r="C646" s="1"/>
    </row>
    <row r="647">
      <c r="A647" s="1"/>
      <c r="B647" s="1"/>
      <c r="C647" s="1"/>
    </row>
    <row r="648">
      <c r="A648" s="1"/>
      <c r="B648" s="1"/>
      <c r="C648" s="1"/>
    </row>
    <row r="649">
      <c r="A649" s="1"/>
      <c r="B649" s="1"/>
      <c r="C649" s="1"/>
    </row>
    <row r="650">
      <c r="A650" s="1"/>
      <c r="B650" s="1"/>
      <c r="C650" s="1"/>
    </row>
    <row r="651">
      <c r="A651" s="1"/>
      <c r="B651" s="1"/>
      <c r="C651" s="1"/>
    </row>
    <row r="652">
      <c r="A652" s="1"/>
      <c r="B652" s="1"/>
      <c r="C652" s="1"/>
    </row>
    <row r="653">
      <c r="A653" s="1"/>
      <c r="B653" s="1"/>
      <c r="C653" s="1"/>
    </row>
    <row r="654">
      <c r="A654" s="1"/>
      <c r="B654" s="1"/>
      <c r="C654" s="1"/>
    </row>
    <row r="655">
      <c r="A655" s="1"/>
      <c r="B655" s="1"/>
      <c r="C655" s="1"/>
    </row>
    <row r="656">
      <c r="A656" s="1"/>
      <c r="B656" s="1"/>
      <c r="C656" s="1"/>
    </row>
    <row r="657">
      <c r="A657" s="1"/>
      <c r="B657" s="1"/>
      <c r="C657" s="1"/>
    </row>
    <row r="658">
      <c r="A658" s="1"/>
      <c r="B658" s="1"/>
      <c r="C658" s="1"/>
    </row>
    <row r="659">
      <c r="A659" s="1"/>
      <c r="B659" s="1"/>
      <c r="C659" s="1"/>
    </row>
    <row r="660">
      <c r="A660" s="1"/>
      <c r="B660" s="1"/>
      <c r="C660" s="1"/>
    </row>
    <row r="661">
      <c r="A661" s="1"/>
      <c r="B661" s="1"/>
      <c r="C661" s="1"/>
    </row>
    <row r="662">
      <c r="A662" s="1"/>
      <c r="B662" s="1"/>
      <c r="C662" s="1"/>
    </row>
    <row r="663">
      <c r="A663" s="1"/>
      <c r="B663" s="1"/>
      <c r="C663" s="1"/>
    </row>
    <row r="664">
      <c r="A664" s="1"/>
      <c r="B664" s="1"/>
      <c r="C664" s="1"/>
    </row>
    <row r="665">
      <c r="A665" s="1"/>
      <c r="B665" s="1"/>
      <c r="C665" s="1"/>
    </row>
    <row r="666">
      <c r="A666" s="1"/>
      <c r="B666" s="1"/>
      <c r="C666" s="1"/>
    </row>
    <row r="667">
      <c r="A667" s="1"/>
      <c r="B667" s="1"/>
      <c r="C667" s="1"/>
    </row>
    <row r="668">
      <c r="A668" s="1"/>
      <c r="B668" s="1"/>
      <c r="C668" s="1"/>
    </row>
    <row r="669">
      <c r="A669" s="1"/>
      <c r="B669" s="1"/>
      <c r="C669" s="1"/>
    </row>
    <row r="670">
      <c r="A670" s="1"/>
      <c r="B670" s="1"/>
      <c r="C670" s="1"/>
    </row>
    <row r="671">
      <c r="A671" s="1"/>
      <c r="B671" s="1"/>
      <c r="C671" s="1"/>
    </row>
    <row r="672">
      <c r="A672" s="1"/>
      <c r="B672" s="1"/>
      <c r="C672" s="1"/>
    </row>
    <row r="673">
      <c r="A673" s="1"/>
      <c r="B673" s="1"/>
      <c r="C673" s="1"/>
    </row>
    <row r="674">
      <c r="A674" s="1"/>
      <c r="B674" s="1"/>
      <c r="C674" s="1"/>
    </row>
    <row r="675">
      <c r="A675" s="1"/>
      <c r="B675" s="1"/>
      <c r="C675" s="1"/>
    </row>
    <row r="676">
      <c r="A676" s="1"/>
      <c r="B676" s="1"/>
      <c r="C676" s="1"/>
    </row>
    <row r="677">
      <c r="A677" s="1"/>
      <c r="B677" s="1"/>
      <c r="C677" s="1"/>
    </row>
    <row r="678">
      <c r="A678" s="1"/>
      <c r="B678" s="1"/>
      <c r="C678" s="1"/>
    </row>
    <row r="679">
      <c r="A679" s="1"/>
      <c r="B679" s="1"/>
      <c r="C679" s="1"/>
    </row>
    <row r="680">
      <c r="A680" s="1"/>
      <c r="B680" s="1"/>
      <c r="C680" s="1"/>
    </row>
    <row r="681">
      <c r="A681" s="1"/>
      <c r="B681" s="1"/>
      <c r="C681" s="1"/>
    </row>
    <row r="682">
      <c r="A682" s="1"/>
      <c r="B682" s="1"/>
      <c r="C682" s="1"/>
    </row>
    <row r="683">
      <c r="A683" s="1"/>
      <c r="B683" s="1"/>
      <c r="C683" s="1"/>
    </row>
    <row r="684">
      <c r="A684" s="1"/>
      <c r="B684" s="1"/>
      <c r="C684" s="1"/>
    </row>
    <row r="685">
      <c r="A685" s="1"/>
      <c r="B685" s="1"/>
      <c r="C685" s="1"/>
    </row>
    <row r="686">
      <c r="A686" s="1"/>
      <c r="B686" s="1"/>
      <c r="C686" s="1"/>
    </row>
    <row r="687">
      <c r="A687" s="1"/>
      <c r="B687" s="1"/>
      <c r="C687" s="1"/>
    </row>
    <row r="688">
      <c r="A688" s="1"/>
      <c r="B688" s="1"/>
      <c r="C688" s="1"/>
    </row>
    <row r="689">
      <c r="A689" s="1"/>
      <c r="B689" s="1"/>
      <c r="C689" s="1"/>
    </row>
    <row r="690">
      <c r="A690" s="1"/>
      <c r="B690" s="1"/>
      <c r="C690" s="1"/>
    </row>
    <row r="691">
      <c r="A691" s="1"/>
      <c r="B691" s="1"/>
      <c r="C691" s="1"/>
    </row>
    <row r="692">
      <c r="A692" s="1"/>
      <c r="B692" s="1"/>
      <c r="C692" s="1"/>
    </row>
    <row r="693">
      <c r="A693" s="1"/>
      <c r="B693" s="1"/>
      <c r="C693" s="1"/>
    </row>
    <row r="694">
      <c r="A694" s="1"/>
      <c r="B694" s="1"/>
      <c r="C694" s="1"/>
    </row>
    <row r="695">
      <c r="A695" s="1"/>
      <c r="B695" s="1"/>
      <c r="C695" s="1"/>
    </row>
    <row r="696">
      <c r="A696" s="1"/>
      <c r="B696" s="1"/>
      <c r="C696" s="1"/>
    </row>
    <row r="697">
      <c r="A697" s="1"/>
      <c r="B697" s="1"/>
      <c r="C697" s="1"/>
    </row>
    <row r="698">
      <c r="A698" s="1"/>
      <c r="B698" s="1"/>
      <c r="C698" s="1"/>
    </row>
    <row r="699">
      <c r="A699" s="1"/>
      <c r="B699" s="1"/>
      <c r="C699" s="1"/>
    </row>
    <row r="700">
      <c r="A700" s="1"/>
      <c r="B700" s="1"/>
      <c r="C700" s="1"/>
    </row>
    <row r="701">
      <c r="A701" s="1"/>
      <c r="B701" s="1"/>
      <c r="C701" s="1"/>
    </row>
    <row r="702">
      <c r="A702" s="1"/>
      <c r="B702" s="1"/>
      <c r="C702" s="1"/>
    </row>
    <row r="703">
      <c r="A703" s="1"/>
      <c r="B703" s="1"/>
      <c r="C703" s="1"/>
    </row>
    <row r="704">
      <c r="A704" s="1"/>
      <c r="B704" s="1"/>
      <c r="C704" s="1"/>
    </row>
    <row r="705">
      <c r="A705" s="1"/>
      <c r="B705" s="1"/>
      <c r="C705" s="1"/>
    </row>
    <row r="706">
      <c r="A706" s="1"/>
      <c r="B706" s="1"/>
      <c r="C706" s="1"/>
    </row>
    <row r="707">
      <c r="A707" s="1"/>
      <c r="B707" s="1"/>
      <c r="C707" s="1"/>
    </row>
    <row r="708">
      <c r="A708" s="1"/>
      <c r="B708" s="1"/>
      <c r="C708" s="1"/>
    </row>
    <row r="709">
      <c r="A709" s="1"/>
      <c r="B709" s="1"/>
      <c r="C709" s="1"/>
    </row>
    <row r="710">
      <c r="A710" s="1"/>
      <c r="B710" s="1"/>
      <c r="C710" s="1"/>
    </row>
    <row r="711">
      <c r="A711" s="1"/>
      <c r="B711" s="1"/>
      <c r="C711" s="1"/>
    </row>
    <row r="712">
      <c r="A712" s="1"/>
      <c r="B712" s="1"/>
      <c r="C712" s="1"/>
    </row>
    <row r="713">
      <c r="A713" s="1"/>
      <c r="B713" s="1"/>
      <c r="C713" s="1"/>
    </row>
    <row r="714">
      <c r="A714" s="1"/>
      <c r="B714" s="1"/>
      <c r="C714" s="1"/>
    </row>
    <row r="715">
      <c r="A715" s="1"/>
      <c r="B715" s="1"/>
      <c r="C715" s="1"/>
    </row>
    <row r="716">
      <c r="A716" s="1"/>
      <c r="B716" s="1"/>
      <c r="C716" s="1"/>
    </row>
    <row r="717">
      <c r="A717" s="1"/>
      <c r="B717" s="1"/>
      <c r="C717" s="1"/>
    </row>
    <row r="718">
      <c r="A718" s="1"/>
      <c r="B718" s="1"/>
      <c r="C718" s="1"/>
    </row>
    <row r="719">
      <c r="A719" s="1"/>
      <c r="B719" s="1"/>
      <c r="C719" s="1"/>
    </row>
    <row r="720">
      <c r="A720" s="1"/>
      <c r="B720" s="1"/>
      <c r="C720" s="1"/>
    </row>
    <row r="721">
      <c r="A721" s="1"/>
      <c r="B721" s="1"/>
      <c r="C721" s="1"/>
    </row>
    <row r="722">
      <c r="A722" s="1"/>
      <c r="B722" s="1"/>
      <c r="C722" s="1"/>
    </row>
    <row r="723">
      <c r="A723" s="1"/>
      <c r="B723" s="1"/>
      <c r="C723" s="1"/>
    </row>
    <row r="724">
      <c r="A724" s="1"/>
      <c r="B724" s="1"/>
      <c r="C724" s="1"/>
    </row>
    <row r="725">
      <c r="A725" s="1"/>
      <c r="B725" s="1"/>
      <c r="C725" s="1"/>
    </row>
    <row r="726">
      <c r="A726" s="1"/>
      <c r="B726" s="1"/>
      <c r="C726" s="1"/>
    </row>
    <row r="727">
      <c r="A727" s="1"/>
      <c r="B727" s="1"/>
      <c r="C727" s="1"/>
    </row>
    <row r="728">
      <c r="A728" s="1"/>
      <c r="B728" s="1"/>
      <c r="C728" s="1"/>
    </row>
    <row r="729">
      <c r="A729" s="1"/>
      <c r="B729" s="1"/>
      <c r="C729" s="1"/>
    </row>
    <row r="730">
      <c r="A730" s="1"/>
      <c r="B730" s="1"/>
      <c r="C730" s="1"/>
    </row>
    <row r="731">
      <c r="A731" s="1"/>
      <c r="B731" s="1"/>
      <c r="C731" s="1"/>
    </row>
    <row r="732">
      <c r="A732" s="1"/>
      <c r="B732" s="1"/>
      <c r="C732" s="1"/>
    </row>
    <row r="733">
      <c r="A733" s="1"/>
      <c r="B733" s="1"/>
      <c r="C733" s="1"/>
    </row>
    <row r="734">
      <c r="A734" s="1"/>
      <c r="B734" s="1"/>
      <c r="C734" s="1"/>
    </row>
    <row r="735">
      <c r="A735" s="1"/>
      <c r="B735" s="1"/>
      <c r="C735" s="1"/>
    </row>
    <row r="736">
      <c r="A736" s="1"/>
      <c r="B736" s="1"/>
      <c r="C736" s="1"/>
    </row>
    <row r="737">
      <c r="A737" s="1"/>
      <c r="B737" s="1"/>
      <c r="C737" s="1"/>
    </row>
    <row r="738">
      <c r="A738" s="1"/>
      <c r="B738" s="1"/>
      <c r="C738" s="1"/>
    </row>
    <row r="739">
      <c r="A739" s="1"/>
      <c r="B739" s="1"/>
      <c r="C739" s="1"/>
    </row>
    <row r="740">
      <c r="A740" s="1"/>
      <c r="B740" s="1"/>
      <c r="C740" s="1"/>
    </row>
    <row r="741">
      <c r="A741" s="1"/>
      <c r="B741" s="1"/>
      <c r="C741" s="1"/>
    </row>
    <row r="742">
      <c r="A742" s="1"/>
      <c r="B742" s="1"/>
      <c r="C742" s="1"/>
    </row>
    <row r="743">
      <c r="A743" s="1"/>
      <c r="B743" s="1"/>
      <c r="C743" s="1"/>
    </row>
    <row r="744">
      <c r="A744" s="1"/>
      <c r="B744" s="1"/>
      <c r="C744" s="1"/>
    </row>
    <row r="745">
      <c r="A745" s="1"/>
      <c r="B745" s="1"/>
      <c r="C745" s="1"/>
    </row>
    <row r="746">
      <c r="A746" s="1"/>
      <c r="B746" s="1"/>
      <c r="C746" s="1"/>
    </row>
    <row r="747">
      <c r="A747" s="1"/>
      <c r="B747" s="1"/>
      <c r="C747" s="1"/>
    </row>
    <row r="748">
      <c r="A748" s="1"/>
      <c r="B748" s="1"/>
      <c r="C748" s="1"/>
    </row>
    <row r="749">
      <c r="A749" s="1"/>
      <c r="B749" s="1"/>
      <c r="C749" s="1"/>
    </row>
    <row r="750">
      <c r="A750" s="1"/>
      <c r="B750" s="1"/>
      <c r="C750" s="1"/>
    </row>
    <row r="751">
      <c r="A751" s="1"/>
      <c r="B751" s="1"/>
      <c r="C751" s="1"/>
    </row>
    <row r="752">
      <c r="A752" s="1"/>
      <c r="B752" s="1"/>
      <c r="C752" s="1"/>
    </row>
    <row r="753">
      <c r="A753" s="1"/>
      <c r="B753" s="1"/>
      <c r="C753" s="1"/>
    </row>
    <row r="754">
      <c r="A754" s="1"/>
      <c r="B754" s="1"/>
      <c r="C754" s="1"/>
    </row>
    <row r="755">
      <c r="A755" s="1"/>
      <c r="B755" s="1"/>
      <c r="C755" s="1"/>
    </row>
    <row r="756">
      <c r="A756" s="1"/>
      <c r="B756" s="1"/>
      <c r="C756" s="1"/>
    </row>
    <row r="757">
      <c r="A757" s="1"/>
      <c r="B757" s="1"/>
      <c r="C757" s="1"/>
    </row>
    <row r="758">
      <c r="A758" s="1"/>
      <c r="B758" s="1"/>
      <c r="C758" s="1"/>
    </row>
    <row r="759">
      <c r="A759" s="1"/>
      <c r="B759" s="1"/>
      <c r="C759" s="1"/>
    </row>
    <row r="760">
      <c r="A760" s="1"/>
      <c r="B760" s="1"/>
      <c r="C760" s="1"/>
    </row>
    <row r="761">
      <c r="A761" s="1"/>
      <c r="B761" s="1"/>
      <c r="C761" s="1"/>
    </row>
    <row r="762">
      <c r="A762" s="1"/>
      <c r="B762" s="1"/>
      <c r="C762" s="1"/>
    </row>
    <row r="763">
      <c r="A763" s="1"/>
      <c r="B763" s="1"/>
      <c r="C763" s="1"/>
    </row>
    <row r="764">
      <c r="A764" s="1"/>
      <c r="B764" s="1"/>
      <c r="C764" s="1"/>
    </row>
    <row r="765">
      <c r="A765" s="1"/>
      <c r="B765" s="1"/>
      <c r="C765" s="1"/>
    </row>
    <row r="766">
      <c r="A766" s="1"/>
      <c r="B766" s="1"/>
      <c r="C766" s="1"/>
    </row>
    <row r="767">
      <c r="A767" s="1"/>
      <c r="B767" s="1"/>
      <c r="C767" s="1"/>
    </row>
    <row r="768">
      <c r="A768" s="1"/>
      <c r="B768" s="1"/>
      <c r="C768" s="1"/>
    </row>
    <row r="769">
      <c r="A769" s="1"/>
      <c r="B769" s="1"/>
      <c r="C769" s="1"/>
    </row>
    <row r="770">
      <c r="A770" s="1"/>
      <c r="B770" s="1"/>
      <c r="C770" s="1"/>
    </row>
    <row r="771">
      <c r="A771" s="1"/>
      <c r="B771" s="1"/>
      <c r="C771" s="1"/>
    </row>
    <row r="772">
      <c r="A772" s="1"/>
      <c r="B772" s="1"/>
      <c r="C772" s="1"/>
    </row>
    <row r="773">
      <c r="A773" s="1"/>
      <c r="B773" s="1"/>
      <c r="C773" s="1"/>
    </row>
    <row r="774">
      <c r="A774" s="1"/>
      <c r="B774" s="1"/>
      <c r="C774" s="1"/>
    </row>
    <row r="775">
      <c r="A775" s="1"/>
      <c r="B775" s="1"/>
      <c r="C775" s="1"/>
    </row>
    <row r="776">
      <c r="A776" s="1"/>
      <c r="B776" s="1"/>
      <c r="C776" s="1"/>
    </row>
    <row r="777">
      <c r="A777" s="1"/>
      <c r="B777" s="1"/>
      <c r="C777" s="1"/>
    </row>
    <row r="778">
      <c r="A778" s="1"/>
      <c r="B778" s="1"/>
      <c r="C778" s="1"/>
    </row>
    <row r="779">
      <c r="A779" s="1"/>
      <c r="B779" s="1"/>
      <c r="C779" s="1"/>
    </row>
    <row r="780">
      <c r="A780" s="1"/>
      <c r="B780" s="1"/>
      <c r="C780" s="1"/>
    </row>
    <row r="781">
      <c r="A781" s="1"/>
      <c r="B781" s="1"/>
      <c r="C781" s="1"/>
    </row>
    <row r="782">
      <c r="A782" s="1"/>
      <c r="B782" s="1"/>
      <c r="C782" s="1"/>
    </row>
    <row r="783">
      <c r="A783" s="1"/>
      <c r="B783" s="1"/>
      <c r="C783" s="1"/>
    </row>
    <row r="784">
      <c r="A784" s="1"/>
      <c r="B784" s="1"/>
      <c r="C784" s="1"/>
    </row>
    <row r="785">
      <c r="A785" s="1"/>
      <c r="B785" s="1"/>
      <c r="C785" s="1"/>
    </row>
    <row r="786">
      <c r="A786" s="1"/>
      <c r="B786" s="1"/>
      <c r="C786" s="1"/>
    </row>
    <row r="787">
      <c r="A787" s="1"/>
      <c r="B787" s="1"/>
      <c r="C787" s="1"/>
    </row>
    <row r="788">
      <c r="A788" s="1"/>
      <c r="B788" s="1"/>
      <c r="C788" s="1"/>
    </row>
    <row r="789">
      <c r="A789" s="1"/>
      <c r="B789" s="1"/>
      <c r="C789" s="1"/>
    </row>
    <row r="790">
      <c r="A790" s="1"/>
      <c r="B790" s="1"/>
      <c r="C790" s="1"/>
    </row>
    <row r="791">
      <c r="A791" s="1"/>
      <c r="B791" s="1"/>
      <c r="C791" s="1"/>
    </row>
    <row r="792">
      <c r="A792" s="1"/>
      <c r="B792" s="1"/>
      <c r="C792" s="1"/>
    </row>
    <row r="793">
      <c r="A793" s="1"/>
      <c r="B793" s="1"/>
      <c r="C793" s="1"/>
    </row>
    <row r="794">
      <c r="A794" s="1"/>
      <c r="B794" s="1"/>
      <c r="C794" s="1"/>
    </row>
    <row r="795">
      <c r="A795" s="1"/>
      <c r="B795" s="1"/>
      <c r="C795" s="1"/>
    </row>
    <row r="796">
      <c r="A796" s="1"/>
      <c r="B796" s="1"/>
      <c r="C796" s="1"/>
    </row>
    <row r="797">
      <c r="A797" s="1"/>
      <c r="B797" s="1"/>
      <c r="C797" s="1"/>
    </row>
    <row r="798">
      <c r="A798" s="1"/>
      <c r="B798" s="1"/>
      <c r="C798" s="1"/>
    </row>
    <row r="799">
      <c r="A799" s="1"/>
      <c r="B799" s="1"/>
      <c r="C799" s="1"/>
    </row>
    <row r="800">
      <c r="A800" s="1"/>
      <c r="B800" s="1"/>
      <c r="C800" s="1"/>
    </row>
    <row r="801">
      <c r="A801" s="1"/>
      <c r="B801" s="1"/>
      <c r="C801" s="1"/>
    </row>
    <row r="802">
      <c r="A802" s="1"/>
      <c r="B802" s="1"/>
      <c r="C802" s="1"/>
    </row>
    <row r="803">
      <c r="A803" s="1"/>
      <c r="B803" s="1"/>
      <c r="C803" s="1"/>
    </row>
    <row r="804">
      <c r="A804" s="1"/>
      <c r="B804" s="1"/>
      <c r="C804" s="1"/>
    </row>
    <row r="805">
      <c r="A805" s="1"/>
      <c r="B805" s="1"/>
      <c r="C805" s="1"/>
    </row>
    <row r="806">
      <c r="A806" s="1"/>
      <c r="B806" s="1"/>
      <c r="C806" s="1"/>
    </row>
    <row r="807">
      <c r="A807" s="1"/>
      <c r="B807" s="1"/>
      <c r="C807" s="1"/>
    </row>
    <row r="808">
      <c r="A808" s="1"/>
      <c r="B808" s="1"/>
      <c r="C808" s="1"/>
    </row>
    <row r="809">
      <c r="A809" s="1"/>
      <c r="B809" s="1"/>
      <c r="C809" s="1"/>
    </row>
    <row r="810">
      <c r="A810" s="1"/>
      <c r="B810" s="1"/>
      <c r="C810" s="1"/>
    </row>
    <row r="811">
      <c r="A811" s="1"/>
      <c r="B811" s="1"/>
      <c r="C811" s="1"/>
    </row>
    <row r="812">
      <c r="A812" s="1"/>
      <c r="B812" s="1"/>
      <c r="C812" s="1"/>
    </row>
    <row r="813">
      <c r="A813" s="1"/>
      <c r="B813" s="1"/>
      <c r="C813" s="1"/>
    </row>
    <row r="814">
      <c r="A814" s="1"/>
      <c r="B814" s="1"/>
      <c r="C814" s="1"/>
    </row>
    <row r="815">
      <c r="A815" s="1"/>
      <c r="B815" s="1"/>
      <c r="C815" s="1"/>
    </row>
    <row r="816">
      <c r="A816" s="1"/>
      <c r="B816" s="1"/>
      <c r="C816" s="1"/>
    </row>
    <row r="817">
      <c r="A817" s="1"/>
      <c r="B817" s="1"/>
      <c r="C817" s="1"/>
    </row>
    <row r="818">
      <c r="A818" s="1"/>
      <c r="B818" s="1"/>
      <c r="C818" s="1"/>
    </row>
    <row r="819">
      <c r="A819" s="1"/>
      <c r="B819" s="1"/>
      <c r="C819" s="1"/>
    </row>
    <row r="820">
      <c r="A820" s="1"/>
      <c r="B820" s="1"/>
      <c r="C820" s="1"/>
    </row>
    <row r="821">
      <c r="A821" s="1"/>
      <c r="B821" s="1"/>
      <c r="C821" s="1"/>
    </row>
    <row r="822">
      <c r="A822" s="1"/>
      <c r="B822" s="1"/>
      <c r="C822" s="1"/>
    </row>
    <row r="823">
      <c r="A823" s="1"/>
      <c r="B823" s="1"/>
      <c r="C823" s="1"/>
    </row>
    <row r="824">
      <c r="A824" s="1"/>
      <c r="B824" s="1"/>
      <c r="C824" s="1"/>
    </row>
    <row r="825">
      <c r="A825" s="1"/>
      <c r="B825" s="1"/>
      <c r="C825" s="1"/>
    </row>
    <row r="826">
      <c r="A826" s="1"/>
      <c r="B826" s="1"/>
      <c r="C826" s="1"/>
    </row>
    <row r="827">
      <c r="A827" s="1"/>
      <c r="B827" s="1"/>
      <c r="C827" s="1"/>
    </row>
    <row r="828">
      <c r="A828" s="1"/>
      <c r="B828" s="1"/>
      <c r="C828" s="1"/>
    </row>
    <row r="829">
      <c r="A829" s="1"/>
      <c r="B829" s="1"/>
      <c r="C829" s="1"/>
    </row>
    <row r="830">
      <c r="A830" s="1"/>
      <c r="B830" s="1"/>
      <c r="C830" s="1"/>
    </row>
    <row r="831">
      <c r="A831" s="1"/>
      <c r="B831" s="1"/>
      <c r="C831" s="1"/>
    </row>
    <row r="832">
      <c r="A832" s="1"/>
      <c r="B832" s="1"/>
      <c r="C832" s="1"/>
    </row>
    <row r="833">
      <c r="A833" s="1"/>
      <c r="B833" s="1"/>
      <c r="C833" s="1"/>
    </row>
    <row r="834">
      <c r="A834" s="1"/>
      <c r="B834" s="1"/>
      <c r="C834" s="1"/>
    </row>
    <row r="835">
      <c r="A835" s="1"/>
      <c r="B835" s="1"/>
      <c r="C835" s="1"/>
    </row>
    <row r="836">
      <c r="A836" s="1"/>
      <c r="B836" s="1"/>
      <c r="C836" s="1"/>
    </row>
    <row r="837">
      <c r="A837" s="1"/>
      <c r="B837" s="1"/>
      <c r="C837" s="1"/>
    </row>
    <row r="838">
      <c r="A838" s="1"/>
      <c r="B838" s="1"/>
      <c r="C838" s="1"/>
    </row>
    <row r="839">
      <c r="A839" s="1"/>
      <c r="B839" s="1"/>
      <c r="C839" s="1"/>
    </row>
    <row r="840">
      <c r="A840" s="1"/>
      <c r="B840" s="1"/>
      <c r="C840" s="1"/>
    </row>
    <row r="841">
      <c r="A841" s="1"/>
      <c r="B841" s="1"/>
      <c r="C841" s="1"/>
    </row>
    <row r="842">
      <c r="A842" s="1"/>
      <c r="B842" s="1"/>
      <c r="C842" s="1"/>
    </row>
    <row r="843">
      <c r="A843" s="1"/>
      <c r="B843" s="1"/>
      <c r="C843" s="1"/>
    </row>
    <row r="844">
      <c r="A844" s="1"/>
      <c r="B844" s="1"/>
      <c r="C844" s="1"/>
    </row>
    <row r="845">
      <c r="A845" s="1"/>
      <c r="B845" s="1"/>
      <c r="C845" s="1"/>
    </row>
    <row r="846">
      <c r="A846" s="1"/>
      <c r="B846" s="1"/>
      <c r="C846" s="1"/>
    </row>
    <row r="847">
      <c r="A847" s="1"/>
      <c r="B847" s="1"/>
      <c r="C847" s="1"/>
    </row>
    <row r="848">
      <c r="A848" s="1"/>
      <c r="B848" s="1"/>
      <c r="C848" s="1"/>
    </row>
    <row r="849">
      <c r="A849" s="1"/>
      <c r="B849" s="1"/>
      <c r="C849" s="1"/>
    </row>
    <row r="850">
      <c r="A850" s="1"/>
      <c r="B850" s="1"/>
      <c r="C850" s="1"/>
    </row>
    <row r="851">
      <c r="A851" s="1"/>
      <c r="B851" s="1"/>
      <c r="C851" s="1"/>
    </row>
    <row r="852">
      <c r="A852" s="1"/>
      <c r="B852" s="1"/>
      <c r="C852" s="1"/>
    </row>
    <row r="853">
      <c r="A853" s="1"/>
      <c r="B853" s="1"/>
      <c r="C853" s="1"/>
    </row>
    <row r="854">
      <c r="A854" s="1"/>
      <c r="B854" s="1"/>
      <c r="C854" s="1"/>
    </row>
    <row r="855">
      <c r="A855" s="1"/>
      <c r="B855" s="1"/>
      <c r="C855" s="1"/>
    </row>
    <row r="856">
      <c r="A856" s="1"/>
      <c r="B856" s="1"/>
      <c r="C856" s="1"/>
    </row>
    <row r="857">
      <c r="A857" s="1"/>
      <c r="B857" s="1"/>
      <c r="C857" s="1"/>
    </row>
    <row r="858">
      <c r="A858" s="1"/>
      <c r="B858" s="1"/>
      <c r="C858" s="1"/>
    </row>
    <row r="859">
      <c r="A859" s="1"/>
      <c r="B859" s="1"/>
      <c r="C859" s="1"/>
    </row>
    <row r="860">
      <c r="A860" s="1"/>
      <c r="B860" s="1"/>
      <c r="C860" s="1"/>
    </row>
    <row r="861">
      <c r="A861" s="1"/>
      <c r="B861" s="1"/>
      <c r="C861" s="1"/>
    </row>
    <row r="862">
      <c r="A862" s="1"/>
      <c r="B862" s="1"/>
      <c r="C862" s="1"/>
    </row>
    <row r="863">
      <c r="A863" s="1"/>
      <c r="B863" s="1"/>
      <c r="C863" s="1"/>
    </row>
    <row r="864">
      <c r="A864" s="1"/>
      <c r="B864" s="1"/>
      <c r="C864" s="1"/>
    </row>
    <row r="865">
      <c r="A865" s="1"/>
      <c r="B865" s="1"/>
      <c r="C865" s="1"/>
    </row>
    <row r="866">
      <c r="A866" s="1"/>
      <c r="B866" s="1"/>
      <c r="C866" s="1"/>
    </row>
    <row r="867">
      <c r="A867" s="1"/>
      <c r="B867" s="1"/>
      <c r="C867" s="1"/>
    </row>
    <row r="868">
      <c r="A868" s="1"/>
      <c r="B868" s="1"/>
      <c r="C868" s="1"/>
    </row>
    <row r="869">
      <c r="A869" s="1"/>
      <c r="B869" s="1"/>
      <c r="C869" s="1"/>
    </row>
    <row r="870">
      <c r="A870" s="1"/>
      <c r="B870" s="1"/>
      <c r="C870" s="1"/>
    </row>
    <row r="871">
      <c r="A871" s="1"/>
      <c r="B871" s="1"/>
      <c r="C871" s="1"/>
    </row>
    <row r="872">
      <c r="A872" s="1"/>
      <c r="B872" s="1"/>
      <c r="C872" s="1"/>
    </row>
    <row r="873">
      <c r="A873" s="1"/>
      <c r="B873" s="1"/>
      <c r="C873" s="1"/>
    </row>
    <row r="874">
      <c r="A874" s="1"/>
      <c r="B874" s="1"/>
      <c r="C874" s="1"/>
    </row>
    <row r="875">
      <c r="A875" s="1"/>
      <c r="B875" s="1"/>
      <c r="C875" s="1"/>
    </row>
    <row r="876">
      <c r="A876" s="1"/>
      <c r="B876" s="1"/>
      <c r="C876" s="1"/>
    </row>
    <row r="877">
      <c r="A877" s="1"/>
      <c r="B877" s="1"/>
      <c r="C877" s="1"/>
    </row>
    <row r="878">
      <c r="A878" s="1"/>
      <c r="B878" s="1"/>
      <c r="C878" s="1"/>
    </row>
    <row r="879">
      <c r="A879" s="1"/>
      <c r="B879" s="1"/>
      <c r="C879" s="1"/>
    </row>
    <row r="880">
      <c r="A880" s="1"/>
      <c r="B880" s="1"/>
      <c r="C880" s="1"/>
    </row>
    <row r="881">
      <c r="A881" s="1"/>
      <c r="B881" s="1"/>
      <c r="C881" s="1"/>
    </row>
    <row r="882">
      <c r="A882" s="1"/>
      <c r="B882" s="1"/>
      <c r="C882" s="1"/>
    </row>
    <row r="883">
      <c r="A883" s="1"/>
      <c r="B883" s="1"/>
      <c r="C883" s="1"/>
    </row>
    <row r="884">
      <c r="A884" s="1"/>
      <c r="B884" s="1"/>
      <c r="C884" s="1"/>
    </row>
    <row r="885">
      <c r="A885" s="1"/>
      <c r="B885" s="1"/>
      <c r="C885" s="1"/>
    </row>
    <row r="886">
      <c r="A886" s="1"/>
      <c r="B886" s="1"/>
      <c r="C886" s="1"/>
    </row>
    <row r="887">
      <c r="A887" s="1"/>
      <c r="B887" s="1"/>
      <c r="C887" s="1"/>
    </row>
    <row r="888">
      <c r="A888" s="1"/>
      <c r="B888" s="1"/>
      <c r="C888" s="1"/>
    </row>
    <row r="889">
      <c r="A889" s="1"/>
      <c r="B889" s="1"/>
      <c r="C889" s="1"/>
    </row>
    <row r="890">
      <c r="A890" s="1"/>
      <c r="B890" s="1"/>
      <c r="C890" s="1"/>
    </row>
    <row r="891">
      <c r="A891" s="1"/>
      <c r="B891" s="1"/>
      <c r="C891" s="1"/>
    </row>
    <row r="892">
      <c r="A892" s="1"/>
      <c r="B892" s="1"/>
      <c r="C892" s="1"/>
    </row>
    <row r="893">
      <c r="A893" s="1"/>
      <c r="B893" s="1"/>
      <c r="C893" s="1"/>
    </row>
    <row r="894">
      <c r="A894" s="1"/>
      <c r="B894" s="1"/>
      <c r="C894" s="1"/>
    </row>
    <row r="895">
      <c r="A895" s="1"/>
      <c r="B895" s="1"/>
      <c r="C895" s="1"/>
    </row>
    <row r="896">
      <c r="A896" s="1"/>
      <c r="B896" s="1"/>
      <c r="C896" s="1"/>
    </row>
    <row r="897">
      <c r="A897" s="1"/>
      <c r="B897" s="1"/>
      <c r="C897" s="1"/>
    </row>
    <row r="898">
      <c r="A898" s="1"/>
      <c r="B898" s="1"/>
      <c r="C898" s="1"/>
    </row>
    <row r="899">
      <c r="A899" s="1"/>
      <c r="B899" s="1"/>
      <c r="C899" s="1"/>
    </row>
    <row r="900">
      <c r="A900" s="1"/>
      <c r="B900" s="1"/>
      <c r="C900" s="1"/>
    </row>
    <row r="901">
      <c r="A901" s="1"/>
      <c r="B901" s="1"/>
      <c r="C901" s="1"/>
    </row>
    <row r="902">
      <c r="A902" s="1"/>
      <c r="B902" s="1"/>
      <c r="C902" s="1"/>
    </row>
    <row r="903">
      <c r="A903" s="1"/>
      <c r="B903" s="1"/>
      <c r="C903" s="1"/>
    </row>
    <row r="904">
      <c r="A904" s="1"/>
      <c r="B904" s="1"/>
      <c r="C904" s="1"/>
    </row>
    <row r="905">
      <c r="A905" s="1"/>
      <c r="B905" s="1"/>
      <c r="C905" s="1"/>
    </row>
    <row r="906">
      <c r="A906" s="1"/>
      <c r="B906" s="1"/>
      <c r="C906" s="1"/>
    </row>
    <row r="907">
      <c r="A907" s="1"/>
      <c r="B907" s="1"/>
      <c r="C907" s="1"/>
    </row>
    <row r="908">
      <c r="A908" s="1"/>
      <c r="B908" s="1"/>
      <c r="C908" s="1"/>
    </row>
    <row r="909">
      <c r="A909" s="1"/>
      <c r="B909" s="1"/>
      <c r="C909" s="1"/>
    </row>
    <row r="910">
      <c r="A910" s="1"/>
      <c r="B910" s="1"/>
      <c r="C910" s="1"/>
    </row>
    <row r="911">
      <c r="A911" s="1"/>
      <c r="B911" s="1"/>
      <c r="C911" s="1"/>
    </row>
    <row r="912">
      <c r="A912" s="1"/>
      <c r="B912" s="1"/>
      <c r="C912" s="1"/>
    </row>
    <row r="913">
      <c r="A913" s="1"/>
      <c r="B913" s="1"/>
      <c r="C913" s="1"/>
    </row>
    <row r="914">
      <c r="A914" s="1"/>
      <c r="B914" s="1"/>
      <c r="C914" s="1"/>
    </row>
    <row r="915">
      <c r="A915" s="1"/>
      <c r="B915" s="1"/>
      <c r="C915" s="1"/>
    </row>
    <row r="916">
      <c r="A916" s="1"/>
      <c r="B916" s="1"/>
      <c r="C916" s="1"/>
    </row>
    <row r="917">
      <c r="A917" s="1"/>
      <c r="B917" s="1"/>
      <c r="C917" s="1"/>
    </row>
    <row r="918">
      <c r="A918" s="1"/>
      <c r="B918" s="1"/>
      <c r="C918" s="1"/>
    </row>
    <row r="919">
      <c r="A919" s="1"/>
      <c r="B919" s="1"/>
      <c r="C919" s="1"/>
    </row>
    <row r="920">
      <c r="A920" s="1"/>
      <c r="B920" s="1"/>
      <c r="C920" s="1"/>
    </row>
    <row r="921">
      <c r="A921" s="1"/>
      <c r="B921" s="1"/>
      <c r="C921" s="1"/>
    </row>
    <row r="922">
      <c r="A922" s="1"/>
      <c r="B922" s="1"/>
      <c r="C922" s="1"/>
    </row>
    <row r="923">
      <c r="A923" s="1"/>
      <c r="B923" s="1"/>
      <c r="C923" s="1"/>
    </row>
    <row r="924">
      <c r="A924" s="1"/>
      <c r="B924" s="1"/>
      <c r="C924" s="1"/>
    </row>
    <row r="925">
      <c r="A925" s="1"/>
      <c r="B925" s="1"/>
      <c r="C925" s="1"/>
    </row>
    <row r="926">
      <c r="A926" s="1"/>
      <c r="B926" s="1"/>
      <c r="C926" s="1"/>
    </row>
    <row r="927">
      <c r="A927" s="1"/>
      <c r="B927" s="1"/>
      <c r="C927" s="1"/>
    </row>
    <row r="928">
      <c r="A928" s="1"/>
      <c r="B928" s="1"/>
      <c r="C928" s="1"/>
    </row>
    <row r="929">
      <c r="A929" s="1"/>
      <c r="B929" s="1"/>
      <c r="C929" s="1"/>
    </row>
    <row r="930">
      <c r="A930" s="1"/>
      <c r="B930" s="1"/>
      <c r="C930" s="1"/>
    </row>
    <row r="931">
      <c r="A931" s="1"/>
      <c r="B931" s="1"/>
      <c r="C931" s="1"/>
    </row>
    <row r="932">
      <c r="A932" s="1"/>
      <c r="B932" s="1"/>
      <c r="C932" s="1"/>
    </row>
    <row r="933">
      <c r="A933" s="1"/>
      <c r="B933" s="1"/>
      <c r="C933" s="1"/>
    </row>
    <row r="934">
      <c r="A934" s="1"/>
      <c r="B934" s="1"/>
      <c r="C934" s="1"/>
    </row>
    <row r="935">
      <c r="A935" s="1"/>
      <c r="B935" s="1"/>
      <c r="C935" s="1"/>
    </row>
    <row r="936">
      <c r="A936" s="1"/>
      <c r="B936" s="1"/>
      <c r="C936" s="1"/>
    </row>
    <row r="937">
      <c r="A937" s="1"/>
      <c r="B937" s="1"/>
      <c r="C937" s="1"/>
    </row>
    <row r="938">
      <c r="A938" s="1"/>
      <c r="B938" s="1"/>
      <c r="C938" s="1"/>
    </row>
    <row r="939">
      <c r="A939" s="1"/>
      <c r="B939" s="1"/>
      <c r="C939" s="1"/>
    </row>
    <row r="940">
      <c r="A940" s="1"/>
      <c r="B940" s="1"/>
      <c r="C940" s="1"/>
    </row>
    <row r="941">
      <c r="A941" s="1"/>
      <c r="B941" s="1"/>
      <c r="C941" s="1"/>
    </row>
    <row r="942">
      <c r="A942" s="1"/>
      <c r="B942" s="1"/>
      <c r="C942" s="1"/>
    </row>
    <row r="943">
      <c r="A943" s="1"/>
      <c r="B943" s="1"/>
      <c r="C943" s="1"/>
    </row>
    <row r="944">
      <c r="A944" s="1"/>
      <c r="B944" s="1"/>
      <c r="C944" s="1"/>
    </row>
    <row r="945">
      <c r="A945" s="1"/>
      <c r="B945" s="1"/>
      <c r="C945" s="1"/>
    </row>
    <row r="946">
      <c r="A946" s="1"/>
      <c r="B946" s="1"/>
      <c r="C946" s="1"/>
    </row>
    <row r="947">
      <c r="A947" s="1"/>
      <c r="B947" s="1"/>
      <c r="C947" s="1"/>
    </row>
    <row r="948">
      <c r="A948" s="1"/>
      <c r="B948" s="1"/>
      <c r="C948" s="1"/>
    </row>
    <row r="949">
      <c r="A949" s="1"/>
      <c r="B949" s="1"/>
      <c r="C949" s="1"/>
    </row>
    <row r="950">
      <c r="A950" s="1"/>
      <c r="B950" s="1"/>
      <c r="C950" s="1"/>
    </row>
    <row r="951">
      <c r="A951" s="1"/>
      <c r="B951" s="1"/>
      <c r="C951" s="1"/>
    </row>
    <row r="952">
      <c r="A952" s="1"/>
      <c r="B952" s="1"/>
      <c r="C952" s="1"/>
    </row>
    <row r="953">
      <c r="A953" s="1"/>
      <c r="B953" s="1"/>
      <c r="C953" s="1"/>
    </row>
    <row r="954">
      <c r="A954" s="1"/>
      <c r="B954" s="1"/>
      <c r="C954" s="1"/>
    </row>
    <row r="955">
      <c r="A955" s="1"/>
      <c r="B955" s="1"/>
      <c r="C955" s="1"/>
    </row>
    <row r="956">
      <c r="A956" s="1"/>
      <c r="B956" s="1"/>
      <c r="C956" s="1"/>
    </row>
    <row r="957">
      <c r="A957" s="1"/>
      <c r="B957" s="1"/>
      <c r="C957" s="1"/>
    </row>
    <row r="958">
      <c r="A958" s="1"/>
      <c r="B958" s="1"/>
      <c r="C958" s="1"/>
    </row>
    <row r="959">
      <c r="A959" s="1"/>
      <c r="B959" s="1"/>
      <c r="C959" s="1"/>
    </row>
    <row r="960">
      <c r="A960" s="1"/>
      <c r="B960" s="1"/>
      <c r="C960" s="1"/>
    </row>
    <row r="961">
      <c r="A961" s="1"/>
      <c r="B961" s="1"/>
      <c r="C961" s="1"/>
    </row>
    <row r="962">
      <c r="A962" s="1"/>
      <c r="B962" s="1"/>
      <c r="C962" s="1"/>
    </row>
    <row r="963">
      <c r="A963" s="1"/>
      <c r="B963" s="1"/>
      <c r="C963" s="1"/>
    </row>
    <row r="964">
      <c r="A964" s="1"/>
      <c r="B964" s="1"/>
      <c r="C964" s="1"/>
    </row>
    <row r="965">
      <c r="A965" s="1"/>
      <c r="B965" s="1"/>
      <c r="C965" s="1"/>
    </row>
    <row r="966">
      <c r="A966" s="1"/>
      <c r="B966" s="1"/>
      <c r="C966" s="1"/>
    </row>
    <row r="967">
      <c r="A967" s="1"/>
      <c r="B967" s="1"/>
      <c r="C967" s="1"/>
    </row>
    <row r="968">
      <c r="A968" s="1"/>
      <c r="B968" s="1"/>
      <c r="C968" s="1"/>
    </row>
    <row r="969">
      <c r="A969" s="1"/>
      <c r="B969" s="1"/>
      <c r="C969" s="1"/>
    </row>
    <row r="970">
      <c r="A970" s="1"/>
      <c r="B970" s="1"/>
      <c r="C970" s="1"/>
    </row>
    <row r="971">
      <c r="A971" s="1"/>
      <c r="B971" s="1"/>
      <c r="C971" s="1"/>
    </row>
    <row r="972">
      <c r="A972" s="1"/>
      <c r="B972" s="1"/>
      <c r="C972" s="1"/>
    </row>
    <row r="973">
      <c r="A973" s="1"/>
      <c r="B973" s="1"/>
      <c r="C973" s="1"/>
    </row>
    <row r="974">
      <c r="A974" s="1"/>
      <c r="B974" s="1"/>
      <c r="C974" s="1"/>
    </row>
    <row r="975">
      <c r="A975" s="1"/>
      <c r="B975" s="1"/>
      <c r="C975" s="1"/>
    </row>
    <row r="976">
      <c r="A976" s="1"/>
      <c r="B976" s="1"/>
      <c r="C976" s="1"/>
    </row>
    <row r="977">
      <c r="A977" s="1"/>
      <c r="B977" s="1"/>
      <c r="C977" s="1"/>
    </row>
    <row r="978">
      <c r="A978" s="1"/>
      <c r="B978" s="1"/>
      <c r="C978" s="1"/>
    </row>
    <row r="979">
      <c r="A979" s="1"/>
      <c r="B979" s="1"/>
      <c r="C979" s="1"/>
    </row>
    <row r="980">
      <c r="A980" s="1"/>
      <c r="B980" s="1"/>
      <c r="C980" s="1"/>
    </row>
    <row r="981">
      <c r="A981" s="1"/>
      <c r="B981" s="1"/>
      <c r="C981" s="1"/>
    </row>
    <row r="982">
      <c r="A982" s="1"/>
      <c r="B982" s="1"/>
      <c r="C982" s="1"/>
    </row>
    <row r="983">
      <c r="A983" s="1"/>
      <c r="B983" s="1"/>
      <c r="C983" s="1"/>
    </row>
    <row r="984">
      <c r="A984" s="1"/>
      <c r="B984" s="1"/>
      <c r="C984" s="1"/>
    </row>
    <row r="985">
      <c r="A985" s="1"/>
      <c r="B985" s="1"/>
      <c r="C985" s="1"/>
    </row>
    <row r="986">
      <c r="A986" s="1"/>
      <c r="B986" s="1"/>
      <c r="C986" s="1"/>
    </row>
    <row r="987">
      <c r="A987" s="1"/>
      <c r="B987" s="1"/>
      <c r="C987" s="1"/>
    </row>
    <row r="988">
      <c r="A988" s="1"/>
      <c r="B988" s="1"/>
      <c r="C988" s="1"/>
    </row>
    <row r="989">
      <c r="A989" s="1"/>
      <c r="B989" s="1"/>
      <c r="C989" s="1"/>
    </row>
    <row r="990">
      <c r="A990" s="1"/>
      <c r="B990" s="1"/>
      <c r="C990" s="1"/>
    </row>
    <row r="991">
      <c r="A991" s="1"/>
      <c r="B991" s="1"/>
      <c r="C991" s="1"/>
    </row>
    <row r="992">
      <c r="A992" s="1"/>
      <c r="B992" s="1"/>
      <c r="C992" s="1"/>
    </row>
    <row r="993">
      <c r="A993" s="1"/>
      <c r="B993" s="1"/>
      <c r="C993" s="1"/>
    </row>
    <row r="994">
      <c r="A994" s="1"/>
      <c r="B994" s="1"/>
      <c r="C994" s="1"/>
    </row>
    <row r="995">
      <c r="A995" s="1"/>
      <c r="B995" s="1"/>
      <c r="C995" s="1"/>
    </row>
    <row r="996">
      <c r="A996" s="1"/>
      <c r="B996" s="1"/>
      <c r="C996" s="1"/>
    </row>
    <row r="997">
      <c r="A997" s="1"/>
      <c r="B997" s="1"/>
      <c r="C997" s="1"/>
    </row>
    <row r="998">
      <c r="A998" s="1"/>
      <c r="B998" s="1"/>
      <c r="C998" s="1"/>
    </row>
    <row r="999">
      <c r="A999" s="1"/>
      <c r="B999" s="1"/>
      <c r="C999" s="1"/>
    </row>
    <row r="1000">
      <c r="A1000" s="1"/>
      <c r="B1000" s="1"/>
      <c r="C1000" s="1"/>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7.38"/>
    <col customWidth="1" min="2" max="6" width="12.63"/>
    <col customWidth="1" min="12" max="12" width="28.75"/>
  </cols>
  <sheetData>
    <row r="1" ht="15.75" customHeight="1">
      <c r="A1" s="2" t="str">
        <f>IFERROR(__xludf.DUMMYFUNCTION("IMPORTRANGE(""https://docs.google.com/spreadsheets/d/1HXoAI5UG3zq1UHqU5n7fPdbQk93qOha2VQb1r7iRi1o"",""Equipconvert!A:BJ"")"),"Name")</f>
        <v>Name</v>
      </c>
      <c r="B1" s="2" t="str">
        <f>IFERROR(__xludf.DUMMYFUNCTION("""COMPUTED_VALUE"""),"Description")</f>
        <v>Description</v>
      </c>
      <c r="C1" s="2" t="str">
        <f>IFERROR(__xludf.DUMMYFUNCTION("""COMPUTED_VALUE"""),"Type")</f>
        <v>Type</v>
      </c>
      <c r="D1" s="2" t="str">
        <f>IFERROR(__xludf.DUMMYFUNCTION("""COMPUTED_VALUE"""),"Slot")</f>
        <v>Slot</v>
      </c>
      <c r="E1" s="2" t="str">
        <f>IFERROR(__xludf.DUMMYFUNCTION("""COMPUTED_VALUE"""),"Level Requirement")</f>
        <v>Level Requirement</v>
      </c>
      <c r="F1" s="2" t="str">
        <f>IFERROR(__xludf.DUMMYFUNCTION("""COMPUTED_VALUE"""),"Abilities")</f>
        <v>Abilities</v>
      </c>
      <c r="G1" s="2" t="str">
        <f>IFERROR(__xludf.DUMMYFUNCTION("""COMPUTED_VALUE"""),"Estimated Price")</f>
        <v>Estimated Price</v>
      </c>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3"/>
      <c r="BB1" s="3"/>
      <c r="BC1" s="2"/>
      <c r="BD1" s="3"/>
      <c r="BE1" s="3"/>
      <c r="BF1" s="3"/>
      <c r="BG1" s="3"/>
      <c r="BH1" s="3"/>
      <c r="BI1" s="3"/>
      <c r="BJ1" s="3"/>
      <c r="BK1" s="3"/>
      <c r="BL1" s="3"/>
    </row>
    <row r="2" ht="15.75" customHeight="1">
      <c r="A2" s="2" t="str">
        <f>IFERROR(__xludf.DUMMYFUNCTION("""COMPUTED_VALUE"""),"""Hellfire Club"" Vest of Metal Harmony's")</f>
        <v>"Hellfire Club" Vest of Metal Harmony's</v>
      </c>
      <c r="B2" s="2"/>
      <c r="C2" s="2"/>
      <c r="D2" s="5" t="str">
        <f>IFERROR(__xludf.DUMMYFUNCTION("""COMPUTED_VALUE"""),"Torso")</f>
        <v>Torso</v>
      </c>
      <c r="E2" s="5">
        <f>IFERROR(__xludf.DUMMYFUNCTION("""COMPUTED_VALUE"""),200.0)</f>
        <v>200</v>
      </c>
      <c r="F2" s="5" t="str">
        <f>IFERROR(__xludf.DUMMYFUNCTION("""COMPUTED_VALUE"""),"DEF: ++10000 ++When dealing damage with an instrument you will regain sp equal to the damage you caused.")</f>
        <v>DEF: ++10000 ++When dealing damage with an instrument you will regain sp equal to the damage you caused.</v>
      </c>
      <c r="G2" s="5">
        <f>IFERROR(__xludf.DUMMYFUNCTION("""COMPUTED_VALUE"""),1900000.0)</f>
        <v>1900000</v>
      </c>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3"/>
      <c r="BB2" s="3"/>
      <c r="BD2" s="3"/>
      <c r="BE2" s="3"/>
      <c r="BF2" s="3"/>
      <c r="BG2" s="3"/>
      <c r="BH2" s="3"/>
      <c r="BI2" s="3"/>
      <c r="BJ2" s="3"/>
      <c r="BK2" s="3"/>
      <c r="BL2" s="3"/>
    </row>
    <row r="3" ht="15.75" customHeight="1">
      <c r="A3" s="2" t="str">
        <f>IFERROR(__xludf.DUMMYFUNCTION("""COMPUTED_VALUE"""),"""Sweetheart"" Guitar of The Upside Down")</f>
        <v>"Sweetheart" Guitar of The Upside Down</v>
      </c>
      <c r="B3" s="2"/>
      <c r="C3" s="2" t="str">
        <f>IFERROR(__xludf.DUMMYFUNCTION("""COMPUTED_VALUE"""),"Instrument")</f>
        <v>Instrument</v>
      </c>
      <c r="D3" s="5" t="str">
        <f>IFERROR(__xludf.DUMMYFUNCTION("""COMPUTED_VALUE"""),"Hand")</f>
        <v>Hand</v>
      </c>
      <c r="E3" s="6">
        <f>IFERROR(__xludf.DUMMYFUNCTION("""COMPUTED_VALUE"""),200.0)</f>
        <v>200</v>
      </c>
      <c r="F3" s="5"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5">
        <f>IFERROR(__xludf.DUMMYFUNCTION("""COMPUTED_VALUE"""),1900000.0)</f>
        <v>1900000</v>
      </c>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3"/>
      <c r="BB3" s="3"/>
      <c r="BD3" s="3"/>
      <c r="BE3" s="3"/>
      <c r="BF3" s="3"/>
      <c r="BG3" s="3"/>
      <c r="BH3" s="3"/>
      <c r="BI3" s="3"/>
      <c r="BJ3" s="3"/>
      <c r="BK3" s="3"/>
      <c r="BL3" s="3"/>
    </row>
    <row r="4" ht="15.75" customHeight="1">
      <c r="A4" s="2" t="str">
        <f>IFERROR(__xludf.DUMMYFUNCTION("""COMPUTED_VALUE"""),"Alpha Sword")</f>
        <v>Alpha Sword</v>
      </c>
      <c r="B4" s="2"/>
      <c r="C4" s="1" t="str">
        <f>IFERROR(__xludf.DUMMYFUNCTION("""COMPUTED_VALUE"""),"Sword")</f>
        <v>Sword</v>
      </c>
      <c r="D4" s="5" t="str">
        <f>IFERROR(__xludf.DUMMYFUNCTION("""COMPUTED_VALUE"""),"Hand")</f>
        <v>Hand</v>
      </c>
      <c r="E4" s="5">
        <f>IFERROR(__xludf.DUMMYFUNCTION("""COMPUTED_VALUE"""),4000.0)</f>
        <v>4000</v>
      </c>
      <c r="F4" s="5"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5">
        <f>IFERROR(__xludf.DUMMYFUNCTION("""COMPUTED_VALUE"""),7.98E8)</f>
        <v>798000000</v>
      </c>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3"/>
      <c r="BB4" s="3"/>
      <c r="BD4" s="3"/>
      <c r="BE4" s="3"/>
      <c r="BF4" s="3"/>
      <c r="BG4" s="3"/>
      <c r="BH4" s="3"/>
      <c r="BI4" s="3"/>
      <c r="BJ4" s="3"/>
      <c r="BK4" s="3"/>
      <c r="BL4" s="3"/>
    </row>
    <row r="5" ht="15.75" customHeight="1">
      <c r="A5" s="1" t="str">
        <f>IFERROR(__xludf.DUMMYFUNCTION("""COMPUTED_VALUE"""),"Ancient Colossus Forest Hammer")</f>
        <v>Ancient Colossus Forest Hammer</v>
      </c>
      <c r="B5" s="1"/>
      <c r="C5" s="1" t="str">
        <f>IFERROR(__xludf.DUMMYFUNCTION("""COMPUTED_VALUE"""),"Club")</f>
        <v>Club</v>
      </c>
      <c r="D5" s="1" t="str">
        <f>IFERROR(__xludf.DUMMYFUNCTION("""COMPUTED_VALUE"""),"Hand")</f>
        <v>Hand</v>
      </c>
      <c r="E5" s="1">
        <f>IFERROR(__xludf.DUMMYFUNCTION("""COMPUTED_VALUE"""),700.0)</f>
        <v>700</v>
      </c>
      <c r="F5" s="1"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
        <f>IFERROR(__xludf.DUMMYFUNCTION("""COMPUTED_VALUE"""),2.415E7)</f>
        <v>24150000</v>
      </c>
      <c r="H5" s="1"/>
      <c r="I5" s="1"/>
      <c r="J5" s="1"/>
      <c r="K5" s="1"/>
      <c r="L5" s="1"/>
      <c r="M5" s="1"/>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3"/>
      <c r="BB5" s="3"/>
      <c r="BD5" s="3"/>
      <c r="BE5" s="3"/>
      <c r="BF5" s="3"/>
      <c r="BG5" s="3"/>
      <c r="BH5" s="3"/>
      <c r="BI5" s="3"/>
      <c r="BJ5" s="3"/>
      <c r="BK5" s="3"/>
      <c r="BL5" s="3"/>
    </row>
    <row r="6" ht="15.75" customHeight="1">
      <c r="A6" s="2" t="str">
        <f>IFERROR(__xludf.DUMMYFUNCTION("""COMPUTED_VALUE"""),"Ancient Samurai Sword")</f>
        <v>Ancient Samurai Sword</v>
      </c>
      <c r="B6" s="2"/>
      <c r="C6" s="1" t="str">
        <f>IFERROR(__xludf.DUMMYFUNCTION("""COMPUTED_VALUE"""),"Sword")</f>
        <v>Sword</v>
      </c>
      <c r="D6" s="2" t="str">
        <f>IFERROR(__xludf.DUMMYFUNCTION("""COMPUTED_VALUE"""),"Hand")</f>
        <v>Hand</v>
      </c>
      <c r="E6" s="2">
        <f>IFERROR(__xludf.DUMMYFUNCTION("""COMPUTED_VALUE"""),800.0)</f>
        <v>800</v>
      </c>
      <c r="F6" s="2"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2">
        <f>IFERROR(__xludf.DUMMYFUNCTION("""COMPUTED_VALUE"""),3.16E7)</f>
        <v>31600000</v>
      </c>
      <c r="H6" s="2"/>
      <c r="I6" s="2"/>
      <c r="J6" s="5"/>
      <c r="K6" s="5"/>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3"/>
      <c r="BB6" s="3"/>
      <c r="BD6" s="3"/>
      <c r="BE6" s="3"/>
      <c r="BF6" s="3"/>
      <c r="BG6" s="3"/>
      <c r="BH6" s="3"/>
      <c r="BI6" s="3"/>
      <c r="BJ6" s="3"/>
      <c r="BK6" s="3"/>
      <c r="BL6" s="3"/>
    </row>
    <row r="7" ht="15.75" customHeight="1">
      <c r="A7" s="2" t="str">
        <f>IFERROR(__xludf.DUMMYFUNCTION("""COMPUTED_VALUE"""),"Ancient Stone Guardians Sword")</f>
        <v>Ancient Stone Guardians Sword</v>
      </c>
      <c r="B7" s="2"/>
      <c r="C7" s="1" t="str">
        <f>IFERROR(__xludf.DUMMYFUNCTION("""COMPUTED_VALUE"""),"Sword")</f>
        <v>Sword</v>
      </c>
      <c r="D7" s="2" t="str">
        <f>IFERROR(__xludf.DUMMYFUNCTION("""COMPUTED_VALUE"""),"Hand")</f>
        <v>Hand</v>
      </c>
      <c r="E7" s="2">
        <f>IFERROR(__xludf.DUMMYFUNCTION("""COMPUTED_VALUE"""),1200.0)</f>
        <v>1200</v>
      </c>
      <c r="F7" s="2" t="str">
        <f>IFERROR(__xludf.DUMMYFUNCTION("""COMPUTED_VALUE"""),"DMG: +20000, Earth DMG: +20000, Light DMG: +20000 ++X2 Defense for all allies")</f>
        <v>DMG: +20000, Earth DMG: +20000, Light DMG: +20000 ++X2 Defense for all allies</v>
      </c>
      <c r="G7" s="2">
        <f>IFERROR(__xludf.DUMMYFUNCTION("""COMPUTED_VALUE"""),7.14E7)</f>
        <v>71400000</v>
      </c>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3"/>
      <c r="BB7" s="3"/>
      <c r="BD7" s="3"/>
      <c r="BE7" s="3"/>
      <c r="BF7" s="3"/>
      <c r="BG7" s="3"/>
      <c r="BH7" s="3"/>
      <c r="BI7" s="3"/>
      <c r="BJ7" s="3"/>
      <c r="BK7" s="3"/>
      <c r="BL7" s="3"/>
    </row>
    <row r="8" ht="15.75" customHeight="1">
      <c r="A8" s="2" t="str">
        <f>IFERROR(__xludf.DUMMYFUNCTION("""COMPUTED_VALUE"""),"Aqua Robe")</f>
        <v>Aqua Robe</v>
      </c>
      <c r="B8" s="2"/>
      <c r="C8" s="1"/>
      <c r="D8" s="2" t="str">
        <f>IFERROR(__xludf.DUMMYFUNCTION("""COMPUTED_VALUE"""),"Torso")</f>
        <v>Torso</v>
      </c>
      <c r="E8" s="2">
        <f>IFERROR(__xludf.DUMMYFUNCTION("""COMPUTED_VALUE"""),40.0)</f>
        <v>40</v>
      </c>
      <c r="F8" s="2" t="str">
        <f>IFERROR(__xludf.DUMMYFUNCTION("""COMPUTED_VALUE"""),"DEF: +1000, Water DEF: +1000 ++X4 damage additional water damage for the user.")</f>
        <v>DEF: +1000, Water DEF: +1000 ++X4 damage additional water damage for the user.</v>
      </c>
      <c r="G8" s="2">
        <f>IFERROR(__xludf.DUMMYFUNCTION("""COMPUTED_VALUE"""),60000.0)</f>
        <v>60000</v>
      </c>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3"/>
      <c r="BB8" s="3"/>
      <c r="BD8" s="3"/>
      <c r="BE8" s="3"/>
      <c r="BF8" s="3"/>
      <c r="BG8" s="3"/>
      <c r="BH8" s="3"/>
      <c r="BI8" s="3"/>
      <c r="BJ8" s="3"/>
      <c r="BK8" s="3"/>
      <c r="BL8" s="3"/>
    </row>
    <row r="9" ht="15.75" customHeight="1">
      <c r="A9" s="2" t="str">
        <f>IFERROR(__xludf.DUMMYFUNCTION("""COMPUTED_VALUE"""),"Aquatic Boots of Atlantis")</f>
        <v>Aquatic Boots of Atlantis</v>
      </c>
      <c r="B9" s="2"/>
      <c r="C9" s="1"/>
      <c r="D9" s="2" t="str">
        <f>IFERROR(__xludf.DUMMYFUNCTION("""COMPUTED_VALUE"""),"Feet")</f>
        <v>Feet</v>
      </c>
      <c r="E9" s="2">
        <f>IFERROR(__xludf.DUMMYFUNCTION("""COMPUTED_VALUE"""),300.0)</f>
        <v>300</v>
      </c>
      <c r="F9" s="2" t="str">
        <f>IFERROR(__xludf.DUMMYFUNCTION("""COMPUTED_VALUE"""),"DEF: +7500, Water DEF: +7500 ++X6 additional water damage for self.")</f>
        <v>DEF: +7500, Water DEF: +7500 ++X6 additional water damage for self.</v>
      </c>
      <c r="G9" s="2">
        <f>IFERROR(__xludf.DUMMYFUNCTION("""COMPUTED_VALUE"""),4350000.0)</f>
        <v>4350000</v>
      </c>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3"/>
      <c r="BB9" s="3"/>
      <c r="BD9" s="3"/>
      <c r="BE9" s="3"/>
      <c r="BF9" s="3"/>
      <c r="BG9" s="3"/>
      <c r="BH9" s="3"/>
      <c r="BI9" s="3"/>
      <c r="BJ9" s="3"/>
      <c r="BK9" s="3"/>
      <c r="BL9" s="3"/>
    </row>
    <row r="10" ht="15.75" customHeight="1">
      <c r="A10" s="2" t="str">
        <f>IFERROR(__xludf.DUMMYFUNCTION("""COMPUTED_VALUE"""),"Aquatic Chestplate of Atlantis")</f>
        <v>Aquatic Chestplate of Atlantis</v>
      </c>
      <c r="B10" s="2"/>
      <c r="C10" s="1"/>
      <c r="D10" s="2" t="str">
        <f>IFERROR(__xludf.DUMMYFUNCTION("""COMPUTED_VALUE"""),"Torso")</f>
        <v>Torso</v>
      </c>
      <c r="E10" s="2">
        <f>IFERROR(__xludf.DUMMYFUNCTION("""COMPUTED_VALUE"""),600.0)</f>
        <v>600</v>
      </c>
      <c r="F10" s="2"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2">
        <f>IFERROR(__xludf.DUMMYFUNCTION("""COMPUTED_VALUE"""),1.77E7)</f>
        <v>17700000</v>
      </c>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3"/>
      <c r="BB10" s="3"/>
      <c r="BD10" s="3"/>
      <c r="BE10" s="3"/>
      <c r="BF10" s="3"/>
      <c r="BG10" s="3"/>
      <c r="BH10" s="3"/>
      <c r="BI10" s="3"/>
      <c r="BJ10" s="3"/>
      <c r="BK10" s="3"/>
      <c r="BL10" s="3"/>
    </row>
    <row r="11" ht="15.75" customHeight="1">
      <c r="A11" s="2" t="str">
        <f>IFERROR(__xludf.DUMMYFUNCTION("""COMPUTED_VALUE"""),"Aquatic Greaves of Atlantis")</f>
        <v>Aquatic Greaves of Atlantis</v>
      </c>
      <c r="B11" s="2"/>
      <c r="C11" s="1"/>
      <c r="D11" s="2" t="str">
        <f>IFERROR(__xludf.DUMMYFUNCTION("""COMPUTED_VALUE"""),"Legs")</f>
        <v>Legs</v>
      </c>
      <c r="E11" s="2">
        <f>IFERROR(__xludf.DUMMYFUNCTION("""COMPUTED_VALUE"""),300.0)</f>
        <v>300</v>
      </c>
      <c r="F11" s="2" t="str">
        <f>IFERROR(__xludf.DUMMYFUNCTION("""COMPUTED_VALUE"""),"DEF: +7500, Water DEF: +7500 ++X6 additional water damage for self.")</f>
        <v>DEF: +7500, Water DEF: +7500 ++X6 additional water damage for self.</v>
      </c>
      <c r="G11" s="2">
        <f>IFERROR(__xludf.DUMMYFUNCTION("""COMPUTED_VALUE"""),4350000.0)</f>
        <v>4350000</v>
      </c>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3"/>
      <c r="BB11" s="3"/>
      <c r="BD11" s="3"/>
      <c r="BE11" s="3"/>
      <c r="BF11" s="3"/>
      <c r="BG11" s="3"/>
      <c r="BH11" s="3"/>
      <c r="BI11" s="3"/>
      <c r="BJ11" s="3"/>
      <c r="BK11" s="3"/>
      <c r="BL11" s="3"/>
    </row>
    <row r="12" ht="15.75" customHeight="1">
      <c r="A12" s="2" t="str">
        <f>IFERROR(__xludf.DUMMYFUNCTION("""COMPUTED_VALUE"""),"Aquatic Helmet of Atlantis")</f>
        <v>Aquatic Helmet of Atlantis</v>
      </c>
      <c r="B12" s="2"/>
      <c r="C12" s="1"/>
      <c r="D12" s="2" t="str">
        <f>IFERROR(__xludf.DUMMYFUNCTION("""COMPUTED_VALUE"""),"Head")</f>
        <v>Head</v>
      </c>
      <c r="E12" s="2">
        <f>IFERROR(__xludf.DUMMYFUNCTION("""COMPUTED_VALUE"""),300.0)</f>
        <v>300</v>
      </c>
      <c r="F12" s="2" t="str">
        <f>IFERROR(__xludf.DUMMYFUNCTION("""COMPUTED_VALUE"""),"DEF: +7500, Water DEF: +7500 ++X6 additional water damage for self.")</f>
        <v>DEF: +7500, Water DEF: +7500 ++X6 additional water damage for self.</v>
      </c>
      <c r="G12" s="2">
        <f>IFERROR(__xludf.DUMMYFUNCTION("""COMPUTED_VALUE"""),4350000.0)</f>
        <v>4350000</v>
      </c>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3"/>
      <c r="BB12" s="3"/>
      <c r="BD12" s="3"/>
      <c r="BE12" s="3"/>
      <c r="BF12" s="3"/>
      <c r="BG12" s="3"/>
      <c r="BH12" s="3"/>
      <c r="BI12" s="3"/>
      <c r="BJ12" s="3"/>
      <c r="BK12" s="3"/>
      <c r="BL12" s="3"/>
    </row>
    <row r="13" ht="15.75" customHeight="1">
      <c r="A13" s="2" t="str">
        <f>IFERROR(__xludf.DUMMYFUNCTION("""COMPUTED_VALUE"""),"Aquatic Pauldrons of Atlantis")</f>
        <v>Aquatic Pauldrons of Atlantis</v>
      </c>
      <c r="B13" s="2"/>
      <c r="C13" s="1"/>
      <c r="D13" s="2" t="str">
        <f>IFERROR(__xludf.DUMMYFUNCTION("""COMPUTED_VALUE"""),"Shoulders")</f>
        <v>Shoulders</v>
      </c>
      <c r="E13" s="2">
        <f>IFERROR(__xludf.DUMMYFUNCTION("""COMPUTED_VALUE"""),300.0)</f>
        <v>300</v>
      </c>
      <c r="F13" s="2" t="str">
        <f>IFERROR(__xludf.DUMMYFUNCTION("""COMPUTED_VALUE"""),"DEF: +7500, Water DEF: +7500 ++X6 additional water damage for self.")</f>
        <v>DEF: +7500, Water DEF: +7500 ++X6 additional water damage for self.</v>
      </c>
      <c r="G13" s="2">
        <f>IFERROR(__xludf.DUMMYFUNCTION("""COMPUTED_VALUE"""),4350000.0)</f>
        <v>4350000</v>
      </c>
      <c r="H13" s="2"/>
      <c r="I13" s="2"/>
      <c r="J13" s="2"/>
      <c r="K13" s="2"/>
      <c r="L13" s="8"/>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3"/>
      <c r="BB13" s="3"/>
      <c r="BD13" s="3"/>
      <c r="BE13" s="3"/>
      <c r="BF13" s="3"/>
      <c r="BG13" s="3"/>
      <c r="BH13" s="3"/>
      <c r="BI13" s="3"/>
      <c r="BJ13" s="3"/>
      <c r="BK13" s="3"/>
      <c r="BL13" s="3"/>
    </row>
    <row r="14" ht="15.75" customHeight="1">
      <c r="A14" s="2" t="str">
        <f>IFERROR(__xludf.DUMMYFUNCTION("""COMPUTED_VALUE"""),"Aquatic Sword of Atlantis")</f>
        <v>Aquatic Sword of Atlantis</v>
      </c>
      <c r="B14" s="2"/>
      <c r="C14" s="1" t="str">
        <f>IFERROR(__xludf.DUMMYFUNCTION("""COMPUTED_VALUE"""),"Sword")</f>
        <v>Sword</v>
      </c>
      <c r="D14" s="2" t="str">
        <f>IFERROR(__xludf.DUMMYFUNCTION("""COMPUTED_VALUE"""),"Hand")</f>
        <v>Hand</v>
      </c>
      <c r="E14" s="2">
        <f>IFERROR(__xludf.DUMMYFUNCTION("""COMPUTED_VALUE"""),1200.0)</f>
        <v>1200</v>
      </c>
      <c r="F14" s="2"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2">
        <f>IFERROR(__xludf.DUMMYFUNCTION("""COMPUTED_VALUE"""),7.14E7)</f>
        <v>71400000</v>
      </c>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3"/>
      <c r="BB14" s="3"/>
      <c r="BD14" s="3"/>
      <c r="BE14" s="3"/>
      <c r="BF14" s="3"/>
      <c r="BG14" s="3"/>
      <c r="BH14" s="3"/>
      <c r="BI14" s="3"/>
      <c r="BJ14" s="3"/>
      <c r="BK14" s="3"/>
      <c r="BL14" s="3"/>
    </row>
    <row r="15" ht="15.75" customHeight="1">
      <c r="A15" s="2" t="str">
        <f>IFERROR(__xludf.DUMMYFUNCTION("""COMPUTED_VALUE"""),"Aquatic Vambraces of Atlantis")</f>
        <v>Aquatic Vambraces of Atlantis</v>
      </c>
      <c r="B15" s="2"/>
      <c r="C15" s="1"/>
      <c r="D15" s="2" t="str">
        <f>IFERROR(__xludf.DUMMYFUNCTION("""COMPUTED_VALUE"""),"Arms")</f>
        <v>Arms</v>
      </c>
      <c r="E15" s="2">
        <f>IFERROR(__xludf.DUMMYFUNCTION("""COMPUTED_VALUE"""),300.0)</f>
        <v>300</v>
      </c>
      <c r="F15" s="2" t="str">
        <f>IFERROR(__xludf.DUMMYFUNCTION("""COMPUTED_VALUE"""),"DEF: +7500, Water DEF: +7500 X6 additional water damage for self.")</f>
        <v>DEF: +7500, Water DEF: +7500 X6 additional water damage for self.</v>
      </c>
      <c r="G15" s="2">
        <f>IFERROR(__xludf.DUMMYFUNCTION("""COMPUTED_VALUE"""),4350000.0)</f>
        <v>4350000</v>
      </c>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3"/>
      <c r="BB15" s="3"/>
      <c r="BD15" s="3"/>
      <c r="BE15" s="3"/>
      <c r="BF15" s="3"/>
      <c r="BG15" s="3"/>
      <c r="BH15" s="3"/>
      <c r="BI15" s="3"/>
      <c r="BJ15" s="3"/>
      <c r="BK15" s="3"/>
      <c r="BL15" s="3"/>
    </row>
    <row r="16" ht="15.75" customHeight="1">
      <c r="A16" s="2" t="str">
        <f>IFERROR(__xludf.DUMMYFUNCTION("""COMPUTED_VALUE"""),"Archer’s Cloaked Vest")</f>
        <v>Archer’s Cloaked Vest</v>
      </c>
      <c r="B16" s="2"/>
      <c r="C16" s="1"/>
      <c r="D16" s="132" t="str">
        <f>IFERROR(__xludf.DUMMYFUNCTION("""COMPUTED_VALUE"""),"Torso")</f>
        <v>Torso</v>
      </c>
      <c r="E16" s="132">
        <f>IFERROR(__xludf.DUMMYFUNCTION("""COMPUTED_VALUE"""),20.0)</f>
        <v>20</v>
      </c>
      <c r="F16" s="132"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32">
        <f>IFERROR(__xludf.DUMMYFUNCTION("""COMPUTED_VALUE"""),1000.0)</f>
        <v>1000</v>
      </c>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3"/>
      <c r="BB16" s="3"/>
      <c r="BD16" s="3"/>
      <c r="BE16" s="3"/>
      <c r="BF16" s="3"/>
      <c r="BG16" s="3"/>
      <c r="BH16" s="3"/>
      <c r="BI16" s="3"/>
      <c r="BJ16" s="3"/>
      <c r="BK16" s="3"/>
      <c r="BL16" s="3"/>
    </row>
    <row r="17" ht="15.75" customHeight="1">
      <c r="A17" s="2" t="str">
        <f>IFERROR(__xludf.DUMMYFUNCTION("""COMPUTED_VALUE"""),"Archers Boots")</f>
        <v>Archers Boots</v>
      </c>
      <c r="B17" s="2"/>
      <c r="C17" s="1"/>
      <c r="D17" s="2" t="str">
        <f>IFERROR(__xludf.DUMMYFUNCTION("""COMPUTED_VALUE"""),"Feet")</f>
        <v>Feet</v>
      </c>
      <c r="E17" s="2">
        <f>IFERROR(__xludf.DUMMYFUNCTION("""COMPUTED_VALUE"""),1.0)</f>
        <v>1</v>
      </c>
      <c r="F17" s="2" t="str">
        <f>IFERROR(__xludf.DUMMYFUNCTION("""COMPUTED_VALUE""")," (Ranger Set) ++5 evasion ++Only archers can equip, +-Cannot be duplicated or forged.")</f>
        <v> (Ranger Set) ++5 evasion ++Only archers can equip, +-Cannot be duplicated or forged.</v>
      </c>
      <c r="G17" s="2">
        <f>IFERROR(__xludf.DUMMYFUNCTION("""COMPUTED_VALUE"""),0.0)</f>
        <v>0</v>
      </c>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3"/>
      <c r="BB17" s="3"/>
      <c r="BD17" s="3"/>
      <c r="BE17" s="3"/>
      <c r="BF17" s="3"/>
      <c r="BG17" s="3"/>
      <c r="BH17" s="3"/>
      <c r="BI17" s="3"/>
      <c r="BJ17" s="3"/>
      <c r="BK17" s="3"/>
      <c r="BL17" s="3"/>
    </row>
    <row r="18" ht="15.75" customHeight="1">
      <c r="A18" s="2" t="str">
        <f>IFERROR(__xludf.DUMMYFUNCTION("""COMPUTED_VALUE"""),"Archers Cloak")</f>
        <v>Archers Cloak</v>
      </c>
      <c r="B18" s="2"/>
      <c r="C18" s="1"/>
      <c r="D18" s="2" t="str">
        <f>IFERROR(__xludf.DUMMYFUNCTION("""COMPUTED_VALUE"""),"Torso")</f>
        <v>Torso</v>
      </c>
      <c r="E18" s="2">
        <f>IFERROR(__xludf.DUMMYFUNCTION("""COMPUTED_VALUE"""),1.0)</f>
        <v>1</v>
      </c>
      <c r="F18" s="2" t="str">
        <f>IFERROR(__xludf.DUMMYFUNCTION("""COMPUTED_VALUE""")," (Ranger Set) ++Ranged Spells cost half the sp cost ++Only archers can equip")</f>
        <v> (Ranger Set) ++Ranged Spells cost half the sp cost ++Only archers can equip</v>
      </c>
      <c r="G18" s="2">
        <f>IFERROR(__xludf.DUMMYFUNCTION("""COMPUTED_VALUE"""),0.0)</f>
        <v>0</v>
      </c>
      <c r="H18" s="1"/>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3"/>
      <c r="BB18" s="3"/>
      <c r="BD18" s="3"/>
      <c r="BE18" s="3"/>
      <c r="BF18" s="3"/>
      <c r="BG18" s="3"/>
      <c r="BH18" s="3"/>
      <c r="BI18" s="3"/>
      <c r="BJ18" s="3"/>
      <c r="BK18" s="3"/>
      <c r="BL18" s="3"/>
    </row>
    <row r="19" ht="15.75" customHeight="1">
      <c r="A19" s="2" t="str">
        <f>IFERROR(__xludf.DUMMYFUNCTION("""COMPUTED_VALUE"""),"Armor Of Cthulhu")</f>
        <v>Armor Of Cthulhu</v>
      </c>
      <c r="B19" s="2"/>
      <c r="C19" s="1"/>
      <c r="D19" s="132" t="str">
        <f>IFERROR(__xludf.DUMMYFUNCTION("""COMPUTED_VALUE"""),"Torso")</f>
        <v>Torso</v>
      </c>
      <c r="E19" s="132">
        <f>IFERROR(__xludf.DUMMYFUNCTION("""COMPUTED_VALUE"""),400.0)</f>
        <v>400</v>
      </c>
      <c r="F19" s="132"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32">
        <f>IFERROR(__xludf.DUMMYFUNCTION("""COMPUTED_VALUE"""),7800000.0)</f>
        <v>7800000</v>
      </c>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3"/>
      <c r="BB19" s="3"/>
      <c r="BD19" s="3"/>
      <c r="BE19" s="3"/>
      <c r="BF19" s="3"/>
      <c r="BG19" s="3"/>
      <c r="BH19" s="3"/>
      <c r="BI19" s="3"/>
      <c r="BJ19" s="3"/>
      <c r="BK19" s="3"/>
      <c r="BL19" s="3"/>
    </row>
    <row r="20" ht="15.75" customHeight="1">
      <c r="A20" s="2" t="str">
        <f>IFERROR(__xludf.DUMMYFUNCTION("""COMPUTED_VALUE"""),"Armor Of Zeldron")</f>
        <v>Armor Of Zeldron</v>
      </c>
      <c r="B20" s="2" t="str">
        <f>IFERROR(__xludf.DUMMYFUNCTION("""COMPUTED_VALUE"""),"Made of gold")</f>
        <v>Made of gold</v>
      </c>
      <c r="C20" s="1"/>
      <c r="D20" s="2" t="str">
        <f>IFERROR(__xludf.DUMMYFUNCTION("""COMPUTED_VALUE"""),"Torso")</f>
        <v>Torso</v>
      </c>
      <c r="E20" s="2">
        <f>IFERROR(__xludf.DUMMYFUNCTION("""COMPUTED_VALUE"""),400.0)</f>
        <v>400</v>
      </c>
      <c r="F20" s="2" t="str">
        <f>IFERROR(__xludf.DUMMYFUNCTION("""COMPUTED_VALUE"""),"DEF: +10000, Order DEF: +10000")</f>
        <v>DEF: +10000, Order DEF: +10000</v>
      </c>
      <c r="G20" s="2">
        <f>IFERROR(__xludf.DUMMYFUNCTION("""COMPUTED_VALUE"""),7800000.0)</f>
        <v>7800000</v>
      </c>
      <c r="H20" s="2"/>
      <c r="I20" s="2"/>
      <c r="J20" s="5"/>
      <c r="K20" s="5"/>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3"/>
      <c r="BB20" s="3"/>
      <c r="BD20" s="3"/>
      <c r="BE20" s="3"/>
      <c r="BF20" s="3"/>
      <c r="BG20" s="3"/>
      <c r="BH20" s="3"/>
      <c r="BI20" s="3"/>
      <c r="BJ20" s="3"/>
      <c r="BK20" s="3"/>
      <c r="BL20" s="3"/>
    </row>
    <row r="21" ht="15.75" customHeight="1">
      <c r="A21" s="2" t="str">
        <f>IFERROR(__xludf.DUMMYFUNCTION("""COMPUTED_VALUE"""),"Ashen Pole Axe")</f>
        <v>Ashen Pole Axe</v>
      </c>
      <c r="B21" s="2"/>
      <c r="C21" s="1" t="str">
        <f>IFERROR(__xludf.DUMMYFUNCTION("""COMPUTED_VALUE"""),"Axe")</f>
        <v>Axe</v>
      </c>
      <c r="D21" s="2" t="str">
        <f>IFERROR(__xludf.DUMMYFUNCTION("""COMPUTED_VALUE"""),"Hand")</f>
        <v>Hand</v>
      </c>
      <c r="E21" s="2">
        <f>IFERROR(__xludf.DUMMYFUNCTION("""COMPUTED_VALUE"""),20.0)</f>
        <v>20</v>
      </c>
      <c r="F21" s="2" t="str">
        <f>IFERROR(__xludf.DUMMYFUNCTION("""COMPUTED_VALUE"""),"DMG: +500, Fire DMG: +500 ++Inflicts Burn 500")</f>
        <v>DMG: +500, Fire DMG: +500 ++Inflicts Burn 500</v>
      </c>
      <c r="G21" s="2">
        <f>IFERROR(__xludf.DUMMYFUNCTION("""COMPUTED_VALUE"""),10000.0)</f>
        <v>10000</v>
      </c>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3"/>
      <c r="BB21" s="3"/>
      <c r="BD21" s="3"/>
      <c r="BE21" s="3"/>
      <c r="BF21" s="3"/>
      <c r="BG21" s="3"/>
      <c r="BH21" s="3"/>
      <c r="BI21" s="3"/>
      <c r="BJ21" s="3"/>
      <c r="BK21" s="3"/>
      <c r="BL21" s="3"/>
    </row>
    <row r="22" ht="15.75" customHeight="1">
      <c r="A22" s="2" t="str">
        <f>IFERROR(__xludf.DUMMYFUNCTION("""COMPUTED_VALUE"""),"Bamboo Spear")</f>
        <v>Bamboo Spear</v>
      </c>
      <c r="B22" s="2"/>
      <c r="C22" s="1" t="str">
        <f>IFERROR(__xludf.DUMMYFUNCTION("""COMPUTED_VALUE"""),"Spear")</f>
        <v>Spear</v>
      </c>
      <c r="D22" s="2" t="str">
        <f>IFERROR(__xludf.DUMMYFUNCTION("""COMPUTED_VALUE"""),"Hand")</f>
        <v>Hand</v>
      </c>
      <c r="E22" s="2">
        <f>IFERROR(__xludf.DUMMYFUNCTION("""COMPUTED_VALUE"""),60.0)</f>
        <v>60</v>
      </c>
      <c r="F22" s="2"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2">
        <f>IFERROR(__xludf.DUMMYFUNCTION("""COMPUTED_VALUE"""),150000.0)</f>
        <v>150000</v>
      </c>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3"/>
      <c r="BB22" s="3"/>
      <c r="BD22" s="3"/>
      <c r="BE22" s="3"/>
      <c r="BF22" s="3"/>
      <c r="BG22" s="3"/>
      <c r="BH22" s="3"/>
      <c r="BI22" s="3"/>
      <c r="BJ22" s="3"/>
      <c r="BK22" s="3"/>
      <c r="BL22" s="3"/>
    </row>
    <row r="23" ht="15.75" customHeight="1">
      <c r="A23" s="2" t="str">
        <f>IFERROR(__xludf.DUMMYFUNCTION("""COMPUTED_VALUE"""),"Baosheng’s Restore Pendant")</f>
        <v>Baosheng’s Restore Pendant</v>
      </c>
      <c r="B23" s="2"/>
      <c r="C23" s="1"/>
      <c r="D23" s="132" t="str">
        <f>IFERROR(__xludf.DUMMYFUNCTION("""COMPUTED_VALUE"""),"Neck")</f>
        <v>Neck</v>
      </c>
      <c r="E23" s="132">
        <f>IFERROR(__xludf.DUMMYFUNCTION("""COMPUTED_VALUE"""),1.0)</f>
        <v>1</v>
      </c>
      <c r="F23" s="132" t="str">
        <f>IFERROR(__xludf.DUMMYFUNCTION("""COMPUTED_VALUE""")," ++Restores 100 HP and SP per round during battle.")</f>
        <v> ++Restores 100 HP and SP per round during battle.</v>
      </c>
      <c r="G23" s="132">
        <f>IFERROR(__xludf.DUMMYFUNCTION("""COMPUTED_VALUE"""),0.0)</f>
        <v>0</v>
      </c>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3"/>
      <c r="BB23" s="3"/>
      <c r="BD23" s="3"/>
      <c r="BE23" s="3"/>
      <c r="BF23" s="3"/>
      <c r="BG23" s="3"/>
      <c r="BH23" s="3"/>
      <c r="BI23" s="3"/>
      <c r="BJ23" s="3"/>
      <c r="BK23" s="3"/>
      <c r="BL23" s="3"/>
    </row>
    <row r="24" ht="15.75" customHeight="1">
      <c r="A24" s="2" t="str">
        <f>IFERROR(__xludf.DUMMYFUNCTION("""COMPUTED_VALUE"""),"Basic Cannon")</f>
        <v>Basic Cannon</v>
      </c>
      <c r="B24" s="2"/>
      <c r="C24" s="1" t="str">
        <f>IFERROR(__xludf.DUMMYFUNCTION("""COMPUTED_VALUE"""),"Firearm")</f>
        <v>Firearm</v>
      </c>
      <c r="D24" s="2" t="str">
        <f>IFERROR(__xludf.DUMMYFUNCTION("""COMPUTED_VALUE"""),"BoatGun")</f>
        <v>BoatGun</v>
      </c>
      <c r="E24" s="2">
        <f>IFERROR(__xludf.DUMMYFUNCTION("""COMPUTED_VALUE"""),400.0)</f>
        <v>400</v>
      </c>
      <c r="F24" s="2" t="str">
        <f>IFERROR(__xludf.DUMMYFUNCTION("""COMPUTED_VALUE"""),"DMG: +20000")</f>
        <v>DMG: +20000</v>
      </c>
      <c r="G24" s="2">
        <f>IFERROR(__xludf.DUMMYFUNCTION("""COMPUTED_VALUE"""),7800000.0)</f>
        <v>7800000</v>
      </c>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3"/>
      <c r="BB24" s="3"/>
      <c r="BD24" s="3"/>
      <c r="BE24" s="3"/>
      <c r="BF24" s="3"/>
      <c r="BG24" s="3"/>
      <c r="BH24" s="3"/>
      <c r="BI24" s="3"/>
      <c r="BJ24" s="3"/>
      <c r="BK24" s="3"/>
      <c r="BL24" s="3"/>
    </row>
    <row r="25" ht="15.75" customHeight="1">
      <c r="A25" s="2" t="str">
        <f>IFERROR(__xludf.DUMMYFUNCTION("""COMPUTED_VALUE"""),"Beltane Floral crown")</f>
        <v>Beltane Floral crown</v>
      </c>
      <c r="B25" s="2"/>
      <c r="C25" s="1"/>
      <c r="D25" s="2" t="str">
        <f>IFERROR(__xludf.DUMMYFUNCTION("""COMPUTED_VALUE"""),"Head")</f>
        <v>Head</v>
      </c>
      <c r="E25" s="2">
        <f>IFERROR(__xludf.DUMMYFUNCTION("""COMPUTED_VALUE"""),1.0)</f>
        <v>1</v>
      </c>
      <c r="F25" s="2" t="str">
        <f>IFERROR(__xludf.DUMMYFUNCTION("""COMPUTED_VALUE""")," ++Grants immunity to Nature.")</f>
        <v> ++Grants immunity to Nature.</v>
      </c>
      <c r="G25" s="2">
        <f>IFERROR(__xludf.DUMMYFUNCTION("""COMPUTED_VALUE"""),0.0)</f>
        <v>0</v>
      </c>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3"/>
      <c r="BB25" s="3"/>
      <c r="BD25" s="3"/>
      <c r="BE25" s="3"/>
      <c r="BF25" s="3"/>
      <c r="BG25" s="3"/>
      <c r="BH25" s="3"/>
      <c r="BI25" s="3"/>
      <c r="BJ25" s="3"/>
      <c r="BK25" s="3"/>
      <c r="BL25" s="3"/>
    </row>
    <row r="26" ht="15.75" customHeight="1">
      <c r="A26" s="2" t="str">
        <f>IFERROR(__xludf.DUMMYFUNCTION("""COMPUTED_VALUE"""),"Beta Sword")</f>
        <v>Beta Sword</v>
      </c>
      <c r="B26" s="2"/>
      <c r="C26" s="1"/>
      <c r="D26" s="2" t="str">
        <f>IFERROR(__xludf.DUMMYFUNCTION("""COMPUTED_VALUE"""),"Hand")</f>
        <v>Hand</v>
      </c>
      <c r="E26" s="2">
        <f>IFERROR(__xludf.DUMMYFUNCTION("""COMPUTED_VALUE"""),3000.0)</f>
        <v>3000</v>
      </c>
      <c r="F26" s="2" t="str">
        <f>IFERROR(__xludf.DUMMYFUNCTION("""COMPUTED_VALUE"""),"DMG: +125000, Dark DMG: +25000 ++Allows you to use another party members companion on your turn as a second action.")</f>
        <v>DMG: +125000, Dark DMG: +25000 ++Allows you to use another party members companion on your turn as a second action.</v>
      </c>
      <c r="G26" s="2">
        <f>IFERROR(__xludf.DUMMYFUNCTION("""COMPUTED_VALUE"""),4.485E8)</f>
        <v>448500000</v>
      </c>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3"/>
      <c r="BB26" s="3"/>
      <c r="BD26" s="3"/>
      <c r="BE26" s="3"/>
      <c r="BF26" s="3"/>
      <c r="BG26" s="3"/>
      <c r="BH26" s="3"/>
      <c r="BI26" s="3"/>
      <c r="BJ26" s="3"/>
      <c r="BK26" s="3"/>
      <c r="BL26" s="3"/>
    </row>
    <row r="27" ht="15.75" customHeight="1">
      <c r="A27" s="2" t="str">
        <f>IFERROR(__xludf.DUMMYFUNCTION("""COMPUTED_VALUE"""),"Black Crystal Necklace of Luck")</f>
        <v>Black Crystal Necklace of Luck</v>
      </c>
      <c r="B27" s="2"/>
      <c r="C27" s="2"/>
      <c r="D27" s="2" t="str">
        <f>IFERROR(__xludf.DUMMYFUNCTION("""COMPUTED_VALUE"""),"Neck")</f>
        <v>Neck</v>
      </c>
      <c r="E27" s="2">
        <f>IFERROR(__xludf.DUMMYFUNCTION("""COMPUTED_VALUE"""),1.0)</f>
        <v>1</v>
      </c>
      <c r="F27" s="2" t="str">
        <f>IFERROR(__xludf.DUMMYFUNCTION("""COMPUTED_VALUE""")," ++Plus 2 is added to whatever number you roll on a d20 ++can only wear one, +-Cannot be forged or duplicated.")</f>
        <v> ++Plus 2 is added to whatever number you roll on a d20 ++can only wear one, +-Cannot be forged or duplicated.</v>
      </c>
      <c r="G27" s="2">
        <f>IFERROR(__xludf.DUMMYFUNCTION("""COMPUTED_VALUE"""),0.0)</f>
        <v>0</v>
      </c>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3"/>
      <c r="BB27" s="3"/>
      <c r="BD27" s="3"/>
      <c r="BE27" s="3"/>
      <c r="BF27" s="3"/>
      <c r="BG27" s="3"/>
      <c r="BH27" s="3"/>
      <c r="BI27" s="3"/>
      <c r="BJ27" s="3"/>
      <c r="BK27" s="3"/>
      <c r="BL27" s="3"/>
    </row>
    <row r="28" ht="15.75" customHeight="1">
      <c r="A28" s="2" t="str">
        <f>IFERROR(__xludf.DUMMYFUNCTION("""COMPUTED_VALUE"""),"Black Serpent Dragon Pendant")</f>
        <v>Black Serpent Dragon Pendant</v>
      </c>
      <c r="B28" s="2"/>
      <c r="C28" s="1"/>
      <c r="D28" s="2" t="str">
        <f>IFERROR(__xludf.DUMMYFUNCTION("""COMPUTED_VALUE"""),"Neck")</f>
        <v>Neck</v>
      </c>
      <c r="E28" s="2">
        <f>IFERROR(__xludf.DUMMYFUNCTION("""COMPUTED_VALUE"""),1.0)</f>
        <v>1</v>
      </c>
      <c r="F28" s="2" t="str">
        <f>IFERROR(__xludf.DUMMYFUNCTION("""COMPUTED_VALUE""")," ++Immunity to dark and water damage. ++X2 additional dark and water damage for the wearer.")</f>
        <v> ++Immunity to dark and water damage. ++X2 additional dark and water damage for the wearer.</v>
      </c>
      <c r="G28" s="2">
        <f>IFERROR(__xludf.DUMMYFUNCTION("""COMPUTED_VALUE"""),0.0)</f>
        <v>0</v>
      </c>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3"/>
      <c r="BB28" s="3"/>
      <c r="BD28" s="3"/>
      <c r="BE28" s="3"/>
      <c r="BF28" s="3"/>
      <c r="BG28" s="3"/>
      <c r="BH28" s="3"/>
      <c r="BI28" s="3"/>
      <c r="BJ28" s="3"/>
      <c r="BK28" s="3"/>
      <c r="BL28" s="3"/>
    </row>
    <row r="29" ht="15.75" customHeight="1">
      <c r="A29" s="2" t="str">
        <f>IFERROR(__xludf.DUMMYFUNCTION("""COMPUTED_VALUE"""),"Blade of Burning Energy")</f>
        <v>Blade of Burning Energy</v>
      </c>
      <c r="B29" s="2"/>
      <c r="C29" s="1" t="str">
        <f>IFERROR(__xludf.DUMMYFUNCTION("""COMPUTED_VALUE"""),"Sword")</f>
        <v>Sword</v>
      </c>
      <c r="D29" s="2" t="str">
        <f>IFERROR(__xludf.DUMMYFUNCTION("""COMPUTED_VALUE"""),"Hand")</f>
        <v>Hand</v>
      </c>
      <c r="E29" s="2">
        <f>IFERROR(__xludf.DUMMYFUNCTION("""COMPUTED_VALUE"""),400.0)</f>
        <v>400</v>
      </c>
      <c r="F29" s="2" t="str">
        <f>IFERROR(__xludf.DUMMYFUNCTION("""COMPUTED_VALUE"""),"DMG: +10000, Fire DMG: +10000 ++Burn 5000")</f>
        <v>DMG: +10000, Fire DMG: +10000 ++Burn 5000</v>
      </c>
      <c r="G29" s="2">
        <f>IFERROR(__xludf.DUMMYFUNCTION("""COMPUTED_VALUE"""),7800000.0)</f>
        <v>7800000</v>
      </c>
      <c r="H29" s="2"/>
      <c r="I29" s="2"/>
      <c r="J29" s="2"/>
      <c r="K29" s="2"/>
      <c r="L29" s="8"/>
      <c r="M29" s="8"/>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3"/>
      <c r="BB29" s="3"/>
      <c r="BD29" s="3"/>
      <c r="BE29" s="3"/>
      <c r="BF29" s="3"/>
      <c r="BG29" s="3"/>
      <c r="BH29" s="3"/>
      <c r="BI29" s="3"/>
      <c r="BJ29" s="3"/>
      <c r="BK29" s="3"/>
      <c r="BL29" s="3"/>
    </row>
    <row r="30" ht="15.75" customHeight="1">
      <c r="A30" s="2" t="str">
        <f>IFERROR(__xludf.DUMMYFUNCTION("""COMPUTED_VALUE"""),"Blood Katana")</f>
        <v>Blood Katana</v>
      </c>
      <c r="B30" s="2"/>
      <c r="C30" s="1" t="str">
        <f>IFERROR(__xludf.DUMMYFUNCTION("""COMPUTED_VALUE"""),"Sword")</f>
        <v>Sword</v>
      </c>
      <c r="D30" s="2" t="str">
        <f>IFERROR(__xludf.DUMMYFUNCTION("""COMPUTED_VALUE"""),"Hand")</f>
        <v>Hand</v>
      </c>
      <c r="E30" s="2">
        <f>IFERROR(__xludf.DUMMYFUNCTION("""COMPUTED_VALUE"""),400.0)</f>
        <v>400</v>
      </c>
      <c r="F30" s="2" t="str">
        <f>IFERROR(__xludf.DUMMYFUNCTION("""COMPUTED_VALUE"""),"DMG: +10000, Blood DMG: +10000 ++X2 blood damage for spells and weapons. +-Cannot be duplicated.")</f>
        <v>DMG: +10000, Blood DMG: +10000 ++X2 blood damage for spells and weapons. +-Cannot be duplicated.</v>
      </c>
      <c r="G30" s="2">
        <f>IFERROR(__xludf.DUMMYFUNCTION("""COMPUTED_VALUE"""),7800000.0)</f>
        <v>7800000</v>
      </c>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3"/>
      <c r="BB30" s="3"/>
      <c r="BD30" s="3"/>
      <c r="BE30" s="3"/>
      <c r="BF30" s="3"/>
      <c r="BG30" s="3"/>
      <c r="BH30" s="3"/>
      <c r="BI30" s="3"/>
      <c r="BJ30" s="3"/>
      <c r="BK30" s="3"/>
      <c r="BL30" s="3"/>
    </row>
    <row r="31" ht="15.75" customHeight="1">
      <c r="A31" s="2" t="str">
        <f>IFERROR(__xludf.DUMMYFUNCTION("""COMPUTED_VALUE"""),"Blue Steel Sword")</f>
        <v>Blue Steel Sword</v>
      </c>
      <c r="B31" s="2"/>
      <c r="C31" s="1" t="str">
        <f>IFERROR(__xludf.DUMMYFUNCTION("""COMPUTED_VALUE"""),"Sword")</f>
        <v>Sword</v>
      </c>
      <c r="D31" s="2" t="str">
        <f>IFERROR(__xludf.DUMMYFUNCTION("""COMPUTED_VALUE"""),"Hand")</f>
        <v>Hand</v>
      </c>
      <c r="E31" s="2">
        <f>IFERROR(__xludf.DUMMYFUNCTION("""COMPUTED_VALUE"""),40.0)</f>
        <v>40</v>
      </c>
      <c r="F31" s="2" t="str">
        <f>IFERROR(__xludf.DUMMYFUNCTION("""COMPUTED_VALUE"""),"DMG: +1000, Water DMG: +1000")</f>
        <v>DMG: +1000, Water DMG: +1000</v>
      </c>
      <c r="G31" s="2">
        <f>IFERROR(__xludf.DUMMYFUNCTION("""COMPUTED_VALUE"""),60000.0)</f>
        <v>60000</v>
      </c>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3"/>
      <c r="BB31" s="3"/>
      <c r="BD31" s="3"/>
      <c r="BE31" s="3"/>
      <c r="BF31" s="3"/>
      <c r="BG31" s="3"/>
      <c r="BH31" s="3"/>
      <c r="BI31" s="3"/>
      <c r="BJ31" s="3"/>
      <c r="BK31" s="3"/>
      <c r="BL31" s="3"/>
    </row>
    <row r="32" ht="15.75" customHeight="1">
      <c r="A32" s="2" t="str">
        <f>IFERROR(__xludf.DUMMYFUNCTION("""COMPUTED_VALUE"""),"Blunderbuss (Exclusive)")</f>
        <v>Blunderbuss (Exclusive)</v>
      </c>
      <c r="B32" s="2"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 t="str">
        <f>IFERROR(__xludf.DUMMYFUNCTION("""COMPUTED_VALUE"""),"Firearm")</f>
        <v>Firearm</v>
      </c>
      <c r="D32" s="2" t="str">
        <f>IFERROR(__xludf.DUMMYFUNCTION("""COMPUTED_VALUE"""),"Hand")</f>
        <v>Hand</v>
      </c>
      <c r="E32" s="2">
        <f>IFERROR(__xludf.DUMMYFUNCTION("""COMPUTED_VALUE"""),200.0)</f>
        <v>200</v>
      </c>
      <c r="F32" s="2"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2">
        <f>IFERROR(__xludf.DUMMYFUNCTION("""COMPUTED_VALUE"""),1.99E8)</f>
        <v>199000000</v>
      </c>
      <c r="H32" s="2"/>
      <c r="I32" s="2"/>
      <c r="J32" s="2"/>
      <c r="K32" s="2"/>
      <c r="L32" s="8"/>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3"/>
      <c r="BB32" s="3"/>
      <c r="BD32" s="3"/>
      <c r="BE32" s="3"/>
      <c r="BF32" s="3"/>
      <c r="BG32" s="3"/>
      <c r="BH32" s="3"/>
      <c r="BI32" s="3"/>
      <c r="BJ32" s="3"/>
      <c r="BK32" s="3"/>
      <c r="BL32" s="3"/>
    </row>
    <row r="33" ht="15.75" customHeight="1">
      <c r="A33" s="2" t="str">
        <f>IFERROR(__xludf.DUMMYFUNCTION("""COMPUTED_VALUE"""),"Bone Sword ")</f>
        <v>Bone Sword </v>
      </c>
      <c r="B33" s="2"/>
      <c r="C33" s="1" t="str">
        <f>IFERROR(__xludf.DUMMYFUNCTION("""COMPUTED_VALUE"""),"Sword")</f>
        <v>Sword</v>
      </c>
      <c r="D33" s="2" t="str">
        <f>IFERROR(__xludf.DUMMYFUNCTION("""COMPUTED_VALUE"""),"Hand")</f>
        <v>Hand</v>
      </c>
      <c r="E33" s="2">
        <f>IFERROR(__xludf.DUMMYFUNCTION("""COMPUTED_VALUE"""),300.0)</f>
        <v>300</v>
      </c>
      <c r="F33" s="2" t="str">
        <f>IFERROR(__xludf.DUMMYFUNCTION("""COMPUTED_VALUE"""),"DMG: +5000, Earth DMG: +5000, Dark DMG: +5000 ++X2 Earth damage. ")</f>
        <v>DMG: +5000, Earth DMG: +5000, Dark DMG: +5000 ++X2 Earth damage. </v>
      </c>
      <c r="G33" s="2">
        <f>IFERROR(__xludf.DUMMYFUNCTION("""COMPUTED_VALUE"""),4350000.0)</f>
        <v>4350000</v>
      </c>
      <c r="H33" s="2"/>
      <c r="I33" s="2"/>
      <c r="J33" s="2"/>
      <c r="K33" s="2"/>
      <c r="L33" s="8"/>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3"/>
      <c r="BB33" s="3"/>
      <c r="BD33" s="3"/>
      <c r="BE33" s="3"/>
      <c r="BF33" s="3"/>
      <c r="BG33" s="3"/>
      <c r="BH33" s="3"/>
      <c r="BI33" s="3"/>
      <c r="BJ33" s="3"/>
      <c r="BK33" s="3"/>
      <c r="BL33" s="3"/>
    </row>
    <row r="34" ht="15.75" customHeight="1">
      <c r="A34" s="2" t="str">
        <f>IFERROR(__xludf.DUMMYFUNCTION("""COMPUTED_VALUE"""),"Boots of Waking Waters")</f>
        <v>Boots of Waking Waters</v>
      </c>
      <c r="B34" s="2"/>
      <c r="C34" s="1"/>
      <c r="D34" s="2" t="str">
        <f>IFERROR(__xludf.DUMMYFUNCTION("""COMPUTED_VALUE"""),"Feet")</f>
        <v>Feet</v>
      </c>
      <c r="E34" s="2">
        <f>IFERROR(__xludf.DUMMYFUNCTION("""COMPUTED_VALUE"""),200.0)</f>
        <v>200</v>
      </c>
      <c r="F34" s="2" t="str">
        <f>IFERROR(__xludf.DUMMYFUNCTION("""COMPUTED_VALUE"""),"DEF: +5000, Water DEF: +5000 ++X4 additional water damage for self.")</f>
        <v>DEF: +5000, Water DEF: +5000 ++X4 additional water damage for self.</v>
      </c>
      <c r="G34" s="2">
        <f>IFERROR(__xludf.DUMMYFUNCTION("""COMPUTED_VALUE"""),1900000.0)</f>
        <v>1900000</v>
      </c>
      <c r="H34" s="2"/>
      <c r="I34" s="2"/>
      <c r="J34" s="2"/>
      <c r="K34" s="2"/>
      <c r="L34" s="8"/>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3"/>
      <c r="BB34" s="3"/>
      <c r="BD34" s="3"/>
      <c r="BE34" s="3"/>
      <c r="BF34" s="3"/>
      <c r="BG34" s="3"/>
      <c r="BH34" s="3"/>
      <c r="BI34" s="3"/>
      <c r="BJ34" s="3"/>
      <c r="BK34" s="3"/>
      <c r="BL34" s="3"/>
    </row>
    <row r="35" ht="15.75" customHeight="1">
      <c r="A35" s="2" t="str">
        <f>IFERROR(__xludf.DUMMYFUNCTION("""COMPUTED_VALUE"""),"Bow of Chaotic Darkness")</f>
        <v>Bow of Chaotic Darkness</v>
      </c>
      <c r="B35" s="2"/>
      <c r="C35" s="1" t="str">
        <f>IFERROR(__xludf.DUMMYFUNCTION("""COMPUTED_VALUE"""),"Bow")</f>
        <v>Bow</v>
      </c>
      <c r="D35" s="2" t="str">
        <f>IFERROR(__xludf.DUMMYFUNCTION("""COMPUTED_VALUE"""),"Hand")</f>
        <v>Hand</v>
      </c>
      <c r="E35" s="2">
        <f>IFERROR(__xludf.DUMMYFUNCTION("""COMPUTED_VALUE"""),4400.0)</f>
        <v>4400</v>
      </c>
      <c r="F35" s="2" t="str">
        <f>IFERROR(__xludf.DUMMYFUNCTION("""COMPUTED_VALUE"""),"DMG: +140000, Dark DMG: +40000, Chaos DMG: +40000 ++You may use up to 4 arrows with this bow.")</f>
        <v>DMG: +140000, Dark DMG: +40000, Chaos DMG: +40000 ++You may use up to 4 arrows with this bow.</v>
      </c>
      <c r="G35" s="2">
        <f>IFERROR(__xludf.DUMMYFUNCTION("""COMPUTED_VALUE"""),9.658E8)</f>
        <v>965800000</v>
      </c>
      <c r="H35" s="2"/>
      <c r="I35" s="2"/>
      <c r="J35" s="2"/>
      <c r="K35" s="2"/>
      <c r="L35" s="8"/>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3"/>
      <c r="BB35" s="3"/>
      <c r="BD35" s="3"/>
      <c r="BE35" s="3"/>
      <c r="BF35" s="3"/>
      <c r="BG35" s="3"/>
      <c r="BH35" s="3"/>
      <c r="BI35" s="3"/>
      <c r="BJ35" s="3"/>
      <c r="BK35" s="3"/>
      <c r="BL35" s="3"/>
    </row>
    <row r="36" ht="15.75" customHeight="1">
      <c r="A36" s="2" t="str">
        <f>IFERROR(__xludf.DUMMYFUNCTION("""COMPUTED_VALUE"""),"Bow of Luck")</f>
        <v>Bow of Luck</v>
      </c>
      <c r="B36" s="2"/>
      <c r="C36" s="2" t="str">
        <f>IFERROR(__xludf.DUMMYFUNCTION("""COMPUTED_VALUE"""),"Bow")</f>
        <v>Bow</v>
      </c>
      <c r="D36" s="2" t="str">
        <f>IFERROR(__xludf.DUMMYFUNCTION("""COMPUTED_VALUE"""),"Hand")</f>
        <v>Hand</v>
      </c>
      <c r="E36" s="2">
        <f>IFERROR(__xludf.DUMMYFUNCTION("""COMPUTED_VALUE"""),3000.0)</f>
        <v>3000</v>
      </c>
      <c r="F36" s="2"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2">
        <f>IFERROR(__xludf.DUMMYFUNCTION("""COMPUTED_VALUE"""),4.485E8)</f>
        <v>448500000</v>
      </c>
      <c r="H36" s="2"/>
      <c r="I36" s="2"/>
      <c r="J36" s="5"/>
      <c r="K36" s="5"/>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3"/>
      <c r="BB36" s="3"/>
      <c r="BD36" s="3"/>
      <c r="BE36" s="3"/>
      <c r="BF36" s="3"/>
      <c r="BG36" s="3"/>
      <c r="BH36" s="3"/>
      <c r="BI36" s="3"/>
      <c r="BJ36" s="3"/>
      <c r="BK36" s="3"/>
      <c r="BL36" s="3"/>
    </row>
    <row r="37" ht="15.75" customHeight="1">
      <c r="A37" s="2" t="str">
        <f>IFERROR(__xludf.DUMMYFUNCTION("""COMPUTED_VALUE"""),"Bow of The Sacred Druids")</f>
        <v>Bow of The Sacred Druids</v>
      </c>
      <c r="B37" s="2"/>
      <c r="C37" s="2" t="str">
        <f>IFERROR(__xludf.DUMMYFUNCTION("""COMPUTED_VALUE"""),"Bow")</f>
        <v>Bow</v>
      </c>
      <c r="D37" s="2" t="str">
        <f>IFERROR(__xludf.DUMMYFUNCTION("""COMPUTED_VALUE"""),"Hand")</f>
        <v>Hand</v>
      </c>
      <c r="E37" s="2">
        <f>IFERROR(__xludf.DUMMYFUNCTION("""COMPUTED_VALUE"""),200.0)</f>
        <v>200</v>
      </c>
      <c r="F37" s="2" t="str">
        <f>IFERROR(__xludf.DUMMYFUNCTION("""COMPUTED_VALUE"""),"DMG: +5000, Nature DMG: +5000 ++Druids Call - X4 additional damage for ranged weapons.")</f>
        <v>DMG: +5000, Nature DMG: +5000 ++Druids Call - X4 additional damage for ranged weapons.</v>
      </c>
      <c r="G37" s="2">
        <f>IFERROR(__xludf.DUMMYFUNCTION("""COMPUTED_VALUE"""),1900000.0)</f>
        <v>1900000</v>
      </c>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3"/>
      <c r="BB37" s="3"/>
      <c r="BD37" s="3"/>
      <c r="BE37" s="3"/>
      <c r="BF37" s="3"/>
      <c r="BG37" s="3"/>
      <c r="BH37" s="3"/>
      <c r="BI37" s="3"/>
      <c r="BJ37" s="3"/>
      <c r="BK37" s="3"/>
      <c r="BL37" s="3"/>
    </row>
    <row r="38" ht="15.75" customHeight="1">
      <c r="A38" s="2" t="str">
        <f>IFERROR(__xludf.DUMMYFUNCTION("""COMPUTED_VALUE"""),"Bo Staff Of Zhenmay")</f>
        <v>Bo Staff Of Zhenmay</v>
      </c>
      <c r="B38" s="2"/>
      <c r="C38" s="1" t="str">
        <f>IFERROR(__xludf.DUMMYFUNCTION("""COMPUTED_VALUE"""),"Club")</f>
        <v>Club</v>
      </c>
      <c r="D38" s="2" t="str">
        <f>IFERROR(__xludf.DUMMYFUNCTION("""COMPUTED_VALUE"""),"Hand")</f>
        <v>Hand</v>
      </c>
      <c r="E38" s="2">
        <f>IFERROR(__xludf.DUMMYFUNCTION("""COMPUTED_VALUE"""),3000.0)</f>
        <v>3000</v>
      </c>
      <c r="F38" s="2" t="str">
        <f>IFERROR(__xludf.DUMMYFUNCTION("""COMPUTED_VALUE"""),"DMG: +100000, Zen DMG: +50000 ++Blindness 2. ")</f>
        <v>DMG: +100000, Zen DMG: +50000 ++Blindness 2. </v>
      </c>
      <c r="G38" s="2">
        <f>IFERROR(__xludf.DUMMYFUNCTION("""COMPUTED_VALUE"""),4.485E8)</f>
        <v>448500000</v>
      </c>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3"/>
      <c r="BB38" s="3"/>
      <c r="BD38" s="3"/>
      <c r="BE38" s="3"/>
      <c r="BF38" s="3"/>
      <c r="BG38" s="3"/>
      <c r="BH38" s="3"/>
      <c r="BI38" s="3"/>
      <c r="BJ38" s="3"/>
      <c r="BK38" s="3"/>
      <c r="BL38" s="3"/>
    </row>
    <row r="39" ht="15.75" customHeight="1">
      <c r="A39" s="2" t="str">
        <f>IFERROR(__xludf.DUMMYFUNCTION("""COMPUTED_VALUE"""),"Breezy Clothes")</f>
        <v>Breezy Clothes</v>
      </c>
      <c r="B39" s="2"/>
      <c r="C39" s="1"/>
      <c r="D39" s="2" t="str">
        <f>IFERROR(__xludf.DUMMYFUNCTION("""COMPUTED_VALUE"""),"Torso")</f>
        <v>Torso</v>
      </c>
      <c r="E39" s="2">
        <f>IFERROR(__xludf.DUMMYFUNCTION("""COMPUTED_VALUE"""),1.0)</f>
        <v>1</v>
      </c>
      <c r="F39" s="2" t="str">
        <f>IFERROR(__xludf.DUMMYFUNCTION("""COMPUTED_VALUE""")," ++While equipped, Take half damage from fire damage, But decrease water damage you deal by half. ")</f>
        <v> ++While equipped, Take half damage from fire damage, But decrease water damage you deal by half. </v>
      </c>
      <c r="G39" s="2">
        <f>IFERROR(__xludf.DUMMYFUNCTION("""COMPUTED_VALUE"""),0.0)</f>
        <v>0</v>
      </c>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3"/>
      <c r="BB39" s="3"/>
      <c r="BD39" s="3"/>
      <c r="BE39" s="3"/>
      <c r="BF39" s="3"/>
      <c r="BG39" s="3"/>
      <c r="BH39" s="3"/>
      <c r="BI39" s="3"/>
      <c r="BJ39" s="3"/>
      <c r="BK39" s="3"/>
      <c r="BL39" s="3"/>
    </row>
    <row r="40" ht="15.75" customHeight="1">
      <c r="A40" s="2" t="str">
        <f>IFERROR(__xludf.DUMMYFUNCTION("""COMPUTED_VALUE"""),"Bright Flame Sword")</f>
        <v>Bright Flame Sword</v>
      </c>
      <c r="B40" s="2"/>
      <c r="C40" s="2" t="str">
        <f>IFERROR(__xludf.DUMMYFUNCTION("""COMPUTED_VALUE"""),"Sword")</f>
        <v>Sword</v>
      </c>
      <c r="D40" s="2" t="str">
        <f>IFERROR(__xludf.DUMMYFUNCTION("""COMPUTED_VALUE"""),"Hand")</f>
        <v>Hand</v>
      </c>
      <c r="E40" s="2">
        <f>IFERROR(__xludf.DUMMYFUNCTION("""COMPUTED_VALUE"""),300.0)</f>
        <v>300</v>
      </c>
      <c r="F40" s="2" t="str">
        <f>IFERROR(__xludf.DUMMYFUNCTION("""COMPUTED_VALUE"""),"DMG: +10000, Fire DMG: +5000")</f>
        <v>DMG: +10000, Fire DMG: +5000</v>
      </c>
      <c r="G40" s="2">
        <f>IFERROR(__xludf.DUMMYFUNCTION("""COMPUTED_VALUE"""),4350000.0)</f>
        <v>4350000</v>
      </c>
      <c r="H40" s="2"/>
      <c r="I40" s="2"/>
      <c r="J40" s="5"/>
      <c r="K40" s="5"/>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3"/>
      <c r="BB40" s="3"/>
      <c r="BD40" s="3"/>
      <c r="BE40" s="3"/>
      <c r="BF40" s="3"/>
      <c r="BG40" s="3"/>
      <c r="BH40" s="3"/>
      <c r="BI40" s="3"/>
      <c r="BJ40" s="3"/>
      <c r="BK40" s="3"/>
      <c r="BL40" s="3"/>
    </row>
    <row r="41" ht="15.75" customHeight="1">
      <c r="A41" s="2" t="str">
        <f>IFERROR(__xludf.DUMMYFUNCTION("""COMPUTED_VALUE"""),"Broken Sword")</f>
        <v>Broken Sword</v>
      </c>
      <c r="B41" s="2"/>
      <c r="C41" s="1" t="str">
        <f>IFERROR(__xludf.DUMMYFUNCTION("""COMPUTED_VALUE"""),"Knife")</f>
        <v>Knife</v>
      </c>
      <c r="D41" s="2" t="str">
        <f>IFERROR(__xludf.DUMMYFUNCTION("""COMPUTED_VALUE"""),"Hand")</f>
        <v>Hand</v>
      </c>
      <c r="E41" s="2">
        <f>IFERROR(__xludf.DUMMYFUNCTION("""COMPUTED_VALUE"""),1.0)</f>
        <v>1</v>
      </c>
      <c r="F41" s="2" t="str">
        <f>IFERROR(__xludf.DUMMYFUNCTION("""COMPUTED_VALUE"""),"DMG: +1 ++ -1 evasion")</f>
        <v>DMG: +1 ++ -1 evasion</v>
      </c>
      <c r="G41" s="2">
        <f>IFERROR(__xludf.DUMMYFUNCTION("""COMPUTED_VALUE"""),0.0)</f>
        <v>0</v>
      </c>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3"/>
      <c r="BB41" s="3"/>
      <c r="BD41" s="3"/>
      <c r="BE41" s="3"/>
      <c r="BF41" s="3"/>
      <c r="BG41" s="3"/>
      <c r="BH41" s="3"/>
      <c r="BI41" s="3"/>
      <c r="BJ41" s="3"/>
      <c r="BK41" s="3"/>
      <c r="BL41" s="3"/>
    </row>
    <row r="42" ht="15.75" customHeight="1">
      <c r="A42" s="2" t="str">
        <f>IFERROR(__xludf.DUMMYFUNCTION("""COMPUTED_VALUE"""),"Burning Broadsword")</f>
        <v>Burning Broadsword</v>
      </c>
      <c r="B42" s="2"/>
      <c r="C42" s="1" t="str">
        <f>IFERROR(__xludf.DUMMYFUNCTION("""COMPUTED_VALUE"""),"Sword")</f>
        <v>Sword</v>
      </c>
      <c r="D42" s="2" t="str">
        <f>IFERROR(__xludf.DUMMYFUNCTION("""COMPUTED_VALUE"""),"Hand")</f>
        <v>Hand</v>
      </c>
      <c r="E42" s="2">
        <f>IFERROR(__xludf.DUMMYFUNCTION("""COMPUTED_VALUE"""),200.0)</f>
        <v>200</v>
      </c>
      <c r="F42" s="2" t="str">
        <f>IFERROR(__xludf.DUMMYFUNCTION("""COMPUTED_VALUE"""),"DMG: +5000, Fire DMG: +5000 ++10,000 fire damage per round for 3 rounds.")</f>
        <v>DMG: +5000, Fire DMG: +5000 ++10,000 fire damage per round for 3 rounds.</v>
      </c>
      <c r="G42" s="2">
        <f>IFERROR(__xludf.DUMMYFUNCTION("""COMPUTED_VALUE"""),1900000.0)</f>
        <v>1900000</v>
      </c>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3"/>
      <c r="BB42" s="3"/>
      <c r="BD42" s="3"/>
      <c r="BE42" s="3"/>
      <c r="BF42" s="3"/>
      <c r="BG42" s="3"/>
      <c r="BH42" s="3"/>
      <c r="BI42" s="3"/>
      <c r="BJ42" s="3"/>
      <c r="BK42" s="3"/>
      <c r="BL42" s="3"/>
    </row>
    <row r="43" ht="15.75" customHeight="1">
      <c r="A43" s="2" t="str">
        <f>IFERROR(__xludf.DUMMYFUNCTION("""COMPUTED_VALUE"""),"Candy Corn Necklace")</f>
        <v>Candy Corn Necklace</v>
      </c>
      <c r="B43" s="2" t="str">
        <f>IFERROR(__xludf.DUMMYFUNCTION("""COMPUTED_VALUE"""),"Halloween Exclusive")</f>
        <v>Halloween Exclusive</v>
      </c>
      <c r="C43" s="1"/>
      <c r="D43" s="2" t="str">
        <f>IFERROR(__xludf.DUMMYFUNCTION("""COMPUTED_VALUE"""),"Neck")</f>
        <v>Neck</v>
      </c>
      <c r="E43" s="2">
        <f>IFERROR(__xludf.DUMMYFUNCTION("""COMPUTED_VALUE"""),1.0)</f>
        <v>1</v>
      </c>
      <c r="F43" s="2" t="str">
        <f>IFERROR(__xludf.DUMMYFUNCTION("""COMPUTED_VALUE""")," ++Gives Immunity to Dark and Chaos Damage, ++ +2 Intimidation.")</f>
        <v> ++Gives Immunity to Dark and Chaos Damage, ++ +2 Intimidation.</v>
      </c>
      <c r="G43" s="2">
        <f>IFERROR(__xludf.DUMMYFUNCTION("""COMPUTED_VALUE"""),0.0)</f>
        <v>0</v>
      </c>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3"/>
      <c r="BB43" s="3"/>
      <c r="BD43" s="3"/>
      <c r="BE43" s="3"/>
      <c r="BF43" s="3"/>
      <c r="BG43" s="3"/>
      <c r="BH43" s="3"/>
      <c r="BI43" s="3"/>
      <c r="BJ43" s="3"/>
      <c r="BK43" s="3"/>
      <c r="BL43" s="3"/>
    </row>
    <row r="44" ht="15.75" customHeight="1">
      <c r="A44" s="2" t="str">
        <f>IFERROR(__xludf.DUMMYFUNCTION("""COMPUTED_VALUE"""),"Candy Corn Rifle")</f>
        <v>Candy Corn Rifle</v>
      </c>
      <c r="B44" s="2" t="str">
        <f>IFERROR(__xludf.DUMMYFUNCTION("""COMPUTED_VALUE"""),"Halloween Exclusive")</f>
        <v>Halloween Exclusive</v>
      </c>
      <c r="C44" s="1" t="str">
        <f>IFERROR(__xludf.DUMMYFUNCTION("""COMPUTED_VALUE"""),"Firearm")</f>
        <v>Firearm</v>
      </c>
      <c r="D44" s="2" t="str">
        <f>IFERROR(__xludf.DUMMYFUNCTION("""COMPUTED_VALUE"""),"Hand")</f>
        <v>Hand</v>
      </c>
      <c r="E44" s="2">
        <f>IFERROR(__xludf.DUMMYFUNCTION("""COMPUTED_VALUE"""),200.0)</f>
        <v>200</v>
      </c>
      <c r="F44" s="2"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2">
        <f>IFERROR(__xludf.DUMMYFUNCTION("""COMPUTED_VALUE"""),1.272E8)</f>
        <v>127200000</v>
      </c>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3"/>
      <c r="BB44" s="3"/>
      <c r="BD44" s="3"/>
      <c r="BE44" s="3"/>
      <c r="BF44" s="3"/>
      <c r="BG44" s="3"/>
      <c r="BH44" s="3"/>
      <c r="BI44" s="3"/>
      <c r="BJ44" s="3"/>
      <c r="BK44" s="3"/>
      <c r="BL44" s="3"/>
    </row>
    <row r="45" ht="15.75" customHeight="1">
      <c r="A45" s="2" t="str">
        <f>IFERROR(__xludf.DUMMYFUNCTION("""COMPUTED_VALUE"""),"Cap of Metal Harmony's")</f>
        <v>Cap of Metal Harmony's</v>
      </c>
      <c r="B45" s="2"/>
      <c r="C45" s="1"/>
      <c r="D45" s="2" t="str">
        <f>IFERROR(__xludf.DUMMYFUNCTION("""COMPUTED_VALUE"""),"Head")</f>
        <v>Head</v>
      </c>
      <c r="E45" s="2">
        <f>IFERROR(__xludf.DUMMYFUNCTION("""COMPUTED_VALUE"""),200.0)</f>
        <v>200</v>
      </c>
      <c r="F45" s="2" t="str">
        <f>IFERROR(__xludf.DUMMYFUNCTION("""COMPUTED_VALUE"""),"DEF: +10000 ++Half the SP cost for Fire, Water, Storm, Earth, and Nature spells.")</f>
        <v>DEF: +10000 ++Half the SP cost for Fire, Water, Storm, Earth, and Nature spells.</v>
      </c>
      <c r="G45" s="2">
        <f>IFERROR(__xludf.DUMMYFUNCTION("""COMPUTED_VALUE"""),1900000.0)</f>
        <v>1900000</v>
      </c>
      <c r="H45" s="2"/>
      <c r="I45" s="2"/>
      <c r="J45" s="2"/>
      <c r="K45" s="2"/>
      <c r="L45" s="8"/>
      <c r="M45" s="8"/>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3"/>
      <c r="BB45" s="3"/>
      <c r="BD45" s="3"/>
      <c r="BE45" s="3"/>
      <c r="BF45" s="3"/>
      <c r="BG45" s="3"/>
      <c r="BH45" s="3"/>
      <c r="BI45" s="3"/>
      <c r="BJ45" s="3"/>
      <c r="BK45" s="3"/>
      <c r="BL45" s="3"/>
    </row>
    <row r="46" ht="15.75" customHeight="1">
      <c r="A46" s="2" t="str">
        <f>IFERROR(__xludf.DUMMYFUNCTION("""COMPUTED_VALUE"""),"Celestian Royal Shield")</f>
        <v>Celestian Royal Shield</v>
      </c>
      <c r="B46" s="2" t="str">
        <f>IFERROR(__xludf.DUMMYFUNCTION("""COMPUTED_VALUE"""),"Quest Item")</f>
        <v>Quest Item</v>
      </c>
      <c r="C46" s="1" t="str">
        <f>IFERROR(__xludf.DUMMYFUNCTION("""COMPUTED_VALUE"""),"Towershield")</f>
        <v>Towershield</v>
      </c>
      <c r="D46" s="2" t="str">
        <f>IFERROR(__xludf.DUMMYFUNCTION("""COMPUTED_VALUE"""),"Hand")</f>
        <v>Hand</v>
      </c>
      <c r="E46" s="2">
        <f>IFERROR(__xludf.DUMMYFUNCTION("""COMPUTED_VALUE"""),200.0)</f>
        <v>200</v>
      </c>
      <c r="F46" s="2"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2">
        <f>IFERROR(__xludf.DUMMYFUNCTION("""COMPUTED_VALUE"""),3.196E9)</f>
        <v>3196000000</v>
      </c>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3"/>
      <c r="BB46" s="3"/>
      <c r="BD46" s="3"/>
      <c r="BE46" s="3"/>
      <c r="BF46" s="3"/>
      <c r="BG46" s="3"/>
      <c r="BH46" s="3"/>
      <c r="BI46" s="3"/>
      <c r="BJ46" s="3"/>
      <c r="BK46" s="3"/>
      <c r="BL46" s="3"/>
    </row>
    <row r="47" ht="15.75" customHeight="1">
      <c r="A47" s="2" t="str">
        <f>IFERROR(__xludf.DUMMYFUNCTION("""COMPUTED_VALUE"""),"Celestian Royal Sword")</f>
        <v>Celestian Royal Sword</v>
      </c>
      <c r="B47" s="2" t="str">
        <f>IFERROR(__xludf.DUMMYFUNCTION("""COMPUTED_VALUE"""),"Quest Item")</f>
        <v>Quest Item</v>
      </c>
      <c r="C47" s="1" t="str">
        <f>IFERROR(__xludf.DUMMYFUNCTION("""COMPUTED_VALUE"""),"Sword")</f>
        <v>Sword</v>
      </c>
      <c r="D47" s="2" t="str">
        <f>IFERROR(__xludf.DUMMYFUNCTION("""COMPUTED_VALUE"""),"Hand")</f>
        <v>Hand</v>
      </c>
      <c r="E47" s="2">
        <f>IFERROR(__xludf.DUMMYFUNCTION("""COMPUTED_VALUE"""),200.0)</f>
        <v>200</v>
      </c>
      <c r="F47" s="2"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2">
        <f>IFERROR(__xludf.DUMMYFUNCTION("""COMPUTED_VALUE"""),3.196E9)</f>
        <v>3196000000</v>
      </c>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3"/>
      <c r="BB47" s="3"/>
      <c r="BD47" s="3"/>
      <c r="BE47" s="3"/>
      <c r="BF47" s="3"/>
      <c r="BG47" s="3"/>
      <c r="BH47" s="3"/>
      <c r="BI47" s="3"/>
      <c r="BJ47" s="3"/>
      <c r="BK47" s="3"/>
      <c r="BL47" s="3"/>
    </row>
    <row r="48" ht="15.75" customHeight="1">
      <c r="A48" s="2" t="str">
        <f>IFERROR(__xludf.DUMMYFUNCTION("""COMPUTED_VALUE"""),"Chain Link Armor")</f>
        <v>Chain Link Armor</v>
      </c>
      <c r="B48" s="2"/>
      <c r="C48" s="1"/>
      <c r="D48" s="2" t="str">
        <f>IFERROR(__xludf.DUMMYFUNCTION("""COMPUTED_VALUE"""),"Torso")</f>
        <v>Torso</v>
      </c>
      <c r="E48" s="2">
        <f>IFERROR(__xludf.DUMMYFUNCTION("""COMPUTED_VALUE"""),40.0)</f>
        <v>40</v>
      </c>
      <c r="F48" s="2"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2">
        <f>IFERROR(__xludf.DUMMYFUNCTION("""COMPUTED_VALUE"""),60000.0)</f>
        <v>60000</v>
      </c>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3"/>
      <c r="BB48" s="3"/>
      <c r="BD48" s="3"/>
      <c r="BE48" s="3"/>
      <c r="BF48" s="3"/>
      <c r="BG48" s="3"/>
      <c r="BH48" s="3"/>
      <c r="BI48" s="3"/>
      <c r="BJ48" s="3"/>
      <c r="BK48" s="3"/>
      <c r="BL48" s="3"/>
    </row>
    <row r="49" ht="15.75" customHeight="1">
      <c r="A49" s="2" t="str">
        <f>IFERROR(__xludf.DUMMYFUNCTION("""COMPUTED_VALUE"""),"Chaos Sword")</f>
        <v>Chaos Sword</v>
      </c>
      <c r="B49" s="2"/>
      <c r="C49" s="1" t="str">
        <f>IFERROR(__xludf.DUMMYFUNCTION("""COMPUTED_VALUE"""),"Sword")</f>
        <v>Sword</v>
      </c>
      <c r="D49" s="2" t="str">
        <f>IFERROR(__xludf.DUMMYFUNCTION("""COMPUTED_VALUE"""),"Hand")</f>
        <v>Hand</v>
      </c>
      <c r="E49" s="2">
        <f>IFERROR(__xludf.DUMMYFUNCTION("""COMPUTED_VALUE"""),90.0)</f>
        <v>90</v>
      </c>
      <c r="F49" s="2" t="str">
        <f>IFERROR(__xludf.DUMMYFUNCTION("""COMPUTED_VALUE"""),"DMG: +2500, Chaos DMG: +2000 ++ +2 Intimidation. +-Cannot be duplicated. +-Can only equip one.")</f>
        <v>DMG: +2500, Chaos DMG: +2000 ++ +2 Intimidation. +-Cannot be duplicated. +-Can only equip one.</v>
      </c>
      <c r="G49" s="2">
        <f>IFERROR(__xludf.DUMMYFUNCTION("""COMPUTED_VALUE"""),360000.0)</f>
        <v>360000</v>
      </c>
      <c r="H49" s="2"/>
      <c r="I49" s="2"/>
      <c r="J49" s="5"/>
      <c r="K49" s="5"/>
      <c r="L49" s="8"/>
      <c r="M49" s="8"/>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3"/>
      <c r="BB49" s="3"/>
      <c r="BD49" s="3"/>
      <c r="BE49" s="3"/>
      <c r="BF49" s="3"/>
      <c r="BG49" s="3"/>
      <c r="BH49" s="3"/>
      <c r="BI49" s="3"/>
      <c r="BJ49" s="3"/>
      <c r="BK49" s="3"/>
      <c r="BL49" s="3"/>
    </row>
    <row r="50" ht="15.75" customHeight="1">
      <c r="A50" s="2" t="str">
        <f>IFERROR(__xludf.DUMMYFUNCTION("""COMPUTED_VALUE"""),"Chaotic Amulet")</f>
        <v>Chaotic Amulet</v>
      </c>
      <c r="B50" s="2"/>
      <c r="C50" s="1"/>
      <c r="D50" s="2" t="str">
        <f>IFERROR(__xludf.DUMMYFUNCTION("""COMPUTED_VALUE"""),"Neck")</f>
        <v>Neck</v>
      </c>
      <c r="E50" s="2">
        <f>IFERROR(__xludf.DUMMYFUNCTION("""COMPUTED_VALUE"""),1.0)</f>
        <v>1</v>
      </c>
      <c r="F50" s="2" t="str">
        <f>IFERROR(__xludf.DUMMYFUNCTION("""COMPUTED_VALUE""")," ++Immunity to all Chaos Dmg, ++Deal 2x more Chaos Dmg.")</f>
        <v> ++Immunity to all Chaos Dmg, ++Deal 2x more Chaos Dmg.</v>
      </c>
      <c r="G50" s="2">
        <f>IFERROR(__xludf.DUMMYFUNCTION("""COMPUTED_VALUE"""),0.0)</f>
        <v>0</v>
      </c>
      <c r="H50" s="2"/>
      <c r="I50" s="2"/>
      <c r="J50" s="5"/>
      <c r="K50" s="5"/>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3"/>
      <c r="BB50" s="3"/>
      <c r="BD50" s="3"/>
      <c r="BE50" s="3"/>
      <c r="BF50" s="3"/>
      <c r="BG50" s="3"/>
      <c r="BH50" s="3"/>
      <c r="BI50" s="3"/>
      <c r="BJ50" s="3"/>
      <c r="BK50" s="3"/>
      <c r="BL50" s="3"/>
    </row>
    <row r="51" ht="15.75" customHeight="1">
      <c r="A51" s="2" t="str">
        <f>IFERROR(__xludf.DUMMYFUNCTION("""COMPUTED_VALUE"""),"Ring")</f>
        <v>Ring</v>
      </c>
      <c r="B51" s="2"/>
      <c r="C51" s="1"/>
      <c r="D51" s="2" t="str">
        <f>IFERROR(__xludf.DUMMYFUNCTION("""COMPUTED_VALUE"""),"Ring")</f>
        <v>Ring</v>
      </c>
      <c r="E51" s="2">
        <f>IFERROR(__xludf.DUMMYFUNCTION("""COMPUTED_VALUE"""),1.0)</f>
        <v>1</v>
      </c>
      <c r="F51" s="2" t="str">
        <f>IFERROR(__xludf.DUMMYFUNCTION("""COMPUTED_VALUE""")," ++X2 additional Chaos and Blood damage")</f>
        <v> ++X2 additional Chaos and Blood damage</v>
      </c>
      <c r="G51" s="2">
        <f>IFERROR(__xludf.DUMMYFUNCTION("""COMPUTED_VALUE"""),0.0)</f>
        <v>0</v>
      </c>
      <c r="H51" s="2"/>
      <c r="I51" s="2"/>
      <c r="J51" s="5"/>
      <c r="K51" s="5"/>
      <c r="L51" s="2"/>
      <c r="M51" s="1"/>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3"/>
      <c r="BB51" s="3"/>
      <c r="BD51" s="3"/>
      <c r="BE51" s="3"/>
      <c r="BF51" s="3"/>
      <c r="BG51" s="3"/>
      <c r="BH51" s="3"/>
      <c r="BI51" s="3"/>
      <c r="BJ51" s="3"/>
      <c r="BK51" s="3"/>
      <c r="BL51" s="3"/>
    </row>
    <row r="52" ht="15.75" customHeight="1">
      <c r="A52" s="2" t="str">
        <f>IFERROR(__xludf.DUMMYFUNCTION("""COMPUTED_VALUE"""),"Chaotic Shadow Life Orb")</f>
        <v>Chaotic Shadow Life Orb</v>
      </c>
      <c r="B52" s="2"/>
      <c r="C52" s="1"/>
      <c r="D52" s="2" t="str">
        <f>IFERROR(__xludf.DUMMYFUNCTION("""COMPUTED_VALUE"""),"Hand")</f>
        <v>Hand</v>
      </c>
      <c r="E52" s="2">
        <f>IFERROR(__xludf.DUMMYFUNCTION("""COMPUTED_VALUE"""),1.0)</f>
        <v>1</v>
      </c>
      <c r="F52" s="2"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2">
        <f>IFERROR(__xludf.DUMMYFUNCTION("""COMPUTED_VALUE"""),0.0)</f>
        <v>0</v>
      </c>
      <c r="H52" s="2"/>
      <c r="I52" s="2"/>
      <c r="J52" s="2"/>
      <c r="K52" s="2"/>
      <c r="L52" s="1"/>
      <c r="M52" s="1"/>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3"/>
      <c r="BB52" s="3"/>
      <c r="BD52" s="3"/>
      <c r="BE52" s="3"/>
      <c r="BF52" s="3"/>
      <c r="BG52" s="3"/>
      <c r="BH52" s="3"/>
      <c r="BI52" s="3"/>
      <c r="BJ52" s="3"/>
      <c r="BK52" s="3"/>
      <c r="BL52" s="3"/>
    </row>
    <row r="53" ht="15.75" customHeight="1">
      <c r="A53" s="2" t="str">
        <f>IFERROR(__xludf.DUMMYFUNCTION("""COMPUTED_VALUE"""),"Charm of Awaken")</f>
        <v>Charm of Awaken</v>
      </c>
      <c r="B53" s="2"/>
      <c r="C53" s="1"/>
      <c r="D53" s="2" t="str">
        <f>IFERROR(__xludf.DUMMYFUNCTION("""COMPUTED_VALUE"""),"Neck")</f>
        <v>Neck</v>
      </c>
      <c r="E53" s="2">
        <f>IFERROR(__xludf.DUMMYFUNCTION("""COMPUTED_VALUE"""),1.0)</f>
        <v>1</v>
      </c>
      <c r="F53" s="2" t="str">
        <f>IFERROR(__xludf.DUMMYFUNCTION("""COMPUTED_VALUE""")," ++Immunity to sleep.")</f>
        <v> ++Immunity to sleep.</v>
      </c>
      <c r="G53" s="2">
        <f>IFERROR(__xludf.DUMMYFUNCTION("""COMPUTED_VALUE"""),0.0)</f>
        <v>0</v>
      </c>
      <c r="H53" s="2"/>
      <c r="I53" s="2"/>
      <c r="J53" s="5"/>
      <c r="K53" s="5"/>
      <c r="L53" s="1"/>
      <c r="M53" s="1"/>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3"/>
      <c r="BB53" s="3"/>
      <c r="BD53" s="3"/>
      <c r="BE53" s="3"/>
      <c r="BF53" s="3"/>
      <c r="BG53" s="3"/>
      <c r="BH53" s="3"/>
      <c r="BI53" s="3"/>
      <c r="BJ53" s="3"/>
      <c r="BK53" s="3"/>
      <c r="BL53" s="3"/>
    </row>
    <row r="54" ht="15.75" customHeight="1">
      <c r="A54" s="2" t="str">
        <f>IFERROR(__xludf.DUMMYFUNCTION("""COMPUTED_VALUE"""),"Chestplate of Foul Night")</f>
        <v>Chestplate of Foul Night</v>
      </c>
      <c r="B54" s="2"/>
      <c r="C54" s="1"/>
      <c r="D54" s="2" t="str">
        <f>IFERROR(__xludf.DUMMYFUNCTION("""COMPUTED_VALUE"""),"Torso")</f>
        <v>Torso</v>
      </c>
      <c r="E54" s="2">
        <f>IFERROR(__xludf.DUMMYFUNCTION("""COMPUTED_VALUE"""),200.0)</f>
        <v>200</v>
      </c>
      <c r="F54" s="2" t="str">
        <f>IFERROR(__xludf.DUMMYFUNCTION("""COMPUTED_VALUE"""),"DEF: +5000, Nature DEF: +5000 (Foul Night Set) ++X2 Nature and Poison damage, ++Poison Immunity.")</f>
        <v>DEF: +5000, Nature DEF: +5000 (Foul Night Set) ++X2 Nature and Poison damage, ++Poison Immunity.</v>
      </c>
      <c r="G54" s="2">
        <f>IFERROR(__xludf.DUMMYFUNCTION("""COMPUTED_VALUE"""),1900000.0)</f>
        <v>1900000</v>
      </c>
      <c r="H54" s="2"/>
      <c r="I54" s="2"/>
      <c r="J54" s="5"/>
      <c r="K54" s="5"/>
      <c r="L54" s="1"/>
      <c r="M54" s="1"/>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3"/>
      <c r="BB54" s="3"/>
      <c r="BD54" s="3"/>
      <c r="BE54" s="3"/>
      <c r="BF54" s="3"/>
      <c r="BG54" s="3"/>
      <c r="BH54" s="3"/>
      <c r="BI54" s="3"/>
      <c r="BJ54" s="3"/>
      <c r="BK54" s="3"/>
      <c r="BL54" s="3"/>
    </row>
    <row r="55" ht="15.75" customHeight="1">
      <c r="A55" s="2" t="str">
        <f>IFERROR(__xludf.DUMMYFUNCTION("""COMPUTED_VALUE"""),"Chestplate of Waking Waters")</f>
        <v>Chestplate of Waking Waters</v>
      </c>
      <c r="B55" s="2"/>
      <c r="C55" s="1"/>
      <c r="D55" s="2" t="str">
        <f>IFERROR(__xludf.DUMMYFUNCTION("""COMPUTED_VALUE"""),"Torso")</f>
        <v>Torso</v>
      </c>
      <c r="E55" s="2">
        <f>IFERROR(__xludf.DUMMYFUNCTION("""COMPUTED_VALUE"""),400.0)</f>
        <v>400</v>
      </c>
      <c r="F55" s="2" t="str">
        <f>IFERROR(__xludf.DUMMYFUNCTION("""COMPUTED_VALUE"""),"DEF: +10000, Water DEF: +10000 ++X4 additional water damage for self.")</f>
        <v>DEF: +10000, Water DEF: +10000 ++X4 additional water damage for self.</v>
      </c>
      <c r="G55" s="2">
        <f>IFERROR(__xludf.DUMMYFUNCTION("""COMPUTED_VALUE"""),7800000.0)</f>
        <v>7800000</v>
      </c>
      <c r="H55" s="2"/>
      <c r="I55" s="2"/>
      <c r="J55" s="2"/>
      <c r="K55" s="2"/>
      <c r="L55" s="1"/>
      <c r="M55" s="1"/>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3"/>
      <c r="BB55" s="3"/>
      <c r="BD55" s="3"/>
      <c r="BE55" s="3"/>
      <c r="BF55" s="3"/>
      <c r="BG55" s="3"/>
      <c r="BH55" s="3"/>
      <c r="BI55" s="3"/>
      <c r="BJ55" s="3"/>
      <c r="BK55" s="3"/>
      <c r="BL55" s="3"/>
    </row>
    <row r="56" ht="15.75" customHeight="1">
      <c r="A56" s="2" t="str">
        <f>IFERROR(__xludf.DUMMYFUNCTION("""COMPUTED_VALUE"""),"Cloth Cap")</f>
        <v>Cloth Cap</v>
      </c>
      <c r="B56" s="2"/>
      <c r="C56" s="1"/>
      <c r="D56" s="2" t="str">
        <f>IFERROR(__xludf.DUMMYFUNCTION("""COMPUTED_VALUE"""),"Head")</f>
        <v>Head</v>
      </c>
      <c r="E56" s="2">
        <f>IFERROR(__xludf.DUMMYFUNCTION("""COMPUTED_VALUE"""),50.0)</f>
        <v>50</v>
      </c>
      <c r="F56" s="2" t="str">
        <f>IFERROR(__xludf.DUMMYFUNCTION("""COMPUTED_VALUE"""),"DEF: +2500")</f>
        <v>DEF: +2500</v>
      </c>
      <c r="G56" s="2">
        <f>IFERROR(__xludf.DUMMYFUNCTION("""COMPUTED_VALUE"""),100000.0)</f>
        <v>100000</v>
      </c>
      <c r="H56" s="2"/>
      <c r="I56" s="2"/>
      <c r="J56" s="2"/>
      <c r="K56" s="2"/>
      <c r="L56" s="1"/>
      <c r="M56" s="1"/>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3"/>
      <c r="BB56" s="3"/>
      <c r="BD56" s="3"/>
      <c r="BE56" s="3"/>
      <c r="BF56" s="3"/>
      <c r="BG56" s="3"/>
      <c r="BH56" s="3"/>
      <c r="BI56" s="3"/>
      <c r="BJ56" s="3"/>
      <c r="BK56" s="3"/>
      <c r="BL56" s="3"/>
    </row>
    <row r="57" ht="15.75" customHeight="1">
      <c r="A57" s="2" t="str">
        <f>IFERROR(__xludf.DUMMYFUNCTION("""COMPUTED_VALUE"""),"Colossus Bone Sword")</f>
        <v>Colossus Bone Sword</v>
      </c>
      <c r="B57" s="2" t="str">
        <f>IFERROR(__xludf.DUMMYFUNCTION("""COMPUTED_VALUE"""),"Mob Exclusive")</f>
        <v>Mob Exclusive</v>
      </c>
      <c r="C57" s="1" t="str">
        <f>IFERROR(__xludf.DUMMYFUNCTION("""COMPUTED_VALUE"""),"Sword")</f>
        <v>Sword</v>
      </c>
      <c r="D57" s="2" t="str">
        <f>IFERROR(__xludf.DUMMYFUNCTION("""COMPUTED_VALUE"""),"Hand")</f>
        <v>Hand</v>
      </c>
      <c r="E57" s="2">
        <f>IFERROR(__xludf.DUMMYFUNCTION("""COMPUTED_VALUE"""),1500.0)</f>
        <v>1500</v>
      </c>
      <c r="F57" s="2" t="str">
        <f>IFERROR(__xludf.DUMMYFUNCTION("""COMPUTED_VALUE"""),"DMG: +25000, Earth DMG: +25000, Dark DMG: +25000 ++X2 additional damage for the user.")</f>
        <v>DMG: +25000, Earth DMG: +25000, Dark DMG: +25000 ++X2 additional damage for the user.</v>
      </c>
      <c r="G57" s="2">
        <f>IFERROR(__xludf.DUMMYFUNCTION("""COMPUTED_VALUE"""),1.1175E8)</f>
        <v>111750000</v>
      </c>
      <c r="H57" s="2"/>
      <c r="I57" s="2"/>
      <c r="J57" s="2"/>
      <c r="K57" s="2"/>
      <c r="L57" s="1"/>
      <c r="M57" s="1"/>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3"/>
      <c r="BB57" s="3"/>
      <c r="BD57" s="3"/>
      <c r="BE57" s="3"/>
      <c r="BF57" s="3"/>
      <c r="BG57" s="3"/>
      <c r="BH57" s="3"/>
      <c r="BI57" s="3"/>
      <c r="BJ57" s="3"/>
      <c r="BK57" s="3"/>
      <c r="BL57" s="3"/>
    </row>
    <row r="58" ht="15.75" customHeight="1">
      <c r="A58" s="2" t="str">
        <f>IFERROR(__xludf.DUMMYFUNCTION("""COMPUTED_VALUE"""),"Coral Hat")</f>
        <v>Coral Hat</v>
      </c>
      <c r="B58" s="2"/>
      <c r="C58" s="1"/>
      <c r="D58" s="2" t="str">
        <f>IFERROR(__xludf.DUMMYFUNCTION("""COMPUTED_VALUE"""),"Head")</f>
        <v>Head</v>
      </c>
      <c r="E58" s="2">
        <f>IFERROR(__xludf.DUMMYFUNCTION("""COMPUTED_VALUE"""),20.0)</f>
        <v>20</v>
      </c>
      <c r="F58" s="2" t="str">
        <f>IFERROR(__xludf.DUMMYFUNCTION("""COMPUTED_VALUE"""),"DEF: +800 ++Immunity to water damage.")</f>
        <v>DEF: +800 ++Immunity to water damage.</v>
      </c>
      <c r="G58" s="2">
        <f>IFERROR(__xludf.DUMMYFUNCTION("""COMPUTED_VALUE"""),1000.0)</f>
        <v>1000</v>
      </c>
      <c r="H58" s="2"/>
      <c r="I58" s="2"/>
      <c r="J58" s="2"/>
      <c r="K58" s="2"/>
      <c r="L58" s="1"/>
      <c r="M58" s="1"/>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3"/>
      <c r="BB58" s="3"/>
      <c r="BD58" s="3"/>
      <c r="BE58" s="3"/>
      <c r="BF58" s="3"/>
      <c r="BG58" s="3"/>
      <c r="BH58" s="3"/>
      <c r="BI58" s="3"/>
      <c r="BJ58" s="3"/>
      <c r="BK58" s="3"/>
      <c r="BL58" s="3"/>
    </row>
    <row r="59" ht="15.75" customHeight="1">
      <c r="A59" s="2" t="str">
        <f>IFERROR(__xludf.DUMMYFUNCTION("""COMPUTED_VALUE"""),"Critical Vanish Armor")</f>
        <v>Critical Vanish Armor</v>
      </c>
      <c r="B59" s="2"/>
      <c r="C59" s="2"/>
      <c r="D59" s="2" t="str">
        <f>IFERROR(__xludf.DUMMYFUNCTION("""COMPUTED_VALUE"""),"Torso")</f>
        <v>Torso</v>
      </c>
      <c r="E59" s="2">
        <f>IFERROR(__xludf.DUMMYFUNCTION("""COMPUTED_VALUE"""),10.0)</f>
        <v>10</v>
      </c>
      <c r="F59" s="2" t="str">
        <f>IFERROR(__xludf.DUMMYFUNCTION("""COMPUTED_VALUE"""),"DEF: +500 ++will negate a critical hit to the wearer")</f>
        <v>DEF: +500 ++will negate a critical hit to the wearer</v>
      </c>
      <c r="G59" s="2">
        <f>IFERROR(__xludf.DUMMYFUNCTION("""COMPUTED_VALUE"""),1000.0)</f>
        <v>1000</v>
      </c>
      <c r="H59" s="2"/>
      <c r="I59" s="2"/>
      <c r="J59" s="2"/>
      <c r="K59" s="5"/>
      <c r="L59" s="1"/>
      <c r="M59" s="1"/>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3"/>
      <c r="BB59" s="3"/>
      <c r="BD59" s="3"/>
      <c r="BE59" s="3"/>
      <c r="BF59" s="3"/>
      <c r="BG59" s="3"/>
      <c r="BH59" s="3"/>
      <c r="BI59" s="3"/>
      <c r="BJ59" s="3"/>
      <c r="BK59" s="3"/>
      <c r="BL59" s="3"/>
    </row>
    <row r="60" ht="15.75" customHeight="1">
      <c r="A60" s="2" t="str">
        <f>IFERROR(__xludf.DUMMYFUNCTION("""COMPUTED_VALUE"""),"Crow Staff")</f>
        <v>Crow Staff</v>
      </c>
      <c r="B60" s="2"/>
      <c r="C60" s="1" t="str">
        <f>IFERROR(__xludf.DUMMYFUNCTION("""COMPUTED_VALUE"""),"Staff")</f>
        <v>Staff</v>
      </c>
      <c r="D60" s="2" t="str">
        <f>IFERROR(__xludf.DUMMYFUNCTION("""COMPUTED_VALUE"""),"Hand")</f>
        <v>Hand</v>
      </c>
      <c r="E60" s="2">
        <f>IFERROR(__xludf.DUMMYFUNCTION("""COMPUTED_VALUE"""),400.0)</f>
        <v>400</v>
      </c>
      <c r="F60" s="2" t="str">
        <f>IFERROR(__xludf.DUMMYFUNCTION("""COMPUTED_VALUE"""),"DMG: +10000, Dark DMG: +10000 ++Swarm: inflicts 10000 bleed to all enemies. +- 300SP")</f>
        <v>DMG: +10000, Dark DMG: +10000 ++Swarm: inflicts 10000 bleed to all enemies. +- 300SP</v>
      </c>
      <c r="G60" s="2">
        <f>IFERROR(__xludf.DUMMYFUNCTION("""COMPUTED_VALUE"""),7800000.0)</f>
        <v>7800000</v>
      </c>
      <c r="H60" s="2"/>
      <c r="I60" s="2"/>
      <c r="J60" s="5"/>
      <c r="K60" s="5"/>
      <c r="L60" s="1"/>
      <c r="M60" s="1"/>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3"/>
      <c r="BB60" s="3"/>
      <c r="BD60" s="3"/>
      <c r="BE60" s="3"/>
      <c r="BF60" s="3"/>
      <c r="BG60" s="3"/>
      <c r="BH60" s="3"/>
      <c r="BI60" s="3"/>
      <c r="BJ60" s="3"/>
      <c r="BK60" s="3"/>
      <c r="BL60" s="3"/>
    </row>
    <row r="61" ht="15.75" customHeight="1">
      <c r="A61" s="2" t="str">
        <f>IFERROR(__xludf.DUMMYFUNCTION("""COMPUTED_VALUE"""),"Crown of Control")</f>
        <v>Crown of Control</v>
      </c>
      <c r="B61" s="2"/>
      <c r="C61" s="1"/>
      <c r="D61" s="2" t="str">
        <f>IFERROR(__xludf.DUMMYFUNCTION("""COMPUTED_VALUE"""),"Head")</f>
        <v>Head</v>
      </c>
      <c r="E61" s="2">
        <f>IFERROR(__xludf.DUMMYFUNCTION("""COMPUTED_VALUE"""),300.0)</f>
        <v>300</v>
      </c>
      <c r="F61" s="2"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2">
        <f>IFERROR(__xludf.DUMMYFUNCTION("""COMPUTED_VALUE"""),4350000.0)</f>
        <v>4350000</v>
      </c>
      <c r="H61" s="2"/>
      <c r="I61" s="2"/>
      <c r="J61" s="5"/>
      <c r="K61" s="5"/>
      <c r="L61" s="1"/>
      <c r="M61" s="1"/>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3"/>
      <c r="BB61" s="3"/>
      <c r="BD61" s="3"/>
      <c r="BE61" s="3"/>
      <c r="BF61" s="3"/>
      <c r="BG61" s="3"/>
      <c r="BH61" s="3"/>
      <c r="BI61" s="3"/>
      <c r="BJ61" s="3"/>
      <c r="BK61" s="3"/>
      <c r="BL61" s="3"/>
    </row>
    <row r="62" ht="15.75" customHeight="1">
      <c r="A62" s="2" t="str">
        <f>IFERROR(__xludf.DUMMYFUNCTION("""COMPUTED_VALUE"""),"Crown of Ice Spears")</f>
        <v>Crown of Ice Spears</v>
      </c>
      <c r="B62" s="2"/>
      <c r="C62" s="1"/>
      <c r="D62" s="2" t="str">
        <f>IFERROR(__xludf.DUMMYFUNCTION("""COMPUTED_VALUE"""),"Head")</f>
        <v>Head</v>
      </c>
      <c r="E62" s="2">
        <f>IFERROR(__xludf.DUMMYFUNCTION("""COMPUTED_VALUE"""),200.0)</f>
        <v>200</v>
      </c>
      <c r="F62" s="2"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2">
        <f>IFERROR(__xludf.DUMMYFUNCTION("""COMPUTED_VALUE"""),1900000.0)</f>
        <v>1900000</v>
      </c>
      <c r="H62" s="2"/>
      <c r="I62" s="2"/>
      <c r="J62" s="5"/>
      <c r="K62" s="5"/>
      <c r="L62" s="1"/>
      <c r="M62" s="1"/>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3"/>
      <c r="BB62" s="3"/>
      <c r="BD62" s="3"/>
      <c r="BE62" s="3"/>
      <c r="BF62" s="3"/>
      <c r="BG62" s="3"/>
      <c r="BH62" s="3"/>
      <c r="BI62" s="3"/>
      <c r="BJ62" s="3"/>
      <c r="BK62" s="3"/>
      <c r="BL62" s="3"/>
    </row>
    <row r="63" ht="15.75" customHeight="1">
      <c r="A63" s="2" t="str">
        <f>IFERROR(__xludf.DUMMYFUNCTION("""COMPUTED_VALUE"""),"Crown of the Forgotten")</f>
        <v>Crown of the Forgotten</v>
      </c>
      <c r="B63" s="2"/>
      <c r="C63" s="1"/>
      <c r="D63" s="2" t="str">
        <f>IFERROR(__xludf.DUMMYFUNCTION("""COMPUTED_VALUE"""),"Head")</f>
        <v>Head</v>
      </c>
      <c r="E63" s="2">
        <f>IFERROR(__xludf.DUMMYFUNCTION("""COMPUTED_VALUE"""),20.0)</f>
        <v>20</v>
      </c>
      <c r="F63" s="2"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2">
        <f>IFERROR(__xludf.DUMMYFUNCTION("""COMPUTED_VALUE"""),10000.0)</f>
        <v>10000</v>
      </c>
      <c r="H63" s="2"/>
      <c r="I63" s="2"/>
      <c r="J63" s="5"/>
      <c r="K63" s="5"/>
      <c r="L63" s="1"/>
      <c r="M63" s="1"/>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3"/>
      <c r="BB63" s="3"/>
      <c r="BD63" s="3"/>
      <c r="BE63" s="3"/>
      <c r="BF63" s="3"/>
      <c r="BG63" s="3"/>
      <c r="BH63" s="3"/>
      <c r="BI63" s="3"/>
      <c r="BJ63" s="3"/>
      <c r="BK63" s="3"/>
      <c r="BL63" s="3"/>
    </row>
    <row r="64" ht="15.75" customHeight="1">
      <c r="A64" s="2" t="str">
        <f>IFERROR(__xludf.DUMMYFUNCTION("""COMPUTED_VALUE"""),"Crown Of The Sea Serpent")</f>
        <v>Crown Of The Sea Serpent</v>
      </c>
      <c r="B64" s="2"/>
      <c r="C64" s="2"/>
      <c r="D64" s="2" t="str">
        <f>IFERROR(__xludf.DUMMYFUNCTION("""COMPUTED_VALUE"""),"Head")</f>
        <v>Head</v>
      </c>
      <c r="E64" s="2">
        <f>IFERROR(__xludf.DUMMYFUNCTION("""COMPUTED_VALUE"""),1.0)</f>
        <v>1</v>
      </c>
      <c r="F64" s="2" t="str">
        <f>IFERROR(__xludf.DUMMYFUNCTION("""COMPUTED_VALUE""")," ++X4 additional water damage for the user, ++Water spells cost half sp, +-Cannot be duplicated.")</f>
        <v> ++X4 additional water damage for the user, ++Water spells cost half sp, +-Cannot be duplicated.</v>
      </c>
      <c r="G64" s="2">
        <f>IFERROR(__xludf.DUMMYFUNCTION("""COMPUTED_VALUE"""),0.0)</f>
        <v>0</v>
      </c>
      <c r="H64" s="2"/>
      <c r="I64" s="2"/>
      <c r="J64" s="5"/>
      <c r="K64" s="5"/>
      <c r="L64" s="1"/>
      <c r="M64" s="1"/>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3"/>
      <c r="BB64" s="3"/>
      <c r="BD64" s="3"/>
      <c r="BE64" s="3"/>
      <c r="BF64" s="3"/>
      <c r="BG64" s="3"/>
      <c r="BH64" s="3"/>
      <c r="BI64" s="3"/>
      <c r="BJ64" s="3"/>
      <c r="BK64" s="3"/>
      <c r="BL64" s="3"/>
    </row>
    <row r="65" ht="15.75" customHeight="1">
      <c r="A65" s="2" t="str">
        <f>IFERROR(__xludf.DUMMYFUNCTION("""COMPUTED_VALUE"""),"Crown Of Tritonoch")</f>
        <v>Crown Of Tritonoch</v>
      </c>
      <c r="B65" s="5"/>
      <c r="C65" s="1"/>
      <c r="D65" s="2" t="str">
        <f>IFERROR(__xludf.DUMMYFUNCTION("""COMPUTED_VALUE"""),"Head")</f>
        <v>Head</v>
      </c>
      <c r="E65" s="2">
        <f>IFERROR(__xludf.DUMMYFUNCTION("""COMPUTED_VALUE"""),400.0)</f>
        <v>400</v>
      </c>
      <c r="F65" s="2" t="str">
        <f>IFERROR(__xludf.DUMMYFUNCTION("""COMPUTED_VALUE"""),"DEF: +20000 ++Waves of Entitlement - x5 additional Water damage")</f>
        <v>DEF: +20000 ++Waves of Entitlement - x5 additional Water damage</v>
      </c>
      <c r="G65" s="2">
        <f>IFERROR(__xludf.DUMMYFUNCTION("""COMPUTED_VALUE"""),7800000.0)</f>
        <v>7800000</v>
      </c>
      <c r="H65" s="2"/>
      <c r="I65" s="2"/>
      <c r="J65" s="5"/>
      <c r="K65" s="5"/>
      <c r="L65" s="1"/>
      <c r="M65" s="1"/>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3"/>
      <c r="BB65" s="3"/>
      <c r="BD65" s="3"/>
      <c r="BE65" s="3"/>
      <c r="BF65" s="3"/>
      <c r="BG65" s="3"/>
      <c r="BH65" s="3"/>
      <c r="BI65" s="3"/>
      <c r="BJ65" s="3"/>
      <c r="BK65" s="3"/>
      <c r="BL65" s="3"/>
    </row>
    <row r="66" ht="15.75" customHeight="1">
      <c r="A66" s="2" t="str">
        <f>IFERROR(__xludf.DUMMYFUNCTION("""COMPUTED_VALUE"""),"Cryogenic Claymore")</f>
        <v>Cryogenic Claymore</v>
      </c>
      <c r="B66" s="5" t="str">
        <f>IFERROR(__xludf.DUMMYFUNCTION("""COMPUTED_VALUE"""),"(The Frozen Blade Master Set)")</f>
        <v>(The Frozen Blade Master Set)</v>
      </c>
      <c r="C66" s="1" t="str">
        <f>IFERROR(__xludf.DUMMYFUNCTION("""COMPUTED_VALUE"""),"Sword")</f>
        <v>Sword</v>
      </c>
      <c r="D66" s="2" t="str">
        <f>IFERROR(__xludf.DUMMYFUNCTION("""COMPUTED_VALUE"""),"Hand")</f>
        <v>Hand</v>
      </c>
      <c r="E66" s="2">
        <f>IFERROR(__xludf.DUMMYFUNCTION("""COMPUTED_VALUE"""),400.0)</f>
        <v>400</v>
      </c>
      <c r="F66" s="2" t="str">
        <f>IFERROR(__xludf.DUMMYFUNCTION("""COMPUTED_VALUE"""),"DMG: +10000, Water DMG: +10000 ++10% chance to freeze all enemies.")</f>
        <v>DMG: +10000, Water DMG: +10000 ++10% chance to freeze all enemies.</v>
      </c>
      <c r="G66" s="2">
        <f>IFERROR(__xludf.DUMMYFUNCTION("""COMPUTED_VALUE"""),7800000.0)</f>
        <v>7800000</v>
      </c>
      <c r="H66" s="2"/>
      <c r="I66" s="2"/>
      <c r="J66" s="5"/>
      <c r="K66" s="5"/>
      <c r="L66" s="1"/>
      <c r="M66" s="1"/>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3"/>
      <c r="BB66" s="3"/>
      <c r="BD66" s="3"/>
      <c r="BE66" s="3"/>
      <c r="BF66" s="3"/>
      <c r="BG66" s="3"/>
      <c r="BH66" s="3"/>
      <c r="BI66" s="3"/>
      <c r="BJ66" s="3"/>
      <c r="BK66" s="3"/>
      <c r="BL66" s="3"/>
    </row>
    <row r="67" ht="15.75" customHeight="1">
      <c r="A67" s="2" t="str">
        <f>IFERROR(__xludf.DUMMYFUNCTION("""COMPUTED_VALUE"""),"Crystal Forged Helmet")</f>
        <v>Crystal Forged Helmet</v>
      </c>
      <c r="B67" s="2"/>
      <c r="C67" s="1"/>
      <c r="D67" s="5" t="str">
        <f>IFERROR(__xludf.DUMMYFUNCTION("""COMPUTED_VALUE"""),"Head")</f>
        <v>Head</v>
      </c>
      <c r="E67" s="5">
        <f>IFERROR(__xludf.DUMMYFUNCTION("""COMPUTED_VALUE"""),200.0)</f>
        <v>200</v>
      </c>
      <c r="F67" s="5" t="str">
        <f>IFERROR(__xludf.DUMMYFUNCTION("""COMPUTED_VALUE"""),"DEF: +10000 ++When equipped, Gem and Crystal related weapons deal an additional X2 damage for the user.")</f>
        <v>DEF: +10000 ++When equipped, Gem and Crystal related weapons deal an additional X2 damage for the user.</v>
      </c>
      <c r="G67" s="5">
        <f>IFERROR(__xludf.DUMMYFUNCTION("""COMPUTED_VALUE"""),1900000.0)</f>
        <v>1900000</v>
      </c>
      <c r="H67" s="2"/>
      <c r="I67" s="2"/>
      <c r="J67" s="5"/>
      <c r="K67" s="5"/>
      <c r="L67" s="1"/>
      <c r="M67" s="1"/>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3"/>
      <c r="BB67" s="3"/>
      <c r="BD67" s="3"/>
      <c r="BE67" s="3"/>
      <c r="BF67" s="3"/>
      <c r="BG67" s="3"/>
      <c r="BH67" s="3"/>
      <c r="BI67" s="3"/>
      <c r="BJ67" s="3"/>
      <c r="BK67" s="3"/>
      <c r="BL67" s="3"/>
    </row>
    <row r="68" ht="15.75" customHeight="1">
      <c r="A68" s="2" t="str">
        <f>IFERROR(__xludf.DUMMYFUNCTION("""COMPUTED_VALUE"""),"Crystal Forged Axe")</f>
        <v>Crystal Forged Axe</v>
      </c>
      <c r="B68" s="5"/>
      <c r="C68" s="1"/>
      <c r="D68" s="2" t="str">
        <f>IFERROR(__xludf.DUMMYFUNCTION("""COMPUTED_VALUE"""),"Hand")</f>
        <v>Hand</v>
      </c>
      <c r="E68" s="2">
        <f>IFERROR(__xludf.DUMMYFUNCTION("""COMPUTED_VALUE"""),400.0)</f>
        <v>400</v>
      </c>
      <c r="F68" s="2"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2">
        <f>IFERROR(__xludf.DUMMYFUNCTION("""COMPUTED_VALUE"""),7800000.0)</f>
        <v>7800000</v>
      </c>
      <c r="H68" s="2"/>
      <c r="I68" s="2"/>
      <c r="J68" s="5"/>
      <c r="K68" s="5"/>
      <c r="L68" s="1"/>
      <c r="M68" s="1"/>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3"/>
      <c r="BB68" s="3"/>
      <c r="BD68" s="3"/>
      <c r="BE68" s="3"/>
      <c r="BF68" s="3"/>
      <c r="BG68" s="3"/>
      <c r="BH68" s="3"/>
      <c r="BI68" s="3"/>
      <c r="BJ68" s="3"/>
      <c r="BK68" s="3"/>
      <c r="BL68" s="3"/>
    </row>
    <row r="69" ht="15.75" customHeight="1">
      <c r="A69" s="2" t="str">
        <f>IFERROR(__xludf.DUMMYFUNCTION("""COMPUTED_VALUE"""),"Crystal Forged Chestplate")</f>
        <v>Crystal Forged Chestplate</v>
      </c>
      <c r="B69" s="2"/>
      <c r="C69" s="1"/>
      <c r="D69" s="2" t="str">
        <f>IFERROR(__xludf.DUMMYFUNCTION("""COMPUTED_VALUE"""),"Torso")</f>
        <v>Torso</v>
      </c>
      <c r="E69" s="2">
        <f>IFERROR(__xludf.DUMMYFUNCTION("""COMPUTED_VALUE"""),200.0)</f>
        <v>200</v>
      </c>
      <c r="F69" s="2"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2">
        <f>IFERROR(__xludf.DUMMYFUNCTION("""COMPUTED_VALUE"""),1900000.0)</f>
        <v>1900000</v>
      </c>
      <c r="H69" s="2"/>
      <c r="I69" s="2"/>
      <c r="J69" s="5"/>
      <c r="K69" s="5"/>
      <c r="L69" s="1"/>
      <c r="M69" s="1"/>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3"/>
      <c r="BB69" s="3"/>
      <c r="BD69" s="3"/>
      <c r="BE69" s="3"/>
      <c r="BF69" s="3"/>
      <c r="BG69" s="3"/>
      <c r="BH69" s="3"/>
      <c r="BI69" s="3"/>
      <c r="BJ69" s="3"/>
      <c r="BK69" s="3"/>
      <c r="BL69" s="3"/>
    </row>
    <row r="70" ht="15.75" customHeight="1">
      <c r="A70" s="2" t="str">
        <f>IFERROR(__xludf.DUMMYFUNCTION("""COMPUTED_VALUE"""),"Crystal Healing Amulet")</f>
        <v>Crystal Healing Amulet</v>
      </c>
      <c r="B70" s="2"/>
      <c r="C70" s="1"/>
      <c r="D70" s="2" t="str">
        <f>IFERROR(__xludf.DUMMYFUNCTION("""COMPUTED_VALUE"""),"Neck")</f>
        <v>Neck</v>
      </c>
      <c r="E70" s="2">
        <f>IFERROR(__xludf.DUMMYFUNCTION("""COMPUTED_VALUE"""),1.0)</f>
        <v>1</v>
      </c>
      <c r="F70" s="2"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2">
        <f>IFERROR(__xludf.DUMMYFUNCTION("""COMPUTED_VALUE"""),0.0)</f>
        <v>0</v>
      </c>
      <c r="H70" s="2"/>
      <c r="I70" s="2"/>
      <c r="J70" s="5"/>
      <c r="K70" s="5"/>
      <c r="L70" s="1"/>
      <c r="M70" s="1"/>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3"/>
      <c r="BB70" s="3"/>
      <c r="BD70" s="3"/>
      <c r="BE70" s="3"/>
      <c r="BF70" s="3"/>
      <c r="BG70" s="3"/>
      <c r="BH70" s="3"/>
      <c r="BI70" s="3"/>
      <c r="BJ70" s="3"/>
      <c r="BK70" s="3"/>
      <c r="BL70" s="3"/>
    </row>
    <row r="71" ht="15.75" customHeight="1">
      <c r="A71" s="2" t="str">
        <f>IFERROR(__xludf.DUMMYFUNCTION("""COMPUTED_VALUE"""),"Crystal Longsword")</f>
        <v>Crystal Longsword</v>
      </c>
      <c r="B71" s="2"/>
      <c r="C71" s="1" t="str">
        <f>IFERROR(__xludf.DUMMYFUNCTION("""COMPUTED_VALUE"""),"Sword")</f>
        <v>Sword</v>
      </c>
      <c r="D71" s="2" t="str">
        <f>IFERROR(__xludf.DUMMYFUNCTION("""COMPUTED_VALUE"""),"Hand")</f>
        <v>Hand</v>
      </c>
      <c r="E71" s="2">
        <f>IFERROR(__xludf.DUMMYFUNCTION("""COMPUTED_VALUE"""),200.0)</f>
        <v>200</v>
      </c>
      <c r="F71" s="2"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2">
        <f>IFERROR(__xludf.DUMMYFUNCTION("""COMPUTED_VALUE"""),1900000.0)</f>
        <v>1900000</v>
      </c>
      <c r="H71" s="2"/>
      <c r="I71" s="2"/>
      <c r="J71" s="5"/>
      <c r="K71" s="5"/>
      <c r="L71" s="1"/>
      <c r="M71" s="1"/>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3"/>
      <c r="BB71" s="3"/>
      <c r="BD71" s="3"/>
      <c r="BE71" s="3"/>
      <c r="BF71" s="3"/>
      <c r="BG71" s="3"/>
      <c r="BH71" s="3"/>
      <c r="BI71" s="3"/>
      <c r="BJ71" s="3"/>
      <c r="BK71" s="3"/>
      <c r="BL71" s="3"/>
    </row>
    <row r="72" ht="15.75" customHeight="1">
      <c r="A72" s="2" t="str">
        <f>IFERROR(__xludf.DUMMYFUNCTION("""COMPUTED_VALUE"""),"Crystal Ring")</f>
        <v>Crystal Ring</v>
      </c>
      <c r="B72" s="2"/>
      <c r="C72" s="1"/>
      <c r="D72" s="2" t="str">
        <f>IFERROR(__xludf.DUMMYFUNCTION("""COMPUTED_VALUE"""),"Ring")</f>
        <v>Ring</v>
      </c>
      <c r="E72" s="2">
        <f>IFERROR(__xludf.DUMMYFUNCTION("""COMPUTED_VALUE"""),1.0)</f>
        <v>1</v>
      </c>
      <c r="F72" s="2" t="str">
        <f>IFERROR(__xludf.DUMMYFUNCTION("""COMPUTED_VALUE""")," ++When equipped, Gem and Crystal related weapons deal an additional X2 damage for the user.")</f>
        <v> ++When equipped, Gem and Crystal related weapons deal an additional X2 damage for the user.</v>
      </c>
      <c r="G72" s="2">
        <f>IFERROR(__xludf.DUMMYFUNCTION("""COMPUTED_VALUE"""),0.0)</f>
        <v>0</v>
      </c>
      <c r="H72" s="2"/>
      <c r="I72" s="2"/>
      <c r="J72" s="5"/>
      <c r="K72" s="5"/>
      <c r="L72" s="1"/>
      <c r="M72" s="1"/>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3"/>
      <c r="BB72" s="3"/>
      <c r="BD72" s="3"/>
      <c r="BE72" s="3"/>
      <c r="BF72" s="3"/>
      <c r="BG72" s="3"/>
      <c r="BH72" s="3"/>
      <c r="BI72" s="3"/>
      <c r="BJ72" s="3"/>
      <c r="BK72" s="3"/>
      <c r="BL72" s="3"/>
    </row>
    <row r="73" ht="15.75" customHeight="1">
      <c r="A73" s="2" t="str">
        <f>IFERROR(__xludf.DUMMYFUNCTION("""COMPUTED_VALUE"""),"Crystal Shield")</f>
        <v>Crystal Shield</v>
      </c>
      <c r="B73" s="2"/>
      <c r="C73" s="1" t="str">
        <f>IFERROR(__xludf.DUMMYFUNCTION("""COMPUTED_VALUE"""),"Buckler")</f>
        <v>Buckler</v>
      </c>
      <c r="D73" s="2" t="str">
        <f>IFERROR(__xludf.DUMMYFUNCTION("""COMPUTED_VALUE"""),"Hand")</f>
        <v>Hand</v>
      </c>
      <c r="E73" s="2">
        <f>IFERROR(__xludf.DUMMYFUNCTION("""COMPUTED_VALUE"""),200.0)</f>
        <v>200</v>
      </c>
      <c r="F73" s="2" t="str">
        <f>IFERROR(__xludf.DUMMYFUNCTION("""COMPUTED_VALUE"""),"DEF: +10000 ++Take half damage from Gem and Crystal related weapons.")</f>
        <v>DEF: +10000 ++Take half damage from Gem and Crystal related weapons.</v>
      </c>
      <c r="G73" s="2">
        <f>IFERROR(__xludf.DUMMYFUNCTION("""COMPUTED_VALUE"""),1900000.0)</f>
        <v>1900000</v>
      </c>
      <c r="H73" s="2"/>
      <c r="I73" s="2"/>
      <c r="J73" s="5"/>
      <c r="K73" s="5"/>
      <c r="L73" s="1"/>
      <c r="M73" s="1"/>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3"/>
      <c r="BB73" s="3"/>
      <c r="BD73" s="3"/>
      <c r="BE73" s="3"/>
      <c r="BF73" s="3"/>
      <c r="BG73" s="3"/>
      <c r="BH73" s="3"/>
      <c r="BI73" s="3"/>
      <c r="BJ73" s="3"/>
      <c r="BK73" s="3"/>
      <c r="BL73" s="3"/>
    </row>
    <row r="74" ht="15.75" customHeight="1">
      <c r="A74" s="2" t="str">
        <f>IFERROR(__xludf.DUMMYFUNCTION("""COMPUTED_VALUE"""),"Crystal Staff")</f>
        <v>Crystal Staff</v>
      </c>
      <c r="B74" s="2"/>
      <c r="C74" s="1" t="str">
        <f>IFERROR(__xludf.DUMMYFUNCTION("""COMPUTED_VALUE"""),"Staff")</f>
        <v>Staff</v>
      </c>
      <c r="D74" s="2" t="str">
        <f>IFERROR(__xludf.DUMMYFUNCTION("""COMPUTED_VALUE"""),"Hand")</f>
        <v>Hand</v>
      </c>
      <c r="E74" s="2">
        <f>IFERROR(__xludf.DUMMYFUNCTION("""COMPUTED_VALUE"""),1.0)</f>
        <v>1</v>
      </c>
      <c r="F74" s="2"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2">
        <f>IFERROR(__xludf.DUMMYFUNCTION("""COMPUTED_VALUE"""),0.0)</f>
        <v>0</v>
      </c>
      <c r="H74" s="2"/>
      <c r="I74" s="2"/>
      <c r="J74" s="5"/>
      <c r="K74" s="5"/>
      <c r="L74" s="1"/>
      <c r="M74" s="1"/>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3"/>
      <c r="BB74" s="3"/>
      <c r="BD74" s="3"/>
      <c r="BE74" s="3"/>
      <c r="BF74" s="3"/>
      <c r="BG74" s="3"/>
      <c r="BH74" s="3"/>
      <c r="BI74" s="3"/>
      <c r="BJ74" s="3"/>
      <c r="BK74" s="3"/>
      <c r="BL74" s="3"/>
    </row>
    <row r="75" ht="15.75" customHeight="1">
      <c r="A75" s="2" t="str">
        <f>IFERROR(__xludf.DUMMYFUNCTION("""COMPUTED_VALUE"""),"Crystal Sword")</f>
        <v>Crystal Sword</v>
      </c>
      <c r="B75" s="2"/>
      <c r="C75" s="1" t="str">
        <f>IFERROR(__xludf.DUMMYFUNCTION("""COMPUTED_VALUE"""),"Sword")</f>
        <v>Sword</v>
      </c>
      <c r="D75" s="2" t="str">
        <f>IFERROR(__xludf.DUMMYFUNCTION("""COMPUTED_VALUE"""),"Hand")</f>
        <v>Hand</v>
      </c>
      <c r="E75" s="2">
        <f>IFERROR(__xludf.DUMMYFUNCTION("""COMPUTED_VALUE"""),80.0)</f>
        <v>80</v>
      </c>
      <c r="F75" s="2"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2">
        <f>IFERROR(__xludf.DUMMYFUNCTION("""COMPUTED_VALUE"""),280000.0)</f>
        <v>280000</v>
      </c>
      <c r="H75" s="2"/>
      <c r="I75" s="2"/>
      <c r="J75" s="5"/>
      <c r="K75" s="5"/>
      <c r="L75" s="1"/>
      <c r="M75" s="1"/>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3"/>
      <c r="BB75" s="3"/>
      <c r="BD75" s="3"/>
      <c r="BE75" s="3"/>
      <c r="BF75" s="3"/>
      <c r="BG75" s="3"/>
      <c r="BH75" s="3"/>
      <c r="BI75" s="3"/>
      <c r="BJ75" s="3"/>
      <c r="BK75" s="3"/>
      <c r="BL75" s="3"/>
    </row>
    <row r="76" ht="15.75" customHeight="1">
      <c r="A76" s="2" t="str">
        <f>IFERROR(__xludf.DUMMYFUNCTION("""COMPUTED_VALUE"""),"Cursed Blade")</f>
        <v>Cursed Blade</v>
      </c>
      <c r="B76" s="2"/>
      <c r="C76" s="2" t="str">
        <f>IFERROR(__xludf.DUMMYFUNCTION("""COMPUTED_VALUE"""),"Sword")</f>
        <v>Sword</v>
      </c>
      <c r="D76" s="2" t="str">
        <f>IFERROR(__xludf.DUMMYFUNCTION("""COMPUTED_VALUE"""),"Hand")</f>
        <v>Hand</v>
      </c>
      <c r="E76" s="2">
        <f>IFERROR(__xludf.DUMMYFUNCTION("""COMPUTED_VALUE"""),620.0)</f>
        <v>620</v>
      </c>
      <c r="F76" s="2" t="str">
        <f>IFERROR(__xludf.DUMMYFUNCTION("""COMPUTED_VALUE"""),"DMG: +30000, Dark DMG: +1000 +- -5 evasion and mobility while equipped.")</f>
        <v>DMG: +30000, Dark DMG: +1000 +- -5 evasion and mobility while equipped.</v>
      </c>
      <c r="G76" s="2">
        <f>IFERROR(__xludf.DUMMYFUNCTION("""COMPUTED_VALUE"""),1.891E7)</f>
        <v>18910000</v>
      </c>
      <c r="H76" s="2"/>
      <c r="I76" s="2"/>
      <c r="J76" s="5"/>
      <c r="K76" s="5"/>
      <c r="L76" s="1"/>
      <c r="M76" s="1"/>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3"/>
      <c r="BB76" s="3"/>
      <c r="BD76" s="3"/>
      <c r="BE76" s="3"/>
      <c r="BF76" s="3"/>
      <c r="BG76" s="3"/>
      <c r="BH76" s="3"/>
      <c r="BI76" s="3"/>
      <c r="BJ76" s="3"/>
      <c r="BK76" s="3"/>
      <c r="BL76" s="3"/>
    </row>
    <row r="77" ht="15.75" customHeight="1">
      <c r="A77" s="2" t="str">
        <f>IFERROR(__xludf.DUMMYFUNCTION("""COMPUTED_VALUE"""),"Cursed Blade of The Void Realm")</f>
        <v>Cursed Blade of The Void Realm</v>
      </c>
      <c r="B77" s="2"/>
      <c r="C77" s="2" t="str">
        <f>IFERROR(__xludf.DUMMYFUNCTION("""COMPUTED_VALUE"""),"Sword")</f>
        <v>Sword</v>
      </c>
      <c r="D77" s="2" t="str">
        <f>IFERROR(__xludf.DUMMYFUNCTION("""COMPUTED_VALUE"""),"Hand")</f>
        <v>Hand</v>
      </c>
      <c r="E77" s="2">
        <f>IFERROR(__xludf.DUMMYFUNCTION("""COMPUTED_VALUE"""),1.0)</f>
        <v>1</v>
      </c>
      <c r="F77" s="2" t="str">
        <f>IFERROR(__xludf.DUMMYFUNCTION("""COMPUTED_VALUE""")," +-When equipped this item cannot be unequipped for 3 rounds, +-Depletes 1000 SP per round.")</f>
        <v> +-When equipped this item cannot be unequipped for 3 rounds, +-Depletes 1000 SP per round.</v>
      </c>
      <c r="G77" s="2">
        <f>IFERROR(__xludf.DUMMYFUNCTION("""COMPUTED_VALUE"""),0.0)</f>
        <v>0</v>
      </c>
      <c r="H77" s="2"/>
      <c r="I77" s="2"/>
      <c r="J77" s="5"/>
      <c r="K77" s="5"/>
      <c r="L77" s="1"/>
      <c r="M77" s="1"/>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3"/>
      <c r="BB77" s="3"/>
      <c r="BD77" s="3"/>
      <c r="BE77" s="3"/>
      <c r="BF77" s="3"/>
      <c r="BG77" s="3"/>
      <c r="BH77" s="3"/>
      <c r="BI77" s="3"/>
      <c r="BJ77" s="3"/>
      <c r="BK77" s="3"/>
      <c r="BL77" s="3"/>
    </row>
    <row r="78" ht="15.75" customHeight="1">
      <c r="A78" s="2" t="str">
        <f>IFERROR(__xludf.DUMMYFUNCTION("""COMPUTED_VALUE"""),"Dagger")</f>
        <v>Dagger</v>
      </c>
      <c r="B78" s="2" t="str">
        <f>IFERROR(__xludf.DUMMYFUNCTION("""COMPUTED_VALUE"""),"The first weapon ")</f>
        <v>The first weapon </v>
      </c>
      <c r="C78" s="2" t="str">
        <f>IFERROR(__xludf.DUMMYFUNCTION("""COMPUTED_VALUE"""),"Knife")</f>
        <v>Knife</v>
      </c>
      <c r="D78" s="2" t="str">
        <f>IFERROR(__xludf.DUMMYFUNCTION("""COMPUTED_VALUE"""),"Hand")</f>
        <v>Hand</v>
      </c>
      <c r="E78" s="2">
        <f>IFERROR(__xludf.DUMMYFUNCTION("""COMPUTED_VALUE"""),20.0)</f>
        <v>20</v>
      </c>
      <c r="F78" s="2" t="str">
        <f>IFERROR(__xludf.DUMMYFUNCTION("""COMPUTED_VALUE"""),"DMG: +1000")</f>
        <v>DMG: +1000</v>
      </c>
      <c r="G78" s="2">
        <f>IFERROR(__xludf.DUMMYFUNCTION("""COMPUTED_VALUE"""),10000.0)</f>
        <v>10000</v>
      </c>
      <c r="H78" s="2"/>
      <c r="I78" s="2"/>
      <c r="J78" s="5"/>
      <c r="K78" s="5"/>
      <c r="L78" s="1"/>
      <c r="M78" s="1"/>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3"/>
      <c r="BB78" s="3"/>
      <c r="BD78" s="3"/>
      <c r="BE78" s="3"/>
      <c r="BF78" s="3"/>
      <c r="BG78" s="3"/>
      <c r="BH78" s="3"/>
      <c r="BI78" s="3"/>
      <c r="BJ78" s="3"/>
      <c r="BK78" s="3"/>
      <c r="BL78" s="3"/>
    </row>
    <row r="79" ht="15.75" customHeight="1">
      <c r="A79" s="2" t="str">
        <f>IFERROR(__xludf.DUMMYFUNCTION("""COMPUTED_VALUE"""),"Dagger of Flowers")</f>
        <v>Dagger of Flowers</v>
      </c>
      <c r="B79" s="2" t="str">
        <f>IFERROR(__xludf.DUMMYFUNCTION("""COMPUTED_VALUE"""),"(Event Exclusive)")</f>
        <v>(Event Exclusive)</v>
      </c>
      <c r="C79" s="2" t="str">
        <f>IFERROR(__xludf.DUMMYFUNCTION("""COMPUTED_VALUE"""),"Knife")</f>
        <v>Knife</v>
      </c>
      <c r="D79" s="2" t="str">
        <f>IFERROR(__xludf.DUMMYFUNCTION("""COMPUTED_VALUE"""),"Hand")</f>
        <v>Hand</v>
      </c>
      <c r="E79" s="2">
        <f>IFERROR(__xludf.DUMMYFUNCTION("""COMPUTED_VALUE"""),90.0)</f>
        <v>90</v>
      </c>
      <c r="F79" s="2" t="str">
        <f>IFERROR(__xludf.DUMMYFUNCTION("""COMPUTED_VALUE"""),"DMG: +3000, Nature DMG: +1500")</f>
        <v>DMG: +3000, Nature DMG: +1500</v>
      </c>
      <c r="G79" s="2">
        <f>IFERROR(__xludf.DUMMYFUNCTION("""COMPUTED_VALUE"""),360000.0)</f>
        <v>360000</v>
      </c>
      <c r="H79" s="2"/>
      <c r="I79" s="2"/>
      <c r="J79" s="5"/>
      <c r="K79" s="5"/>
      <c r="L79" s="1"/>
      <c r="M79" s="1"/>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3"/>
      <c r="BB79" s="3"/>
      <c r="BD79" s="3"/>
      <c r="BE79" s="3"/>
      <c r="BF79" s="3"/>
      <c r="BG79" s="3"/>
      <c r="BH79" s="3"/>
      <c r="BI79" s="3"/>
      <c r="BJ79" s="3"/>
      <c r="BK79" s="3"/>
      <c r="BL79" s="3"/>
    </row>
    <row r="80" ht="15.75" customHeight="1">
      <c r="A80" s="2" t="str">
        <f>IFERROR(__xludf.DUMMYFUNCTION("""COMPUTED_VALUE"""),"Dagger of The Cultist")</f>
        <v>Dagger of The Cultist</v>
      </c>
      <c r="B80" s="2"/>
      <c r="C80" s="1" t="str">
        <f>IFERROR(__xludf.DUMMYFUNCTION("""COMPUTED_VALUE"""),"Knife")</f>
        <v>Knife</v>
      </c>
      <c r="D80" s="2" t="str">
        <f>IFERROR(__xludf.DUMMYFUNCTION("""COMPUTED_VALUE"""),"Hand")</f>
        <v>Hand</v>
      </c>
      <c r="E80" s="2">
        <f>IFERROR(__xludf.DUMMYFUNCTION("""COMPUTED_VALUE"""),120.0)</f>
        <v>120</v>
      </c>
      <c r="F80" s="2" t="str">
        <f>IFERROR(__xludf.DUMMYFUNCTION("""COMPUTED_VALUE"""),"DMG: +2000, Dark DMG: +2000, Chaos DMG: +2000 (Cultist Set) ++25% chance of instant death to the target.")</f>
        <v>DMG: +2000, Dark DMG: +2000, Chaos DMG: +2000 (Cultist Set) ++25% chance of instant death to the target.</v>
      </c>
      <c r="G80" s="2">
        <f>IFERROR(__xludf.DUMMYFUNCTION("""COMPUTED_VALUE"""),660000.0)</f>
        <v>660000</v>
      </c>
      <c r="H80" s="2"/>
      <c r="I80" s="2"/>
      <c r="J80" s="5"/>
      <c r="K80" s="5"/>
      <c r="L80" s="1"/>
      <c r="M80" s="1"/>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3"/>
      <c r="BB80" s="3"/>
      <c r="BD80" s="3"/>
      <c r="BE80" s="3"/>
      <c r="BF80" s="3"/>
      <c r="BG80" s="3"/>
      <c r="BH80" s="3"/>
      <c r="BI80" s="3"/>
      <c r="BJ80" s="3"/>
      <c r="BK80" s="3"/>
      <c r="BL80" s="3"/>
    </row>
    <row r="81" ht="15.75" customHeight="1">
      <c r="A81" s="2" t="str">
        <f>IFERROR(__xludf.DUMMYFUNCTION("""COMPUTED_VALUE"""),"Dark Ice Sword")</f>
        <v>Dark Ice Sword</v>
      </c>
      <c r="B81" s="2"/>
      <c r="C81" s="1" t="str">
        <f>IFERROR(__xludf.DUMMYFUNCTION("""COMPUTED_VALUE"""),"Sword")</f>
        <v>Sword</v>
      </c>
      <c r="D81" s="2" t="str">
        <f>IFERROR(__xludf.DUMMYFUNCTION("""COMPUTED_VALUE"""),"Hand")</f>
        <v>Hand</v>
      </c>
      <c r="E81" s="2">
        <f>IFERROR(__xludf.DUMMYFUNCTION("""COMPUTED_VALUE"""),20.0)</f>
        <v>20</v>
      </c>
      <c r="F81" s="2" t="str">
        <f>IFERROR(__xludf.DUMMYFUNCTION("""COMPUTED_VALUE"""),"DMG: +600 ++25% Chance to freeze target.")</f>
        <v>DMG: +600 ++25% Chance to freeze target.</v>
      </c>
      <c r="G81" s="2">
        <f>IFERROR(__xludf.DUMMYFUNCTION("""COMPUTED_VALUE"""),1000.0)</f>
        <v>1000</v>
      </c>
      <c r="H81" s="2"/>
      <c r="I81" s="2"/>
      <c r="J81" s="5"/>
      <c r="K81" s="5"/>
      <c r="L81" s="1"/>
      <c r="M81" s="1"/>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3"/>
      <c r="BB81" s="3"/>
      <c r="BD81" s="3"/>
      <c r="BE81" s="3"/>
      <c r="BF81" s="3"/>
      <c r="BG81" s="3"/>
      <c r="BH81" s="3"/>
      <c r="BI81" s="3"/>
      <c r="BJ81" s="3"/>
      <c r="BK81" s="3"/>
      <c r="BL81" s="3"/>
    </row>
    <row r="82" ht="15.75" customHeight="1">
      <c r="A82" s="2" t="str">
        <f>IFERROR(__xludf.DUMMYFUNCTION("""COMPUTED_VALUE"""),"Dark Knight Helm")</f>
        <v>Dark Knight Helm</v>
      </c>
      <c r="B82" s="2"/>
      <c r="C82" s="1"/>
      <c r="D82" s="2" t="str">
        <f>IFERROR(__xludf.DUMMYFUNCTION("""COMPUTED_VALUE"""),"Head")</f>
        <v>Head</v>
      </c>
      <c r="E82" s="2">
        <f>IFERROR(__xludf.DUMMYFUNCTION("""COMPUTED_VALUE"""),10.0)</f>
        <v>10</v>
      </c>
      <c r="F82" s="2" t="str">
        <f>IFERROR(__xludf.DUMMYFUNCTION("""COMPUTED_VALUE"""),"DEF: +500 ++Immune to dark damage")</f>
        <v>DEF: +500 ++Immune to dark damage</v>
      </c>
      <c r="G82" s="2">
        <f>IFERROR(__xludf.DUMMYFUNCTION("""COMPUTED_VALUE"""),1000.0)</f>
        <v>1000</v>
      </c>
      <c r="H82" s="2"/>
      <c r="I82" s="2"/>
      <c r="J82" s="5"/>
      <c r="K82" s="5"/>
      <c r="L82" s="1"/>
      <c r="M82" s="1"/>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3"/>
      <c r="BB82" s="3"/>
      <c r="BD82" s="3"/>
      <c r="BE82" s="3"/>
      <c r="BF82" s="3"/>
      <c r="BG82" s="3"/>
      <c r="BH82" s="3"/>
      <c r="BI82" s="3"/>
      <c r="BJ82" s="3"/>
      <c r="BK82" s="3"/>
      <c r="BL82" s="3"/>
    </row>
    <row r="83" ht="15.75" customHeight="1">
      <c r="A83" s="2" t="str">
        <f>IFERROR(__xludf.DUMMYFUNCTION("""COMPUTED_VALUE"""),"Dark Wand")</f>
        <v>Dark Wand</v>
      </c>
      <c r="B83" s="2"/>
      <c r="C83" s="1" t="str">
        <f>IFERROR(__xludf.DUMMYFUNCTION("""COMPUTED_VALUE"""),"Wand")</f>
        <v>Wand</v>
      </c>
      <c r="D83" s="2" t="str">
        <f>IFERROR(__xludf.DUMMYFUNCTION("""COMPUTED_VALUE"""),"Hand")</f>
        <v>Hand</v>
      </c>
      <c r="E83" s="2">
        <f>IFERROR(__xludf.DUMMYFUNCTION("""COMPUTED_VALUE"""),1.0)</f>
        <v>1</v>
      </c>
      <c r="F83" s="2" t="str">
        <f>IFERROR(__xludf.DUMMYFUNCTION("""COMPUTED_VALUE""")," ++Half the SP cost of dark spells")</f>
        <v> ++Half the SP cost of dark spells</v>
      </c>
      <c r="G83" s="2">
        <f>IFERROR(__xludf.DUMMYFUNCTION("""COMPUTED_VALUE"""),0.0)</f>
        <v>0</v>
      </c>
      <c r="H83" s="2"/>
      <c r="I83" s="2"/>
      <c r="J83" s="5"/>
      <c r="K83" s="5"/>
      <c r="L83" s="1"/>
      <c r="M83" s="1"/>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ht="15.75" customHeight="1">
      <c r="A84" s="2" t="str">
        <f>IFERROR(__xludf.DUMMYFUNCTION("""COMPUTED_VALUE"""),"Dead Forest Blade")</f>
        <v>Dead Forest Blade</v>
      </c>
      <c r="B84" s="2"/>
      <c r="C84" s="3" t="str">
        <f>IFERROR(__xludf.DUMMYFUNCTION("""COMPUTED_VALUE"""),"Sword")</f>
        <v>Sword</v>
      </c>
      <c r="D84" s="11" t="str">
        <f>IFERROR(__xludf.DUMMYFUNCTION("""COMPUTED_VALUE"""),"Hand")</f>
        <v>Hand</v>
      </c>
      <c r="E84" s="11">
        <f>IFERROR(__xludf.DUMMYFUNCTION("""COMPUTED_VALUE"""),180.0)</f>
        <v>180</v>
      </c>
      <c r="F84" s="11"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1">
        <f>IFERROR(__xludf.DUMMYFUNCTION("""COMPUTED_VALUE"""),1530000.0)</f>
        <v>1530000</v>
      </c>
      <c r="H84" s="11"/>
      <c r="I84" s="11"/>
      <c r="J84" s="12"/>
      <c r="K84" s="12"/>
      <c r="L84" s="1"/>
      <c r="M84" s="1"/>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11"/>
      <c r="BB84" s="3"/>
      <c r="BD84" s="11"/>
      <c r="BE84" s="3"/>
      <c r="BF84" s="11"/>
      <c r="BG84" s="3"/>
      <c r="BH84" s="3"/>
      <c r="BI84" s="3"/>
      <c r="BJ84" s="3"/>
    </row>
    <row r="85" ht="15.75" customHeight="1">
      <c r="A85" s="3" t="str">
        <f>IFERROR(__xludf.DUMMYFUNCTION("""COMPUTED_VALUE"""),"Dead Forest Branch")</f>
        <v>Dead Forest Branch</v>
      </c>
      <c r="B85" s="11"/>
      <c r="C85" s="3" t="str">
        <f>IFERROR(__xludf.DUMMYFUNCTION("""COMPUTED_VALUE"""),"Club")</f>
        <v>Club</v>
      </c>
      <c r="D85" s="11" t="str">
        <f>IFERROR(__xludf.DUMMYFUNCTION("""COMPUTED_VALUE"""),"Hand")</f>
        <v>Hand</v>
      </c>
      <c r="E85" s="11">
        <f>IFERROR(__xludf.DUMMYFUNCTION("""COMPUTED_VALUE"""),200.0)</f>
        <v>200</v>
      </c>
      <c r="F85" s="11" t="str">
        <f>IFERROR(__xludf.DUMMYFUNCTION("""COMPUTED_VALUE"""),", Celestial DMG: +10000000 ++This Branch will deal 10,000,000 celestial damage but it has a 95% chance to break")</f>
        <v>, Celestial DMG: +10000000 ++This Branch will deal 10,000,000 celestial damage but it has a 95% chance to break</v>
      </c>
      <c r="G85" s="11">
        <f>IFERROR(__xludf.DUMMYFUNCTION("""COMPUTED_VALUE"""),2.8788E10)</f>
        <v>28788000000</v>
      </c>
      <c r="H85" s="11"/>
      <c r="I85" s="11"/>
      <c r="J85" s="3"/>
      <c r="K85" s="3"/>
      <c r="L85" s="1"/>
      <c r="M85" s="1"/>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11"/>
      <c r="BB85" s="3"/>
      <c r="BD85" s="11"/>
      <c r="BE85" s="3"/>
      <c r="BF85" s="3"/>
      <c r="BG85" s="3"/>
      <c r="BH85" s="3"/>
    </row>
    <row r="86" ht="15.75" customHeight="1">
      <c r="A86" s="2" t="str">
        <f>IFERROR(__xludf.DUMMYFUNCTION("""COMPUTED_VALUE"""),"Death's Scythe")</f>
        <v>Death's Scythe</v>
      </c>
      <c r="B86" s="2"/>
      <c r="C86" s="1" t="str">
        <f>IFERROR(__xludf.DUMMYFUNCTION("""COMPUTED_VALUE"""),"Scythe")</f>
        <v>Scythe</v>
      </c>
      <c r="D86" s="2" t="str">
        <f>IFERROR(__xludf.DUMMYFUNCTION("""COMPUTED_VALUE"""),"Hand")</f>
        <v>Hand</v>
      </c>
      <c r="E86" s="2">
        <f>IFERROR(__xludf.DUMMYFUNCTION("""COMPUTED_VALUE"""),600.0)</f>
        <v>600</v>
      </c>
      <c r="F86" s="2"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2">
        <f>IFERROR(__xludf.DUMMYFUNCTION("""COMPUTED_VALUE"""),1.77E7)</f>
        <v>17700000</v>
      </c>
      <c r="H86" s="2"/>
      <c r="I86" s="2"/>
      <c r="J86" s="5"/>
      <c r="K86" s="5"/>
      <c r="L86" s="1"/>
      <c r="M86" s="1"/>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3"/>
      <c r="BB86" s="3"/>
      <c r="BD86" s="3"/>
      <c r="BE86" s="3"/>
      <c r="BF86" s="3"/>
      <c r="BG86" s="3"/>
      <c r="BH86" s="3"/>
      <c r="BI86" s="3"/>
      <c r="BJ86" s="3"/>
      <c r="BK86" s="3"/>
      <c r="BL86" s="3"/>
    </row>
    <row r="87" ht="15.75" customHeight="1">
      <c r="A87" s="2" t="str">
        <f>IFERROR(__xludf.DUMMYFUNCTION("""COMPUTED_VALUE"""),"Demonic Scythe of Chaos ")</f>
        <v>Demonic Scythe of Chaos </v>
      </c>
      <c r="B87" s="2"/>
      <c r="C87" s="1" t="str">
        <f>IFERROR(__xludf.DUMMYFUNCTION("""COMPUTED_VALUE"""),"Scythe")</f>
        <v>Scythe</v>
      </c>
      <c r="D87" s="2" t="str">
        <f>IFERROR(__xludf.DUMMYFUNCTION("""COMPUTED_VALUE"""),"Hand")</f>
        <v>Hand</v>
      </c>
      <c r="E87" s="2">
        <f>IFERROR(__xludf.DUMMYFUNCTION("""COMPUTED_VALUE"""),3000.0)</f>
        <v>3000</v>
      </c>
      <c r="F87" s="2" t="str">
        <f>IFERROR(__xludf.DUMMYFUNCTION("""COMPUTED_VALUE"""),"DMG: +50000, Fire DMG: +50000, Chaos DMG: +50000 ++X2  Additional Fire and Chaos damage. +-Cannot be duplicated.")</f>
        <v>DMG: +50000, Fire DMG: +50000, Chaos DMG: +50000 ++X2  Additional Fire and Chaos damage. +-Cannot be duplicated.</v>
      </c>
      <c r="G87" s="2">
        <f>IFERROR(__xludf.DUMMYFUNCTION("""COMPUTED_VALUE"""),4.485E8)</f>
        <v>448500000</v>
      </c>
      <c r="H87" s="2"/>
      <c r="I87" s="2"/>
      <c r="J87" s="5"/>
      <c r="K87" s="5"/>
      <c r="L87" s="1"/>
      <c r="M87" s="1"/>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3"/>
      <c r="BB87" s="3"/>
      <c r="BD87" s="3"/>
      <c r="BE87" s="3"/>
      <c r="BF87" s="3"/>
      <c r="BG87" s="3"/>
      <c r="BH87" s="3"/>
      <c r="BI87" s="3"/>
      <c r="BJ87" s="3"/>
      <c r="BK87" s="3"/>
      <c r="BL87" s="3"/>
    </row>
    <row r="88" ht="15.75" customHeight="1">
      <c r="A88" s="2" t="str">
        <f>IFERROR(__xludf.DUMMYFUNCTION("""COMPUTED_VALUE"""),"Demonic Sword of The King")</f>
        <v>Demonic Sword of The King</v>
      </c>
      <c r="B88" s="2"/>
      <c r="C88" s="1" t="str">
        <f>IFERROR(__xludf.DUMMYFUNCTION("""COMPUTED_VALUE"""),"Sword")</f>
        <v>Sword</v>
      </c>
      <c r="D88" s="2" t="str">
        <f>IFERROR(__xludf.DUMMYFUNCTION("""COMPUTED_VALUE"""),"Hand")</f>
        <v>Hand</v>
      </c>
      <c r="E88" s="2">
        <f>IFERROR(__xludf.DUMMYFUNCTION("""COMPUTED_VALUE"""),200.0)</f>
        <v>200</v>
      </c>
      <c r="F88" s="2"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2">
        <f>IFERROR(__xludf.DUMMYFUNCTION("""COMPUTED_VALUE"""),3.196E9)</f>
        <v>3196000000</v>
      </c>
      <c r="H88" s="2"/>
      <c r="I88" s="2"/>
      <c r="J88" s="5"/>
      <c r="K88" s="5"/>
      <c r="L88" s="1"/>
      <c r="M88" s="1"/>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3"/>
      <c r="BB88" s="3"/>
      <c r="BD88" s="3"/>
      <c r="BE88" s="3"/>
      <c r="BF88" s="3"/>
      <c r="BG88" s="3"/>
      <c r="BH88" s="3"/>
      <c r="BI88" s="3"/>
      <c r="BJ88" s="3"/>
      <c r="BK88" s="3"/>
      <c r="BL88" s="3"/>
    </row>
    <row r="89" ht="15.75" customHeight="1">
      <c r="A89" s="2" t="str">
        <f>IFERROR(__xludf.DUMMYFUNCTION("""COMPUTED_VALUE"""),"Dimensional Dagger")</f>
        <v>Dimensional Dagger</v>
      </c>
      <c r="B89" s="2"/>
      <c r="C89" s="1" t="str">
        <f>IFERROR(__xludf.DUMMYFUNCTION("""COMPUTED_VALUE"""),"Knife")</f>
        <v>Knife</v>
      </c>
      <c r="D89" s="2" t="str">
        <f>IFERROR(__xludf.DUMMYFUNCTION("""COMPUTED_VALUE"""),"Hand")</f>
        <v>Hand</v>
      </c>
      <c r="E89" s="2">
        <f>IFERROR(__xludf.DUMMYFUNCTION("""COMPUTED_VALUE"""),200.0)</f>
        <v>200</v>
      </c>
      <c r="F89" s="2" t="str">
        <f>IFERROR(__xludf.DUMMYFUNCTION("""COMPUTED_VALUE"""),"DMG: +5000, Chaos DMG: +5000 ++25% chance to teleport the target being attacked to a random location.")</f>
        <v>DMG: +5000, Chaos DMG: +5000 ++25% chance to teleport the target being attacked to a random location.</v>
      </c>
      <c r="G89" s="2">
        <f>IFERROR(__xludf.DUMMYFUNCTION("""COMPUTED_VALUE"""),1900000.0)</f>
        <v>1900000</v>
      </c>
      <c r="H89" s="2"/>
      <c r="I89" s="2"/>
      <c r="J89" s="5"/>
      <c r="K89" s="5"/>
      <c r="L89" s="1"/>
      <c r="M89" s="1"/>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3"/>
      <c r="BB89" s="3"/>
      <c r="BD89" s="3"/>
      <c r="BE89" s="3"/>
      <c r="BF89" s="3"/>
      <c r="BG89" s="3"/>
      <c r="BH89" s="3"/>
      <c r="BI89" s="3"/>
      <c r="BJ89" s="3"/>
      <c r="BK89" s="3"/>
      <c r="BL89" s="3"/>
    </row>
    <row r="90" ht="15.75" customHeight="1">
      <c r="A90" s="2" t="str">
        <f>IFERROR(__xludf.DUMMYFUNCTION("""COMPUTED_VALUE"""),"Draconic Shield")</f>
        <v>Draconic Shield</v>
      </c>
      <c r="B90" s="2"/>
      <c r="C90" s="1" t="str">
        <f>IFERROR(__xludf.DUMMYFUNCTION("""COMPUTED_VALUE"""),"Towershield")</f>
        <v>Towershield</v>
      </c>
      <c r="D90" s="2" t="str">
        <f>IFERROR(__xludf.DUMMYFUNCTION("""COMPUTED_VALUE"""),"Hand")</f>
        <v>Hand</v>
      </c>
      <c r="E90" s="2">
        <f>IFERROR(__xludf.DUMMYFUNCTION("""COMPUTED_VALUE"""),5000.0)</f>
        <v>5000</v>
      </c>
      <c r="F90" s="2"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2">
        <f>IFERROR(__xludf.DUMMYFUNCTION("""COMPUTED_VALUE"""),1.2475E9)</f>
        <v>1247500000</v>
      </c>
      <c r="H90" s="2"/>
      <c r="I90" s="2"/>
      <c r="J90" s="5"/>
      <c r="K90" s="5"/>
      <c r="L90" s="1"/>
      <c r="M90" s="1"/>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3"/>
      <c r="BB90" s="3"/>
      <c r="BD90" s="3"/>
      <c r="BE90" s="3"/>
      <c r="BF90" s="3"/>
      <c r="BG90" s="3"/>
      <c r="BH90" s="3"/>
      <c r="BI90" s="3"/>
      <c r="BJ90" s="3"/>
      <c r="BK90" s="3"/>
      <c r="BL90" s="3"/>
    </row>
    <row r="91" ht="15.75" customHeight="1">
      <c r="A91" s="2" t="str">
        <f>IFERROR(__xludf.DUMMYFUNCTION("""COMPUTED_VALUE"""),"Dragon's Skull")</f>
        <v>Dragon's Skull</v>
      </c>
      <c r="B91" s="2"/>
      <c r="C91" s="1"/>
      <c r="D91" s="5" t="str">
        <f>IFERROR(__xludf.DUMMYFUNCTION("""COMPUTED_VALUE"""),"Head")</f>
        <v>Head</v>
      </c>
      <c r="E91" s="5">
        <f>IFERROR(__xludf.DUMMYFUNCTION("""COMPUTED_VALUE"""),200.0)</f>
        <v>200</v>
      </c>
      <c r="F91" s="5" t="str">
        <f>IFERROR(__xludf.DUMMYFUNCTION("""COMPUTED_VALUE"""),"DEF: +10000 ++Any damage that is dealt to the wearer by a dragon is negated. ++(Dragon Tamers Cannot Wear This)")</f>
        <v>DEF: +10000 ++Any damage that is dealt to the wearer by a dragon is negated. ++(Dragon Tamers Cannot Wear This)</v>
      </c>
      <c r="G91" s="5">
        <f>IFERROR(__xludf.DUMMYFUNCTION("""COMPUTED_VALUE"""),1900000.0)</f>
        <v>1900000</v>
      </c>
      <c r="H91" s="2"/>
      <c r="I91" s="2"/>
      <c r="J91" s="5"/>
      <c r="K91" s="5"/>
      <c r="L91" s="1"/>
      <c r="M91" s="1"/>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3"/>
      <c r="BB91" s="3"/>
      <c r="BD91" s="3"/>
      <c r="BE91" s="3"/>
      <c r="BF91" s="3"/>
      <c r="BG91" s="3"/>
      <c r="BH91" s="3"/>
      <c r="BI91" s="3"/>
      <c r="BJ91" s="3"/>
      <c r="BK91" s="3"/>
      <c r="BL91" s="3"/>
    </row>
    <row r="92" ht="15.75" customHeight="1">
      <c r="A92" s="2" t="str">
        <f>IFERROR(__xludf.DUMMYFUNCTION("""COMPUTED_VALUE"""),"Dragonbone Greatsword")</f>
        <v>Dragonbone Greatsword</v>
      </c>
      <c r="B92" s="2"/>
      <c r="C92" s="1" t="str">
        <f>IFERROR(__xludf.DUMMYFUNCTION("""COMPUTED_VALUE"""),"Sword")</f>
        <v>Sword</v>
      </c>
      <c r="D92" s="2" t="str">
        <f>IFERROR(__xludf.DUMMYFUNCTION("""COMPUTED_VALUE"""),"Hand")</f>
        <v>Hand</v>
      </c>
      <c r="E92" s="2">
        <f>IFERROR(__xludf.DUMMYFUNCTION("""COMPUTED_VALUE"""),200.0)</f>
        <v>200</v>
      </c>
      <c r="F92" s="2"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2">
        <f>IFERROR(__xludf.DUMMYFUNCTION("""COMPUTED_VALUE"""),7.194E9)</f>
        <v>7194000000</v>
      </c>
      <c r="H92" s="2"/>
      <c r="I92" s="2"/>
      <c r="J92" s="2"/>
      <c r="K92" s="2"/>
      <c r="L92" s="1"/>
      <c r="M92" s="1"/>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3"/>
      <c r="BB92" s="3"/>
      <c r="BD92" s="3"/>
      <c r="BE92" s="3"/>
      <c r="BF92" s="3"/>
      <c r="BG92" s="3"/>
      <c r="BH92" s="3"/>
      <c r="BI92" s="3"/>
      <c r="BJ92" s="3"/>
      <c r="BK92" s="3"/>
      <c r="BL92" s="3"/>
    </row>
    <row r="93" ht="15.75" customHeight="1">
      <c r="A93" s="2" t="str">
        <f>IFERROR(__xludf.DUMMYFUNCTION("""COMPUTED_VALUE"""),"Dreading Wand Of Fire")</f>
        <v>Dreading Wand Of Fire</v>
      </c>
      <c r="B93" s="2"/>
      <c r="C93" s="1" t="str">
        <f>IFERROR(__xludf.DUMMYFUNCTION("""COMPUTED_VALUE"""),"Wand")</f>
        <v>Wand</v>
      </c>
      <c r="D93" s="5" t="str">
        <f>IFERROR(__xludf.DUMMYFUNCTION("""COMPUTED_VALUE"""),"Hand")</f>
        <v>Hand</v>
      </c>
      <c r="E93" s="5">
        <f>IFERROR(__xludf.DUMMYFUNCTION("""COMPUTED_VALUE"""),1.0)</f>
        <v>1</v>
      </c>
      <c r="F93" s="5" t="str">
        <f>IFERROR(__xludf.DUMMYFUNCTION("""COMPUTED_VALUE""")," ++Half SP costs for fire spells")</f>
        <v> ++Half SP costs for fire spells</v>
      </c>
      <c r="G93" s="5">
        <f>IFERROR(__xludf.DUMMYFUNCTION("""COMPUTED_VALUE"""),0.0)</f>
        <v>0</v>
      </c>
      <c r="H93" s="2"/>
      <c r="I93" s="2"/>
      <c r="J93" s="5"/>
      <c r="K93" s="5"/>
      <c r="L93" s="1"/>
      <c r="M93" s="1"/>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3"/>
      <c r="BB93" s="3"/>
      <c r="BD93" s="3"/>
      <c r="BE93" s="3"/>
      <c r="BF93" s="3"/>
      <c r="BG93" s="3"/>
      <c r="BH93" s="3"/>
      <c r="BI93" s="3"/>
      <c r="BJ93" s="3"/>
      <c r="BK93" s="3"/>
      <c r="BL93" s="3"/>
    </row>
    <row r="94" ht="15.75" customHeight="1">
      <c r="A94" s="2" t="str">
        <f>IFERROR(__xludf.DUMMYFUNCTION("""COMPUTED_VALUE"""),"Dy Yu’s Plated Armor")</f>
        <v>Dy Yu’s Plated Armor</v>
      </c>
      <c r="B94" s="2"/>
      <c r="C94" s="1"/>
      <c r="D94" s="5" t="str">
        <f>IFERROR(__xludf.DUMMYFUNCTION("""COMPUTED_VALUE"""),"Torso")</f>
        <v>Torso</v>
      </c>
      <c r="E94" s="5">
        <f>IFERROR(__xludf.DUMMYFUNCTION("""COMPUTED_VALUE"""),4000.0)</f>
        <v>4000</v>
      </c>
      <c r="F94" s="5"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5">
        <f>IFERROR(__xludf.DUMMYFUNCTION("""COMPUTED_VALUE"""),7.98E8)</f>
        <v>798000000</v>
      </c>
      <c r="H94" s="2"/>
      <c r="I94" s="2"/>
      <c r="J94" s="5"/>
      <c r="K94" s="5"/>
      <c r="L94" s="1"/>
      <c r="M94" s="1"/>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3"/>
      <c r="BB94" s="3"/>
      <c r="BD94" s="3"/>
      <c r="BE94" s="3"/>
      <c r="BF94" s="3"/>
      <c r="BG94" s="3"/>
      <c r="BH94" s="3"/>
      <c r="BI94" s="3"/>
      <c r="BJ94" s="3"/>
      <c r="BK94" s="3"/>
      <c r="BL94" s="3"/>
    </row>
    <row r="95" ht="15.75" customHeight="1">
      <c r="A95" s="2" t="str">
        <f>IFERROR(__xludf.DUMMYFUNCTION("""COMPUTED_VALUE"""),"Easters Ring (Exclusive)")</f>
        <v>Easters Ring (Exclusive)</v>
      </c>
      <c r="B95" s="2"/>
      <c r="C95" s="1"/>
      <c r="D95" s="1" t="str">
        <f>IFERROR(__xludf.DUMMYFUNCTION("""COMPUTED_VALUE"""),"Ring")</f>
        <v>Ring</v>
      </c>
      <c r="E95" s="1">
        <f>IFERROR(__xludf.DUMMYFUNCTION("""COMPUTED_VALUE"""),1.0)</f>
        <v>1</v>
      </c>
      <c r="F95" s="1" t="str">
        <f>IFERROR(__xludf.DUMMYFUNCTION("""COMPUTED_VALUE""")," ++Can turn one bad day of travel into a good day of travel. +-Cannot be forged")</f>
        <v> ++Can turn one bad day of travel into a good day of travel. +-Cannot be forged</v>
      </c>
      <c r="G95" s="1">
        <f>IFERROR(__xludf.DUMMYFUNCTION("""COMPUTED_VALUE"""),0.0)</f>
        <v>0</v>
      </c>
      <c r="H95" s="2"/>
      <c r="I95" s="2"/>
      <c r="J95" s="2"/>
      <c r="K95" s="5"/>
      <c r="L95" s="1"/>
      <c r="M95" s="1"/>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3"/>
      <c r="BB95" s="3"/>
      <c r="BD95" s="3"/>
      <c r="BE95" s="3"/>
      <c r="BF95" s="3"/>
      <c r="BG95" s="3"/>
      <c r="BH95" s="3"/>
      <c r="BI95" s="3"/>
      <c r="BJ95" s="3"/>
      <c r="BK95" s="3"/>
      <c r="BL95" s="3"/>
    </row>
    <row r="96" ht="15.75" customHeight="1">
      <c r="A96" s="2" t="str">
        <f>IFERROR(__xludf.DUMMYFUNCTION("""COMPUTED_VALUE"""),"Enchanted Chestplate of Defense")</f>
        <v>Enchanted Chestplate of Defense</v>
      </c>
      <c r="B96" s="2"/>
      <c r="C96" s="1"/>
      <c r="D96" s="2" t="str">
        <f>IFERROR(__xludf.DUMMYFUNCTION("""COMPUTED_VALUE"""),"Torso")</f>
        <v>Torso</v>
      </c>
      <c r="E96" s="2">
        <f>IFERROR(__xludf.DUMMYFUNCTION("""COMPUTED_VALUE"""),100.0)</f>
        <v>100</v>
      </c>
      <c r="F96" s="2" t="str">
        <f>IFERROR(__xludf.DUMMYFUNCTION("""COMPUTED_VALUE"""),"DEF: +5000 ++Damage received by Spells and Weapons are reduced to half when wearing this.")</f>
        <v>DEF: +5000 ++Damage received by Spells and Weapons are reduced to half when wearing this.</v>
      </c>
      <c r="G96" s="2">
        <f>IFERROR(__xludf.DUMMYFUNCTION("""COMPUTED_VALUE"""),450000.0)</f>
        <v>450000</v>
      </c>
      <c r="H96" s="2"/>
      <c r="I96" s="2"/>
      <c r="J96" s="5"/>
      <c r="K96" s="5"/>
      <c r="L96" s="1"/>
      <c r="M96" s="1"/>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3"/>
      <c r="BB96" s="3"/>
      <c r="BD96" s="3"/>
      <c r="BE96" s="3"/>
      <c r="BF96" s="3"/>
      <c r="BG96" s="3"/>
      <c r="BH96" s="3"/>
      <c r="BI96" s="3"/>
      <c r="BJ96" s="3"/>
      <c r="BK96" s="3"/>
      <c r="BL96" s="3"/>
    </row>
    <row r="97" ht="15.75" customHeight="1">
      <c r="A97" s="2" t="str">
        <f>IFERROR(__xludf.DUMMYFUNCTION("""COMPUTED_VALUE"""),"Enchanted Dagger")</f>
        <v>Enchanted Dagger</v>
      </c>
      <c r="B97" s="2"/>
      <c r="C97" s="1" t="str">
        <f>IFERROR(__xludf.DUMMYFUNCTION("""COMPUTED_VALUE"""),"Knife")</f>
        <v>Knife</v>
      </c>
      <c r="D97" s="2" t="str">
        <f>IFERROR(__xludf.DUMMYFUNCTION("""COMPUTED_VALUE"""),"Hand")</f>
        <v>Hand</v>
      </c>
      <c r="E97" s="2">
        <f>IFERROR(__xludf.DUMMYFUNCTION("""COMPUTED_VALUE"""),1.0)</f>
        <v>1</v>
      </c>
      <c r="F97" s="2" t="str">
        <f>IFERROR(__xludf.DUMMYFUNCTION("""COMPUTED_VALUE"""),": +1 ++100% of instantly killing the target.")</f>
        <v>: +1 ++100% of instantly killing the target.</v>
      </c>
      <c r="G97" s="2">
        <f>IFERROR(__xludf.DUMMYFUNCTION("""COMPUTED_VALUE"""),0.0)</f>
        <v>0</v>
      </c>
      <c r="H97" s="2"/>
      <c r="I97" s="2"/>
      <c r="J97" s="5"/>
      <c r="K97" s="5"/>
      <c r="L97" s="1"/>
      <c r="M97" s="1"/>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3"/>
      <c r="BB97" s="3"/>
      <c r="BD97" s="3"/>
      <c r="BE97" s="3"/>
      <c r="BF97" s="3"/>
      <c r="BG97" s="3"/>
      <c r="BH97" s="3"/>
      <c r="BI97" s="3"/>
      <c r="BJ97" s="3"/>
      <c r="BK97" s="3"/>
      <c r="BL97" s="3"/>
    </row>
    <row r="98" ht="15.75" customHeight="1">
      <c r="A98" s="2" t="str">
        <f>IFERROR(__xludf.DUMMYFUNCTION("""COMPUTED_VALUE"""),"Enchanted Falcon Blade")</f>
        <v>Enchanted Falcon Blade</v>
      </c>
      <c r="B98" s="2"/>
      <c r="C98" s="1" t="str">
        <f>IFERROR(__xludf.DUMMYFUNCTION("""COMPUTED_VALUE"""),"Sword")</f>
        <v>Sword</v>
      </c>
      <c r="D98" s="2" t="str">
        <f>IFERROR(__xludf.DUMMYFUNCTION("""COMPUTED_VALUE"""),"Hand")</f>
        <v>Hand</v>
      </c>
      <c r="E98" s="2">
        <f>IFERROR(__xludf.DUMMYFUNCTION("""COMPUTED_VALUE"""),60.0)</f>
        <v>60</v>
      </c>
      <c r="F98" s="2"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2">
        <f>IFERROR(__xludf.DUMMYFUNCTION("""COMPUTED_VALUE"""),100000.0)</f>
        <v>100000</v>
      </c>
      <c r="H98" s="2"/>
      <c r="I98" s="2"/>
      <c r="J98" s="5"/>
      <c r="K98" s="5"/>
      <c r="L98" s="1"/>
      <c r="M98" s="1"/>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3"/>
      <c r="BB98" s="3"/>
      <c r="BD98" s="3"/>
      <c r="BE98" s="3"/>
      <c r="BF98" s="3"/>
      <c r="BG98" s="3"/>
      <c r="BH98" s="3"/>
      <c r="BI98" s="3"/>
      <c r="BJ98" s="3"/>
      <c r="BK98" s="3"/>
      <c r="BL98" s="3"/>
    </row>
    <row r="99" ht="15.75" customHeight="1">
      <c r="A99" s="2" t="str">
        <f>IFERROR(__xludf.DUMMYFUNCTION("""COMPUTED_VALUE"""),"Energy Prong")</f>
        <v>Energy Prong</v>
      </c>
      <c r="B99" s="2"/>
      <c r="C99" s="1" t="str">
        <f>IFERROR(__xludf.DUMMYFUNCTION("""COMPUTED_VALUE"""),"Spear")</f>
        <v>Spear</v>
      </c>
      <c r="D99" s="2" t="str">
        <f>IFERROR(__xludf.DUMMYFUNCTION("""COMPUTED_VALUE"""),"Hand")</f>
        <v>Hand</v>
      </c>
      <c r="E99" s="2">
        <f>IFERROR(__xludf.DUMMYFUNCTION("""COMPUTED_VALUE"""),10.0)</f>
        <v>10</v>
      </c>
      <c r="F99" s="2" t="str">
        <f>IFERROR(__xludf.DUMMYFUNCTION("""COMPUTED_VALUE"""),"DMG: +500 ++50% chance of stun 3.")</f>
        <v>DMG: +500 ++50% chance of stun 3.</v>
      </c>
      <c r="G99" s="2">
        <f>IFERROR(__xludf.DUMMYFUNCTION("""COMPUTED_VALUE"""),1000.0)</f>
        <v>1000</v>
      </c>
      <c r="H99" s="2"/>
      <c r="I99" s="1"/>
      <c r="J99" s="5"/>
      <c r="K99" s="5"/>
      <c r="L99" s="1"/>
      <c r="M99" s="1"/>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3"/>
      <c r="BB99" s="3"/>
      <c r="BD99" s="3"/>
      <c r="BE99" s="3"/>
      <c r="BF99" s="3"/>
      <c r="BG99" s="3"/>
      <c r="BH99" s="3"/>
      <c r="BI99" s="3"/>
      <c r="BJ99" s="3"/>
      <c r="BK99" s="3"/>
      <c r="BL99" s="3"/>
    </row>
    <row r="100" ht="15.75" customHeight="1">
      <c r="A100" s="2" t="str">
        <f>IFERROR(__xludf.DUMMYFUNCTION("""COMPUTED_VALUE"""),"Faery Kings Sword")</f>
        <v>Faery Kings Sword</v>
      </c>
      <c r="B100" s="2"/>
      <c r="C100" s="1" t="str">
        <f>IFERROR(__xludf.DUMMYFUNCTION("""COMPUTED_VALUE"""),"Sword")</f>
        <v>Sword</v>
      </c>
      <c r="D100" s="5" t="str">
        <f>IFERROR(__xludf.DUMMYFUNCTION("""COMPUTED_VALUE"""),"Hand")</f>
        <v>Hand</v>
      </c>
      <c r="E100" s="5">
        <f>IFERROR(__xludf.DUMMYFUNCTION("""COMPUTED_VALUE"""),200.0)</f>
        <v>200</v>
      </c>
      <c r="F100" s="5" t="str">
        <f>IFERROR(__xludf.DUMMYFUNCTION("""COMPUTED_VALUE"""),"DMG: +500000, Nature DMG: +25000, Celestial DMG: +25000")</f>
        <v>DMG: +500000, Nature DMG: +25000, Celestial DMG: +25000</v>
      </c>
      <c r="G100" s="5">
        <f>IFERROR(__xludf.DUMMYFUNCTION("""COMPUTED_VALUE"""),6.0445E9)</f>
        <v>6044500000</v>
      </c>
      <c r="H100" s="2"/>
      <c r="I100" s="1"/>
      <c r="J100" s="5"/>
      <c r="K100" s="5"/>
      <c r="L100" s="1"/>
      <c r="M100" s="1"/>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3"/>
      <c r="BB100" s="3"/>
      <c r="BD100" s="3"/>
      <c r="BE100" s="3"/>
      <c r="BF100" s="3"/>
      <c r="BG100" s="3"/>
      <c r="BH100" s="3"/>
      <c r="BI100" s="3"/>
      <c r="BJ100" s="3"/>
      <c r="BK100" s="3"/>
      <c r="BL100" s="3"/>
    </row>
    <row r="101" ht="15.75" customHeight="1">
      <c r="A101" s="2" t="str">
        <f>IFERROR(__xludf.DUMMYFUNCTION("""COMPUTED_VALUE"""),"False Helmet")</f>
        <v>False Helmet</v>
      </c>
      <c r="B101" s="2"/>
      <c r="C101" s="1"/>
      <c r="D101" s="2" t="str">
        <f>IFERROR(__xludf.DUMMYFUNCTION("""COMPUTED_VALUE"""),"Head")</f>
        <v>Head</v>
      </c>
      <c r="E101" s="2">
        <f>IFERROR(__xludf.DUMMYFUNCTION("""COMPUTED_VALUE"""),1.0)</f>
        <v>1</v>
      </c>
      <c r="F101" s="2" t="str">
        <f>IFERROR(__xludf.DUMMYFUNCTION("""COMPUTED_VALUE""")," ++ ++5 Intimidation, ++ - 2 Charisma. +-Cannot be forged +-Cannot be duplicated.")</f>
        <v> ++ ++5 Intimidation, ++ - 2 Charisma. +-Cannot be forged +-Cannot be duplicated.</v>
      </c>
      <c r="G101" s="2">
        <f>IFERROR(__xludf.DUMMYFUNCTION("""COMPUTED_VALUE"""),0.0)</f>
        <v>0</v>
      </c>
      <c r="H101" s="2"/>
      <c r="I101" s="1"/>
      <c r="J101" s="5"/>
      <c r="K101" s="5"/>
      <c r="L101" s="1"/>
      <c r="M101" s="1"/>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3"/>
      <c r="BB101" s="3"/>
      <c r="BD101" s="3"/>
      <c r="BE101" s="3"/>
      <c r="BF101" s="3"/>
      <c r="BG101" s="3"/>
      <c r="BH101" s="3"/>
      <c r="BI101" s="3"/>
      <c r="BJ101" s="3"/>
      <c r="BK101" s="3"/>
      <c r="BL101" s="3"/>
    </row>
    <row r="102" ht="15.75" customHeight="1">
      <c r="A102" s="2" t="str">
        <f>IFERROR(__xludf.DUMMYFUNCTION("""COMPUTED_VALUE"""),"Felt Cap")</f>
        <v>Felt Cap</v>
      </c>
      <c r="B102" s="2"/>
      <c r="C102" s="1"/>
      <c r="D102" s="5" t="str">
        <f>IFERROR(__xludf.DUMMYFUNCTION("""COMPUTED_VALUE"""),"Head")</f>
        <v>Head</v>
      </c>
      <c r="E102" s="5">
        <f>IFERROR(__xludf.DUMMYFUNCTION("""COMPUTED_VALUE"""),1.0)</f>
        <v>1</v>
      </c>
      <c r="F102" s="5" t="str">
        <f>IFERROR(__xludf.DUMMYFUNCTION("""COMPUTED_VALUE""")," ++ -1 Evasion ++ +2 Intimidation, +-Can only wear one, +-Cannot be duplicated.")</f>
        <v> ++ -1 Evasion ++ +2 Intimidation, +-Can only wear one, +-Cannot be duplicated.</v>
      </c>
      <c r="G102" s="5">
        <f>IFERROR(__xludf.DUMMYFUNCTION("""COMPUTED_VALUE"""),0.0)</f>
        <v>0</v>
      </c>
      <c r="H102" s="2"/>
      <c r="I102" s="2"/>
      <c r="J102" s="5"/>
      <c r="K102" s="5"/>
      <c r="L102" s="1"/>
      <c r="M102" s="1"/>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3"/>
      <c r="BB102" s="3"/>
      <c r="BD102" s="3"/>
      <c r="BE102" s="3"/>
      <c r="BF102" s="3"/>
      <c r="BG102" s="3"/>
      <c r="BH102" s="3"/>
      <c r="BI102" s="3"/>
      <c r="BJ102" s="3"/>
      <c r="BK102" s="3"/>
      <c r="BL102" s="3"/>
    </row>
    <row r="103" ht="15.75" customHeight="1">
      <c r="A103" s="2" t="str">
        <f>IFERROR(__xludf.DUMMYFUNCTION("""COMPUTED_VALUE"""),"Fire Resistant Boots")</f>
        <v>Fire Resistant Boots</v>
      </c>
      <c r="B103" s="2"/>
      <c r="C103" s="1"/>
      <c r="D103" s="5" t="str">
        <f>IFERROR(__xludf.DUMMYFUNCTION("""COMPUTED_VALUE"""),"Feet")</f>
        <v>Feet</v>
      </c>
      <c r="E103" s="5">
        <f>IFERROR(__xludf.DUMMYFUNCTION("""COMPUTED_VALUE"""),200.0)</f>
        <v>200</v>
      </c>
      <c r="F103" s="5" t="str">
        <f>IFERROR(__xludf.DUMMYFUNCTION("""COMPUTED_VALUE"""),", Fire DEF: +10000 ++Fire Immune, ++X2 Additional fire damage. +-Cannot be duplicated.")</f>
        <v>, Fire DEF: +10000 ++Fire Immune, ++X2 Additional fire damage. +-Cannot be duplicated.</v>
      </c>
      <c r="G103" s="5">
        <f>IFERROR(__xludf.DUMMYFUNCTION("""COMPUTED_VALUE"""),1900000.0)</f>
        <v>1900000</v>
      </c>
      <c r="H103" s="2"/>
      <c r="I103" s="2"/>
      <c r="J103" s="5"/>
      <c r="K103" s="5"/>
      <c r="L103" s="1"/>
      <c r="M103" s="1"/>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3"/>
      <c r="BB103" s="3"/>
      <c r="BD103" s="3"/>
      <c r="BE103" s="3"/>
      <c r="BF103" s="3"/>
      <c r="BG103" s="3"/>
      <c r="BH103" s="3"/>
      <c r="BI103" s="3"/>
      <c r="BJ103" s="3"/>
      <c r="BK103" s="3"/>
      <c r="BL103" s="3"/>
    </row>
    <row r="104" ht="15.75" customHeight="1">
      <c r="A104" s="2" t="str">
        <f>IFERROR(__xludf.DUMMYFUNCTION("""COMPUTED_VALUE"""),"Fire Ring")</f>
        <v>Fire Ring</v>
      </c>
      <c r="B104" s="5"/>
      <c r="C104" s="1"/>
      <c r="D104" s="5" t="str">
        <f>IFERROR(__xludf.DUMMYFUNCTION("""COMPUTED_VALUE"""),"Ring")</f>
        <v>Ring</v>
      </c>
      <c r="E104" s="5">
        <f>IFERROR(__xludf.DUMMYFUNCTION("""COMPUTED_VALUE"""),1.0)</f>
        <v>1</v>
      </c>
      <c r="F104" s="5" t="str">
        <f>IFERROR(__xludf.DUMMYFUNCTION("""COMPUTED_VALUE""")," ++Fire Immune, ++X2 Additional fire damage. +-Cannot be duplicated.")</f>
        <v> ++Fire Immune, ++X2 Additional fire damage. +-Cannot be duplicated.</v>
      </c>
      <c r="G104" s="5">
        <f>IFERROR(__xludf.DUMMYFUNCTION("""COMPUTED_VALUE"""),0.0)</f>
        <v>0</v>
      </c>
      <c r="H104" s="2"/>
      <c r="I104" s="2"/>
      <c r="J104" s="5"/>
      <c r="K104" s="5"/>
      <c r="L104" s="1"/>
      <c r="M104" s="1"/>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3"/>
      <c r="BB104" s="3"/>
      <c r="BD104" s="3"/>
      <c r="BE104" s="3"/>
      <c r="BF104" s="3"/>
      <c r="BG104" s="3"/>
      <c r="BH104" s="3"/>
      <c r="BI104" s="3"/>
      <c r="BJ104" s="3"/>
      <c r="BK104" s="3"/>
      <c r="BL104" s="3"/>
    </row>
    <row r="105" ht="15.75" customHeight="1">
      <c r="A105" s="2" t="str">
        <f>IFERROR(__xludf.DUMMYFUNCTION("""COMPUTED_VALUE"""),"Fire Shield")</f>
        <v>Fire Shield</v>
      </c>
      <c r="B105" s="2"/>
      <c r="C105" s="1" t="str">
        <f>IFERROR(__xludf.DUMMYFUNCTION("""COMPUTED_VALUE"""),"Towershield")</f>
        <v>Towershield</v>
      </c>
      <c r="D105" s="5" t="str">
        <f>IFERROR(__xludf.DUMMYFUNCTION("""COMPUTED_VALUE"""),"Hand")</f>
        <v>Hand</v>
      </c>
      <c r="E105" s="5">
        <f>IFERROR(__xludf.DUMMYFUNCTION("""COMPUTED_VALUE"""),200.0)</f>
        <v>200</v>
      </c>
      <c r="F105" s="5" t="str">
        <f>IFERROR(__xludf.DUMMYFUNCTION("""COMPUTED_VALUE"""),"DEF: +5000, Fire DEF: +5000 ++ Immunity to Fire, ++X2 Additional fire resistance. +-Cannot be duplicated.")</f>
        <v>DEF: +5000, Fire DEF: +5000 ++ Immunity to Fire, ++X2 Additional fire resistance. +-Cannot be duplicated.</v>
      </c>
      <c r="G105" s="5">
        <f>IFERROR(__xludf.DUMMYFUNCTION("""COMPUTED_VALUE"""),1900000.0)</f>
        <v>1900000</v>
      </c>
      <c r="H105" s="2"/>
      <c r="I105" s="2"/>
      <c r="J105" s="5"/>
      <c r="K105" s="5"/>
      <c r="L105" s="1"/>
      <c r="M105" s="1"/>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3"/>
      <c r="BB105" s="3"/>
      <c r="BD105" s="3"/>
      <c r="BE105" s="3"/>
      <c r="BF105" s="3"/>
      <c r="BG105" s="3"/>
      <c r="BH105" s="3"/>
      <c r="BI105" s="3"/>
      <c r="BJ105" s="3"/>
      <c r="BK105" s="3"/>
      <c r="BL105" s="3"/>
    </row>
    <row r="106" ht="15.75" customHeight="1">
      <c r="A106" s="2" t="str">
        <f>IFERROR(__xludf.DUMMYFUNCTION("""COMPUTED_VALUE"""),"Fire Sword")</f>
        <v>Fire Sword</v>
      </c>
      <c r="B106" s="2"/>
      <c r="C106" s="1" t="str">
        <f>IFERROR(__xludf.DUMMYFUNCTION("""COMPUTED_VALUE"""),"Sword")</f>
        <v>Sword</v>
      </c>
      <c r="D106" s="1" t="str">
        <f>IFERROR(__xludf.DUMMYFUNCTION("""COMPUTED_VALUE"""),"Hand")</f>
        <v>Hand</v>
      </c>
      <c r="E106" s="1">
        <f>IFERROR(__xludf.DUMMYFUNCTION("""COMPUTED_VALUE"""),200.0)</f>
        <v>200</v>
      </c>
      <c r="F106" s="1" t="str">
        <f>IFERROR(__xludf.DUMMYFUNCTION("""COMPUTED_VALUE"""),"DMG: +5000, Fire DMG: +5000 ++X2 Additional Fire damage. Burn 2500. Cannot be duplicated.")</f>
        <v>DMG: +5000, Fire DMG: +5000 ++X2 Additional Fire damage. Burn 2500. Cannot be duplicated.</v>
      </c>
      <c r="G106" s="1">
        <f>IFERROR(__xludf.DUMMYFUNCTION("""COMPUTED_VALUE"""),1900000.0)</f>
        <v>1900000</v>
      </c>
      <c r="H106" s="1"/>
      <c r="I106" s="1"/>
      <c r="J106" s="2"/>
      <c r="K106" s="2"/>
      <c r="L106" s="1"/>
      <c r="M106" s="1"/>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3"/>
      <c r="BB106" s="3"/>
      <c r="BD106" s="3"/>
      <c r="BE106" s="3"/>
      <c r="BF106" s="3"/>
      <c r="BG106" s="3"/>
      <c r="BH106" s="3"/>
      <c r="BI106" s="3"/>
      <c r="BJ106" s="3"/>
      <c r="BK106" s="3"/>
      <c r="BL106" s="3"/>
    </row>
    <row r="107" ht="15.75" customHeight="1">
      <c r="A107" s="2" t="str">
        <f>IFERROR(__xludf.DUMMYFUNCTION("""COMPUTED_VALUE"""),"Fireproof Suit")</f>
        <v>Fireproof Suit</v>
      </c>
      <c r="B107" s="2"/>
      <c r="C107" s="1"/>
      <c r="D107" s="1" t="str">
        <f>IFERROR(__xludf.DUMMYFUNCTION("""COMPUTED_VALUE"""),"Torso")</f>
        <v>Torso</v>
      </c>
      <c r="E107" s="1">
        <f>IFERROR(__xludf.DUMMYFUNCTION("""COMPUTED_VALUE"""),400.0)</f>
        <v>400</v>
      </c>
      <c r="F107" s="1" t="str">
        <f>IFERROR(__xludf.DUMMYFUNCTION("""COMPUTED_VALUE"""),"DEF: +5000, Fire DEF: +15000 Fire Immune, X2 Additional fire resistance. Cannot be duplicated.")</f>
        <v>DEF: +5000, Fire DEF: +15000 Fire Immune, X2 Additional fire resistance. Cannot be duplicated.</v>
      </c>
      <c r="G107" s="1">
        <f>IFERROR(__xludf.DUMMYFUNCTION("""COMPUTED_VALUE"""),7800000.0)</f>
        <v>7800000</v>
      </c>
      <c r="H107" s="1"/>
      <c r="I107" s="1"/>
      <c r="J107" s="2"/>
      <c r="K107" s="2"/>
      <c r="L107" s="1"/>
      <c r="M107" s="1"/>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3"/>
      <c r="BB107" s="3"/>
      <c r="BD107" s="3"/>
      <c r="BE107" s="3"/>
      <c r="BF107" s="3"/>
      <c r="BG107" s="3"/>
      <c r="BH107" s="3"/>
      <c r="BI107" s="3"/>
      <c r="BJ107" s="3"/>
      <c r="BK107" s="3"/>
      <c r="BL107" s="3"/>
    </row>
    <row r="108" ht="15.75" customHeight="1">
      <c r="A108" s="2" t="str">
        <f>IFERROR(__xludf.DUMMYFUNCTION("""COMPUTED_VALUE"""),"Fish Pendant")</f>
        <v>Fish Pendant</v>
      </c>
      <c r="B108" s="2"/>
      <c r="C108" s="2"/>
      <c r="D108" s="5" t="str">
        <f>IFERROR(__xludf.DUMMYFUNCTION("""COMPUTED_VALUE"""),"Neck")</f>
        <v>Neck</v>
      </c>
      <c r="E108" s="5">
        <f>IFERROR(__xludf.DUMMYFUNCTION("""COMPUTED_VALUE"""),1.0)</f>
        <v>1</v>
      </c>
      <c r="F108" s="5" t="str">
        <f>IFERROR(__xludf.DUMMYFUNCTION("""COMPUTED_VALUE""")," ++Choose the rarity of the fish when fishing +-Cannot be forged +-Cannot be duplicated +-Can only equip one")</f>
        <v> ++Choose the rarity of the fish when fishing +-Cannot be forged +-Cannot be duplicated +-Can only equip one</v>
      </c>
      <c r="G108" s="5">
        <f>IFERROR(__xludf.DUMMYFUNCTION("""COMPUTED_VALUE"""),0.0)</f>
        <v>0</v>
      </c>
      <c r="H108" s="2"/>
      <c r="I108" s="1"/>
      <c r="J108" s="5"/>
      <c r="K108" s="5"/>
      <c r="L108" s="1"/>
      <c r="M108" s="1"/>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3"/>
      <c r="BB108" s="3"/>
      <c r="BD108" s="3"/>
      <c r="BE108" s="3"/>
      <c r="BF108" s="3"/>
      <c r="BG108" s="3"/>
      <c r="BH108" s="3"/>
      <c r="BI108" s="3"/>
      <c r="BJ108" s="3"/>
      <c r="BK108" s="3"/>
      <c r="BL108" s="3"/>
    </row>
    <row r="109" ht="15.75" customHeight="1">
      <c r="A109" s="2" t="str">
        <f>IFERROR(__xludf.DUMMYFUNCTION("""COMPUTED_VALUE"""),"Flame Band")</f>
        <v>Flame Band</v>
      </c>
      <c r="B109" s="2"/>
      <c r="C109" s="2"/>
      <c r="D109" s="5" t="str">
        <f>IFERROR(__xludf.DUMMYFUNCTION("""COMPUTED_VALUE"""),"Arms")</f>
        <v>Arms</v>
      </c>
      <c r="E109" s="5">
        <f>IFERROR(__xludf.DUMMYFUNCTION("""COMPUTED_VALUE"""),1.0)</f>
        <v>1</v>
      </c>
      <c r="F109" s="5" t="str">
        <f>IFERROR(__xludf.DUMMYFUNCTION("""COMPUTED_VALUE""")," Fire Immune, X2 Additional fire damage. +-Cannot be duplicated")</f>
        <v> Fire Immune, X2 Additional fire damage. +-Cannot be duplicated</v>
      </c>
      <c r="G109" s="5">
        <f>IFERROR(__xludf.DUMMYFUNCTION("""COMPUTED_VALUE"""),0.0)</f>
        <v>0</v>
      </c>
      <c r="H109" s="2"/>
      <c r="I109" s="2"/>
      <c r="J109" s="5"/>
      <c r="K109" s="5"/>
      <c r="L109" s="1"/>
      <c r="M109" s="1"/>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3"/>
      <c r="BB109" s="3"/>
      <c r="BD109" s="3"/>
      <c r="BE109" s="3"/>
      <c r="BF109" s="3"/>
      <c r="BG109" s="3"/>
      <c r="BH109" s="3"/>
      <c r="BI109" s="3"/>
      <c r="BJ109" s="3"/>
      <c r="BK109" s="3"/>
      <c r="BL109" s="3"/>
    </row>
    <row r="110" ht="15.75" customHeight="1">
      <c r="A110" s="2" t="str">
        <f>IFERROR(__xludf.DUMMYFUNCTION("""COMPUTED_VALUE"""),"Flame Mask")</f>
        <v>Flame Mask</v>
      </c>
      <c r="B110" s="2"/>
      <c r="C110" s="2"/>
      <c r="D110" s="5" t="str">
        <f>IFERROR(__xludf.DUMMYFUNCTION("""COMPUTED_VALUE"""),"Head")</f>
        <v>Head</v>
      </c>
      <c r="E110" s="5">
        <f>IFERROR(__xludf.DUMMYFUNCTION("""COMPUTED_VALUE"""),130.0)</f>
        <v>130</v>
      </c>
      <c r="F110" s="5" t="str">
        <f>IFERROR(__xludf.DUMMYFUNCTION("""COMPUTED_VALUE"""),"DEF: +5000, Fire DEF: +1500 ++Fire Immunity, ++X2 Additional fire resistance. +-Cannot be duplicated.")</f>
        <v>DEF: +5000, Fire DEF: +1500 ++Fire Immunity, ++X2 Additional fire resistance. +-Cannot be duplicated.</v>
      </c>
      <c r="G110" s="5">
        <f>IFERROR(__xludf.DUMMYFUNCTION("""COMPUTED_VALUE"""),780000.0)</f>
        <v>780000</v>
      </c>
      <c r="H110" s="2"/>
      <c r="I110" s="2"/>
      <c r="J110" s="5"/>
      <c r="K110" s="5"/>
      <c r="L110" s="1"/>
      <c r="M110" s="1"/>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3"/>
      <c r="BB110" s="3"/>
      <c r="BD110" s="3"/>
      <c r="BE110" s="3"/>
      <c r="BF110" s="3"/>
      <c r="BG110" s="3"/>
      <c r="BH110" s="3"/>
      <c r="BI110" s="3"/>
      <c r="BJ110" s="3"/>
      <c r="BK110" s="3"/>
      <c r="BL110" s="3"/>
    </row>
    <row r="111" ht="15.75" customHeight="1">
      <c r="A111" s="2" t="str">
        <f>IFERROR(__xludf.DUMMYFUNCTION("""COMPUTED_VALUE"""),"Flamethrower")</f>
        <v>Flamethrower</v>
      </c>
      <c r="B111" s="2"/>
      <c r="C111" s="2" t="str">
        <f>IFERROR(__xludf.DUMMYFUNCTION("""COMPUTED_VALUE"""),"Firearm")</f>
        <v>Firearm</v>
      </c>
      <c r="D111" s="5" t="str">
        <f>IFERROR(__xludf.DUMMYFUNCTION("""COMPUTED_VALUE"""),"Hand")</f>
        <v>Hand</v>
      </c>
      <c r="E111" s="5">
        <f>IFERROR(__xludf.DUMMYFUNCTION("""COMPUTED_VALUE"""),700.0)</f>
        <v>700</v>
      </c>
      <c r="F111" s="5" t="str">
        <f>IFERROR(__xludf.DUMMYFUNCTION("""COMPUTED_VALUE"""),", Fire DMG: +35000 ++20% chance of hitting all enemies")</f>
        <v>, Fire DMG: +35000 ++20% chance of hitting all enemies</v>
      </c>
      <c r="G111" s="5">
        <f>IFERROR(__xludf.DUMMYFUNCTION("""COMPUTED_VALUE"""),2.415E7)</f>
        <v>24150000</v>
      </c>
      <c r="H111" s="2"/>
      <c r="I111" s="2"/>
      <c r="J111" s="5"/>
      <c r="K111" s="5"/>
      <c r="L111" s="1"/>
      <c r="M111" s="1"/>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3"/>
      <c r="BB111" s="3"/>
      <c r="BD111" s="3"/>
      <c r="BE111" s="3"/>
      <c r="BF111" s="3"/>
      <c r="BG111" s="3"/>
      <c r="BH111" s="3"/>
      <c r="BI111" s="3"/>
      <c r="BJ111" s="3"/>
      <c r="BK111" s="3"/>
      <c r="BL111" s="3"/>
    </row>
    <row r="112" ht="15.75" customHeight="1">
      <c r="A112" s="2" t="str">
        <f>IFERROR(__xludf.DUMMYFUNCTION("""COMPUTED_VALUE"""),"Flaming Sword")</f>
        <v>Flaming Sword</v>
      </c>
      <c r="B112" s="2"/>
      <c r="C112" s="2" t="str">
        <f>IFERROR(__xludf.DUMMYFUNCTION("""COMPUTED_VALUE"""),"Sword")</f>
        <v>Sword</v>
      </c>
      <c r="D112" s="5" t="str">
        <f>IFERROR(__xludf.DUMMYFUNCTION("""COMPUTED_VALUE"""),"Hand")</f>
        <v>Hand</v>
      </c>
      <c r="E112" s="5">
        <f>IFERROR(__xludf.DUMMYFUNCTION("""COMPUTED_VALUE"""),300.0)</f>
        <v>300</v>
      </c>
      <c r="F112" s="5" t="str">
        <f>IFERROR(__xludf.DUMMYFUNCTION("""COMPUTED_VALUE"""),"DMG: +5000, Fire DMG: +5000, Nature DMG: +5000 ++Burn 1000")</f>
        <v>DMG: +5000, Fire DMG: +5000, Nature DMG: +5000 ++Burn 1000</v>
      </c>
      <c r="G112" s="5">
        <f>IFERROR(__xludf.DUMMYFUNCTION("""COMPUTED_VALUE"""),4350000.0)</f>
        <v>4350000</v>
      </c>
      <c r="H112" s="2"/>
      <c r="I112" s="1"/>
      <c r="J112" s="5"/>
      <c r="K112" s="5"/>
      <c r="L112" s="1"/>
      <c r="M112" s="1"/>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3"/>
      <c r="BB112" s="3"/>
      <c r="BD112" s="3"/>
      <c r="BE112" s="3"/>
      <c r="BF112" s="3"/>
      <c r="BG112" s="3"/>
      <c r="BH112" s="3"/>
      <c r="BI112" s="3"/>
      <c r="BJ112" s="3"/>
      <c r="BK112" s="3"/>
      <c r="BL112" s="3"/>
    </row>
    <row r="113" ht="15.75" customHeight="1">
      <c r="A113" s="2" t="str">
        <f>IFERROR(__xludf.DUMMYFUNCTION("""COMPUTED_VALUE"""),"Foul Night Blade")</f>
        <v>Foul Night Blade</v>
      </c>
      <c r="B113" s="2"/>
      <c r="C113" s="2" t="str">
        <f>IFERROR(__xludf.DUMMYFUNCTION("""COMPUTED_VALUE"""),"Sword")</f>
        <v>Sword</v>
      </c>
      <c r="D113" s="5" t="str">
        <f>IFERROR(__xludf.DUMMYFUNCTION("""COMPUTED_VALUE"""),"Hand")</f>
        <v>Hand</v>
      </c>
      <c r="E113" s="5">
        <f>IFERROR(__xludf.DUMMYFUNCTION("""COMPUTED_VALUE"""),200.0)</f>
        <v>200</v>
      </c>
      <c r="F113" s="5"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5">
        <f>IFERROR(__xludf.DUMMYFUNCTION("""COMPUTED_VALUE"""),1900000.0)</f>
        <v>1900000</v>
      </c>
      <c r="H113" s="2"/>
      <c r="I113" s="1"/>
      <c r="J113" s="5"/>
      <c r="K113" s="5"/>
      <c r="L113" s="1"/>
      <c r="M113" s="1"/>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3"/>
      <c r="BB113" s="3"/>
      <c r="BD113" s="3"/>
      <c r="BE113" s="3"/>
      <c r="BF113" s="3"/>
      <c r="BG113" s="3"/>
      <c r="BH113" s="3"/>
      <c r="BI113" s="3"/>
      <c r="BJ113" s="3"/>
      <c r="BK113" s="3"/>
      <c r="BL113" s="3"/>
    </row>
    <row r="114" ht="15.75" customHeight="1">
      <c r="A114" s="3" t="str">
        <f>IFERROR(__xludf.DUMMYFUNCTION("""COMPUTED_VALUE"""),"Freezing Chains")</f>
        <v>Freezing Chains</v>
      </c>
      <c r="B114" s="3"/>
      <c r="C114" s="3" t="str">
        <f>IFERROR(__xludf.DUMMYFUNCTION("""COMPUTED_VALUE"""),"Club")</f>
        <v>Club</v>
      </c>
      <c r="D114" s="3" t="str">
        <f>IFERROR(__xludf.DUMMYFUNCTION("""COMPUTED_VALUE"""),"Hand")</f>
        <v>Hand</v>
      </c>
      <c r="E114" s="3">
        <f>IFERROR(__xludf.DUMMYFUNCTION("""COMPUTED_VALUE"""),200.0)</f>
        <v>200</v>
      </c>
      <c r="F114" s="3" t="str">
        <f>IFERROR(__xludf.DUMMYFUNCTION("""COMPUTED_VALUE"""),"DMG: +5000, Water DMG: +5000 ++Frost Bind- binds the target freezing them until the end of their next turn")</f>
        <v>DMG: +5000, Water DMG: +5000 ++Frost Bind- binds the target freezing them until the end of their next turn</v>
      </c>
      <c r="G114" s="3">
        <f>IFERROR(__xludf.DUMMYFUNCTION("""COMPUTED_VALUE"""),1900000.0)</f>
        <v>1900000</v>
      </c>
      <c r="H114" s="3"/>
      <c r="I114" s="3"/>
      <c r="J114" s="3"/>
      <c r="K114" s="3"/>
      <c r="L114" s="3"/>
      <c r="M114" s="3"/>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3"/>
      <c r="BB114" s="3"/>
      <c r="BC114" s="2"/>
      <c r="BD114" s="3"/>
      <c r="BE114" s="3"/>
      <c r="BF114" s="3"/>
      <c r="BG114" s="3"/>
      <c r="BH114" s="3"/>
      <c r="BI114" s="3"/>
      <c r="BJ114" s="3"/>
      <c r="BK114" s="3"/>
      <c r="BL114" s="3"/>
    </row>
    <row r="115" ht="15.75" customHeight="1">
      <c r="A115" s="13" t="str">
        <f>IFERROR(__xludf.DUMMYFUNCTION("""COMPUTED_VALUE"""),"Frost Bow")</f>
        <v>Frost Bow</v>
      </c>
      <c r="B115" s="3"/>
      <c r="C115" s="13" t="str">
        <f>IFERROR(__xludf.DUMMYFUNCTION("""COMPUTED_VALUE"""),"Bow")</f>
        <v>Bow</v>
      </c>
      <c r="D115" s="3" t="str">
        <f>IFERROR(__xludf.DUMMYFUNCTION("""COMPUTED_VALUE"""),"Hand")</f>
        <v>Hand</v>
      </c>
      <c r="E115" s="3">
        <f>IFERROR(__xludf.DUMMYFUNCTION("""COMPUTED_VALUE"""),180.0)</f>
        <v>180</v>
      </c>
      <c r="F115" s="3" t="str">
        <f>IFERROR(__xludf.DUMMYFUNCTION("""COMPUTED_VALUE"""),"DMG: +5000, Water DMG: +4000 ++Arrows Used with this bow have a 50% chance to freeze the target(s)")</f>
        <v>DMG: +5000, Water DMG: +4000 ++Arrows Used with this bow have a 50% chance to freeze the target(s)</v>
      </c>
      <c r="G115" s="3">
        <f>IFERROR(__xludf.DUMMYFUNCTION("""COMPUTED_VALUE"""),1530000.0)</f>
        <v>1530000</v>
      </c>
      <c r="H115" s="3"/>
      <c r="I115" s="3"/>
      <c r="J115" s="3"/>
      <c r="K115" s="3"/>
      <c r="L115" s="3"/>
      <c r="M115" s="3"/>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3"/>
      <c r="BB115" s="3"/>
      <c r="BD115" s="3"/>
      <c r="BE115" s="3"/>
      <c r="BF115" s="3"/>
      <c r="BG115" s="3"/>
      <c r="BH115" s="3"/>
      <c r="BI115" s="3"/>
      <c r="BJ115" s="3"/>
      <c r="BK115" s="3"/>
      <c r="BL115" s="3"/>
    </row>
    <row r="116" ht="15.75" customHeight="1">
      <c r="A116" s="3" t="str">
        <f>IFERROR(__xludf.DUMMYFUNCTION("""COMPUTED_VALUE"""),"Frost Cloak")</f>
        <v>Frost Cloak</v>
      </c>
      <c r="B116" s="3"/>
      <c r="C116" s="3"/>
      <c r="D116" s="3" t="str">
        <f>IFERROR(__xludf.DUMMYFUNCTION("""COMPUTED_VALUE"""),"Torso")</f>
        <v>Torso</v>
      </c>
      <c r="E116" s="3">
        <f>IFERROR(__xludf.DUMMYFUNCTION("""COMPUTED_VALUE"""),1.0)</f>
        <v>1</v>
      </c>
      <c r="F116" s="3" t="str">
        <f>IFERROR(__xludf.DUMMYFUNCTION("""COMPUTED_VALUE""")," (Frost Mage Set) ++When caster is hit by an enemy,the enemy is frozen for 5r/s caster,s cloak last for 3 r/s 90 sp")</f>
        <v> (Frost Mage Set) ++When caster is hit by an enemy,the enemy is frozen for 5r/s caster,s cloak last for 3 r/s 90 sp</v>
      </c>
      <c r="G116" s="3">
        <f>IFERROR(__xludf.DUMMYFUNCTION("""COMPUTED_VALUE"""),0.0)</f>
        <v>0</v>
      </c>
      <c r="H116" s="3"/>
      <c r="I116" s="3"/>
      <c r="J116" s="3"/>
      <c r="K116" s="3"/>
      <c r="L116" s="3"/>
      <c r="M116" s="3"/>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3"/>
      <c r="BB116" s="3"/>
      <c r="BD116" s="3"/>
      <c r="BE116" s="3"/>
      <c r="BF116" s="3"/>
      <c r="BG116" s="3"/>
      <c r="BH116" s="3"/>
      <c r="BI116" s="3"/>
      <c r="BJ116" s="3"/>
      <c r="BK116" s="3"/>
      <c r="BL116" s="3"/>
    </row>
    <row r="117" ht="15.75" customHeight="1">
      <c r="A117" s="3" t="str">
        <f>IFERROR(__xludf.DUMMYFUNCTION("""COMPUTED_VALUE"""),"Frost Spear")</f>
        <v>Frost Spear</v>
      </c>
      <c r="B117" s="3" t="str">
        <f>IFERROR(__xludf.DUMMYFUNCTION("""COMPUTED_VALUE"""),"Event Exclusive")</f>
        <v>Event Exclusive</v>
      </c>
      <c r="C117" s="3" t="str">
        <f>IFERROR(__xludf.DUMMYFUNCTION("""COMPUTED_VALUE"""),"Spear")</f>
        <v>Spear</v>
      </c>
      <c r="D117" s="3" t="str">
        <f>IFERROR(__xludf.DUMMYFUNCTION("""COMPUTED_VALUE"""),"Hand")</f>
        <v>Hand</v>
      </c>
      <c r="E117" s="3">
        <f>IFERROR(__xludf.DUMMYFUNCTION("""COMPUTED_VALUE"""),1000.0)</f>
        <v>1000</v>
      </c>
      <c r="F117" s="3" t="str">
        <f>IFERROR(__xludf.DUMMYFUNCTION("""COMPUTED_VALUE"""),"DMG: +25000, Storm DMG: +25000 (The Frozen Spear Master Set) ++50% chance to freeze any enemies hit with this weapon")</f>
        <v>DMG: +25000, Storm DMG: +25000 (The Frozen Spear Master Set) ++50% chance to freeze any enemies hit with this weapon</v>
      </c>
      <c r="G117" s="3">
        <f>IFERROR(__xludf.DUMMYFUNCTION("""COMPUTED_VALUE"""),4.95E7)</f>
        <v>49500000</v>
      </c>
      <c r="H117" s="3"/>
      <c r="I117" s="3"/>
      <c r="J117" s="3"/>
      <c r="K117" s="3"/>
      <c r="L117" s="3"/>
      <c r="M117" s="3"/>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3"/>
      <c r="BB117" s="3"/>
      <c r="BD117" s="3"/>
      <c r="BE117" s="3"/>
      <c r="BF117" s="3"/>
      <c r="BG117" s="3"/>
      <c r="BH117" s="3"/>
      <c r="BI117" s="3"/>
      <c r="BJ117" s="3"/>
      <c r="BK117" s="3"/>
      <c r="BL117" s="3"/>
    </row>
    <row r="118" ht="15.75" customHeight="1">
      <c r="A118" s="3" t="str">
        <f>IFERROR(__xludf.DUMMYFUNCTION("""COMPUTED_VALUE"""),"Frozen Carrot Dagger")</f>
        <v>Frozen Carrot Dagger</v>
      </c>
      <c r="B118" s="3" t="str">
        <f>IFERROR(__xludf.DUMMYFUNCTION("""COMPUTED_VALUE"""),"Event Exclusive")</f>
        <v>Event Exclusive</v>
      </c>
      <c r="C118" s="3" t="str">
        <f>IFERROR(__xludf.DUMMYFUNCTION("""COMPUTED_VALUE"""),"Knife")</f>
        <v>Knife</v>
      </c>
      <c r="D118" s="3" t="str">
        <f>IFERROR(__xludf.DUMMYFUNCTION("""COMPUTED_VALUE"""),"Hand")</f>
        <v>Hand</v>
      </c>
      <c r="E118" s="3">
        <f>IFERROR(__xludf.DUMMYFUNCTION("""COMPUTED_VALUE"""),200.0)</f>
        <v>200</v>
      </c>
      <c r="F118" s="3" t="str">
        <f>IFERROR(__xludf.DUMMYFUNCTION("""COMPUTED_VALUE"""),"DMG: +5000, Water DMG: +5000")</f>
        <v>DMG: +5000, Water DMG: +5000</v>
      </c>
      <c r="G118" s="3">
        <f>IFERROR(__xludf.DUMMYFUNCTION("""COMPUTED_VALUE"""),1900000.0)</f>
        <v>1900000</v>
      </c>
      <c r="H118" s="3"/>
      <c r="I118" s="3"/>
      <c r="J118" s="3"/>
      <c r="K118" s="3"/>
      <c r="L118" s="3"/>
      <c r="M118" s="3"/>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3"/>
      <c r="BB118" s="3"/>
      <c r="BD118" s="3"/>
      <c r="BE118" s="3"/>
      <c r="BF118" s="3"/>
      <c r="BG118" s="3"/>
      <c r="BH118" s="3"/>
      <c r="BI118" s="3"/>
      <c r="BJ118" s="3"/>
      <c r="BK118" s="3"/>
      <c r="BL118" s="3"/>
    </row>
    <row r="119" ht="15.75" customHeight="1">
      <c r="A119" s="3" t="str">
        <f>IFERROR(__xludf.DUMMYFUNCTION("""COMPUTED_VALUE"""),"Frozen Falchion")</f>
        <v>Frozen Falchion</v>
      </c>
      <c r="B119" s="3"/>
      <c r="C119" s="3" t="str">
        <f>IFERROR(__xludf.DUMMYFUNCTION("""COMPUTED_VALUE"""),"Sword")</f>
        <v>Sword</v>
      </c>
      <c r="D119" s="3" t="str">
        <f>IFERROR(__xludf.DUMMYFUNCTION("""COMPUTED_VALUE"""),"Hand")</f>
        <v>Hand</v>
      </c>
      <c r="E119" s="3">
        <f>IFERROR(__xludf.DUMMYFUNCTION("""COMPUTED_VALUE"""),400.0)</f>
        <v>400</v>
      </c>
      <c r="F119" s="3"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3">
        <f>IFERROR(__xludf.DUMMYFUNCTION("""COMPUTED_VALUE"""),7800000.0)</f>
        <v>7800000</v>
      </c>
      <c r="H119" s="3"/>
      <c r="I119" s="3"/>
      <c r="J119" s="3"/>
      <c r="K119" s="3"/>
      <c r="L119" s="3"/>
      <c r="M119" s="3"/>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3"/>
      <c r="BB119" s="3"/>
      <c r="BD119" s="3"/>
      <c r="BE119" s="3"/>
      <c r="BF119" s="3"/>
      <c r="BG119" s="3"/>
      <c r="BH119" s="3"/>
      <c r="BI119" s="3"/>
      <c r="BJ119" s="3"/>
      <c r="BK119" s="3"/>
      <c r="BL119" s="3"/>
    </row>
    <row r="120" ht="15.75" customHeight="1">
      <c r="A120" s="3" t="str">
        <f>IFERROR(__xludf.DUMMYFUNCTION("""COMPUTED_VALUE"""),"Frozen Soul Lantern")</f>
        <v>Frozen Soul Lantern</v>
      </c>
      <c r="B120" s="3"/>
      <c r="C120" s="3" t="str">
        <f>IFERROR(__xludf.DUMMYFUNCTION("""COMPUTED_VALUE"""),"Wand")</f>
        <v>Wand</v>
      </c>
      <c r="D120" s="3" t="str">
        <f>IFERROR(__xludf.DUMMYFUNCTION("""COMPUTED_VALUE"""),"Hand")</f>
        <v>Hand</v>
      </c>
      <c r="E120" s="3">
        <f>IFERROR(__xludf.DUMMYFUNCTION("""COMPUTED_VALUE"""),1.0)</f>
        <v>1</v>
      </c>
      <c r="F120" s="3"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3">
        <f>IFERROR(__xludf.DUMMYFUNCTION("""COMPUTED_VALUE"""),0.0)</f>
        <v>0</v>
      </c>
      <c r="H120" s="3"/>
      <c r="I120" s="3"/>
      <c r="J120" s="3"/>
      <c r="K120" s="3"/>
      <c r="L120" s="3"/>
      <c r="M120" s="3"/>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3"/>
      <c r="BB120" s="3"/>
      <c r="BD120" s="3"/>
      <c r="BE120" s="3"/>
      <c r="BF120" s="3"/>
      <c r="BG120" s="3"/>
      <c r="BH120" s="3"/>
      <c r="BI120" s="3"/>
      <c r="BJ120" s="3"/>
      <c r="BK120" s="3"/>
      <c r="BL120" s="3"/>
    </row>
    <row r="121" ht="15.75" customHeight="1">
      <c r="A121" s="3" t="str">
        <f>IFERROR(__xludf.DUMMYFUNCTION("""COMPUTED_VALUE"""),"Gargoyle War Horn")</f>
        <v>Gargoyle War Horn</v>
      </c>
      <c r="B121" s="3"/>
      <c r="C121" s="3" t="str">
        <f>IFERROR(__xludf.DUMMYFUNCTION("""COMPUTED_VALUE"""),"Wand")</f>
        <v>Wand</v>
      </c>
      <c r="D121" s="3" t="str">
        <f>IFERROR(__xludf.DUMMYFUNCTION("""COMPUTED_VALUE"""),"Hand")</f>
        <v>Hand</v>
      </c>
      <c r="E121" s="3">
        <f>IFERROR(__xludf.DUMMYFUNCTION("""COMPUTED_VALUE"""),1.0)</f>
        <v>1</v>
      </c>
      <c r="F121" s="3" t="str">
        <f>IFERROR(__xludf.DUMMYFUNCTION("""COMPUTED_VALUE""")," ++Summons a d2 of Gargoyles to help you in battle. +-Can only be used once per battle.")</f>
        <v> ++Summons a d2 of Gargoyles to help you in battle. +-Can only be used once per battle.</v>
      </c>
      <c r="G121" s="3">
        <f>IFERROR(__xludf.DUMMYFUNCTION("""COMPUTED_VALUE"""),0.0)</f>
        <v>0</v>
      </c>
      <c r="H121" s="3"/>
      <c r="I121" s="3"/>
      <c r="J121" s="3"/>
      <c r="K121" s="3"/>
      <c r="L121" s="3"/>
      <c r="M121" s="3"/>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3"/>
      <c r="BB121" s="3"/>
      <c r="BD121" s="3"/>
      <c r="BE121" s="3"/>
      <c r="BF121" s="3"/>
      <c r="BG121" s="3"/>
      <c r="BH121" s="3"/>
      <c r="BI121" s="3"/>
      <c r="BJ121" s="3"/>
      <c r="BK121" s="3"/>
      <c r="BL121" s="3"/>
    </row>
    <row r="122" ht="15.75" customHeight="1">
      <c r="A122" s="3" t="str">
        <f>IFERROR(__xludf.DUMMYFUNCTION("""COMPUTED_VALUE"""),"Gargoyle’s Heavy Enchanted Bow")</f>
        <v>Gargoyle’s Heavy Enchanted Bow</v>
      </c>
      <c r="B122" s="3"/>
      <c r="C122" s="3" t="str">
        <f>IFERROR(__xludf.DUMMYFUNCTION("""COMPUTED_VALUE"""),"Bow")</f>
        <v>Bow</v>
      </c>
      <c r="D122" s="3" t="str">
        <f>IFERROR(__xludf.DUMMYFUNCTION("""COMPUTED_VALUE"""),"Hand")</f>
        <v>Hand</v>
      </c>
      <c r="E122" s="3">
        <f>IFERROR(__xludf.DUMMYFUNCTION("""COMPUTED_VALUE"""),3000.0)</f>
        <v>3000</v>
      </c>
      <c r="F122" s="3" t="str">
        <f>IFERROR(__xludf.DUMMYFUNCTION("""COMPUTED_VALUE"""),"DMG: +100000, Earth DMG: +50000 ++Damage dealt with this bow gives you hp back equal to the damage you dealt. ")</f>
        <v>DMG: +100000, Earth DMG: +50000 ++Damage dealt with this bow gives you hp back equal to the damage you dealt. </v>
      </c>
      <c r="G122" s="3">
        <f>IFERROR(__xludf.DUMMYFUNCTION("""COMPUTED_VALUE"""),4.485E8)</f>
        <v>448500000</v>
      </c>
      <c r="H122" s="3"/>
      <c r="I122" s="3"/>
      <c r="J122" s="3"/>
      <c r="K122" s="3"/>
      <c r="L122" s="3"/>
      <c r="M122" s="3"/>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3"/>
      <c r="BB122" s="3"/>
      <c r="BD122" s="3"/>
      <c r="BE122" s="3"/>
      <c r="BF122" s="3"/>
      <c r="BG122" s="3"/>
      <c r="BH122" s="3"/>
      <c r="BI122" s="3"/>
      <c r="BJ122" s="3"/>
      <c r="BK122" s="3"/>
      <c r="BL122" s="3"/>
    </row>
    <row r="123" ht="15.75" customHeight="1">
      <c r="A123" s="3" t="str">
        <f>IFERROR(__xludf.DUMMYFUNCTION("""COMPUTED_VALUE"""),"Gargoyle’s Necklace of Luck ")</f>
        <v>Gargoyle’s Necklace of Luck </v>
      </c>
      <c r="B123" s="3"/>
      <c r="C123" s="3"/>
      <c r="D123" s="3" t="str">
        <f>IFERROR(__xludf.DUMMYFUNCTION("""COMPUTED_VALUE"""),"Neck")</f>
        <v>Neck</v>
      </c>
      <c r="E123" s="3">
        <f>IFERROR(__xludf.DUMMYFUNCTION("""COMPUTED_VALUE"""),1.0)</f>
        <v>1</v>
      </c>
      <c r="F123" s="3"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3">
        <f>IFERROR(__xludf.DUMMYFUNCTION("""COMPUTED_VALUE"""),0.0)</f>
        <v>0</v>
      </c>
      <c r="H123" s="3"/>
      <c r="I123" s="3"/>
      <c r="J123" s="3"/>
      <c r="K123" s="3"/>
      <c r="L123" s="3"/>
      <c r="M123" s="3"/>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3"/>
      <c r="BB123" s="3"/>
      <c r="BD123" s="3"/>
      <c r="BE123" s="3"/>
      <c r="BF123" s="3"/>
      <c r="BG123" s="3"/>
      <c r="BH123" s="3"/>
      <c r="BI123" s="3"/>
      <c r="BJ123" s="3"/>
      <c r="BK123" s="3"/>
      <c r="BL123" s="3"/>
    </row>
    <row r="124" ht="15.75" customHeight="1">
      <c r="A124" s="3" t="str">
        <f>IFERROR(__xludf.DUMMYFUNCTION("""COMPUTED_VALUE"""),"Gargoyle’s Ring")</f>
        <v>Gargoyle’s Ring</v>
      </c>
      <c r="B124" s="3"/>
      <c r="C124" s="3"/>
      <c r="D124" s="3" t="str">
        <f>IFERROR(__xludf.DUMMYFUNCTION("""COMPUTED_VALUE"""),"Ring")</f>
        <v>Ring</v>
      </c>
      <c r="E124" s="3">
        <f>IFERROR(__xludf.DUMMYFUNCTION("""COMPUTED_VALUE"""),1.0)</f>
        <v>1</v>
      </c>
      <c r="F124" s="3"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3">
        <f>IFERROR(__xludf.DUMMYFUNCTION("""COMPUTED_VALUE"""),0.0)</f>
        <v>0</v>
      </c>
      <c r="H124" s="3"/>
      <c r="I124" s="3"/>
      <c r="J124" s="3"/>
      <c r="K124" s="3"/>
      <c r="L124" s="3"/>
      <c r="M124" s="3"/>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3"/>
      <c r="BB124" s="3"/>
      <c r="BD124" s="3"/>
      <c r="BE124" s="3"/>
      <c r="BF124" s="3"/>
      <c r="BG124" s="3"/>
      <c r="BH124" s="3"/>
      <c r="BI124" s="3"/>
      <c r="BJ124" s="3"/>
      <c r="BK124" s="3"/>
      <c r="BL124" s="3"/>
    </row>
    <row r="125" ht="15.75" customHeight="1">
      <c r="A125" s="3" t="str">
        <f>IFERROR(__xludf.DUMMYFUNCTION("""COMPUTED_VALUE"""),"Giant Spider Leg")</f>
        <v>Giant Spider Leg</v>
      </c>
      <c r="B125" s="3"/>
      <c r="C125" s="3" t="str">
        <f>IFERROR(__xludf.DUMMYFUNCTION("""COMPUTED_VALUE"""),"Knife")</f>
        <v>Knife</v>
      </c>
      <c r="D125" s="3" t="str">
        <f>IFERROR(__xludf.DUMMYFUNCTION("""COMPUTED_VALUE"""),"Hand")</f>
        <v>Hand</v>
      </c>
      <c r="E125" s="3">
        <f>IFERROR(__xludf.DUMMYFUNCTION("""COMPUTED_VALUE"""),200.0)</f>
        <v>200</v>
      </c>
      <c r="F125" s="3" t="str">
        <f>IFERROR(__xludf.DUMMYFUNCTION("""COMPUTED_VALUE"""),"ATK: +10000 ++When hitting an enemy inflict them with poison 500")</f>
        <v>ATK: +10000 ++When hitting an enemy inflict them with poison 500</v>
      </c>
      <c r="G125" s="3">
        <f>IFERROR(__xludf.DUMMYFUNCTION("""COMPUTED_VALUE"""),1900000.0)</f>
        <v>1900000</v>
      </c>
      <c r="H125" s="3"/>
      <c r="I125" s="3"/>
      <c r="J125" s="3"/>
      <c r="K125" s="3"/>
      <c r="L125" s="3"/>
      <c r="M125" s="3"/>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3"/>
      <c r="BB125" s="3"/>
      <c r="BD125" s="3"/>
      <c r="BE125" s="3"/>
      <c r="BF125" s="3"/>
      <c r="BG125" s="3"/>
      <c r="BH125" s="3"/>
      <c r="BI125" s="3"/>
      <c r="BJ125" s="3"/>
      <c r="BK125" s="3"/>
      <c r="BL125" s="3"/>
    </row>
    <row r="126" ht="15.75" customHeight="1">
      <c r="A126" s="3" t="str">
        <f>IFERROR(__xludf.DUMMYFUNCTION("""COMPUTED_VALUE"""),"Glass Shield")</f>
        <v>Glass Shield</v>
      </c>
      <c r="B126" s="3"/>
      <c r="C126" s="3" t="str">
        <f>IFERROR(__xludf.DUMMYFUNCTION("""COMPUTED_VALUE"""),"Towershield")</f>
        <v>Towershield</v>
      </c>
      <c r="D126" s="3" t="str">
        <f>IFERROR(__xludf.DUMMYFUNCTION("""COMPUTED_VALUE"""),"Hand")</f>
        <v>Hand</v>
      </c>
      <c r="E126" s="3">
        <f>IFERROR(__xludf.DUMMYFUNCTION("""COMPUTED_VALUE"""),1000.0)</f>
        <v>1000</v>
      </c>
      <c r="F126" s="3" t="str">
        <f>IFERROR(__xludf.DUMMYFUNCTION("""COMPUTED_VALUE"""),"DEF: +50000 +-has a 50% chance of breaking upon taking damage")</f>
        <v>DEF: +50000 +-has a 50% chance of breaking upon taking damage</v>
      </c>
      <c r="G126" s="3">
        <f>IFERROR(__xludf.DUMMYFUNCTION("""COMPUTED_VALUE"""),4.95E7)</f>
        <v>49500000</v>
      </c>
      <c r="H126" s="3"/>
      <c r="I126" s="3"/>
      <c r="J126" s="3"/>
      <c r="K126" s="3"/>
      <c r="L126" s="3"/>
      <c r="M126" s="3"/>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3"/>
      <c r="BB126" s="3"/>
      <c r="BD126" s="3"/>
      <c r="BE126" s="3"/>
      <c r="BF126" s="3"/>
      <c r="BG126" s="3"/>
      <c r="BH126" s="3"/>
      <c r="BI126" s="3"/>
      <c r="BJ126" s="3"/>
      <c r="BK126" s="3"/>
      <c r="BL126" s="3"/>
    </row>
    <row r="127" ht="15.75" customHeight="1">
      <c r="A127" s="3" t="str">
        <f>IFERROR(__xludf.DUMMYFUNCTION("""COMPUTED_VALUE"""),"Goose Staff")</f>
        <v>Goose Staff</v>
      </c>
      <c r="B127" s="3"/>
      <c r="C127" s="3" t="str">
        <f>IFERROR(__xludf.DUMMYFUNCTION("""COMPUTED_VALUE"""),"Staff")</f>
        <v>Staff</v>
      </c>
      <c r="D127" s="3" t="str">
        <f>IFERROR(__xludf.DUMMYFUNCTION("""COMPUTED_VALUE"""),"Hand")</f>
        <v>Hand</v>
      </c>
      <c r="E127" s="3">
        <f>IFERROR(__xludf.DUMMYFUNCTION("""COMPUTED_VALUE"""),1.0)</f>
        <v>1</v>
      </c>
      <c r="F127" s="3" t="str">
        <f>IFERROR(__xludf.DUMMYFUNCTION("""COMPUTED_VALUE""")," ++Summons Lord Goose to aid you in battle, 1000 SP.")</f>
        <v> ++Summons Lord Goose to aid you in battle, 1000 SP.</v>
      </c>
      <c r="G127" s="3">
        <f>IFERROR(__xludf.DUMMYFUNCTION("""COMPUTED_VALUE"""),0.0)</f>
        <v>0</v>
      </c>
      <c r="H127" s="3"/>
      <c r="I127" s="3"/>
      <c r="J127" s="3"/>
      <c r="K127" s="3"/>
      <c r="L127" s="3"/>
      <c r="M127" s="3"/>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3"/>
      <c r="BB127" s="3"/>
      <c r="BD127" s="3"/>
      <c r="BE127" s="3"/>
      <c r="BF127" s="3"/>
      <c r="BG127" s="3"/>
      <c r="BH127" s="3"/>
      <c r="BI127" s="3"/>
      <c r="BJ127" s="3"/>
      <c r="BK127" s="3"/>
      <c r="BL127" s="3"/>
    </row>
    <row r="128" ht="15.75" customHeight="1">
      <c r="A128" s="3" t="str">
        <f>IFERROR(__xludf.DUMMYFUNCTION("""COMPUTED_VALUE"""),"Grand Hellfire Sword")</f>
        <v>Grand Hellfire Sword</v>
      </c>
      <c r="B128" s="3"/>
      <c r="C128" s="3" t="str">
        <f>IFERROR(__xludf.DUMMYFUNCTION("""COMPUTED_VALUE"""),"Sword")</f>
        <v>Sword</v>
      </c>
      <c r="D128" s="3" t="str">
        <f>IFERROR(__xludf.DUMMYFUNCTION("""COMPUTED_VALUE"""),"Hand")</f>
        <v>Hand</v>
      </c>
      <c r="E128" s="3">
        <f>IFERROR(__xludf.DUMMYFUNCTION("""COMPUTED_VALUE"""),200.0)</f>
        <v>200</v>
      </c>
      <c r="F128" s="3"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3">
        <f>IFERROR(__xludf.DUMMYFUNCTION("""COMPUTED_VALUE"""),1.797E9)</f>
        <v>1797000000</v>
      </c>
      <c r="H128" s="3"/>
      <c r="I128" s="3"/>
      <c r="J128" s="3"/>
      <c r="K128" s="3"/>
      <c r="L128" s="3"/>
      <c r="M128" s="3"/>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3"/>
      <c r="BB128" s="3"/>
      <c r="BD128" s="3"/>
      <c r="BE128" s="3"/>
      <c r="BF128" s="3"/>
      <c r="BG128" s="3"/>
      <c r="BH128" s="3"/>
      <c r="BI128" s="3"/>
      <c r="BJ128" s="3"/>
      <c r="BK128" s="3"/>
      <c r="BL128" s="3"/>
    </row>
    <row r="129" ht="15.75" customHeight="1">
      <c r="A129" s="3" t="str">
        <f>IFERROR(__xludf.DUMMYFUNCTION("""COMPUTED_VALUE"""),"Grand Master Bow")</f>
        <v>Grand Master Bow</v>
      </c>
      <c r="B129" s="3"/>
      <c r="C129" s="3" t="str">
        <f>IFERROR(__xludf.DUMMYFUNCTION("""COMPUTED_VALUE"""),"Bow")</f>
        <v>Bow</v>
      </c>
      <c r="D129" s="3" t="str">
        <f>IFERROR(__xludf.DUMMYFUNCTION("""COMPUTED_VALUE"""),"Hand")</f>
        <v>Hand</v>
      </c>
      <c r="E129" s="3">
        <f>IFERROR(__xludf.DUMMYFUNCTION("""COMPUTED_VALUE"""),20.0)</f>
        <v>20</v>
      </c>
      <c r="F129" s="3" t="str">
        <f>IFERROR(__xludf.DUMMYFUNCTION("""COMPUTED_VALUE"""),"DMG: +1000 ++X4 additional damage towards ranged attacks. +-Only Archers can equip. +-Cannot be duplicated. ")</f>
        <v>DMG: +1000 ++X4 additional damage towards ranged attacks. +-Only Archers can equip. +-Cannot be duplicated. </v>
      </c>
      <c r="G129" s="3">
        <f>IFERROR(__xludf.DUMMYFUNCTION("""COMPUTED_VALUE"""),10000.0)</f>
        <v>10000</v>
      </c>
      <c r="H129" s="3"/>
      <c r="I129" s="3"/>
      <c r="J129" s="3"/>
      <c r="K129" s="3"/>
      <c r="L129" s="3"/>
      <c r="M129" s="3"/>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3"/>
      <c r="BB129" s="3"/>
      <c r="BD129" s="3"/>
      <c r="BE129" s="3"/>
      <c r="BF129" s="3"/>
      <c r="BG129" s="3"/>
      <c r="BH129" s="3"/>
      <c r="BI129" s="3"/>
      <c r="BJ129" s="3"/>
      <c r="BK129" s="3"/>
      <c r="BL129" s="3"/>
    </row>
    <row r="130" ht="15.75" customHeight="1">
      <c r="A130" s="3" t="str">
        <f>IFERROR(__xludf.DUMMYFUNCTION("""COMPUTED_VALUE"""),"Grass Sword")</f>
        <v>Grass Sword</v>
      </c>
      <c r="B130" s="3" t="str">
        <f>IFERROR(__xludf.DUMMYFUNCTION("""COMPUTED_VALUE"""),"A strong grass entity in the form of a sword")</f>
        <v>A strong grass entity in the form of a sword</v>
      </c>
      <c r="C130" s="3" t="str">
        <f>IFERROR(__xludf.DUMMYFUNCTION("""COMPUTED_VALUE"""),"Sword")</f>
        <v>Sword</v>
      </c>
      <c r="D130" s="3" t="str">
        <f>IFERROR(__xludf.DUMMYFUNCTION("""COMPUTED_VALUE"""),"Hand")</f>
        <v>Hand</v>
      </c>
      <c r="E130" s="3">
        <f>IFERROR(__xludf.DUMMYFUNCTION("""COMPUTED_VALUE"""),1.0)</f>
        <v>1</v>
      </c>
      <c r="F130" s="3" t="str">
        <f>IFERROR(__xludf.DUMMYFUNCTION("""COMPUTED_VALUE"""),"DMG: +250")</f>
        <v>DMG: +250</v>
      </c>
      <c r="G130" s="3">
        <f>IFERROR(__xludf.DUMMYFUNCTION("""COMPUTED_VALUE"""),0.0)</f>
        <v>0</v>
      </c>
      <c r="H130" s="3"/>
      <c r="I130" s="3"/>
      <c r="J130" s="3"/>
      <c r="K130" s="3"/>
      <c r="L130" s="3"/>
      <c r="M130" s="3"/>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3"/>
      <c r="BB130" s="3"/>
      <c r="BD130" s="3"/>
      <c r="BE130" s="3"/>
      <c r="BF130" s="3"/>
      <c r="BG130" s="3"/>
      <c r="BH130" s="3"/>
      <c r="BI130" s="3"/>
      <c r="BJ130" s="3"/>
      <c r="BK130" s="3"/>
      <c r="BL130" s="3"/>
    </row>
    <row r="131" ht="15.75" customHeight="1">
      <c r="A131" s="3" t="str">
        <f>IFERROR(__xludf.DUMMYFUNCTION("""COMPUTED_VALUE"""),"Great Stone Gargoyle Sword")</f>
        <v>Great Stone Gargoyle Sword</v>
      </c>
      <c r="B131" s="3"/>
      <c r="C131" s="3" t="str">
        <f>IFERROR(__xludf.DUMMYFUNCTION("""COMPUTED_VALUE"""),"Sword")</f>
        <v>Sword</v>
      </c>
      <c r="D131" s="3" t="str">
        <f>IFERROR(__xludf.DUMMYFUNCTION("""COMPUTED_VALUE"""),"Hand")</f>
        <v>Hand</v>
      </c>
      <c r="E131" s="3">
        <f>IFERROR(__xludf.DUMMYFUNCTION("""COMPUTED_VALUE"""),4000.0)</f>
        <v>4000</v>
      </c>
      <c r="F131" s="3"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3">
        <f>IFERROR(__xludf.DUMMYFUNCTION("""COMPUTED_VALUE"""),7.98E8)</f>
        <v>798000000</v>
      </c>
      <c r="H131" s="3"/>
      <c r="I131" s="3"/>
      <c r="J131" s="3"/>
      <c r="K131" s="3"/>
      <c r="L131" s="3"/>
      <c r="M131" s="3"/>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3"/>
      <c r="BB131" s="3"/>
      <c r="BD131" s="3"/>
      <c r="BE131" s="3"/>
      <c r="BF131" s="3"/>
      <c r="BG131" s="3"/>
      <c r="BH131" s="3"/>
      <c r="BI131" s="3"/>
      <c r="BJ131" s="3"/>
      <c r="BK131" s="3"/>
      <c r="BL131" s="3"/>
    </row>
    <row r="132" ht="15.75" customHeight="1">
      <c r="A132" s="3" t="str">
        <f>IFERROR(__xludf.DUMMYFUNCTION("""COMPUTED_VALUE"""),"Greaves of The Sea Serpent")</f>
        <v>Greaves of The Sea Serpent</v>
      </c>
      <c r="B132" s="3"/>
      <c r="C132" s="3"/>
      <c r="D132" s="3" t="str">
        <f>IFERROR(__xludf.DUMMYFUNCTION("""COMPUTED_VALUE"""),"Legs")</f>
        <v>Legs</v>
      </c>
      <c r="E132" s="3">
        <f>IFERROR(__xludf.DUMMYFUNCTION("""COMPUTED_VALUE"""),100.0)</f>
        <v>100</v>
      </c>
      <c r="F132" s="3" t="str">
        <f>IFERROR(__xludf.DUMMYFUNCTION("""COMPUTED_VALUE"""),"DEF: +2500, Water DEF: +2500 ++X2 additional water damage for self.")</f>
        <v>DEF: +2500, Water DEF: +2500 ++X2 additional water damage for self.</v>
      </c>
      <c r="G132" s="3">
        <f>IFERROR(__xludf.DUMMYFUNCTION("""COMPUTED_VALUE"""),450000.0)</f>
        <v>450000</v>
      </c>
      <c r="H132" s="3"/>
      <c r="I132" s="3"/>
      <c r="J132" s="3"/>
      <c r="K132" s="3"/>
      <c r="L132" s="3"/>
      <c r="M132" s="3"/>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3"/>
      <c r="BB132" s="3"/>
      <c r="BD132" s="3"/>
      <c r="BE132" s="3"/>
      <c r="BF132" s="3"/>
      <c r="BG132" s="3"/>
      <c r="BH132" s="3"/>
      <c r="BI132" s="3"/>
      <c r="BJ132" s="3"/>
      <c r="BK132" s="3"/>
      <c r="BL132" s="3"/>
    </row>
    <row r="133" ht="15.75" customHeight="1">
      <c r="A133" s="3" t="str">
        <f>IFERROR(__xludf.DUMMYFUNCTION("""COMPUTED_VALUE"""),"Greaves of Waking Waters")</f>
        <v>Greaves of Waking Waters</v>
      </c>
      <c r="B133" s="3"/>
      <c r="C133" s="3"/>
      <c r="D133" s="3" t="str">
        <f>IFERROR(__xludf.DUMMYFUNCTION("""COMPUTED_VALUE"""),"Legs")</f>
        <v>Legs</v>
      </c>
      <c r="E133" s="3">
        <f>IFERROR(__xludf.DUMMYFUNCTION("""COMPUTED_VALUE"""),200.0)</f>
        <v>200</v>
      </c>
      <c r="F133" s="3" t="str">
        <f>IFERROR(__xludf.DUMMYFUNCTION("""COMPUTED_VALUE"""),"DEF: +5000, Water DEF: +5000 ++X4 additional water damage for self.")</f>
        <v>DEF: +5000, Water DEF: +5000 ++X4 additional water damage for self.</v>
      </c>
      <c r="G133" s="3">
        <f>IFERROR(__xludf.DUMMYFUNCTION("""COMPUTED_VALUE"""),1900000.0)</f>
        <v>1900000</v>
      </c>
      <c r="H133" s="3"/>
      <c r="I133" s="3"/>
      <c r="J133" s="3"/>
      <c r="K133" s="3"/>
      <c r="L133" s="3"/>
      <c r="M133" s="3"/>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3"/>
      <c r="BB133" s="3"/>
      <c r="BD133" s="3"/>
      <c r="BE133" s="3"/>
      <c r="BF133" s="3"/>
      <c r="BG133" s="3"/>
      <c r="BH133" s="3"/>
      <c r="BI133" s="3"/>
      <c r="BJ133" s="3"/>
      <c r="BK133" s="3"/>
      <c r="BL133" s="3"/>
    </row>
    <row r="134" ht="15.75" customHeight="1">
      <c r="A134" s="3" t="str">
        <f>IFERROR(__xludf.DUMMYFUNCTION("""COMPUTED_VALUE"""),"Halloween Staff")</f>
        <v>Halloween Staff</v>
      </c>
      <c r="B134" s="3" t="str">
        <f>IFERROR(__xludf.DUMMYFUNCTION("""COMPUTED_VALUE"""),"Halloween exclusive")</f>
        <v>Halloween exclusive</v>
      </c>
      <c r="C134" s="3" t="str">
        <f>IFERROR(__xludf.DUMMYFUNCTION("""COMPUTED_VALUE"""),"Staff")</f>
        <v>Staff</v>
      </c>
      <c r="D134" s="3" t="str">
        <f>IFERROR(__xludf.DUMMYFUNCTION("""COMPUTED_VALUE"""),"Hand")</f>
        <v>Hand</v>
      </c>
      <c r="E134" s="3">
        <f>IFERROR(__xludf.DUMMYFUNCTION("""COMPUTED_VALUE"""),1.0)</f>
        <v>1</v>
      </c>
      <c r="F134" s="3" t="str">
        <f>IFERROR(__xludf.DUMMYFUNCTION("""COMPUTED_VALUE""")," ++Transform into the Headless Horseman for 3 rounds.")</f>
        <v> ++Transform into the Headless Horseman for 3 rounds.</v>
      </c>
      <c r="G134" s="3">
        <f>IFERROR(__xludf.DUMMYFUNCTION("""COMPUTED_VALUE"""),0.0)</f>
        <v>0</v>
      </c>
      <c r="H134" s="3"/>
      <c r="I134" s="3"/>
      <c r="J134" s="3"/>
      <c r="K134" s="3"/>
      <c r="L134" s="3"/>
      <c r="M134" s="3"/>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3"/>
      <c r="BB134" s="3"/>
      <c r="BD134" s="3"/>
      <c r="BE134" s="3"/>
      <c r="BF134" s="3"/>
      <c r="BG134" s="3"/>
      <c r="BH134" s="3"/>
      <c r="BI134" s="3"/>
      <c r="BJ134" s="3"/>
      <c r="BK134" s="3"/>
      <c r="BL134" s="3"/>
    </row>
    <row r="135" ht="15.75" customHeight="1">
      <c r="A135" s="3" t="str">
        <f>IFERROR(__xludf.DUMMYFUNCTION("""COMPUTED_VALUE"""),"Hammer of Chaotic Shadows")</f>
        <v>Hammer of Chaotic Shadows</v>
      </c>
      <c r="B135" s="3"/>
      <c r="C135" s="3" t="str">
        <f>IFERROR(__xludf.DUMMYFUNCTION("""COMPUTED_VALUE"""),"Club")</f>
        <v>Club</v>
      </c>
      <c r="D135" s="3" t="str">
        <f>IFERROR(__xludf.DUMMYFUNCTION("""COMPUTED_VALUE"""),"Hand")</f>
        <v>Hand</v>
      </c>
      <c r="E135" s="3">
        <f>IFERROR(__xludf.DUMMYFUNCTION("""COMPUTED_VALUE"""),300.0)</f>
        <v>300</v>
      </c>
      <c r="F135" s="3" t="str">
        <f>IFERROR(__xludf.DUMMYFUNCTION("""COMPUTED_VALUE"""),"DMG: +5000, Dark DMG: +5000, Chaos DMG: +5000 ++X2 Additional Dark and Chaos Damage. ")</f>
        <v>DMG: +5000, Dark DMG: +5000, Chaos DMG: +5000 ++X2 Additional Dark and Chaos Damage. </v>
      </c>
      <c r="G135" s="3">
        <f>IFERROR(__xludf.DUMMYFUNCTION("""COMPUTED_VALUE"""),4350000.0)</f>
        <v>4350000</v>
      </c>
      <c r="H135" s="3"/>
      <c r="I135" s="3"/>
      <c r="J135" s="3"/>
      <c r="K135" s="3"/>
      <c r="L135" s="3"/>
      <c r="M135" s="3"/>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3"/>
      <c r="BB135" s="3"/>
      <c r="BD135" s="3"/>
      <c r="BE135" s="3"/>
      <c r="BF135" s="3"/>
      <c r="BG135" s="3"/>
      <c r="BH135" s="3"/>
      <c r="BI135" s="3"/>
      <c r="BJ135" s="3"/>
      <c r="BK135" s="3"/>
      <c r="BL135" s="3"/>
    </row>
    <row r="136" ht="15.75" customHeight="1">
      <c r="A136" s="3" t="str">
        <f>IFERROR(__xludf.DUMMYFUNCTION("""COMPUTED_VALUE"""),"Hardened Ice Sickle")</f>
        <v>Hardened Ice Sickle</v>
      </c>
      <c r="B136" s="3" t="str">
        <f>IFERROR(__xludf.DUMMYFUNCTION("""COMPUTED_VALUE"""),"Event Exclusive")</f>
        <v>Event Exclusive</v>
      </c>
      <c r="C136" s="3" t="str">
        <f>IFERROR(__xludf.DUMMYFUNCTION("""COMPUTED_VALUE"""),"Knife")</f>
        <v>Knife</v>
      </c>
      <c r="D136" s="3" t="str">
        <f>IFERROR(__xludf.DUMMYFUNCTION("""COMPUTED_VALUE"""),"Hand")</f>
        <v>Hand</v>
      </c>
      <c r="E136" s="3">
        <f>IFERROR(__xludf.DUMMYFUNCTION("""COMPUTED_VALUE"""),200.0)</f>
        <v>200</v>
      </c>
      <c r="F136" s="3" t="str">
        <f>IFERROR(__xludf.DUMMYFUNCTION("""COMPUTED_VALUE"""),"DMG: +5000, Water DMG: +5000 ++75% chance to freeze the target.")</f>
        <v>DMG: +5000, Water DMG: +5000 ++75% chance to freeze the target.</v>
      </c>
      <c r="G136" s="3">
        <f>IFERROR(__xludf.DUMMYFUNCTION("""COMPUTED_VALUE"""),1900000.0)</f>
        <v>1900000</v>
      </c>
      <c r="H136" s="3"/>
      <c r="I136" s="3"/>
      <c r="J136" s="3"/>
      <c r="K136" s="3"/>
      <c r="L136" s="3"/>
      <c r="M136" s="3"/>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3"/>
      <c r="BB136" s="3"/>
      <c r="BD136" s="3"/>
      <c r="BE136" s="3"/>
      <c r="BF136" s="3"/>
      <c r="BG136" s="3"/>
      <c r="BH136" s="3"/>
      <c r="BI136" s="3"/>
      <c r="BJ136" s="3"/>
      <c r="BK136" s="3"/>
      <c r="BL136" s="3"/>
    </row>
    <row r="137" ht="15.75" customHeight="1">
      <c r="A137" s="3" t="str">
        <f>IFERROR(__xludf.DUMMYFUNCTION("""COMPUTED_VALUE"""),"Haunted Katana")</f>
        <v>Haunted Katana</v>
      </c>
      <c r="B137" s="3"/>
      <c r="C137" s="3" t="str">
        <f>IFERROR(__xludf.DUMMYFUNCTION("""COMPUTED_VALUE"""),"Sword")</f>
        <v>Sword</v>
      </c>
      <c r="D137" s="3" t="str">
        <f>IFERROR(__xludf.DUMMYFUNCTION("""COMPUTED_VALUE"""),"Hand")</f>
        <v>Hand</v>
      </c>
      <c r="E137" s="3">
        <f>IFERROR(__xludf.DUMMYFUNCTION("""COMPUTED_VALUE"""),600.0)</f>
        <v>600</v>
      </c>
      <c r="F137" s="3" t="str">
        <f>IFERROR(__xludf.DUMMYFUNCTION("""COMPUTED_VALUE"""),"DMG: +10000, Dark DMG: +10000, Spirit DMG: +10000 +-You go last during the turn order in battle.. ")</f>
        <v>DMG: +10000, Dark DMG: +10000, Spirit DMG: +10000 +-You go last during the turn order in battle.. </v>
      </c>
      <c r="G137" s="3">
        <f>IFERROR(__xludf.DUMMYFUNCTION("""COMPUTED_VALUE"""),1.77E7)</f>
        <v>17700000</v>
      </c>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D137" s="3"/>
      <c r="BE137" s="3"/>
      <c r="BF137" s="3"/>
      <c r="BG137" s="3"/>
      <c r="BH137" s="3"/>
      <c r="BI137" s="3"/>
      <c r="BJ137" s="3"/>
      <c r="BK137" s="3"/>
      <c r="BL137" s="3"/>
    </row>
    <row r="138" ht="15.75" customHeight="1">
      <c r="A138" s="3" t="str">
        <f>IFERROR(__xludf.DUMMYFUNCTION("""COMPUTED_VALUE"""),"Haunted King's Favorite Shield")</f>
        <v>Haunted King's Favorite Shield</v>
      </c>
      <c r="B138" s="3" t="str">
        <f>IFERROR(__xludf.DUMMYFUNCTION("""COMPUTED_VALUE"""),"Halloween exclusive")</f>
        <v>Halloween exclusive</v>
      </c>
      <c r="C138" s="3" t="str">
        <f>IFERROR(__xludf.DUMMYFUNCTION("""COMPUTED_VALUE"""),"Towershield")</f>
        <v>Towershield</v>
      </c>
      <c r="D138" s="3" t="str">
        <f>IFERROR(__xludf.DUMMYFUNCTION("""COMPUTED_VALUE"""),"Hand")</f>
        <v>Hand</v>
      </c>
      <c r="E138" s="3">
        <f>IFERROR(__xludf.DUMMYFUNCTION("""COMPUTED_VALUE"""),20.0)</f>
        <v>20</v>
      </c>
      <c r="F138" s="3"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3">
        <f>IFERROR(__xludf.DUMMYFUNCTION("""COMPUTED_VALUE"""),10000.0)</f>
        <v>10000</v>
      </c>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D138" s="3"/>
      <c r="BE138" s="3"/>
      <c r="BF138" s="3"/>
      <c r="BG138" s="3"/>
      <c r="BH138" s="3"/>
      <c r="BI138" s="3"/>
      <c r="BJ138" s="3"/>
      <c r="BK138" s="3"/>
      <c r="BL138" s="3"/>
    </row>
    <row r="139" ht="15.75" customHeight="1">
      <c r="A139" s="3" t="str">
        <f>IFERROR(__xludf.DUMMYFUNCTION("""COMPUTED_VALUE"""),"Haunted King's Favorite Sword")</f>
        <v>Haunted King's Favorite Sword</v>
      </c>
      <c r="B139" s="3" t="str">
        <f>IFERROR(__xludf.DUMMYFUNCTION("""COMPUTED_VALUE"""),"Halloween exclusive")</f>
        <v>Halloween exclusive</v>
      </c>
      <c r="C139" s="3" t="str">
        <f>IFERROR(__xludf.DUMMYFUNCTION("""COMPUTED_VALUE"""),"Sword")</f>
        <v>Sword</v>
      </c>
      <c r="D139" s="3" t="str">
        <f>IFERROR(__xludf.DUMMYFUNCTION("""COMPUTED_VALUE"""),"Hand")</f>
        <v>Hand</v>
      </c>
      <c r="E139" s="3">
        <f>IFERROR(__xludf.DUMMYFUNCTION("""COMPUTED_VALUE"""),60.0)</f>
        <v>60</v>
      </c>
      <c r="F139" s="3"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3">
        <f>IFERROR(__xludf.DUMMYFUNCTION("""COMPUTED_VALUE"""),150000.0)</f>
        <v>150000</v>
      </c>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D139" s="3"/>
      <c r="BE139" s="3"/>
      <c r="BF139" s="3"/>
      <c r="BG139" s="3"/>
      <c r="BH139" s="3"/>
      <c r="BI139" s="3"/>
      <c r="BJ139" s="3"/>
      <c r="BK139" s="3"/>
      <c r="BL139" s="3"/>
    </row>
    <row r="140" ht="15.75" customHeight="1">
      <c r="A140" s="3" t="str">
        <f>IFERROR(__xludf.DUMMYFUNCTION("""COMPUTED_VALUE"""),"Heatmore Flame Golem Head")</f>
        <v>Heatmore Flame Golem Head</v>
      </c>
      <c r="B140" s="3"/>
      <c r="C140" s="3"/>
      <c r="D140" s="3" t="str">
        <f>IFERROR(__xludf.DUMMYFUNCTION("""COMPUTED_VALUE"""),"Head")</f>
        <v>Head</v>
      </c>
      <c r="E140" s="3">
        <f>IFERROR(__xludf.DUMMYFUNCTION("""COMPUTED_VALUE"""),300.0)</f>
        <v>300</v>
      </c>
      <c r="F140" s="3" t="str">
        <f>IFERROR(__xludf.DUMMYFUNCTION("""COMPUTED_VALUE"""),"DEF: +5000, Fire DEF: +5000, Earth DEF: +5000 ++X2 additional Earth and Fire Resistance.")</f>
        <v>DEF: +5000, Fire DEF: +5000, Earth DEF: +5000 ++X2 additional Earth and Fire Resistance.</v>
      </c>
      <c r="G140" s="3">
        <f>IFERROR(__xludf.DUMMYFUNCTION("""COMPUTED_VALUE"""),4350000.0)</f>
        <v>4350000</v>
      </c>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D140" s="3"/>
      <c r="BE140" s="3"/>
      <c r="BF140" s="3"/>
      <c r="BG140" s="3"/>
      <c r="BH140" s="3"/>
      <c r="BI140" s="3"/>
      <c r="BJ140" s="3"/>
      <c r="BK140" s="3"/>
      <c r="BL140" s="3"/>
    </row>
    <row r="141" ht="15.75" customHeight="1">
      <c r="A141" s="3" t="str">
        <f>IFERROR(__xludf.DUMMYFUNCTION("""COMPUTED_VALUE"""),"Helmet of Darkness")</f>
        <v>Helmet of Darkness</v>
      </c>
      <c r="B141" s="3"/>
      <c r="C141" s="3"/>
      <c r="D141" s="3" t="str">
        <f>IFERROR(__xludf.DUMMYFUNCTION("""COMPUTED_VALUE"""),"Head")</f>
        <v>Head</v>
      </c>
      <c r="E141" s="3">
        <f>IFERROR(__xludf.DUMMYFUNCTION("""COMPUTED_VALUE"""),400.0)</f>
        <v>400</v>
      </c>
      <c r="F141" s="3" t="str">
        <f>IFERROR(__xludf.DUMMYFUNCTION("""COMPUTED_VALUE"""),"DEF: +10000, Dark DEF: +10000 ++Immunity to Dark damage.")</f>
        <v>DEF: +10000, Dark DEF: +10000 ++Immunity to Dark damage.</v>
      </c>
      <c r="G141" s="3">
        <f>IFERROR(__xludf.DUMMYFUNCTION("""COMPUTED_VALUE"""),7800000.0)</f>
        <v>7800000</v>
      </c>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D141" s="3"/>
      <c r="BE141" s="3"/>
      <c r="BF141" s="3"/>
      <c r="BG141" s="3"/>
      <c r="BH141" s="3"/>
      <c r="BI141" s="3"/>
      <c r="BJ141" s="3"/>
      <c r="BK141" s="3"/>
      <c r="BL141" s="3"/>
    </row>
    <row r="142" ht="15.75" customHeight="1">
      <c r="A142" s="3" t="str">
        <f>IFERROR(__xludf.DUMMYFUNCTION("""COMPUTED_VALUE"""),"Helmet of Waking Waters")</f>
        <v>Helmet of Waking Waters</v>
      </c>
      <c r="B142" s="3"/>
      <c r="C142" s="3"/>
      <c r="D142" s="3" t="str">
        <f>IFERROR(__xludf.DUMMYFUNCTION("""COMPUTED_VALUE"""),"Head")</f>
        <v>Head</v>
      </c>
      <c r="E142" s="3">
        <f>IFERROR(__xludf.DUMMYFUNCTION("""COMPUTED_VALUE"""),200.0)</f>
        <v>200</v>
      </c>
      <c r="F142" s="3" t="str">
        <f>IFERROR(__xludf.DUMMYFUNCTION("""COMPUTED_VALUE"""),"DEF: +5000, Water DEF: +5000 ++X4 additional water damage.")</f>
        <v>DEF: +5000, Water DEF: +5000 ++X4 additional water damage.</v>
      </c>
      <c r="G142" s="3">
        <f>IFERROR(__xludf.DUMMYFUNCTION("""COMPUTED_VALUE"""),1900000.0)</f>
        <v>1900000</v>
      </c>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D142" s="3"/>
      <c r="BE142" s="3"/>
      <c r="BF142" s="3"/>
      <c r="BG142" s="3"/>
      <c r="BH142" s="3"/>
      <c r="BI142" s="3"/>
      <c r="BJ142" s="3"/>
      <c r="BK142" s="3"/>
      <c r="BL142" s="3"/>
    </row>
    <row r="143" ht="15.75" customHeight="1">
      <c r="A143" s="3" t="str">
        <f>IFERROR(__xludf.DUMMYFUNCTION("""COMPUTED_VALUE"""),"High Range Bow")</f>
        <v>High Range Bow</v>
      </c>
      <c r="B143" s="3"/>
      <c r="C143" s="3" t="str">
        <f>IFERROR(__xludf.DUMMYFUNCTION("""COMPUTED_VALUE"""),"Bow")</f>
        <v>Bow</v>
      </c>
      <c r="D143" s="3" t="str">
        <f>IFERROR(__xludf.DUMMYFUNCTION("""COMPUTED_VALUE"""),"Hand")</f>
        <v>Hand</v>
      </c>
      <c r="E143" s="3">
        <f>IFERROR(__xludf.DUMMYFUNCTION("""COMPUTED_VALUE"""),10.0)</f>
        <v>10</v>
      </c>
      <c r="F143" s="3" t="str">
        <f>IFERROR(__xludf.DUMMYFUNCTION("""COMPUTED_VALUE"""),"DMG: +500 ++Hawkeye: X2 more arrow damage and ranged attacks deal half damage that are dealt to the wearer. ")</f>
        <v>DMG: +500 ++Hawkeye: X2 more arrow damage and ranged attacks deal half damage that are dealt to the wearer. </v>
      </c>
      <c r="G143" s="3">
        <f>IFERROR(__xludf.DUMMYFUNCTION("""COMPUTED_VALUE"""),1000.0)</f>
        <v>1000</v>
      </c>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D143" s="3"/>
      <c r="BE143" s="3"/>
      <c r="BF143" s="3"/>
      <c r="BG143" s="3"/>
      <c r="BH143" s="3"/>
      <c r="BI143" s="3"/>
      <c r="BJ143" s="3"/>
      <c r="BK143" s="3"/>
      <c r="BL143" s="3"/>
    </row>
    <row r="144" ht="15.75" customHeight="1">
      <c r="A144" s="3" t="str">
        <f>IFERROR(__xludf.DUMMYFUNCTION("""COMPUTED_VALUE"""),"Horn of The Forgotten")</f>
        <v>Horn of The Forgotten</v>
      </c>
      <c r="B144" s="3"/>
      <c r="C144" s="3" t="str">
        <f>IFERROR(__xludf.DUMMYFUNCTION("""COMPUTED_VALUE"""),"Wand")</f>
        <v>Wand</v>
      </c>
      <c r="D144" s="3" t="str">
        <f>IFERROR(__xludf.DUMMYFUNCTION("""COMPUTED_VALUE"""),"Hand")</f>
        <v>Hand</v>
      </c>
      <c r="E144" s="3">
        <f>IFERROR(__xludf.DUMMYFUNCTION("""COMPUTED_VALUE"""),1.0)</f>
        <v>1</v>
      </c>
      <c r="F144" s="3"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3">
        <f>IFERROR(__xludf.DUMMYFUNCTION("""COMPUTED_VALUE"""),0.0)</f>
        <v>0</v>
      </c>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D144" s="3"/>
      <c r="BE144" s="3"/>
      <c r="BF144" s="3"/>
      <c r="BG144" s="3"/>
      <c r="BH144" s="3"/>
      <c r="BI144" s="3"/>
      <c r="BJ144" s="3"/>
      <c r="BK144" s="3"/>
      <c r="BL144" s="3"/>
    </row>
    <row r="145" ht="15.75" customHeight="1">
      <c r="A145" s="3" t="str">
        <f>IFERROR(__xludf.DUMMYFUNCTION("""COMPUTED_VALUE"""),"Houyi's Bow")</f>
        <v>Houyi's Bow</v>
      </c>
      <c r="B145" s="3"/>
      <c r="C145" s="3" t="str">
        <f>IFERROR(__xludf.DUMMYFUNCTION("""COMPUTED_VALUE"""),"Bow")</f>
        <v>Bow</v>
      </c>
      <c r="D145" s="3" t="str">
        <f>IFERROR(__xludf.DUMMYFUNCTION("""COMPUTED_VALUE"""),"Hand")</f>
        <v>Hand</v>
      </c>
      <c r="E145" s="3">
        <f>IFERROR(__xludf.DUMMYFUNCTION("""COMPUTED_VALUE"""),400.0)</f>
        <v>400</v>
      </c>
      <c r="F145" s="3" t="str">
        <f>IFERROR(__xludf.DUMMYFUNCTION("""COMPUTED_VALUE"""),"DMG: +20000 ++Skill Shot - gives the wielder X2 accuracy and X2 damage for bows.")</f>
        <v>DMG: +20000 ++Skill Shot - gives the wielder X2 accuracy and X2 damage for bows.</v>
      </c>
      <c r="G145" s="3">
        <f>IFERROR(__xludf.DUMMYFUNCTION("""COMPUTED_VALUE"""),7800000.0)</f>
        <v>7800000</v>
      </c>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D145" s="3"/>
      <c r="BE145" s="3"/>
      <c r="BF145" s="3"/>
      <c r="BG145" s="3"/>
      <c r="BH145" s="3"/>
      <c r="BI145" s="3"/>
      <c r="BJ145" s="3"/>
      <c r="BK145" s="3"/>
      <c r="BL145" s="3"/>
    </row>
    <row r="146" ht="15.75" customHeight="1">
      <c r="A146" s="3" t="str">
        <f>IFERROR(__xludf.DUMMYFUNCTION("""COMPUTED_VALUE"""),"Ice Blade")</f>
        <v>Ice Blade</v>
      </c>
      <c r="B146" s="3"/>
      <c r="C146" s="3" t="str">
        <f>IFERROR(__xludf.DUMMYFUNCTION("""COMPUTED_VALUE"""),"Sword")</f>
        <v>Sword</v>
      </c>
      <c r="D146" s="3" t="str">
        <f>IFERROR(__xludf.DUMMYFUNCTION("""COMPUTED_VALUE"""),"Hand")</f>
        <v>Hand</v>
      </c>
      <c r="E146" s="3">
        <f>IFERROR(__xludf.DUMMYFUNCTION("""COMPUTED_VALUE"""),100.0)</f>
        <v>100</v>
      </c>
      <c r="F146" s="3" t="str">
        <f>IFERROR(__xludf.DUMMYFUNCTION("""COMPUTED_VALUE"""),"DMG: +2000, Water DMG: +3000 ++50% chance to freeze the target.")</f>
        <v>DMG: +2000, Water DMG: +3000 ++50% chance to freeze the target.</v>
      </c>
      <c r="G146" s="3">
        <f>IFERROR(__xludf.DUMMYFUNCTION("""COMPUTED_VALUE"""),450000.0)</f>
        <v>450000</v>
      </c>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D146" s="3"/>
      <c r="BE146" s="3"/>
      <c r="BF146" s="3"/>
      <c r="BG146" s="3"/>
      <c r="BH146" s="3"/>
      <c r="BI146" s="3"/>
      <c r="BJ146" s="3"/>
      <c r="BK146" s="3"/>
      <c r="BL146" s="3"/>
    </row>
    <row r="147" ht="15.75" customHeight="1">
      <c r="A147" s="3" t="str">
        <f>IFERROR(__xludf.DUMMYFUNCTION("""COMPUTED_VALUE"""),"Inferno Staff")</f>
        <v>Inferno Staff</v>
      </c>
      <c r="B147" s="3"/>
      <c r="C147" s="3" t="str">
        <f>IFERROR(__xludf.DUMMYFUNCTION("""COMPUTED_VALUE"""),"Staff")</f>
        <v>Staff</v>
      </c>
      <c r="D147" s="3" t="str">
        <f>IFERROR(__xludf.DUMMYFUNCTION("""COMPUTED_VALUE"""),"Hand")</f>
        <v>Hand</v>
      </c>
      <c r="E147" s="3">
        <f>IFERROR(__xludf.DUMMYFUNCTION("""COMPUTED_VALUE"""),200.0)</f>
        <v>200</v>
      </c>
      <c r="F147" s="3" t="str">
        <f>IFERROR(__xludf.DUMMYFUNCTION("""COMPUTED_VALUE"""),", Fire : +10000 ++Burn 10,000 to 1 target for 3 rounds. 100sp.")</f>
        <v>, Fire : +10000 ++Burn 10,000 to 1 target for 3 rounds. 100sp.</v>
      </c>
      <c r="G147" s="3">
        <f>IFERROR(__xludf.DUMMYFUNCTION("""COMPUTED_VALUE"""),1900000.0)</f>
        <v>1900000</v>
      </c>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D147" s="3"/>
      <c r="BE147" s="3"/>
      <c r="BF147" s="3"/>
      <c r="BG147" s="3"/>
      <c r="BH147" s="3"/>
      <c r="BI147" s="3"/>
      <c r="BJ147" s="3"/>
      <c r="BK147" s="3"/>
      <c r="BL147" s="3"/>
    </row>
    <row r="148" ht="15.75" customHeight="1">
      <c r="A148" s="3" t="str">
        <f>IFERROR(__xludf.DUMMYFUNCTION("""COMPUTED_VALUE"""),"Jack's Special Archer Robe")</f>
        <v>Jack's Special Archer Robe</v>
      </c>
      <c r="B148" s="3" t="str">
        <f>IFERROR(__xludf.DUMMYFUNCTION("""COMPUTED_VALUE"""),"Halloween exclusive")</f>
        <v>Halloween exclusive</v>
      </c>
      <c r="C148" s="3"/>
      <c r="D148" s="3" t="str">
        <f>IFERROR(__xludf.DUMMYFUNCTION("""COMPUTED_VALUE"""),"Torso")</f>
        <v>Torso</v>
      </c>
      <c r="E148" s="3">
        <f>IFERROR(__xludf.DUMMYFUNCTION("""COMPUTED_VALUE"""),20.0)</f>
        <v>20</v>
      </c>
      <c r="F148" s="3" t="str">
        <f>IFERROR(__xludf.DUMMYFUNCTION("""COMPUTED_VALUE"""),"DEF: +900 ++Range Spells cost half the SP cost and all damage is doubled for ranged spells +-Archer Class Only")</f>
        <v>DEF: +900 ++Range Spells cost half the SP cost and all damage is doubled for ranged spells +-Archer Class Only</v>
      </c>
      <c r="G148" s="3">
        <f>IFERROR(__xludf.DUMMYFUNCTION("""COMPUTED_VALUE"""),1000.0)</f>
        <v>1000</v>
      </c>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D148" s="3"/>
      <c r="BE148" s="3"/>
      <c r="BF148" s="3"/>
      <c r="BG148" s="3"/>
      <c r="BH148" s="3"/>
      <c r="BI148" s="3"/>
      <c r="BJ148" s="3"/>
      <c r="BK148" s="3"/>
      <c r="BL148" s="3"/>
    </row>
    <row r="149" ht="15.75" customHeight="1">
      <c r="A149" s="3" t="str">
        <f>IFERROR(__xludf.DUMMYFUNCTION("""COMPUTED_VALUE"""),"Jack's Special Ring")</f>
        <v>Jack's Special Ring</v>
      </c>
      <c r="B149" s="3" t="str">
        <f>IFERROR(__xludf.DUMMYFUNCTION("""COMPUTED_VALUE"""),"Halloween exclusive")</f>
        <v>Halloween exclusive</v>
      </c>
      <c r="C149" s="3"/>
      <c r="D149" s="3" t="str">
        <f>IFERROR(__xludf.DUMMYFUNCTION("""COMPUTED_VALUE"""),"Ring")</f>
        <v>Ring</v>
      </c>
      <c r="E149" s="3">
        <f>IFERROR(__xludf.DUMMYFUNCTION("""COMPUTED_VALUE"""),1.0)</f>
        <v>1</v>
      </c>
      <c r="F149" s="3" t="str">
        <f>IFERROR(__xludf.DUMMYFUNCTION("""COMPUTED_VALUE""")," ++Increase all types of damage by X2. +-Cannot be forged +-Cannot be duplicated")</f>
        <v> ++Increase all types of damage by X2. +-Cannot be forged +-Cannot be duplicated</v>
      </c>
      <c r="G149" s="3">
        <f>IFERROR(__xludf.DUMMYFUNCTION("""COMPUTED_VALUE"""),0.0)</f>
        <v>0</v>
      </c>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D149" s="3"/>
      <c r="BE149" s="3"/>
      <c r="BF149" s="3"/>
      <c r="BG149" s="3"/>
      <c r="BH149" s="3"/>
      <c r="BI149" s="3"/>
      <c r="BJ149" s="3"/>
      <c r="BK149" s="3"/>
      <c r="BL149" s="3"/>
    </row>
    <row r="150" ht="15.75" customHeight="1">
      <c r="A150" s="3" t="str">
        <f>IFERROR(__xludf.DUMMYFUNCTION("""COMPUTED_VALUE"""),"Jack's Special Sword")</f>
        <v>Jack's Special Sword</v>
      </c>
      <c r="B150" s="3" t="str">
        <f>IFERROR(__xludf.DUMMYFUNCTION("""COMPUTED_VALUE"""),"Halloween exclusive")</f>
        <v>Halloween exclusive</v>
      </c>
      <c r="C150" s="3" t="str">
        <f>IFERROR(__xludf.DUMMYFUNCTION("""COMPUTED_VALUE"""),"Sword")</f>
        <v>Sword</v>
      </c>
      <c r="D150" s="3" t="str">
        <f>IFERROR(__xludf.DUMMYFUNCTION("""COMPUTED_VALUE"""),"Hand")</f>
        <v>Hand</v>
      </c>
      <c r="E150" s="3">
        <f>IFERROR(__xludf.DUMMYFUNCTION("""COMPUTED_VALUE"""),60.0)</f>
        <v>60</v>
      </c>
      <c r="F150" s="3"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3">
        <f>IFERROR(__xludf.DUMMYFUNCTION("""COMPUTED_VALUE"""),150000.0)</f>
        <v>150000</v>
      </c>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D150" s="3"/>
      <c r="BE150" s="3"/>
      <c r="BF150" s="3"/>
      <c r="BG150" s="3"/>
      <c r="BH150" s="3"/>
      <c r="BI150" s="3"/>
      <c r="BJ150" s="3"/>
      <c r="BK150" s="3"/>
      <c r="BL150" s="3"/>
    </row>
    <row r="151" ht="15.75" customHeight="1">
      <c r="A151" s="3" t="str">
        <f>IFERROR(__xludf.DUMMYFUNCTION("""COMPUTED_VALUE"""),"Jack’o Lantern Helmet of Swampy Hallow")</f>
        <v>Jack’o Lantern Helmet of Swampy Hallow</v>
      </c>
      <c r="B151" s="3" t="str">
        <f>IFERROR(__xludf.DUMMYFUNCTION("""COMPUTED_VALUE"""),"Halloween exclusive")</f>
        <v>Halloween exclusive</v>
      </c>
      <c r="C151" s="3"/>
      <c r="D151" s="3" t="str">
        <f>IFERROR(__xludf.DUMMYFUNCTION("""COMPUTED_VALUE"""),"Head")</f>
        <v>Head</v>
      </c>
      <c r="E151" s="3">
        <f>IFERROR(__xludf.DUMMYFUNCTION("""COMPUTED_VALUE"""),600.0)</f>
        <v>600</v>
      </c>
      <c r="F151" s="3"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3">
        <f>IFERROR(__xludf.DUMMYFUNCTION("""COMPUTED_VALUE"""),1.77E7)</f>
        <v>17700000</v>
      </c>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D151" s="3"/>
      <c r="BE151" s="3"/>
      <c r="BF151" s="3"/>
      <c r="BG151" s="3"/>
      <c r="BH151" s="3"/>
      <c r="BI151" s="3"/>
      <c r="BJ151" s="3"/>
      <c r="BK151" s="3"/>
      <c r="BL151" s="3"/>
    </row>
    <row r="152" ht="15.75" customHeight="1">
      <c r="A152" s="3" t="str">
        <f>IFERROR(__xludf.DUMMYFUNCTION("""COMPUTED_VALUE"""),"Katana")</f>
        <v>Katana</v>
      </c>
      <c r="B152" s="3"/>
      <c r="C152" s="3" t="str">
        <f>IFERROR(__xludf.DUMMYFUNCTION("""COMPUTED_VALUE"""),"Sword")</f>
        <v>Sword</v>
      </c>
      <c r="D152" s="3" t="str">
        <f>IFERROR(__xludf.DUMMYFUNCTION("""COMPUTED_VALUE"""),"Hand")</f>
        <v>Hand</v>
      </c>
      <c r="E152" s="3">
        <f>IFERROR(__xludf.DUMMYFUNCTION("""COMPUTED_VALUE"""),10.0)</f>
        <v>10</v>
      </c>
      <c r="F152" s="3" t="str">
        <f>IFERROR(__xludf.DUMMYFUNCTION("""COMPUTED_VALUE"""),"DMG: +500 ++ +10% chance of the sword ability activating.")</f>
        <v>DMG: +500 ++ +10% chance of the sword ability activating.</v>
      </c>
      <c r="G152" s="3">
        <f>IFERROR(__xludf.DUMMYFUNCTION("""COMPUTED_VALUE"""),1000.0)</f>
        <v>1000</v>
      </c>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D152" s="3"/>
      <c r="BE152" s="3"/>
      <c r="BF152" s="3"/>
      <c r="BG152" s="3"/>
      <c r="BH152" s="3"/>
      <c r="BI152" s="3"/>
      <c r="BJ152" s="3"/>
      <c r="BK152" s="3"/>
      <c r="BL152" s="3"/>
    </row>
    <row r="153" ht="15.75" customHeight="1">
      <c r="A153" s="3" t="str">
        <f>IFERROR(__xludf.DUMMYFUNCTION("""COMPUTED_VALUE"""),"King Of Mekanas Sword")</f>
        <v>King Of Mekanas Sword</v>
      </c>
      <c r="B153" s="3" t="str">
        <f>IFERROR(__xludf.DUMMYFUNCTION("""COMPUTED_VALUE"""),"Mob Exclusive")</f>
        <v>Mob Exclusive</v>
      </c>
      <c r="C153" s="3" t="str">
        <f>IFERROR(__xludf.DUMMYFUNCTION("""COMPUTED_VALUE"""),"Sword")</f>
        <v>Sword</v>
      </c>
      <c r="D153" s="3" t="str">
        <f>IFERROR(__xludf.DUMMYFUNCTION("""COMPUTED_VALUE"""),"Hand")</f>
        <v>Hand</v>
      </c>
      <c r="E153" s="3">
        <f>IFERROR(__xludf.DUMMYFUNCTION("""COMPUTED_VALUE"""),3000.0)</f>
        <v>3000</v>
      </c>
      <c r="F153" s="3" t="str">
        <f>IFERROR(__xludf.DUMMYFUNCTION("""COMPUTED_VALUE"""),"DMG: +50000, Fire DMG: +50000, Storm DMG: +50000 ++X8 additional Fire and Storm damage. ")</f>
        <v>DMG: +50000, Fire DMG: +50000, Storm DMG: +50000 ++X8 additional Fire and Storm damage. </v>
      </c>
      <c r="G153" s="3">
        <f>IFERROR(__xludf.DUMMYFUNCTION("""COMPUTED_VALUE"""),4.485E8)</f>
        <v>448500000</v>
      </c>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D153" s="3"/>
      <c r="BE153" s="3"/>
      <c r="BF153" s="3"/>
      <c r="BG153" s="3"/>
      <c r="BH153" s="3"/>
      <c r="BI153" s="3"/>
      <c r="BJ153" s="3"/>
      <c r="BK153" s="3"/>
      <c r="BL153" s="3"/>
    </row>
    <row r="154" ht="15.75" customHeight="1">
      <c r="A154" s="3" t="str">
        <f>IFERROR(__xludf.DUMMYFUNCTION("""COMPUTED_VALUE"""),"King's Royal Sword")</f>
        <v>King's Royal Sword</v>
      </c>
      <c r="B154" s="3" t="str">
        <f>IFERROR(__xludf.DUMMYFUNCTION("""COMPUTED_VALUE"""),"Quest Item")</f>
        <v>Quest Item</v>
      </c>
      <c r="C154" s="3" t="str">
        <f>IFERROR(__xludf.DUMMYFUNCTION("""COMPUTED_VALUE"""),"Sword")</f>
        <v>Sword</v>
      </c>
      <c r="D154" s="3" t="str">
        <f>IFERROR(__xludf.DUMMYFUNCTION("""COMPUTED_VALUE"""),"Hand")</f>
        <v>Hand</v>
      </c>
      <c r="E154" s="3">
        <f>IFERROR(__xludf.DUMMYFUNCTION("""COMPUTED_VALUE"""),200.0)</f>
        <v>200</v>
      </c>
      <c r="F154" s="3"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3">
        <f>IFERROR(__xludf.DUMMYFUNCTION("""COMPUTED_VALUE"""),7.98E8)</f>
        <v>798000000</v>
      </c>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D154" s="3"/>
      <c r="BE154" s="3"/>
      <c r="BF154" s="3"/>
      <c r="BG154" s="3"/>
      <c r="BH154" s="3"/>
      <c r="BI154" s="3"/>
      <c r="BJ154" s="3"/>
      <c r="BK154" s="3"/>
      <c r="BL154" s="3"/>
    </row>
    <row r="155" ht="15.75" customHeight="1">
      <c r="A155" s="3" t="str">
        <f>IFERROR(__xludf.DUMMYFUNCTION("""COMPUTED_VALUE"""),"Knife")</f>
        <v>Knife</v>
      </c>
      <c r="B155" s="3"/>
      <c r="C155" s="3" t="str">
        <f>IFERROR(__xludf.DUMMYFUNCTION("""COMPUTED_VALUE"""),"Knife")</f>
        <v>Knife</v>
      </c>
      <c r="D155" s="3" t="str">
        <f>IFERROR(__xludf.DUMMYFUNCTION("""COMPUTED_VALUE"""),"Hand")</f>
        <v>Hand</v>
      </c>
      <c r="E155" s="3">
        <f>IFERROR(__xludf.DUMMYFUNCTION("""COMPUTED_VALUE"""),20.0)</f>
        <v>20</v>
      </c>
      <c r="F155" s="3" t="str">
        <f>IFERROR(__xludf.DUMMYFUNCTION("""COMPUTED_VALUE"""),"DMG: +1000")</f>
        <v>DMG: +1000</v>
      </c>
      <c r="G155" s="3">
        <f>IFERROR(__xludf.DUMMYFUNCTION("""COMPUTED_VALUE"""),10000.0)</f>
        <v>10000</v>
      </c>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D155" s="3"/>
      <c r="BE155" s="3"/>
      <c r="BF155" s="3"/>
      <c r="BG155" s="3"/>
      <c r="BH155" s="3"/>
      <c r="BI155" s="3"/>
      <c r="BJ155" s="3"/>
      <c r="BK155" s="3"/>
      <c r="BL155" s="3"/>
    </row>
    <row r="156" ht="15.75" customHeight="1">
      <c r="A156" s="3" t="str">
        <f>IFERROR(__xludf.DUMMYFUNCTION("""COMPUTED_VALUE"""),"Knife of Jinx")</f>
        <v>Knife of Jinx</v>
      </c>
      <c r="B156" s="3"/>
      <c r="C156" s="3" t="str">
        <f>IFERROR(__xludf.DUMMYFUNCTION("""COMPUTED_VALUE"""),"Knife")</f>
        <v>Knife</v>
      </c>
      <c r="D156" s="3" t="str">
        <f>IFERROR(__xludf.DUMMYFUNCTION("""COMPUTED_VALUE"""),"Hand")</f>
        <v>Hand</v>
      </c>
      <c r="E156" s="3">
        <f>IFERROR(__xludf.DUMMYFUNCTION("""COMPUTED_VALUE"""),1.0)</f>
        <v>1</v>
      </c>
      <c r="F156" s="3"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3">
        <f>IFERROR(__xludf.DUMMYFUNCTION("""COMPUTED_VALUE"""),0.0)</f>
        <v>0</v>
      </c>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D156" s="3"/>
      <c r="BE156" s="3"/>
      <c r="BF156" s="3"/>
      <c r="BG156" s="3"/>
      <c r="BH156" s="3"/>
      <c r="BI156" s="3"/>
      <c r="BJ156" s="3"/>
      <c r="BK156" s="3"/>
      <c r="BL156" s="3"/>
    </row>
    <row r="157" ht="15.75" customHeight="1">
      <c r="A157" s="3" t="str">
        <f>IFERROR(__xludf.DUMMYFUNCTION("""COMPUTED_VALUE"""),"kraken's power ring")</f>
        <v>kraken's power ring</v>
      </c>
      <c r="B157" s="3"/>
      <c r="C157" s="3"/>
      <c r="D157" s="3" t="str">
        <f>IFERROR(__xludf.DUMMYFUNCTION("""COMPUTED_VALUE"""),"Ring")</f>
        <v>Ring</v>
      </c>
      <c r="E157" s="3">
        <f>IFERROR(__xludf.DUMMYFUNCTION("""COMPUTED_VALUE"""),1.0)</f>
        <v>1</v>
      </c>
      <c r="F157" s="3" t="str">
        <f>IFERROR(__xludf.DUMMYFUNCTION("""COMPUTED_VALUE""")," ++water based attacks double in damage. ++sp cost is halved for water spells only")</f>
        <v> ++water based attacks double in damage. ++sp cost is halved for water spells only</v>
      </c>
      <c r="G157" s="3">
        <f>IFERROR(__xludf.DUMMYFUNCTION("""COMPUTED_VALUE"""),0.0)</f>
        <v>0</v>
      </c>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D157" s="3"/>
      <c r="BE157" s="3"/>
      <c r="BF157" s="3"/>
      <c r="BG157" s="3"/>
      <c r="BH157" s="3"/>
      <c r="BI157" s="3"/>
      <c r="BJ157" s="3"/>
      <c r="BK157" s="3"/>
      <c r="BL157" s="3"/>
    </row>
    <row r="158" ht="15.75" customHeight="1">
      <c r="A158" s="3" t="str">
        <f>IFERROR(__xludf.DUMMYFUNCTION("""COMPUTED_VALUE"""),"Krakens Power Ring")</f>
        <v>Krakens Power Ring</v>
      </c>
      <c r="B158" s="3"/>
      <c r="C158" s="3"/>
      <c r="D158" s="3" t="str">
        <f>IFERROR(__xludf.DUMMYFUNCTION("""COMPUTED_VALUE"""),"Ring")</f>
        <v>Ring</v>
      </c>
      <c r="E158" s="3">
        <f>IFERROR(__xludf.DUMMYFUNCTION("""COMPUTED_VALUE"""),1.0)</f>
        <v>1</v>
      </c>
      <c r="F158" s="3" t="str">
        <f>IFERROR(__xludf.DUMMYFUNCTION("""COMPUTED_VALUE""")," ++water based attacks deal x2 damage, ++sp is halved for water spells only. +-(one use per battle)")</f>
        <v> ++water based attacks deal x2 damage, ++sp is halved for water spells only. +-(one use per battle)</v>
      </c>
      <c r="G158" s="3">
        <f>IFERROR(__xludf.DUMMYFUNCTION("""COMPUTED_VALUE"""),0.0)</f>
        <v>0</v>
      </c>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D158" s="3"/>
      <c r="BE158" s="3"/>
      <c r="BF158" s="3"/>
      <c r="BG158" s="3"/>
      <c r="BH158" s="3"/>
      <c r="BI158" s="3"/>
      <c r="BJ158" s="3"/>
      <c r="BK158" s="3"/>
      <c r="BL158" s="3"/>
    </row>
    <row r="159" ht="15.75" customHeight="1">
      <c r="A159" s="3" t="str">
        <f>IFERROR(__xludf.DUMMYFUNCTION("""COMPUTED_VALUE"""),"Lava Longsword")</f>
        <v>Lava Longsword</v>
      </c>
      <c r="B159" s="3"/>
      <c r="C159" s="3" t="str">
        <f>IFERROR(__xludf.DUMMYFUNCTION("""COMPUTED_VALUE"""),"Sword")</f>
        <v>Sword</v>
      </c>
      <c r="D159" s="3" t="str">
        <f>IFERROR(__xludf.DUMMYFUNCTION("""COMPUTED_VALUE"""),"Hand")</f>
        <v>Hand</v>
      </c>
      <c r="E159" s="3">
        <f>IFERROR(__xludf.DUMMYFUNCTION("""COMPUTED_VALUE"""),800.0)</f>
        <v>800</v>
      </c>
      <c r="F159" s="3" t="str">
        <f>IFERROR(__xludf.DUMMYFUNCTION("""COMPUTED_VALUE"""),"DMG: +20000, Fire DMG: +20000 ++Burn 10,000 for 3 rounds.")</f>
        <v>DMG: +20000, Fire DMG: +20000 ++Burn 10,000 for 3 rounds.</v>
      </c>
      <c r="G159" s="3">
        <f>IFERROR(__xludf.DUMMYFUNCTION("""COMPUTED_VALUE"""),3.16E7)</f>
        <v>31600000</v>
      </c>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D159" s="3"/>
      <c r="BE159" s="3"/>
      <c r="BF159" s="3"/>
      <c r="BG159" s="3"/>
      <c r="BH159" s="3"/>
      <c r="BI159" s="3"/>
      <c r="BJ159" s="3"/>
      <c r="BK159" s="3"/>
      <c r="BL159" s="3"/>
    </row>
    <row r="160" ht="15.75" customHeight="1">
      <c r="A160" s="3" t="str">
        <f>IFERROR(__xludf.DUMMYFUNCTION("""COMPUTED_VALUE"""),"Lazer Infused Sword")</f>
        <v>Lazer Infused Sword</v>
      </c>
      <c r="B160" s="3"/>
      <c r="C160" s="3" t="str">
        <f>IFERROR(__xludf.DUMMYFUNCTION("""COMPUTED_VALUE"""),"Sword")</f>
        <v>Sword</v>
      </c>
      <c r="D160" s="3" t="str">
        <f>IFERROR(__xludf.DUMMYFUNCTION("""COMPUTED_VALUE"""),"Hand")</f>
        <v>Hand</v>
      </c>
      <c r="E160" s="3">
        <f>IFERROR(__xludf.DUMMYFUNCTION("""COMPUTED_VALUE"""),600.0)</f>
        <v>600</v>
      </c>
      <c r="F160" s="3" t="str">
        <f>IFERROR(__xludf.DUMMYFUNCTION("""COMPUTED_VALUE"""),"DMG: +10000, Fire DMG: +10000, Blood DMG: +10000 ++Ignores Defense. +-Cannot be duplicated.")</f>
        <v>DMG: +10000, Fire DMG: +10000, Blood DMG: +10000 ++Ignores Defense. +-Cannot be duplicated.</v>
      </c>
      <c r="G160" s="3">
        <f>IFERROR(__xludf.DUMMYFUNCTION("""COMPUTED_VALUE"""),1.77E7)</f>
        <v>17700000</v>
      </c>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D160" s="3"/>
      <c r="BE160" s="3"/>
      <c r="BF160" s="3"/>
      <c r="BG160" s="3"/>
      <c r="BH160" s="3"/>
      <c r="BI160" s="3"/>
      <c r="BJ160" s="3"/>
      <c r="BK160" s="3"/>
      <c r="BL160" s="3"/>
    </row>
    <row r="161" ht="15.75" customHeight="1">
      <c r="A161" s="3" t="str">
        <f>IFERROR(__xludf.DUMMYFUNCTION("""COMPUTED_VALUE"""),"Legendary Sword of Heatmore")</f>
        <v>Legendary Sword of Heatmore</v>
      </c>
      <c r="B161" s="3"/>
      <c r="C161" s="3" t="str">
        <f>IFERROR(__xludf.DUMMYFUNCTION("""COMPUTED_VALUE"""),"Sword")</f>
        <v>Sword</v>
      </c>
      <c r="D161" s="3" t="str">
        <f>IFERROR(__xludf.DUMMYFUNCTION("""COMPUTED_VALUE"""),"Hand")</f>
        <v>Hand</v>
      </c>
      <c r="E161" s="3">
        <f>IFERROR(__xludf.DUMMYFUNCTION("""COMPUTED_VALUE"""),200.0)</f>
        <v>200</v>
      </c>
      <c r="F161" s="3"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3">
        <f>IFERROR(__xludf.DUMMYFUNCTION("""COMPUTED_VALUE"""),1.272E8)</f>
        <v>127200000</v>
      </c>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D161" s="3"/>
      <c r="BE161" s="3"/>
      <c r="BF161" s="3"/>
      <c r="BG161" s="3"/>
      <c r="BH161" s="3"/>
      <c r="BI161" s="3"/>
      <c r="BJ161" s="3"/>
      <c r="BK161" s="3"/>
      <c r="BL161" s="3"/>
    </row>
    <row r="162" ht="15.75" customHeight="1">
      <c r="A162" s="3" t="str">
        <f>IFERROR(__xludf.DUMMYFUNCTION("""COMPUTED_VALUE"""),"Legendary Tree Sword")</f>
        <v>Legendary Tree Sword</v>
      </c>
      <c r="B162" s="3"/>
      <c r="C162" s="3" t="str">
        <f>IFERROR(__xludf.DUMMYFUNCTION("""COMPUTED_VALUE"""),"Sword")</f>
        <v>Sword</v>
      </c>
      <c r="D162" s="3" t="str">
        <f>IFERROR(__xludf.DUMMYFUNCTION("""COMPUTED_VALUE"""),"Hand")</f>
        <v>Hand</v>
      </c>
      <c r="E162" s="3">
        <f>IFERROR(__xludf.DUMMYFUNCTION("""COMPUTED_VALUE"""),200.0)</f>
        <v>200</v>
      </c>
      <c r="F162" s="3"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3">
        <f>IFERROR(__xludf.DUMMYFUNCTION("""COMPUTED_VALUE"""),4.485E8)</f>
        <v>448500000</v>
      </c>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D162" s="3"/>
      <c r="BE162" s="3"/>
      <c r="BF162" s="3"/>
      <c r="BG162" s="3"/>
      <c r="BH162" s="3"/>
      <c r="BI162" s="3"/>
      <c r="BJ162" s="3"/>
      <c r="BK162" s="3"/>
      <c r="BL162" s="3"/>
    </row>
    <row r="163" ht="15.75" customHeight="1">
      <c r="A163" s="3" t="str">
        <f>IFERROR(__xludf.DUMMYFUNCTION("""COMPUTED_VALUE"""),"Leggings Of Tritonoch")</f>
        <v>Leggings Of Tritonoch</v>
      </c>
      <c r="B163" s="3"/>
      <c r="C163" s="3"/>
      <c r="D163" s="3" t="str">
        <f>IFERROR(__xludf.DUMMYFUNCTION("""COMPUTED_VALUE"""),"Legs")</f>
        <v>Legs</v>
      </c>
      <c r="E163" s="3">
        <f>IFERROR(__xludf.DUMMYFUNCTION("""COMPUTED_VALUE"""),400.0)</f>
        <v>400</v>
      </c>
      <c r="F163" s="3" t="str">
        <f>IFERROR(__xludf.DUMMYFUNCTION("""COMPUTED_VALUE"""),"DEF: +20000 ++Waves of Entitlement - x5 additional Water damage")</f>
        <v>DEF: +20000 ++Waves of Entitlement - x5 additional Water damage</v>
      </c>
      <c r="G163" s="3">
        <f>IFERROR(__xludf.DUMMYFUNCTION("""COMPUTED_VALUE"""),7800000.0)</f>
        <v>7800000</v>
      </c>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D163" s="3"/>
      <c r="BE163" s="3"/>
      <c r="BF163" s="3"/>
      <c r="BG163" s="3"/>
      <c r="BH163" s="3"/>
      <c r="BI163" s="3"/>
      <c r="BJ163" s="3"/>
      <c r="BK163" s="3"/>
      <c r="BL163" s="3"/>
    </row>
    <row r="164" ht="15.75" customHeight="1">
      <c r="A164" s="3" t="str">
        <f>IFERROR(__xludf.DUMMYFUNCTION("""COMPUTED_VALUE"""),"Lightning Lance")</f>
        <v>Lightning Lance</v>
      </c>
      <c r="B164" s="3"/>
      <c r="C164" s="3" t="str">
        <f>IFERROR(__xludf.DUMMYFUNCTION("""COMPUTED_VALUE"""),"Spear")</f>
        <v>Spear</v>
      </c>
      <c r="D164" s="3" t="str">
        <f>IFERROR(__xludf.DUMMYFUNCTION("""COMPUTED_VALUE"""),"Hand")</f>
        <v>Hand</v>
      </c>
      <c r="E164" s="3">
        <f>IFERROR(__xludf.DUMMYFUNCTION("""COMPUTED_VALUE"""),500.0)</f>
        <v>500</v>
      </c>
      <c r="F164" s="3" t="str">
        <f>IFERROR(__xludf.DUMMYFUNCTION("""COMPUTED_VALUE"""),"DMG: +10000, Storm DMG: +15000 ++Stun 2")</f>
        <v>DMG: +10000, Storm DMG: +15000 ++Stun 2</v>
      </c>
      <c r="G164" s="3">
        <f>IFERROR(__xludf.DUMMYFUNCTION("""COMPUTED_VALUE"""),1.225E7)</f>
        <v>12250000</v>
      </c>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D164" s="3"/>
      <c r="BE164" s="3"/>
      <c r="BF164" s="3"/>
      <c r="BG164" s="3"/>
      <c r="BH164" s="3"/>
      <c r="BI164" s="3"/>
      <c r="BJ164" s="3"/>
      <c r="BK164" s="3"/>
      <c r="BL164" s="3"/>
    </row>
    <row r="165" ht="15.75" customHeight="1">
      <c r="A165" s="3" t="str">
        <f>IFERROR(__xludf.DUMMYFUNCTION("""COMPUTED_VALUE"""),"Long Spear")</f>
        <v>Long Spear</v>
      </c>
      <c r="B165" s="3"/>
      <c r="C165" s="3" t="str">
        <f>IFERROR(__xludf.DUMMYFUNCTION("""COMPUTED_VALUE"""),"Spear")</f>
        <v>Spear</v>
      </c>
      <c r="D165" s="3" t="str">
        <f>IFERROR(__xludf.DUMMYFUNCTION("""COMPUTED_VALUE"""),"Hand")</f>
        <v>Hand</v>
      </c>
      <c r="E165" s="3">
        <f>IFERROR(__xludf.DUMMYFUNCTION("""COMPUTED_VALUE"""),10.0)</f>
        <v>10</v>
      </c>
      <c r="F165" s="3" t="str">
        <f>IFERROR(__xludf.DUMMYFUNCTION("""COMPUTED_VALUE"""),"DMG: +500 ++25% chance of instant death. ")</f>
        <v>DMG: +500 ++25% chance of instant death. </v>
      </c>
      <c r="G165" s="3">
        <f>IFERROR(__xludf.DUMMYFUNCTION("""COMPUTED_VALUE"""),1000.0)</f>
        <v>1000</v>
      </c>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D165" s="3"/>
      <c r="BE165" s="3"/>
      <c r="BF165" s="3"/>
      <c r="BG165" s="3"/>
      <c r="BH165" s="3"/>
      <c r="BI165" s="3"/>
      <c r="BJ165" s="3"/>
      <c r="BK165" s="3"/>
      <c r="BL165" s="3"/>
    </row>
    <row r="166" ht="15.75" customHeight="1">
      <c r="A166" s="3" t="str">
        <f>IFERROR(__xludf.DUMMYFUNCTION("""COMPUTED_VALUE"""),"Lord Dreadfuls Sword")</f>
        <v>Lord Dreadfuls Sword</v>
      </c>
      <c r="B166" s="3"/>
      <c r="C166" s="3" t="str">
        <f>IFERROR(__xludf.DUMMYFUNCTION("""COMPUTED_VALUE"""),"Sword")</f>
        <v>Sword</v>
      </c>
      <c r="D166" s="3" t="str">
        <f>IFERROR(__xludf.DUMMYFUNCTION("""COMPUTED_VALUE"""),"Hand")</f>
        <v>Hand</v>
      </c>
      <c r="E166" s="3">
        <f>IFERROR(__xludf.DUMMYFUNCTION("""COMPUTED_VALUE"""),800.0)</f>
        <v>800</v>
      </c>
      <c r="F166" s="3" t="str">
        <f>IFERROR(__xludf.DUMMYFUNCTION("""COMPUTED_VALUE"""),"DMG: +20000, Dark DMG: +10000, Chaos DMG: +10000")</f>
        <v>DMG: +20000, Dark DMG: +10000, Chaos DMG: +10000</v>
      </c>
      <c r="G166" s="3">
        <f>IFERROR(__xludf.DUMMYFUNCTION("""COMPUTED_VALUE"""),3.16E7)</f>
        <v>31600000</v>
      </c>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D166" s="3"/>
      <c r="BE166" s="3"/>
      <c r="BF166" s="3"/>
      <c r="BG166" s="3"/>
      <c r="BH166" s="3"/>
      <c r="BI166" s="3"/>
      <c r="BJ166" s="3"/>
      <c r="BK166" s="3"/>
      <c r="BL166" s="3"/>
    </row>
    <row r="167" ht="15.75" customHeight="1">
      <c r="A167" s="3" t="str">
        <f>IFERROR(__xludf.DUMMYFUNCTION("""COMPUTED_VALUE"""),"Magma Morningstar")</f>
        <v>Magma Morningstar</v>
      </c>
      <c r="B167" s="3"/>
      <c r="C167" s="3" t="str">
        <f>IFERROR(__xludf.DUMMYFUNCTION("""COMPUTED_VALUE"""),"Club")</f>
        <v>Club</v>
      </c>
      <c r="D167" s="3" t="str">
        <f>IFERROR(__xludf.DUMMYFUNCTION("""COMPUTED_VALUE"""),"Hand")</f>
        <v>Hand</v>
      </c>
      <c r="E167" s="3">
        <f>IFERROR(__xludf.DUMMYFUNCTION("""COMPUTED_VALUE"""),20.0)</f>
        <v>20</v>
      </c>
      <c r="F167" s="3" t="str">
        <f>IFERROR(__xludf.DUMMYFUNCTION("""COMPUTED_VALUE"""),"DMG: +500, Fire DMG: +400 ++Will return to you each round when thrown")</f>
        <v>DMG: +500, Fire DMG: +400 ++Will return to you each round when thrown</v>
      </c>
      <c r="G167" s="3">
        <f>IFERROR(__xludf.DUMMYFUNCTION("""COMPUTED_VALUE"""),1000.0)</f>
        <v>1000</v>
      </c>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D167" s="3"/>
      <c r="BE167" s="3"/>
      <c r="BF167" s="3"/>
      <c r="BG167" s="3"/>
      <c r="BH167" s="3"/>
      <c r="BI167" s="3"/>
      <c r="BJ167" s="3"/>
      <c r="BK167" s="3"/>
      <c r="BL167" s="3"/>
    </row>
    <row r="168" ht="15.75" customHeight="1">
      <c r="A168" s="3" t="str">
        <f>IFERROR(__xludf.DUMMYFUNCTION("""COMPUTED_VALUE"""),"Magma Sword")</f>
        <v>Magma Sword</v>
      </c>
      <c r="B168" s="3" t="str">
        <f>IFERROR(__xludf.DUMMYFUNCTION("""COMPUTED_VALUE"""),"A sword that turned Forest View into Ash View.")</f>
        <v>A sword that turned Forest View into Ash View.</v>
      </c>
      <c r="C168" s="3" t="str">
        <f>IFERROR(__xludf.DUMMYFUNCTION("""COMPUTED_VALUE"""),"Sword")</f>
        <v>Sword</v>
      </c>
      <c r="D168" s="3" t="str">
        <f>IFERROR(__xludf.DUMMYFUNCTION("""COMPUTED_VALUE"""),"Hand")</f>
        <v>Hand</v>
      </c>
      <c r="E168" s="3">
        <f>IFERROR(__xludf.DUMMYFUNCTION("""COMPUTED_VALUE"""),200.0)</f>
        <v>200</v>
      </c>
      <c r="F168" s="3"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3">
        <f>IFERROR(__xludf.DUMMYFUNCTION("""COMPUTED_VALUE"""),4.485E8)</f>
        <v>448500000</v>
      </c>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D168" s="3"/>
      <c r="BE168" s="3"/>
      <c r="BF168" s="3"/>
      <c r="BG168" s="3"/>
      <c r="BH168" s="3"/>
      <c r="BI168" s="3"/>
      <c r="BJ168" s="3"/>
      <c r="BK168" s="3"/>
      <c r="BL168" s="3"/>
    </row>
    <row r="169" ht="15.75" customHeight="1">
      <c r="A169" s="3" t="str">
        <f>IFERROR(__xludf.DUMMYFUNCTION("""COMPUTED_VALUE"""),"Masking Cloak")</f>
        <v>Masking Cloak</v>
      </c>
      <c r="B169" s="3"/>
      <c r="C169" s="3"/>
      <c r="D169" s="3" t="str">
        <f>IFERROR(__xludf.DUMMYFUNCTION("""COMPUTED_VALUE"""),"Torso")</f>
        <v>Torso</v>
      </c>
      <c r="E169" s="3">
        <f>IFERROR(__xludf.DUMMYFUNCTION("""COMPUTED_VALUE"""),1.0)</f>
        <v>1</v>
      </c>
      <c r="F169" s="3" t="str">
        <f>IFERROR(__xludf.DUMMYFUNCTION("""COMPUTED_VALUE""")," ++5 Evasion +-(Cannot be duplicated)")</f>
        <v> ++5 Evasion +-(Cannot be duplicated)</v>
      </c>
      <c r="G169" s="3">
        <f>IFERROR(__xludf.DUMMYFUNCTION("""COMPUTED_VALUE"""),0.0)</f>
        <v>0</v>
      </c>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D169" s="3"/>
      <c r="BE169" s="3"/>
      <c r="BF169" s="3"/>
      <c r="BG169" s="3"/>
      <c r="BH169" s="3"/>
      <c r="BI169" s="3"/>
      <c r="BJ169" s="3"/>
      <c r="BK169" s="3"/>
      <c r="BL169" s="3"/>
    </row>
    <row r="170" ht="15.75" customHeight="1">
      <c r="A170" s="3" t="str">
        <f>IFERROR(__xludf.DUMMYFUNCTION("""COMPUTED_VALUE"""),"Mini Lucky Fish in a Bottle")</f>
        <v>Mini Lucky Fish in a Bottle</v>
      </c>
      <c r="B170" s="3"/>
      <c r="C170" s="3" t="str">
        <f>IFERROR(__xludf.DUMMYFUNCTION("""COMPUTED_VALUE"""),"Wand")</f>
        <v>Wand</v>
      </c>
      <c r="D170" s="3" t="str">
        <f>IFERROR(__xludf.DUMMYFUNCTION("""COMPUTED_VALUE"""),"Hand")</f>
        <v>Hand</v>
      </c>
      <c r="E170" s="3">
        <f>IFERROR(__xludf.DUMMYFUNCTION("""COMPUTED_VALUE"""),1.0)</f>
        <v>1</v>
      </c>
      <c r="F170" s="3" t="str">
        <f>IFERROR(__xludf.DUMMYFUNCTION("""COMPUTED_VALUE""")," ++Percentage rolls are now increased by 10% for caster that holds this item. +-Can only equip one")</f>
        <v> ++Percentage rolls are now increased by 10% for caster that holds this item. +-Can only equip one</v>
      </c>
      <c r="G170" s="3">
        <f>IFERROR(__xludf.DUMMYFUNCTION("""COMPUTED_VALUE"""),0.0)</f>
        <v>0</v>
      </c>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D170" s="3"/>
      <c r="BE170" s="3"/>
      <c r="BF170" s="3"/>
      <c r="BG170" s="3"/>
      <c r="BH170" s="3"/>
      <c r="BI170" s="3"/>
      <c r="BJ170" s="3"/>
      <c r="BK170" s="3"/>
      <c r="BL170" s="3"/>
    </row>
    <row r="171" ht="15.75" customHeight="1">
      <c r="A171" s="3" t="str">
        <f>IFERROR(__xludf.DUMMYFUNCTION("""COMPUTED_VALUE"""),"Nature Faery Wand")</f>
        <v>Nature Faery Wand</v>
      </c>
      <c r="B171" s="3"/>
      <c r="C171" s="3" t="str">
        <f>IFERROR(__xludf.DUMMYFUNCTION("""COMPUTED_VALUE"""),"Wand")</f>
        <v>Wand</v>
      </c>
      <c r="D171" s="3" t="str">
        <f>IFERROR(__xludf.DUMMYFUNCTION("""COMPUTED_VALUE"""),"Hand")</f>
        <v>Hand</v>
      </c>
      <c r="E171" s="3">
        <f>IFERROR(__xludf.DUMMYFUNCTION("""COMPUTED_VALUE"""),1.0)</f>
        <v>1</v>
      </c>
      <c r="F171" s="3" t="str">
        <f>IFERROR(__xludf.DUMMYFUNCTION("""COMPUTED_VALUE""")," ++half the sp cost of nature spells")</f>
        <v> ++half the sp cost of nature spells</v>
      </c>
      <c r="G171" s="3">
        <f>IFERROR(__xludf.DUMMYFUNCTION("""COMPUTED_VALUE"""),0.0)</f>
        <v>0</v>
      </c>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D171" s="3"/>
      <c r="BE171" s="3"/>
      <c r="BF171" s="3"/>
      <c r="BG171" s="3"/>
      <c r="BH171" s="3"/>
      <c r="BI171" s="3"/>
      <c r="BJ171" s="3"/>
      <c r="BK171" s="3"/>
      <c r="BL171" s="3"/>
    </row>
    <row r="172" ht="15.75" customHeight="1">
      <c r="A172" s="3" t="str">
        <f>IFERROR(__xludf.DUMMYFUNCTION("""COMPUTED_VALUE"""),"Nature's Sword")</f>
        <v>Nature's Sword</v>
      </c>
      <c r="B172" s="3"/>
      <c r="C172" s="3" t="str">
        <f>IFERROR(__xludf.DUMMYFUNCTION("""COMPUTED_VALUE"""),"Sword")</f>
        <v>Sword</v>
      </c>
      <c r="D172" s="3" t="str">
        <f>IFERROR(__xludf.DUMMYFUNCTION("""COMPUTED_VALUE"""),"Hand")</f>
        <v>Hand</v>
      </c>
      <c r="E172" s="3">
        <f>IFERROR(__xludf.DUMMYFUNCTION("""COMPUTED_VALUE"""),40.0)</f>
        <v>40</v>
      </c>
      <c r="F172" s="3" t="str">
        <f>IFERROR(__xludf.DUMMYFUNCTION("""COMPUTED_VALUE"""),"DMG: +800, Nature DMG: +800 ++Upon a successful hit, the next turn you will automatically use the spell Tree Stance.")</f>
        <v>DMG: +800, Nature DMG: +800 ++Upon a successful hit, the next turn you will automatically use the spell Tree Stance.</v>
      </c>
      <c r="G172" s="3">
        <f>IFERROR(__xludf.DUMMYFUNCTION("""COMPUTED_VALUE"""),30000.0)</f>
        <v>30000</v>
      </c>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D172" s="3"/>
      <c r="BE172" s="3"/>
      <c r="BF172" s="3"/>
      <c r="BG172" s="3"/>
      <c r="BH172" s="3"/>
      <c r="BI172" s="3"/>
      <c r="BJ172" s="3"/>
      <c r="BK172" s="3"/>
      <c r="BL172" s="3"/>
    </row>
    <row r="173" ht="15.75" customHeight="1">
      <c r="A173" s="3" t="str">
        <f>IFERROR(__xludf.DUMMYFUNCTION("""COMPUTED_VALUE"""),"Necklace o' Lending")</f>
        <v>Necklace o' Lending</v>
      </c>
      <c r="B173" s="3"/>
      <c r="C173" s="3"/>
      <c r="D173" s="3" t="str">
        <f>IFERROR(__xludf.DUMMYFUNCTION("""COMPUTED_VALUE"""),"Neck")</f>
        <v>Neck</v>
      </c>
      <c r="E173" s="3">
        <f>IFERROR(__xludf.DUMMYFUNCTION("""COMPUTED_VALUE"""),1.0)</f>
        <v>1</v>
      </c>
      <c r="F173" s="3" t="str">
        <f>IFERROR(__xludf.DUMMYFUNCTION("""COMPUTED_VALUE""")," ++Decrease XHP and XSP from your character sheet and add that amount to another target.")</f>
        <v> ++Decrease XHP and XSP from your character sheet and add that amount to another target.</v>
      </c>
      <c r="G173" s="3">
        <f>IFERROR(__xludf.DUMMYFUNCTION("""COMPUTED_VALUE"""),0.0)</f>
        <v>0</v>
      </c>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D173" s="3"/>
      <c r="BE173" s="3"/>
      <c r="BF173" s="3"/>
      <c r="BG173" s="3"/>
      <c r="BH173" s="3"/>
      <c r="BI173" s="3"/>
      <c r="BJ173" s="3"/>
      <c r="BK173" s="3"/>
      <c r="BL173" s="3"/>
    </row>
    <row r="174" ht="15.75" customHeight="1">
      <c r="A174" s="3" t="str">
        <f>IFERROR(__xludf.DUMMYFUNCTION("""COMPUTED_VALUE"""),"Necklace Of Ancient Mountains")</f>
        <v>Necklace Of Ancient Mountains</v>
      </c>
      <c r="B174" s="3"/>
      <c r="C174" s="3"/>
      <c r="D174" s="3" t="str">
        <f>IFERROR(__xludf.DUMMYFUNCTION("""COMPUTED_VALUE"""),"Neck")</f>
        <v>Neck</v>
      </c>
      <c r="E174" s="3">
        <f>IFERROR(__xludf.DUMMYFUNCTION("""COMPUTED_VALUE"""),1.0)</f>
        <v>1</v>
      </c>
      <c r="F174" s="3"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3">
        <f>IFERROR(__xludf.DUMMYFUNCTION("""COMPUTED_VALUE"""),0.0)</f>
        <v>0</v>
      </c>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D174" s="3"/>
      <c r="BE174" s="3"/>
      <c r="BF174" s="3"/>
      <c r="BG174" s="3"/>
      <c r="BH174" s="3"/>
      <c r="BI174" s="3"/>
      <c r="BJ174" s="3"/>
      <c r="BK174" s="3"/>
      <c r="BL174" s="3"/>
    </row>
    <row r="175" ht="15.75" customHeight="1">
      <c r="A175" s="3" t="str">
        <f>IFERROR(__xludf.DUMMYFUNCTION("""COMPUTED_VALUE"""),"Necklace Of Heatmore")</f>
        <v>Necklace Of Heatmore</v>
      </c>
      <c r="B175" s="3"/>
      <c r="C175" s="3"/>
      <c r="D175" s="3" t="str">
        <f>IFERROR(__xludf.DUMMYFUNCTION("""COMPUTED_VALUE"""),"Neck")</f>
        <v>Neck</v>
      </c>
      <c r="E175" s="3">
        <f>IFERROR(__xludf.DUMMYFUNCTION("""COMPUTED_VALUE"""),1.0)</f>
        <v>1</v>
      </c>
      <c r="F175" s="3" t="str">
        <f>IFERROR(__xludf.DUMMYFUNCTION("""COMPUTED_VALUE""")," ++ +2 is added to your d20 roll.")</f>
        <v> ++ +2 is added to your d20 roll.</v>
      </c>
      <c r="G175" s="3">
        <f>IFERROR(__xludf.DUMMYFUNCTION("""COMPUTED_VALUE"""),0.0)</f>
        <v>0</v>
      </c>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D175" s="3"/>
      <c r="BE175" s="3"/>
      <c r="BF175" s="3"/>
      <c r="BG175" s="3"/>
      <c r="BH175" s="3"/>
      <c r="BI175" s="3"/>
      <c r="BJ175" s="3"/>
      <c r="BK175" s="3"/>
      <c r="BL175" s="3"/>
    </row>
    <row r="176" ht="15.75" customHeight="1">
      <c r="A176" s="3" t="str">
        <f>IFERROR(__xludf.DUMMYFUNCTION("""COMPUTED_VALUE"""),"Necklace of Shards")</f>
        <v>Necklace of Shards</v>
      </c>
      <c r="B176" s="3"/>
      <c r="C176" s="3"/>
      <c r="D176" s="3" t="str">
        <f>IFERROR(__xludf.DUMMYFUNCTION("""COMPUTED_VALUE"""),"Neck")</f>
        <v>Neck</v>
      </c>
      <c r="E176" s="3">
        <f>IFERROR(__xludf.DUMMYFUNCTION("""COMPUTED_VALUE"""),1.0)</f>
        <v>1</v>
      </c>
      <c r="F176" s="3" t="str">
        <f>IFERROR(__xludf.DUMMYFUNCTION("""COMPUTED_VALUE""")," ++X6 Chaos and Dark Damage. +-Cannot be duplicated.")</f>
        <v> ++X6 Chaos and Dark Damage. +-Cannot be duplicated.</v>
      </c>
      <c r="G176" s="3">
        <f>IFERROR(__xludf.DUMMYFUNCTION("""COMPUTED_VALUE"""),0.0)</f>
        <v>0</v>
      </c>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D176" s="3"/>
      <c r="BE176" s="3"/>
      <c r="BF176" s="3"/>
      <c r="BG176" s="3"/>
      <c r="BH176" s="3"/>
      <c r="BI176" s="3"/>
      <c r="BJ176" s="3"/>
      <c r="BK176" s="3"/>
      <c r="BL176" s="3"/>
    </row>
    <row r="177" ht="15.75" customHeight="1">
      <c r="A177" s="3" t="str">
        <f>IFERROR(__xludf.DUMMYFUNCTION("""COMPUTED_VALUE"""),"Necklace of The Lost Soul")</f>
        <v>Necklace of The Lost Soul</v>
      </c>
      <c r="B177" s="3"/>
      <c r="C177" s="3"/>
      <c r="D177" s="3" t="str">
        <f>IFERROR(__xludf.DUMMYFUNCTION("""COMPUTED_VALUE"""),"Neck")</f>
        <v>Neck</v>
      </c>
      <c r="E177" s="3">
        <f>IFERROR(__xludf.DUMMYFUNCTION("""COMPUTED_VALUE"""),1.0)</f>
        <v>1</v>
      </c>
      <c r="F177" s="3"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3">
        <f>IFERROR(__xludf.DUMMYFUNCTION("""COMPUTED_VALUE"""),0.0)</f>
        <v>0</v>
      </c>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D177" s="3"/>
      <c r="BE177" s="3"/>
      <c r="BF177" s="3"/>
      <c r="BG177" s="3"/>
      <c r="BH177" s="3"/>
      <c r="BI177" s="3"/>
      <c r="BJ177" s="3"/>
      <c r="BK177" s="3"/>
      <c r="BL177" s="3"/>
    </row>
    <row r="178" ht="15.75" customHeight="1">
      <c r="A178" s="3" t="str">
        <f>IFERROR(__xludf.DUMMYFUNCTION("""COMPUTED_VALUE"""),"Necklace of the Pumpkin")</f>
        <v>Necklace of the Pumpkin</v>
      </c>
      <c r="B178" s="3"/>
      <c r="C178" s="3"/>
      <c r="D178" s="3" t="str">
        <f>IFERROR(__xludf.DUMMYFUNCTION("""COMPUTED_VALUE"""),"Neck")</f>
        <v>Neck</v>
      </c>
      <c r="E178" s="3">
        <f>IFERROR(__xludf.DUMMYFUNCTION("""COMPUTED_VALUE"""),1.0)</f>
        <v>1</v>
      </c>
      <c r="F178" s="3" t="str">
        <f>IFERROR(__xludf.DUMMYFUNCTION("""COMPUTED_VALUE""")," ++Gives Immunity to Fire, Dark, and Nature damage")</f>
        <v> ++Gives Immunity to Fire, Dark, and Nature damage</v>
      </c>
      <c r="G178" s="3">
        <f>IFERROR(__xludf.DUMMYFUNCTION("""COMPUTED_VALUE"""),0.0)</f>
        <v>0</v>
      </c>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D178" s="3"/>
      <c r="BE178" s="3"/>
      <c r="BF178" s="3"/>
      <c r="BG178" s="3"/>
      <c r="BH178" s="3"/>
      <c r="BI178" s="3"/>
      <c r="BJ178" s="3"/>
      <c r="BK178" s="3"/>
      <c r="BL178" s="3"/>
    </row>
    <row r="179" ht="15.75" customHeight="1">
      <c r="A179" s="3" t="str">
        <f>IFERROR(__xludf.DUMMYFUNCTION("""COMPUTED_VALUE"""),"Necklace Of Tritonoch")</f>
        <v>Necklace Of Tritonoch</v>
      </c>
      <c r="B179" s="3"/>
      <c r="C179" s="3"/>
      <c r="D179" s="3" t="str">
        <f>IFERROR(__xludf.DUMMYFUNCTION("""COMPUTED_VALUE"""),"Neck")</f>
        <v>Neck</v>
      </c>
      <c r="E179" s="3">
        <f>IFERROR(__xludf.DUMMYFUNCTION("""COMPUTED_VALUE"""),1.0)</f>
        <v>1</v>
      </c>
      <c r="F179" s="3"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3">
        <f>IFERROR(__xludf.DUMMYFUNCTION("""COMPUTED_VALUE"""),0.0)</f>
        <v>0</v>
      </c>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D179" s="3"/>
      <c r="BE179" s="3"/>
      <c r="BF179" s="3"/>
      <c r="BG179" s="3"/>
      <c r="BH179" s="3"/>
      <c r="BI179" s="3"/>
      <c r="BJ179" s="3"/>
      <c r="BK179" s="3"/>
      <c r="BL179" s="3"/>
    </row>
    <row r="180" ht="15.75" customHeight="1">
      <c r="A180" s="3" t="str">
        <f>IFERROR(__xludf.DUMMYFUNCTION("""COMPUTED_VALUE"""),"Necklace of Waking Waters")</f>
        <v>Necklace of Waking Waters</v>
      </c>
      <c r="B180" s="3"/>
      <c r="C180" s="3"/>
      <c r="D180" s="3" t="str">
        <f>IFERROR(__xludf.DUMMYFUNCTION("""COMPUTED_VALUE"""),"Neck")</f>
        <v>Neck</v>
      </c>
      <c r="E180" s="3">
        <f>IFERROR(__xludf.DUMMYFUNCTION("""COMPUTED_VALUE"""),1.0)</f>
        <v>1</v>
      </c>
      <c r="F180" s="3" t="str">
        <f>IFERROR(__xludf.DUMMYFUNCTION("""COMPUTED_VALUE""")," ++Immunity to sleep. ++X4 Water damage.")</f>
        <v> ++Immunity to sleep. ++X4 Water damage.</v>
      </c>
      <c r="G180" s="3">
        <f>IFERROR(__xludf.DUMMYFUNCTION("""COMPUTED_VALUE"""),0.0)</f>
        <v>0</v>
      </c>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D180" s="3"/>
      <c r="BE180" s="3"/>
      <c r="BF180" s="3"/>
      <c r="BG180" s="3"/>
      <c r="BH180" s="3"/>
      <c r="BI180" s="3"/>
      <c r="BJ180" s="3"/>
      <c r="BK180" s="3"/>
      <c r="BL180" s="3"/>
    </row>
    <row r="181" ht="15.75" customHeight="1">
      <c r="A181" s="3" t="str">
        <f>IFERROR(__xludf.DUMMYFUNCTION("""COMPUTED_VALUE"""),"Necklace of Water Breathing")</f>
        <v>Necklace of Water Breathing</v>
      </c>
      <c r="B181" s="3"/>
      <c r="C181" s="3"/>
      <c r="D181" s="3" t="str">
        <f>IFERROR(__xludf.DUMMYFUNCTION("""COMPUTED_VALUE"""),"Neck")</f>
        <v>Neck</v>
      </c>
      <c r="E181" s="3">
        <f>IFERROR(__xludf.DUMMYFUNCTION("""COMPUTED_VALUE"""),1.0)</f>
        <v>1</v>
      </c>
      <c r="F181" s="3" t="str">
        <f>IFERROR(__xludf.DUMMYFUNCTION("""COMPUTED_VALUE""")," ++Allows you to breath underwater.")</f>
        <v> ++Allows you to breath underwater.</v>
      </c>
      <c r="G181" s="3">
        <f>IFERROR(__xludf.DUMMYFUNCTION("""COMPUTED_VALUE"""),0.0)</f>
        <v>0</v>
      </c>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D181" s="3"/>
      <c r="BE181" s="3"/>
      <c r="BF181" s="3"/>
      <c r="BG181" s="3"/>
      <c r="BH181" s="3"/>
      <c r="BI181" s="3"/>
      <c r="BJ181" s="3"/>
      <c r="BK181" s="3"/>
      <c r="BL181" s="3"/>
    </row>
    <row r="182" ht="15.75" customHeight="1">
      <c r="A182" s="3" t="str">
        <f>IFERROR(__xludf.DUMMYFUNCTION("""COMPUTED_VALUE"""),"Obsidian Chestplate")</f>
        <v>Obsidian Chestplate</v>
      </c>
      <c r="B182" s="3" t="str">
        <f>IFERROR(__xludf.DUMMYFUNCTION("""COMPUTED_VALUE"""),"Quest Item")</f>
        <v>Quest Item</v>
      </c>
      <c r="C182" s="3"/>
      <c r="D182" s="3" t="str">
        <f>IFERROR(__xludf.DUMMYFUNCTION("""COMPUTED_VALUE"""),"Torso")</f>
        <v>Torso</v>
      </c>
      <c r="E182" s="3">
        <f>IFERROR(__xludf.DUMMYFUNCTION("""COMPUTED_VALUE"""),4000.0)</f>
        <v>4000</v>
      </c>
      <c r="F182" s="3" t="str">
        <f>IFERROR(__xludf.DUMMYFUNCTION("""COMPUTED_VALUE"""),"DEF: +100000, Fire DEF: +100000 ++Fire Immunity. +-Cannot be duplicated.")</f>
        <v>DEF: +100000, Fire DEF: +100000 ++Fire Immunity. +-Cannot be duplicated.</v>
      </c>
      <c r="G182" s="3">
        <f>IFERROR(__xludf.DUMMYFUNCTION("""COMPUTED_VALUE"""),7.98E8)</f>
        <v>798000000</v>
      </c>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D182" s="3"/>
      <c r="BE182" s="3"/>
      <c r="BF182" s="3"/>
      <c r="BG182" s="3"/>
      <c r="BH182" s="3"/>
      <c r="BI182" s="3"/>
      <c r="BJ182" s="3"/>
      <c r="BK182" s="3"/>
      <c r="BL182" s="3"/>
    </row>
    <row r="183" ht="15.75" customHeight="1">
      <c r="A183" s="3" t="str">
        <f>IFERROR(__xludf.DUMMYFUNCTION("""COMPUTED_VALUE"""),"Ancient Oni Mask")</f>
        <v>Ancient Oni Mask</v>
      </c>
      <c r="B183" s="3" t="str">
        <f>IFERROR(__xludf.DUMMYFUNCTION("""COMPUTED_VALUE"""),"An ancient relic to Zhenmay")</f>
        <v>An ancient relic to Zhenmay</v>
      </c>
      <c r="C183" s="3"/>
      <c r="D183" s="3" t="str">
        <f>IFERROR(__xludf.DUMMYFUNCTION("""COMPUTED_VALUE"""),"Head")</f>
        <v>Head</v>
      </c>
      <c r="E183" s="3">
        <f>IFERROR(__xludf.DUMMYFUNCTION("""COMPUTED_VALUE"""),200.0)</f>
        <v>200</v>
      </c>
      <c r="F183" s="3"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3">
        <f>IFERROR(__xludf.DUMMYFUNCTION("""COMPUTED_VALUE"""),5.104E8)</f>
        <v>510400000</v>
      </c>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D183" s="3"/>
      <c r="BE183" s="3"/>
      <c r="BF183" s="3"/>
      <c r="BG183" s="3"/>
      <c r="BH183" s="3"/>
      <c r="BI183" s="3"/>
      <c r="BJ183" s="3"/>
      <c r="BK183" s="3"/>
      <c r="BL183" s="3"/>
    </row>
    <row r="184" ht="15.75" customHeight="1">
      <c r="A184" s="3" t="str">
        <f>IFERROR(__xludf.DUMMYFUNCTION("""COMPUTED_VALUE"""),"Pauldrons of Waking Waters")</f>
        <v>Pauldrons of Waking Waters</v>
      </c>
      <c r="B184" s="3"/>
      <c r="C184" s="3"/>
      <c r="D184" s="3" t="str">
        <f>IFERROR(__xludf.DUMMYFUNCTION("""COMPUTED_VALUE"""),"Shoulders")</f>
        <v>Shoulders</v>
      </c>
      <c r="E184" s="3">
        <f>IFERROR(__xludf.DUMMYFUNCTION("""COMPUTED_VALUE"""),200.0)</f>
        <v>200</v>
      </c>
      <c r="F184" s="3" t="str">
        <f>IFERROR(__xludf.DUMMYFUNCTION("""COMPUTED_VALUE"""),"DEF: +5000, Water DEF: +5000 ++X4 additional water damage for self.")</f>
        <v>DEF: +5000, Water DEF: +5000 ++X4 additional water damage for self.</v>
      </c>
      <c r="G184" s="3">
        <f>IFERROR(__xludf.DUMMYFUNCTION("""COMPUTED_VALUE"""),1900000.0)</f>
        <v>1900000</v>
      </c>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D184" s="3"/>
      <c r="BE184" s="3"/>
      <c r="BF184" s="3"/>
      <c r="BG184" s="3"/>
      <c r="BH184" s="3"/>
      <c r="BI184" s="3"/>
      <c r="BJ184" s="3"/>
      <c r="BK184" s="3"/>
      <c r="BL184" s="3"/>
    </row>
    <row r="185" ht="15.75" customHeight="1">
      <c r="A185" s="3" t="str">
        <f>IFERROR(__xludf.DUMMYFUNCTION("""COMPUTED_VALUE"""),"Pendent of the Sea Serpent")</f>
        <v>Pendent of the Sea Serpent</v>
      </c>
      <c r="B185" s="3"/>
      <c r="C185" s="3"/>
      <c r="D185" s="3" t="str">
        <f>IFERROR(__xludf.DUMMYFUNCTION("""COMPUTED_VALUE"""),"Neck")</f>
        <v>Neck</v>
      </c>
      <c r="E185" s="3">
        <f>IFERROR(__xludf.DUMMYFUNCTION("""COMPUTED_VALUE"""),1.0)</f>
        <v>1</v>
      </c>
      <c r="F185" s="3" t="str">
        <f>IFERROR(__xludf.DUMMYFUNCTION("""COMPUTED_VALUE""")," ++X2 Water Resistance.")</f>
        <v> ++X2 Water Resistance.</v>
      </c>
      <c r="G185" s="3">
        <f>IFERROR(__xludf.DUMMYFUNCTION("""COMPUTED_VALUE"""),0.0)</f>
        <v>0</v>
      </c>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D185" s="3"/>
      <c r="BE185" s="3"/>
      <c r="BF185" s="3"/>
      <c r="BG185" s="3"/>
      <c r="BH185" s="3"/>
      <c r="BI185" s="3"/>
      <c r="BJ185" s="3"/>
      <c r="BK185" s="3"/>
      <c r="BL185" s="3"/>
    </row>
    <row r="186" ht="15.75" customHeight="1">
      <c r="A186" s="3" t="str">
        <f>IFERROR(__xludf.DUMMYFUNCTION("""COMPUTED_VALUE"""),"Pendent of Confusion")</f>
        <v>Pendent of Confusion</v>
      </c>
      <c r="B186" s="3"/>
      <c r="C186" s="3"/>
      <c r="D186" s="3" t="str">
        <f>IFERROR(__xludf.DUMMYFUNCTION("""COMPUTED_VALUE"""),"Neck")</f>
        <v>Neck</v>
      </c>
      <c r="E186" s="3">
        <f>IFERROR(__xludf.DUMMYFUNCTION("""COMPUTED_VALUE"""),1.0)</f>
        <v>1</v>
      </c>
      <c r="F186" s="3"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3">
        <f>IFERROR(__xludf.DUMMYFUNCTION("""COMPUTED_VALUE"""),0.0)</f>
        <v>0</v>
      </c>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D186" s="3"/>
      <c r="BE186" s="3"/>
      <c r="BF186" s="3"/>
      <c r="BG186" s="3"/>
      <c r="BH186" s="3"/>
      <c r="BI186" s="3"/>
      <c r="BJ186" s="3"/>
      <c r="BK186" s="3"/>
      <c r="BL186" s="3"/>
    </row>
    <row r="187" ht="15.75" customHeight="1">
      <c r="A187" s="3" t="str">
        <f>IFERROR(__xludf.DUMMYFUNCTION("""COMPUTED_VALUE"""),"Pendent of Luck")</f>
        <v>Pendent of Luck</v>
      </c>
      <c r="B187" s="3"/>
      <c r="C187" s="3"/>
      <c r="D187" s="3" t="str">
        <f>IFERROR(__xludf.DUMMYFUNCTION("""COMPUTED_VALUE"""),"Neck")</f>
        <v>Neck</v>
      </c>
      <c r="E187" s="3">
        <f>IFERROR(__xludf.DUMMYFUNCTION("""COMPUTED_VALUE"""),1.0)</f>
        <v>1</v>
      </c>
      <c r="F187" s="3" t="str">
        <f>IFERROR(__xludf.DUMMYFUNCTION("""COMPUTED_VALUE""")," ++Plus 100 to each base Stat.")</f>
        <v> ++Plus 100 to each base Stat.</v>
      </c>
      <c r="G187" s="3">
        <f>IFERROR(__xludf.DUMMYFUNCTION("""COMPUTED_VALUE"""),0.0)</f>
        <v>0</v>
      </c>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D187" s="3"/>
      <c r="BE187" s="3"/>
      <c r="BF187" s="3"/>
      <c r="BG187" s="3"/>
      <c r="BH187" s="3"/>
      <c r="BI187" s="3"/>
      <c r="BJ187" s="3"/>
      <c r="BK187" s="3"/>
      <c r="BL187" s="3"/>
    </row>
    <row r="188" ht="15.75" customHeight="1">
      <c r="A188" s="3" t="str">
        <f>IFERROR(__xludf.DUMMYFUNCTION("""COMPUTED_VALUE"""),"Pillow of Dreams")</f>
        <v>Pillow of Dreams</v>
      </c>
      <c r="B188" s="3"/>
      <c r="C188" s="3" t="str">
        <f>IFERROR(__xludf.DUMMYFUNCTION("""COMPUTED_VALUE"""),"Towershield")</f>
        <v>Towershield</v>
      </c>
      <c r="D188" s="3" t="str">
        <f>IFERROR(__xludf.DUMMYFUNCTION("""COMPUTED_VALUE"""),"Hand")</f>
        <v>Hand</v>
      </c>
      <c r="E188" s="3">
        <f>IFERROR(__xludf.DUMMYFUNCTION("""COMPUTED_VALUE"""),200.0)</f>
        <v>200</v>
      </c>
      <c r="F188" s="3"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3">
        <f>IFERROR(__xludf.DUMMYFUNCTION("""COMPUTED_VALUE"""),1.2475E9)</f>
        <v>1247500000</v>
      </c>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D188" s="3"/>
      <c r="BE188" s="3"/>
      <c r="BF188" s="3"/>
      <c r="BG188" s="3"/>
      <c r="BH188" s="3"/>
      <c r="BI188" s="3"/>
      <c r="BJ188" s="3"/>
      <c r="BK188" s="3"/>
      <c r="BL188" s="3"/>
    </row>
    <row r="189" ht="15.75" customHeight="1">
      <c r="A189" s="3" t="str">
        <f>IFERROR(__xludf.DUMMYFUNCTION("""COMPUTED_VALUE"""),"Poison Vine Sword")</f>
        <v>Poison Vine Sword</v>
      </c>
      <c r="B189" s="3"/>
      <c r="C189" s="3" t="str">
        <f>IFERROR(__xludf.DUMMYFUNCTION("""COMPUTED_VALUE"""),"Sword")</f>
        <v>Sword</v>
      </c>
      <c r="D189" s="3" t="str">
        <f>IFERROR(__xludf.DUMMYFUNCTION("""COMPUTED_VALUE"""),"Hand")</f>
        <v>Hand</v>
      </c>
      <c r="E189" s="3">
        <f>IFERROR(__xludf.DUMMYFUNCTION("""COMPUTED_VALUE"""),2000.0)</f>
        <v>2000</v>
      </c>
      <c r="F189" s="3" t="str">
        <f>IFERROR(__xludf.DUMMYFUNCTION("""COMPUTED_VALUE"""),"DMG: +50000, Nature DMG: +50000 ++Poison 25,000")</f>
        <v>DMG: +50000, Nature DMG: +50000 ++Poison 25,000</v>
      </c>
      <c r="G189" s="3">
        <f>IFERROR(__xludf.DUMMYFUNCTION("""COMPUTED_VALUE"""),1.99E8)</f>
        <v>199000000</v>
      </c>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D189" s="3"/>
      <c r="BE189" s="3"/>
      <c r="BF189" s="3"/>
      <c r="BG189" s="3"/>
      <c r="BH189" s="3"/>
      <c r="BI189" s="3"/>
      <c r="BJ189" s="3"/>
      <c r="BK189" s="3"/>
      <c r="BL189" s="3"/>
    </row>
    <row r="190" ht="15.75" customHeight="1">
      <c r="A190" s="3" t="str">
        <f>IFERROR(__xludf.DUMMYFUNCTION("""COMPUTED_VALUE"""),"Poseidon's Boots")</f>
        <v>Poseidon's Boots</v>
      </c>
      <c r="B190" s="3"/>
      <c r="C190" s="3"/>
      <c r="D190" s="3" t="str">
        <f>IFERROR(__xludf.DUMMYFUNCTION("""COMPUTED_VALUE"""),"Feet")</f>
        <v>Feet</v>
      </c>
      <c r="E190" s="3">
        <f>IFERROR(__xludf.DUMMYFUNCTION("""COMPUTED_VALUE"""),400.0)</f>
        <v>400</v>
      </c>
      <c r="F190" s="3" t="str">
        <f>IFERROR(__xludf.DUMMYFUNCTION("""COMPUTED_VALUE"""),"DEF: +10000, Water DEF: +10000 ++X8 additional water damage for self.")</f>
        <v>DEF: +10000, Water DEF: +10000 ++X8 additional water damage for self.</v>
      </c>
      <c r="G190" s="3">
        <f>IFERROR(__xludf.DUMMYFUNCTION("""COMPUTED_VALUE"""),7800000.0)</f>
        <v>7800000</v>
      </c>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D190" s="3"/>
      <c r="BE190" s="3"/>
      <c r="BF190" s="3"/>
      <c r="BG190" s="3"/>
      <c r="BH190" s="3"/>
      <c r="BI190" s="3"/>
      <c r="BJ190" s="3"/>
      <c r="BK190" s="3"/>
      <c r="BL190" s="3"/>
    </row>
    <row r="191" ht="15.75" customHeight="1">
      <c r="A191" s="3" t="str">
        <f>IFERROR(__xludf.DUMMYFUNCTION("""COMPUTED_VALUE"""),"Poseidon's Chestplate")</f>
        <v>Poseidon's Chestplate</v>
      </c>
      <c r="B191" s="3"/>
      <c r="C191" s="3"/>
      <c r="D191" s="3" t="str">
        <f>IFERROR(__xludf.DUMMYFUNCTION("""COMPUTED_VALUE"""),"Torso")</f>
        <v>Torso</v>
      </c>
      <c r="E191" s="3">
        <f>IFERROR(__xludf.DUMMYFUNCTION("""COMPUTED_VALUE"""),800.0)</f>
        <v>800</v>
      </c>
      <c r="F191" s="3"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3">
        <f>IFERROR(__xludf.DUMMYFUNCTION("""COMPUTED_VALUE"""),3.16E7)</f>
        <v>31600000</v>
      </c>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D191" s="3"/>
      <c r="BE191" s="3"/>
      <c r="BF191" s="3"/>
      <c r="BG191" s="3"/>
      <c r="BH191" s="3"/>
      <c r="BI191" s="3"/>
      <c r="BJ191" s="3"/>
      <c r="BK191" s="3"/>
      <c r="BL191" s="3"/>
    </row>
    <row r="192" ht="15.75" customHeight="1">
      <c r="A192" s="3" t="str">
        <f>IFERROR(__xludf.DUMMYFUNCTION("""COMPUTED_VALUE"""),"Poseidon's Greaves")</f>
        <v>Poseidon's Greaves</v>
      </c>
      <c r="B192" s="3"/>
      <c r="C192" s="3"/>
      <c r="D192" s="3" t="str">
        <f>IFERROR(__xludf.DUMMYFUNCTION("""COMPUTED_VALUE"""),"Legs")</f>
        <v>Legs</v>
      </c>
      <c r="E192" s="3">
        <f>IFERROR(__xludf.DUMMYFUNCTION("""COMPUTED_VALUE"""),400.0)</f>
        <v>400</v>
      </c>
      <c r="F192" s="3" t="str">
        <f>IFERROR(__xludf.DUMMYFUNCTION("""COMPUTED_VALUE"""),"DEF: +10000, Water DEF: +10000 ++X8 additional water damage for self.")</f>
        <v>DEF: +10000, Water DEF: +10000 ++X8 additional water damage for self.</v>
      </c>
      <c r="G192" s="3">
        <f>IFERROR(__xludf.DUMMYFUNCTION("""COMPUTED_VALUE"""),7800000.0)</f>
        <v>7800000</v>
      </c>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D192" s="3"/>
      <c r="BE192" s="3"/>
      <c r="BF192" s="3"/>
      <c r="BG192" s="3"/>
      <c r="BH192" s="3"/>
      <c r="BI192" s="3"/>
      <c r="BJ192" s="3"/>
      <c r="BK192" s="3"/>
      <c r="BL192" s="3"/>
    </row>
    <row r="193" ht="15.75" customHeight="1">
      <c r="A193" s="3" t="str">
        <f>IFERROR(__xludf.DUMMYFUNCTION("""COMPUTED_VALUE"""),"Poseidon's Helmet")</f>
        <v>Poseidon's Helmet</v>
      </c>
      <c r="B193" s="3"/>
      <c r="C193" s="3"/>
      <c r="D193" s="3" t="str">
        <f>IFERROR(__xludf.DUMMYFUNCTION("""COMPUTED_VALUE"""),"Head")</f>
        <v>Head</v>
      </c>
      <c r="E193" s="3">
        <f>IFERROR(__xludf.DUMMYFUNCTION("""COMPUTED_VALUE"""),400.0)</f>
        <v>400</v>
      </c>
      <c r="F193" s="3" t="str">
        <f>IFERROR(__xludf.DUMMYFUNCTION("""COMPUTED_VALUE"""),"DEF: +10000, Water DEF: +10000 ++X8 additional water damage for self.")</f>
        <v>DEF: +10000, Water DEF: +10000 ++X8 additional water damage for self.</v>
      </c>
      <c r="G193" s="3">
        <f>IFERROR(__xludf.DUMMYFUNCTION("""COMPUTED_VALUE"""),7800000.0)</f>
        <v>7800000</v>
      </c>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D193" s="3"/>
      <c r="BE193" s="3"/>
      <c r="BF193" s="3"/>
      <c r="BG193" s="3"/>
      <c r="BH193" s="3"/>
      <c r="BI193" s="3"/>
      <c r="BJ193" s="3"/>
      <c r="BK193" s="3"/>
      <c r="BL193" s="3"/>
    </row>
    <row r="194" ht="15.75" customHeight="1">
      <c r="A194" s="3" t="str">
        <f>IFERROR(__xludf.DUMMYFUNCTION("""COMPUTED_VALUE"""),"Poseidon's Pauldrons")</f>
        <v>Poseidon's Pauldrons</v>
      </c>
      <c r="B194" s="3"/>
      <c r="C194" s="3"/>
      <c r="D194" s="3" t="str">
        <f>IFERROR(__xludf.DUMMYFUNCTION("""COMPUTED_VALUE"""),"Shoulders")</f>
        <v>Shoulders</v>
      </c>
      <c r="E194" s="3">
        <f>IFERROR(__xludf.DUMMYFUNCTION("""COMPUTED_VALUE"""),400.0)</f>
        <v>400</v>
      </c>
      <c r="F194" s="3" t="str">
        <f>IFERROR(__xludf.DUMMYFUNCTION("""COMPUTED_VALUE"""),"DEF: +10000, Water DEF: +10000 ++X8 additional water damage for self.")</f>
        <v>DEF: +10000, Water DEF: +10000 ++X8 additional water damage for self.</v>
      </c>
      <c r="G194" s="3">
        <f>IFERROR(__xludf.DUMMYFUNCTION("""COMPUTED_VALUE"""),7800000.0)</f>
        <v>7800000</v>
      </c>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D194" s="3"/>
      <c r="BE194" s="3"/>
      <c r="BF194" s="3"/>
      <c r="BG194" s="3"/>
      <c r="BH194" s="3"/>
      <c r="BI194" s="3"/>
      <c r="BJ194" s="3"/>
      <c r="BK194" s="3"/>
      <c r="BL194" s="3"/>
    </row>
    <row r="195" ht="15.75" customHeight="1">
      <c r="A195" s="3" t="str">
        <f>IFERROR(__xludf.DUMMYFUNCTION("""COMPUTED_VALUE"""),"Poseidon's Ring")</f>
        <v>Poseidon's Ring</v>
      </c>
      <c r="B195" s="3"/>
      <c r="C195" s="3"/>
      <c r="D195" s="3" t="str">
        <f>IFERROR(__xludf.DUMMYFUNCTION("""COMPUTED_VALUE"""),"Ring")</f>
        <v>Ring</v>
      </c>
      <c r="E195" s="3">
        <f>IFERROR(__xludf.DUMMYFUNCTION("""COMPUTED_VALUE"""),20.0)</f>
        <v>20</v>
      </c>
      <c r="F195" s="3" t="str">
        <f>IFERROR(__xludf.DUMMYFUNCTION("""COMPUTED_VALUE"""),"DEF: +1000 ++X8 additional water damage for self. ")</f>
        <v>DEF: +1000 ++X8 additional water damage for self. </v>
      </c>
      <c r="G195" s="3">
        <f>IFERROR(__xludf.DUMMYFUNCTION("""COMPUTED_VALUE"""),10000.0)</f>
        <v>10000</v>
      </c>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D195" s="3"/>
      <c r="BE195" s="3"/>
      <c r="BF195" s="3"/>
      <c r="BG195" s="3"/>
      <c r="BH195" s="3"/>
      <c r="BI195" s="3"/>
      <c r="BJ195" s="3"/>
      <c r="BK195" s="3"/>
      <c r="BL195" s="3"/>
    </row>
    <row r="196" ht="15.75" customHeight="1">
      <c r="A196" s="3" t="str">
        <f>IFERROR(__xludf.DUMMYFUNCTION("""COMPUTED_VALUE"""),"Poseidon's Sword")</f>
        <v>Poseidon's Sword</v>
      </c>
      <c r="B196" s="3"/>
      <c r="C196" s="3" t="str">
        <f>IFERROR(__xludf.DUMMYFUNCTION("""COMPUTED_VALUE"""),"Sword")</f>
        <v>Sword</v>
      </c>
      <c r="D196" s="3" t="str">
        <f>IFERROR(__xludf.DUMMYFUNCTION("""COMPUTED_VALUE"""),"Hand")</f>
        <v>Hand</v>
      </c>
      <c r="E196" s="3">
        <f>IFERROR(__xludf.DUMMYFUNCTION("""COMPUTED_VALUE"""),200.0)</f>
        <v>200</v>
      </c>
      <c r="F196" s="3"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3">
        <f>IFERROR(__xludf.DUMMYFUNCTION("""COMPUTED_VALUE"""),1.99E8)</f>
        <v>199000000</v>
      </c>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D196" s="3"/>
      <c r="BE196" s="3"/>
      <c r="BF196" s="3"/>
      <c r="BG196" s="3"/>
      <c r="BH196" s="3"/>
      <c r="BI196" s="3"/>
      <c r="BJ196" s="3"/>
      <c r="BK196" s="3"/>
      <c r="BL196" s="3"/>
    </row>
    <row r="197" ht="15.75" customHeight="1">
      <c r="A197" s="3" t="str">
        <f>IFERROR(__xludf.DUMMYFUNCTION("""COMPUTED_VALUE"""),"Poseidon's Trident")</f>
        <v>Poseidon's Trident</v>
      </c>
      <c r="B197" s="3"/>
      <c r="C197" s="3" t="str">
        <f>IFERROR(__xludf.DUMMYFUNCTION("""COMPUTED_VALUE"""),"Spear")</f>
        <v>Spear</v>
      </c>
      <c r="D197" s="3" t="str">
        <f>IFERROR(__xludf.DUMMYFUNCTION("""COMPUTED_VALUE"""),"Hand")</f>
        <v>Hand</v>
      </c>
      <c r="E197" s="3">
        <f>IFERROR(__xludf.DUMMYFUNCTION("""COMPUTED_VALUE"""),200.0)</f>
        <v>200</v>
      </c>
      <c r="F197" s="3"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3">
        <f>IFERROR(__xludf.DUMMYFUNCTION("""COMPUTED_VALUE"""),3.1125E8)</f>
        <v>311250000</v>
      </c>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D197" s="3"/>
      <c r="BE197" s="3"/>
      <c r="BF197" s="3"/>
      <c r="BG197" s="3"/>
      <c r="BH197" s="3"/>
      <c r="BI197" s="3"/>
      <c r="BJ197" s="3"/>
      <c r="BK197" s="3"/>
      <c r="BL197" s="3"/>
    </row>
    <row r="198" ht="15.75" customHeight="1">
      <c r="A198" s="3" t="str">
        <f>IFERROR(__xludf.DUMMYFUNCTION("""COMPUTED_VALUE"""),"Poseidon's Vambraces")</f>
        <v>Poseidon's Vambraces</v>
      </c>
      <c r="B198" s="3"/>
      <c r="C198" s="3"/>
      <c r="D198" s="3" t="str">
        <f>IFERROR(__xludf.DUMMYFUNCTION("""COMPUTED_VALUE"""),"Arms")</f>
        <v>Arms</v>
      </c>
      <c r="E198" s="3">
        <f>IFERROR(__xludf.DUMMYFUNCTION("""COMPUTED_VALUE"""),400.0)</f>
        <v>400</v>
      </c>
      <c r="F198" s="3" t="str">
        <f>IFERROR(__xludf.DUMMYFUNCTION("""COMPUTED_VALUE"""),"DEF: +10000, Water DEF: +10000 ++X8 additional water damage for self.")</f>
        <v>DEF: +10000, Water DEF: +10000 ++X8 additional water damage for self.</v>
      </c>
      <c r="G198" s="3">
        <f>IFERROR(__xludf.DUMMYFUNCTION("""COMPUTED_VALUE"""),7800000.0)</f>
        <v>7800000</v>
      </c>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D198" s="3"/>
      <c r="BE198" s="3"/>
      <c r="BF198" s="3"/>
      <c r="BG198" s="3"/>
      <c r="BH198" s="3"/>
      <c r="BI198" s="3"/>
      <c r="BJ198" s="3"/>
      <c r="BK198" s="3"/>
      <c r="BL198" s="3"/>
    </row>
    <row r="199" ht="15.75" customHeight="1">
      <c r="A199" s="3" t="str">
        <f>IFERROR(__xludf.DUMMYFUNCTION("""COMPUTED_VALUE"""),"Riftblade")</f>
        <v>Riftblade</v>
      </c>
      <c r="B199" s="3" t="str">
        <f>IFERROR(__xludf.DUMMYFUNCTION("""COMPUTED_VALUE"""),"An ancient blade from a forgotten time")</f>
        <v>An ancient blade from a forgotten time</v>
      </c>
      <c r="C199" s="3" t="str">
        <f>IFERROR(__xludf.DUMMYFUNCTION("""COMPUTED_VALUE"""),"Sword")</f>
        <v>Sword</v>
      </c>
      <c r="D199" s="3" t="str">
        <f>IFERROR(__xludf.DUMMYFUNCTION("""COMPUTED_VALUE"""),"Hand")</f>
        <v>Hand</v>
      </c>
      <c r="E199" s="3">
        <f>IFERROR(__xludf.DUMMYFUNCTION("""COMPUTED_VALUE"""),600.0)</f>
        <v>600</v>
      </c>
      <c r="F199" s="3" t="str">
        <f>IFERROR(__xludf.DUMMYFUNCTION("""COMPUTED_VALUE"""),"DMG: +10000, Chaos DMG: +10000, Nature DMG: +10000")</f>
        <v>DMG: +10000, Chaos DMG: +10000, Nature DMG: +10000</v>
      </c>
      <c r="G199" s="3">
        <f>IFERROR(__xludf.DUMMYFUNCTION("""COMPUTED_VALUE"""),1.77E7)</f>
        <v>17700000</v>
      </c>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D199" s="3"/>
      <c r="BE199" s="3"/>
      <c r="BF199" s="3"/>
      <c r="BG199" s="3"/>
      <c r="BH199" s="3"/>
      <c r="BI199" s="3"/>
      <c r="BJ199" s="3"/>
      <c r="BK199" s="3"/>
      <c r="BL199" s="3"/>
    </row>
    <row r="200" ht="15.75" customHeight="1">
      <c r="A200" s="3" t="str">
        <f>IFERROR(__xludf.DUMMYFUNCTION("""COMPUTED_VALUE"""),"Ring o’ Luck and Nature")</f>
        <v>Ring o’ Luck and Nature</v>
      </c>
      <c r="B200" s="3"/>
      <c r="C200" s="3"/>
      <c r="D200" s="3" t="str">
        <f>IFERROR(__xludf.DUMMYFUNCTION("""COMPUTED_VALUE"""),"Ring")</f>
        <v>Ring</v>
      </c>
      <c r="E200" s="3">
        <f>IFERROR(__xludf.DUMMYFUNCTION("""COMPUTED_VALUE"""),1.0)</f>
        <v>1</v>
      </c>
      <c r="F200" s="3" t="str">
        <f>IFERROR(__xludf.DUMMYFUNCTION("""COMPUTED_VALUE""")," ++Immunity to nature damage, ++increases the roll of a d20 by 2. +-Can only equip one")</f>
        <v> ++Immunity to nature damage, ++increases the roll of a d20 by 2. +-Can only equip one</v>
      </c>
      <c r="G200" s="3">
        <f>IFERROR(__xludf.DUMMYFUNCTION("""COMPUTED_VALUE"""),0.0)</f>
        <v>0</v>
      </c>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D200" s="3"/>
      <c r="BE200" s="3"/>
      <c r="BF200" s="3"/>
      <c r="BG200" s="3"/>
      <c r="BH200" s="3"/>
      <c r="BI200" s="3"/>
      <c r="BJ200" s="3"/>
      <c r="BK200" s="3"/>
      <c r="BL200" s="3"/>
    </row>
    <row r="201" ht="15.75" customHeight="1">
      <c r="A201" s="3" t="str">
        <f>IFERROR(__xludf.DUMMYFUNCTION("""COMPUTED_VALUE"""),"Ring of Darkness")</f>
        <v>Ring of Darkness</v>
      </c>
      <c r="B201" s="3"/>
      <c r="C201" s="3"/>
      <c r="D201" s="3" t="str">
        <f>IFERROR(__xludf.DUMMYFUNCTION("""COMPUTED_VALUE"""),"Ring")</f>
        <v>Ring</v>
      </c>
      <c r="E201" s="3">
        <f>IFERROR(__xludf.DUMMYFUNCTION("""COMPUTED_VALUE"""),1.0)</f>
        <v>1</v>
      </c>
      <c r="F201" s="3"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3">
        <f>IFERROR(__xludf.DUMMYFUNCTION("""COMPUTED_VALUE"""),0.0)</f>
        <v>0</v>
      </c>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D201" s="3"/>
      <c r="BE201" s="3"/>
      <c r="BF201" s="3"/>
      <c r="BG201" s="3"/>
      <c r="BH201" s="3"/>
      <c r="BI201" s="3"/>
      <c r="BJ201" s="3"/>
      <c r="BK201" s="3"/>
      <c r="BL201" s="3"/>
    </row>
    <row r="202" ht="15.75" customHeight="1">
      <c r="A202" s="3" t="str">
        <f>IFERROR(__xludf.DUMMYFUNCTION("""COMPUTED_VALUE"""),"Ring of Death")</f>
        <v>Ring of Death</v>
      </c>
      <c r="B202" s="3"/>
      <c r="C202" s="3"/>
      <c r="D202" s="3" t="str">
        <f>IFERROR(__xludf.DUMMYFUNCTION("""COMPUTED_VALUE"""),"Ring")</f>
        <v>Ring</v>
      </c>
      <c r="E202" s="3">
        <f>IFERROR(__xludf.DUMMYFUNCTION("""COMPUTED_VALUE"""),1.0)</f>
        <v>1</v>
      </c>
      <c r="F202" s="3" t="str">
        <f>IFERROR(__xludf.DUMMYFUNCTION("""COMPUTED_VALUE""")," ++Causes instant death with a fail/succeed roll.")</f>
        <v> ++Causes instant death with a fail/succeed roll.</v>
      </c>
      <c r="G202" s="3">
        <f>IFERROR(__xludf.DUMMYFUNCTION("""COMPUTED_VALUE"""),0.0)</f>
        <v>0</v>
      </c>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D202" s="3"/>
      <c r="BE202" s="3"/>
      <c r="BF202" s="3"/>
      <c r="BG202" s="3"/>
      <c r="BH202" s="3"/>
      <c r="BI202" s="3"/>
      <c r="BJ202" s="3"/>
      <c r="BK202" s="3"/>
      <c r="BL202" s="3"/>
    </row>
    <row r="203" ht="15.75" customHeight="1">
      <c r="A203" s="3" t="str">
        <f>IFERROR(__xludf.DUMMYFUNCTION("""COMPUTED_VALUE"""),"Ring Of Dwelling Waters")</f>
        <v>Ring Of Dwelling Waters</v>
      </c>
      <c r="B203" s="3"/>
      <c r="C203" s="3"/>
      <c r="D203" s="3" t="str">
        <f>IFERROR(__xludf.DUMMYFUNCTION("""COMPUTED_VALUE"""),"Ring")</f>
        <v>Ring</v>
      </c>
      <c r="E203" s="3">
        <f>IFERROR(__xludf.DUMMYFUNCTION("""COMPUTED_VALUE"""),1.0)</f>
        <v>1</v>
      </c>
      <c r="F203" s="3" t="str">
        <f>IFERROR(__xludf.DUMMYFUNCTION("""COMPUTED_VALUE"""),", Fire : +  ++X2 Water and Dark damage.")</f>
        <v>, Fire : +  ++X2 Water and Dark damage.</v>
      </c>
      <c r="G203" s="3">
        <f>IFERROR(__xludf.DUMMYFUNCTION("""COMPUTED_VALUE"""),0.0)</f>
        <v>0</v>
      </c>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D203" s="3"/>
      <c r="BE203" s="3"/>
      <c r="BF203" s="3"/>
      <c r="BG203" s="3"/>
      <c r="BH203" s="3"/>
      <c r="BI203" s="3"/>
      <c r="BJ203" s="3"/>
      <c r="BK203" s="3"/>
      <c r="BL203" s="3"/>
    </row>
    <row r="204" ht="15.75" customHeight="1">
      <c r="A204" s="3" t="str">
        <f>IFERROR(__xludf.DUMMYFUNCTION("""COMPUTED_VALUE"""),"Ring of Endless Souls")</f>
        <v>Ring of Endless Souls</v>
      </c>
      <c r="B204" s="3"/>
      <c r="C204" s="3"/>
      <c r="D204" s="3" t="str">
        <f>IFERROR(__xludf.DUMMYFUNCTION("""COMPUTED_VALUE"""),"Ring")</f>
        <v>Ring</v>
      </c>
      <c r="E204" s="3">
        <f>IFERROR(__xludf.DUMMYFUNCTION("""COMPUTED_VALUE"""),1.0)</f>
        <v>1</v>
      </c>
      <c r="F204" s="3" t="str">
        <f>IFERROR(__xludf.DUMMYFUNCTION("""COMPUTED_VALUE""")," ++0 Def ++Soul Enchanted - Every time you enchant a soul into this item increase the Def of this item by 10. ")</f>
        <v> ++0 Def ++Soul Enchanted - Every time you enchant a soul into this item increase the Def of this item by 10. </v>
      </c>
      <c r="G204" s="3">
        <f>IFERROR(__xludf.DUMMYFUNCTION("""COMPUTED_VALUE"""),0.0)</f>
        <v>0</v>
      </c>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D204" s="3"/>
      <c r="BE204" s="3"/>
      <c r="BF204" s="3"/>
      <c r="BG204" s="3"/>
      <c r="BH204" s="3"/>
      <c r="BI204" s="3"/>
      <c r="BJ204" s="3"/>
      <c r="BK204" s="3"/>
      <c r="BL204" s="3"/>
    </row>
    <row r="205" ht="15.75" customHeight="1">
      <c r="A205" s="3" t="str">
        <f>IFERROR(__xludf.DUMMYFUNCTION("""COMPUTED_VALUE"""),"Ring of Healing")</f>
        <v>Ring of Healing</v>
      </c>
      <c r="B205" s="3"/>
      <c r="C205" s="3"/>
      <c r="D205" s="3" t="str">
        <f>IFERROR(__xludf.DUMMYFUNCTION("""COMPUTED_VALUE"""),"Ring")</f>
        <v>Ring</v>
      </c>
      <c r="E205" s="3">
        <f>IFERROR(__xludf.DUMMYFUNCTION("""COMPUTED_VALUE"""),1.0)</f>
        <v>1</v>
      </c>
      <c r="F205" s="3" t="str">
        <f>IFERROR(__xludf.DUMMYFUNCTION("""COMPUTED_VALUE""")," ++500 hp per round.")</f>
        <v> ++500 hp per round.</v>
      </c>
      <c r="G205" s="3">
        <f>IFERROR(__xludf.DUMMYFUNCTION("""COMPUTED_VALUE"""),0.0)</f>
        <v>0</v>
      </c>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D205" s="3"/>
      <c r="BE205" s="3"/>
      <c r="BF205" s="3"/>
      <c r="BG205" s="3"/>
      <c r="BH205" s="3"/>
      <c r="BI205" s="3"/>
      <c r="BJ205" s="3"/>
      <c r="BK205" s="3"/>
      <c r="BL205" s="3"/>
    </row>
    <row r="206" ht="15.75" customHeight="1">
      <c r="A206" s="3" t="str">
        <f>IFERROR(__xludf.DUMMYFUNCTION("""COMPUTED_VALUE"""),"Ring of Invulnerability ")</f>
        <v>Ring of Invulnerability </v>
      </c>
      <c r="B206" s="3"/>
      <c r="C206" s="3"/>
      <c r="D206" s="3" t="str">
        <f>IFERROR(__xludf.DUMMYFUNCTION("""COMPUTED_VALUE"""),"Ring")</f>
        <v>Ring</v>
      </c>
      <c r="E206" s="3">
        <f>IFERROR(__xludf.DUMMYFUNCTION("""COMPUTED_VALUE"""),1.0)</f>
        <v>1</v>
      </c>
      <c r="F206" s="3"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3">
        <f>IFERROR(__xludf.DUMMYFUNCTION("""COMPUTED_VALUE"""),0.0)</f>
        <v>0</v>
      </c>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D206" s="3"/>
      <c r="BE206" s="3"/>
      <c r="BF206" s="3"/>
      <c r="BG206" s="3"/>
      <c r="BH206" s="3"/>
      <c r="BI206" s="3"/>
      <c r="BJ206" s="3"/>
      <c r="BK206" s="3"/>
      <c r="BL206" s="3"/>
    </row>
    <row r="207" ht="15.75" customHeight="1">
      <c r="A207" s="3" t="str">
        <f>IFERROR(__xludf.DUMMYFUNCTION("""COMPUTED_VALUE"""),"Ring of Pure Chaos")</f>
        <v>Ring of Pure Chaos</v>
      </c>
      <c r="B207" s="3"/>
      <c r="C207" s="3"/>
      <c r="D207" s="3" t="str">
        <f>IFERROR(__xludf.DUMMYFUNCTION("""COMPUTED_VALUE"""),"Ring")</f>
        <v>Ring</v>
      </c>
      <c r="E207" s="3">
        <f>IFERROR(__xludf.DUMMYFUNCTION("""COMPUTED_VALUE"""),1.0)</f>
        <v>1</v>
      </c>
      <c r="F207" s="3" t="str">
        <f>IFERROR(__xludf.DUMMYFUNCTION("""COMPUTED_VALUE""")," ++X2 Chaos damage, ++ +5 Charisma and Intimidation. +-Cannot be forged +-Cannot be duplicated +-Can only equip one")</f>
        <v> ++X2 Chaos damage, ++ +5 Charisma and Intimidation. +-Cannot be forged +-Cannot be duplicated +-Can only equip one</v>
      </c>
      <c r="G207" s="3">
        <f>IFERROR(__xludf.DUMMYFUNCTION("""COMPUTED_VALUE"""),0.0)</f>
        <v>0</v>
      </c>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D207" s="3"/>
      <c r="BE207" s="3"/>
      <c r="BF207" s="3"/>
      <c r="BG207" s="3"/>
      <c r="BH207" s="3"/>
      <c r="BI207" s="3"/>
      <c r="BJ207" s="3"/>
      <c r="BK207" s="3"/>
      <c r="BL207" s="3"/>
    </row>
    <row r="208" ht="15.75" customHeight="1">
      <c r="A208" s="3" t="str">
        <f>IFERROR(__xludf.DUMMYFUNCTION("""COMPUTED_VALUE"""),"Ring of Pure Defense")</f>
        <v>Ring of Pure Defense</v>
      </c>
      <c r="B208" s="3"/>
      <c r="C208" s="3"/>
      <c r="D208" s="3" t="str">
        <f>IFERROR(__xludf.DUMMYFUNCTION("""COMPUTED_VALUE"""),"Ring")</f>
        <v>Ring</v>
      </c>
      <c r="E208" s="3">
        <f>IFERROR(__xludf.DUMMYFUNCTION("""COMPUTED_VALUE"""),1.0)</f>
        <v>1</v>
      </c>
      <c r="F208" s="3" t="str">
        <f>IFERROR(__xludf.DUMMYFUNCTION("""COMPUTED_VALUE""")," ++Half the damage taken from the next attack 100SP Will Succeed.")</f>
        <v> ++Half the damage taken from the next attack 100SP Will Succeed.</v>
      </c>
      <c r="G208" s="3">
        <f>IFERROR(__xludf.DUMMYFUNCTION("""COMPUTED_VALUE"""),0.0)</f>
        <v>0</v>
      </c>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D208" s="3"/>
      <c r="BE208" s="3"/>
      <c r="BF208" s="3"/>
      <c r="BG208" s="3"/>
      <c r="BH208" s="3"/>
      <c r="BI208" s="3"/>
      <c r="BJ208" s="3"/>
      <c r="BK208" s="3"/>
      <c r="BL208" s="3"/>
    </row>
    <row r="209" ht="15.75" customHeight="1">
      <c r="A209" s="3" t="str">
        <f>IFERROR(__xludf.DUMMYFUNCTION("""COMPUTED_VALUE"""),"Ring of Reflect")</f>
        <v>Ring of Reflect</v>
      </c>
      <c r="B209" s="3"/>
      <c r="C209" s="3"/>
      <c r="D209" s="3" t="str">
        <f>IFERROR(__xludf.DUMMYFUNCTION("""COMPUTED_VALUE"""),"Ring")</f>
        <v>Ring</v>
      </c>
      <c r="E209" s="3">
        <f>IFERROR(__xludf.DUMMYFUNCTION("""COMPUTED_VALUE"""),1.0)</f>
        <v>1</v>
      </c>
      <c r="F209" s="3"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3">
        <f>IFERROR(__xludf.DUMMYFUNCTION("""COMPUTED_VALUE"""),0.0)</f>
        <v>0</v>
      </c>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D209" s="3"/>
      <c r="BE209" s="3"/>
      <c r="BF209" s="3"/>
      <c r="BG209" s="3"/>
      <c r="BH209" s="3"/>
      <c r="BI209" s="3"/>
      <c r="BJ209" s="3"/>
      <c r="BK209" s="3"/>
      <c r="BL209" s="3"/>
    </row>
    <row r="210" ht="15.75" customHeight="1">
      <c r="A210" s="3" t="str">
        <f>IFERROR(__xludf.DUMMYFUNCTION("""COMPUTED_VALUE"""),"Ring of the Bonded Undead")</f>
        <v>Ring of the Bonded Undead</v>
      </c>
      <c r="B210" s="3"/>
      <c r="C210" s="3"/>
      <c r="D210" s="3" t="str">
        <f>IFERROR(__xludf.DUMMYFUNCTION("""COMPUTED_VALUE"""),"Ring")</f>
        <v>Ring</v>
      </c>
      <c r="E210" s="3">
        <f>IFERROR(__xludf.DUMMYFUNCTION("""COMPUTED_VALUE"""),1.0)</f>
        <v>1</v>
      </c>
      <c r="F210" s="3" t="str">
        <f>IFERROR(__xludf.DUMMYFUNCTION("""COMPUTED_VALUE""")," ++When you battle with any Undead target you can deal X2 more damage.")</f>
        <v> ++When you battle with any Undead target you can deal X2 more damage.</v>
      </c>
      <c r="G210" s="3">
        <f>IFERROR(__xludf.DUMMYFUNCTION("""COMPUTED_VALUE"""),0.0)</f>
        <v>0</v>
      </c>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D210" s="3"/>
      <c r="BE210" s="3"/>
      <c r="BF210" s="3"/>
      <c r="BG210" s="3"/>
      <c r="BH210" s="3"/>
      <c r="BI210" s="3"/>
      <c r="BJ210" s="3"/>
      <c r="BK210" s="3"/>
      <c r="BL210" s="3"/>
    </row>
    <row r="211" ht="15.75" customHeight="1">
      <c r="A211" s="3" t="str">
        <f>IFERROR(__xludf.DUMMYFUNCTION("""COMPUTED_VALUE"""),"Ring of the Forgotten")</f>
        <v>Ring of the Forgotten</v>
      </c>
      <c r="B211" s="3"/>
      <c r="C211" s="3"/>
      <c r="D211" s="3" t="str">
        <f>IFERROR(__xludf.DUMMYFUNCTION("""COMPUTED_VALUE"""),"Ring")</f>
        <v>Ring</v>
      </c>
      <c r="E211" s="3">
        <f>IFERROR(__xludf.DUMMYFUNCTION("""COMPUTED_VALUE"""),1.0)</f>
        <v>1</v>
      </c>
      <c r="F211" s="3" t="str">
        <f>IFERROR(__xludf.DUMMYFUNCTION("""COMPUTED_VALUE""")," ++Make a fail/succeed roll to make a target forget they were fighting you. +-Cannot be duplicated")</f>
        <v> ++Make a fail/succeed roll to make a target forget they were fighting you. +-Cannot be duplicated</v>
      </c>
      <c r="G211" s="3">
        <f>IFERROR(__xludf.DUMMYFUNCTION("""COMPUTED_VALUE"""),0.0)</f>
        <v>0</v>
      </c>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D211" s="3"/>
      <c r="BE211" s="3"/>
      <c r="BF211" s="3"/>
      <c r="BG211" s="3"/>
      <c r="BH211" s="3"/>
      <c r="BI211" s="3"/>
      <c r="BJ211" s="3"/>
      <c r="BK211" s="3"/>
      <c r="BL211" s="3"/>
    </row>
    <row r="212" ht="15.75" customHeight="1">
      <c r="A212" s="3" t="str">
        <f>IFERROR(__xludf.DUMMYFUNCTION("""COMPUTED_VALUE"""),"Ring Of Tritonoch")</f>
        <v>Ring Of Tritonoch</v>
      </c>
      <c r="B212" s="3"/>
      <c r="C212" s="3"/>
      <c r="D212" s="3" t="str">
        <f>IFERROR(__xludf.DUMMYFUNCTION("""COMPUTED_VALUE"""),"Ring")</f>
        <v>Ring</v>
      </c>
      <c r="E212" s="3">
        <f>IFERROR(__xludf.DUMMYFUNCTION("""COMPUTED_VALUE"""),1.0)</f>
        <v>1</v>
      </c>
      <c r="F212" s="3" t="str">
        <f>IFERROR(__xludf.DUMMYFUNCTION("""COMPUTED_VALUE""")," ++Waves of Entitlement - x5 additional Water damage")</f>
        <v> ++Waves of Entitlement - x5 additional Water damage</v>
      </c>
      <c r="G212" s="3">
        <f>IFERROR(__xludf.DUMMYFUNCTION("""COMPUTED_VALUE"""),0.0)</f>
        <v>0</v>
      </c>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D212" s="3"/>
      <c r="BE212" s="3"/>
      <c r="BF212" s="3"/>
      <c r="BG212" s="3"/>
      <c r="BH212" s="3"/>
      <c r="BI212" s="3"/>
      <c r="BJ212" s="3"/>
      <c r="BK212" s="3"/>
      <c r="BL212" s="3"/>
    </row>
    <row r="213" ht="15.75" customHeight="1">
      <c r="A213" s="3" t="str">
        <f>IFERROR(__xludf.DUMMYFUNCTION("""COMPUTED_VALUE"""),"Ring of Waking Waters")</f>
        <v>Ring of Waking Waters</v>
      </c>
      <c r="B213" s="3"/>
      <c r="C213" s="3"/>
      <c r="D213" s="3" t="str">
        <f>IFERROR(__xludf.DUMMYFUNCTION("""COMPUTED_VALUE"""),"Ring")</f>
        <v>Ring</v>
      </c>
      <c r="E213" s="3">
        <f>IFERROR(__xludf.DUMMYFUNCTION("""COMPUTED_VALUE"""),100.0)</f>
        <v>100</v>
      </c>
      <c r="F213" s="3" t="str">
        <f>IFERROR(__xludf.DUMMYFUNCTION("""COMPUTED_VALUE"""),", Water DEF: +5000 ++X4 additional water damage for self.")</f>
        <v>, Water DEF: +5000 ++X4 additional water damage for self.</v>
      </c>
      <c r="G213" s="3">
        <f>IFERROR(__xludf.DUMMYFUNCTION("""COMPUTED_VALUE"""),450000.0)</f>
        <v>450000</v>
      </c>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D213" s="3"/>
      <c r="BE213" s="3"/>
      <c r="BF213" s="3"/>
      <c r="BG213" s="3"/>
      <c r="BH213" s="3"/>
      <c r="BI213" s="3"/>
      <c r="BJ213" s="3"/>
      <c r="BK213" s="3"/>
      <c r="BL213" s="3"/>
    </row>
    <row r="214" ht="15.75" customHeight="1">
      <c r="A214" s="3" t="str">
        <f>IFERROR(__xludf.DUMMYFUNCTION("""COMPUTED_VALUE"""),"Robe of The Cultist")</f>
        <v>Robe of The Cultist</v>
      </c>
      <c r="B214" s="3"/>
      <c r="C214" s="3"/>
      <c r="D214" s="3" t="str">
        <f>IFERROR(__xludf.DUMMYFUNCTION("""COMPUTED_VALUE"""),"Torso")</f>
        <v>Torso</v>
      </c>
      <c r="E214" s="3">
        <f>IFERROR(__xludf.DUMMYFUNCTION("""COMPUTED_VALUE"""),80.0)</f>
        <v>80</v>
      </c>
      <c r="F214" s="3" t="str">
        <f>IFERROR(__xludf.DUMMYFUNCTION("""COMPUTED_VALUE"""),"DEF: +2000, Dark DEF: +2000 ++Instant Death Immunity. ++500HP +-Cannot be forged +-Cannot be duplicated")</f>
        <v>DEF: +2000, Dark DEF: +2000 ++Instant Death Immunity. ++500HP +-Cannot be forged +-Cannot be duplicated</v>
      </c>
      <c r="G214" s="3">
        <f>IFERROR(__xludf.DUMMYFUNCTION("""COMPUTED_VALUE"""),280000.0)</f>
        <v>280000</v>
      </c>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D214" s="3"/>
      <c r="BE214" s="3"/>
      <c r="BF214" s="3"/>
      <c r="BG214" s="3"/>
      <c r="BH214" s="3"/>
      <c r="BI214" s="3"/>
      <c r="BJ214" s="3"/>
      <c r="BK214" s="3"/>
      <c r="BL214" s="3"/>
    </row>
    <row r="215" ht="15.75" customHeight="1">
      <c r="A215" s="3" t="str">
        <f>IFERROR(__xludf.DUMMYFUNCTION("""COMPUTED_VALUE"""),"Robe of Vanish")</f>
        <v>Robe of Vanish</v>
      </c>
      <c r="B215" s="3"/>
      <c r="C215" s="3"/>
      <c r="D215" s="3" t="str">
        <f>IFERROR(__xludf.DUMMYFUNCTION("""COMPUTED_VALUE"""),"Torso")</f>
        <v>Torso</v>
      </c>
      <c r="E215" s="3">
        <f>IFERROR(__xludf.DUMMYFUNCTION("""COMPUTED_VALUE"""),20.0)</f>
        <v>20</v>
      </c>
      <c r="F215" s="3" t="str">
        <f>IFERROR(__xludf.DUMMYFUNCTION("""COMPUTED_VALUE"""),"DEF: +900 ++Shadow Disappear - When Equipped you are invulnerable to all damage for the first round of battle. ")</f>
        <v>DEF: +900 ++Shadow Disappear - When Equipped you are invulnerable to all damage for the first round of battle. </v>
      </c>
      <c r="G215" s="3">
        <f>IFERROR(__xludf.DUMMYFUNCTION("""COMPUTED_VALUE"""),1000.0)</f>
        <v>1000</v>
      </c>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D215" s="3"/>
      <c r="BE215" s="3"/>
      <c r="BF215" s="3"/>
      <c r="BG215" s="3"/>
      <c r="BH215" s="3"/>
      <c r="BI215" s="3"/>
      <c r="BJ215" s="3"/>
      <c r="BK215" s="3"/>
      <c r="BL215" s="3"/>
    </row>
    <row r="216" ht="15.75" customHeight="1">
      <c r="A216" s="3" t="str">
        <f>IFERROR(__xludf.DUMMYFUNCTION("""COMPUTED_VALUE"""),"Robes of a Peaceful Immortal")</f>
        <v>Robes of a Peaceful Immortal</v>
      </c>
      <c r="B216" s="3"/>
      <c r="C216" s="3"/>
      <c r="D216" s="3" t="str">
        <f>IFERROR(__xludf.DUMMYFUNCTION("""COMPUTED_VALUE"""),"Torso")</f>
        <v>Torso</v>
      </c>
      <c r="E216" s="3">
        <f>IFERROR(__xludf.DUMMYFUNCTION("""COMPUTED_VALUE"""),1.0)</f>
        <v>1</v>
      </c>
      <c r="F216" s="3" t="str">
        <f>IFERROR(__xludf.DUMMYFUNCTION("""COMPUTED_VALUE""")," ++Peaceful Blessing - Incapable of receiving or dealing damage. +-Cannot be duplicated.")</f>
        <v> ++Peaceful Blessing - Incapable of receiving or dealing damage. +-Cannot be duplicated.</v>
      </c>
      <c r="G216" s="3">
        <f>IFERROR(__xludf.DUMMYFUNCTION("""COMPUTED_VALUE"""),0.0)</f>
        <v>0</v>
      </c>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D216" s="3"/>
      <c r="BE216" s="3"/>
      <c r="BF216" s="3"/>
      <c r="BG216" s="3"/>
      <c r="BH216" s="3"/>
      <c r="BI216" s="3"/>
      <c r="BJ216" s="3"/>
      <c r="BK216" s="3"/>
      <c r="BL216" s="3"/>
    </row>
    <row r="217" ht="15.75" customHeight="1">
      <c r="A217" s="3" t="str">
        <f>IFERROR(__xludf.DUMMYFUNCTION("""COMPUTED_VALUE"""),"Royal Amulet Of Heatmore")</f>
        <v>Royal Amulet Of Heatmore</v>
      </c>
      <c r="B217" s="3"/>
      <c r="C217" s="3"/>
      <c r="D217" s="3" t="str">
        <f>IFERROR(__xludf.DUMMYFUNCTION("""COMPUTED_VALUE"""),"Neck")</f>
        <v>Neck</v>
      </c>
      <c r="E217" s="3">
        <f>IFERROR(__xludf.DUMMYFUNCTION("""COMPUTED_VALUE"""),1.0)</f>
        <v>1</v>
      </c>
      <c r="F217" s="3" t="str">
        <f>IFERROR(__xludf.DUMMYFUNCTION("""COMPUTED_VALUE""")," ++ immune to fire dmg")</f>
        <v> ++ immune to fire dmg</v>
      </c>
      <c r="G217" s="3">
        <f>IFERROR(__xludf.DUMMYFUNCTION("""COMPUTED_VALUE"""),0.0)</f>
        <v>0</v>
      </c>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D217" s="3"/>
      <c r="BE217" s="3"/>
      <c r="BF217" s="3"/>
      <c r="BG217" s="3"/>
      <c r="BH217" s="3"/>
      <c r="BI217" s="3"/>
      <c r="BJ217" s="3"/>
      <c r="BK217" s="3"/>
      <c r="BL217" s="3"/>
    </row>
    <row r="218" ht="15.75" customHeight="1">
      <c r="A218" s="3" t="str">
        <f>IFERROR(__xludf.DUMMYFUNCTION("""COMPUTED_VALUE"""),"Royal Guard Axe")</f>
        <v>Royal Guard Axe</v>
      </c>
      <c r="B218" s="3" t="str">
        <f>IFERROR(__xludf.DUMMYFUNCTION("""COMPUTED_VALUE"""),"Quest Item")</f>
        <v>Quest Item</v>
      </c>
      <c r="C218" s="3"/>
      <c r="D218" s="3" t="str">
        <f>IFERROR(__xludf.DUMMYFUNCTION("""COMPUTED_VALUE"""),"Hand")</f>
        <v>Hand</v>
      </c>
      <c r="E218" s="3">
        <f>IFERROR(__xludf.DUMMYFUNCTION("""COMPUTED_VALUE"""),200.0)</f>
        <v>200</v>
      </c>
      <c r="F218" s="3" t="str">
        <f>IFERROR(__xludf.DUMMYFUNCTION("""COMPUTED_VALUE"""),"DMG: +50000, Light DMG: +50000, Celestial DMG: +50000 ++X4 additional Weapon Damage. +-Cannot be duplicated.")</f>
        <v>DMG: +50000, Light DMG: +50000, Celestial DMG: +50000 ++X4 additional Weapon Damage. +-Cannot be duplicated.</v>
      </c>
      <c r="G218" s="3">
        <f>IFERROR(__xludf.DUMMYFUNCTION("""COMPUTED_VALUE"""),4.485E8)</f>
        <v>448500000</v>
      </c>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D218" s="3"/>
      <c r="BE218" s="3"/>
      <c r="BF218" s="3"/>
      <c r="BG218" s="3"/>
      <c r="BH218" s="3"/>
      <c r="BI218" s="3"/>
      <c r="BJ218" s="3"/>
      <c r="BK218" s="3"/>
      <c r="BL218" s="3"/>
    </row>
    <row r="219" ht="15.75" customHeight="1">
      <c r="A219" s="3" t="str">
        <f>IFERROR(__xludf.DUMMYFUNCTION("""COMPUTED_VALUE"""),"Royal Guard Helmet")</f>
        <v>Royal Guard Helmet</v>
      </c>
      <c r="B219" s="3" t="str">
        <f>IFERROR(__xludf.DUMMYFUNCTION("""COMPUTED_VALUE"""),"Quest Item")</f>
        <v>Quest Item</v>
      </c>
      <c r="C219" s="3"/>
      <c r="D219" s="3" t="str">
        <f>IFERROR(__xludf.DUMMYFUNCTION("""COMPUTED_VALUE"""),"Head")</f>
        <v>Head</v>
      </c>
      <c r="E219" s="3">
        <f>IFERROR(__xludf.DUMMYFUNCTION("""COMPUTED_VALUE"""),200.0)</f>
        <v>200</v>
      </c>
      <c r="F219" s="3"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3">
        <f>IFERROR(__xludf.DUMMYFUNCTION("""COMPUTED_VALUE"""),4.485E8)</f>
        <v>448500000</v>
      </c>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D219" s="3"/>
      <c r="BE219" s="3"/>
      <c r="BF219" s="3"/>
      <c r="BG219" s="3"/>
      <c r="BH219" s="3"/>
      <c r="BI219" s="3"/>
      <c r="BJ219" s="3"/>
      <c r="BK219" s="3"/>
      <c r="BL219" s="3"/>
    </row>
    <row r="220" ht="15.75" customHeight="1">
      <c r="A220" s="3" t="str">
        <f>IFERROR(__xludf.DUMMYFUNCTION("""COMPUTED_VALUE"""),"Royal Guard Chestplate")</f>
        <v>Royal Guard Chestplate</v>
      </c>
      <c r="B220" s="3" t="str">
        <f>IFERROR(__xludf.DUMMYFUNCTION("""COMPUTED_VALUE"""),"Quest Item")</f>
        <v>Quest Item</v>
      </c>
      <c r="C220" s="3"/>
      <c r="D220" s="3" t="str">
        <f>IFERROR(__xludf.DUMMYFUNCTION("""COMPUTED_VALUE"""),"Torso")</f>
        <v>Torso</v>
      </c>
      <c r="E220" s="3">
        <f>IFERROR(__xludf.DUMMYFUNCTION("""COMPUTED_VALUE"""),200.0)</f>
        <v>200</v>
      </c>
      <c r="F220" s="3"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3">
        <f>IFERROR(__xludf.DUMMYFUNCTION("""COMPUTED_VALUE"""),4.485E8)</f>
        <v>448500000</v>
      </c>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D220" s="3"/>
      <c r="BE220" s="3"/>
      <c r="BF220" s="3"/>
      <c r="BG220" s="3"/>
      <c r="BH220" s="3"/>
      <c r="BI220" s="3"/>
      <c r="BJ220" s="3"/>
      <c r="BK220" s="3"/>
      <c r="BL220" s="3"/>
    </row>
    <row r="221" ht="15.75" customHeight="1">
      <c r="A221" s="3" t="str">
        <f>IFERROR(__xludf.DUMMYFUNCTION("""COMPUTED_VALUE"""),"Royal Guard Boots")</f>
        <v>Royal Guard Boots</v>
      </c>
      <c r="B221" s="3" t="str">
        <f>IFERROR(__xludf.DUMMYFUNCTION("""COMPUTED_VALUE"""),"Quest Item")</f>
        <v>Quest Item</v>
      </c>
      <c r="C221" s="3"/>
      <c r="D221" s="3" t="str">
        <f>IFERROR(__xludf.DUMMYFUNCTION("""COMPUTED_VALUE"""),"Feet")</f>
        <v>Feet</v>
      </c>
      <c r="E221" s="3">
        <f>IFERROR(__xludf.DUMMYFUNCTION("""COMPUTED_VALUE"""),200.0)</f>
        <v>200</v>
      </c>
      <c r="F221" s="3"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3">
        <f>IFERROR(__xludf.DUMMYFUNCTION("""COMPUTED_VALUE"""),4.485E8)</f>
        <v>448500000</v>
      </c>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D221" s="3"/>
      <c r="BE221" s="3"/>
      <c r="BF221" s="3"/>
      <c r="BG221" s="3"/>
      <c r="BH221" s="3"/>
      <c r="BI221" s="3"/>
      <c r="BJ221" s="3"/>
      <c r="BK221" s="3"/>
      <c r="BL221" s="3"/>
    </row>
    <row r="222" ht="15.75" customHeight="1">
      <c r="A222" s="3" t="str">
        <f>IFERROR(__xludf.DUMMYFUNCTION("""COMPUTED_VALUE"""),"Royal Guard Greaves")</f>
        <v>Royal Guard Greaves</v>
      </c>
      <c r="B222" s="3" t="str">
        <f>IFERROR(__xludf.DUMMYFUNCTION("""COMPUTED_VALUE"""),"Quest Item")</f>
        <v>Quest Item</v>
      </c>
      <c r="C222" s="3"/>
      <c r="D222" s="3" t="str">
        <f>IFERROR(__xludf.DUMMYFUNCTION("""COMPUTED_VALUE"""),"Legs")</f>
        <v>Legs</v>
      </c>
      <c r="E222" s="3">
        <f>IFERROR(__xludf.DUMMYFUNCTION("""COMPUTED_VALUE"""),200.0)</f>
        <v>200</v>
      </c>
      <c r="F222" s="3"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3">
        <f>IFERROR(__xludf.DUMMYFUNCTION("""COMPUTED_VALUE"""),4.485E8)</f>
        <v>448500000</v>
      </c>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D222" s="3"/>
      <c r="BE222" s="3"/>
      <c r="BF222" s="3"/>
      <c r="BG222" s="3"/>
      <c r="BH222" s="3"/>
      <c r="BI222" s="3"/>
      <c r="BJ222" s="3"/>
      <c r="BK222" s="3"/>
      <c r="BL222" s="3"/>
    </row>
    <row r="223" ht="15.75" customHeight="1">
      <c r="A223" s="3" t="str">
        <f>IFERROR(__xludf.DUMMYFUNCTION("""COMPUTED_VALUE"""),"Royal Keeper Shield")</f>
        <v>Royal Keeper Shield</v>
      </c>
      <c r="B223" s="3"/>
      <c r="C223" s="3" t="str">
        <f>IFERROR(__xludf.DUMMYFUNCTION("""COMPUTED_VALUE"""),"Towershield")</f>
        <v>Towershield</v>
      </c>
      <c r="D223" s="3" t="str">
        <f>IFERROR(__xludf.DUMMYFUNCTION("""COMPUTED_VALUE"""),"Hand")</f>
        <v>Hand</v>
      </c>
      <c r="E223" s="3">
        <f>IFERROR(__xludf.DUMMYFUNCTION("""COMPUTED_VALUE"""),20.0)</f>
        <v>20</v>
      </c>
      <c r="F223" s="3" t="str">
        <f>IFERROR(__xludf.DUMMYFUNCTION("""COMPUTED_VALUE"""),"DEF: +1000 ++Royal Block - Gan invulnerability to all damage for 3 rounds of battle. 5000SP Will Succeed.")</f>
        <v>DEF: +1000 ++Royal Block - Gan invulnerability to all damage for 3 rounds of battle. 5000SP Will Succeed.</v>
      </c>
      <c r="G223" s="3">
        <f>IFERROR(__xludf.DUMMYFUNCTION("""COMPUTED_VALUE"""),10000.0)</f>
        <v>10000</v>
      </c>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D223" s="3"/>
      <c r="BE223" s="3"/>
      <c r="BF223" s="3"/>
      <c r="BG223" s="3"/>
      <c r="BH223" s="3"/>
      <c r="BI223" s="3"/>
      <c r="BJ223" s="3"/>
      <c r="BK223" s="3"/>
      <c r="BL223" s="3"/>
    </row>
    <row r="224" ht="15.75" customHeight="1">
      <c r="A224" s="3" t="str">
        <f>IFERROR(__xludf.DUMMYFUNCTION("""COMPUTED_VALUE"""),"Royal Keeper Spear")</f>
        <v>Royal Keeper Spear</v>
      </c>
      <c r="B224" s="3"/>
      <c r="C224" s="3" t="str">
        <f>IFERROR(__xludf.DUMMYFUNCTION("""COMPUTED_VALUE"""),"Spear")</f>
        <v>Spear</v>
      </c>
      <c r="D224" s="3" t="str">
        <f>IFERROR(__xludf.DUMMYFUNCTION("""COMPUTED_VALUE"""),"Hand")</f>
        <v>Hand</v>
      </c>
      <c r="E224" s="3">
        <f>IFERROR(__xludf.DUMMYFUNCTION("""COMPUTED_VALUE"""),400.0)</f>
        <v>400</v>
      </c>
      <c r="F224" s="3" t="str">
        <f>IFERROR(__xludf.DUMMYFUNCTION("""COMPUTED_VALUE"""),"DMG: +10000, Fire DMG: +10000 ++Royal Stance -  Shuttering 1 for the first round of battle.")</f>
        <v>DMG: +10000, Fire DMG: +10000 ++Royal Stance -  Shuttering 1 for the first round of battle.</v>
      </c>
      <c r="G224" s="3">
        <f>IFERROR(__xludf.DUMMYFUNCTION("""COMPUTED_VALUE"""),7800000.0)</f>
        <v>7800000</v>
      </c>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D224" s="3"/>
      <c r="BE224" s="3"/>
      <c r="BF224" s="3"/>
      <c r="BG224" s="3"/>
      <c r="BH224" s="3"/>
      <c r="BI224" s="3"/>
      <c r="BJ224" s="3"/>
      <c r="BK224" s="3"/>
      <c r="BL224" s="3"/>
    </row>
    <row r="225" ht="15.75" customHeight="1">
      <c r="A225" s="3" t="str">
        <f>IFERROR(__xludf.DUMMYFUNCTION("""COMPUTED_VALUE"""),"Royal Sword of Chaotic Shadows")</f>
        <v>Royal Sword of Chaotic Shadows</v>
      </c>
      <c r="B225" s="3"/>
      <c r="C225" s="3" t="str">
        <f>IFERROR(__xludf.DUMMYFUNCTION("""COMPUTED_VALUE"""),"Sword")</f>
        <v>Sword</v>
      </c>
      <c r="D225" s="3" t="str">
        <f>IFERROR(__xludf.DUMMYFUNCTION("""COMPUTED_VALUE"""),"Hand")</f>
        <v>Hand</v>
      </c>
      <c r="E225" s="3">
        <f>IFERROR(__xludf.DUMMYFUNCTION("""COMPUTED_VALUE"""),900.0)</f>
        <v>900</v>
      </c>
      <c r="F225" s="3"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3">
        <f>IFERROR(__xludf.DUMMYFUNCTION("""COMPUTED_VALUE"""),4.005E7)</f>
        <v>40050000</v>
      </c>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D225" s="3"/>
      <c r="BE225" s="3"/>
      <c r="BF225" s="3"/>
      <c r="BG225" s="3"/>
      <c r="BH225" s="3"/>
      <c r="BI225" s="3"/>
      <c r="BJ225" s="3"/>
      <c r="BK225" s="3"/>
      <c r="BL225" s="3"/>
    </row>
    <row r="226" ht="15.75" customHeight="1">
      <c r="A226" s="3" t="str">
        <f>IFERROR(__xludf.DUMMYFUNCTION("""COMPUTED_VALUE"""),"Rusty sword")</f>
        <v>Rusty sword</v>
      </c>
      <c r="B226" s="3"/>
      <c r="C226" s="3" t="str">
        <f>IFERROR(__xludf.DUMMYFUNCTION("""COMPUTED_VALUE"""),"Sword")</f>
        <v>Sword</v>
      </c>
      <c r="D226" s="3" t="str">
        <f>IFERROR(__xludf.DUMMYFUNCTION("""COMPUTED_VALUE"""),"Hand")</f>
        <v>Hand</v>
      </c>
      <c r="E226" s="3">
        <f>IFERROR(__xludf.DUMMYFUNCTION("""COMPUTED_VALUE"""),1.0)</f>
        <v>1</v>
      </c>
      <c r="F226" s="3" t="str">
        <f>IFERROR(__xludf.DUMMYFUNCTION("""COMPUTED_VALUE"""),"DMG: +60 ++25% chance to break with each use")</f>
        <v>DMG: +60 ++25% chance to break with each use</v>
      </c>
      <c r="G226" s="3">
        <f>IFERROR(__xludf.DUMMYFUNCTION("""COMPUTED_VALUE"""),0.0)</f>
        <v>0</v>
      </c>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D226" s="3"/>
      <c r="BE226" s="3"/>
      <c r="BF226" s="3"/>
      <c r="BG226" s="3"/>
      <c r="BH226" s="3"/>
      <c r="BI226" s="3"/>
      <c r="BJ226" s="3"/>
      <c r="BK226" s="3"/>
      <c r="BL226" s="3"/>
    </row>
    <row r="227" ht="15.75" customHeight="1">
      <c r="A227" s="3" t="str">
        <f>IFERROR(__xludf.DUMMYFUNCTION("""COMPUTED_VALUE"""),"Saber Toothed Sword")</f>
        <v>Saber Toothed Sword</v>
      </c>
      <c r="B227" s="3" t="str">
        <f>IFERROR(__xludf.DUMMYFUNCTION("""COMPUTED_VALUE"""),"A sword crafted from the teeth of a saber toothed cat.")</f>
        <v>A sword crafted from the teeth of a saber toothed cat.</v>
      </c>
      <c r="C227" s="3" t="str">
        <f>IFERROR(__xludf.DUMMYFUNCTION("""COMPUTED_VALUE"""),"Sword")</f>
        <v>Sword</v>
      </c>
      <c r="D227" s="3" t="str">
        <f>IFERROR(__xludf.DUMMYFUNCTION("""COMPUTED_VALUE"""),"Hand")</f>
        <v>Hand</v>
      </c>
      <c r="E227" s="3">
        <f>IFERROR(__xludf.DUMMYFUNCTION("""COMPUTED_VALUE"""),2200.0)</f>
        <v>2200</v>
      </c>
      <c r="F227" s="3" t="str">
        <f>IFERROR(__xludf.DUMMYFUNCTION("""COMPUTED_VALUE"""),"DMG: +60000, Blood DMG: +50000 ++X2 additional blood damage.")</f>
        <v>DMG: +60000, Blood DMG: +50000 ++X2 additional blood damage.</v>
      </c>
      <c r="G227" s="3">
        <f>IFERROR(__xludf.DUMMYFUNCTION("""COMPUTED_VALUE"""),2.409E8)</f>
        <v>240900000</v>
      </c>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D227" s="3"/>
      <c r="BE227" s="3"/>
      <c r="BF227" s="3"/>
      <c r="BG227" s="3"/>
      <c r="BH227" s="3"/>
      <c r="BI227" s="3"/>
      <c r="BJ227" s="3"/>
      <c r="BK227" s="3"/>
      <c r="BL227" s="3"/>
    </row>
    <row r="228" ht="15.75" customHeight="1">
      <c r="A228" s="3" t="str">
        <f>IFERROR(__xludf.DUMMYFUNCTION("""COMPUTED_VALUE"""),"Ancient Oni Chestplate")</f>
        <v>Ancient Oni Chestplate</v>
      </c>
      <c r="B228" s="3" t="str">
        <f>IFERROR(__xludf.DUMMYFUNCTION("""COMPUTED_VALUE"""),"An ancient relic to Zhenmay")</f>
        <v>An ancient relic to Zhenmay</v>
      </c>
      <c r="C228" s="3"/>
      <c r="D228" s="3" t="str">
        <f>IFERROR(__xludf.DUMMYFUNCTION("""COMPUTED_VALUE"""),"Torso")</f>
        <v>Torso</v>
      </c>
      <c r="E228" s="3">
        <f>IFERROR(__xludf.DUMMYFUNCTION("""COMPUTED_VALUE"""),200.0)</f>
        <v>200</v>
      </c>
      <c r="F228" s="3"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3">
        <f>IFERROR(__xludf.DUMMYFUNCTION("""COMPUTED_VALUE"""),5.104E8)</f>
        <v>510400000</v>
      </c>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D228" s="3"/>
      <c r="BE228" s="3"/>
      <c r="BF228" s="3"/>
      <c r="BG228" s="3"/>
      <c r="BH228" s="3"/>
      <c r="BI228" s="3"/>
      <c r="BJ228" s="3"/>
      <c r="BK228" s="3"/>
      <c r="BL228" s="3"/>
    </row>
    <row r="229" ht="15.75" customHeight="1">
      <c r="A229" s="3" t="str">
        <f>IFERROR(__xludf.DUMMYFUNCTION("""COMPUTED_VALUE"""),"Scythe of Mischief ")</f>
        <v>Scythe of Mischief </v>
      </c>
      <c r="B229" s="3"/>
      <c r="C229" s="3" t="str">
        <f>IFERROR(__xludf.DUMMYFUNCTION("""COMPUTED_VALUE"""),"Scythe")</f>
        <v>Scythe</v>
      </c>
      <c r="D229" s="3" t="str">
        <f>IFERROR(__xludf.DUMMYFUNCTION("""COMPUTED_VALUE"""),"Hand")</f>
        <v>Hand</v>
      </c>
      <c r="E229" s="3">
        <f>IFERROR(__xludf.DUMMYFUNCTION("""COMPUTED_VALUE"""),200.0)</f>
        <v>200</v>
      </c>
      <c r="F229" s="3"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3">
        <f>IFERROR(__xludf.DUMMYFUNCTION("""COMPUTED_VALUE"""),5.995E7)</f>
        <v>59950000</v>
      </c>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D229" s="3"/>
      <c r="BE229" s="3"/>
      <c r="BF229" s="3"/>
      <c r="BG229" s="3"/>
      <c r="BH229" s="3"/>
      <c r="BI229" s="3"/>
      <c r="BJ229" s="3"/>
      <c r="BK229" s="3"/>
      <c r="BL229" s="3"/>
    </row>
    <row r="230" ht="15.75" customHeight="1">
      <c r="A230" s="3" t="str">
        <f>IFERROR(__xludf.DUMMYFUNCTION("""COMPUTED_VALUE"""),"Sea Serpent Boots")</f>
        <v>Sea Serpent Boots</v>
      </c>
      <c r="B230" s="3"/>
      <c r="C230" s="3"/>
      <c r="D230" s="3" t="str">
        <f>IFERROR(__xludf.DUMMYFUNCTION("""COMPUTED_VALUE"""),"Feet")</f>
        <v>Feet</v>
      </c>
      <c r="E230" s="3">
        <f>IFERROR(__xludf.DUMMYFUNCTION("""COMPUTED_VALUE"""),100.0)</f>
        <v>100</v>
      </c>
      <c r="F230" s="3" t="str">
        <f>IFERROR(__xludf.DUMMYFUNCTION("""COMPUTED_VALUE"""),"DEF: +2500, Water DEF: +2500 ++X2 additional water damage for self.")</f>
        <v>DEF: +2500, Water DEF: +2500 ++X2 additional water damage for self.</v>
      </c>
      <c r="G230" s="3">
        <f>IFERROR(__xludf.DUMMYFUNCTION("""COMPUTED_VALUE"""),450000.0)</f>
        <v>450000</v>
      </c>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D230" s="3"/>
      <c r="BE230" s="3"/>
      <c r="BF230" s="3"/>
      <c r="BG230" s="3"/>
      <c r="BH230" s="3"/>
      <c r="BI230" s="3"/>
      <c r="BJ230" s="3"/>
      <c r="BK230" s="3"/>
      <c r="BL230" s="3"/>
    </row>
    <row r="231" ht="15.75" customHeight="1">
      <c r="A231" s="3" t="str">
        <f>IFERROR(__xludf.DUMMYFUNCTION("""COMPUTED_VALUE"""),"Sea Serpent Pauldrons")</f>
        <v>Sea Serpent Pauldrons</v>
      </c>
      <c r="B231" s="3"/>
      <c r="C231" s="3"/>
      <c r="D231" s="3" t="str">
        <f>IFERROR(__xludf.DUMMYFUNCTION("""COMPUTED_VALUE"""),"Shoulders")</f>
        <v>Shoulders</v>
      </c>
      <c r="E231" s="3">
        <f>IFERROR(__xludf.DUMMYFUNCTION("""COMPUTED_VALUE"""),100.0)</f>
        <v>100</v>
      </c>
      <c r="F231" s="3" t="str">
        <f>IFERROR(__xludf.DUMMYFUNCTION("""COMPUTED_VALUE"""),"DEF: +2500, Water DEF: +2500 ++X2 additional water damage for self.")</f>
        <v>DEF: +2500, Water DEF: +2500 ++X2 additional water damage for self.</v>
      </c>
      <c r="G231" s="3">
        <f>IFERROR(__xludf.DUMMYFUNCTION("""COMPUTED_VALUE"""),450000.0)</f>
        <v>450000</v>
      </c>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D231" s="3"/>
      <c r="BE231" s="3"/>
      <c r="BF231" s="3"/>
      <c r="BG231" s="3"/>
      <c r="BH231" s="3"/>
      <c r="BI231" s="3"/>
      <c r="BJ231" s="3"/>
      <c r="BK231" s="3"/>
      <c r="BL231" s="3"/>
    </row>
    <row r="232" ht="15.75" customHeight="1">
      <c r="A232" s="3" t="str">
        <f>IFERROR(__xludf.DUMMYFUNCTION("""COMPUTED_VALUE"""),"Sea Serpent Vambrace")</f>
        <v>Sea Serpent Vambrace</v>
      </c>
      <c r="B232" s="3"/>
      <c r="C232" s="3"/>
      <c r="D232" s="3" t="str">
        <f>IFERROR(__xludf.DUMMYFUNCTION("""COMPUTED_VALUE"""),"Arms")</f>
        <v>Arms</v>
      </c>
      <c r="E232" s="3">
        <f>IFERROR(__xludf.DUMMYFUNCTION("""COMPUTED_VALUE"""),100.0)</f>
        <v>100</v>
      </c>
      <c r="F232" s="3" t="str">
        <f>IFERROR(__xludf.DUMMYFUNCTION("""COMPUTED_VALUE"""),"DEF: +2500, Water DEF: +2500 ++X2 additional water damage for self.")</f>
        <v>DEF: +2500, Water DEF: +2500 ++X2 additional water damage for self.</v>
      </c>
      <c r="G232" s="3">
        <f>IFERROR(__xludf.DUMMYFUNCTION("""COMPUTED_VALUE"""),450000.0)</f>
        <v>450000</v>
      </c>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D232" s="3"/>
      <c r="BE232" s="3"/>
      <c r="BF232" s="3"/>
      <c r="BG232" s="3"/>
      <c r="BH232" s="3"/>
      <c r="BI232" s="3"/>
      <c r="BJ232" s="3"/>
      <c r="BK232" s="3"/>
      <c r="BL232" s="3"/>
    </row>
    <row r="233" ht="15.75" customHeight="1">
      <c r="A233" s="3" t="str">
        <f>IFERROR(__xludf.DUMMYFUNCTION("""COMPUTED_VALUE"""),"Sea Serpents Mythical Chestplate")</f>
        <v>Sea Serpents Mythical Chestplate</v>
      </c>
      <c r="B233" s="3"/>
      <c r="C233" s="3"/>
      <c r="D233" s="3" t="str">
        <f>IFERROR(__xludf.DUMMYFUNCTION("""COMPUTED_VALUE"""),"Torso")</f>
        <v>Torso</v>
      </c>
      <c r="E233" s="3">
        <f>IFERROR(__xludf.DUMMYFUNCTION("""COMPUTED_VALUE"""),200.0)</f>
        <v>200</v>
      </c>
      <c r="F233" s="3"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3">
        <f>IFERROR(__xludf.DUMMYFUNCTION("""COMPUTED_VALUE"""),1900000.0)</f>
        <v>1900000</v>
      </c>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D233" s="3"/>
      <c r="BE233" s="3"/>
      <c r="BF233" s="3"/>
      <c r="BG233" s="3"/>
      <c r="BH233" s="3"/>
      <c r="BI233" s="3"/>
      <c r="BJ233" s="3"/>
      <c r="BK233" s="3"/>
      <c r="BL233" s="3"/>
    </row>
    <row r="234" ht="15.75" customHeight="1">
      <c r="A234" s="3" t="str">
        <f>IFERROR(__xludf.DUMMYFUNCTION("""COMPUTED_VALUE"""),"Shadow Flute")</f>
        <v>Shadow Flute</v>
      </c>
      <c r="B234" s="3"/>
      <c r="C234" s="3"/>
      <c r="D234" s="3" t="str">
        <f>IFERROR(__xludf.DUMMYFUNCTION("""COMPUTED_VALUE"""),"Hand")</f>
        <v>Hand</v>
      </c>
      <c r="E234" s="3">
        <f>IFERROR(__xludf.DUMMYFUNCTION("""COMPUTED_VALUE"""),1.0)</f>
        <v>1</v>
      </c>
      <c r="F234" s="3" t="str">
        <f>IFERROR(__xludf.DUMMYFUNCTION("""COMPUTED_VALUE""")," ++Can summon a chaotic shadow gnome to battle.")</f>
        <v> ++Can summon a chaotic shadow gnome to battle.</v>
      </c>
      <c r="G234" s="3">
        <f>IFERROR(__xludf.DUMMYFUNCTION("""COMPUTED_VALUE"""),0.0)</f>
        <v>0</v>
      </c>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D234" s="3"/>
      <c r="BE234" s="3"/>
      <c r="BF234" s="3"/>
      <c r="BG234" s="3"/>
      <c r="BH234" s="3"/>
      <c r="BI234" s="3"/>
      <c r="BJ234" s="3"/>
      <c r="BK234" s="3"/>
      <c r="BL234" s="3"/>
    </row>
    <row r="235" ht="15.75" customHeight="1">
      <c r="A235" s="3" t="str">
        <f>IFERROR(__xludf.DUMMYFUNCTION("""COMPUTED_VALUE"""),"Shadow Kings Sword")</f>
        <v>Shadow Kings Sword</v>
      </c>
      <c r="B235" s="3"/>
      <c r="C235" s="3" t="str">
        <f>IFERROR(__xludf.DUMMYFUNCTION("""COMPUTED_VALUE"""),"Sword")</f>
        <v>Sword</v>
      </c>
      <c r="D235" s="3" t="str">
        <f>IFERROR(__xludf.DUMMYFUNCTION("""COMPUTED_VALUE"""),"Hand")</f>
        <v>Hand</v>
      </c>
      <c r="E235" s="3">
        <f>IFERROR(__xludf.DUMMYFUNCTION("""COMPUTED_VALUE"""),400.0)</f>
        <v>400</v>
      </c>
      <c r="F235" s="3" t="str">
        <f>IFERROR(__xludf.DUMMYFUNCTION("""COMPUTED_VALUE"""),"DMG: +10000, Dark DMG: +5000, Chaos DMG: +5000")</f>
        <v>DMG: +10000, Dark DMG: +5000, Chaos DMG: +5000</v>
      </c>
      <c r="G235" s="3">
        <f>IFERROR(__xludf.DUMMYFUNCTION("""COMPUTED_VALUE"""),7800000.0)</f>
        <v>7800000</v>
      </c>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D235" s="3"/>
      <c r="BE235" s="3"/>
      <c r="BF235" s="3"/>
      <c r="BG235" s="3"/>
      <c r="BH235" s="3"/>
      <c r="BI235" s="3"/>
      <c r="BJ235" s="3"/>
      <c r="BK235" s="3"/>
      <c r="BL235" s="3"/>
    </row>
    <row r="236" ht="15.75" customHeight="1">
      <c r="A236" s="3" t="str">
        <f>IFERROR(__xludf.DUMMYFUNCTION("""COMPUTED_VALUE"""),"Shield of Guarding Smite")</f>
        <v>Shield of Guarding Smite</v>
      </c>
      <c r="B236" s="3"/>
      <c r="C236" s="3" t="str">
        <f>IFERROR(__xludf.DUMMYFUNCTION("""COMPUTED_VALUE"""),"Towershield")</f>
        <v>Towershield</v>
      </c>
      <c r="D236" s="3" t="str">
        <f>IFERROR(__xludf.DUMMYFUNCTION("""COMPUTED_VALUE"""),"Hand")</f>
        <v>Hand</v>
      </c>
      <c r="E236" s="3">
        <f>IFERROR(__xludf.DUMMYFUNCTION("""COMPUTED_VALUE"""),2000.0)</f>
        <v>2000</v>
      </c>
      <c r="F236" s="3" t="str">
        <f>IFERROR(__xludf.DUMMYFUNCTION("""COMPUTED_VALUE"""),"DEF: +100000 ++75% chance to melt an enemies weapon that dealt damage to you. +-Cannot be duplicated")</f>
        <v>DEF: +100000 ++75% chance to melt an enemies weapon that dealt damage to you. +-Cannot be duplicated</v>
      </c>
      <c r="G236" s="3">
        <f>IFERROR(__xludf.DUMMYFUNCTION("""COMPUTED_VALUE"""),1.99E8)</f>
        <v>199000000</v>
      </c>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D236" s="3"/>
      <c r="BE236" s="3"/>
      <c r="BF236" s="3"/>
      <c r="BG236" s="3"/>
      <c r="BH236" s="3"/>
      <c r="BI236" s="3"/>
      <c r="BJ236" s="3"/>
      <c r="BK236" s="3"/>
      <c r="BL236" s="3"/>
    </row>
    <row r="237" ht="15.75" customHeight="1">
      <c r="A237" s="3" t="str">
        <f>IFERROR(__xludf.DUMMYFUNCTION("""COMPUTED_VALUE"""),"Shield of Targeting")</f>
        <v>Shield of Targeting</v>
      </c>
      <c r="B237" s="3"/>
      <c r="C237" s="3" t="str">
        <f>IFERROR(__xludf.DUMMYFUNCTION("""COMPUTED_VALUE"""),"Buckler")</f>
        <v>Buckler</v>
      </c>
      <c r="D237" s="3" t="str">
        <f>IFERROR(__xludf.DUMMYFUNCTION("""COMPUTED_VALUE"""),"Hand")</f>
        <v>Hand</v>
      </c>
      <c r="E237" s="3">
        <f>IFERROR(__xludf.DUMMYFUNCTION("""COMPUTED_VALUE"""),20.0)</f>
        <v>20</v>
      </c>
      <c r="F237" s="3"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3">
        <f>IFERROR(__xludf.DUMMYFUNCTION("""COMPUTED_VALUE"""),10000.0)</f>
        <v>10000</v>
      </c>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D237" s="3"/>
      <c r="BE237" s="3"/>
      <c r="BF237" s="3"/>
      <c r="BG237" s="3"/>
      <c r="BH237" s="3"/>
      <c r="BI237" s="3"/>
      <c r="BJ237" s="3"/>
      <c r="BK237" s="3"/>
      <c r="BL237" s="3"/>
    </row>
    <row r="238" ht="15.75" customHeight="1">
      <c r="A238" s="3" t="str">
        <f>IFERROR(__xludf.DUMMYFUNCTION("""COMPUTED_VALUE"""),"Shining Katana")</f>
        <v>Shining Katana</v>
      </c>
      <c r="B238" s="3"/>
      <c r="C238" s="3"/>
      <c r="D238" s="3" t="str">
        <f>IFERROR(__xludf.DUMMYFUNCTION("""COMPUTED_VALUE"""),"Hand")</f>
        <v>Hand</v>
      </c>
      <c r="E238" s="3">
        <f>IFERROR(__xludf.DUMMYFUNCTION("""COMPUTED_VALUE"""),200.0)</f>
        <v>200</v>
      </c>
      <c r="F238" s="3" t="str">
        <f>IFERROR(__xludf.DUMMYFUNCTION("""COMPUTED_VALUE"""),"DMG: +10000 ++++500 bleeding damage p/r.")</f>
        <v>DMG: +10000 ++++500 bleeding damage p/r.</v>
      </c>
      <c r="G238" s="3">
        <f>IFERROR(__xludf.DUMMYFUNCTION("""COMPUTED_VALUE"""),1900000.0)</f>
        <v>1900000</v>
      </c>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D238" s="3"/>
      <c r="BE238" s="3"/>
      <c r="BF238" s="3"/>
      <c r="BG238" s="3"/>
      <c r="BH238" s="3"/>
      <c r="BI238" s="3"/>
      <c r="BJ238" s="3"/>
      <c r="BK238" s="3"/>
      <c r="BL238" s="3"/>
    </row>
    <row r="239" ht="15.75" customHeight="1">
      <c r="A239" s="3" t="str">
        <f>IFERROR(__xludf.DUMMYFUNCTION("""COMPUTED_VALUE"""),"Shoes of Metal Harmony's")</f>
        <v>Shoes of Metal Harmony's</v>
      </c>
      <c r="B239" s="3"/>
      <c r="C239" s="3"/>
      <c r="D239" s="3" t="str">
        <f>IFERROR(__xludf.DUMMYFUNCTION("""COMPUTED_VALUE"""),"Feet")</f>
        <v>Feet</v>
      </c>
      <c r="E239" s="3">
        <f>IFERROR(__xludf.DUMMYFUNCTION("""COMPUTED_VALUE"""),200.0)</f>
        <v>200</v>
      </c>
      <c r="F239" s="3" t="str">
        <f>IFERROR(__xludf.DUMMYFUNCTION("""COMPUTED_VALUE"""),"DEF: +10000 ++When dealing damage with an instrument you will regain hp equal to the damage you caused.")</f>
        <v>DEF: +10000 ++When dealing damage with an instrument you will regain hp equal to the damage you caused.</v>
      </c>
      <c r="G239" s="3">
        <f>IFERROR(__xludf.DUMMYFUNCTION("""COMPUTED_VALUE"""),1900000.0)</f>
        <v>1900000</v>
      </c>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D239" s="3"/>
      <c r="BE239" s="3"/>
      <c r="BF239" s="3"/>
      <c r="BG239" s="3"/>
      <c r="BH239" s="3"/>
      <c r="BI239" s="3"/>
      <c r="BJ239" s="3"/>
      <c r="BK239" s="3"/>
      <c r="BL239" s="3"/>
    </row>
    <row r="240" ht="15.75" customHeight="1">
      <c r="A240" s="3" t="str">
        <f>IFERROR(__xludf.DUMMYFUNCTION("""COMPUTED_VALUE"""),"Shoes of Water Walking")</f>
        <v>Shoes of Water Walking</v>
      </c>
      <c r="B240" s="3"/>
      <c r="C240" s="3"/>
      <c r="D240" s="3" t="str">
        <f>IFERROR(__xludf.DUMMYFUNCTION("""COMPUTED_VALUE"""),"Feet")</f>
        <v>Feet</v>
      </c>
      <c r="E240" s="3">
        <f>IFERROR(__xludf.DUMMYFUNCTION("""COMPUTED_VALUE"""),200.0)</f>
        <v>200</v>
      </c>
      <c r="F240" s="3"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3">
        <f>IFERROR(__xludf.DUMMYFUNCTION("""COMPUTED_VALUE"""),1900000.0)</f>
        <v>1900000</v>
      </c>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D240" s="3"/>
      <c r="BE240" s="3"/>
      <c r="BF240" s="3"/>
      <c r="BG240" s="3"/>
      <c r="BH240" s="3"/>
      <c r="BI240" s="3"/>
      <c r="BJ240" s="3"/>
      <c r="BK240" s="3"/>
      <c r="BL240" s="3"/>
    </row>
    <row r="241" ht="15.75" customHeight="1">
      <c r="A241" s="3" t="str">
        <f>IFERROR(__xludf.DUMMYFUNCTION("""COMPUTED_VALUE"""),"Short Spear")</f>
        <v>Short Spear</v>
      </c>
      <c r="B241" s="3"/>
      <c r="C241" s="3" t="str">
        <f>IFERROR(__xludf.DUMMYFUNCTION("""COMPUTED_VALUE"""),"Spear")</f>
        <v>Spear</v>
      </c>
      <c r="D241" s="3" t="str">
        <f>IFERROR(__xludf.DUMMYFUNCTION("""COMPUTED_VALUE"""),"Hand")</f>
        <v>Hand</v>
      </c>
      <c r="E241" s="3">
        <f>IFERROR(__xludf.DUMMYFUNCTION("""COMPUTED_VALUE"""),1.0)</f>
        <v>1</v>
      </c>
      <c r="F241" s="3" t="str">
        <f>IFERROR(__xludf.DUMMYFUNCTION("""COMPUTED_VALUE"""),"DMG: +250")</f>
        <v>DMG: +250</v>
      </c>
      <c r="G241" s="3">
        <f>IFERROR(__xludf.DUMMYFUNCTION("""COMPUTED_VALUE"""),0.0)</f>
        <v>0</v>
      </c>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D241" s="3"/>
      <c r="BE241" s="3"/>
      <c r="BF241" s="3"/>
      <c r="BG241" s="3"/>
      <c r="BH241" s="3"/>
      <c r="BI241" s="3"/>
      <c r="BJ241" s="3"/>
      <c r="BK241" s="3"/>
      <c r="BL241" s="3"/>
    </row>
    <row r="242" ht="15.75" customHeight="1">
      <c r="A242" s="3" t="str">
        <f>IFERROR(__xludf.DUMMYFUNCTION("""COMPUTED_VALUE"""),"Shuriken")</f>
        <v>Shuriken</v>
      </c>
      <c r="B242" s="3"/>
      <c r="C242" s="3" t="str">
        <f>IFERROR(__xludf.DUMMYFUNCTION("""COMPUTED_VALUE"""),"Boomerang")</f>
        <v>Boomerang</v>
      </c>
      <c r="D242" s="3" t="str">
        <f>IFERROR(__xludf.DUMMYFUNCTION("""COMPUTED_VALUE"""),"Hand")</f>
        <v>Hand</v>
      </c>
      <c r="E242" s="3">
        <f>IFERROR(__xludf.DUMMYFUNCTION("""COMPUTED_VALUE"""),200.0)</f>
        <v>200</v>
      </c>
      <c r="F242" s="3" t="str">
        <f>IFERROR(__xludf.DUMMYFUNCTION("""COMPUTED_VALUE"""),"DMG: +5000, Blood DMG: +5000 ++Will return to you when thrown.")</f>
        <v>DMG: +5000, Blood DMG: +5000 ++Will return to you when thrown.</v>
      </c>
      <c r="G242" s="3">
        <f>IFERROR(__xludf.DUMMYFUNCTION("""COMPUTED_VALUE"""),1900000.0)</f>
        <v>1900000</v>
      </c>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D242" s="3"/>
      <c r="BE242" s="3"/>
      <c r="BF242" s="3"/>
      <c r="BG242" s="3"/>
      <c r="BH242" s="3"/>
      <c r="BI242" s="3"/>
      <c r="BJ242" s="3"/>
      <c r="BK242" s="3"/>
      <c r="BL242" s="3"/>
    </row>
    <row r="243" ht="15.75" customHeight="1">
      <c r="A243" s="3" t="str">
        <f>IFERROR(__xludf.DUMMYFUNCTION("""COMPUTED_VALUE"""),"Shuttering Cloak")</f>
        <v>Shuttering Cloak</v>
      </c>
      <c r="B243" s="3"/>
      <c r="C243" s="3"/>
      <c r="D243" s="3" t="str">
        <f>IFERROR(__xludf.DUMMYFUNCTION("""COMPUTED_VALUE"""),"Torso")</f>
        <v>Torso</v>
      </c>
      <c r="E243" s="3">
        <f>IFERROR(__xludf.DUMMYFUNCTION("""COMPUTED_VALUE"""),1.0)</f>
        <v>1</v>
      </c>
      <c r="F243" s="3" t="str">
        <f>IFERROR(__xludf.DUMMYFUNCTION("""COMPUTED_VALUE""")," ++Plus 10 Evasion and Mobility, +-You Cannot be unaffected by spells or attacks. +-Can only equip one")</f>
        <v> ++Plus 10 Evasion and Mobility, +-You Cannot be unaffected by spells or attacks. +-Can only equip one</v>
      </c>
      <c r="G243" s="3">
        <f>IFERROR(__xludf.DUMMYFUNCTION("""COMPUTED_VALUE"""),0.0)</f>
        <v>0</v>
      </c>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D243" s="3"/>
      <c r="BE243" s="3"/>
      <c r="BF243" s="3"/>
      <c r="BG243" s="3"/>
      <c r="BH243" s="3"/>
      <c r="BI243" s="3"/>
      <c r="BJ243" s="3"/>
      <c r="BK243" s="3"/>
      <c r="BL243" s="3"/>
    </row>
    <row r="244" ht="15.75" customHeight="1">
      <c r="A244" s="3" t="str">
        <f>IFERROR(__xludf.DUMMYFUNCTION("""COMPUTED_VALUE"""),"Silver Armor")</f>
        <v>Silver Armor</v>
      </c>
      <c r="B244" s="3"/>
      <c r="C244" s="3"/>
      <c r="D244" s="3" t="str">
        <f>IFERROR(__xludf.DUMMYFUNCTION("""COMPUTED_VALUE"""),"Torso")</f>
        <v>Torso</v>
      </c>
      <c r="E244" s="3">
        <f>IFERROR(__xludf.DUMMYFUNCTION("""COMPUTED_VALUE"""),1.0)</f>
        <v>1</v>
      </c>
      <c r="F244" s="3" t="str">
        <f>IFERROR(__xludf.DUMMYFUNCTION("""COMPUTED_VALUE"""),"DEF: +30")</f>
        <v>DEF: +30</v>
      </c>
      <c r="G244" s="3">
        <f>IFERROR(__xludf.DUMMYFUNCTION("""COMPUTED_VALUE"""),0.0)</f>
        <v>0</v>
      </c>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D244" s="3"/>
      <c r="BE244" s="3"/>
      <c r="BF244" s="3"/>
      <c r="BG244" s="3"/>
      <c r="BH244" s="3"/>
      <c r="BI244" s="3"/>
      <c r="BJ244" s="3"/>
      <c r="BK244" s="3"/>
      <c r="BL244" s="3"/>
    </row>
    <row r="245" ht="15.75" customHeight="1">
      <c r="A245" s="3" t="str">
        <f>IFERROR(__xludf.DUMMYFUNCTION("""COMPUTED_VALUE"""),"Silver Katana")</f>
        <v>Silver Katana</v>
      </c>
      <c r="B245" s="3"/>
      <c r="C245" s="3" t="str">
        <f>IFERROR(__xludf.DUMMYFUNCTION("""COMPUTED_VALUE"""),"Sword")</f>
        <v>Sword</v>
      </c>
      <c r="D245" s="3" t="str">
        <f>IFERROR(__xludf.DUMMYFUNCTION("""COMPUTED_VALUE"""),"Hand")</f>
        <v>Hand</v>
      </c>
      <c r="E245" s="3">
        <f>IFERROR(__xludf.DUMMYFUNCTION("""COMPUTED_VALUE"""),200.0)</f>
        <v>200</v>
      </c>
      <c r="F245" s="3" t="str">
        <f>IFERROR(__xludf.DUMMYFUNCTION("""COMPUTED_VALUE"""),"DMG: +10000 ++Causes Blindness 3")</f>
        <v>DMG: +10000 ++Causes Blindness 3</v>
      </c>
      <c r="G245" s="3">
        <f>IFERROR(__xludf.DUMMYFUNCTION("""COMPUTED_VALUE"""),1900000.0)</f>
        <v>1900000</v>
      </c>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D245" s="3"/>
      <c r="BE245" s="3"/>
      <c r="BF245" s="3"/>
      <c r="BG245" s="3"/>
      <c r="BH245" s="3"/>
      <c r="BI245" s="3"/>
      <c r="BJ245" s="3"/>
      <c r="BK245" s="3"/>
      <c r="BL245" s="3"/>
    </row>
    <row r="246" ht="15.75" customHeight="1">
      <c r="A246" s="3" t="str">
        <f>IFERROR(__xludf.DUMMYFUNCTION("""COMPUTED_VALUE"""),"Silver Knife")</f>
        <v>Silver Knife</v>
      </c>
      <c r="B246" s="3"/>
      <c r="C246" s="3" t="str">
        <f>IFERROR(__xludf.DUMMYFUNCTION("""COMPUTED_VALUE"""),"Knife")</f>
        <v>Knife</v>
      </c>
      <c r="D246" s="3" t="str">
        <f>IFERROR(__xludf.DUMMYFUNCTION("""COMPUTED_VALUE"""),"Hand")</f>
        <v>Hand</v>
      </c>
      <c r="E246" s="3">
        <f>IFERROR(__xludf.DUMMYFUNCTION("""COMPUTED_VALUE"""),200.0)</f>
        <v>200</v>
      </c>
      <c r="F246" s="3" t="str">
        <f>IFERROR(__xludf.DUMMYFUNCTION("""COMPUTED_VALUE"""),"DMG: +10000")</f>
        <v>DMG: +10000</v>
      </c>
      <c r="G246" s="3">
        <f>IFERROR(__xludf.DUMMYFUNCTION("""COMPUTED_VALUE"""),1900000.0)</f>
        <v>1900000</v>
      </c>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D246" s="3"/>
      <c r="BE246" s="3"/>
      <c r="BF246" s="3"/>
      <c r="BG246" s="3"/>
      <c r="BH246" s="3"/>
      <c r="BI246" s="3"/>
      <c r="BJ246" s="3"/>
      <c r="BK246" s="3"/>
      <c r="BL246" s="3"/>
    </row>
    <row r="247" ht="15.75" customHeight="1">
      <c r="A247" s="3" t="str">
        <f>IFERROR(__xludf.DUMMYFUNCTION("""COMPUTED_VALUE"""),"Skull Cleaver")</f>
        <v>Skull Cleaver</v>
      </c>
      <c r="B247" s="3"/>
      <c r="C247" s="3" t="str">
        <f>IFERROR(__xludf.DUMMYFUNCTION("""COMPUTED_VALUE"""),"Sword")</f>
        <v>Sword</v>
      </c>
      <c r="D247" s="3" t="str">
        <f>IFERROR(__xludf.DUMMYFUNCTION("""COMPUTED_VALUE"""),"Hand")</f>
        <v>Hand</v>
      </c>
      <c r="E247" s="3">
        <f>IFERROR(__xludf.DUMMYFUNCTION("""COMPUTED_VALUE"""),1000.0)</f>
        <v>1000</v>
      </c>
      <c r="F247" s="3" t="str">
        <f>IFERROR(__xludf.DUMMYFUNCTION("""COMPUTED_VALUE"""),"DMG: +30000, Dark DMG: +20000 ++75% Chance of instant death.")</f>
        <v>DMG: +30000, Dark DMG: +20000 ++75% Chance of instant death.</v>
      </c>
      <c r="G247" s="3">
        <f>IFERROR(__xludf.DUMMYFUNCTION("""COMPUTED_VALUE"""),4.95E7)</f>
        <v>49500000</v>
      </c>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D247" s="3"/>
      <c r="BE247" s="3"/>
      <c r="BF247" s="3"/>
      <c r="BG247" s="3"/>
      <c r="BH247" s="3"/>
      <c r="BI247" s="3"/>
      <c r="BJ247" s="3"/>
      <c r="BK247" s="3"/>
      <c r="BL247" s="3"/>
    </row>
    <row r="248" ht="15.75" customHeight="1">
      <c r="A248" s="3" t="str">
        <f>IFERROR(__xludf.DUMMYFUNCTION("""COMPUTED_VALUE"""),"Skull of the many Kings")</f>
        <v>Skull of the many Kings</v>
      </c>
      <c r="B248" s="3"/>
      <c r="C248" s="3"/>
      <c r="D248" s="3" t="str">
        <f>IFERROR(__xludf.DUMMYFUNCTION("""COMPUTED_VALUE"""),"Head")</f>
        <v>Head</v>
      </c>
      <c r="E248" s="3">
        <f>IFERROR(__xludf.DUMMYFUNCTION("""COMPUTED_VALUE"""),1.0)</f>
        <v>1</v>
      </c>
      <c r="F248" s="3" t="str">
        <f>IFERROR(__xludf.DUMMYFUNCTION("""COMPUTED_VALUE"""),"DEF: +300 ++Immunity to all dark damage")</f>
        <v>DEF: +300 ++Immunity to all dark damage</v>
      </c>
      <c r="G248" s="3">
        <f>IFERROR(__xludf.DUMMYFUNCTION("""COMPUTED_VALUE"""),0.0)</f>
        <v>0</v>
      </c>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D248" s="3"/>
      <c r="BE248" s="3"/>
      <c r="BF248" s="3"/>
      <c r="BG248" s="3"/>
      <c r="BH248" s="3"/>
      <c r="BI248" s="3"/>
      <c r="BJ248" s="3"/>
      <c r="BK248" s="3"/>
      <c r="BL248" s="3"/>
    </row>
    <row r="249" ht="15.75" customHeight="1">
      <c r="A249" s="3" t="str">
        <f>IFERROR(__xludf.DUMMYFUNCTION("""COMPUTED_VALUE"""),"Skull Ring")</f>
        <v>Skull Ring</v>
      </c>
      <c r="B249" s="3"/>
      <c r="C249" s="3"/>
      <c r="D249" s="3" t="str">
        <f>IFERROR(__xludf.DUMMYFUNCTION("""COMPUTED_VALUE"""),"Ring")</f>
        <v>Ring</v>
      </c>
      <c r="E249" s="3">
        <f>IFERROR(__xludf.DUMMYFUNCTION("""COMPUTED_VALUE"""),1.0)</f>
        <v>1</v>
      </c>
      <c r="F249" s="3" t="str">
        <f>IFERROR(__xludf.DUMMYFUNCTION("""COMPUTED_VALUE""")," ++Increase damage of all dark spells and weapons by X2")</f>
        <v> ++Increase damage of all dark spells and weapons by X2</v>
      </c>
      <c r="G249" s="3">
        <f>IFERROR(__xludf.DUMMYFUNCTION("""COMPUTED_VALUE"""),0.0)</f>
        <v>0</v>
      </c>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D249" s="3"/>
      <c r="BE249" s="3"/>
      <c r="BF249" s="3"/>
      <c r="BG249" s="3"/>
      <c r="BH249" s="3"/>
      <c r="BI249" s="3"/>
      <c r="BJ249" s="3"/>
      <c r="BK249" s="3"/>
      <c r="BL249" s="3"/>
    </row>
    <row r="250" ht="15.75" customHeight="1">
      <c r="A250" s="3" t="str">
        <f>IFERROR(__xludf.DUMMYFUNCTION("""COMPUTED_VALUE"""),"Spear")</f>
        <v>Spear</v>
      </c>
      <c r="B250" s="3"/>
      <c r="C250" s="3" t="str">
        <f>IFERROR(__xludf.DUMMYFUNCTION("""COMPUTED_VALUE"""),"Spear")</f>
        <v>Spear</v>
      </c>
      <c r="D250" s="3" t="str">
        <f>IFERROR(__xludf.DUMMYFUNCTION("""COMPUTED_VALUE"""),"Hand")</f>
        <v>Hand</v>
      </c>
      <c r="E250" s="3">
        <f>IFERROR(__xludf.DUMMYFUNCTION("""COMPUTED_VALUE"""),1.0)</f>
        <v>1</v>
      </c>
      <c r="F250" s="3" t="str">
        <f>IFERROR(__xludf.DUMMYFUNCTION("""COMPUTED_VALUE"""),"DMG: +100")</f>
        <v>DMG: +100</v>
      </c>
      <c r="G250" s="3">
        <f>IFERROR(__xludf.DUMMYFUNCTION("""COMPUTED_VALUE"""),0.0)</f>
        <v>0</v>
      </c>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D250" s="3"/>
      <c r="BE250" s="3"/>
      <c r="BF250" s="3"/>
      <c r="BG250" s="3"/>
      <c r="BH250" s="3"/>
      <c r="BI250" s="3"/>
      <c r="BJ250" s="3"/>
      <c r="BK250" s="3"/>
      <c r="BL250" s="3"/>
    </row>
    <row r="251" ht="15.75" customHeight="1">
      <c r="A251" s="3" t="str">
        <f>IFERROR(__xludf.DUMMYFUNCTION("""COMPUTED_VALUE"""),"Spear Of Assal ")</f>
        <v>Spear Of Assal </v>
      </c>
      <c r="B251" s="3"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3" t="str">
        <f>IFERROR(__xludf.DUMMYFUNCTION("""COMPUTED_VALUE"""),"Spear")</f>
        <v>Spear</v>
      </c>
      <c r="D251" s="3" t="str">
        <f>IFERROR(__xludf.DUMMYFUNCTION("""COMPUTED_VALUE"""),"Hand")</f>
        <v>Hand</v>
      </c>
      <c r="E251" s="3">
        <f>IFERROR(__xludf.DUMMYFUNCTION("""COMPUTED_VALUE"""),200.0)</f>
        <v>200</v>
      </c>
      <c r="F251" s="3"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3">
        <f>IFERROR(__xludf.DUMMYFUNCTION("""COMPUTED_VALUE"""),4.485E8)</f>
        <v>448500000</v>
      </c>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D251" s="3"/>
      <c r="BE251" s="3"/>
      <c r="BF251" s="3"/>
      <c r="BG251" s="3"/>
      <c r="BH251" s="3"/>
      <c r="BI251" s="3"/>
      <c r="BJ251" s="3"/>
      <c r="BK251" s="3"/>
      <c r="BL251" s="3"/>
    </row>
    <row r="252" ht="15.75" customHeight="1">
      <c r="A252" s="3" t="str">
        <f>IFERROR(__xludf.DUMMYFUNCTION("""COMPUTED_VALUE"""),"Spiked Armor")</f>
        <v>Spiked Armor</v>
      </c>
      <c r="B252" s="3"/>
      <c r="C252" s="3"/>
      <c r="D252" s="3" t="str">
        <f>IFERROR(__xludf.DUMMYFUNCTION("""COMPUTED_VALUE"""),"Torso")</f>
        <v>Torso</v>
      </c>
      <c r="E252" s="3">
        <f>IFERROR(__xludf.DUMMYFUNCTION("""COMPUTED_VALUE"""),1.0)</f>
        <v>1</v>
      </c>
      <c r="F252" s="3" t="str">
        <f>IFERROR(__xludf.DUMMYFUNCTION("""COMPUTED_VALUE"""),"DEF: +100 ++Used for both offense and defense. ++Enemies take half the damage they caused, when they attack you.")</f>
        <v>DEF: +100 ++Used for both offense and defense. ++Enemies take half the damage they caused, when they attack you.</v>
      </c>
      <c r="G252" s="3">
        <f>IFERROR(__xludf.DUMMYFUNCTION("""COMPUTED_VALUE"""),0.0)</f>
        <v>0</v>
      </c>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D252" s="3"/>
      <c r="BE252" s="3"/>
      <c r="BF252" s="3"/>
      <c r="BG252" s="3"/>
      <c r="BH252" s="3"/>
      <c r="BI252" s="3"/>
      <c r="BJ252" s="3"/>
      <c r="BK252" s="3"/>
      <c r="BL252" s="3"/>
    </row>
    <row r="253" ht="15.75" customHeight="1">
      <c r="A253" s="3" t="str">
        <f>IFERROR(__xludf.DUMMYFUNCTION("""COMPUTED_VALUE"""),"Spiny Shield")</f>
        <v>Spiny Shield</v>
      </c>
      <c r="B253" s="3"/>
      <c r="C253" s="3" t="str">
        <f>IFERROR(__xludf.DUMMYFUNCTION("""COMPUTED_VALUE"""),"Buckler")</f>
        <v>Buckler</v>
      </c>
      <c r="D253" s="3" t="str">
        <f>IFERROR(__xludf.DUMMYFUNCTION("""COMPUTED_VALUE"""),"Hand")</f>
        <v>Hand</v>
      </c>
      <c r="E253" s="3">
        <f>IFERROR(__xludf.DUMMYFUNCTION("""COMPUTED_VALUE"""),1.0)</f>
        <v>1</v>
      </c>
      <c r="F253" s="3" t="str">
        <f>IFERROR(__xludf.DUMMYFUNCTION("""COMPUTED_VALUE"""),"DEF: +170")</f>
        <v>DEF: +170</v>
      </c>
      <c r="G253" s="3">
        <f>IFERROR(__xludf.DUMMYFUNCTION("""COMPUTED_VALUE"""),0.0)</f>
        <v>0</v>
      </c>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D253" s="3"/>
      <c r="BE253" s="3"/>
      <c r="BF253" s="3"/>
      <c r="BG253" s="3"/>
      <c r="BH253" s="3"/>
      <c r="BI253" s="3"/>
      <c r="BJ253" s="3"/>
      <c r="BK253" s="3"/>
      <c r="BL253" s="3"/>
    </row>
    <row r="254" ht="15.75" customHeight="1">
      <c r="A254" s="3" t="str">
        <f>IFERROR(__xludf.DUMMYFUNCTION("""COMPUTED_VALUE"""),"Spooky Branch Ring")</f>
        <v>Spooky Branch Ring</v>
      </c>
      <c r="B254" s="3" t="str">
        <f>IFERROR(__xludf.DUMMYFUNCTION("""COMPUTED_VALUE"""),"Halloween Exclusive")</f>
        <v>Halloween Exclusive</v>
      </c>
      <c r="C254" s="3"/>
      <c r="D254" s="3" t="str">
        <f>IFERROR(__xludf.DUMMYFUNCTION("""COMPUTED_VALUE"""),"Ring")</f>
        <v>Ring</v>
      </c>
      <c r="E254" s="3">
        <f>IFERROR(__xludf.DUMMYFUNCTION("""COMPUTED_VALUE"""),1.0)</f>
        <v>1</v>
      </c>
      <c r="F254" s="3" t="str">
        <f>IFERROR(__xludf.DUMMYFUNCTION("""COMPUTED_VALUE""")," ++Increase fire and dark damage by X2.")</f>
        <v> ++Increase fire and dark damage by X2.</v>
      </c>
      <c r="G254" s="3">
        <f>IFERROR(__xludf.DUMMYFUNCTION("""COMPUTED_VALUE"""),0.0)</f>
        <v>0</v>
      </c>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D254" s="3"/>
      <c r="BE254" s="3"/>
      <c r="BF254" s="3"/>
      <c r="BG254" s="3"/>
      <c r="BH254" s="3"/>
      <c r="BI254" s="3"/>
      <c r="BJ254" s="3"/>
      <c r="BK254" s="3"/>
      <c r="BL254" s="3"/>
    </row>
    <row r="255" ht="15.75" customHeight="1">
      <c r="A255" s="3" t="str">
        <f>IFERROR(__xludf.DUMMYFUNCTION("""COMPUTED_VALUE"""),"Staff of Chaotic Shadows")</f>
        <v>Staff of Chaotic Shadows</v>
      </c>
      <c r="B255" s="3"/>
      <c r="C255" s="3" t="str">
        <f>IFERROR(__xludf.DUMMYFUNCTION("""COMPUTED_VALUE"""),"Staff")</f>
        <v>Staff</v>
      </c>
      <c r="D255" s="3" t="str">
        <f>IFERROR(__xludf.DUMMYFUNCTION("""COMPUTED_VALUE"""),"Hand")</f>
        <v>Hand</v>
      </c>
      <c r="E255" s="3">
        <f>IFERROR(__xludf.DUMMYFUNCTION("""COMPUTED_VALUE"""),1200.0)</f>
        <v>1200</v>
      </c>
      <c r="F255" s="3" t="str">
        <f>IFERROR(__xludf.DUMMYFUNCTION("""COMPUTED_VALUE"""),", Fire DMG: +20000, Dark DMG: +20000, Chaos DMG: +20000 ++damages all enemies. +-Cannot be forged.")</f>
        <v>, Fire DMG: +20000, Dark DMG: +20000, Chaos DMG: +20000 ++damages all enemies. +-Cannot be forged.</v>
      </c>
      <c r="G255" s="3">
        <f>IFERROR(__xludf.DUMMYFUNCTION("""COMPUTED_VALUE"""),7.14E7)</f>
        <v>71400000</v>
      </c>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D255" s="3"/>
      <c r="BE255" s="3"/>
      <c r="BF255" s="3"/>
      <c r="BG255" s="3"/>
      <c r="BH255" s="3"/>
      <c r="BI255" s="3"/>
      <c r="BJ255" s="3"/>
      <c r="BK255" s="3"/>
      <c r="BL255" s="3"/>
    </row>
    <row r="256" ht="15.75" customHeight="1">
      <c r="A256" s="3" t="str">
        <f>IFERROR(__xludf.DUMMYFUNCTION("""COMPUTED_VALUE"""),"Staff of Crystals")</f>
        <v>Staff of Crystals</v>
      </c>
      <c r="B256" s="3"/>
      <c r="C256" s="3" t="str">
        <f>IFERROR(__xludf.DUMMYFUNCTION("""COMPUTED_VALUE"""),"Staff")</f>
        <v>Staff</v>
      </c>
      <c r="D256" s="3" t="str">
        <f>IFERROR(__xludf.DUMMYFUNCTION("""COMPUTED_VALUE"""),"Hand")</f>
        <v>Hand</v>
      </c>
      <c r="E256" s="3">
        <f>IFERROR(__xludf.DUMMYFUNCTION("""COMPUTED_VALUE"""),400.0)</f>
        <v>400</v>
      </c>
      <c r="F256" s="3"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3">
        <f>IFERROR(__xludf.DUMMYFUNCTION("""COMPUTED_VALUE"""),7800000.0)</f>
        <v>7800000</v>
      </c>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D256" s="3"/>
      <c r="BE256" s="3"/>
      <c r="BF256" s="3"/>
      <c r="BG256" s="3"/>
      <c r="BH256" s="3"/>
      <c r="BI256" s="3"/>
      <c r="BJ256" s="3"/>
      <c r="BK256" s="3"/>
      <c r="BL256" s="3"/>
    </row>
    <row r="257" ht="15.75" customHeight="1">
      <c r="A257" s="3" t="str">
        <f>IFERROR(__xludf.DUMMYFUNCTION("""COMPUTED_VALUE"""),"Staff Of Heatmore")</f>
        <v>Staff Of Heatmore</v>
      </c>
      <c r="B257" s="3"/>
      <c r="C257" s="3" t="str">
        <f>IFERROR(__xludf.DUMMYFUNCTION("""COMPUTED_VALUE"""),"Staff")</f>
        <v>Staff</v>
      </c>
      <c r="D257" s="3" t="str">
        <f>IFERROR(__xludf.DUMMYFUNCTION("""COMPUTED_VALUE"""),"Hand")</f>
        <v>Hand</v>
      </c>
      <c r="E257" s="3">
        <f>IFERROR(__xludf.DUMMYFUNCTION("""COMPUTED_VALUE"""),1.0)</f>
        <v>1</v>
      </c>
      <c r="F257" s="3" t="str">
        <f>IFERROR(__xludf.DUMMYFUNCTION("""COMPUTED_VALUE""")," ++20,000 fire damage to all enemies, cannot avoid. 10,000sp")</f>
        <v> ++20,000 fire damage to all enemies, cannot avoid. 10,000sp</v>
      </c>
      <c r="G257" s="3">
        <f>IFERROR(__xludf.DUMMYFUNCTION("""COMPUTED_VALUE"""),0.0)</f>
        <v>0</v>
      </c>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D257" s="3"/>
      <c r="BE257" s="3"/>
      <c r="BF257" s="3"/>
      <c r="BG257" s="3"/>
      <c r="BH257" s="3"/>
      <c r="BI257" s="3"/>
      <c r="BJ257" s="3"/>
      <c r="BK257" s="3"/>
      <c r="BL257" s="3"/>
    </row>
    <row r="258" ht="15.75" customHeight="1">
      <c r="A258" s="3" t="str">
        <f>IFERROR(__xludf.DUMMYFUNCTION("""COMPUTED_VALUE"""),"Staff of Shadows")</f>
        <v>Staff of Shadows</v>
      </c>
      <c r="B258" s="3"/>
      <c r="C258" s="3" t="str">
        <f>IFERROR(__xludf.DUMMYFUNCTION("""COMPUTED_VALUE"""),"Staff")</f>
        <v>Staff</v>
      </c>
      <c r="D258" s="3" t="str">
        <f>IFERROR(__xludf.DUMMYFUNCTION("""COMPUTED_VALUE"""),"Hand")</f>
        <v>Hand</v>
      </c>
      <c r="E258" s="3">
        <f>IFERROR(__xludf.DUMMYFUNCTION("""COMPUTED_VALUE"""),1.0)</f>
        <v>1</v>
      </c>
      <c r="F258" s="3" t="str">
        <f>IFERROR(__xludf.DUMMYFUNCTION("""COMPUTED_VALUE""")," ++You are invisible and silent so long as you don't attack. You cannot be attacked while invisible. 200SP")</f>
        <v> ++You are invisible and silent so long as you don't attack. You cannot be attacked while invisible. 200SP</v>
      </c>
      <c r="G258" s="3">
        <f>IFERROR(__xludf.DUMMYFUNCTION("""COMPUTED_VALUE"""),0.0)</f>
        <v>0</v>
      </c>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D258" s="3"/>
      <c r="BE258" s="3"/>
      <c r="BF258" s="3"/>
      <c r="BG258" s="3"/>
      <c r="BH258" s="3"/>
      <c r="BI258" s="3"/>
      <c r="BJ258" s="3"/>
      <c r="BK258" s="3"/>
      <c r="BL258" s="3"/>
    </row>
    <row r="259" ht="15.75" customHeight="1">
      <c r="A259" s="3" t="str">
        <f>IFERROR(__xludf.DUMMYFUNCTION("""COMPUTED_VALUE"""),"Staff Of Suffering")</f>
        <v>Staff Of Suffering</v>
      </c>
      <c r="B259" s="3"/>
      <c r="C259" s="3" t="str">
        <f>IFERROR(__xludf.DUMMYFUNCTION("""COMPUTED_VALUE"""),"Staff")</f>
        <v>Staff</v>
      </c>
      <c r="D259" s="3" t="str">
        <f>IFERROR(__xludf.DUMMYFUNCTION("""COMPUTED_VALUE"""),"Hand")</f>
        <v>Hand</v>
      </c>
      <c r="E259" s="3">
        <f>IFERROR(__xludf.DUMMYFUNCTION("""COMPUTED_VALUE"""),1.0)</f>
        <v>1</v>
      </c>
      <c r="F259" s="3" t="str">
        <f>IFERROR(__xludf.DUMMYFUNCTION("""COMPUTED_VALUE""")," ++Casts a chaotic aura around 1 target dealing 1000 unblockable damage to them each time they cast a spell.")</f>
        <v> ++Casts a chaotic aura around 1 target dealing 1000 unblockable damage to them each time they cast a spell.</v>
      </c>
      <c r="G259" s="3">
        <f>IFERROR(__xludf.DUMMYFUNCTION("""COMPUTED_VALUE"""),0.0)</f>
        <v>0</v>
      </c>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D259" s="3"/>
      <c r="BE259" s="3"/>
      <c r="BF259" s="3"/>
      <c r="BG259" s="3"/>
      <c r="BH259" s="3"/>
      <c r="BI259" s="3"/>
      <c r="BJ259" s="3"/>
      <c r="BK259" s="3"/>
      <c r="BL259" s="3"/>
    </row>
    <row r="260" ht="15.75" customHeight="1">
      <c r="A260" s="3" t="str">
        <f>IFERROR(__xludf.DUMMYFUNCTION("""COMPUTED_VALUE"""),"Staff of Targeting")</f>
        <v>Staff of Targeting</v>
      </c>
      <c r="B260" s="3"/>
      <c r="C260" s="3" t="str">
        <f>IFERROR(__xludf.DUMMYFUNCTION("""COMPUTED_VALUE"""),"Staff")</f>
        <v>Staff</v>
      </c>
      <c r="D260" s="3" t="str">
        <f>IFERROR(__xludf.DUMMYFUNCTION("""COMPUTED_VALUE"""),"Hand")</f>
        <v>Hand</v>
      </c>
      <c r="E260" s="3">
        <f>IFERROR(__xludf.DUMMYFUNCTION("""COMPUTED_VALUE"""),1.0)</f>
        <v>1</v>
      </c>
      <c r="F260" s="3"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3">
        <f>IFERROR(__xludf.DUMMYFUNCTION("""COMPUTED_VALUE"""),0.0)</f>
        <v>0</v>
      </c>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D260" s="3"/>
      <c r="BE260" s="3"/>
      <c r="BF260" s="3"/>
      <c r="BG260" s="3"/>
      <c r="BH260" s="3"/>
      <c r="BI260" s="3"/>
      <c r="BJ260" s="3"/>
      <c r="BK260" s="3"/>
      <c r="BL260" s="3"/>
    </row>
    <row r="261" ht="15.75" customHeight="1">
      <c r="A261" s="3" t="str">
        <f>IFERROR(__xludf.DUMMYFUNCTION("""COMPUTED_VALUE"""),"Staff of Waves")</f>
        <v>Staff of Waves</v>
      </c>
      <c r="B261" s="3"/>
      <c r="C261" s="3" t="str">
        <f>IFERROR(__xludf.DUMMYFUNCTION("""COMPUTED_VALUE"""),"Staff")</f>
        <v>Staff</v>
      </c>
      <c r="D261" s="3" t="str">
        <f>IFERROR(__xludf.DUMMYFUNCTION("""COMPUTED_VALUE"""),"Hand")</f>
        <v>Hand</v>
      </c>
      <c r="E261" s="3">
        <f>IFERROR(__xludf.DUMMYFUNCTION("""COMPUTED_VALUE"""),1.0)</f>
        <v>1</v>
      </c>
      <c r="F261" s="3" t="str">
        <f>IFERROR(__xludf.DUMMYFUNCTION("""COMPUTED_VALUE""")," ++Casts the Spell Tsunami as if you would know it.")</f>
        <v> ++Casts the Spell Tsunami as if you would know it.</v>
      </c>
      <c r="G261" s="3">
        <f>IFERROR(__xludf.DUMMYFUNCTION("""COMPUTED_VALUE"""),0.0)</f>
        <v>0</v>
      </c>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D261" s="3"/>
      <c r="BE261" s="3"/>
      <c r="BF261" s="3"/>
      <c r="BG261" s="3"/>
      <c r="BH261" s="3"/>
      <c r="BI261" s="3"/>
      <c r="BJ261" s="3"/>
      <c r="BK261" s="3"/>
      <c r="BL261" s="3"/>
    </row>
    <row r="262" ht="15.75" customHeight="1">
      <c r="A262" s="3" t="str">
        <f>IFERROR(__xludf.DUMMYFUNCTION("""COMPUTED_VALUE"""),"Guard Helmet")</f>
        <v>Guard Helmet</v>
      </c>
      <c r="B262" s="3" t="str">
        <f>IFERROR(__xludf.DUMMYFUNCTION("""COMPUTED_VALUE"""),"Quest Item")</f>
        <v>Quest Item</v>
      </c>
      <c r="C262" s="3"/>
      <c r="D262" s="3" t="str">
        <f>IFERROR(__xludf.DUMMYFUNCTION("""COMPUTED_VALUE"""),"Head")</f>
        <v>Head</v>
      </c>
      <c r="E262" s="3">
        <f>IFERROR(__xludf.DUMMYFUNCTION("""COMPUTED_VALUE"""),200.0)</f>
        <v>200</v>
      </c>
      <c r="F262" s="3" t="str">
        <f>IFERROR(__xludf.DUMMYFUNCTION("""COMPUTED_VALUE"""),"DEF: +25000, Light DEF: +25000, Celestial DEF: +25000")</f>
        <v>DEF: +25000, Light DEF: +25000, Celestial DEF: +25000</v>
      </c>
      <c r="G262" s="3">
        <f>IFERROR(__xludf.DUMMYFUNCTION("""COMPUTED_VALUE"""),1.1175E8)</f>
        <v>111750000</v>
      </c>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D262" s="3"/>
      <c r="BE262" s="3"/>
      <c r="BF262" s="3"/>
      <c r="BG262" s="3"/>
      <c r="BH262" s="3"/>
      <c r="BI262" s="3"/>
      <c r="BJ262" s="3"/>
      <c r="BK262" s="3"/>
      <c r="BL262" s="3"/>
    </row>
    <row r="263" ht="15.75" customHeight="1">
      <c r="A263" s="3" t="str">
        <f>IFERROR(__xludf.DUMMYFUNCTION("""COMPUTED_VALUE"""),"Guard Shield")</f>
        <v>Guard Shield</v>
      </c>
      <c r="B263" s="3" t="str">
        <f>IFERROR(__xludf.DUMMYFUNCTION("""COMPUTED_VALUE"""),"Quest Item")</f>
        <v>Quest Item</v>
      </c>
      <c r="C263" s="3" t="str">
        <f>IFERROR(__xludf.DUMMYFUNCTION("""COMPUTED_VALUE"""),"Towershield")</f>
        <v>Towershield</v>
      </c>
      <c r="D263" s="3" t="str">
        <f>IFERROR(__xludf.DUMMYFUNCTION("""COMPUTED_VALUE"""),"Hand")</f>
        <v>Hand</v>
      </c>
      <c r="E263" s="3">
        <f>IFERROR(__xludf.DUMMYFUNCTION("""COMPUTED_VALUE"""),200.0)</f>
        <v>200</v>
      </c>
      <c r="F263" s="3" t="str">
        <f>IFERROR(__xludf.DUMMYFUNCTION("""COMPUTED_VALUE"""),"DEF: +25000, Light DEF: +25000, Celestial DEF: +25000")</f>
        <v>DEF: +25000, Light DEF: +25000, Celestial DEF: +25000</v>
      </c>
      <c r="G263" s="3">
        <f>IFERROR(__xludf.DUMMYFUNCTION("""COMPUTED_VALUE"""),1.1175E8)</f>
        <v>111750000</v>
      </c>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D263" s="3"/>
      <c r="BE263" s="3"/>
      <c r="BF263" s="3"/>
      <c r="BG263" s="3"/>
      <c r="BH263" s="3"/>
      <c r="BI263" s="3"/>
      <c r="BJ263" s="3"/>
      <c r="BK263" s="3"/>
      <c r="BL263" s="3"/>
    </row>
    <row r="264" ht="15.75" customHeight="1">
      <c r="A264" s="3" t="str">
        <f>IFERROR(__xludf.DUMMYFUNCTION("""COMPUTED_VALUE"""),"Guard Sword")</f>
        <v>Guard Sword</v>
      </c>
      <c r="B264" s="3" t="str">
        <f>IFERROR(__xludf.DUMMYFUNCTION("""COMPUTED_VALUE"""),"Quest Item")</f>
        <v>Quest Item</v>
      </c>
      <c r="C264" s="3" t="str">
        <f>IFERROR(__xludf.DUMMYFUNCTION("""COMPUTED_VALUE"""),"Sword")</f>
        <v>Sword</v>
      </c>
      <c r="D264" s="3" t="str">
        <f>IFERROR(__xludf.DUMMYFUNCTION("""COMPUTED_VALUE"""),"Hand")</f>
        <v>Hand</v>
      </c>
      <c r="E264" s="3">
        <f>IFERROR(__xludf.DUMMYFUNCTION("""COMPUTED_VALUE"""),200.0)</f>
        <v>200</v>
      </c>
      <c r="F264" s="3" t="str">
        <f>IFERROR(__xludf.DUMMYFUNCTION("""COMPUTED_VALUE"""),"DMG: +25000, Light DMG: +25000, Celestial DMG: +25000")</f>
        <v>DMG: +25000, Light DMG: +25000, Celestial DMG: +25000</v>
      </c>
      <c r="G264" s="3">
        <f>IFERROR(__xludf.DUMMYFUNCTION("""COMPUTED_VALUE"""),1.1175E8)</f>
        <v>111750000</v>
      </c>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D264" s="3"/>
      <c r="BE264" s="3"/>
      <c r="BF264" s="3"/>
      <c r="BG264" s="3"/>
      <c r="BH264" s="3"/>
      <c r="BI264" s="3"/>
      <c r="BJ264" s="3"/>
      <c r="BK264" s="3"/>
      <c r="BL264" s="3"/>
    </row>
    <row r="265" ht="15.75" customHeight="1">
      <c r="A265" s="3" t="str">
        <f>IFERROR(__xludf.DUMMYFUNCTION("""COMPUTED_VALUE"""),"Steel Armor")</f>
        <v>Steel Armor</v>
      </c>
      <c r="B265" s="3"/>
      <c r="C265" s="3"/>
      <c r="D265" s="3" t="str">
        <f>IFERROR(__xludf.DUMMYFUNCTION("""COMPUTED_VALUE"""),"Torso")</f>
        <v>Torso</v>
      </c>
      <c r="E265" s="3">
        <f>IFERROR(__xludf.DUMMYFUNCTION("""COMPUTED_VALUE"""),1.0)</f>
        <v>1</v>
      </c>
      <c r="F265" s="3" t="str">
        <f>IFERROR(__xludf.DUMMYFUNCTION("""COMPUTED_VALUE"""),"DEF: +20")</f>
        <v>DEF: +20</v>
      </c>
      <c r="G265" s="3">
        <f>IFERROR(__xludf.DUMMYFUNCTION("""COMPUTED_VALUE"""),0.0)</f>
        <v>0</v>
      </c>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D265" s="3"/>
      <c r="BE265" s="3"/>
      <c r="BF265" s="3"/>
      <c r="BG265" s="3"/>
      <c r="BH265" s="3"/>
      <c r="BI265" s="3"/>
      <c r="BJ265" s="3"/>
      <c r="BK265" s="3"/>
      <c r="BL265" s="3"/>
    </row>
    <row r="266" ht="15.75" customHeight="1">
      <c r="A266" s="3" t="str">
        <f>IFERROR(__xludf.DUMMYFUNCTION("""COMPUTED_VALUE"""),"Steel Broadsword")</f>
        <v>Steel Broadsword</v>
      </c>
      <c r="B266" s="3"/>
      <c r="C266" s="3" t="str">
        <f>IFERROR(__xludf.DUMMYFUNCTION("""COMPUTED_VALUE"""),"Sword")</f>
        <v>Sword</v>
      </c>
      <c r="D266" s="3" t="str">
        <f>IFERROR(__xludf.DUMMYFUNCTION("""COMPUTED_VALUE"""),"Hand")</f>
        <v>Hand</v>
      </c>
      <c r="E266" s="3">
        <f>IFERROR(__xludf.DUMMYFUNCTION("""COMPUTED_VALUE"""),40.0)</f>
        <v>40</v>
      </c>
      <c r="F266" s="3" t="str">
        <f>IFERROR(__xludf.DUMMYFUNCTION("""COMPUTED_VALUE"""),"DMG: +2000")</f>
        <v>DMG: +2000</v>
      </c>
      <c r="G266" s="3">
        <f>IFERROR(__xludf.DUMMYFUNCTION("""COMPUTED_VALUE"""),60000.0)</f>
        <v>60000</v>
      </c>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D266" s="3"/>
      <c r="BE266" s="3"/>
      <c r="BF266" s="3"/>
      <c r="BG266" s="3"/>
      <c r="BH266" s="3"/>
      <c r="BI266" s="3"/>
      <c r="BJ266" s="3"/>
      <c r="BK266" s="3"/>
      <c r="BL266" s="3"/>
    </row>
    <row r="267" ht="15.75" customHeight="1">
      <c r="A267" s="3" t="str">
        <f>IFERROR(__xludf.DUMMYFUNCTION("""COMPUTED_VALUE"""),"Steel Sword")</f>
        <v>Steel Sword</v>
      </c>
      <c r="B267" s="3"/>
      <c r="C267" s="3" t="str">
        <f>IFERROR(__xludf.DUMMYFUNCTION("""COMPUTED_VALUE"""),"Sword")</f>
        <v>Sword</v>
      </c>
      <c r="D267" s="3" t="str">
        <f>IFERROR(__xludf.DUMMYFUNCTION("""COMPUTED_VALUE"""),"Hand")</f>
        <v>Hand</v>
      </c>
      <c r="E267" s="3">
        <f>IFERROR(__xludf.DUMMYFUNCTION("""COMPUTED_VALUE"""),10.0)</f>
        <v>10</v>
      </c>
      <c r="F267" s="3" t="str">
        <f>IFERROR(__xludf.DUMMYFUNCTION("""COMPUTED_VALUE"""),"DMG: +500")</f>
        <v>DMG: +500</v>
      </c>
      <c r="G267" s="3">
        <f>IFERROR(__xludf.DUMMYFUNCTION("""COMPUTED_VALUE"""),1000.0)</f>
        <v>1000</v>
      </c>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D267" s="3"/>
      <c r="BE267" s="3"/>
      <c r="BF267" s="3"/>
      <c r="BG267" s="3"/>
      <c r="BH267" s="3"/>
      <c r="BI267" s="3"/>
      <c r="BJ267" s="3"/>
      <c r="BK267" s="3"/>
      <c r="BL267" s="3"/>
    </row>
    <row r="268" ht="15.75" customHeight="1">
      <c r="A268" s="3" t="str">
        <f>IFERROR(__xludf.DUMMYFUNCTION("""COMPUTED_VALUE"""),"Stick of Mystery ")</f>
        <v>Stick of Mystery </v>
      </c>
      <c r="B268" s="3" t="str">
        <f>IFERROR(__xludf.DUMMYFUNCTION("""COMPUTED_VALUE"""),"Those who doubt the stick's power will suffer the stick's wrath")</f>
        <v>Those who doubt the stick's power will suffer the stick's wrath</v>
      </c>
      <c r="C268" s="3" t="str">
        <f>IFERROR(__xludf.DUMMYFUNCTION("""COMPUTED_VALUE"""),"Wand")</f>
        <v>Wand</v>
      </c>
      <c r="D268" s="3" t="str">
        <f>IFERROR(__xludf.DUMMYFUNCTION("""COMPUTED_VALUE"""),"Hand")</f>
        <v>Hand</v>
      </c>
      <c r="E268" s="3">
        <f>IFERROR(__xludf.DUMMYFUNCTION("""COMPUTED_VALUE"""),1.0)</f>
        <v>1</v>
      </c>
      <c r="F268" s="3" t="str">
        <f>IFERROR(__xludf.DUMMYFUNCTION("""COMPUTED_VALUE""")," ++roll a d20 to see what it does :)")</f>
        <v> ++roll a d20 to see what it does :)</v>
      </c>
      <c r="G268" s="3">
        <f>IFERROR(__xludf.DUMMYFUNCTION("""COMPUTED_VALUE"""),0.0)</f>
        <v>0</v>
      </c>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D268" s="3"/>
      <c r="BE268" s="3"/>
      <c r="BF268" s="3"/>
      <c r="BG268" s="3"/>
      <c r="BH268" s="3"/>
      <c r="BI268" s="3"/>
      <c r="BJ268" s="3"/>
      <c r="BK268" s="3"/>
      <c r="BL268" s="3"/>
    </row>
    <row r="269" ht="15.75" customHeight="1">
      <c r="A269" s="3" t="str">
        <f>IFERROR(__xludf.DUMMYFUNCTION("""COMPUTED_VALUE"""),"Stone Arming Sword")</f>
        <v>Stone Arming Sword</v>
      </c>
      <c r="B269" s="3"/>
      <c r="C269" s="3" t="str">
        <f>IFERROR(__xludf.DUMMYFUNCTION("""COMPUTED_VALUE"""),"Sword")</f>
        <v>Sword</v>
      </c>
      <c r="D269" s="3" t="str">
        <f>IFERROR(__xludf.DUMMYFUNCTION("""COMPUTED_VALUE"""),"Hand")</f>
        <v>Hand</v>
      </c>
      <c r="E269" s="3">
        <f>IFERROR(__xludf.DUMMYFUNCTION("""COMPUTED_VALUE"""),20.0)</f>
        <v>20</v>
      </c>
      <c r="F269" s="3" t="str">
        <f>IFERROR(__xludf.DUMMYFUNCTION("""COMPUTED_VALUE"""),"DMG: +500, Dark DMG: +200")</f>
        <v>DMG: +500, Dark DMG: +200</v>
      </c>
      <c r="G269" s="3">
        <f>IFERROR(__xludf.DUMMYFUNCTION("""COMPUTED_VALUE"""),1000.0)</f>
        <v>1000</v>
      </c>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D269" s="3"/>
      <c r="BE269" s="3"/>
      <c r="BF269" s="3"/>
      <c r="BG269" s="3"/>
      <c r="BH269" s="3"/>
      <c r="BI269" s="3"/>
      <c r="BJ269" s="3"/>
      <c r="BK269" s="3"/>
      <c r="BL269" s="3"/>
    </row>
    <row r="270" ht="15.75" customHeight="1">
      <c r="A270" s="3" t="str">
        <f>IFERROR(__xludf.DUMMYFUNCTION("""COMPUTED_VALUE"""),"Stone Sledgehammer")</f>
        <v>Stone Sledgehammer</v>
      </c>
      <c r="B270" s="3"/>
      <c r="C270" s="3" t="str">
        <f>IFERROR(__xludf.DUMMYFUNCTION("""COMPUTED_VALUE"""),"Club")</f>
        <v>Club</v>
      </c>
      <c r="D270" s="3" t="str">
        <f>IFERROR(__xludf.DUMMYFUNCTION("""COMPUTED_VALUE"""),"Hand")</f>
        <v>Hand</v>
      </c>
      <c r="E270" s="3">
        <f>IFERROR(__xludf.DUMMYFUNCTION("""COMPUTED_VALUE"""),20.0)</f>
        <v>20</v>
      </c>
      <c r="F270" s="3" t="str">
        <f>IFERROR(__xludf.DUMMYFUNCTION("""COMPUTED_VALUE"""),"DMG: +400, Earth DMG: +200")</f>
        <v>DMG: +400, Earth DMG: +200</v>
      </c>
      <c r="G270" s="3">
        <f>IFERROR(__xludf.DUMMYFUNCTION("""COMPUTED_VALUE"""),1000.0)</f>
        <v>1000</v>
      </c>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D270" s="3"/>
      <c r="BE270" s="3"/>
      <c r="BF270" s="3"/>
      <c r="BG270" s="3"/>
      <c r="BH270" s="3"/>
      <c r="BI270" s="3"/>
      <c r="BJ270" s="3"/>
      <c r="BK270" s="3"/>
      <c r="BL270" s="3"/>
    </row>
    <row r="271" ht="15.75" customHeight="1">
      <c r="A271" s="3" t="str">
        <f>IFERROR(__xludf.DUMMYFUNCTION("""COMPUTED_VALUE"""),"Stone Small Shield")</f>
        <v>Stone Small Shield</v>
      </c>
      <c r="B271" s="3"/>
      <c r="C271" s="3" t="str">
        <f>IFERROR(__xludf.DUMMYFUNCTION("""COMPUTED_VALUE"""),"Buckler")</f>
        <v>Buckler</v>
      </c>
      <c r="D271" s="3" t="str">
        <f>IFERROR(__xludf.DUMMYFUNCTION("""COMPUTED_VALUE"""),"Hand")</f>
        <v>Hand</v>
      </c>
      <c r="E271" s="3">
        <f>IFERROR(__xludf.DUMMYFUNCTION("""COMPUTED_VALUE"""),1.0)</f>
        <v>1</v>
      </c>
      <c r="F271" s="3" t="str">
        <f>IFERROR(__xludf.DUMMYFUNCTION("""COMPUTED_VALUE"""),"DEF: +100")</f>
        <v>DEF: +100</v>
      </c>
      <c r="G271" s="3">
        <f>IFERROR(__xludf.DUMMYFUNCTION("""COMPUTED_VALUE"""),0.0)</f>
        <v>0</v>
      </c>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D271" s="3"/>
      <c r="BE271" s="3"/>
      <c r="BF271" s="3"/>
      <c r="BG271" s="3"/>
      <c r="BH271" s="3"/>
      <c r="BI271" s="3"/>
      <c r="BJ271" s="3"/>
      <c r="BK271" s="3"/>
      <c r="BL271" s="3"/>
    </row>
    <row r="272" ht="15.75" customHeight="1">
      <c r="A272" s="3" t="str">
        <f>IFERROR(__xludf.DUMMYFUNCTION("""COMPUTED_VALUE"""),"Stonewall Shield")</f>
        <v>Stonewall Shield</v>
      </c>
      <c r="B272" s="3"/>
      <c r="C272" s="3" t="str">
        <f>IFERROR(__xludf.DUMMYFUNCTION("""COMPUTED_VALUE"""),"Towershield")</f>
        <v>Towershield</v>
      </c>
      <c r="D272" s="3" t="str">
        <f>IFERROR(__xludf.DUMMYFUNCTION("""COMPUTED_VALUE"""),"Hand")</f>
        <v>Hand</v>
      </c>
      <c r="E272" s="3">
        <f>IFERROR(__xludf.DUMMYFUNCTION("""COMPUTED_VALUE"""),10.0)</f>
        <v>10</v>
      </c>
      <c r="F272" s="3" t="str">
        <f>IFERROR(__xludf.DUMMYFUNCTION("""COMPUTED_VALUE"""),"DEF: +500 ++Immunity to earth")</f>
        <v>DEF: +500 ++Immunity to earth</v>
      </c>
      <c r="G272" s="3">
        <f>IFERROR(__xludf.DUMMYFUNCTION("""COMPUTED_VALUE"""),1000.0)</f>
        <v>1000</v>
      </c>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D272" s="3"/>
      <c r="BE272" s="3"/>
      <c r="BF272" s="3"/>
      <c r="BG272" s="3"/>
      <c r="BH272" s="3"/>
      <c r="BI272" s="3"/>
      <c r="BJ272" s="3"/>
      <c r="BK272" s="3"/>
      <c r="BL272" s="3"/>
    </row>
    <row r="273" ht="15.75" customHeight="1">
      <c r="A273" s="3" t="str">
        <f>IFERROR(__xludf.DUMMYFUNCTION("""COMPUTED_VALUE"""),"Sturdy Wooden Shield")</f>
        <v>Sturdy Wooden Shield</v>
      </c>
      <c r="B273" s="3" t="str">
        <f>IFERROR(__xludf.DUMMYFUNCTION("""COMPUTED_VALUE"""),"A wooden shield")</f>
        <v>A wooden shield</v>
      </c>
      <c r="C273" s="3" t="str">
        <f>IFERROR(__xludf.DUMMYFUNCTION("""COMPUTED_VALUE"""),"Towershield")</f>
        <v>Towershield</v>
      </c>
      <c r="D273" s="3" t="str">
        <f>IFERROR(__xludf.DUMMYFUNCTION("""COMPUTED_VALUE"""),"Hand")</f>
        <v>Hand</v>
      </c>
      <c r="E273" s="3">
        <f>IFERROR(__xludf.DUMMYFUNCTION("""COMPUTED_VALUE"""),1.0)</f>
        <v>1</v>
      </c>
      <c r="F273" s="3" t="str">
        <f>IFERROR(__xludf.DUMMYFUNCTION("""COMPUTED_VALUE"""),"DEF: +50")</f>
        <v>DEF: +50</v>
      </c>
      <c r="G273" s="3">
        <f>IFERROR(__xludf.DUMMYFUNCTION("""COMPUTED_VALUE"""),0.0)</f>
        <v>0</v>
      </c>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D273" s="3"/>
      <c r="BE273" s="3"/>
      <c r="BF273" s="3"/>
      <c r="BG273" s="3"/>
      <c r="BH273" s="3"/>
      <c r="BI273" s="3"/>
      <c r="BJ273" s="3"/>
      <c r="BK273" s="3"/>
      <c r="BL273" s="3"/>
    </row>
    <row r="274" ht="15.75" customHeight="1">
      <c r="A274" s="3" t="str">
        <f>IFERROR(__xludf.DUMMYFUNCTION("""COMPUTED_VALUE"""),"Swampville Dagger")</f>
        <v>Swampville Dagger</v>
      </c>
      <c r="B274" s="3"/>
      <c r="C274" s="3" t="str">
        <f>IFERROR(__xludf.DUMMYFUNCTION("""COMPUTED_VALUE"""),"Knife")</f>
        <v>Knife</v>
      </c>
      <c r="D274" s="3" t="str">
        <f>IFERROR(__xludf.DUMMYFUNCTION("""COMPUTED_VALUE"""),"Hand")</f>
        <v>Hand</v>
      </c>
      <c r="E274" s="3">
        <f>IFERROR(__xludf.DUMMYFUNCTION("""COMPUTED_VALUE"""),400.0)</f>
        <v>400</v>
      </c>
      <c r="F274" s="3" t="str">
        <f>IFERROR(__xludf.DUMMYFUNCTION("""COMPUTED_VALUE"""),"DMG: +10000, Nature DMG: +10000 ++Poison 5000 for 3 rounds.")</f>
        <v>DMG: +10000, Nature DMG: +10000 ++Poison 5000 for 3 rounds.</v>
      </c>
      <c r="G274" s="3">
        <f>IFERROR(__xludf.DUMMYFUNCTION("""COMPUTED_VALUE"""),7800000.0)</f>
        <v>7800000</v>
      </c>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D274" s="3"/>
      <c r="BE274" s="3"/>
      <c r="BF274" s="3"/>
      <c r="BG274" s="3"/>
      <c r="BH274" s="3"/>
      <c r="BI274" s="3"/>
      <c r="BJ274" s="3"/>
      <c r="BK274" s="3"/>
      <c r="BL274" s="3"/>
    </row>
    <row r="275" ht="15.75" customHeight="1">
      <c r="A275" s="3" t="str">
        <f>IFERROR(__xludf.DUMMYFUNCTION("""COMPUTED_VALUE"""),"Sword of Bad Luck")</f>
        <v>Sword of Bad Luck</v>
      </c>
      <c r="B275" s="3"/>
      <c r="C275" s="3" t="str">
        <f>IFERROR(__xludf.DUMMYFUNCTION("""COMPUTED_VALUE"""),"Sword")</f>
        <v>Sword</v>
      </c>
      <c r="D275" s="3" t="str">
        <f>IFERROR(__xludf.DUMMYFUNCTION("""COMPUTED_VALUE"""),"Hand")</f>
        <v>Hand</v>
      </c>
      <c r="E275" s="3">
        <f>IFERROR(__xludf.DUMMYFUNCTION("""COMPUTED_VALUE"""),600.0)</f>
        <v>600</v>
      </c>
      <c r="F275" s="3" t="str">
        <f>IFERROR(__xludf.DUMMYFUNCTION("""COMPUTED_VALUE"""),"DMG: +30000 ++GSteal - Steal X amount of gilders equal to the amount of damage caused with this weapon.")</f>
        <v>DMG: +30000 ++GSteal - Steal X amount of gilders equal to the amount of damage caused with this weapon.</v>
      </c>
      <c r="G275" s="3">
        <f>IFERROR(__xludf.DUMMYFUNCTION("""COMPUTED_VALUE"""),1.77E7)</f>
        <v>17700000</v>
      </c>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D275" s="3"/>
      <c r="BE275" s="3"/>
      <c r="BF275" s="3"/>
      <c r="BG275" s="3"/>
      <c r="BH275" s="3"/>
      <c r="BI275" s="3"/>
      <c r="BJ275" s="3"/>
      <c r="BK275" s="3"/>
      <c r="BL275" s="3"/>
    </row>
    <row r="276" ht="15.75" customHeight="1">
      <c r="A276" s="3" t="str">
        <f>IFERROR(__xludf.DUMMYFUNCTION("""COMPUTED_VALUE"""),"Sword of Chaotic Shadows")</f>
        <v>Sword of Chaotic Shadows</v>
      </c>
      <c r="B276" s="3"/>
      <c r="C276" s="3" t="str">
        <f>IFERROR(__xludf.DUMMYFUNCTION("""COMPUTED_VALUE"""),"Sword")</f>
        <v>Sword</v>
      </c>
      <c r="D276" s="3" t="str">
        <f>IFERROR(__xludf.DUMMYFUNCTION("""COMPUTED_VALUE"""),"Hand")</f>
        <v>Hand</v>
      </c>
      <c r="E276" s="3">
        <f>IFERROR(__xludf.DUMMYFUNCTION("""COMPUTED_VALUE"""),600.0)</f>
        <v>600</v>
      </c>
      <c r="F276" s="3" t="str">
        <f>IFERROR(__xludf.DUMMYFUNCTION("""COMPUTED_VALUE"""),"DMG: +10000, Dark DMG: +10000, Chaos DMG: +10000")</f>
        <v>DMG: +10000, Dark DMG: +10000, Chaos DMG: +10000</v>
      </c>
      <c r="G276" s="3">
        <f>IFERROR(__xludf.DUMMYFUNCTION("""COMPUTED_VALUE"""),1.77E7)</f>
        <v>17700000</v>
      </c>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D276" s="3"/>
      <c r="BE276" s="3"/>
      <c r="BF276" s="3"/>
      <c r="BG276" s="3"/>
      <c r="BH276" s="3"/>
      <c r="BI276" s="3"/>
      <c r="BJ276" s="3"/>
      <c r="BK276" s="3"/>
      <c r="BL276" s="3"/>
    </row>
    <row r="277" ht="15.75" customHeight="1">
      <c r="A277" s="3" t="str">
        <f>IFERROR(__xludf.DUMMYFUNCTION("""COMPUTED_VALUE"""),"Sword Of Darkness")</f>
        <v>Sword Of Darkness</v>
      </c>
      <c r="B277" s="3"/>
      <c r="C277" s="3" t="str">
        <f>IFERROR(__xludf.DUMMYFUNCTION("""COMPUTED_VALUE"""),"Sword")</f>
        <v>Sword</v>
      </c>
      <c r="D277" s="3" t="str">
        <f>IFERROR(__xludf.DUMMYFUNCTION("""COMPUTED_VALUE"""),"Hand")</f>
        <v>Hand</v>
      </c>
      <c r="E277" s="3">
        <f>IFERROR(__xludf.DUMMYFUNCTION("""COMPUTED_VALUE"""),20.0)</f>
        <v>20</v>
      </c>
      <c r="F277" s="3" t="str">
        <f>IFERROR(__xludf.DUMMYFUNCTION("""COMPUTED_VALUE"""),"DMG: +500, Dark DMG: +200")</f>
        <v>DMG: +500, Dark DMG: +200</v>
      </c>
      <c r="G277" s="3">
        <f>IFERROR(__xludf.DUMMYFUNCTION("""COMPUTED_VALUE"""),1000.0)</f>
        <v>1000</v>
      </c>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D277" s="3"/>
      <c r="BE277" s="3"/>
      <c r="BF277" s="3"/>
      <c r="BG277" s="3"/>
      <c r="BH277" s="3"/>
      <c r="BI277" s="3"/>
      <c r="BJ277" s="3"/>
      <c r="BK277" s="3"/>
      <c r="BL277" s="3"/>
    </row>
    <row r="278" ht="15.75" customHeight="1">
      <c r="A278" s="3" t="str">
        <f>IFERROR(__xludf.DUMMYFUNCTION("""COMPUTED_VALUE"""),"Sword of Disorder")</f>
        <v>Sword of Disorder</v>
      </c>
      <c r="B278" s="3"/>
      <c r="C278" s="3" t="str">
        <f>IFERROR(__xludf.DUMMYFUNCTION("""COMPUTED_VALUE"""),"Sword")</f>
        <v>Sword</v>
      </c>
      <c r="D278" s="3" t="str">
        <f>IFERROR(__xludf.DUMMYFUNCTION("""COMPUTED_VALUE"""),"Hand")</f>
        <v>Hand</v>
      </c>
      <c r="E278" s="3">
        <f>IFERROR(__xludf.DUMMYFUNCTION("""COMPUTED_VALUE"""),1.0)</f>
        <v>1</v>
      </c>
      <c r="F278" s="3"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3">
        <f>IFERROR(__xludf.DUMMYFUNCTION("""COMPUTED_VALUE"""),0.0)</f>
        <v>0</v>
      </c>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D278" s="3"/>
      <c r="BE278" s="3"/>
      <c r="BF278" s="3"/>
      <c r="BG278" s="3"/>
      <c r="BH278" s="3"/>
      <c r="BI278" s="3"/>
      <c r="BJ278" s="3"/>
      <c r="BK278" s="3"/>
      <c r="BL278" s="3"/>
    </row>
    <row r="279" ht="15.75" customHeight="1">
      <c r="A279" s="3" t="str">
        <f>IFERROR(__xludf.DUMMYFUNCTION("""COMPUTED_VALUE"""),"Sword Of Divine Flames")</f>
        <v>Sword Of Divine Flames</v>
      </c>
      <c r="B279" s="3"/>
      <c r="C279" s="3" t="str">
        <f>IFERROR(__xludf.DUMMYFUNCTION("""COMPUTED_VALUE"""),"Sword")</f>
        <v>Sword</v>
      </c>
      <c r="D279" s="3" t="str">
        <f>IFERROR(__xludf.DUMMYFUNCTION("""COMPUTED_VALUE"""),"Hand")</f>
        <v>Hand</v>
      </c>
      <c r="E279" s="3">
        <f>IFERROR(__xludf.DUMMYFUNCTION("""COMPUTED_VALUE"""),300.0)</f>
        <v>300</v>
      </c>
      <c r="F279" s="3"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3">
        <f>IFERROR(__xludf.DUMMYFUNCTION("""COMPUTED_VALUE"""),4350000.0)</f>
        <v>4350000</v>
      </c>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D279" s="3"/>
      <c r="BE279" s="3"/>
      <c r="BF279" s="3"/>
      <c r="BG279" s="3"/>
      <c r="BH279" s="3"/>
      <c r="BI279" s="3"/>
      <c r="BJ279" s="3"/>
      <c r="BK279" s="3"/>
      <c r="BL279" s="3"/>
    </row>
    <row r="280" ht="15.75" customHeight="1">
      <c r="A280" s="3" t="str">
        <f>IFERROR(__xludf.DUMMYFUNCTION("""COMPUTED_VALUE"""),"Sword of Eternal darkness")</f>
        <v>Sword of Eternal darkness</v>
      </c>
      <c r="B280" s="3"/>
      <c r="C280" s="3" t="str">
        <f>IFERROR(__xludf.DUMMYFUNCTION("""COMPUTED_VALUE"""),"Sword")</f>
        <v>Sword</v>
      </c>
      <c r="D280" s="3" t="str">
        <f>IFERROR(__xludf.DUMMYFUNCTION("""COMPUTED_VALUE"""),"Hand")</f>
        <v>Hand</v>
      </c>
      <c r="E280" s="3">
        <f>IFERROR(__xludf.DUMMYFUNCTION("""COMPUTED_VALUE"""),30.0)</f>
        <v>30</v>
      </c>
      <c r="F280" s="3" t="str">
        <f>IFERROR(__xludf.DUMMYFUNCTION("""COMPUTED_VALUE"""),"DMG: +500, Dark DMG: +600")</f>
        <v>DMG: +500, Dark DMG: +600</v>
      </c>
      <c r="G280" s="3">
        <f>IFERROR(__xludf.DUMMYFUNCTION("""COMPUTED_VALUE"""),10000.0)</f>
        <v>10000</v>
      </c>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D280" s="3"/>
      <c r="BE280" s="3"/>
      <c r="BF280" s="3"/>
      <c r="BG280" s="3"/>
      <c r="BH280" s="3"/>
      <c r="BI280" s="3"/>
      <c r="BJ280" s="3"/>
      <c r="BK280" s="3"/>
      <c r="BL280" s="3"/>
    </row>
    <row r="281" ht="15.75" customHeight="1">
      <c r="A281" s="3" t="str">
        <f>IFERROR(__xludf.DUMMYFUNCTION("""COMPUTED_VALUE"""),"Hela's Death Scythe")</f>
        <v>Hela's Death Scythe</v>
      </c>
      <c r="B281" s="3"/>
      <c r="C281" s="3" t="str">
        <f>IFERROR(__xludf.DUMMYFUNCTION("""COMPUTED_VALUE"""),"Scythe")</f>
        <v>Scythe</v>
      </c>
      <c r="D281" s="3" t="str">
        <f>IFERROR(__xludf.DUMMYFUNCTION("""COMPUTED_VALUE"""),"Hand")</f>
        <v>Hand</v>
      </c>
      <c r="E281" s="3">
        <f>IFERROR(__xludf.DUMMYFUNCTION("""COMPUTED_VALUE"""),1.0)</f>
        <v>1</v>
      </c>
      <c r="F281" s="3"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3">
        <f>IFERROR(__xludf.DUMMYFUNCTION("""COMPUTED_VALUE"""),0.0)</f>
        <v>0</v>
      </c>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D281" s="3"/>
      <c r="BE281" s="3"/>
      <c r="BF281" s="3"/>
      <c r="BG281" s="3"/>
      <c r="BH281" s="3"/>
      <c r="BI281" s="3"/>
      <c r="BJ281" s="3"/>
      <c r="BK281" s="3"/>
      <c r="BL281" s="3"/>
    </row>
    <row r="282" ht="15.75" customHeight="1">
      <c r="A282" s="3" t="str">
        <f>IFERROR(__xludf.DUMMYFUNCTION("""COMPUTED_VALUE"""),"Sword of Nature’s Love")</f>
        <v>Sword of Nature’s Love</v>
      </c>
      <c r="B282" s="3"/>
      <c r="C282" s="3" t="str">
        <f>IFERROR(__xludf.DUMMYFUNCTION("""COMPUTED_VALUE"""),"Sword")</f>
        <v>Sword</v>
      </c>
      <c r="D282" s="3" t="str">
        <f>IFERROR(__xludf.DUMMYFUNCTION("""COMPUTED_VALUE"""),"Hand")</f>
        <v>Hand</v>
      </c>
      <c r="E282" s="3">
        <f>IFERROR(__xludf.DUMMYFUNCTION("""COMPUTED_VALUE"""),160.0)</f>
        <v>160</v>
      </c>
      <c r="F282" s="3"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3">
        <f>IFERROR(__xludf.DUMMYFUNCTION("""COMPUTED_VALUE"""),1200000.0)</f>
        <v>1200000</v>
      </c>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D282" s="3"/>
      <c r="BE282" s="3"/>
      <c r="BF282" s="3"/>
      <c r="BG282" s="3"/>
      <c r="BH282" s="3"/>
      <c r="BI282" s="3"/>
      <c r="BJ282" s="3"/>
      <c r="BK282" s="3"/>
      <c r="BL282" s="3"/>
    </row>
    <row r="283" ht="15.75" customHeight="1">
      <c r="A283" s="3" t="str">
        <f>IFERROR(__xludf.DUMMYFUNCTION("""COMPUTED_VALUE"""),"Sword of Shadows")</f>
        <v>Sword of Shadows</v>
      </c>
      <c r="B283" s="3"/>
      <c r="C283" s="3" t="str">
        <f>IFERROR(__xludf.DUMMYFUNCTION("""COMPUTED_VALUE"""),"Sword")</f>
        <v>Sword</v>
      </c>
      <c r="D283" s="3" t="str">
        <f>IFERROR(__xludf.DUMMYFUNCTION("""COMPUTED_VALUE"""),"Hand")</f>
        <v>Hand</v>
      </c>
      <c r="E283" s="3">
        <f>IFERROR(__xludf.DUMMYFUNCTION("""COMPUTED_VALUE"""),30.0)</f>
        <v>30</v>
      </c>
      <c r="F283" s="3" t="str">
        <f>IFERROR(__xludf.DUMMYFUNCTION("""COMPUTED_VALUE"""),"DMG: +1000, Dark DMG: +500")</f>
        <v>DMG: +1000, Dark DMG: +500</v>
      </c>
      <c r="G283" s="3">
        <f>IFERROR(__xludf.DUMMYFUNCTION("""COMPUTED_VALUE"""),30000.0)</f>
        <v>30000</v>
      </c>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D283" s="3"/>
      <c r="BE283" s="3"/>
      <c r="BF283" s="3"/>
      <c r="BG283" s="3"/>
      <c r="BH283" s="3"/>
      <c r="BI283" s="3"/>
      <c r="BJ283" s="3"/>
      <c r="BK283" s="3"/>
      <c r="BL283" s="3"/>
    </row>
    <row r="284" ht="15.75" customHeight="1">
      <c r="A284" s="3" t="str">
        <f>IFERROR(__xludf.DUMMYFUNCTION("""COMPUTED_VALUE"""),"Sword of Steel")</f>
        <v>Sword of Steel</v>
      </c>
      <c r="B284" s="3"/>
      <c r="C284" s="3" t="str">
        <f>IFERROR(__xludf.DUMMYFUNCTION("""COMPUTED_VALUE"""),"Sword")</f>
        <v>Sword</v>
      </c>
      <c r="D284" s="3" t="str">
        <f>IFERROR(__xludf.DUMMYFUNCTION("""COMPUTED_VALUE"""),"Hand")</f>
        <v>Hand</v>
      </c>
      <c r="E284" s="3">
        <f>IFERROR(__xludf.DUMMYFUNCTION("""COMPUTED_VALUE"""),1.0)</f>
        <v>1</v>
      </c>
      <c r="F284" s="3" t="str">
        <f>IFERROR(__xludf.DUMMYFUNCTION("""COMPUTED_VALUE"""),"DMG: +300")</f>
        <v>DMG: +300</v>
      </c>
      <c r="G284" s="3">
        <f>IFERROR(__xludf.DUMMYFUNCTION("""COMPUTED_VALUE"""),0.0)</f>
        <v>0</v>
      </c>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D284" s="3"/>
      <c r="BE284" s="3"/>
      <c r="BF284" s="3"/>
      <c r="BG284" s="3"/>
      <c r="BH284" s="3"/>
      <c r="BI284" s="3"/>
      <c r="BJ284" s="3"/>
      <c r="BK284" s="3"/>
      <c r="BL284" s="3"/>
    </row>
    <row r="285" ht="15.75" customHeight="1">
      <c r="A285" s="3" t="str">
        <f>IFERROR(__xludf.DUMMYFUNCTION("""COMPUTED_VALUE"""),"Sword of The Abyss")</f>
        <v>Sword of The Abyss</v>
      </c>
      <c r="B285" s="3"/>
      <c r="C285" s="3" t="str">
        <f>IFERROR(__xludf.DUMMYFUNCTION("""COMPUTED_VALUE"""),"Sword")</f>
        <v>Sword</v>
      </c>
      <c r="D285" s="3" t="str">
        <f>IFERROR(__xludf.DUMMYFUNCTION("""COMPUTED_VALUE"""),"Hand")</f>
        <v>Hand</v>
      </c>
      <c r="E285" s="3">
        <f>IFERROR(__xludf.DUMMYFUNCTION("""COMPUTED_VALUE"""),260.0)</f>
        <v>260</v>
      </c>
      <c r="F285" s="3" t="str">
        <f>IFERROR(__xludf.DUMMYFUNCTION("""COMPUTED_VALUE"""),"DMG: +8000, Dark DMG: +5000 ++Abyss Embodiment - dark damage is increased by X2 for the user.")</f>
        <v>DMG: +8000, Dark DMG: +5000 ++Abyss Embodiment - dark damage is increased by X2 for the user.</v>
      </c>
      <c r="G285" s="3">
        <f>IFERROR(__xludf.DUMMYFUNCTION("""COMPUTED_VALUE"""),3250000.0)</f>
        <v>3250000</v>
      </c>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D285" s="3"/>
      <c r="BE285" s="3"/>
      <c r="BF285" s="3"/>
      <c r="BG285" s="3"/>
      <c r="BH285" s="3"/>
      <c r="BI285" s="3"/>
      <c r="BJ285" s="3"/>
      <c r="BK285" s="3"/>
      <c r="BL285" s="3"/>
    </row>
    <row r="286" ht="15.75" customHeight="1">
      <c r="A286" s="3" t="str">
        <f>IFERROR(__xludf.DUMMYFUNCTION("""COMPUTED_VALUE"""),"Sword of The Ancient Fire Serpent")</f>
        <v>Sword of The Ancient Fire Serpent</v>
      </c>
      <c r="B286" s="3"/>
      <c r="C286" s="3" t="str">
        <f>IFERROR(__xludf.DUMMYFUNCTION("""COMPUTED_VALUE"""),"Sword")</f>
        <v>Sword</v>
      </c>
      <c r="D286" s="3" t="str">
        <f>IFERROR(__xludf.DUMMYFUNCTION("""COMPUTED_VALUE"""),"Hand")</f>
        <v>Hand</v>
      </c>
      <c r="E286" s="3">
        <f>IFERROR(__xludf.DUMMYFUNCTION("""COMPUTED_VALUE"""),2000.0)</f>
        <v>2000</v>
      </c>
      <c r="F286" s="3"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3">
        <f>IFERROR(__xludf.DUMMYFUNCTION("""COMPUTED_VALUE"""),1.99E8)</f>
        <v>199000000</v>
      </c>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D286" s="3"/>
      <c r="BE286" s="3"/>
      <c r="BF286" s="3"/>
      <c r="BG286" s="3"/>
      <c r="BH286" s="3"/>
      <c r="BI286" s="3"/>
      <c r="BJ286" s="3"/>
      <c r="BK286" s="3"/>
      <c r="BL286" s="3"/>
    </row>
    <row r="287" ht="15.75" customHeight="1">
      <c r="A287" s="3" t="str">
        <f>IFERROR(__xludf.DUMMYFUNCTION("""COMPUTED_VALUE"""),"Sword of The Burning Forest")</f>
        <v>Sword of The Burning Forest</v>
      </c>
      <c r="B287" s="3" t="str">
        <f>IFERROR(__xludf.DUMMYFUNCTION("""COMPUTED_VALUE"""),"A sword forged by mekana to obliterate natural environments.")</f>
        <v>A sword forged by mekana to obliterate natural environments.</v>
      </c>
      <c r="C287" s="3" t="str">
        <f>IFERROR(__xludf.DUMMYFUNCTION("""COMPUTED_VALUE"""),"Sword")</f>
        <v>Sword</v>
      </c>
      <c r="D287" s="3" t="str">
        <f>IFERROR(__xludf.DUMMYFUNCTION("""COMPUTED_VALUE"""),"Hand")</f>
        <v>Hand</v>
      </c>
      <c r="E287" s="3">
        <f>IFERROR(__xludf.DUMMYFUNCTION("""COMPUTED_VALUE"""),600.0)</f>
        <v>600</v>
      </c>
      <c r="F287" s="3" t="str">
        <f>IFERROR(__xludf.DUMMYFUNCTION("""COMPUTED_VALUE"""),"DMG: +20000, Fire DMG: +10000 ++Forest Fire- Burn 10,000, x4 fire damage while in a natural environment.")</f>
        <v>DMG: +20000, Fire DMG: +10000 ++Forest Fire- Burn 10,000, x4 fire damage while in a natural environment.</v>
      </c>
      <c r="G287" s="3">
        <f>IFERROR(__xludf.DUMMYFUNCTION("""COMPUTED_VALUE"""),1.77E7)</f>
        <v>17700000</v>
      </c>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D287" s="3"/>
      <c r="BE287" s="3"/>
      <c r="BF287" s="3"/>
      <c r="BG287" s="3"/>
      <c r="BH287" s="3"/>
      <c r="BI287" s="3"/>
      <c r="BJ287" s="3"/>
      <c r="BK287" s="3"/>
      <c r="BL287" s="3"/>
    </row>
    <row r="288" ht="15.75" customHeight="1">
      <c r="A288" s="3" t="str">
        <f>IFERROR(__xludf.DUMMYFUNCTION("""COMPUTED_VALUE"""),"Sword of The Crystal Chosen")</f>
        <v>Sword of The Crystal Chosen</v>
      </c>
      <c r="B288" s="3"/>
      <c r="C288" s="3" t="str">
        <f>IFERROR(__xludf.DUMMYFUNCTION("""COMPUTED_VALUE"""),"Sword")</f>
        <v>Sword</v>
      </c>
      <c r="D288" s="3" t="str">
        <f>IFERROR(__xludf.DUMMYFUNCTION("""COMPUTED_VALUE"""),"Hand")</f>
        <v>Hand</v>
      </c>
      <c r="E288" s="3">
        <f>IFERROR(__xludf.DUMMYFUNCTION("""COMPUTED_VALUE"""),400.0)</f>
        <v>400</v>
      </c>
      <c r="F288" s="3"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3">
        <f>IFERROR(__xludf.DUMMYFUNCTION("""COMPUTED_VALUE"""),7800000.0)</f>
        <v>7800000</v>
      </c>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D288" s="3"/>
      <c r="BE288" s="3"/>
      <c r="BF288" s="3"/>
      <c r="BG288" s="3"/>
      <c r="BH288" s="3"/>
      <c r="BI288" s="3"/>
      <c r="BJ288" s="3"/>
      <c r="BK288" s="3"/>
      <c r="BL288" s="3"/>
    </row>
    <row r="289" ht="15.75" customHeight="1">
      <c r="A289" s="3" t="str">
        <f>IFERROR(__xludf.DUMMYFUNCTION("""COMPUTED_VALUE"""),"Sword Of The Cursed Naga")</f>
        <v>Sword Of The Cursed Naga</v>
      </c>
      <c r="B289" s="3"/>
      <c r="C289" s="3" t="str">
        <f>IFERROR(__xludf.DUMMYFUNCTION("""COMPUTED_VALUE"""),"Sword")</f>
        <v>Sword</v>
      </c>
      <c r="D289" s="3" t="str">
        <f>IFERROR(__xludf.DUMMYFUNCTION("""COMPUTED_VALUE"""),"Hand")</f>
        <v>Hand</v>
      </c>
      <c r="E289" s="3">
        <f>IFERROR(__xludf.DUMMYFUNCTION("""COMPUTED_VALUE"""),200.0)</f>
        <v>200</v>
      </c>
      <c r="F289" s="3"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3">
        <f>IFERROR(__xludf.DUMMYFUNCTION("""COMPUTED_VALUE"""),2.868E8)</f>
        <v>286800000</v>
      </c>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D289" s="3"/>
      <c r="BE289" s="3"/>
      <c r="BF289" s="3"/>
      <c r="BG289" s="3"/>
      <c r="BH289" s="3"/>
      <c r="BI289" s="3"/>
      <c r="BJ289" s="3"/>
      <c r="BK289" s="3"/>
      <c r="BL289" s="3"/>
    </row>
    <row r="290" ht="15.75" customHeight="1">
      <c r="A290" s="3" t="str">
        <f>IFERROR(__xludf.DUMMYFUNCTION("""COMPUTED_VALUE"""),"Sword Of The Dragons Blood")</f>
        <v>Sword Of The Dragons Blood</v>
      </c>
      <c r="B290" s="3"/>
      <c r="C290" s="3" t="str">
        <f>IFERROR(__xludf.DUMMYFUNCTION("""COMPUTED_VALUE"""),"Sword")</f>
        <v>Sword</v>
      </c>
      <c r="D290" s="3" t="str">
        <f>IFERROR(__xludf.DUMMYFUNCTION("""COMPUTED_VALUE"""),"Hand")</f>
        <v>Hand</v>
      </c>
      <c r="E290" s="3">
        <f>IFERROR(__xludf.DUMMYFUNCTION("""COMPUTED_VALUE"""),1500.0)</f>
        <v>1500</v>
      </c>
      <c r="F290" s="3" t="str">
        <f>IFERROR(__xludf.DUMMYFUNCTION("""COMPUTED_VALUE"""),"DMG: +50000, Blood DMG: +25000 ++Burning Blood: Upon a successful hit; 5000 bleed and burn until the enemy dies.")</f>
        <v>DMG: +50000, Blood DMG: +25000 ++Burning Blood: Upon a successful hit; 5000 bleed and burn until the enemy dies.</v>
      </c>
      <c r="G290" s="3">
        <f>IFERROR(__xludf.DUMMYFUNCTION("""COMPUTED_VALUE"""),1.1175E8)</f>
        <v>111750000</v>
      </c>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D290" s="3"/>
      <c r="BE290" s="3"/>
      <c r="BF290" s="3"/>
      <c r="BG290" s="3"/>
      <c r="BH290" s="3"/>
      <c r="BI290" s="3"/>
      <c r="BJ290" s="3"/>
      <c r="BK290" s="3"/>
      <c r="BL290" s="3"/>
    </row>
    <row r="291" ht="15.75" customHeight="1">
      <c r="A291" s="3" t="str">
        <f>IFERROR(__xludf.DUMMYFUNCTION("""COMPUTED_VALUE"""),"Sword of The Haunted Mansion")</f>
        <v>Sword of The Haunted Mansion</v>
      </c>
      <c r="B291" s="3" t="str">
        <f>IFERROR(__xludf.DUMMYFUNCTION("""COMPUTED_VALUE"""),"Halloween exclusive")</f>
        <v>Halloween exclusive</v>
      </c>
      <c r="C291" s="3" t="str">
        <f>IFERROR(__xludf.DUMMYFUNCTION("""COMPUTED_VALUE"""),"Sword")</f>
        <v>Sword</v>
      </c>
      <c r="D291" s="3" t="str">
        <f>IFERROR(__xludf.DUMMYFUNCTION("""COMPUTED_VALUE"""),"Hand")</f>
        <v>Hand</v>
      </c>
      <c r="E291" s="3">
        <f>IFERROR(__xludf.DUMMYFUNCTION("""COMPUTED_VALUE"""),200.0)</f>
        <v>200</v>
      </c>
      <c r="F291" s="3"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3">
        <f>IFERROR(__xludf.DUMMYFUNCTION("""COMPUTED_VALUE"""),1.99E8)</f>
        <v>199000000</v>
      </c>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D291" s="3"/>
      <c r="BE291" s="3"/>
      <c r="BF291" s="3"/>
      <c r="BG291" s="3"/>
      <c r="BH291" s="3"/>
      <c r="BI291" s="3"/>
      <c r="BJ291" s="3"/>
      <c r="BK291" s="3"/>
      <c r="BL291" s="3"/>
    </row>
    <row r="292" ht="15.75" customHeight="1">
      <c r="A292" s="3" t="str">
        <f>IFERROR(__xludf.DUMMYFUNCTION("""COMPUTED_VALUE"""),"Sword Of The Honorable Samurai")</f>
        <v>Sword Of The Honorable Samurai</v>
      </c>
      <c r="B292" s="3"/>
      <c r="C292" s="3" t="str">
        <f>IFERROR(__xludf.DUMMYFUNCTION("""COMPUTED_VALUE"""),"Sword")</f>
        <v>Sword</v>
      </c>
      <c r="D292" s="3" t="str">
        <f>IFERROR(__xludf.DUMMYFUNCTION("""COMPUTED_VALUE"""),"Hand")</f>
        <v>Hand</v>
      </c>
      <c r="E292" s="3">
        <f>IFERROR(__xludf.DUMMYFUNCTION("""COMPUTED_VALUE"""),400.0)</f>
        <v>400</v>
      </c>
      <c r="F292" s="3" t="str">
        <f>IFERROR(__xludf.DUMMYFUNCTION("""COMPUTED_VALUE"""),"DMG: +10000, Light DMG: +5000, Order DMG: +5000")</f>
        <v>DMG: +10000, Light DMG: +5000, Order DMG: +5000</v>
      </c>
      <c r="G292" s="3">
        <f>IFERROR(__xludf.DUMMYFUNCTION("""COMPUTED_VALUE"""),7800000.0)</f>
        <v>7800000</v>
      </c>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D292" s="3"/>
      <c r="BE292" s="3"/>
      <c r="BF292" s="3"/>
      <c r="BG292" s="3"/>
      <c r="BH292" s="3"/>
      <c r="BI292" s="3"/>
      <c r="BJ292" s="3"/>
      <c r="BK292" s="3"/>
      <c r="BL292" s="3"/>
    </row>
    <row r="293" ht="15.75" customHeight="1">
      <c r="A293" s="3" t="str">
        <f>IFERROR(__xludf.DUMMYFUNCTION("""COMPUTED_VALUE"""),"Sword of The Crystal King")</f>
        <v>Sword of The Crystal King</v>
      </c>
      <c r="B293" s="3"/>
      <c r="C293" s="3" t="str">
        <f>IFERROR(__xludf.DUMMYFUNCTION("""COMPUTED_VALUE"""),"Sword")</f>
        <v>Sword</v>
      </c>
      <c r="D293" s="3" t="str">
        <f>IFERROR(__xludf.DUMMYFUNCTION("""COMPUTED_VALUE"""),"Hand")</f>
        <v>Hand</v>
      </c>
      <c r="E293" s="3">
        <f>IFERROR(__xludf.DUMMYFUNCTION("""COMPUTED_VALUE"""),200.0)</f>
        <v>200</v>
      </c>
      <c r="F293" s="3"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3">
        <f>IFERROR(__xludf.DUMMYFUNCTION("""COMPUTED_VALUE"""),4.95E7)</f>
        <v>49500000</v>
      </c>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D293" s="3"/>
      <c r="BE293" s="3"/>
      <c r="BF293" s="3"/>
      <c r="BG293" s="3"/>
      <c r="BH293" s="3"/>
      <c r="BI293" s="3"/>
      <c r="BJ293" s="3"/>
      <c r="BK293" s="3"/>
      <c r="BL293" s="3"/>
    </row>
    <row r="294" ht="15.75" customHeight="1">
      <c r="A294" s="3" t="str">
        <f>IFERROR(__xludf.DUMMYFUNCTION("""COMPUTED_VALUE"""),"Sword of The Many Heroes")</f>
        <v>Sword of The Many Heroes</v>
      </c>
      <c r="B294" s="3"/>
      <c r="C294" s="3" t="str">
        <f>IFERROR(__xludf.DUMMYFUNCTION("""COMPUTED_VALUE"""),"Sword")</f>
        <v>Sword</v>
      </c>
      <c r="D294" s="3" t="str">
        <f>IFERROR(__xludf.DUMMYFUNCTION("""COMPUTED_VALUE"""),"Hand")</f>
        <v>Hand</v>
      </c>
      <c r="E294" s="3">
        <f>IFERROR(__xludf.DUMMYFUNCTION("""COMPUTED_VALUE"""),200.0)</f>
        <v>200</v>
      </c>
      <c r="F294" s="3"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3">
        <f>IFERROR(__xludf.DUMMYFUNCTION("""COMPUTED_VALUE"""),7.194E9)</f>
        <v>7194000000</v>
      </c>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D294" s="3"/>
      <c r="BE294" s="3"/>
      <c r="BF294" s="3"/>
      <c r="BG294" s="3"/>
      <c r="BH294" s="3"/>
      <c r="BI294" s="3"/>
      <c r="BJ294" s="3"/>
      <c r="BK294" s="3"/>
      <c r="BL294" s="3"/>
    </row>
    <row r="295" ht="15.75" customHeight="1">
      <c r="A295" s="3" t="str">
        <f>IFERROR(__xludf.DUMMYFUNCTION("""COMPUTED_VALUE"""),"Sword Of The Reaper")</f>
        <v>Sword Of The Reaper</v>
      </c>
      <c r="B295" s="3"/>
      <c r="C295" s="3" t="str">
        <f>IFERROR(__xludf.DUMMYFUNCTION("""COMPUTED_VALUE"""),"Sword")</f>
        <v>Sword</v>
      </c>
      <c r="D295" s="3" t="str">
        <f>IFERROR(__xludf.DUMMYFUNCTION("""COMPUTED_VALUE"""),"Hand")</f>
        <v>Hand</v>
      </c>
      <c r="E295" s="3">
        <f>IFERROR(__xludf.DUMMYFUNCTION("""COMPUTED_VALUE"""),200.0)</f>
        <v>200</v>
      </c>
      <c r="F295" s="3"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3">
        <f>IFERROR(__xludf.DUMMYFUNCTION("""COMPUTED_VALUE"""),660000.0)</f>
        <v>660000</v>
      </c>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D295" s="3"/>
      <c r="BE295" s="3"/>
      <c r="BF295" s="3"/>
      <c r="BG295" s="3"/>
      <c r="BH295" s="3"/>
      <c r="BI295" s="3"/>
      <c r="BJ295" s="3"/>
      <c r="BK295" s="3"/>
      <c r="BL295" s="3"/>
    </row>
    <row r="296" ht="15.75" customHeight="1">
      <c r="A296" s="3" t="str">
        <f>IFERROR(__xludf.DUMMYFUNCTION("""COMPUTED_VALUE"""),"Sword of The Sea Serpent")</f>
        <v>Sword of The Sea Serpent</v>
      </c>
      <c r="B296" s="3"/>
      <c r="C296" s="3" t="str">
        <f>IFERROR(__xludf.DUMMYFUNCTION("""COMPUTED_VALUE"""),"Sword")</f>
        <v>Sword</v>
      </c>
      <c r="D296" s="3" t="str">
        <f>IFERROR(__xludf.DUMMYFUNCTION("""COMPUTED_VALUE"""),"Hand")</f>
        <v>Hand</v>
      </c>
      <c r="E296" s="3">
        <f>IFERROR(__xludf.DUMMYFUNCTION("""COMPUTED_VALUE"""),400.0)</f>
        <v>400</v>
      </c>
      <c r="F296" s="3"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3">
        <f>IFERROR(__xludf.DUMMYFUNCTION("""COMPUTED_VALUE"""),7800000.0)</f>
        <v>7800000</v>
      </c>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D296" s="3"/>
      <c r="BE296" s="3"/>
      <c r="BF296" s="3"/>
      <c r="BG296" s="3"/>
      <c r="BH296" s="3"/>
      <c r="BI296" s="3"/>
      <c r="BJ296" s="3"/>
      <c r="BK296" s="3"/>
      <c r="BL296" s="3"/>
    </row>
    <row r="297" ht="15.75" customHeight="1">
      <c r="A297" s="3" t="str">
        <f>IFERROR(__xludf.DUMMYFUNCTION("""COMPUTED_VALUE"""),"Sword of the Vampire’s Lust")</f>
        <v>Sword of the Vampire’s Lust</v>
      </c>
      <c r="B297" s="3"/>
      <c r="C297" s="3" t="str">
        <f>IFERROR(__xludf.DUMMYFUNCTION("""COMPUTED_VALUE"""),"Sword")</f>
        <v>Sword</v>
      </c>
      <c r="D297" s="3" t="str">
        <f>IFERROR(__xludf.DUMMYFUNCTION("""COMPUTED_VALUE"""),"Hand")</f>
        <v>Hand</v>
      </c>
      <c r="E297" s="3">
        <f>IFERROR(__xludf.DUMMYFUNCTION("""COMPUTED_VALUE"""),800.0)</f>
        <v>800</v>
      </c>
      <c r="F297" s="3"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3">
        <f>IFERROR(__xludf.DUMMYFUNCTION("""COMPUTED_VALUE"""),3.16E7)</f>
        <v>31600000</v>
      </c>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D297" s="3"/>
      <c r="BE297" s="3"/>
      <c r="BF297" s="3"/>
      <c r="BG297" s="3"/>
      <c r="BH297" s="3"/>
      <c r="BI297" s="3"/>
      <c r="BJ297" s="3"/>
      <c r="BK297" s="3"/>
      <c r="BL297" s="3"/>
    </row>
    <row r="298" ht="15.75" customHeight="1">
      <c r="A298" s="3" t="str">
        <f>IFERROR(__xludf.DUMMYFUNCTION("""COMPUTED_VALUE"""),"Sword of The Waking Waters")</f>
        <v>Sword of The Waking Waters</v>
      </c>
      <c r="B298" s="3"/>
      <c r="C298" s="3" t="str">
        <f>IFERROR(__xludf.DUMMYFUNCTION("""COMPUTED_VALUE"""),"Sword")</f>
        <v>Sword</v>
      </c>
      <c r="D298" s="3" t="str">
        <f>IFERROR(__xludf.DUMMYFUNCTION("""COMPUTED_VALUE"""),"Hand")</f>
        <v>Hand</v>
      </c>
      <c r="E298" s="3">
        <f>IFERROR(__xludf.DUMMYFUNCTION("""COMPUTED_VALUE"""),800.0)</f>
        <v>800</v>
      </c>
      <c r="F298" s="3"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3">
        <f>IFERROR(__xludf.DUMMYFUNCTION("""COMPUTED_VALUE"""),3.16E7)</f>
        <v>31600000</v>
      </c>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D298" s="3"/>
      <c r="BE298" s="3"/>
      <c r="BF298" s="3"/>
      <c r="BG298" s="3"/>
      <c r="BH298" s="3"/>
      <c r="BI298" s="3"/>
      <c r="BJ298" s="3"/>
      <c r="BK298" s="3"/>
      <c r="BL298" s="3"/>
    </row>
    <row r="299" ht="15.75" customHeight="1">
      <c r="A299" s="3" t="str">
        <f>IFERROR(__xludf.DUMMYFUNCTION("""COMPUTED_VALUE"""),"Sword of the Wicked")</f>
        <v>Sword of the Wicked</v>
      </c>
      <c r="B299" s="3"/>
      <c r="C299" s="3" t="str">
        <f>IFERROR(__xludf.DUMMYFUNCTION("""COMPUTED_VALUE"""),"Sword")</f>
        <v>Sword</v>
      </c>
      <c r="D299" s="3" t="str">
        <f>IFERROR(__xludf.DUMMYFUNCTION("""COMPUTED_VALUE"""),"Hand")</f>
        <v>Hand</v>
      </c>
      <c r="E299" s="3">
        <f>IFERROR(__xludf.DUMMYFUNCTION("""COMPUTED_VALUE"""),50.0)</f>
        <v>50</v>
      </c>
      <c r="F299" s="3" t="str">
        <f>IFERROR(__xludf.DUMMYFUNCTION("""COMPUTED_VALUE"""),"DMG: +700, Dark DMG: +900, Chaos DMG: +900")</f>
        <v>DMG: +700, Dark DMG: +900, Chaos DMG: +900</v>
      </c>
      <c r="G299" s="3">
        <f>IFERROR(__xludf.DUMMYFUNCTION("""COMPUTED_VALUE"""),100000.0)</f>
        <v>100000</v>
      </c>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D299" s="3"/>
      <c r="BE299" s="3"/>
      <c r="BF299" s="3"/>
      <c r="BG299" s="3"/>
      <c r="BH299" s="3"/>
      <c r="BI299" s="3"/>
      <c r="BJ299" s="3"/>
      <c r="BK299" s="3"/>
      <c r="BL299" s="3"/>
    </row>
    <row r="300" ht="15.75" customHeight="1">
      <c r="A300" s="3" t="str">
        <f>IFERROR(__xludf.DUMMYFUNCTION("""COMPUTED_VALUE"""),"Sword Of Tritonoch")</f>
        <v>Sword Of Tritonoch</v>
      </c>
      <c r="B300" s="3"/>
      <c r="C300" s="3" t="str">
        <f>IFERROR(__xludf.DUMMYFUNCTION("""COMPUTED_VALUE"""),"Sword")</f>
        <v>Sword</v>
      </c>
      <c r="D300" s="3" t="str">
        <f>IFERROR(__xludf.DUMMYFUNCTION("""COMPUTED_VALUE"""),"Hand")</f>
        <v>Hand</v>
      </c>
      <c r="E300" s="3">
        <f>IFERROR(__xludf.DUMMYFUNCTION("""COMPUTED_VALUE"""),800.0)</f>
        <v>800</v>
      </c>
      <c r="F300" s="3"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3">
        <f>IFERROR(__xludf.DUMMYFUNCTION("""COMPUTED_VALUE"""),3.16E7)</f>
        <v>31600000</v>
      </c>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D300" s="3"/>
      <c r="BE300" s="3"/>
      <c r="BF300" s="3"/>
      <c r="BG300" s="3"/>
      <c r="BH300" s="3"/>
      <c r="BI300" s="3"/>
      <c r="BJ300" s="3"/>
      <c r="BK300" s="3"/>
      <c r="BL300" s="3"/>
    </row>
    <row r="301" ht="15.75" customHeight="1">
      <c r="A301" s="3" t="str">
        <f>IFERROR(__xludf.DUMMYFUNCTION("""COMPUTED_VALUE"""),"Tentacle")</f>
        <v>Tentacle</v>
      </c>
      <c r="B301" s="3"/>
      <c r="C301" s="3" t="str">
        <f>IFERROR(__xludf.DUMMYFUNCTION("""COMPUTED_VALUE"""),"Claw")</f>
        <v>Claw</v>
      </c>
      <c r="D301" s="3" t="str">
        <f>IFERROR(__xludf.DUMMYFUNCTION("""COMPUTED_VALUE"""),"Hand")</f>
        <v>Hand</v>
      </c>
      <c r="E301" s="3">
        <f>IFERROR(__xludf.DUMMYFUNCTION("""COMPUTED_VALUE"""),30.0)</f>
        <v>30</v>
      </c>
      <c r="F301" s="3" t="str">
        <f>IFERROR(__xludf.DUMMYFUNCTION("""COMPUTED_VALUE"""),"DMG: +1000, Water DMG: +500 ++10% chance to remove target from battle")</f>
        <v>DMG: +1000, Water DMG: +500 ++10% chance to remove target from battle</v>
      </c>
      <c r="G301" s="3">
        <f>IFERROR(__xludf.DUMMYFUNCTION("""COMPUTED_VALUE"""),30000.0)</f>
        <v>30000</v>
      </c>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D301" s="3"/>
      <c r="BE301" s="3"/>
      <c r="BF301" s="3"/>
      <c r="BG301" s="3"/>
      <c r="BH301" s="3"/>
      <c r="BI301" s="3"/>
      <c r="BJ301" s="3"/>
      <c r="BK301" s="3"/>
      <c r="BL301" s="3"/>
    </row>
    <row r="302" ht="15.75" customHeight="1">
      <c r="A302" s="3" t="str">
        <f>IFERROR(__xludf.DUMMYFUNCTION("""COMPUTED_VALUE"""),"The Black Hook")</f>
        <v>The Black Hook</v>
      </c>
      <c r="B302" s="3"/>
      <c r="C302" s="3" t="str">
        <f>IFERROR(__xludf.DUMMYFUNCTION("""COMPUTED_VALUE"""),"Claw")</f>
        <v>Claw</v>
      </c>
      <c r="D302" s="3" t="str">
        <f>IFERROR(__xludf.DUMMYFUNCTION("""COMPUTED_VALUE"""),"Hand")</f>
        <v>Hand</v>
      </c>
      <c r="E302" s="3">
        <f>IFERROR(__xludf.DUMMYFUNCTION("""COMPUTED_VALUE"""),2500.0)</f>
        <v>2500</v>
      </c>
      <c r="F302" s="3"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3">
        <f>IFERROR(__xludf.DUMMYFUNCTION("""COMPUTED_VALUE"""),3.1125E8)</f>
        <v>311250000</v>
      </c>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D302" s="3"/>
      <c r="BE302" s="3"/>
      <c r="BF302" s="3"/>
      <c r="BG302" s="3"/>
      <c r="BH302" s="3"/>
      <c r="BI302" s="3"/>
      <c r="BJ302" s="3"/>
      <c r="BK302" s="3"/>
      <c r="BL302" s="3"/>
    </row>
    <row r="303" ht="15.75" customHeight="1">
      <c r="A303" s="3" t="str">
        <f>IFERROR(__xludf.DUMMYFUNCTION("""COMPUTED_VALUE"""),"The Blade of the Chosen")</f>
        <v>The Blade of the Chosen</v>
      </c>
      <c r="B303" s="3"/>
      <c r="C303" s="3" t="str">
        <f>IFERROR(__xludf.DUMMYFUNCTION("""COMPUTED_VALUE"""),"Sword")</f>
        <v>Sword</v>
      </c>
      <c r="D303" s="3" t="str">
        <f>IFERROR(__xludf.DUMMYFUNCTION("""COMPUTED_VALUE"""),"Hand")</f>
        <v>Hand</v>
      </c>
      <c r="E303" s="3">
        <f>IFERROR(__xludf.DUMMYFUNCTION("""COMPUTED_VALUE"""),1000.0)</f>
        <v>1000</v>
      </c>
      <c r="F303" s="3"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3">
        <f>IFERROR(__xludf.DUMMYFUNCTION("""COMPUTED_VALUE"""),4.95E7)</f>
        <v>49500000</v>
      </c>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D303" s="3"/>
      <c r="BE303" s="3"/>
      <c r="BF303" s="3"/>
      <c r="BG303" s="3"/>
      <c r="BH303" s="3"/>
      <c r="BI303" s="3"/>
      <c r="BJ303" s="3"/>
      <c r="BK303" s="3"/>
      <c r="BL303" s="3"/>
    </row>
    <row r="304" ht="15.75" customHeight="1">
      <c r="A304" s="3" t="str">
        <f>IFERROR(__xludf.DUMMYFUNCTION("""COMPUTED_VALUE"""),"The Bow of the Fallen Hero")</f>
        <v>The Bow of the Fallen Hero</v>
      </c>
      <c r="B304" s="3"/>
      <c r="C304" s="3" t="str">
        <f>IFERROR(__xludf.DUMMYFUNCTION("""COMPUTED_VALUE"""),"Bow")</f>
        <v>Bow</v>
      </c>
      <c r="D304" s="3" t="str">
        <f>IFERROR(__xludf.DUMMYFUNCTION("""COMPUTED_VALUE"""),"Hand")</f>
        <v>Hand</v>
      </c>
      <c r="E304" s="3">
        <f>IFERROR(__xludf.DUMMYFUNCTION("""COMPUTED_VALUE"""),100.0)</f>
        <v>100</v>
      </c>
      <c r="F304" s="3" t="str">
        <f>IFERROR(__xludf.DUMMYFUNCTION("""COMPUTED_VALUE"""),"DMG: +5000 ++Dashing Arrows - You can use up to 6 arrows when attacking with this bow. ")</f>
        <v>DMG: +5000 ++Dashing Arrows - You can use up to 6 arrows when attacking with this bow. </v>
      </c>
      <c r="G304" s="3">
        <f>IFERROR(__xludf.DUMMYFUNCTION("""COMPUTED_VALUE"""),450000.0)</f>
        <v>450000</v>
      </c>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D304" s="3"/>
      <c r="BE304" s="3"/>
      <c r="BF304" s="3"/>
      <c r="BG304" s="3"/>
      <c r="BH304" s="3"/>
      <c r="BI304" s="3"/>
      <c r="BJ304" s="3"/>
      <c r="BK304" s="3"/>
      <c r="BL304" s="3"/>
    </row>
    <row r="305" ht="15.75" customHeight="1">
      <c r="A305" s="3" t="str">
        <f>IFERROR(__xludf.DUMMYFUNCTION("""COMPUTED_VALUE"""),"The Bow of the Haunted")</f>
        <v>The Bow of the Haunted</v>
      </c>
      <c r="B305" s="3" t="str">
        <f>IFERROR(__xludf.DUMMYFUNCTION("""COMPUTED_VALUE"""),"Halloween exclusive")</f>
        <v>Halloween exclusive</v>
      </c>
      <c r="C305" s="3" t="str">
        <f>IFERROR(__xludf.DUMMYFUNCTION("""COMPUTED_VALUE"""),"Bow")</f>
        <v>Bow</v>
      </c>
      <c r="D305" s="3" t="str">
        <f>IFERROR(__xludf.DUMMYFUNCTION("""COMPUTED_VALUE"""),"Hand")</f>
        <v>Hand</v>
      </c>
      <c r="E305" s="3">
        <f>IFERROR(__xludf.DUMMYFUNCTION("""COMPUTED_VALUE"""),620.0)</f>
        <v>620</v>
      </c>
      <c r="F305" s="3"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3">
        <f>IFERROR(__xludf.DUMMYFUNCTION("""COMPUTED_VALUE"""),1.891E7)</f>
        <v>18910000</v>
      </c>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D305" s="3"/>
      <c r="BE305" s="3"/>
      <c r="BF305" s="3"/>
      <c r="BG305" s="3"/>
      <c r="BH305" s="3"/>
      <c r="BI305" s="3"/>
      <c r="BJ305" s="3"/>
      <c r="BK305" s="3"/>
      <c r="BL305" s="3"/>
    </row>
    <row r="306" ht="15.75" customHeight="1">
      <c r="A306" s="3" t="str">
        <f>IFERROR(__xludf.DUMMYFUNCTION("""COMPUTED_VALUE"""),"The Bow of the Pandarian")</f>
        <v>The Bow of the Pandarian</v>
      </c>
      <c r="B306" s="3"/>
      <c r="C306" s="3" t="str">
        <f>IFERROR(__xludf.DUMMYFUNCTION("""COMPUTED_VALUE"""),"Bow")</f>
        <v>Bow</v>
      </c>
      <c r="D306" s="3" t="str">
        <f>IFERROR(__xludf.DUMMYFUNCTION("""COMPUTED_VALUE"""),"Hand")</f>
        <v>Hand</v>
      </c>
      <c r="E306" s="3">
        <f>IFERROR(__xludf.DUMMYFUNCTION("""COMPUTED_VALUE"""),40.0)</f>
        <v>40</v>
      </c>
      <c r="F306" s="3"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3">
        <f>IFERROR(__xludf.DUMMYFUNCTION("""COMPUTED_VALUE"""),60000.0)</f>
        <v>60000</v>
      </c>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D306" s="3"/>
      <c r="BE306" s="3"/>
      <c r="BF306" s="3"/>
      <c r="BG306" s="3"/>
      <c r="BH306" s="3"/>
      <c r="BI306" s="3"/>
      <c r="BJ306" s="3"/>
      <c r="BK306" s="3"/>
      <c r="BL306" s="3"/>
    </row>
    <row r="307" ht="15.75" customHeight="1">
      <c r="A307" s="3" t="str">
        <f>IFERROR(__xludf.DUMMYFUNCTION("""COMPUTED_VALUE"""),"The Buster")</f>
        <v>The Buster</v>
      </c>
      <c r="B307" s="3"/>
      <c r="C307" s="3" t="str">
        <f>IFERROR(__xludf.DUMMYFUNCTION("""COMPUTED_VALUE"""),"Sword")</f>
        <v>Sword</v>
      </c>
      <c r="D307" s="3" t="str">
        <f>IFERROR(__xludf.DUMMYFUNCTION("""COMPUTED_VALUE"""),"Hand")</f>
        <v>Hand</v>
      </c>
      <c r="E307" s="3">
        <f>IFERROR(__xludf.DUMMYFUNCTION("""COMPUTED_VALUE"""),400.0)</f>
        <v>400</v>
      </c>
      <c r="F307" s="3" t="str">
        <f>IFERROR(__xludf.DUMMYFUNCTION("""COMPUTED_VALUE"""),"DMG: +20000")</f>
        <v>DMG: +20000</v>
      </c>
      <c r="G307" s="3">
        <f>IFERROR(__xludf.DUMMYFUNCTION("""COMPUTED_VALUE"""),7800000.0)</f>
        <v>7800000</v>
      </c>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D307" s="3"/>
      <c r="BE307" s="3"/>
      <c r="BF307" s="3"/>
      <c r="BG307" s="3"/>
      <c r="BH307" s="3"/>
      <c r="BI307" s="3"/>
      <c r="BJ307" s="3"/>
      <c r="BK307" s="3"/>
      <c r="BL307" s="3"/>
    </row>
    <row r="308" ht="15.75" customHeight="1">
      <c r="A308" s="3" t="str">
        <f>IFERROR(__xludf.DUMMYFUNCTION("""COMPUTED_VALUE"""),"The Dawn Splitter")</f>
        <v>The Dawn Splitter</v>
      </c>
      <c r="B308" s="3"/>
      <c r="C308" s="3" t="str">
        <f>IFERROR(__xludf.DUMMYFUNCTION("""COMPUTED_VALUE"""),"Sword")</f>
        <v>Sword</v>
      </c>
      <c r="D308" s="3" t="str">
        <f>IFERROR(__xludf.DUMMYFUNCTION("""COMPUTED_VALUE"""),"Hand")</f>
        <v>Hand</v>
      </c>
      <c r="E308" s="3">
        <f>IFERROR(__xludf.DUMMYFUNCTION("""COMPUTED_VALUE"""),200.0)</f>
        <v>200</v>
      </c>
      <c r="F308" s="3" t="str">
        <f>IFERROR(__xludf.DUMMYFUNCTION("""COMPUTED_VALUE"""),"DMG: +50000, Fire DMG: +50000, Dark DMG: +50000, Celestial DMG: +50000 ++50% Chance to put the target to sleep.")</f>
        <v>DMG: +50000, Fire DMG: +50000, Dark DMG: +50000, Celestial DMG: +50000 ++50% Chance to put the target to sleep.</v>
      </c>
      <c r="G308" s="3">
        <f>IFERROR(__xludf.DUMMYFUNCTION("""COMPUTED_VALUE"""),7.98E8)</f>
        <v>798000000</v>
      </c>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D308" s="3"/>
      <c r="BE308" s="3"/>
      <c r="BF308" s="3"/>
      <c r="BG308" s="3"/>
      <c r="BH308" s="3"/>
      <c r="BI308" s="3"/>
      <c r="BJ308" s="3"/>
      <c r="BK308" s="3"/>
      <c r="BL308" s="3"/>
    </row>
    <row r="309" ht="15.75" customHeight="1">
      <c r="A309" s="3" t="str">
        <f>IFERROR(__xludf.DUMMYFUNCTION("""COMPUTED_VALUE"""),"The Dragon King's Crown")</f>
        <v>The Dragon King's Crown</v>
      </c>
      <c r="B309" s="3"/>
      <c r="C309" s="3"/>
      <c r="D309" s="3" t="str">
        <f>IFERROR(__xludf.DUMMYFUNCTION("""COMPUTED_VALUE"""),"Head")</f>
        <v>Head</v>
      </c>
      <c r="E309" s="3">
        <f>IFERROR(__xludf.DUMMYFUNCTION("""COMPUTED_VALUE"""),400.0)</f>
        <v>400</v>
      </c>
      <c r="F309" s="3" t="str">
        <f>IFERROR(__xludf.DUMMYFUNCTION("""COMPUTED_VALUE"""),"DEF: +20000 ++Immunity to damage from Natural Attacks...")</f>
        <v>DEF: +20000 ++Immunity to damage from Natural Attacks...</v>
      </c>
      <c r="G309" s="3">
        <f>IFERROR(__xludf.DUMMYFUNCTION("""COMPUTED_VALUE"""),7800000.0)</f>
        <v>7800000</v>
      </c>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D309" s="3"/>
      <c r="BE309" s="3"/>
      <c r="BF309" s="3"/>
      <c r="BG309" s="3"/>
      <c r="BH309" s="3"/>
      <c r="BI309" s="3"/>
      <c r="BJ309" s="3"/>
      <c r="BK309" s="3"/>
      <c r="BL309" s="3"/>
    </row>
    <row r="310" ht="15.75" customHeight="1">
      <c r="A310" s="3" t="str">
        <f>IFERROR(__xludf.DUMMYFUNCTION("""COMPUTED_VALUE"""),"The Guardian Of Death's Sword")</f>
        <v>The Guardian Of Death's Sword</v>
      </c>
      <c r="B310" s="3"/>
      <c r="C310" s="3" t="str">
        <f>IFERROR(__xludf.DUMMYFUNCTION("""COMPUTED_VALUE"""),"Sword")</f>
        <v>Sword</v>
      </c>
      <c r="D310" s="3" t="str">
        <f>IFERROR(__xludf.DUMMYFUNCTION("""COMPUTED_VALUE"""),"Hand")</f>
        <v>Hand</v>
      </c>
      <c r="E310" s="3">
        <f>IFERROR(__xludf.DUMMYFUNCTION("""COMPUTED_VALUE"""),600.0)</f>
        <v>600</v>
      </c>
      <c r="F310" s="3" t="str">
        <f>IFERROR(__xludf.DUMMYFUNCTION("""COMPUTED_VALUE"""),"DMG: +15000, Dark DMG: +5000, Spirit DMG: +5000, Chaos DMG: +5000")</f>
        <v>DMG: +15000, Dark DMG: +5000, Spirit DMG: +5000, Chaos DMG: +5000</v>
      </c>
      <c r="G310" s="3">
        <f>IFERROR(__xludf.DUMMYFUNCTION("""COMPUTED_VALUE"""),1.77E7)</f>
        <v>17700000</v>
      </c>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D310" s="3"/>
      <c r="BE310" s="3"/>
      <c r="BF310" s="3"/>
      <c r="BG310" s="3"/>
      <c r="BH310" s="3"/>
      <c r="BI310" s="3"/>
      <c r="BJ310" s="3"/>
      <c r="BK310" s="3"/>
      <c r="BL310" s="3"/>
    </row>
    <row r="311" ht="15.75" customHeight="1">
      <c r="A311" s="3" t="str">
        <f>IFERROR(__xludf.DUMMYFUNCTION("""COMPUTED_VALUE"""),"The Helm of Foul Night")</f>
        <v>The Helm of Foul Night</v>
      </c>
      <c r="B311" s="3"/>
      <c r="C311" s="3"/>
      <c r="D311" s="3" t="str">
        <f>IFERROR(__xludf.DUMMYFUNCTION("""COMPUTED_VALUE"""),"Head")</f>
        <v>Head</v>
      </c>
      <c r="E311" s="3">
        <f>IFERROR(__xludf.DUMMYFUNCTION("""COMPUTED_VALUE"""),200.0)</f>
        <v>200</v>
      </c>
      <c r="F311" s="3" t="str">
        <f>IFERROR(__xludf.DUMMYFUNCTION("""COMPUTED_VALUE"""),"DEF: +5000, Nature DEF: +5000 (Foul Night Set) ++X2 Nature and Poison damage. ++Poison Immunity. ")</f>
        <v>DEF: +5000, Nature DEF: +5000 (Foul Night Set) ++X2 Nature and Poison damage. ++Poison Immunity. </v>
      </c>
      <c r="G311" s="3">
        <f>IFERROR(__xludf.DUMMYFUNCTION("""COMPUTED_VALUE"""),1900000.0)</f>
        <v>1900000</v>
      </c>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D311" s="3"/>
      <c r="BE311" s="3"/>
      <c r="BF311" s="3"/>
      <c r="BG311" s="3"/>
      <c r="BH311" s="3"/>
      <c r="BI311" s="3"/>
      <c r="BJ311" s="3"/>
      <c r="BK311" s="3"/>
      <c r="BL311" s="3"/>
    </row>
    <row r="312" ht="15.75" customHeight="1">
      <c r="A312" s="3" t="str">
        <f>IFERROR(__xludf.DUMMYFUNCTION("""COMPUTED_VALUE"""),"The Invisible Spear")</f>
        <v>The Invisible Spear</v>
      </c>
      <c r="B312" s="3"/>
      <c r="C312" s="3" t="str">
        <f>IFERROR(__xludf.DUMMYFUNCTION("""COMPUTED_VALUE"""),"Spear")</f>
        <v>Spear</v>
      </c>
      <c r="D312" s="3" t="str">
        <f>IFERROR(__xludf.DUMMYFUNCTION("""COMPUTED_VALUE"""),"Hand")</f>
        <v>Hand</v>
      </c>
      <c r="E312" s="3">
        <f>IFERROR(__xludf.DUMMYFUNCTION("""COMPUTED_VALUE"""),1.0)</f>
        <v>1</v>
      </c>
      <c r="F312" s="3" t="str">
        <f>IFERROR(__xludf.DUMMYFUNCTION("""COMPUTED_VALUE"""),"DMG: +200 ++ignores evasion")</f>
        <v>DMG: +200 ++ignores evasion</v>
      </c>
      <c r="G312" s="3">
        <f>IFERROR(__xludf.DUMMYFUNCTION("""COMPUTED_VALUE"""),0.0)</f>
        <v>0</v>
      </c>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D312" s="3"/>
      <c r="BE312" s="3"/>
      <c r="BF312" s="3"/>
      <c r="BG312" s="3"/>
      <c r="BH312" s="3"/>
      <c r="BI312" s="3"/>
      <c r="BJ312" s="3"/>
      <c r="BK312" s="3"/>
      <c r="BL312" s="3"/>
    </row>
    <row r="313" ht="15.75" customHeight="1">
      <c r="A313" s="3" t="str">
        <f>IFERROR(__xludf.DUMMYFUNCTION("""COMPUTED_VALUE"""),"The Mysterious Mirror")</f>
        <v>The Mysterious Mirror</v>
      </c>
      <c r="B313" s="3"/>
      <c r="C313" s="3" t="str">
        <f>IFERROR(__xludf.DUMMYFUNCTION("""COMPUTED_VALUE"""),"Towershield")</f>
        <v>Towershield</v>
      </c>
      <c r="D313" s="3" t="str">
        <f>IFERROR(__xludf.DUMMYFUNCTION("""COMPUTED_VALUE"""),"Hand")</f>
        <v>Hand</v>
      </c>
      <c r="E313" s="3">
        <f>IFERROR(__xludf.DUMMYFUNCTION("""COMPUTED_VALUE"""),1.0)</f>
        <v>1</v>
      </c>
      <c r="F313" s="3"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3">
        <f>IFERROR(__xludf.DUMMYFUNCTION("""COMPUTED_VALUE"""),0.0)</f>
        <v>0</v>
      </c>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D313" s="3"/>
      <c r="BE313" s="3"/>
      <c r="BF313" s="3"/>
      <c r="BG313" s="3"/>
      <c r="BH313" s="3"/>
      <c r="BI313" s="3"/>
      <c r="BJ313" s="3"/>
      <c r="BK313" s="3"/>
      <c r="BL313" s="3"/>
    </row>
    <row r="314" ht="15.75" customHeight="1">
      <c r="A314" s="3" t="str">
        <f>IFERROR(__xludf.DUMMYFUNCTION("""COMPUTED_VALUE"""),"The Puppet Masters Amulet")</f>
        <v>The Puppet Masters Amulet</v>
      </c>
      <c r="B314" s="3"/>
      <c r="C314" s="3"/>
      <c r="D314" s="3" t="str">
        <f>IFERROR(__xludf.DUMMYFUNCTION("""COMPUTED_VALUE"""),"Neck")</f>
        <v>Neck</v>
      </c>
      <c r="E314" s="3">
        <f>IFERROR(__xludf.DUMMYFUNCTION("""COMPUTED_VALUE"""),1.0)</f>
        <v>1</v>
      </c>
      <c r="F314" s="3" t="str">
        <f>IFERROR(__xludf.DUMMYFUNCTION("""COMPUTED_VALUE""")," ++Immune to possession.  +-Cannot be duplicated.")</f>
        <v> ++Immune to possession.  +-Cannot be duplicated.</v>
      </c>
      <c r="G314" s="3">
        <f>IFERROR(__xludf.DUMMYFUNCTION("""COMPUTED_VALUE"""),0.0)</f>
        <v>0</v>
      </c>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D314" s="3"/>
      <c r="BE314" s="3"/>
      <c r="BF314" s="3"/>
      <c r="BG314" s="3"/>
      <c r="BH314" s="3"/>
      <c r="BI314" s="3"/>
      <c r="BJ314" s="3"/>
      <c r="BK314" s="3"/>
      <c r="BL314" s="3"/>
    </row>
    <row r="315" ht="15.75" customHeight="1">
      <c r="A315" s="1" t="str">
        <f>IFERROR(__xludf.DUMMYFUNCTION("""COMPUTED_VALUE"""),"The Puppet Masters Cloak")</f>
        <v>The Puppet Masters Cloak</v>
      </c>
      <c r="B315" s="1"/>
      <c r="C315" s="1"/>
      <c r="D315" s="1" t="str">
        <f>IFERROR(__xludf.DUMMYFUNCTION("""COMPUTED_VALUE"""),"Torso")</f>
        <v>Torso</v>
      </c>
      <c r="E315" s="1">
        <f>IFERROR(__xludf.DUMMYFUNCTION("""COMPUTED_VALUE"""),1.0)</f>
        <v>1</v>
      </c>
      <c r="F315" s="1" t="str">
        <f>IFERROR(__xludf.DUMMYFUNCTION("""COMPUTED_VALUE""")," ++User and allies gain immunity to chaos and dark damage while in the party. +-Cannot be duplicated")</f>
        <v> ++User and allies gain immunity to chaos and dark damage while in the party. +-Cannot be duplicated</v>
      </c>
      <c r="G315" s="1">
        <f>IFERROR(__xludf.DUMMYFUNCTION("""COMPUTED_VALUE"""),0.0)</f>
        <v>0</v>
      </c>
      <c r="H315" s="1"/>
      <c r="I315" s="1"/>
      <c r="J315" s="1"/>
      <c r="K315" s="1"/>
      <c r="L315" s="1"/>
      <c r="M315" s="1"/>
      <c r="N315" s="1"/>
      <c r="O315" s="1"/>
      <c r="P315" s="1"/>
      <c r="Q315" s="1"/>
      <c r="R315" s="1"/>
      <c r="S315" s="1"/>
      <c r="T315" s="1"/>
      <c r="U315" s="1"/>
      <c r="V315" s="1"/>
      <c r="W315" s="1"/>
      <c r="X315" s="1"/>
      <c r="Y315" s="1"/>
      <c r="Z315" s="1"/>
      <c r="AA315" s="1"/>
    </row>
    <row r="316" ht="15.75" customHeight="1">
      <c r="A316" s="1" t="str">
        <f>IFERROR(__xludf.DUMMYFUNCTION("""COMPUTED_VALUE"""),"The Puppet Masters Ring")</f>
        <v>The Puppet Masters Ring</v>
      </c>
      <c r="B316" s="1"/>
      <c r="C316" s="1"/>
      <c r="D316" s="1" t="str">
        <f>IFERROR(__xludf.DUMMYFUNCTION("""COMPUTED_VALUE"""),"Ring")</f>
        <v>Ring</v>
      </c>
      <c r="E316" s="1">
        <f>IFERROR(__xludf.DUMMYFUNCTION("""COMPUTED_VALUE"""),1.0)</f>
        <v>1</v>
      </c>
      <c r="F316" s="1"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
        <f>IFERROR(__xludf.DUMMYFUNCTION("""COMPUTED_VALUE"""),0.0)</f>
        <v>0</v>
      </c>
      <c r="H316" s="1"/>
      <c r="I316" s="1"/>
      <c r="J316" s="1"/>
      <c r="K316" s="1"/>
      <c r="L316" s="1"/>
      <c r="M316" s="1"/>
      <c r="N316" s="1"/>
      <c r="O316" s="1"/>
      <c r="P316" s="1"/>
      <c r="Q316" s="1"/>
      <c r="R316" s="1"/>
      <c r="S316" s="1"/>
      <c r="T316" s="1"/>
      <c r="U316" s="1"/>
      <c r="V316" s="1"/>
      <c r="W316" s="1"/>
      <c r="X316" s="1"/>
      <c r="Y316" s="1"/>
      <c r="Z316" s="1"/>
      <c r="AA316" s="1"/>
    </row>
    <row r="317" ht="15.75" customHeight="1">
      <c r="A317" s="1" t="str">
        <f>IFERROR(__xludf.DUMMYFUNCTION("""COMPUTED_VALUE"""),"The Red Sword")</f>
        <v>The Red Sword</v>
      </c>
      <c r="B317" s="1" t="str">
        <f>IFERROR(__xludf.DUMMYFUNCTION("""COMPUTED_VALUE"""),"A Sword that was made of Vampire’s Blood")</f>
        <v>A Sword that was made of Vampire’s Blood</v>
      </c>
      <c r="C317" s="1" t="str">
        <f>IFERROR(__xludf.DUMMYFUNCTION("""COMPUTED_VALUE"""),"Sword")</f>
        <v>Sword</v>
      </c>
      <c r="D317" s="1" t="str">
        <f>IFERROR(__xludf.DUMMYFUNCTION("""COMPUTED_VALUE"""),"Hand")</f>
        <v>Hand</v>
      </c>
      <c r="E317" s="1">
        <f>IFERROR(__xludf.DUMMYFUNCTION("""COMPUTED_VALUE"""),1.0)</f>
        <v>1</v>
      </c>
      <c r="F317" s="1" t="str">
        <f>IFERROR(__xludf.DUMMYFUNCTION("""COMPUTED_VALUE"""),"DMG: +300")</f>
        <v>DMG: +300</v>
      </c>
      <c r="G317" s="1">
        <f>IFERROR(__xludf.DUMMYFUNCTION("""COMPUTED_VALUE"""),0.0)</f>
        <v>0</v>
      </c>
      <c r="H317" s="1"/>
      <c r="I317" s="1"/>
      <c r="J317" s="1"/>
      <c r="K317" s="1"/>
      <c r="L317" s="1"/>
      <c r="M317" s="1"/>
      <c r="N317" s="1"/>
      <c r="O317" s="1"/>
      <c r="P317" s="1"/>
      <c r="Q317" s="1"/>
      <c r="R317" s="1"/>
      <c r="S317" s="1"/>
      <c r="T317" s="1"/>
      <c r="U317" s="1"/>
      <c r="V317" s="1"/>
      <c r="W317" s="1"/>
      <c r="X317" s="1"/>
      <c r="Y317" s="1"/>
      <c r="Z317" s="1"/>
      <c r="AA317" s="1"/>
    </row>
    <row r="318" ht="15.75" customHeight="1">
      <c r="A318" s="1" t="str">
        <f>IFERROR(__xludf.DUMMYFUNCTION("""COMPUTED_VALUE"""),"The Servants Sword")</f>
        <v>The Servants Sword</v>
      </c>
      <c r="B318" s="1"/>
      <c r="C318" s="1" t="str">
        <f>IFERROR(__xludf.DUMMYFUNCTION("""COMPUTED_VALUE"""),"Sword")</f>
        <v>Sword</v>
      </c>
      <c r="D318" s="1" t="str">
        <f>IFERROR(__xludf.DUMMYFUNCTION("""COMPUTED_VALUE"""),"Hand")</f>
        <v>Hand</v>
      </c>
      <c r="E318" s="1">
        <f>IFERROR(__xludf.DUMMYFUNCTION("""COMPUTED_VALUE"""),600.0)</f>
        <v>600</v>
      </c>
      <c r="F318" s="1" t="str">
        <f>IFERROR(__xludf.DUMMYFUNCTION("""COMPUTED_VALUE"""),"DMG: +20000, Chaos DMG: +10000")</f>
        <v>DMG: +20000, Chaos DMG: +10000</v>
      </c>
      <c r="G318" s="1">
        <f>IFERROR(__xludf.DUMMYFUNCTION("""COMPUTED_VALUE"""),1.77E7)</f>
        <v>17700000</v>
      </c>
      <c r="H318" s="1"/>
      <c r="I318" s="1"/>
      <c r="J318" s="1"/>
      <c r="K318" s="1"/>
      <c r="L318" s="1"/>
      <c r="M318" s="1"/>
      <c r="N318" s="1"/>
      <c r="O318" s="1"/>
      <c r="P318" s="1"/>
      <c r="Q318" s="1"/>
      <c r="R318" s="1"/>
      <c r="S318" s="1"/>
      <c r="T318" s="1"/>
      <c r="U318" s="1"/>
      <c r="V318" s="1"/>
      <c r="W318" s="1"/>
      <c r="X318" s="1"/>
      <c r="Y318" s="1"/>
      <c r="Z318" s="1"/>
      <c r="AA318" s="1"/>
    </row>
    <row r="319" ht="15.75" customHeight="1">
      <c r="A319" s="1" t="str">
        <f>IFERROR(__xludf.DUMMYFUNCTION("""COMPUTED_VALUE"""),"The Shield of Foul Night")</f>
        <v>The Shield of Foul Night</v>
      </c>
      <c r="B319" s="1"/>
      <c r="C319" s="1" t="str">
        <f>IFERROR(__xludf.DUMMYFUNCTION("""COMPUTED_VALUE"""),"Buckler")</f>
        <v>Buckler</v>
      </c>
      <c r="D319" s="1" t="str">
        <f>IFERROR(__xludf.DUMMYFUNCTION("""COMPUTED_VALUE"""),"Hand")</f>
        <v>Hand</v>
      </c>
      <c r="E319" s="1">
        <f>IFERROR(__xludf.DUMMYFUNCTION("""COMPUTED_VALUE"""),200.0)</f>
        <v>200</v>
      </c>
      <c r="F319" s="1" t="str">
        <f>IFERROR(__xludf.DUMMYFUNCTION("""COMPUTED_VALUE"""),"DEF: +5000, Nature DEF: +5000 (Foul Night Set) ++Nature Immunity, Poison Immunity")</f>
        <v>DEF: +5000, Nature DEF: +5000 (Foul Night Set) ++Nature Immunity, Poison Immunity</v>
      </c>
      <c r="G319" s="1">
        <f>IFERROR(__xludf.DUMMYFUNCTION("""COMPUTED_VALUE"""),1900000.0)</f>
        <v>1900000</v>
      </c>
      <c r="H319" s="1"/>
      <c r="I319" s="1"/>
      <c r="J319" s="1"/>
      <c r="K319" s="1"/>
      <c r="L319" s="1"/>
      <c r="M319" s="1"/>
      <c r="N319" s="1"/>
      <c r="O319" s="1"/>
      <c r="P319" s="1"/>
      <c r="Q319" s="1"/>
      <c r="R319" s="1"/>
      <c r="S319" s="1"/>
      <c r="T319" s="1"/>
      <c r="U319" s="1"/>
      <c r="V319" s="1"/>
      <c r="W319" s="1"/>
      <c r="X319" s="1"/>
      <c r="Y319" s="1"/>
      <c r="Z319" s="1"/>
      <c r="AA319" s="1"/>
    </row>
    <row r="320" ht="15.75" customHeight="1">
      <c r="A320" s="1" t="str">
        <f>IFERROR(__xludf.DUMMYFUNCTION("""COMPUTED_VALUE"""),"The Staff of  Haunted Bones")</f>
        <v>The Staff of  Haunted Bones</v>
      </c>
      <c r="B320" s="1" t="str">
        <f>IFERROR(__xludf.DUMMYFUNCTION("""COMPUTED_VALUE"""),"Halloween exclusive")</f>
        <v>Halloween exclusive</v>
      </c>
      <c r="C320" s="1" t="str">
        <f>IFERROR(__xludf.DUMMYFUNCTION("""COMPUTED_VALUE"""),"Staff")</f>
        <v>Staff</v>
      </c>
      <c r="D320" s="1" t="str">
        <f>IFERROR(__xludf.DUMMYFUNCTION("""COMPUTED_VALUE"""),"Hand")</f>
        <v>Hand</v>
      </c>
      <c r="E320" s="1">
        <f>IFERROR(__xludf.DUMMYFUNCTION("""COMPUTED_VALUE"""),1.0)</f>
        <v>1</v>
      </c>
      <c r="F320" s="1" t="str">
        <f>IFERROR(__xludf.DUMMYFUNCTION("""COMPUTED_VALUE""")," X2 additional Dark, Chaos, and Spirit damage.")</f>
        <v> X2 additional Dark, Chaos, and Spirit damage.</v>
      </c>
      <c r="G320" s="1">
        <f>IFERROR(__xludf.DUMMYFUNCTION("""COMPUTED_VALUE"""),0.0)</f>
        <v>0</v>
      </c>
      <c r="H320" s="1"/>
      <c r="I320" s="1"/>
      <c r="J320" s="1"/>
      <c r="K320" s="1"/>
      <c r="L320" s="1"/>
      <c r="M320" s="1"/>
      <c r="N320" s="1"/>
      <c r="O320" s="1"/>
      <c r="P320" s="1"/>
      <c r="Q320" s="1"/>
      <c r="R320" s="1"/>
      <c r="S320" s="1"/>
      <c r="T320" s="1"/>
      <c r="U320" s="1"/>
      <c r="V320" s="1"/>
      <c r="W320" s="1"/>
      <c r="X320" s="1"/>
      <c r="Y320" s="1"/>
      <c r="Z320" s="1"/>
      <c r="AA320" s="1"/>
    </row>
    <row r="321" ht="15.75" customHeight="1">
      <c r="A321" s="1" t="str">
        <f>IFERROR(__xludf.DUMMYFUNCTION("""COMPUTED_VALUE"""),"The Staff of the Aquas")</f>
        <v>The Staff of the Aquas</v>
      </c>
      <c r="B321" s="1"/>
      <c r="C321" s="1" t="str">
        <f>IFERROR(__xludf.DUMMYFUNCTION("""COMPUTED_VALUE"""),"Staff")</f>
        <v>Staff</v>
      </c>
      <c r="D321" s="1" t="str">
        <f>IFERROR(__xludf.DUMMYFUNCTION("""COMPUTED_VALUE"""),"Hand")</f>
        <v>Hand</v>
      </c>
      <c r="E321" s="1">
        <f>IFERROR(__xludf.DUMMYFUNCTION("""COMPUTED_VALUE"""),1.0)</f>
        <v>1</v>
      </c>
      <c r="F321" s="1" t="str">
        <f>IFERROR(__xludf.DUMMYFUNCTION("""COMPUTED_VALUE""")," ++All Water Spells Deal x3 damage and cost half sp to use.")</f>
        <v> ++All Water Spells Deal x3 damage and cost half sp to use.</v>
      </c>
      <c r="G321" s="1">
        <f>IFERROR(__xludf.DUMMYFUNCTION("""COMPUTED_VALUE"""),0.0)</f>
        <v>0</v>
      </c>
      <c r="H321" s="1"/>
      <c r="I321" s="1"/>
      <c r="J321" s="1"/>
      <c r="K321" s="1"/>
      <c r="L321" s="1"/>
      <c r="M321" s="1"/>
      <c r="N321" s="1"/>
      <c r="O321" s="1"/>
      <c r="P321" s="1"/>
      <c r="Q321" s="1"/>
      <c r="R321" s="1"/>
      <c r="S321" s="1"/>
      <c r="T321" s="1"/>
      <c r="U321" s="1"/>
      <c r="V321" s="1"/>
      <c r="W321" s="1"/>
      <c r="X321" s="1"/>
      <c r="Y321" s="1"/>
      <c r="Z321" s="1"/>
      <c r="AA321" s="1"/>
    </row>
    <row r="322" ht="15.75" customHeight="1">
      <c r="A322" s="1" t="str">
        <f>IFERROR(__xludf.DUMMYFUNCTION("""COMPUTED_VALUE"""),"The Staff of The Pumpkin’s Curse")</f>
        <v>The Staff of The Pumpkin’s Curse</v>
      </c>
      <c r="B322" s="1"/>
      <c r="C322" s="1" t="str">
        <f>IFERROR(__xludf.DUMMYFUNCTION("""COMPUTED_VALUE"""),"Staff")</f>
        <v>Staff</v>
      </c>
      <c r="D322" s="1" t="str">
        <f>IFERROR(__xludf.DUMMYFUNCTION("""COMPUTED_VALUE"""),"Hand")</f>
        <v>Hand</v>
      </c>
      <c r="E322" s="1">
        <f>IFERROR(__xludf.DUMMYFUNCTION("""COMPUTED_VALUE"""),1.0)</f>
        <v>1</v>
      </c>
      <c r="F322" s="1" t="str">
        <f>IFERROR(__xludf.DUMMYFUNCTION("""COMPUTED_VALUE""")," ++ Select a target, Any Fire Nature and Dark damage the target deals halved, Fail/Succeed.")</f>
        <v> ++ Select a target, Any Fire Nature and Dark damage the target deals halved, Fail/Succeed.</v>
      </c>
      <c r="G322" s="1">
        <f>IFERROR(__xludf.DUMMYFUNCTION("""COMPUTED_VALUE"""),0.0)</f>
        <v>0</v>
      </c>
      <c r="H322" s="1"/>
      <c r="I322" s="1"/>
      <c r="J322" s="1"/>
      <c r="K322" s="1"/>
      <c r="L322" s="1"/>
      <c r="M322" s="1"/>
      <c r="N322" s="1"/>
      <c r="O322" s="1"/>
      <c r="P322" s="1"/>
      <c r="Q322" s="1"/>
      <c r="R322" s="1"/>
      <c r="S322" s="1"/>
      <c r="T322" s="1"/>
      <c r="U322" s="1"/>
      <c r="V322" s="1"/>
      <c r="W322" s="1"/>
      <c r="X322" s="1"/>
      <c r="Y322" s="1"/>
      <c r="Z322" s="1"/>
      <c r="AA322" s="1"/>
    </row>
    <row r="323" ht="15.75" customHeight="1">
      <c r="A323" s="1" t="str">
        <f>IFERROR(__xludf.DUMMYFUNCTION("""COMPUTED_VALUE"""),"The Stick of the Panda")</f>
        <v>The Stick of the Panda</v>
      </c>
      <c r="B323" s="1"/>
      <c r="C323" s="1" t="str">
        <f>IFERROR(__xludf.DUMMYFUNCTION("""COMPUTED_VALUE"""),"Club")</f>
        <v>Club</v>
      </c>
      <c r="D323" s="1" t="str">
        <f>IFERROR(__xludf.DUMMYFUNCTION("""COMPUTED_VALUE"""),"Hand")</f>
        <v>Hand</v>
      </c>
      <c r="E323" s="1">
        <f>IFERROR(__xludf.DUMMYFUNCTION("""COMPUTED_VALUE"""),400.0)</f>
        <v>400</v>
      </c>
      <c r="F323" s="1"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
        <f>IFERROR(__xludf.DUMMYFUNCTION("""COMPUTED_VALUE"""),7800000.0)</f>
        <v>7800000</v>
      </c>
      <c r="H323" s="1"/>
      <c r="I323" s="1"/>
      <c r="J323" s="1"/>
      <c r="K323" s="1"/>
      <c r="L323" s="1"/>
      <c r="M323" s="1"/>
      <c r="N323" s="1"/>
      <c r="O323" s="1"/>
      <c r="P323" s="1"/>
      <c r="Q323" s="1"/>
      <c r="R323" s="1"/>
      <c r="S323" s="1"/>
      <c r="T323" s="1"/>
      <c r="U323" s="1"/>
      <c r="V323" s="1"/>
      <c r="W323" s="1"/>
      <c r="X323" s="1"/>
      <c r="Y323" s="1"/>
      <c r="Z323" s="1"/>
      <c r="AA323" s="1"/>
    </row>
    <row r="324" ht="15.75" customHeight="1">
      <c r="A324" s="1" t="str">
        <f>IFERROR(__xludf.DUMMYFUNCTION("""COMPUTED_VALUE"""),"The Sword Of Death")</f>
        <v>The Sword Of Death</v>
      </c>
      <c r="B324" s="1"/>
      <c r="C324" s="1" t="str">
        <f>IFERROR(__xludf.DUMMYFUNCTION("""COMPUTED_VALUE"""),"Sword")</f>
        <v>Sword</v>
      </c>
      <c r="D324" s="1" t="str">
        <f>IFERROR(__xludf.DUMMYFUNCTION("""COMPUTED_VALUE"""),"Hand")</f>
        <v>Hand</v>
      </c>
      <c r="E324" s="1">
        <f>IFERROR(__xludf.DUMMYFUNCTION("""COMPUTED_VALUE"""),1.0)</f>
        <v>1</v>
      </c>
      <c r="F324" s="1" t="str">
        <f>IFERROR(__xludf.DUMMYFUNCTION("""COMPUTED_VALUE"""),"DMG: +250")</f>
        <v>DMG: +250</v>
      </c>
      <c r="G324" s="1">
        <f>IFERROR(__xludf.DUMMYFUNCTION("""COMPUTED_VALUE"""),0.0)</f>
        <v>0</v>
      </c>
      <c r="H324" s="1"/>
      <c r="I324" s="1"/>
      <c r="J324" s="1"/>
      <c r="K324" s="1"/>
      <c r="L324" s="1"/>
      <c r="M324" s="1"/>
      <c r="N324" s="1"/>
      <c r="O324" s="1"/>
      <c r="P324" s="1"/>
      <c r="Q324" s="1"/>
      <c r="R324" s="1"/>
      <c r="S324" s="1"/>
      <c r="T324" s="1"/>
      <c r="U324" s="1"/>
      <c r="V324" s="1"/>
      <c r="W324" s="1"/>
      <c r="X324" s="1"/>
      <c r="Y324" s="1"/>
      <c r="Z324" s="1"/>
      <c r="AA324" s="1"/>
    </row>
    <row r="325" ht="15.75" customHeight="1">
      <c r="A325" s="1" t="str">
        <f>IFERROR(__xludf.DUMMYFUNCTION("""COMPUTED_VALUE"""),"The Sword Of Easter's Gathering (Exclusive)")</f>
        <v>The Sword Of Easter's Gathering (Exclusive)</v>
      </c>
      <c r="B325" s="1"/>
      <c r="C325" s="1" t="str">
        <f>IFERROR(__xludf.DUMMYFUNCTION("""COMPUTED_VALUE"""),"Sword")</f>
        <v>Sword</v>
      </c>
      <c r="D325" s="1" t="str">
        <f>IFERROR(__xludf.DUMMYFUNCTION("""COMPUTED_VALUE"""),"Hand")</f>
        <v>Hand</v>
      </c>
      <c r="E325" s="1">
        <f>IFERROR(__xludf.DUMMYFUNCTION("""COMPUTED_VALUE"""),200.0)</f>
        <v>200</v>
      </c>
      <c r="F325" s="1"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
        <f>IFERROR(__xludf.DUMMYFUNCTION("""COMPUTED_VALUE"""),7800000.0)</f>
        <v>7800000</v>
      </c>
      <c r="H325" s="1"/>
      <c r="I325" s="1"/>
      <c r="J325" s="1"/>
      <c r="K325" s="1"/>
      <c r="L325" s="1"/>
      <c r="M325" s="1"/>
      <c r="N325" s="1"/>
      <c r="O325" s="1"/>
      <c r="P325" s="1"/>
      <c r="Q325" s="1"/>
      <c r="R325" s="1"/>
      <c r="S325" s="1"/>
      <c r="T325" s="1"/>
      <c r="U325" s="1"/>
      <c r="V325" s="1"/>
      <c r="W325" s="1"/>
      <c r="X325" s="1"/>
      <c r="Y325" s="1"/>
      <c r="Z325" s="1"/>
      <c r="AA325" s="1"/>
    </row>
    <row r="326" ht="15.75" customHeight="1">
      <c r="A326" s="1" t="str">
        <f>IFERROR(__xludf.DUMMYFUNCTION("""COMPUTED_VALUE"""),"The Sword of Manannán (Exclusive)")</f>
        <v>The Sword of Manannán (Exclusive)</v>
      </c>
      <c r="B326" s="1" t="str">
        <f>IFERROR(__xludf.DUMMYFUNCTION("""COMPUTED_VALUE"""),"Lugh's Sword he wielded in battle")</f>
        <v>Lugh's Sword he wielded in battle</v>
      </c>
      <c r="C326" s="1" t="str">
        <f>IFERROR(__xludf.DUMMYFUNCTION("""COMPUTED_VALUE"""),"Sword")</f>
        <v>Sword</v>
      </c>
      <c r="D326" s="1" t="str">
        <f>IFERROR(__xludf.DUMMYFUNCTION("""COMPUTED_VALUE"""),"Hand")</f>
        <v>Hand</v>
      </c>
      <c r="E326" s="1">
        <f>IFERROR(__xludf.DUMMYFUNCTION("""COMPUTED_VALUE"""),200.0)</f>
        <v>200</v>
      </c>
      <c r="F326" s="1" t="str">
        <f>IFERROR(__xludf.DUMMYFUNCTION("""COMPUTED_VALUE"""),"DMG: +75000, Celestial DMG: +75000 ++Intimidation and Charisma stat is double while equipped")</f>
        <v>DMG: +75000, Celestial DMG: +75000 ++Intimidation and Charisma stat is double while equipped</v>
      </c>
      <c r="G326" s="1">
        <f>IFERROR(__xludf.DUMMYFUNCTION("""COMPUTED_VALUE"""),4.485E8)</f>
        <v>448500000</v>
      </c>
      <c r="H326" s="1"/>
      <c r="I326" s="1"/>
      <c r="J326" s="1"/>
      <c r="K326" s="1"/>
      <c r="L326" s="1"/>
      <c r="M326" s="1"/>
      <c r="N326" s="1"/>
      <c r="O326" s="1"/>
      <c r="P326" s="1"/>
      <c r="Q326" s="1"/>
      <c r="R326" s="1"/>
      <c r="S326" s="1"/>
      <c r="T326" s="1"/>
      <c r="U326" s="1"/>
      <c r="V326" s="1"/>
      <c r="W326" s="1"/>
      <c r="X326" s="1"/>
      <c r="Y326" s="1"/>
      <c r="Z326" s="1"/>
      <c r="AA326" s="1"/>
    </row>
    <row r="327" ht="15.75" customHeight="1">
      <c r="A327" s="1" t="str">
        <f>IFERROR(__xludf.DUMMYFUNCTION("""COMPUTED_VALUE"""),"The Waking Ash of the Serpent’s Pendent")</f>
        <v>The Waking Ash of the Serpent’s Pendent</v>
      </c>
      <c r="B327" s="1"/>
      <c r="C327" s="1"/>
      <c r="D327" s="1" t="str">
        <f>IFERROR(__xludf.DUMMYFUNCTION("""COMPUTED_VALUE"""),"Neck")</f>
        <v>Neck</v>
      </c>
      <c r="E327" s="1">
        <f>IFERROR(__xludf.DUMMYFUNCTION("""COMPUTED_VALUE"""),1.0)</f>
        <v>1</v>
      </c>
      <c r="F327" s="1"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
        <f>IFERROR(__xludf.DUMMYFUNCTION("""COMPUTED_VALUE"""),0.0)</f>
        <v>0</v>
      </c>
      <c r="H327" s="1"/>
      <c r="I327" s="1"/>
      <c r="J327" s="1"/>
      <c r="K327" s="1"/>
      <c r="L327" s="1"/>
      <c r="M327" s="1"/>
      <c r="N327" s="1"/>
      <c r="O327" s="1"/>
      <c r="P327" s="1"/>
      <c r="Q327" s="1"/>
      <c r="R327" s="1"/>
      <c r="S327" s="1"/>
      <c r="T327" s="1"/>
      <c r="U327" s="1"/>
      <c r="V327" s="1"/>
      <c r="W327" s="1"/>
      <c r="X327" s="1"/>
      <c r="Y327" s="1"/>
      <c r="Z327" s="1"/>
      <c r="AA327" s="1"/>
    </row>
    <row r="328" ht="15.75" customHeight="1">
      <c r="A328" s="1" t="str">
        <f>IFERROR(__xludf.DUMMYFUNCTION("""COMPUTED_VALUE"""),"The Wand of Aquatic Beasts")</f>
        <v>The Wand of Aquatic Beasts</v>
      </c>
      <c r="B328" s="1"/>
      <c r="C328" s="1" t="str">
        <f>IFERROR(__xludf.DUMMYFUNCTION("""COMPUTED_VALUE"""),"Wand")</f>
        <v>Wand</v>
      </c>
      <c r="D328" s="1" t="str">
        <f>IFERROR(__xludf.DUMMYFUNCTION("""COMPUTED_VALUE"""),"Hand")</f>
        <v>Hand</v>
      </c>
      <c r="E328" s="1">
        <f>IFERROR(__xludf.DUMMYFUNCTION("""COMPUTED_VALUE"""),1.0)</f>
        <v>1</v>
      </c>
      <c r="F328" s="1" t="str">
        <f>IFERROR(__xludf.DUMMYFUNCTION("""COMPUTED_VALUE""")," ++All water and storm spells are decreased by half sp.")</f>
        <v> ++All water and storm spells are decreased by half sp.</v>
      </c>
      <c r="G328" s="1">
        <f>IFERROR(__xludf.DUMMYFUNCTION("""COMPUTED_VALUE"""),0.0)</f>
        <v>0</v>
      </c>
      <c r="H328" s="1"/>
      <c r="I328" s="1"/>
      <c r="J328" s="1"/>
      <c r="K328" s="1"/>
      <c r="L328" s="1"/>
      <c r="M328" s="1"/>
      <c r="N328" s="1"/>
      <c r="O328" s="1"/>
      <c r="P328" s="1"/>
      <c r="Q328" s="1"/>
      <c r="R328" s="1"/>
      <c r="S328" s="1"/>
      <c r="T328" s="1"/>
      <c r="U328" s="1"/>
      <c r="V328" s="1"/>
      <c r="W328" s="1"/>
      <c r="X328" s="1"/>
      <c r="Y328" s="1"/>
      <c r="Z328" s="1"/>
      <c r="AA328" s="1"/>
    </row>
    <row r="329" ht="15.75" customHeight="1">
      <c r="A329" s="1" t="str">
        <f>IFERROR(__xludf.DUMMYFUNCTION("""COMPUTED_VALUE"""),"Titanic Two Hander")</f>
        <v>Titanic Two Hander</v>
      </c>
      <c r="B329" s="1"/>
      <c r="C329" s="1" t="str">
        <f>IFERROR(__xludf.DUMMYFUNCTION("""COMPUTED_VALUE"""),"Sword")</f>
        <v>Sword</v>
      </c>
      <c r="D329" s="1" t="str">
        <f>IFERROR(__xludf.DUMMYFUNCTION("""COMPUTED_VALUE"""),"Hand")</f>
        <v>Hand</v>
      </c>
      <c r="E329" s="1">
        <f>IFERROR(__xludf.DUMMYFUNCTION("""COMPUTED_VALUE"""),200.0)</f>
        <v>200</v>
      </c>
      <c r="F329" s="1" t="str">
        <f>IFERROR(__xludf.DUMMYFUNCTION("""COMPUTED_VALUE"""),"DMG: +10000")</f>
        <v>DMG: +10000</v>
      </c>
      <c r="G329" s="1">
        <f>IFERROR(__xludf.DUMMYFUNCTION("""COMPUTED_VALUE"""),1900000.0)</f>
        <v>1900000</v>
      </c>
      <c r="H329" s="1"/>
      <c r="I329" s="1"/>
      <c r="J329" s="1"/>
      <c r="K329" s="1"/>
      <c r="L329" s="1"/>
      <c r="M329" s="1"/>
      <c r="N329" s="1"/>
      <c r="O329" s="1"/>
      <c r="P329" s="1"/>
      <c r="Q329" s="1"/>
      <c r="R329" s="1"/>
      <c r="S329" s="1"/>
      <c r="T329" s="1"/>
      <c r="U329" s="1"/>
      <c r="V329" s="1"/>
      <c r="W329" s="1"/>
      <c r="X329" s="1"/>
      <c r="Y329" s="1"/>
      <c r="Z329" s="1"/>
      <c r="AA329" s="1"/>
    </row>
    <row r="330" ht="15.75" customHeight="1">
      <c r="A330" s="1" t="str">
        <f>IFERROR(__xludf.DUMMYFUNCTION("""COMPUTED_VALUE"""),"Top Hat")</f>
        <v>Top Hat</v>
      </c>
      <c r="B330" s="1" t="str">
        <f>IFERROR(__xludf.DUMMYFUNCTION("""COMPUTED_VALUE"""),"nothing like good ol abraham")</f>
        <v>nothing like good ol abraham</v>
      </c>
      <c r="C330" s="1"/>
      <c r="D330" s="1" t="str">
        <f>IFERROR(__xludf.DUMMYFUNCTION("""COMPUTED_VALUE"""),"Head")</f>
        <v>Head</v>
      </c>
      <c r="E330" s="1">
        <f>IFERROR(__xludf.DUMMYFUNCTION("""COMPUTED_VALUE"""),1.0)</f>
        <v>1</v>
      </c>
      <c r="F330" s="1" t="str">
        <f>IFERROR(__xludf.DUMMYFUNCTION("""COMPUTED_VALUE"""),"DEF: +1")</f>
        <v>DEF: +1</v>
      </c>
      <c r="G330" s="1">
        <f>IFERROR(__xludf.DUMMYFUNCTION("""COMPUTED_VALUE"""),0.0)</f>
        <v>0</v>
      </c>
      <c r="H330" s="1"/>
      <c r="I330" s="1"/>
      <c r="J330" s="1"/>
      <c r="K330" s="1"/>
      <c r="L330" s="1"/>
      <c r="M330" s="1"/>
      <c r="N330" s="1"/>
      <c r="O330" s="1"/>
      <c r="P330" s="1"/>
      <c r="Q330" s="1"/>
      <c r="R330" s="1"/>
      <c r="S330" s="1"/>
      <c r="T330" s="1"/>
      <c r="U330" s="1"/>
      <c r="V330" s="1"/>
      <c r="W330" s="1"/>
      <c r="X330" s="1"/>
      <c r="Y330" s="1"/>
      <c r="Z330" s="1"/>
      <c r="AA330" s="1"/>
    </row>
    <row r="331" ht="15.75" customHeight="1">
      <c r="A331" s="1" t="str">
        <f>IFERROR(__xludf.DUMMYFUNCTION("""COMPUTED_VALUE"""),"Trident")</f>
        <v>Trident</v>
      </c>
      <c r="B331" s="1"/>
      <c r="C331" s="1" t="str">
        <f>IFERROR(__xludf.DUMMYFUNCTION("""COMPUTED_VALUE"""),"Spear")</f>
        <v>Spear</v>
      </c>
      <c r="D331" s="1" t="str">
        <f>IFERROR(__xludf.DUMMYFUNCTION("""COMPUTED_VALUE"""),"Hand")</f>
        <v>Hand</v>
      </c>
      <c r="E331" s="1">
        <f>IFERROR(__xludf.DUMMYFUNCTION("""COMPUTED_VALUE"""),20.0)</f>
        <v>20</v>
      </c>
      <c r="F331" s="1" t="str">
        <f>IFERROR(__xludf.DUMMYFUNCTION("""COMPUTED_VALUE"""),"DMG: +600")</f>
        <v>DMG: +600</v>
      </c>
      <c r="G331" s="1">
        <f>IFERROR(__xludf.DUMMYFUNCTION("""COMPUTED_VALUE"""),1000.0)</f>
        <v>1000</v>
      </c>
      <c r="H331" s="1"/>
      <c r="I331" s="1"/>
      <c r="J331" s="1"/>
      <c r="K331" s="1"/>
      <c r="L331" s="1"/>
      <c r="M331" s="1"/>
      <c r="N331" s="1"/>
      <c r="O331" s="1"/>
      <c r="P331" s="1"/>
      <c r="Q331" s="1"/>
      <c r="R331" s="1"/>
      <c r="S331" s="1"/>
      <c r="T331" s="1"/>
      <c r="U331" s="1"/>
      <c r="V331" s="1"/>
      <c r="W331" s="1"/>
      <c r="X331" s="1"/>
      <c r="Y331" s="1"/>
      <c r="Z331" s="1"/>
      <c r="AA331" s="1"/>
    </row>
    <row r="332" ht="15.75" customHeight="1">
      <c r="A332" s="1" t="str">
        <f>IFERROR(__xludf.DUMMYFUNCTION("""COMPUTED_VALUE"""),"Tundra Staff")</f>
        <v>Tundra Staff</v>
      </c>
      <c r="B332" s="1"/>
      <c r="C332" s="1" t="str">
        <f>IFERROR(__xludf.DUMMYFUNCTION("""COMPUTED_VALUE"""),"Staff")</f>
        <v>Staff</v>
      </c>
      <c r="D332" s="1" t="str">
        <f>IFERROR(__xludf.DUMMYFUNCTION("""COMPUTED_VALUE"""),"Hand")</f>
        <v>Hand</v>
      </c>
      <c r="E332" s="1">
        <f>IFERROR(__xludf.DUMMYFUNCTION("""COMPUTED_VALUE"""),200.0)</f>
        <v>200</v>
      </c>
      <c r="F332" s="1" t="str">
        <f>IFERROR(__xludf.DUMMYFUNCTION("""COMPUTED_VALUE"""),", Earth : +10000 ++X2 Earth damage. +-Cannot be duplicated")</f>
        <v>, Earth : +10000 ++X2 Earth damage. +-Cannot be duplicated</v>
      </c>
      <c r="G332" s="1">
        <f>IFERROR(__xludf.DUMMYFUNCTION("""COMPUTED_VALUE"""),1900000.0)</f>
        <v>1900000</v>
      </c>
      <c r="H332" s="1"/>
      <c r="I332" s="1"/>
      <c r="J332" s="1"/>
      <c r="K332" s="1"/>
      <c r="L332" s="1"/>
      <c r="M332" s="1"/>
      <c r="N332" s="1"/>
      <c r="O332" s="1"/>
      <c r="P332" s="1"/>
      <c r="Q332" s="1"/>
      <c r="R332" s="1"/>
      <c r="S332" s="1"/>
      <c r="T332" s="1"/>
      <c r="U332" s="1"/>
      <c r="V332" s="1"/>
      <c r="W332" s="1"/>
      <c r="X332" s="1"/>
      <c r="Y332" s="1"/>
      <c r="Z332" s="1"/>
      <c r="AA332" s="1"/>
    </row>
    <row r="333" ht="15.75" customHeight="1">
      <c r="A333" s="1" t="str">
        <f>IFERROR(__xludf.DUMMYFUNCTION("""COMPUTED_VALUE"""),"Twilight Bow")</f>
        <v>Twilight Bow</v>
      </c>
      <c r="B333" s="1"/>
      <c r="C333" s="1" t="str">
        <f>IFERROR(__xludf.DUMMYFUNCTION("""COMPUTED_VALUE"""),"Bow")</f>
        <v>Bow</v>
      </c>
      <c r="D333" s="1" t="str">
        <f>IFERROR(__xludf.DUMMYFUNCTION("""COMPUTED_VALUE"""),"Hand")</f>
        <v>Hand</v>
      </c>
      <c r="E333" s="1">
        <f>IFERROR(__xludf.DUMMYFUNCTION("""COMPUTED_VALUE"""),400.0)</f>
        <v>400</v>
      </c>
      <c r="F333" s="1" t="str">
        <f>IFERROR(__xludf.DUMMYFUNCTION("""COMPUTED_VALUE"""),"DMG: +10000, Twilight DMG: +10000")</f>
        <v>DMG: +10000, Twilight DMG: +10000</v>
      </c>
      <c r="G333" s="1">
        <f>IFERROR(__xludf.DUMMYFUNCTION("""COMPUTED_VALUE"""),7800000.0)</f>
        <v>7800000</v>
      </c>
      <c r="H333" s="1"/>
      <c r="I333" s="1"/>
      <c r="J333" s="1"/>
      <c r="K333" s="1"/>
      <c r="L333" s="1"/>
      <c r="M333" s="1"/>
      <c r="N333" s="1"/>
      <c r="O333" s="1"/>
      <c r="P333" s="1"/>
      <c r="Q333" s="1"/>
      <c r="R333" s="1"/>
      <c r="S333" s="1"/>
      <c r="T333" s="1"/>
      <c r="U333" s="1"/>
      <c r="V333" s="1"/>
      <c r="W333" s="1"/>
      <c r="X333" s="1"/>
      <c r="Y333" s="1"/>
      <c r="Z333" s="1"/>
      <c r="AA333" s="1"/>
    </row>
    <row r="334" ht="15.75" customHeight="1">
      <c r="A334" s="1" t="str">
        <f>IFERROR(__xludf.DUMMYFUNCTION("""COMPUTED_VALUE"""),"Twilight Crystal Sword of Evil's Bane")</f>
        <v>Twilight Crystal Sword of Evil's Bane</v>
      </c>
      <c r="B334" s="1" t="str">
        <f>IFERROR(__xludf.DUMMYFUNCTION("""COMPUTED_VALUE"""),"Halloween Event Exclusive Item")</f>
        <v>Halloween Event Exclusive Item</v>
      </c>
      <c r="C334" s="1" t="str">
        <f>IFERROR(__xludf.DUMMYFUNCTION("""COMPUTED_VALUE"""),"Sword")</f>
        <v>Sword</v>
      </c>
      <c r="D334" s="1" t="str">
        <f>IFERROR(__xludf.DUMMYFUNCTION("""COMPUTED_VALUE"""),"Hand")</f>
        <v>Hand</v>
      </c>
      <c r="E334" s="1">
        <f>IFERROR(__xludf.DUMMYFUNCTION("""COMPUTED_VALUE"""),200.0)</f>
        <v>200</v>
      </c>
      <c r="F334" s="1"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
        <f>IFERROR(__xludf.DUMMYFUNCTION("""COMPUTED_VALUE"""),4.95E7)</f>
        <v>49500000</v>
      </c>
      <c r="H334" s="1"/>
      <c r="I334" s="1"/>
      <c r="J334" s="1"/>
      <c r="K334" s="1"/>
      <c r="L334" s="1"/>
      <c r="M334" s="1"/>
      <c r="N334" s="1"/>
      <c r="O334" s="1"/>
      <c r="P334" s="1"/>
      <c r="Q334" s="1"/>
      <c r="R334" s="1"/>
      <c r="S334" s="1"/>
      <c r="T334" s="1"/>
      <c r="U334" s="1"/>
      <c r="V334" s="1"/>
      <c r="W334" s="1"/>
      <c r="X334" s="1"/>
      <c r="Y334" s="1"/>
      <c r="Z334" s="1"/>
      <c r="AA334" s="1"/>
    </row>
    <row r="335" ht="15.75" customHeight="1">
      <c r="A335" s="1" t="str">
        <f>IFERROR(__xludf.DUMMYFUNCTION("""COMPUTED_VALUE"""),"Twilight Sword")</f>
        <v>Twilight Sword</v>
      </c>
      <c r="B335" s="1"/>
      <c r="C335" s="1" t="str">
        <f>IFERROR(__xludf.DUMMYFUNCTION("""COMPUTED_VALUE"""),"Sword")</f>
        <v>Sword</v>
      </c>
      <c r="D335" s="1" t="str">
        <f>IFERROR(__xludf.DUMMYFUNCTION("""COMPUTED_VALUE"""),"Hand")</f>
        <v>Hand</v>
      </c>
      <c r="E335" s="1">
        <f>IFERROR(__xludf.DUMMYFUNCTION("""COMPUTED_VALUE"""),20.0)</f>
        <v>20</v>
      </c>
      <c r="F335" s="1" t="str">
        <f>IFERROR(__xludf.DUMMYFUNCTION("""COMPUTED_VALUE"""),"DMG: +500, Twilight DMG: +200")</f>
        <v>DMG: +500, Twilight DMG: +200</v>
      </c>
      <c r="G335" s="1">
        <f>IFERROR(__xludf.DUMMYFUNCTION("""COMPUTED_VALUE"""),1000.0)</f>
        <v>1000</v>
      </c>
      <c r="H335" s="1"/>
      <c r="I335" s="1"/>
      <c r="J335" s="1"/>
      <c r="K335" s="1"/>
      <c r="L335" s="1"/>
      <c r="M335" s="1"/>
      <c r="N335" s="1"/>
      <c r="O335" s="1"/>
      <c r="P335" s="1"/>
      <c r="Q335" s="1"/>
      <c r="R335" s="1"/>
      <c r="S335" s="1"/>
      <c r="T335" s="1"/>
      <c r="U335" s="1"/>
      <c r="V335" s="1"/>
      <c r="W335" s="1"/>
      <c r="X335" s="1"/>
      <c r="Y335" s="1"/>
      <c r="Z335" s="1"/>
      <c r="AA335" s="1"/>
    </row>
    <row r="336" ht="15.75" customHeight="1">
      <c r="A336" s="1" t="str">
        <f>IFERROR(__xludf.DUMMYFUNCTION("""COMPUTED_VALUE"""),"Unknown Amulet")</f>
        <v>Unknown Amulet</v>
      </c>
      <c r="B336" s="1"/>
      <c r="C336" s="1"/>
      <c r="D336" s="1" t="str">
        <f>IFERROR(__xludf.DUMMYFUNCTION("""COMPUTED_VALUE"""),"Neck")</f>
        <v>Neck</v>
      </c>
      <c r="E336" s="1">
        <f>IFERROR(__xludf.DUMMYFUNCTION("""COMPUTED_VALUE"""),1.0)</f>
        <v>1</v>
      </c>
      <c r="F336" s="1"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
        <f>IFERROR(__xludf.DUMMYFUNCTION("""COMPUTED_VALUE"""),0.0)</f>
        <v>0</v>
      </c>
      <c r="H336" s="1"/>
      <c r="I336" s="1"/>
      <c r="J336" s="1"/>
      <c r="K336" s="1"/>
      <c r="L336" s="1"/>
      <c r="M336" s="1"/>
      <c r="N336" s="1"/>
      <c r="O336" s="1"/>
      <c r="P336" s="1"/>
      <c r="Q336" s="1"/>
      <c r="R336" s="1"/>
      <c r="S336" s="1"/>
      <c r="T336" s="1"/>
      <c r="U336" s="1"/>
      <c r="V336" s="1"/>
      <c r="W336" s="1"/>
      <c r="X336" s="1"/>
      <c r="Y336" s="1"/>
      <c r="Z336" s="1"/>
      <c r="AA336" s="1"/>
    </row>
    <row r="337" ht="15.75" customHeight="1">
      <c r="A337" s="1" t="str">
        <f>IFERROR(__xludf.DUMMYFUNCTION("""COMPUTED_VALUE"""),"Vambraces of Waking Waters")</f>
        <v>Vambraces of Waking Waters</v>
      </c>
      <c r="B337" s="1"/>
      <c r="C337" s="1"/>
      <c r="D337" s="1" t="str">
        <f>IFERROR(__xludf.DUMMYFUNCTION("""COMPUTED_VALUE"""),"Arms")</f>
        <v>Arms</v>
      </c>
      <c r="E337" s="1">
        <f>IFERROR(__xludf.DUMMYFUNCTION("""COMPUTED_VALUE"""),200.0)</f>
        <v>200</v>
      </c>
      <c r="F337" s="1" t="str">
        <f>IFERROR(__xludf.DUMMYFUNCTION("""COMPUTED_VALUE"""),"DEF: +5000, Water DEF: +5000 ++X4 additional Water damage.")</f>
        <v>DEF: +5000, Water DEF: +5000 ++X4 additional Water damage.</v>
      </c>
      <c r="G337" s="1">
        <f>IFERROR(__xludf.DUMMYFUNCTION("""COMPUTED_VALUE"""),1900000.0)</f>
        <v>1900000</v>
      </c>
      <c r="H337" s="1"/>
      <c r="I337" s="1"/>
      <c r="J337" s="1"/>
      <c r="K337" s="1"/>
      <c r="L337" s="1"/>
      <c r="M337" s="1"/>
      <c r="N337" s="1"/>
      <c r="O337" s="1"/>
      <c r="P337" s="1"/>
      <c r="Q337" s="1"/>
      <c r="R337" s="1"/>
      <c r="S337" s="1"/>
      <c r="T337" s="1"/>
      <c r="U337" s="1"/>
      <c r="V337" s="1"/>
      <c r="W337" s="1"/>
      <c r="X337" s="1"/>
      <c r="Y337" s="1"/>
      <c r="Z337" s="1"/>
      <c r="AA337" s="1"/>
    </row>
    <row r="338" ht="15.75" customHeight="1">
      <c r="A338" s="1" t="str">
        <f>IFERROR(__xludf.DUMMYFUNCTION("""COMPUTED_VALUE"""),"Viking Helm")</f>
        <v>Viking Helm</v>
      </c>
      <c r="B338" s="1"/>
      <c r="C338" s="1"/>
      <c r="D338" s="1" t="str">
        <f>IFERROR(__xludf.DUMMYFUNCTION("""COMPUTED_VALUE"""),"Head")</f>
        <v>Head</v>
      </c>
      <c r="E338" s="1">
        <f>IFERROR(__xludf.DUMMYFUNCTION("""COMPUTED_VALUE"""),1.0)</f>
        <v>1</v>
      </c>
      <c r="F338" s="1" t="str">
        <f>IFERROR(__xludf.DUMMYFUNCTION("""COMPUTED_VALUE"""),"DEF: +200 (Viking Set)")</f>
        <v>DEF: +200 (Viking Set)</v>
      </c>
      <c r="G338" s="1">
        <f>IFERROR(__xludf.DUMMYFUNCTION("""COMPUTED_VALUE"""),0.0)</f>
        <v>0</v>
      </c>
      <c r="H338" s="1"/>
      <c r="I338" s="1"/>
      <c r="J338" s="1"/>
      <c r="K338" s="1"/>
      <c r="L338" s="1"/>
      <c r="M338" s="1"/>
      <c r="N338" s="1"/>
      <c r="O338" s="1"/>
      <c r="P338" s="1"/>
      <c r="Q338" s="1"/>
      <c r="R338" s="1"/>
      <c r="S338" s="1"/>
      <c r="T338" s="1"/>
      <c r="U338" s="1"/>
      <c r="V338" s="1"/>
      <c r="W338" s="1"/>
      <c r="X338" s="1"/>
      <c r="Y338" s="1"/>
      <c r="Z338" s="1"/>
      <c r="AA338" s="1"/>
    </row>
    <row r="339" ht="15.75" customHeight="1">
      <c r="A339" s="1" t="str">
        <f>IFERROR(__xludf.DUMMYFUNCTION("""COMPUTED_VALUE"""),"Void sword")</f>
        <v>Void sword</v>
      </c>
      <c r="B339" s="1"/>
      <c r="C339" s="1" t="str">
        <f>IFERROR(__xludf.DUMMYFUNCTION("""COMPUTED_VALUE"""),"Sword")</f>
        <v>Sword</v>
      </c>
      <c r="D339" s="1" t="str">
        <f>IFERROR(__xludf.DUMMYFUNCTION("""COMPUTED_VALUE"""),"Hand")</f>
        <v>Hand</v>
      </c>
      <c r="E339" s="1">
        <f>IFERROR(__xludf.DUMMYFUNCTION("""COMPUTED_VALUE"""),200.0)</f>
        <v>200</v>
      </c>
      <c r="F339" s="1"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
        <f>IFERROR(__xludf.DUMMYFUNCTION("""COMPUTED_VALUE"""),0.0)</f>
        <v>0</v>
      </c>
      <c r="H339" s="1"/>
      <c r="I339" s="1"/>
      <c r="J339" s="1"/>
      <c r="K339" s="1"/>
      <c r="L339" s="1"/>
      <c r="M339" s="1"/>
      <c r="N339" s="1"/>
      <c r="O339" s="1"/>
      <c r="P339" s="1"/>
      <c r="Q339" s="1"/>
      <c r="R339" s="1"/>
      <c r="S339" s="1"/>
      <c r="T339" s="1"/>
      <c r="U339" s="1"/>
      <c r="V339" s="1"/>
      <c r="W339" s="1"/>
      <c r="X339" s="1"/>
      <c r="Y339" s="1"/>
      <c r="Z339" s="1"/>
      <c r="AA339" s="1"/>
    </row>
    <row r="340" ht="15.75" customHeight="1">
      <c r="A340" s="1" t="str">
        <f>IFERROR(__xludf.DUMMYFUNCTION("""COMPUTED_VALUE"""),"Volcanic Sword of Destruction")</f>
        <v>Volcanic Sword of Destruction</v>
      </c>
      <c r="B340" s="1"/>
      <c r="C340" s="1" t="str">
        <f>IFERROR(__xludf.DUMMYFUNCTION("""COMPUTED_VALUE"""),"Sword")</f>
        <v>Sword</v>
      </c>
      <c r="D340" s="1" t="str">
        <f>IFERROR(__xludf.DUMMYFUNCTION("""COMPUTED_VALUE"""),"Hand")</f>
        <v>Hand</v>
      </c>
      <c r="E340" s="1">
        <f>IFERROR(__xludf.DUMMYFUNCTION("""COMPUTED_VALUE"""),200.0)</f>
        <v>200</v>
      </c>
      <c r="F340" s="1"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
        <f>IFERROR(__xludf.DUMMYFUNCTION("""COMPUTED_VALUE"""),4.995E9)</f>
        <v>4995000000</v>
      </c>
      <c r="H340" s="1"/>
      <c r="I340" s="1"/>
      <c r="J340" s="1"/>
      <c r="K340" s="1"/>
      <c r="L340" s="1"/>
      <c r="M340" s="1"/>
      <c r="N340" s="1"/>
      <c r="O340" s="1"/>
      <c r="P340" s="1"/>
      <c r="Q340" s="1"/>
      <c r="R340" s="1"/>
      <c r="S340" s="1"/>
      <c r="T340" s="1"/>
      <c r="U340" s="1"/>
      <c r="V340" s="1"/>
      <c r="W340" s="1"/>
      <c r="X340" s="1"/>
      <c r="Y340" s="1"/>
      <c r="Z340" s="1"/>
      <c r="AA340" s="1"/>
    </row>
    <row r="341" ht="15.75" customHeight="1">
      <c r="A341" s="1" t="str">
        <f>IFERROR(__xludf.DUMMYFUNCTION("""COMPUTED_VALUE"""),"Wand of Grey")</f>
        <v>Wand of Grey</v>
      </c>
      <c r="B341" s="1"/>
      <c r="C341" s="1" t="str">
        <f>IFERROR(__xludf.DUMMYFUNCTION("""COMPUTED_VALUE"""),"Wand")</f>
        <v>Wand</v>
      </c>
      <c r="D341" s="1" t="str">
        <f>IFERROR(__xludf.DUMMYFUNCTION("""COMPUTED_VALUE"""),"Hand")</f>
        <v>Hand</v>
      </c>
      <c r="E341" s="1">
        <f>IFERROR(__xludf.DUMMYFUNCTION("""COMPUTED_VALUE"""),1.0)</f>
        <v>1</v>
      </c>
      <c r="F341" s="1" t="str">
        <f>IFERROR(__xludf.DUMMYFUNCTION("""COMPUTED_VALUE""")," ++X2 more damage to all spells. +-Cannot be duplicated.")</f>
        <v> ++X2 more damage to all spells. +-Cannot be duplicated.</v>
      </c>
      <c r="G341" s="1">
        <f>IFERROR(__xludf.DUMMYFUNCTION("""COMPUTED_VALUE"""),0.0)</f>
        <v>0</v>
      </c>
      <c r="H341" s="1"/>
      <c r="I341" s="1"/>
      <c r="J341" s="1"/>
      <c r="K341" s="1"/>
      <c r="L341" s="1"/>
      <c r="M341" s="1"/>
      <c r="N341" s="1"/>
      <c r="O341" s="1"/>
      <c r="P341" s="1"/>
      <c r="Q341" s="1"/>
      <c r="R341" s="1"/>
      <c r="S341" s="1"/>
      <c r="T341" s="1"/>
      <c r="U341" s="1"/>
      <c r="V341" s="1"/>
      <c r="W341" s="1"/>
      <c r="X341" s="1"/>
      <c r="Y341" s="1"/>
      <c r="Z341" s="1"/>
      <c r="AA341" s="1"/>
    </row>
    <row r="342" ht="15.75" customHeight="1">
      <c r="A342" s="1" t="str">
        <f>IFERROR(__xludf.DUMMYFUNCTION("""COMPUTED_VALUE"""),"Wand of Multi-Color")</f>
        <v>Wand of Multi-Color</v>
      </c>
      <c r="B342" s="1"/>
      <c r="C342" s="1" t="str">
        <f>IFERROR(__xludf.DUMMYFUNCTION("""COMPUTED_VALUE"""),"Wand")</f>
        <v>Wand</v>
      </c>
      <c r="D342" s="1" t="str">
        <f>IFERROR(__xludf.DUMMYFUNCTION("""COMPUTED_VALUE"""),"Hand")</f>
        <v>Hand</v>
      </c>
      <c r="E342" s="1">
        <f>IFERROR(__xludf.DUMMYFUNCTION("""COMPUTED_VALUE"""),1.0)</f>
        <v>1</v>
      </c>
      <c r="F342" s="1" t="str">
        <f>IFERROR(__xludf.DUMMYFUNCTION("""COMPUTED_VALUE""")," ++All types of spells are reduced by half sp. +-Cannot be duplicated. +-Can only equip one")</f>
        <v> ++All types of spells are reduced by half sp. +-Cannot be duplicated. +-Can only equip one</v>
      </c>
      <c r="G342" s="1">
        <f>IFERROR(__xludf.DUMMYFUNCTION("""COMPUTED_VALUE"""),0.0)</f>
        <v>0</v>
      </c>
      <c r="H342" s="1"/>
      <c r="I342" s="1"/>
      <c r="J342" s="1"/>
      <c r="K342" s="1"/>
      <c r="L342" s="1"/>
      <c r="M342" s="1"/>
      <c r="N342" s="1"/>
      <c r="O342" s="1"/>
      <c r="P342" s="1"/>
      <c r="Q342" s="1"/>
      <c r="R342" s="1"/>
      <c r="S342" s="1"/>
      <c r="T342" s="1"/>
      <c r="U342" s="1"/>
      <c r="V342" s="1"/>
      <c r="W342" s="1"/>
      <c r="X342" s="1"/>
      <c r="Y342" s="1"/>
      <c r="Z342" s="1"/>
      <c r="AA342" s="1"/>
    </row>
    <row r="343" ht="15.75" customHeight="1">
      <c r="A343" s="1" t="str">
        <f>IFERROR(__xludf.DUMMYFUNCTION("""COMPUTED_VALUE"""),"Warlock’s Armored Chestplate")</f>
        <v>Warlock’s Armored Chestplate</v>
      </c>
      <c r="B343" s="1"/>
      <c r="C343" s="1"/>
      <c r="D343" s="1" t="str">
        <f>IFERROR(__xludf.DUMMYFUNCTION("""COMPUTED_VALUE"""),"Torso")</f>
        <v>Torso</v>
      </c>
      <c r="E343" s="1">
        <f>IFERROR(__xludf.DUMMYFUNCTION("""COMPUTED_VALUE"""),100.0)</f>
        <v>100</v>
      </c>
      <c r="F343" s="1"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
        <f>IFERROR(__xludf.DUMMYFUNCTION("""COMPUTED_VALUE"""),450000.0)</f>
        <v>450000</v>
      </c>
      <c r="H343" s="1"/>
      <c r="I343" s="1"/>
      <c r="J343" s="1"/>
      <c r="K343" s="1"/>
      <c r="L343" s="1"/>
      <c r="M343" s="1"/>
      <c r="N343" s="1"/>
      <c r="O343" s="1"/>
      <c r="P343" s="1"/>
      <c r="Q343" s="1"/>
      <c r="R343" s="1"/>
      <c r="S343" s="1"/>
      <c r="T343" s="1"/>
      <c r="U343" s="1"/>
      <c r="V343" s="1"/>
      <c r="W343" s="1"/>
      <c r="X343" s="1"/>
      <c r="Y343" s="1"/>
      <c r="Z343" s="1"/>
      <c r="AA343" s="1"/>
    </row>
    <row r="344" ht="15.75" customHeight="1">
      <c r="A344" s="1" t="str">
        <f>IFERROR(__xludf.DUMMYFUNCTION("""COMPUTED_VALUE"""),"Water Warhammer")</f>
        <v>Water Warhammer</v>
      </c>
      <c r="B344" s="1"/>
      <c r="C344" s="1" t="str">
        <f>IFERROR(__xludf.DUMMYFUNCTION("""COMPUTED_VALUE"""),"Club")</f>
        <v>Club</v>
      </c>
      <c r="D344" s="1" t="str">
        <f>IFERROR(__xludf.DUMMYFUNCTION("""COMPUTED_VALUE"""),"Hand")</f>
        <v>Hand</v>
      </c>
      <c r="E344" s="1">
        <f>IFERROR(__xludf.DUMMYFUNCTION("""COMPUTED_VALUE"""),200.0)</f>
        <v>200</v>
      </c>
      <c r="F344" s="1" t="str">
        <f>IFERROR(__xludf.DUMMYFUNCTION("""COMPUTED_VALUE"""),"DMG: +5000, Water DMG: +5000")</f>
        <v>DMG: +5000, Water DMG: +5000</v>
      </c>
      <c r="G344" s="1">
        <f>IFERROR(__xludf.DUMMYFUNCTION("""COMPUTED_VALUE"""),1900000.0)</f>
        <v>1900000</v>
      </c>
      <c r="H344" s="1"/>
      <c r="I344" s="1"/>
      <c r="J344" s="1"/>
      <c r="K344" s="1"/>
      <c r="L344" s="1"/>
      <c r="M344" s="1"/>
      <c r="N344" s="1"/>
      <c r="O344" s="1"/>
      <c r="P344" s="1"/>
      <c r="Q344" s="1"/>
      <c r="R344" s="1"/>
      <c r="S344" s="1"/>
      <c r="T344" s="1"/>
      <c r="U344" s="1"/>
      <c r="V344" s="1"/>
      <c r="W344" s="1"/>
      <c r="X344" s="1"/>
      <c r="Y344" s="1"/>
      <c r="Z344" s="1"/>
      <c r="AA344" s="1"/>
    </row>
    <row r="345" ht="15.75" customHeight="1">
      <c r="A345" s="1" t="str">
        <f>IFERROR(__xludf.DUMMYFUNCTION("""COMPUTED_VALUE"""),"Weaponized Bamboo Hat")</f>
        <v>Weaponized Bamboo Hat</v>
      </c>
      <c r="B345" s="1"/>
      <c r="C345" s="1" t="str">
        <f>IFERROR(__xludf.DUMMYFUNCTION("""COMPUTED_VALUE"""),"Knife")</f>
        <v>Knife</v>
      </c>
      <c r="D345" s="1" t="str">
        <f>IFERROR(__xludf.DUMMYFUNCTION("""COMPUTED_VALUE"""),"Head")</f>
        <v>Head</v>
      </c>
      <c r="E345" s="1">
        <f>IFERROR(__xludf.DUMMYFUNCTION("""COMPUTED_VALUE"""),40.0)</f>
        <v>40</v>
      </c>
      <c r="F345" s="1" t="str">
        <f>IFERROR(__xludf.DUMMYFUNCTION("""COMPUTED_VALUE"""),"DEF: +1000, Nature DEF: +1000 ++10,000 damage when thrown, this item will return to you after thrown.")</f>
        <v>DEF: +1000, Nature DEF: +1000 ++10,000 damage when thrown, this item will return to you after thrown.</v>
      </c>
      <c r="G345" s="1">
        <f>IFERROR(__xludf.DUMMYFUNCTION("""COMPUTED_VALUE"""),60000.0)</f>
        <v>60000</v>
      </c>
      <c r="H345" s="1"/>
      <c r="I345" s="1"/>
      <c r="J345" s="1"/>
      <c r="K345" s="1"/>
      <c r="L345" s="1"/>
      <c r="M345" s="1"/>
      <c r="N345" s="1"/>
      <c r="O345" s="1"/>
      <c r="P345" s="1"/>
      <c r="Q345" s="1"/>
      <c r="R345" s="1"/>
      <c r="S345" s="1"/>
      <c r="T345" s="1"/>
      <c r="U345" s="1"/>
      <c r="V345" s="1"/>
      <c r="W345" s="1"/>
      <c r="X345" s="1"/>
      <c r="Y345" s="1"/>
      <c r="Z345" s="1"/>
      <c r="AA345" s="1"/>
    </row>
    <row r="346" ht="15.75" customHeight="1">
      <c r="A346" s="1" t="str">
        <f>IFERROR(__xludf.DUMMYFUNCTION("""COMPUTED_VALUE"""),"Wig of Temper Fire")</f>
        <v>Wig of Temper Fire</v>
      </c>
      <c r="B346" s="1"/>
      <c r="C346" s="1"/>
      <c r="D346" s="1" t="str">
        <f>IFERROR(__xludf.DUMMYFUNCTION("""COMPUTED_VALUE"""),"Head")</f>
        <v>Head</v>
      </c>
      <c r="E346" s="1">
        <f>IFERROR(__xludf.DUMMYFUNCTION("""COMPUTED_VALUE"""),1.0)</f>
        <v>1</v>
      </c>
      <c r="F346" s="1" t="str">
        <f>IFERROR(__xludf.DUMMYFUNCTION("""COMPUTED_VALUE""")," ++reduces any fire damage to 1 +-Cannot be duplicated")</f>
        <v> ++reduces any fire damage to 1 +-Cannot be duplicated</v>
      </c>
      <c r="G346" s="1">
        <f>IFERROR(__xludf.DUMMYFUNCTION("""COMPUTED_VALUE"""),0.0)</f>
        <v>0</v>
      </c>
      <c r="H346" s="1"/>
      <c r="I346" s="1"/>
      <c r="J346" s="1"/>
      <c r="K346" s="1"/>
      <c r="L346" s="1"/>
      <c r="M346" s="1"/>
      <c r="N346" s="1"/>
      <c r="O346" s="1"/>
      <c r="P346" s="1"/>
      <c r="Q346" s="1"/>
      <c r="R346" s="1"/>
      <c r="S346" s="1"/>
      <c r="T346" s="1"/>
      <c r="U346" s="1"/>
      <c r="V346" s="1"/>
      <c r="W346" s="1"/>
      <c r="X346" s="1"/>
      <c r="Y346" s="1"/>
      <c r="Z346" s="1"/>
      <c r="AA346" s="1"/>
    </row>
    <row r="347" ht="15.75" customHeight="1">
      <c r="A347" s="1" t="str">
        <f>IFERROR(__xludf.DUMMYFUNCTION("""COMPUTED_VALUE"""),"Woodsman’s Hacker")</f>
        <v>Woodsman’s Hacker</v>
      </c>
      <c r="B347" s="1"/>
      <c r="C347" s="1" t="str">
        <f>IFERROR(__xludf.DUMMYFUNCTION("""COMPUTED_VALUE"""),"Axe")</f>
        <v>Axe</v>
      </c>
      <c r="D347" s="1" t="str">
        <f>IFERROR(__xludf.DUMMYFUNCTION("""COMPUTED_VALUE"""),"Hand")</f>
        <v>Hand</v>
      </c>
      <c r="E347" s="1">
        <f>IFERROR(__xludf.DUMMYFUNCTION("""COMPUTED_VALUE"""),10.0)</f>
        <v>10</v>
      </c>
      <c r="F347" s="1" t="str">
        <f>IFERROR(__xludf.DUMMYFUNCTION("""COMPUTED_VALUE"""),"DMG: +500")</f>
        <v>DMG: +500</v>
      </c>
      <c r="G347" s="1">
        <f>IFERROR(__xludf.DUMMYFUNCTION("""COMPUTED_VALUE"""),1000.0)</f>
        <v>1000</v>
      </c>
      <c r="H347" s="1"/>
      <c r="I347" s="1"/>
      <c r="J347" s="1"/>
      <c r="K347" s="1"/>
      <c r="L347" s="1"/>
      <c r="M347" s="1"/>
      <c r="N347" s="1"/>
      <c r="O347" s="1"/>
      <c r="P347" s="1"/>
      <c r="Q347" s="1"/>
      <c r="R347" s="1"/>
      <c r="S347" s="1"/>
      <c r="T347" s="1"/>
      <c r="U347" s="1"/>
      <c r="V347" s="1"/>
      <c r="W347" s="1"/>
      <c r="X347" s="1"/>
      <c r="Y347" s="1"/>
      <c r="Z347" s="1"/>
      <c r="AA347" s="1"/>
    </row>
    <row r="348" ht="15.75" customHeight="1">
      <c r="A348" s="1" t="str">
        <f>IFERROR(__xludf.DUMMYFUNCTION("""COMPUTED_VALUE"""),"World Tree Sword")</f>
        <v>World Tree Sword</v>
      </c>
      <c r="B348" s="1"/>
      <c r="C348" s="1"/>
      <c r="D348" s="1" t="str">
        <f>IFERROR(__xludf.DUMMYFUNCTION("""COMPUTED_VALUE"""),"Hand")</f>
        <v>Hand</v>
      </c>
      <c r="E348" s="1">
        <f>IFERROR(__xludf.DUMMYFUNCTION("""COMPUTED_VALUE"""),200.0)</f>
        <v>200</v>
      </c>
      <c r="F348" s="1"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
        <f>IFERROR(__xludf.DUMMYFUNCTION("""COMPUTED_VALUE"""),3.196E9)</f>
        <v>3196000000</v>
      </c>
      <c r="H348" s="1"/>
      <c r="I348" s="1"/>
      <c r="J348" s="1"/>
      <c r="K348" s="1"/>
      <c r="L348" s="1"/>
      <c r="M348" s="1"/>
      <c r="N348" s="1"/>
      <c r="O348" s="1"/>
      <c r="P348" s="1"/>
      <c r="Q348" s="1"/>
      <c r="R348" s="1"/>
      <c r="S348" s="1"/>
      <c r="T348" s="1"/>
      <c r="U348" s="1"/>
      <c r="V348" s="1"/>
      <c r="W348" s="1"/>
      <c r="X348" s="1"/>
      <c r="Y348" s="1"/>
      <c r="Z348" s="1"/>
      <c r="AA348" s="1"/>
    </row>
    <row r="349" ht="15.75" customHeight="1">
      <c r="A349" s="1" t="str">
        <f>IFERROR(__xludf.DUMMYFUNCTION("""COMPUTED_VALUE"""),"Tear of the Dragon Pendant")</f>
        <v>Tear of the Dragon Pendant</v>
      </c>
      <c r="B349" s="1"/>
      <c r="C349" s="1"/>
      <c r="D349" s="1" t="str">
        <f>IFERROR(__xludf.DUMMYFUNCTION("""COMPUTED_VALUE"""),"Neck")</f>
        <v>Neck</v>
      </c>
      <c r="E349" s="1">
        <f>IFERROR(__xludf.DUMMYFUNCTION("""COMPUTED_VALUE"""),1.0)</f>
        <v>1</v>
      </c>
      <c r="F349" s="1" t="str">
        <f>IFERROR(__xludf.DUMMYFUNCTION("""COMPUTED_VALUE""")," ++Plus 5 or Minus 5 on your attack and percentage rolls, Users choice. +-Cannot be duplicated.")</f>
        <v> ++Plus 5 or Minus 5 on your attack and percentage rolls, Users choice. +-Cannot be duplicated.</v>
      </c>
      <c r="G349" s="1">
        <f>IFERROR(__xludf.DUMMYFUNCTION("""COMPUTED_VALUE"""),0.0)</f>
        <v>0</v>
      </c>
      <c r="H349" s="1"/>
      <c r="I349" s="1"/>
      <c r="J349" s="1"/>
      <c r="K349" s="1"/>
      <c r="L349" s="1"/>
      <c r="M349" s="1"/>
      <c r="N349" s="1"/>
      <c r="O349" s="1"/>
      <c r="P349" s="1"/>
      <c r="Q349" s="1"/>
      <c r="R349" s="1"/>
      <c r="S349" s="1"/>
      <c r="T349" s="1"/>
      <c r="U349" s="1"/>
      <c r="V349" s="1"/>
      <c r="W349" s="1"/>
      <c r="X349" s="1"/>
      <c r="Y349" s="1"/>
      <c r="Z349" s="1"/>
      <c r="AA349" s="1"/>
    </row>
    <row r="350" ht="15.75" customHeight="1">
      <c r="A350" s="1" t="str">
        <f>IFERROR(__xludf.DUMMYFUNCTION("""COMPUTED_VALUE"""),"Luck of the Dragon Pendant")</f>
        <v>Luck of the Dragon Pendant</v>
      </c>
      <c r="B350" s="1"/>
      <c r="C350" s="1"/>
      <c r="D350" s="1" t="str">
        <f>IFERROR(__xludf.DUMMYFUNCTION("""COMPUTED_VALUE"""),"Neck")</f>
        <v>Neck</v>
      </c>
      <c r="E350" s="1">
        <f>IFERROR(__xludf.DUMMYFUNCTION("""COMPUTED_VALUE"""),1.0)</f>
        <v>1</v>
      </c>
      <c r="F350" s="1" t="str">
        <f>IFERROR(__xludf.DUMMYFUNCTION("""COMPUTED_VALUE""")," ++Plus 5 or Minus 5 on your Loot and Fail/Succeed rolls, Users choice. +-Cannot be duplicated.")</f>
        <v> ++Plus 5 or Minus 5 on your Loot and Fail/Succeed rolls, Users choice. +-Cannot be duplicated.</v>
      </c>
      <c r="G350" s="1">
        <f>IFERROR(__xludf.DUMMYFUNCTION("""COMPUTED_VALUE"""),0.0)</f>
        <v>0</v>
      </c>
      <c r="H350" s="1"/>
      <c r="I350" s="1"/>
      <c r="J350" s="1"/>
      <c r="K350" s="1"/>
      <c r="L350" s="1"/>
      <c r="M350" s="1"/>
      <c r="N350" s="1"/>
      <c r="O350" s="1"/>
      <c r="P350" s="1"/>
      <c r="Q350" s="1"/>
      <c r="R350" s="1"/>
      <c r="S350" s="1"/>
      <c r="T350" s="1"/>
      <c r="U350" s="1"/>
      <c r="V350" s="1"/>
      <c r="W350" s="1"/>
      <c r="X350" s="1"/>
      <c r="Y350" s="1"/>
      <c r="Z350" s="1"/>
      <c r="AA350" s="1"/>
    </row>
    <row r="351" ht="15.75" customHeight="1">
      <c r="A351" s="1" t="str">
        <f>IFERROR(__xludf.DUMMYFUNCTION("""COMPUTED_VALUE"""),"Scale of the Dragon Pendant")</f>
        <v>Scale of the Dragon Pendant</v>
      </c>
      <c r="B351" s="1"/>
      <c r="C351" s="1"/>
      <c r="D351" s="1" t="str">
        <f>IFERROR(__xludf.DUMMYFUNCTION("""COMPUTED_VALUE"""),"Neck")</f>
        <v>Neck</v>
      </c>
      <c r="E351" s="1">
        <f>IFERROR(__xludf.DUMMYFUNCTION("""COMPUTED_VALUE"""),1.0)</f>
        <v>1</v>
      </c>
      <c r="F351" s="1" t="str">
        <f>IFERROR(__xludf.DUMMYFUNCTION("""COMPUTED_VALUE""")," ++Allows you to use a companions SP as your own if the companion is a dragon. +-Cannot be duplicated.")</f>
        <v> ++Allows you to use a companions SP as your own if the companion is a dragon. +-Cannot be duplicated.</v>
      </c>
      <c r="G351" s="1">
        <f>IFERROR(__xludf.DUMMYFUNCTION("""COMPUTED_VALUE"""),0.0)</f>
        <v>0</v>
      </c>
      <c r="H351" s="1"/>
      <c r="I351" s="1"/>
      <c r="J351" s="1"/>
      <c r="K351" s="1"/>
      <c r="L351" s="1"/>
      <c r="M351" s="1"/>
      <c r="N351" s="1"/>
      <c r="O351" s="1"/>
      <c r="P351" s="1"/>
      <c r="Q351" s="1"/>
      <c r="R351" s="1"/>
      <c r="S351" s="1"/>
      <c r="T351" s="1"/>
      <c r="U351" s="1"/>
      <c r="V351" s="1"/>
      <c r="W351" s="1"/>
      <c r="X351" s="1"/>
      <c r="Y351" s="1"/>
      <c r="Z351" s="1"/>
      <c r="AA351" s="1"/>
    </row>
    <row r="352" ht="15.75" customHeight="1">
      <c r="A352" s="1" t="str">
        <f>IFERROR(__xludf.DUMMYFUNCTION("""COMPUTED_VALUE"""),"Guard Pauldrons")</f>
        <v>Guard Pauldrons</v>
      </c>
      <c r="B352" s="1" t="str">
        <f>IFERROR(__xludf.DUMMYFUNCTION("""COMPUTED_VALUE"""),"Quest Item")</f>
        <v>Quest Item</v>
      </c>
      <c r="C352" s="1"/>
      <c r="D352" s="1" t="str">
        <f>IFERROR(__xludf.DUMMYFUNCTION("""COMPUTED_VALUE"""),"Shoulders")</f>
        <v>Shoulders</v>
      </c>
      <c r="E352" s="1">
        <f>IFERROR(__xludf.DUMMYFUNCTION("""COMPUTED_VALUE"""),200.0)</f>
        <v>200</v>
      </c>
      <c r="F352" s="1" t="str">
        <f>IFERROR(__xludf.DUMMYFUNCTION("""COMPUTED_VALUE"""),"DEF: +25000, Light DEF: +25000, Celestial DEF: +25000 +-Cannot be duplicated")</f>
        <v>DEF: +25000, Light DEF: +25000, Celestial DEF: +25000 +-Cannot be duplicated</v>
      </c>
      <c r="G352" s="1">
        <f>IFERROR(__xludf.DUMMYFUNCTION("""COMPUTED_VALUE"""),1.1175E8)</f>
        <v>111750000</v>
      </c>
      <c r="H352" s="1"/>
      <c r="I352" s="1"/>
      <c r="J352" s="1"/>
      <c r="K352" s="1"/>
      <c r="L352" s="1"/>
      <c r="M352" s="1"/>
      <c r="N352" s="1"/>
      <c r="O352" s="1"/>
      <c r="P352" s="1"/>
      <c r="Q352" s="1"/>
      <c r="R352" s="1"/>
      <c r="S352" s="1"/>
      <c r="T352" s="1"/>
      <c r="U352" s="1"/>
      <c r="V352" s="1"/>
      <c r="W352" s="1"/>
      <c r="X352" s="1"/>
      <c r="Y352" s="1"/>
      <c r="Z352" s="1"/>
      <c r="AA352" s="1"/>
    </row>
    <row r="353" ht="15.75" customHeight="1">
      <c r="A353" s="1" t="str">
        <f>IFERROR(__xludf.DUMMYFUNCTION("""COMPUTED_VALUE"""),"Guard Vambraces")</f>
        <v>Guard Vambraces</v>
      </c>
      <c r="B353" s="1" t="str">
        <f>IFERROR(__xludf.DUMMYFUNCTION("""COMPUTED_VALUE"""),"Quest Item")</f>
        <v>Quest Item</v>
      </c>
      <c r="C353" s="1"/>
      <c r="D353" s="1" t="str">
        <f>IFERROR(__xludf.DUMMYFUNCTION("""COMPUTED_VALUE"""),"Arms")</f>
        <v>Arms</v>
      </c>
      <c r="E353" s="1">
        <f>IFERROR(__xludf.DUMMYFUNCTION("""COMPUTED_VALUE"""),200.0)</f>
        <v>200</v>
      </c>
      <c r="F353" s="1" t="str">
        <f>IFERROR(__xludf.DUMMYFUNCTION("""COMPUTED_VALUE"""),"DEF: +25000, Light DEF: +25000, Celestial DEF: +25000 +-Cannot be duplicated")</f>
        <v>DEF: +25000, Light DEF: +25000, Celestial DEF: +25000 +-Cannot be duplicated</v>
      </c>
      <c r="G353" s="1">
        <f>IFERROR(__xludf.DUMMYFUNCTION("""COMPUTED_VALUE"""),1.1175E8)</f>
        <v>111750000</v>
      </c>
      <c r="H353" s="1"/>
      <c r="I353" s="1"/>
      <c r="J353" s="1"/>
      <c r="K353" s="1"/>
      <c r="L353" s="1"/>
      <c r="M353" s="1"/>
      <c r="N353" s="1"/>
      <c r="O353" s="1"/>
      <c r="P353" s="1"/>
      <c r="Q353" s="1"/>
      <c r="R353" s="1"/>
      <c r="S353" s="1"/>
      <c r="T353" s="1"/>
      <c r="U353" s="1"/>
      <c r="V353" s="1"/>
      <c r="W353" s="1"/>
      <c r="X353" s="1"/>
      <c r="Y353" s="1"/>
      <c r="Z353" s="1"/>
      <c r="AA353" s="1"/>
    </row>
    <row r="354" ht="15.75" customHeight="1">
      <c r="A354" s="1" t="str">
        <f>IFERROR(__xludf.DUMMYFUNCTION("""COMPUTED_VALUE"""),"Royal Guard Pauldrons")</f>
        <v>Royal Guard Pauldrons</v>
      </c>
      <c r="B354" s="1" t="str">
        <f>IFERROR(__xludf.DUMMYFUNCTION("""COMPUTED_VALUE"""),"Quest Item")</f>
        <v>Quest Item</v>
      </c>
      <c r="C354" s="1"/>
      <c r="D354" s="1" t="str">
        <f>IFERROR(__xludf.DUMMYFUNCTION("""COMPUTED_VALUE"""),"Shoulders")</f>
        <v>Shoulders</v>
      </c>
      <c r="E354" s="1">
        <f>IFERROR(__xludf.DUMMYFUNCTION("""COMPUTED_VALUE"""),200.0)</f>
        <v>200</v>
      </c>
      <c r="F354" s="1" t="str">
        <f>IFERROR(__xludf.DUMMYFUNCTION("""COMPUTED_VALUE"""),"DEF: +50000, Light DEF: +50000, Celestial DEF: +50000 +-Cannot be duplicated")</f>
        <v>DEF: +50000, Light DEF: +50000, Celestial DEF: +50000 +-Cannot be duplicated</v>
      </c>
      <c r="G354" s="1">
        <f>IFERROR(__xludf.DUMMYFUNCTION("""COMPUTED_VALUE"""),4.485E8)</f>
        <v>448500000</v>
      </c>
      <c r="H354" s="1"/>
      <c r="I354" s="1"/>
      <c r="J354" s="1"/>
      <c r="K354" s="1"/>
      <c r="L354" s="1"/>
      <c r="M354" s="1"/>
      <c r="N354" s="1"/>
      <c r="O354" s="1"/>
      <c r="P354" s="1"/>
      <c r="Q354" s="1"/>
      <c r="R354" s="1"/>
      <c r="S354" s="1"/>
      <c r="T354" s="1"/>
      <c r="U354" s="1"/>
      <c r="V354" s="1"/>
      <c r="W354" s="1"/>
      <c r="X354" s="1"/>
      <c r="Y354" s="1"/>
      <c r="Z354" s="1"/>
      <c r="AA354" s="1"/>
    </row>
    <row r="355" ht="15.75" customHeight="1">
      <c r="A355" s="1" t="str">
        <f>IFERROR(__xludf.DUMMYFUNCTION("""COMPUTED_VALUE"""),"Royal Guard Vambraces")</f>
        <v>Royal Guard Vambraces</v>
      </c>
      <c r="B355" s="1" t="str">
        <f>IFERROR(__xludf.DUMMYFUNCTION("""COMPUTED_VALUE"""),"Quest Item")</f>
        <v>Quest Item</v>
      </c>
      <c r="C355" s="1"/>
      <c r="D355" s="1" t="str">
        <f>IFERROR(__xludf.DUMMYFUNCTION("""COMPUTED_VALUE"""),"Arms")</f>
        <v>Arms</v>
      </c>
      <c r="E355" s="1">
        <f>IFERROR(__xludf.DUMMYFUNCTION("""COMPUTED_VALUE"""),200.0)</f>
        <v>200</v>
      </c>
      <c r="F355" s="1" t="str">
        <f>IFERROR(__xludf.DUMMYFUNCTION("""COMPUTED_VALUE"""),"DEF: +50000, Light DEF: +50000, Celestial DEF: +50000 +-Cannot be duplicated")</f>
        <v>DEF: +50000, Light DEF: +50000, Celestial DEF: +50000 +-Cannot be duplicated</v>
      </c>
      <c r="G355" s="1">
        <f>IFERROR(__xludf.DUMMYFUNCTION("""COMPUTED_VALUE"""),4.485E8)</f>
        <v>448500000</v>
      </c>
      <c r="H355" s="1"/>
      <c r="I355" s="1"/>
      <c r="J355" s="1"/>
      <c r="K355" s="1"/>
      <c r="L355" s="1"/>
      <c r="M355" s="1"/>
      <c r="N355" s="1"/>
      <c r="O355" s="1"/>
      <c r="P355" s="1"/>
      <c r="Q355" s="1"/>
      <c r="R355" s="1"/>
      <c r="S355" s="1"/>
      <c r="T355" s="1"/>
      <c r="U355" s="1"/>
      <c r="V355" s="1"/>
      <c r="W355" s="1"/>
      <c r="X355" s="1"/>
      <c r="Y355" s="1"/>
      <c r="Z355" s="1"/>
      <c r="AA355" s="1"/>
    </row>
    <row r="356" ht="15.75" customHeight="1">
      <c r="A356" s="1" t="str">
        <f>IFERROR(__xludf.DUMMYFUNCTION("""COMPUTED_VALUE"""),"Celestian Royal Pauldrons")</f>
        <v>Celestian Royal Pauldrons</v>
      </c>
      <c r="B356" s="1" t="str">
        <f>IFERROR(__xludf.DUMMYFUNCTION("""COMPUTED_VALUE"""),"Quest Item")</f>
        <v>Quest Item</v>
      </c>
      <c r="C356" s="1"/>
      <c r="D356" s="1" t="str">
        <f>IFERROR(__xludf.DUMMYFUNCTION("""COMPUTED_VALUE"""),"Shoulders")</f>
        <v>Shoulders</v>
      </c>
      <c r="E356" s="1">
        <f>IFERROR(__xludf.DUMMYFUNCTION("""COMPUTED_VALUE"""),200.0)</f>
        <v>200</v>
      </c>
      <c r="F356" s="1" t="str">
        <f>IFERROR(__xludf.DUMMYFUNCTION("""COMPUTED_VALUE"""),"DEF: +100000, Light DEF: +100000, Dark DEF: +100000, Celestial DEF: +100000 ++X2 Celestial Damage. +-Cannot be duplicated.")</f>
        <v>DEF: +100000, Light DEF: +100000, Dark DEF: +100000, Celestial DEF: +100000 ++X2 Celestial Damage. +-Cannot be duplicated.</v>
      </c>
      <c r="G356" s="1">
        <f>IFERROR(__xludf.DUMMYFUNCTION("""COMPUTED_VALUE"""),3.196E9)</f>
        <v>3196000000</v>
      </c>
      <c r="H356" s="1"/>
      <c r="I356" s="1"/>
      <c r="J356" s="1"/>
      <c r="K356" s="1"/>
      <c r="L356" s="1"/>
      <c r="M356" s="1"/>
      <c r="N356" s="1"/>
      <c r="O356" s="1"/>
      <c r="P356" s="1"/>
      <c r="Q356" s="1"/>
      <c r="R356" s="1"/>
      <c r="S356" s="1"/>
      <c r="T356" s="1"/>
      <c r="U356" s="1"/>
      <c r="V356" s="1"/>
      <c r="W356" s="1"/>
      <c r="X356" s="1"/>
      <c r="Y356" s="1"/>
      <c r="Z356" s="1"/>
      <c r="AA356" s="1"/>
    </row>
    <row r="357" ht="15.75" customHeight="1">
      <c r="A357" s="1" t="str">
        <f>IFERROR(__xludf.DUMMYFUNCTION("""COMPUTED_VALUE"""),"Celestian Royal Vambraces")</f>
        <v>Celestian Royal Vambraces</v>
      </c>
      <c r="B357" s="1" t="str">
        <f>IFERROR(__xludf.DUMMYFUNCTION("""COMPUTED_VALUE"""),"Quest Item")</f>
        <v>Quest Item</v>
      </c>
      <c r="C357" s="1"/>
      <c r="D357" s="1" t="str">
        <f>IFERROR(__xludf.DUMMYFUNCTION("""COMPUTED_VALUE"""),"Arms")</f>
        <v>Arms</v>
      </c>
      <c r="E357" s="1">
        <f>IFERROR(__xludf.DUMMYFUNCTION("""COMPUTED_VALUE"""),200.0)</f>
        <v>200</v>
      </c>
      <c r="F357" s="1" t="str">
        <f>IFERROR(__xludf.DUMMYFUNCTION("""COMPUTED_VALUE"""),"DEF: +100000, Light DEF: +100000, Dark DEF: +100000, Celestial DEF: +100000 ++X2 Celestial Damage. +-Cannot be duplicated.")</f>
        <v>DEF: +100000, Light DEF: +100000, Dark DEF: +100000, Celestial DEF: +100000 ++X2 Celestial Damage. +-Cannot be duplicated.</v>
      </c>
      <c r="G357" s="1">
        <f>IFERROR(__xludf.DUMMYFUNCTION("""COMPUTED_VALUE"""),3.196E9)</f>
        <v>3196000000</v>
      </c>
      <c r="H357" s="1"/>
      <c r="I357" s="1"/>
      <c r="J357" s="1"/>
      <c r="K357" s="1"/>
      <c r="L357" s="1"/>
      <c r="M357" s="1"/>
      <c r="N357" s="1"/>
      <c r="O357" s="1"/>
      <c r="P357" s="1"/>
      <c r="Q357" s="1"/>
      <c r="R357" s="1"/>
      <c r="S357" s="1"/>
      <c r="T357" s="1"/>
      <c r="U357" s="1"/>
      <c r="V357" s="1"/>
      <c r="W357" s="1"/>
      <c r="X357" s="1"/>
      <c r="Y357" s="1"/>
      <c r="Z357" s="1"/>
      <c r="AA357" s="1"/>
    </row>
    <row r="358" ht="15.75" customHeight="1">
      <c r="A358" s="1" t="str">
        <f>IFERROR(__xludf.DUMMYFUNCTION("""COMPUTED_VALUE"""),"Royal Guard Shield")</f>
        <v>Royal Guard Shield</v>
      </c>
      <c r="B358" s="1" t="str">
        <f>IFERROR(__xludf.DUMMYFUNCTION("""COMPUTED_VALUE"""),"Quest Item")</f>
        <v>Quest Item</v>
      </c>
      <c r="C358" s="1" t="str">
        <f>IFERROR(__xludf.DUMMYFUNCTION("""COMPUTED_VALUE"""),"Towershield")</f>
        <v>Towershield</v>
      </c>
      <c r="D358" s="1" t="str">
        <f>IFERROR(__xludf.DUMMYFUNCTION("""COMPUTED_VALUE"""),"Hand")</f>
        <v>Hand</v>
      </c>
      <c r="E358" s="1">
        <f>IFERROR(__xludf.DUMMYFUNCTION("""COMPUTED_VALUE"""),200.0)</f>
        <v>200</v>
      </c>
      <c r="F358" s="1" t="str">
        <f>IFERROR(__xludf.DUMMYFUNCTION("""COMPUTED_VALUE"""),"DEF: +50000, Light DEF: +50000, Dark DEF: +50000, Celestial DEF: +50000 ++X2 Celestial Defense. +-Cannot be duplicated.")</f>
        <v>DEF: +50000, Light DEF: +50000, Dark DEF: +50000, Celestial DEF: +50000 ++X2 Celestial Defense. +-Cannot be duplicated.</v>
      </c>
      <c r="G358" s="1">
        <f>IFERROR(__xludf.DUMMYFUNCTION("""COMPUTED_VALUE"""),7.98E8)</f>
        <v>798000000</v>
      </c>
      <c r="H358" s="1"/>
      <c r="I358" s="1"/>
      <c r="J358" s="1"/>
      <c r="K358" s="1"/>
      <c r="L358" s="1"/>
      <c r="M358" s="1"/>
      <c r="N358" s="1"/>
      <c r="O358" s="1"/>
      <c r="P358" s="1"/>
      <c r="Q358" s="1"/>
      <c r="R358" s="1"/>
      <c r="S358" s="1"/>
      <c r="T358" s="1"/>
      <c r="U358" s="1"/>
      <c r="V358" s="1"/>
      <c r="W358" s="1"/>
      <c r="X358" s="1"/>
      <c r="Y358" s="1"/>
      <c r="Z358" s="1"/>
      <c r="AA358" s="1"/>
    </row>
    <row r="359" ht="15.75" customHeight="1">
      <c r="A359" s="1" t="str">
        <f>IFERROR(__xludf.DUMMYFUNCTION("""COMPUTED_VALUE"""),"Guard Leggings")</f>
        <v>Guard Leggings</v>
      </c>
      <c r="B359" s="1" t="str">
        <f>IFERROR(__xludf.DUMMYFUNCTION("""COMPUTED_VALUE"""),"Quest Item")</f>
        <v>Quest Item</v>
      </c>
      <c r="C359" s="1"/>
      <c r="D359" s="1" t="str">
        <f>IFERROR(__xludf.DUMMYFUNCTION("""COMPUTED_VALUE"""),"Legs")</f>
        <v>Legs</v>
      </c>
      <c r="E359" s="1">
        <f>IFERROR(__xludf.DUMMYFUNCTION("""COMPUTED_VALUE"""),200.0)</f>
        <v>200</v>
      </c>
      <c r="F359" s="1" t="str">
        <f>IFERROR(__xludf.DUMMYFUNCTION("""COMPUTED_VALUE"""),"DEF: +25000, Light DEF: +25000, Celestial DEF: +25000 +-Cannot be duplicated")</f>
        <v>DEF: +25000, Light DEF: +25000, Celestial DEF: +25000 +-Cannot be duplicated</v>
      </c>
      <c r="G359" s="1">
        <f>IFERROR(__xludf.DUMMYFUNCTION("""COMPUTED_VALUE"""),1.1175E8)</f>
        <v>111750000</v>
      </c>
      <c r="H359" s="1"/>
      <c r="I359" s="1"/>
      <c r="J359" s="1"/>
      <c r="K359" s="1"/>
      <c r="L359" s="1"/>
      <c r="M359" s="1"/>
      <c r="N359" s="1"/>
      <c r="O359" s="1"/>
      <c r="P359" s="1"/>
      <c r="Q359" s="1"/>
      <c r="R359" s="1"/>
      <c r="S359" s="1"/>
      <c r="T359" s="1"/>
      <c r="U359" s="1"/>
      <c r="V359" s="1"/>
      <c r="W359" s="1"/>
      <c r="X359" s="1"/>
      <c r="Y359" s="1"/>
      <c r="Z359" s="1"/>
      <c r="AA359" s="1"/>
    </row>
    <row r="360" ht="15.75" customHeight="1">
      <c r="A360" s="1" t="str">
        <f>IFERROR(__xludf.DUMMYFUNCTION("""COMPUTED_VALUE"""),"Guard Boots")</f>
        <v>Guard Boots</v>
      </c>
      <c r="B360" s="1" t="str">
        <f>IFERROR(__xludf.DUMMYFUNCTION("""COMPUTED_VALUE"""),"Quest Item")</f>
        <v>Quest Item</v>
      </c>
      <c r="C360" s="1"/>
      <c r="D360" s="1" t="str">
        <f>IFERROR(__xludf.DUMMYFUNCTION("""COMPUTED_VALUE"""),"Feet")</f>
        <v>Feet</v>
      </c>
      <c r="E360" s="1">
        <f>IFERROR(__xludf.DUMMYFUNCTION("""COMPUTED_VALUE"""),200.0)</f>
        <v>200</v>
      </c>
      <c r="F360" s="1" t="str">
        <f>IFERROR(__xludf.DUMMYFUNCTION("""COMPUTED_VALUE"""),"DEF: +25000, Light DEF: +25000, Celestial DEF: +25000 +-Cannot be duplicated")</f>
        <v>DEF: +25000, Light DEF: +25000, Celestial DEF: +25000 +-Cannot be duplicated</v>
      </c>
      <c r="G360" s="1">
        <f>IFERROR(__xludf.DUMMYFUNCTION("""COMPUTED_VALUE"""),1.1175E8)</f>
        <v>111750000</v>
      </c>
      <c r="H360" s="1"/>
      <c r="I360" s="1"/>
      <c r="J360" s="1"/>
      <c r="K360" s="1"/>
      <c r="L360" s="1"/>
      <c r="M360" s="1"/>
      <c r="N360" s="1"/>
      <c r="O360" s="1"/>
      <c r="P360" s="1"/>
      <c r="Q360" s="1"/>
      <c r="R360" s="1"/>
      <c r="S360" s="1"/>
      <c r="T360" s="1"/>
      <c r="U360" s="1"/>
      <c r="V360" s="1"/>
      <c r="W360" s="1"/>
      <c r="X360" s="1"/>
      <c r="Y360" s="1"/>
      <c r="Z360" s="1"/>
      <c r="AA360" s="1"/>
    </row>
    <row r="361" ht="15.75" customHeight="1">
      <c r="A361" s="1" t="str">
        <f>IFERROR(__xludf.DUMMYFUNCTION("""COMPUTED_VALUE"""),"Celestian Royal Boots")</f>
        <v>Celestian Royal Boots</v>
      </c>
      <c r="B361" s="1" t="str">
        <f>IFERROR(__xludf.DUMMYFUNCTION("""COMPUTED_VALUE"""),"Quest Item")</f>
        <v>Quest Item</v>
      </c>
      <c r="C361" s="1"/>
      <c r="D361" s="1" t="str">
        <f>IFERROR(__xludf.DUMMYFUNCTION("""COMPUTED_VALUE"""),"Feet")</f>
        <v>Feet</v>
      </c>
      <c r="E361" s="1">
        <f>IFERROR(__xludf.DUMMYFUNCTION("""COMPUTED_VALUE"""),200.0)</f>
        <v>200</v>
      </c>
      <c r="F361" s="1" t="str">
        <f>IFERROR(__xludf.DUMMYFUNCTION("""COMPUTED_VALUE"""),"DEF: +100000, Light DEF: +100000, Dark DEF: +100000, Celestial DEF: +100000 ++X6 Celestial Damage. +-Cannot be duplicated.")</f>
        <v>DEF: +100000, Light DEF: +100000, Dark DEF: +100000, Celestial DEF: +100000 ++X6 Celestial Damage. +-Cannot be duplicated.</v>
      </c>
      <c r="G361" s="1">
        <f>IFERROR(__xludf.DUMMYFUNCTION("""COMPUTED_VALUE"""),3.196E9)</f>
        <v>3196000000</v>
      </c>
      <c r="H361" s="1"/>
      <c r="I361" s="1"/>
      <c r="J361" s="1"/>
      <c r="K361" s="1"/>
      <c r="L361" s="1"/>
      <c r="M361" s="1"/>
      <c r="N361" s="1"/>
      <c r="O361" s="1"/>
      <c r="P361" s="1"/>
      <c r="Q361" s="1"/>
      <c r="R361" s="1"/>
      <c r="S361" s="1"/>
      <c r="T361" s="1"/>
      <c r="U361" s="1"/>
      <c r="V361" s="1"/>
      <c r="W361" s="1"/>
      <c r="X361" s="1"/>
      <c r="Y361" s="1"/>
      <c r="Z361" s="1"/>
      <c r="AA361" s="1"/>
    </row>
    <row r="362" ht="15.75" customHeight="1">
      <c r="A362" s="1" t="str">
        <f>IFERROR(__xludf.DUMMYFUNCTION("""COMPUTED_VALUE"""),"Celestian Royal Leggings")</f>
        <v>Celestian Royal Leggings</v>
      </c>
      <c r="B362" s="1" t="str">
        <f>IFERROR(__xludf.DUMMYFUNCTION("""COMPUTED_VALUE"""),"Quest Item")</f>
        <v>Quest Item</v>
      </c>
      <c r="C362" s="1"/>
      <c r="D362" s="1" t="str">
        <f>IFERROR(__xludf.DUMMYFUNCTION("""COMPUTED_VALUE"""),"Legs")</f>
        <v>Legs</v>
      </c>
      <c r="E362" s="1">
        <f>IFERROR(__xludf.DUMMYFUNCTION("""COMPUTED_VALUE"""),200.0)</f>
        <v>200</v>
      </c>
      <c r="F362" s="1" t="str">
        <f>IFERROR(__xludf.DUMMYFUNCTION("""COMPUTED_VALUE"""),"DEF: +100000, Light DEF: +100000, Dark DEF: +100000, Celestial DEF: +100000 ++X6 Celestial Damage. +-Cannot be duplicated.")</f>
        <v>DEF: +100000, Light DEF: +100000, Dark DEF: +100000, Celestial DEF: +100000 ++X6 Celestial Damage. +-Cannot be duplicated.</v>
      </c>
      <c r="G362" s="1">
        <f>IFERROR(__xludf.DUMMYFUNCTION("""COMPUTED_VALUE"""),3.196E9)</f>
        <v>3196000000</v>
      </c>
      <c r="H362" s="1"/>
      <c r="I362" s="1"/>
      <c r="J362" s="1"/>
      <c r="K362" s="1"/>
      <c r="L362" s="1"/>
      <c r="M362" s="1"/>
      <c r="N362" s="1"/>
      <c r="O362" s="1"/>
      <c r="P362" s="1"/>
      <c r="Q362" s="1"/>
      <c r="R362" s="1"/>
      <c r="S362" s="1"/>
      <c r="T362" s="1"/>
      <c r="U362" s="1"/>
      <c r="V362" s="1"/>
      <c r="W362" s="1"/>
      <c r="X362" s="1"/>
      <c r="Y362" s="1"/>
      <c r="Z362" s="1"/>
      <c r="AA362" s="1"/>
    </row>
    <row r="363" ht="15.75" customHeight="1">
      <c r="A363" s="1" t="str">
        <f>IFERROR(__xludf.DUMMYFUNCTION("""COMPUTED_VALUE"""),"Celestian Royal Helmet")</f>
        <v>Celestian Royal Helmet</v>
      </c>
      <c r="B363" s="1" t="str">
        <f>IFERROR(__xludf.DUMMYFUNCTION("""COMPUTED_VALUE"""),"Quest Item")</f>
        <v>Quest Item</v>
      </c>
      <c r="C363" s="1"/>
      <c r="D363" s="1" t="str">
        <f>IFERROR(__xludf.DUMMYFUNCTION("""COMPUTED_VALUE"""),"Head")</f>
        <v>Head</v>
      </c>
      <c r="E363" s="1">
        <f>IFERROR(__xludf.DUMMYFUNCTION("""COMPUTED_VALUE"""),200.0)</f>
        <v>200</v>
      </c>
      <c r="F363" s="1" t="str">
        <f>IFERROR(__xludf.DUMMYFUNCTION("""COMPUTED_VALUE"""),"DEF: +100000, Light DEF: +100000, Dark DEF: +100000, Celestial DEF: +100000 ++X6 Celestial Damage. +-Cannot be duplicated.")</f>
        <v>DEF: +100000, Light DEF: +100000, Dark DEF: +100000, Celestial DEF: +100000 ++X6 Celestial Damage. +-Cannot be duplicated.</v>
      </c>
      <c r="G363" s="1">
        <f>IFERROR(__xludf.DUMMYFUNCTION("""COMPUTED_VALUE"""),3.196E9)</f>
        <v>3196000000</v>
      </c>
      <c r="H363" s="1"/>
      <c r="I363" s="1"/>
      <c r="J363" s="1"/>
      <c r="K363" s="1"/>
      <c r="L363" s="1"/>
      <c r="M363" s="1"/>
      <c r="N363" s="1"/>
      <c r="O363" s="1"/>
      <c r="P363" s="1"/>
      <c r="Q363" s="1"/>
      <c r="R363" s="1"/>
      <c r="S363" s="1"/>
      <c r="T363" s="1"/>
      <c r="U363" s="1"/>
      <c r="V363" s="1"/>
      <c r="W363" s="1"/>
      <c r="X363" s="1"/>
      <c r="Y363" s="1"/>
      <c r="Z363" s="1"/>
      <c r="AA363" s="1"/>
    </row>
    <row r="364" ht="15.75" customHeight="1">
      <c r="A364" s="1" t="str">
        <f>IFERROR(__xludf.DUMMYFUNCTION("""COMPUTED_VALUE"""),"Celestian Royal Chestplate")</f>
        <v>Celestian Royal Chestplate</v>
      </c>
      <c r="B364" s="1" t="str">
        <f>IFERROR(__xludf.DUMMYFUNCTION("""COMPUTED_VALUE"""),"Quest Item")</f>
        <v>Quest Item</v>
      </c>
      <c r="C364" s="1"/>
      <c r="D364" s="1" t="str">
        <f>IFERROR(__xludf.DUMMYFUNCTION("""COMPUTED_VALUE"""),"Torso")</f>
        <v>Torso</v>
      </c>
      <c r="E364" s="1">
        <f>IFERROR(__xludf.DUMMYFUNCTION("""COMPUTED_VALUE"""),200.0)</f>
        <v>200</v>
      </c>
      <c r="F364" s="1" t="str">
        <f>IFERROR(__xludf.DUMMYFUNCTION("""COMPUTED_VALUE"""),"DEF: +100000, Light DEF: +100000, Dark DEF: +100000, Celestial DEF: +100000 ++X6 Celestial Damage. +-Cannot be duplicated.")</f>
        <v>DEF: +100000, Light DEF: +100000, Dark DEF: +100000, Celestial DEF: +100000 ++X6 Celestial Damage. +-Cannot be duplicated.</v>
      </c>
      <c r="G364" s="1">
        <f>IFERROR(__xludf.DUMMYFUNCTION("""COMPUTED_VALUE"""),3.196E9)</f>
        <v>3196000000</v>
      </c>
      <c r="H364" s="1"/>
      <c r="I364" s="1"/>
      <c r="J364" s="1"/>
      <c r="K364" s="1"/>
      <c r="L364" s="1"/>
      <c r="M364" s="1"/>
      <c r="N364" s="1"/>
      <c r="O364" s="1"/>
      <c r="P364" s="1"/>
      <c r="Q364" s="1"/>
      <c r="R364" s="1"/>
      <c r="S364" s="1"/>
      <c r="T364" s="1"/>
      <c r="U364" s="1"/>
      <c r="V364" s="1"/>
      <c r="W364" s="1"/>
      <c r="X364" s="1"/>
      <c r="Y364" s="1"/>
      <c r="Z364" s="1"/>
      <c r="AA364" s="1"/>
    </row>
    <row r="365" ht="15.75" customHeight="1">
      <c r="A365" s="1" t="str">
        <f>IFERROR(__xludf.DUMMYFUNCTION("""COMPUTED_VALUE"""),"Guard Chestplate")</f>
        <v>Guard Chestplate</v>
      </c>
      <c r="B365" s="1" t="str">
        <f>IFERROR(__xludf.DUMMYFUNCTION("""COMPUTED_VALUE"""),"Quest Item")</f>
        <v>Quest Item</v>
      </c>
      <c r="C365" s="1"/>
      <c r="D365" s="1" t="str">
        <f>IFERROR(__xludf.DUMMYFUNCTION("""COMPUTED_VALUE"""),"Torso")</f>
        <v>Torso</v>
      </c>
      <c r="E365" s="1">
        <f>IFERROR(__xludf.DUMMYFUNCTION("""COMPUTED_VALUE"""),200.0)</f>
        <v>200</v>
      </c>
      <c r="F365" s="1" t="str">
        <f>IFERROR(__xludf.DUMMYFUNCTION("""COMPUTED_VALUE"""),"DEF: +25000, Light DEF: +25000, Celestial DEF: +25000 +-Cannot be duplicated.")</f>
        <v>DEF: +25000, Light DEF: +25000, Celestial DEF: +25000 +-Cannot be duplicated.</v>
      </c>
      <c r="G365" s="1">
        <f>IFERROR(__xludf.DUMMYFUNCTION("""COMPUTED_VALUE"""),1.1175E8)</f>
        <v>111750000</v>
      </c>
      <c r="H365" s="1"/>
      <c r="I365" s="1"/>
      <c r="J365" s="1"/>
      <c r="K365" s="1"/>
      <c r="L365" s="1"/>
      <c r="M365" s="1"/>
      <c r="N365" s="1"/>
      <c r="O365" s="1"/>
      <c r="P365" s="1"/>
      <c r="Q365" s="1"/>
      <c r="R365" s="1"/>
      <c r="S365" s="1"/>
      <c r="T365" s="1"/>
      <c r="U365" s="1"/>
      <c r="V365" s="1"/>
      <c r="W365" s="1"/>
      <c r="X365" s="1"/>
      <c r="Y365" s="1"/>
      <c r="Z365" s="1"/>
      <c r="AA365" s="1"/>
    </row>
    <row r="366" ht="15.75" customHeight="1">
      <c r="A366" s="1" t="str">
        <f>IFERROR(__xludf.DUMMYFUNCTION("""COMPUTED_VALUE"""),"Revolver")</f>
        <v>Revolver</v>
      </c>
      <c r="B366" s="1"/>
      <c r="C366" s="1" t="str">
        <f>IFERROR(__xludf.DUMMYFUNCTION("""COMPUTED_VALUE"""),"Firearm")</f>
        <v>Firearm</v>
      </c>
      <c r="D366" s="1" t="str">
        <f>IFERROR(__xludf.DUMMYFUNCTION("""COMPUTED_VALUE"""),"Hand")</f>
        <v>Hand</v>
      </c>
      <c r="E366" s="1">
        <f>IFERROR(__xludf.DUMMYFUNCTION("""COMPUTED_VALUE"""),200.0)</f>
        <v>200</v>
      </c>
      <c r="F366" s="1" t="str">
        <f>IFERROR(__xludf.DUMMYFUNCTION("""COMPUTED_VALUE"""),"DMG: +5000, Blood DMG: +5000")</f>
        <v>DMG: +5000, Blood DMG: +5000</v>
      </c>
      <c r="G366" s="1">
        <f>IFERROR(__xludf.DUMMYFUNCTION("""COMPUTED_VALUE"""),1900000.0)</f>
        <v>1900000</v>
      </c>
      <c r="H366" s="1"/>
      <c r="I366" s="1"/>
      <c r="J366" s="1"/>
      <c r="K366" s="1"/>
      <c r="L366" s="1"/>
      <c r="M366" s="1"/>
      <c r="N366" s="1"/>
      <c r="O366" s="1"/>
      <c r="P366" s="1"/>
      <c r="Q366" s="1"/>
      <c r="R366" s="1"/>
      <c r="S366" s="1"/>
      <c r="T366" s="1"/>
      <c r="U366" s="1"/>
      <c r="V366" s="1"/>
      <c r="W366" s="1"/>
      <c r="X366" s="1"/>
      <c r="Y366" s="1"/>
      <c r="Z366" s="1"/>
      <c r="AA366" s="1"/>
    </row>
    <row r="367" ht="15.75" customHeight="1">
      <c r="A367" s="1" t="str">
        <f>IFERROR(__xludf.DUMMYFUNCTION("""COMPUTED_VALUE"""),"Musket")</f>
        <v>Musket</v>
      </c>
      <c r="B367" s="1"/>
      <c r="C367" s="1" t="str">
        <f>IFERROR(__xludf.DUMMYFUNCTION("""COMPUTED_VALUE"""),"Firearm")</f>
        <v>Firearm</v>
      </c>
      <c r="D367" s="1" t="str">
        <f>IFERROR(__xludf.DUMMYFUNCTION("""COMPUTED_VALUE"""),"Hand")</f>
        <v>Hand</v>
      </c>
      <c r="E367" s="1">
        <f>IFERROR(__xludf.DUMMYFUNCTION("""COMPUTED_VALUE"""),400.0)</f>
        <v>400</v>
      </c>
      <c r="F367" s="1" t="str">
        <f>IFERROR(__xludf.DUMMYFUNCTION("""COMPUTED_VALUE"""),"DMG: +10000, Blood DMG: +10000")</f>
        <v>DMG: +10000, Blood DMG: +10000</v>
      </c>
      <c r="G367" s="1">
        <f>IFERROR(__xludf.DUMMYFUNCTION("""COMPUTED_VALUE"""),7800000.0)</f>
        <v>7800000</v>
      </c>
      <c r="H367" s="1"/>
      <c r="I367" s="1"/>
      <c r="J367" s="1"/>
      <c r="K367" s="1"/>
      <c r="L367" s="1"/>
      <c r="M367" s="1"/>
      <c r="N367" s="1"/>
      <c r="O367" s="1"/>
      <c r="P367" s="1"/>
      <c r="Q367" s="1"/>
      <c r="R367" s="1"/>
      <c r="S367" s="1"/>
      <c r="T367" s="1"/>
      <c r="U367" s="1"/>
      <c r="V367" s="1"/>
      <c r="W367" s="1"/>
      <c r="X367" s="1"/>
      <c r="Y367" s="1"/>
      <c r="Z367" s="1"/>
      <c r="AA367" s="1"/>
    </row>
    <row r="368" ht="15.75" customHeight="1">
      <c r="A368" s="1" t="str">
        <f>IFERROR(__xludf.DUMMYFUNCTION("""COMPUTED_VALUE"""),"Lazer Infused Railgun")</f>
        <v>Lazer Infused Railgun</v>
      </c>
      <c r="B368" s="1"/>
      <c r="C368" s="1" t="str">
        <f>IFERROR(__xludf.DUMMYFUNCTION("""COMPUTED_VALUE"""),"Firearm")</f>
        <v>Firearm</v>
      </c>
      <c r="D368" s="1" t="str">
        <f>IFERROR(__xludf.DUMMYFUNCTION("""COMPUTED_VALUE"""),"Hand")</f>
        <v>Hand</v>
      </c>
      <c r="E368" s="1">
        <f>IFERROR(__xludf.DUMMYFUNCTION("""COMPUTED_VALUE"""),1600.0)</f>
        <v>1600</v>
      </c>
      <c r="F368" s="1"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
        <f>IFERROR(__xludf.DUMMYFUNCTION("""COMPUTED_VALUE"""),1.272E8)</f>
        <v>127200000</v>
      </c>
      <c r="H368" s="1"/>
      <c r="I368" s="1"/>
      <c r="J368" s="1"/>
      <c r="K368" s="1"/>
      <c r="L368" s="1"/>
      <c r="M368" s="1"/>
      <c r="N368" s="1"/>
      <c r="O368" s="1"/>
      <c r="P368" s="1"/>
      <c r="Q368" s="1"/>
      <c r="R368" s="1"/>
      <c r="S368" s="1"/>
      <c r="T368" s="1"/>
      <c r="U368" s="1"/>
      <c r="V368" s="1"/>
      <c r="W368" s="1"/>
      <c r="X368" s="1"/>
      <c r="Y368" s="1"/>
      <c r="Z368" s="1"/>
      <c r="AA368" s="1"/>
    </row>
    <row r="369" ht="15.75" customHeight="1">
      <c r="A369" s="1" t="str">
        <f>IFERROR(__xludf.DUMMYFUNCTION("""COMPUTED_VALUE"""),"Minigun")</f>
        <v>Minigun</v>
      </c>
      <c r="B369" s="1"/>
      <c r="C369" s="1" t="str">
        <f>IFERROR(__xludf.DUMMYFUNCTION("""COMPUTED_VALUE"""),"Firearm")</f>
        <v>Firearm</v>
      </c>
      <c r="D369" s="1" t="str">
        <f>IFERROR(__xludf.DUMMYFUNCTION("""COMPUTED_VALUE"""),"Hand")</f>
        <v>Hand</v>
      </c>
      <c r="E369" s="1">
        <f>IFERROR(__xludf.DUMMYFUNCTION("""COMPUTED_VALUE"""),1200.0)</f>
        <v>1200</v>
      </c>
      <c r="F369" s="1"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
        <f>IFERROR(__xludf.DUMMYFUNCTION("""COMPUTED_VALUE"""),7.14E7)</f>
        <v>71400000</v>
      </c>
      <c r="H369" s="1"/>
      <c r="I369" s="1"/>
      <c r="J369" s="1"/>
      <c r="K369" s="1"/>
      <c r="L369" s="1"/>
      <c r="M369" s="1"/>
      <c r="N369" s="1"/>
      <c r="O369" s="1"/>
      <c r="P369" s="1"/>
      <c r="Q369" s="1"/>
      <c r="R369" s="1"/>
      <c r="S369" s="1"/>
      <c r="T369" s="1"/>
      <c r="U369" s="1"/>
      <c r="V369" s="1"/>
      <c r="W369" s="1"/>
      <c r="X369" s="1"/>
      <c r="Y369" s="1"/>
      <c r="Z369" s="1"/>
      <c r="AA369" s="1"/>
    </row>
    <row r="370" ht="15.75" customHeight="1">
      <c r="A370" s="1" t="str">
        <f>IFERROR(__xludf.DUMMYFUNCTION("""COMPUTED_VALUE"""),"Seahorse’s Ring")</f>
        <v>Seahorse’s Ring</v>
      </c>
      <c r="B370" s="1"/>
      <c r="C370" s="1"/>
      <c r="D370" s="1" t="str">
        <f>IFERROR(__xludf.DUMMYFUNCTION("""COMPUTED_VALUE"""),"Ring")</f>
        <v>Ring</v>
      </c>
      <c r="E370" s="1">
        <f>IFERROR(__xludf.DUMMYFUNCTION("""COMPUTED_VALUE"""),20.0)</f>
        <v>20</v>
      </c>
      <c r="F370" s="1"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
        <f>IFERROR(__xludf.DUMMYFUNCTION("""COMPUTED_VALUE"""),10000.0)</f>
        <v>10000</v>
      </c>
      <c r="H370" s="1"/>
      <c r="I370" s="1"/>
      <c r="J370" s="1"/>
      <c r="K370" s="1"/>
      <c r="L370" s="1"/>
      <c r="M370" s="1"/>
      <c r="N370" s="1"/>
      <c r="O370" s="1"/>
      <c r="P370" s="1"/>
      <c r="Q370" s="1"/>
      <c r="R370" s="1"/>
      <c r="S370" s="1"/>
      <c r="T370" s="1"/>
      <c r="U370" s="1"/>
      <c r="V370" s="1"/>
      <c r="W370" s="1"/>
      <c r="X370" s="1"/>
      <c r="Y370" s="1"/>
      <c r="Z370" s="1"/>
      <c r="AA370" s="1"/>
    </row>
    <row r="371" ht="15.75" customHeight="1">
      <c r="A371" s="1" t="str">
        <f>IFERROR(__xludf.DUMMYFUNCTION("""COMPUTED_VALUE"""),"Bamboo Vambraces")</f>
        <v>Bamboo Vambraces</v>
      </c>
      <c r="B371" s="1"/>
      <c r="C371" s="1"/>
      <c r="D371" s="1" t="str">
        <f>IFERROR(__xludf.DUMMYFUNCTION("""COMPUTED_VALUE"""),"Arms")</f>
        <v>Arms</v>
      </c>
      <c r="E371" s="1">
        <f>IFERROR(__xludf.DUMMYFUNCTION("""COMPUTED_VALUE"""),40.0)</f>
        <v>40</v>
      </c>
      <c r="F371" s="1" t="str">
        <f>IFERROR(__xludf.DUMMYFUNCTION("""COMPUTED_VALUE"""),"DEF: +1000, Nature DEF: +1000")</f>
        <v>DEF: +1000, Nature DEF: +1000</v>
      </c>
      <c r="G371" s="1">
        <f>IFERROR(__xludf.DUMMYFUNCTION("""COMPUTED_VALUE"""),60000.0)</f>
        <v>60000</v>
      </c>
      <c r="H371" s="1"/>
      <c r="I371" s="1"/>
      <c r="J371" s="1"/>
      <c r="K371" s="1"/>
      <c r="L371" s="1"/>
      <c r="M371" s="1"/>
      <c r="N371" s="1"/>
      <c r="O371" s="1"/>
      <c r="P371" s="1"/>
      <c r="Q371" s="1"/>
      <c r="R371" s="1"/>
      <c r="S371" s="1"/>
      <c r="T371" s="1"/>
      <c r="U371" s="1"/>
      <c r="V371" s="1"/>
      <c r="W371" s="1"/>
      <c r="X371" s="1"/>
      <c r="Y371" s="1"/>
      <c r="Z371" s="1"/>
      <c r="AA371" s="1"/>
    </row>
    <row r="372" ht="15.75" customHeight="1">
      <c r="A372" s="1" t="str">
        <f>IFERROR(__xludf.DUMMYFUNCTION("""COMPUTED_VALUE"""),"Bamboo Pauldrons")</f>
        <v>Bamboo Pauldrons</v>
      </c>
      <c r="B372" s="1"/>
      <c r="C372" s="1"/>
      <c r="D372" s="1" t="str">
        <f>IFERROR(__xludf.DUMMYFUNCTION("""COMPUTED_VALUE"""),"Shoulders")</f>
        <v>Shoulders</v>
      </c>
      <c r="E372" s="1">
        <f>IFERROR(__xludf.DUMMYFUNCTION("""COMPUTED_VALUE"""),40.0)</f>
        <v>40</v>
      </c>
      <c r="F372" s="1" t="str">
        <f>IFERROR(__xludf.DUMMYFUNCTION("""COMPUTED_VALUE"""),"DEF: +1000, Nature DEF: +1000")</f>
        <v>DEF: +1000, Nature DEF: +1000</v>
      </c>
      <c r="G372" s="1">
        <f>IFERROR(__xludf.DUMMYFUNCTION("""COMPUTED_VALUE"""),60000.0)</f>
        <v>60000</v>
      </c>
      <c r="H372" s="1"/>
      <c r="I372" s="1"/>
      <c r="J372" s="1"/>
      <c r="K372" s="1"/>
      <c r="L372" s="1"/>
      <c r="M372" s="1"/>
      <c r="N372" s="1"/>
      <c r="O372" s="1"/>
      <c r="P372" s="1"/>
      <c r="Q372" s="1"/>
      <c r="R372" s="1"/>
      <c r="S372" s="1"/>
      <c r="T372" s="1"/>
      <c r="U372" s="1"/>
      <c r="V372" s="1"/>
      <c r="W372" s="1"/>
      <c r="X372" s="1"/>
      <c r="Y372" s="1"/>
      <c r="Z372" s="1"/>
      <c r="AA372" s="1"/>
    </row>
    <row r="373" ht="15.75" customHeight="1">
      <c r="A373" s="1" t="str">
        <f>IFERROR(__xludf.DUMMYFUNCTION("""COMPUTED_VALUE"""),"Bamboo Chestplate")</f>
        <v>Bamboo Chestplate</v>
      </c>
      <c r="B373" s="1"/>
      <c r="C373" s="1"/>
      <c r="D373" s="1" t="str">
        <f>IFERROR(__xludf.DUMMYFUNCTION("""COMPUTED_VALUE"""),"Torso")</f>
        <v>Torso</v>
      </c>
      <c r="E373" s="1">
        <f>IFERROR(__xludf.DUMMYFUNCTION("""COMPUTED_VALUE"""),40.0)</f>
        <v>40</v>
      </c>
      <c r="F373" s="1" t="str">
        <f>IFERROR(__xludf.DUMMYFUNCTION("""COMPUTED_VALUE"""),"DEF: +1000, Nature DEF: +1000")</f>
        <v>DEF: +1000, Nature DEF: +1000</v>
      </c>
      <c r="G373" s="1">
        <f>IFERROR(__xludf.DUMMYFUNCTION("""COMPUTED_VALUE"""),60000.0)</f>
        <v>60000</v>
      </c>
      <c r="H373" s="1"/>
      <c r="I373" s="1"/>
      <c r="J373" s="1"/>
      <c r="K373" s="1"/>
      <c r="L373" s="1"/>
      <c r="M373" s="1"/>
      <c r="N373" s="1"/>
      <c r="O373" s="1"/>
      <c r="P373" s="1"/>
      <c r="Q373" s="1"/>
      <c r="R373" s="1"/>
      <c r="S373" s="1"/>
      <c r="T373" s="1"/>
      <c r="U373" s="1"/>
      <c r="V373" s="1"/>
      <c r="W373" s="1"/>
      <c r="X373" s="1"/>
      <c r="Y373" s="1"/>
      <c r="Z373" s="1"/>
      <c r="AA373" s="1"/>
    </row>
    <row r="374" ht="15.75" customHeight="1">
      <c r="A374" s="1" t="str">
        <f>IFERROR(__xludf.DUMMYFUNCTION("""COMPUTED_VALUE"""),"Bamboo Greaves")</f>
        <v>Bamboo Greaves</v>
      </c>
      <c r="B374" s="1"/>
      <c r="C374" s="1"/>
      <c r="D374" s="1" t="str">
        <f>IFERROR(__xludf.DUMMYFUNCTION("""COMPUTED_VALUE"""),"Legs")</f>
        <v>Legs</v>
      </c>
      <c r="E374" s="1">
        <f>IFERROR(__xludf.DUMMYFUNCTION("""COMPUTED_VALUE"""),40.0)</f>
        <v>40</v>
      </c>
      <c r="F374" s="1" t="str">
        <f>IFERROR(__xludf.DUMMYFUNCTION("""COMPUTED_VALUE"""),"DEF: +1000, Nature DEF: +1000")</f>
        <v>DEF: +1000, Nature DEF: +1000</v>
      </c>
      <c r="G374" s="1">
        <f>IFERROR(__xludf.DUMMYFUNCTION("""COMPUTED_VALUE"""),60000.0)</f>
        <v>60000</v>
      </c>
      <c r="H374" s="1"/>
      <c r="I374" s="1"/>
      <c r="J374" s="1"/>
      <c r="K374" s="1"/>
      <c r="L374" s="1"/>
      <c r="M374" s="1"/>
      <c r="N374" s="1"/>
      <c r="O374" s="1"/>
      <c r="P374" s="1"/>
      <c r="Q374" s="1"/>
      <c r="R374" s="1"/>
      <c r="S374" s="1"/>
      <c r="T374" s="1"/>
      <c r="U374" s="1"/>
      <c r="V374" s="1"/>
      <c r="W374" s="1"/>
      <c r="X374" s="1"/>
      <c r="Y374" s="1"/>
      <c r="Z374" s="1"/>
      <c r="AA374" s="1"/>
    </row>
    <row r="375" ht="15.75" customHeight="1">
      <c r="A375" s="1" t="str">
        <f>IFERROR(__xludf.DUMMYFUNCTION("""COMPUTED_VALUE"""),"Strengthened Bamboo Sword")</f>
        <v>Strengthened Bamboo Sword</v>
      </c>
      <c r="B375" s="1"/>
      <c r="C375" s="1" t="str">
        <f>IFERROR(__xludf.DUMMYFUNCTION("""COMPUTED_VALUE"""),"Sword")</f>
        <v>Sword</v>
      </c>
      <c r="D375" s="1" t="str">
        <f>IFERROR(__xludf.DUMMYFUNCTION("""COMPUTED_VALUE"""),"Hand")</f>
        <v>Hand</v>
      </c>
      <c r="E375" s="1">
        <f>IFERROR(__xludf.DUMMYFUNCTION("""COMPUTED_VALUE"""),40.0)</f>
        <v>40</v>
      </c>
      <c r="F375" s="1" t="str">
        <f>IFERROR(__xludf.DUMMYFUNCTION("""COMPUTED_VALUE"""),"DMG: +1000, Nature DMG: +1000 ++X4 damage for this weapon if the battle is in a Forest or Jungle.")</f>
        <v>DMG: +1000, Nature DMG: +1000 ++X4 damage for this weapon if the battle is in a Forest or Jungle.</v>
      </c>
      <c r="G375" s="1">
        <f>IFERROR(__xludf.DUMMYFUNCTION("""COMPUTED_VALUE"""),60000.0)</f>
        <v>60000</v>
      </c>
      <c r="H375" s="1"/>
      <c r="I375" s="1"/>
      <c r="J375" s="1"/>
      <c r="K375" s="1"/>
      <c r="L375" s="1"/>
      <c r="M375" s="1"/>
      <c r="N375" s="1"/>
      <c r="O375" s="1"/>
      <c r="P375" s="1"/>
      <c r="Q375" s="1"/>
      <c r="R375" s="1"/>
      <c r="S375" s="1"/>
      <c r="T375" s="1"/>
      <c r="U375" s="1"/>
      <c r="V375" s="1"/>
      <c r="W375" s="1"/>
      <c r="X375" s="1"/>
      <c r="Y375" s="1"/>
      <c r="Z375" s="1"/>
      <c r="AA375" s="1"/>
    </row>
    <row r="376" ht="15.75" customHeight="1">
      <c r="A376" s="1" t="str">
        <f>IFERROR(__xludf.DUMMYFUNCTION("""COMPUTED_VALUE"""),"Bamboo Sandals")</f>
        <v>Bamboo Sandals</v>
      </c>
      <c r="B376" s="1"/>
      <c r="C376" s="1"/>
      <c r="D376" s="1" t="str">
        <f>IFERROR(__xludf.DUMMYFUNCTION("""COMPUTED_VALUE"""),"Feet")</f>
        <v>Feet</v>
      </c>
      <c r="E376" s="1">
        <f>IFERROR(__xludf.DUMMYFUNCTION("""COMPUTED_VALUE"""),40.0)</f>
        <v>40</v>
      </c>
      <c r="F376" s="1" t="str">
        <f>IFERROR(__xludf.DUMMYFUNCTION("""COMPUTED_VALUE"""),"DEF: +1000, Nature DEF: +1000")</f>
        <v>DEF: +1000, Nature DEF: +1000</v>
      </c>
      <c r="G376" s="1">
        <f>IFERROR(__xludf.DUMMYFUNCTION("""COMPUTED_VALUE"""),60000.0)</f>
        <v>60000</v>
      </c>
      <c r="H376" s="1"/>
      <c r="I376" s="1"/>
      <c r="J376" s="1"/>
      <c r="K376" s="1"/>
      <c r="L376" s="1"/>
      <c r="M376" s="1"/>
      <c r="N376" s="1"/>
      <c r="O376" s="1"/>
      <c r="P376" s="1"/>
      <c r="Q376" s="1"/>
      <c r="R376" s="1"/>
      <c r="S376" s="1"/>
      <c r="T376" s="1"/>
      <c r="U376" s="1"/>
      <c r="V376" s="1"/>
      <c r="W376" s="1"/>
      <c r="X376" s="1"/>
      <c r="Y376" s="1"/>
      <c r="Z376" s="1"/>
      <c r="AA376" s="1"/>
    </row>
    <row r="377" ht="15.75" customHeight="1">
      <c r="A377" s="1" t="str">
        <f>IFERROR(__xludf.DUMMYFUNCTION("""COMPUTED_VALUE"""),"Greaves of Foul Night")</f>
        <v>Greaves of Foul Night</v>
      </c>
      <c r="B377" s="1"/>
      <c r="C377" s="1"/>
      <c r="D377" s="1" t="str">
        <f>IFERROR(__xludf.DUMMYFUNCTION("""COMPUTED_VALUE"""),"Legs")</f>
        <v>Legs</v>
      </c>
      <c r="E377" s="1">
        <f>IFERROR(__xludf.DUMMYFUNCTION("""COMPUTED_VALUE"""),200.0)</f>
        <v>200</v>
      </c>
      <c r="F377" s="1" t="str">
        <f>IFERROR(__xludf.DUMMYFUNCTION("""COMPUTED_VALUE"""),"DEF: +5000, Nature DEF: +5000 (Foul Night Set) ++X2 Nature and Poison damage, Poison Immunity.")</f>
        <v>DEF: +5000, Nature DEF: +5000 (Foul Night Set) ++X2 Nature and Poison damage, Poison Immunity.</v>
      </c>
      <c r="G377" s="1">
        <f>IFERROR(__xludf.DUMMYFUNCTION("""COMPUTED_VALUE"""),1900000.0)</f>
        <v>1900000</v>
      </c>
      <c r="H377" s="1"/>
      <c r="I377" s="1"/>
      <c r="J377" s="1"/>
      <c r="K377" s="1"/>
      <c r="L377" s="1"/>
      <c r="M377" s="1"/>
      <c r="N377" s="1"/>
      <c r="O377" s="1"/>
      <c r="P377" s="1"/>
      <c r="Q377" s="1"/>
      <c r="R377" s="1"/>
      <c r="S377" s="1"/>
      <c r="T377" s="1"/>
      <c r="U377" s="1"/>
      <c r="V377" s="1"/>
      <c r="W377" s="1"/>
      <c r="X377" s="1"/>
      <c r="Y377" s="1"/>
      <c r="Z377" s="1"/>
      <c r="AA377" s="1"/>
    </row>
    <row r="378" ht="15.75" customHeight="1">
      <c r="A378" s="1" t="str">
        <f>IFERROR(__xludf.DUMMYFUNCTION("""COMPUTED_VALUE"""),"Vambraces of Foul Night")</f>
        <v>Vambraces of Foul Night</v>
      </c>
      <c r="B378" s="1"/>
      <c r="C378" s="1"/>
      <c r="D378" s="1" t="str">
        <f>IFERROR(__xludf.DUMMYFUNCTION("""COMPUTED_VALUE"""),"Arms")</f>
        <v>Arms</v>
      </c>
      <c r="E378" s="1">
        <f>IFERROR(__xludf.DUMMYFUNCTION("""COMPUTED_VALUE"""),200.0)</f>
        <v>200</v>
      </c>
      <c r="F378" s="1" t="str">
        <f>IFERROR(__xludf.DUMMYFUNCTION("""COMPUTED_VALUE"""),"DEF: +5000, Dark DEF: +5000 (Foul Night Set) ++X2 Dark and Poison damage, Poison Immunity.")</f>
        <v>DEF: +5000, Dark DEF: +5000 (Foul Night Set) ++X2 Dark and Poison damage, Poison Immunity.</v>
      </c>
      <c r="G378" s="1">
        <f>IFERROR(__xludf.DUMMYFUNCTION("""COMPUTED_VALUE"""),1900000.0)</f>
        <v>1900000</v>
      </c>
      <c r="H378" s="1"/>
      <c r="I378" s="1"/>
      <c r="J378" s="1"/>
      <c r="K378" s="1"/>
      <c r="L378" s="1"/>
      <c r="M378" s="1"/>
      <c r="N378" s="1"/>
      <c r="O378" s="1"/>
      <c r="P378" s="1"/>
      <c r="Q378" s="1"/>
      <c r="R378" s="1"/>
      <c r="S378" s="1"/>
      <c r="T378" s="1"/>
      <c r="U378" s="1"/>
      <c r="V378" s="1"/>
      <c r="W378" s="1"/>
      <c r="X378" s="1"/>
      <c r="Y378" s="1"/>
      <c r="Z378" s="1"/>
      <c r="AA378" s="1"/>
    </row>
    <row r="379" ht="15.75" customHeight="1">
      <c r="A379" s="1" t="str">
        <f>IFERROR(__xludf.DUMMYFUNCTION("""COMPUTED_VALUE"""),"Boots of Foul Night")</f>
        <v>Boots of Foul Night</v>
      </c>
      <c r="B379" s="1"/>
      <c r="C379" s="1"/>
      <c r="D379" s="1" t="str">
        <f>IFERROR(__xludf.DUMMYFUNCTION("""COMPUTED_VALUE"""),"Feet")</f>
        <v>Feet</v>
      </c>
      <c r="E379" s="1">
        <f>IFERROR(__xludf.DUMMYFUNCTION("""COMPUTED_VALUE"""),200.0)</f>
        <v>200</v>
      </c>
      <c r="F379" s="1" t="str">
        <f>IFERROR(__xludf.DUMMYFUNCTION("""COMPUTED_VALUE"""),"DEF: +5000, Dark DEF: +5000 (Foul Night Set) ++X2 Dark and Poison damage, Poison Immunity.")</f>
        <v>DEF: +5000, Dark DEF: +5000 (Foul Night Set) ++X2 Dark and Poison damage, Poison Immunity.</v>
      </c>
      <c r="G379" s="1">
        <f>IFERROR(__xludf.DUMMYFUNCTION("""COMPUTED_VALUE"""),1900000.0)</f>
        <v>1900000</v>
      </c>
      <c r="H379" s="1"/>
      <c r="I379" s="1"/>
      <c r="J379" s="1"/>
      <c r="K379" s="1"/>
      <c r="L379" s="1"/>
      <c r="M379" s="1"/>
      <c r="N379" s="1"/>
      <c r="O379" s="1"/>
      <c r="P379" s="1"/>
      <c r="Q379" s="1"/>
      <c r="R379" s="1"/>
      <c r="S379" s="1"/>
      <c r="T379" s="1"/>
      <c r="U379" s="1"/>
      <c r="V379" s="1"/>
      <c r="W379" s="1"/>
      <c r="X379" s="1"/>
      <c r="Y379" s="1"/>
      <c r="Z379" s="1"/>
      <c r="AA379" s="1"/>
    </row>
    <row r="380" ht="15.75" customHeight="1">
      <c r="A380" s="1" t="str">
        <f>IFERROR(__xludf.DUMMYFUNCTION("""COMPUTED_VALUE"""),"Pauldrons of Foul Night")</f>
        <v>Pauldrons of Foul Night</v>
      </c>
      <c r="B380" s="1"/>
      <c r="C380" s="1"/>
      <c r="D380" s="1" t="str">
        <f>IFERROR(__xludf.DUMMYFUNCTION("""COMPUTED_VALUE"""),"Shoulders")</f>
        <v>Shoulders</v>
      </c>
      <c r="E380" s="1">
        <f>IFERROR(__xludf.DUMMYFUNCTION("""COMPUTED_VALUE"""),200.0)</f>
        <v>200</v>
      </c>
      <c r="F380" s="1" t="str">
        <f>IFERROR(__xludf.DUMMYFUNCTION("""COMPUTED_VALUE"""),"DEF: +5000, Dark DEF: +5000 (Foul Night Set) ++X2 Dark and Poison damage, Poison Immunity.")</f>
        <v>DEF: +5000, Dark DEF: +5000 (Foul Night Set) ++X2 Dark and Poison damage, Poison Immunity.</v>
      </c>
      <c r="G380" s="1">
        <f>IFERROR(__xludf.DUMMYFUNCTION("""COMPUTED_VALUE"""),1900000.0)</f>
        <v>1900000</v>
      </c>
      <c r="H380" s="1"/>
      <c r="I380" s="1"/>
      <c r="J380" s="1"/>
      <c r="K380" s="1"/>
      <c r="L380" s="1"/>
      <c r="M380" s="1"/>
      <c r="N380" s="1"/>
      <c r="O380" s="1"/>
      <c r="P380" s="1"/>
      <c r="Q380" s="1"/>
      <c r="R380" s="1"/>
      <c r="S380" s="1"/>
      <c r="T380" s="1"/>
      <c r="U380" s="1"/>
      <c r="V380" s="1"/>
      <c r="W380" s="1"/>
      <c r="X380" s="1"/>
      <c r="Y380" s="1"/>
      <c r="Z380" s="1"/>
      <c r="AA380" s="1"/>
    </row>
    <row r="381" ht="15.75" customHeight="1">
      <c r="A381" s="1" t="str">
        <f>IFERROR(__xludf.DUMMYFUNCTION("""COMPUTED_VALUE"""),"Crystal Forged Pauldrons")</f>
        <v>Crystal Forged Pauldrons</v>
      </c>
      <c r="B381" s="1"/>
      <c r="C381" s="1"/>
      <c r="D381" s="1" t="str">
        <f>IFERROR(__xludf.DUMMYFUNCTION("""COMPUTED_VALUE"""),"Shoulders")</f>
        <v>Shoulders</v>
      </c>
      <c r="E381" s="1">
        <f>IFERROR(__xludf.DUMMYFUNCTION("""COMPUTED_VALUE"""),200.0)</f>
        <v>200</v>
      </c>
      <c r="F381" s="1"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
        <f>IFERROR(__xludf.DUMMYFUNCTION("""COMPUTED_VALUE"""),1900000.0)</f>
        <v>1900000</v>
      </c>
      <c r="H381" s="1"/>
      <c r="I381" s="1"/>
      <c r="J381" s="1"/>
      <c r="K381" s="1"/>
      <c r="L381" s="1"/>
      <c r="M381" s="1"/>
      <c r="N381" s="1"/>
      <c r="O381" s="1"/>
      <c r="P381" s="1"/>
      <c r="Q381" s="1"/>
      <c r="R381" s="1"/>
      <c r="S381" s="1"/>
      <c r="T381" s="1"/>
      <c r="U381" s="1"/>
      <c r="V381" s="1"/>
      <c r="W381" s="1"/>
      <c r="X381" s="1"/>
      <c r="Y381" s="1"/>
      <c r="Z381" s="1"/>
      <c r="AA381" s="1"/>
    </row>
    <row r="382" ht="15.75" customHeight="1">
      <c r="A382" s="1" t="str">
        <f>IFERROR(__xludf.DUMMYFUNCTION("""COMPUTED_VALUE"""),"Crystal Forged Greaves")</f>
        <v>Crystal Forged Greaves</v>
      </c>
      <c r="B382" s="1"/>
      <c r="C382" s="1"/>
      <c r="D382" s="1" t="str">
        <f>IFERROR(__xludf.DUMMYFUNCTION("""COMPUTED_VALUE"""),"Legs")</f>
        <v>Legs</v>
      </c>
      <c r="E382" s="1">
        <f>IFERROR(__xludf.DUMMYFUNCTION("""COMPUTED_VALUE"""),200.0)</f>
        <v>200</v>
      </c>
      <c r="F382" s="1"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
        <f>IFERROR(__xludf.DUMMYFUNCTION("""COMPUTED_VALUE"""),1900000.0)</f>
        <v>1900000</v>
      </c>
      <c r="H382" s="1"/>
      <c r="I382" s="1"/>
      <c r="J382" s="1"/>
      <c r="K382" s="1"/>
      <c r="L382" s="1"/>
      <c r="M382" s="1"/>
      <c r="N382" s="1"/>
      <c r="O382" s="1"/>
      <c r="P382" s="1"/>
      <c r="Q382" s="1"/>
      <c r="R382" s="1"/>
      <c r="S382" s="1"/>
      <c r="T382" s="1"/>
      <c r="U382" s="1"/>
      <c r="V382" s="1"/>
      <c r="W382" s="1"/>
      <c r="X382" s="1"/>
      <c r="Y382" s="1"/>
      <c r="Z382" s="1"/>
      <c r="AA382" s="1"/>
    </row>
    <row r="383" ht="15.75" customHeight="1">
      <c r="A383" s="1" t="str">
        <f>IFERROR(__xludf.DUMMYFUNCTION("""COMPUTED_VALUE"""),"Crystal Forged Boots")</f>
        <v>Crystal Forged Boots</v>
      </c>
      <c r="B383" s="1"/>
      <c r="C383" s="1"/>
      <c r="D383" s="1" t="str">
        <f>IFERROR(__xludf.DUMMYFUNCTION("""COMPUTED_VALUE"""),"Feet")</f>
        <v>Feet</v>
      </c>
      <c r="E383" s="1">
        <f>IFERROR(__xludf.DUMMYFUNCTION("""COMPUTED_VALUE"""),200.0)</f>
        <v>200</v>
      </c>
      <c r="F383" s="1"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
        <f>IFERROR(__xludf.DUMMYFUNCTION("""COMPUTED_VALUE"""),1900000.0)</f>
        <v>1900000</v>
      </c>
      <c r="H383" s="1"/>
      <c r="I383" s="1"/>
      <c r="J383" s="1"/>
      <c r="K383" s="1"/>
      <c r="L383" s="1"/>
      <c r="M383" s="1"/>
      <c r="N383" s="1"/>
      <c r="O383" s="1"/>
      <c r="P383" s="1"/>
      <c r="Q383" s="1"/>
      <c r="R383" s="1"/>
      <c r="S383" s="1"/>
      <c r="T383" s="1"/>
      <c r="U383" s="1"/>
      <c r="V383" s="1"/>
      <c r="W383" s="1"/>
      <c r="X383" s="1"/>
      <c r="Y383" s="1"/>
      <c r="Z383" s="1"/>
      <c r="AA383" s="1"/>
    </row>
    <row r="384" ht="15.75" customHeight="1">
      <c r="A384" s="1" t="str">
        <f>IFERROR(__xludf.DUMMYFUNCTION("""COMPUTED_VALUE"""),"Crystal Forged Vambraces")</f>
        <v>Crystal Forged Vambraces</v>
      </c>
      <c r="B384" s="1"/>
      <c r="C384" s="1"/>
      <c r="D384" s="1" t="str">
        <f>IFERROR(__xludf.DUMMYFUNCTION("""COMPUTED_VALUE"""),"Arms")</f>
        <v>Arms</v>
      </c>
      <c r="E384" s="1">
        <f>IFERROR(__xludf.DUMMYFUNCTION("""COMPUTED_VALUE"""),200.0)</f>
        <v>200</v>
      </c>
      <c r="F384" s="1"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
        <f>IFERROR(__xludf.DUMMYFUNCTION("""COMPUTED_VALUE"""),1900000.0)</f>
        <v>1900000</v>
      </c>
      <c r="H384" s="1"/>
      <c r="I384" s="1"/>
      <c r="J384" s="1"/>
      <c r="K384" s="1"/>
      <c r="L384" s="1"/>
      <c r="M384" s="1"/>
      <c r="N384" s="1"/>
      <c r="O384" s="1"/>
      <c r="P384" s="1"/>
      <c r="Q384" s="1"/>
      <c r="R384" s="1"/>
      <c r="S384" s="1"/>
      <c r="T384" s="1"/>
      <c r="U384" s="1"/>
      <c r="V384" s="1"/>
      <c r="W384" s="1"/>
      <c r="X384" s="1"/>
      <c r="Y384" s="1"/>
      <c r="Z384" s="1"/>
      <c r="AA384" s="1"/>
    </row>
    <row r="385" ht="15.75" customHeight="1">
      <c r="A385" s="1" t="str">
        <f>IFERROR(__xludf.DUMMYFUNCTION("""COMPUTED_VALUE"""),"Fiddle")</f>
        <v>Fiddle</v>
      </c>
      <c r="B385" s="1"/>
      <c r="C385" s="1" t="str">
        <f>IFERROR(__xludf.DUMMYFUNCTION("""COMPUTED_VALUE"""),"Instrument")</f>
        <v>Instrument</v>
      </c>
      <c r="D385" s="1" t="str">
        <f>IFERROR(__xludf.DUMMYFUNCTION("""COMPUTED_VALUE"""),"Hand")</f>
        <v>Hand</v>
      </c>
      <c r="E385" s="1">
        <f>IFERROR(__xludf.DUMMYFUNCTION("""COMPUTED_VALUE"""),40.0)</f>
        <v>40</v>
      </c>
      <c r="F385" s="1" t="str">
        <f>IFERROR(__xludf.DUMMYFUNCTION("""COMPUTED_VALUE"""),"DMG: +2000")</f>
        <v>DMG: +2000</v>
      </c>
      <c r="G385" s="1">
        <f>IFERROR(__xludf.DUMMYFUNCTION("""COMPUTED_VALUE"""),60000.0)</f>
        <v>60000</v>
      </c>
      <c r="H385" s="1"/>
      <c r="I385" s="1"/>
      <c r="J385" s="1"/>
      <c r="K385" s="1"/>
      <c r="L385" s="1"/>
      <c r="M385" s="1"/>
      <c r="N385" s="1"/>
      <c r="O385" s="1"/>
      <c r="P385" s="1"/>
      <c r="Q385" s="1"/>
      <c r="R385" s="1"/>
      <c r="S385" s="1"/>
      <c r="T385" s="1"/>
      <c r="U385" s="1"/>
      <c r="V385" s="1"/>
      <c r="W385" s="1"/>
      <c r="X385" s="1"/>
      <c r="Y385" s="1"/>
      <c r="Z385" s="1"/>
      <c r="AA385" s="1"/>
    </row>
    <row r="386" ht="15.75" customHeight="1">
      <c r="A386" s="1" t="str">
        <f>IFERROR(__xludf.DUMMYFUNCTION("""COMPUTED_VALUE"""),"WyvernTail Blade")</f>
        <v>WyvernTail Blade</v>
      </c>
      <c r="B386" s="1"/>
      <c r="C386" s="1" t="str">
        <f>IFERROR(__xludf.DUMMYFUNCTION("""COMPUTED_VALUE"""),"Sword")</f>
        <v>Sword</v>
      </c>
      <c r="D386" s="1" t="str">
        <f>IFERROR(__xludf.DUMMYFUNCTION("""COMPUTED_VALUE"""),"Hand")</f>
        <v>Hand</v>
      </c>
      <c r="E386" s="1">
        <f>IFERROR(__xludf.DUMMYFUNCTION("""COMPUTED_VALUE"""),200.0)</f>
        <v>200</v>
      </c>
      <c r="F386" s="1" t="str">
        <f>IFERROR(__xludf.DUMMYFUNCTION("""COMPUTED_VALUE"""),"DMG: +5000, Water DMG: +5000 (Wyverntail Set) ++50% Chance to freeze the target being attacked by this weapon.")</f>
        <v>DMG: +5000, Water DMG: +5000 (Wyverntail Set) ++50% Chance to freeze the target being attacked by this weapon.</v>
      </c>
      <c r="G386" s="1">
        <f>IFERROR(__xludf.DUMMYFUNCTION("""COMPUTED_VALUE"""),1900000.0)</f>
        <v>1900000</v>
      </c>
      <c r="H386" s="1"/>
      <c r="I386" s="1"/>
      <c r="J386" s="1"/>
      <c r="K386" s="1"/>
      <c r="L386" s="1"/>
      <c r="M386" s="1"/>
      <c r="N386" s="1"/>
      <c r="O386" s="1"/>
      <c r="P386" s="1"/>
      <c r="Q386" s="1"/>
      <c r="R386" s="1"/>
      <c r="S386" s="1"/>
      <c r="T386" s="1"/>
      <c r="U386" s="1"/>
      <c r="V386" s="1"/>
      <c r="W386" s="1"/>
      <c r="X386" s="1"/>
      <c r="Y386" s="1"/>
      <c r="Z386" s="1"/>
      <c r="AA386" s="1"/>
    </row>
    <row r="387" ht="15.75" customHeight="1">
      <c r="A387" s="1" t="str">
        <f>IFERROR(__xludf.DUMMYFUNCTION("""COMPUTED_VALUE"""),"WyvernTail Helm")</f>
        <v>WyvernTail Helm</v>
      </c>
      <c r="B387" s="1"/>
      <c r="C387" s="1"/>
      <c r="D387" s="1" t="str">
        <f>IFERROR(__xludf.DUMMYFUNCTION("""COMPUTED_VALUE"""),"Head")</f>
        <v>Head</v>
      </c>
      <c r="E387" s="1">
        <f>IFERROR(__xludf.DUMMYFUNCTION("""COMPUTED_VALUE"""),200.0)</f>
        <v>200</v>
      </c>
      <c r="F387" s="1" t="str">
        <f>IFERROR(__xludf.DUMMYFUNCTION("""COMPUTED_VALUE"""),"DEF: +10000 (Wyverntail Set) ++Freeze Immunity")</f>
        <v>DEF: +10000 (Wyverntail Set) ++Freeze Immunity</v>
      </c>
      <c r="G387" s="1">
        <f>IFERROR(__xludf.DUMMYFUNCTION("""COMPUTED_VALUE"""),1900000.0)</f>
        <v>1900000</v>
      </c>
      <c r="H387" s="1"/>
      <c r="I387" s="1"/>
      <c r="J387" s="1"/>
      <c r="K387" s="1"/>
      <c r="L387" s="1"/>
      <c r="M387" s="1"/>
      <c r="N387" s="1"/>
      <c r="O387" s="1"/>
      <c r="P387" s="1"/>
      <c r="Q387" s="1"/>
      <c r="R387" s="1"/>
      <c r="S387" s="1"/>
      <c r="T387" s="1"/>
      <c r="U387" s="1"/>
      <c r="V387" s="1"/>
      <c r="W387" s="1"/>
      <c r="X387" s="1"/>
      <c r="Y387" s="1"/>
      <c r="Z387" s="1"/>
      <c r="AA387" s="1"/>
    </row>
    <row r="388" ht="15.75" customHeight="1">
      <c r="A388" s="1" t="str">
        <f>IFERROR(__xludf.DUMMYFUNCTION("""COMPUTED_VALUE"""),"WyvernTail Pauldrons")</f>
        <v>WyvernTail Pauldrons</v>
      </c>
      <c r="B388" s="1"/>
      <c r="C388" s="1"/>
      <c r="D388" s="1" t="str">
        <f>IFERROR(__xludf.DUMMYFUNCTION("""COMPUTED_VALUE"""),"Shoulders")</f>
        <v>Shoulders</v>
      </c>
      <c r="E388" s="1">
        <f>IFERROR(__xludf.DUMMYFUNCTION("""COMPUTED_VALUE"""),200.0)</f>
        <v>200</v>
      </c>
      <c r="F388" s="1" t="str">
        <f>IFERROR(__xludf.DUMMYFUNCTION("""COMPUTED_VALUE"""),"DEF: +10000 (Wyverntail Set) ++Freeze Immunity")</f>
        <v>DEF: +10000 (Wyverntail Set) ++Freeze Immunity</v>
      </c>
      <c r="G388" s="1">
        <f>IFERROR(__xludf.DUMMYFUNCTION("""COMPUTED_VALUE"""),1900000.0)</f>
        <v>1900000</v>
      </c>
      <c r="H388" s="1"/>
      <c r="I388" s="1"/>
      <c r="J388" s="1"/>
      <c r="K388" s="1"/>
      <c r="L388" s="1"/>
      <c r="M388" s="1"/>
      <c r="N388" s="1"/>
      <c r="O388" s="1"/>
      <c r="P388" s="1"/>
      <c r="Q388" s="1"/>
      <c r="R388" s="1"/>
      <c r="S388" s="1"/>
      <c r="T388" s="1"/>
      <c r="U388" s="1"/>
      <c r="V388" s="1"/>
      <c r="W388" s="1"/>
      <c r="X388" s="1"/>
      <c r="Y388" s="1"/>
      <c r="Z388" s="1"/>
      <c r="AA388" s="1"/>
    </row>
    <row r="389" ht="15.75" customHeight="1">
      <c r="A389" s="1" t="str">
        <f>IFERROR(__xludf.DUMMYFUNCTION("""COMPUTED_VALUE"""),"WyvernTail Chestplate")</f>
        <v>WyvernTail Chestplate</v>
      </c>
      <c r="B389" s="1"/>
      <c r="C389" s="1"/>
      <c r="D389" s="1" t="str">
        <f>IFERROR(__xludf.DUMMYFUNCTION("""COMPUTED_VALUE"""),"Torso")</f>
        <v>Torso</v>
      </c>
      <c r="E389" s="1">
        <f>IFERROR(__xludf.DUMMYFUNCTION("""COMPUTED_VALUE"""),200.0)</f>
        <v>200</v>
      </c>
      <c r="F389" s="1" t="str">
        <f>IFERROR(__xludf.DUMMYFUNCTION("""COMPUTED_VALUE"""),"DEF: +10000 (Wyverntail Set) ++Freeze Immunity")</f>
        <v>DEF: +10000 (Wyverntail Set) ++Freeze Immunity</v>
      </c>
      <c r="G389" s="1">
        <f>IFERROR(__xludf.DUMMYFUNCTION("""COMPUTED_VALUE"""),1900000.0)</f>
        <v>1900000</v>
      </c>
      <c r="H389" s="1"/>
      <c r="I389" s="1"/>
      <c r="J389" s="1"/>
      <c r="K389" s="1"/>
      <c r="L389" s="1"/>
      <c r="M389" s="1"/>
      <c r="N389" s="1"/>
      <c r="O389" s="1"/>
      <c r="P389" s="1"/>
      <c r="Q389" s="1"/>
      <c r="R389" s="1"/>
      <c r="S389" s="1"/>
      <c r="T389" s="1"/>
      <c r="U389" s="1"/>
      <c r="V389" s="1"/>
      <c r="W389" s="1"/>
      <c r="X389" s="1"/>
      <c r="Y389" s="1"/>
      <c r="Z389" s="1"/>
      <c r="AA389" s="1"/>
    </row>
    <row r="390" ht="15.75" customHeight="1">
      <c r="A390" s="1" t="str">
        <f>IFERROR(__xludf.DUMMYFUNCTION("""COMPUTED_VALUE"""),"WyvernTail Vambraces")</f>
        <v>WyvernTail Vambraces</v>
      </c>
      <c r="B390" s="1"/>
      <c r="C390" s="1"/>
      <c r="D390" s="1" t="str">
        <f>IFERROR(__xludf.DUMMYFUNCTION("""COMPUTED_VALUE"""),"Arms")</f>
        <v>Arms</v>
      </c>
      <c r="E390" s="1">
        <f>IFERROR(__xludf.DUMMYFUNCTION("""COMPUTED_VALUE"""),200.0)</f>
        <v>200</v>
      </c>
      <c r="F390" s="1" t="str">
        <f>IFERROR(__xludf.DUMMYFUNCTION("""COMPUTED_VALUE"""),"DEF: +10000 (Wyverntail Set) ++Freeze Immunity")</f>
        <v>DEF: +10000 (Wyverntail Set) ++Freeze Immunity</v>
      </c>
      <c r="G390" s="1">
        <f>IFERROR(__xludf.DUMMYFUNCTION("""COMPUTED_VALUE"""),1900000.0)</f>
        <v>1900000</v>
      </c>
      <c r="H390" s="1"/>
      <c r="I390" s="1"/>
      <c r="J390" s="1"/>
      <c r="K390" s="1"/>
      <c r="L390" s="1"/>
      <c r="M390" s="1"/>
      <c r="N390" s="1"/>
      <c r="O390" s="1"/>
      <c r="P390" s="1"/>
      <c r="Q390" s="1"/>
      <c r="R390" s="1"/>
      <c r="S390" s="1"/>
      <c r="T390" s="1"/>
      <c r="U390" s="1"/>
      <c r="V390" s="1"/>
      <c r="W390" s="1"/>
      <c r="X390" s="1"/>
      <c r="Y390" s="1"/>
      <c r="Z390" s="1"/>
      <c r="AA390" s="1"/>
    </row>
    <row r="391" ht="15.75" customHeight="1">
      <c r="A391" s="1" t="str">
        <f>IFERROR(__xludf.DUMMYFUNCTION("""COMPUTED_VALUE"""),"WyvernTail Greaves")</f>
        <v>WyvernTail Greaves</v>
      </c>
      <c r="B391" s="1"/>
      <c r="C391" s="1"/>
      <c r="D391" s="1" t="str">
        <f>IFERROR(__xludf.DUMMYFUNCTION("""COMPUTED_VALUE"""),"Legs")</f>
        <v>Legs</v>
      </c>
      <c r="E391" s="1">
        <f>IFERROR(__xludf.DUMMYFUNCTION("""COMPUTED_VALUE"""),200.0)</f>
        <v>200</v>
      </c>
      <c r="F391" s="1" t="str">
        <f>IFERROR(__xludf.DUMMYFUNCTION("""COMPUTED_VALUE"""),"DEF: +10000 (Wyverntail Set) ++Freeze Immunity")</f>
        <v>DEF: +10000 (Wyverntail Set) ++Freeze Immunity</v>
      </c>
      <c r="G391" s="1">
        <f>IFERROR(__xludf.DUMMYFUNCTION("""COMPUTED_VALUE"""),1900000.0)</f>
        <v>1900000</v>
      </c>
      <c r="H391" s="1"/>
      <c r="I391" s="1"/>
      <c r="J391" s="1"/>
      <c r="K391" s="1"/>
      <c r="L391" s="1"/>
      <c r="M391" s="1"/>
      <c r="N391" s="1"/>
      <c r="O391" s="1"/>
      <c r="P391" s="1"/>
      <c r="Q391" s="1"/>
      <c r="R391" s="1"/>
      <c r="S391" s="1"/>
      <c r="T391" s="1"/>
      <c r="U391" s="1"/>
      <c r="V391" s="1"/>
      <c r="W391" s="1"/>
      <c r="X391" s="1"/>
      <c r="Y391" s="1"/>
      <c r="Z391" s="1"/>
      <c r="AA391" s="1"/>
    </row>
    <row r="392" ht="15.75" customHeight="1">
      <c r="A392" s="1" t="str">
        <f>IFERROR(__xludf.DUMMYFUNCTION("""COMPUTED_VALUE"""),"WyvernTail Boots")</f>
        <v>WyvernTail Boots</v>
      </c>
      <c r="B392" s="1"/>
      <c r="C392" s="1"/>
      <c r="D392" s="1" t="str">
        <f>IFERROR(__xludf.DUMMYFUNCTION("""COMPUTED_VALUE"""),"Feet")</f>
        <v>Feet</v>
      </c>
      <c r="E392" s="1">
        <f>IFERROR(__xludf.DUMMYFUNCTION("""COMPUTED_VALUE"""),200.0)</f>
        <v>200</v>
      </c>
      <c r="F392" s="1" t="str">
        <f>IFERROR(__xludf.DUMMYFUNCTION("""COMPUTED_VALUE"""),"DEF: +10000 (Wyverntail Set) ++Freeze Immunity")</f>
        <v>DEF: +10000 (Wyverntail Set) ++Freeze Immunity</v>
      </c>
      <c r="G392" s="1">
        <f>IFERROR(__xludf.DUMMYFUNCTION("""COMPUTED_VALUE"""),1900000.0)</f>
        <v>1900000</v>
      </c>
      <c r="H392" s="1"/>
      <c r="I392" s="1"/>
      <c r="J392" s="1"/>
      <c r="K392" s="1"/>
      <c r="L392" s="1"/>
      <c r="M392" s="1"/>
      <c r="N392" s="1"/>
      <c r="O392" s="1"/>
      <c r="P392" s="1"/>
      <c r="Q392" s="1"/>
      <c r="R392" s="1"/>
      <c r="S392" s="1"/>
      <c r="T392" s="1"/>
      <c r="U392" s="1"/>
      <c r="V392" s="1"/>
      <c r="W392" s="1"/>
      <c r="X392" s="1"/>
      <c r="Y392" s="1"/>
      <c r="Z392" s="1"/>
      <c r="AA392" s="1"/>
    </row>
    <row r="393" ht="15.75" customHeight="1">
      <c r="A393" s="1" t="str">
        <f>IFERROR(__xludf.DUMMYFUNCTION("""COMPUTED_VALUE"""),"WyvernTail Pendent")</f>
        <v>WyvernTail Pendent</v>
      </c>
      <c r="B393" s="1"/>
      <c r="C393" s="1"/>
      <c r="D393" s="1" t="str">
        <f>IFERROR(__xludf.DUMMYFUNCTION("""COMPUTED_VALUE"""),"Neck")</f>
        <v>Neck</v>
      </c>
      <c r="E393" s="1">
        <f>IFERROR(__xludf.DUMMYFUNCTION("""COMPUTED_VALUE"""),1.0)</f>
        <v>1</v>
      </c>
      <c r="F393" s="1" t="str">
        <f>IFERROR(__xludf.DUMMYFUNCTION("""COMPUTED_VALUE""")," (Wyverntail Set) ++When you are attacked, the enemy that attacked you has a 25% Chance to Freeze.")</f>
        <v> (Wyverntail Set) ++When you are attacked, the enemy that attacked you has a 25% Chance to Freeze.</v>
      </c>
      <c r="G393" s="1">
        <f>IFERROR(__xludf.DUMMYFUNCTION("""COMPUTED_VALUE"""),0.0)</f>
        <v>0</v>
      </c>
      <c r="H393" s="1"/>
      <c r="I393" s="1"/>
      <c r="J393" s="1"/>
      <c r="K393" s="1"/>
      <c r="L393" s="1"/>
      <c r="M393" s="1"/>
      <c r="N393" s="1"/>
      <c r="O393" s="1"/>
      <c r="P393" s="1"/>
      <c r="Q393" s="1"/>
      <c r="R393" s="1"/>
      <c r="S393" s="1"/>
      <c r="T393" s="1"/>
      <c r="U393" s="1"/>
      <c r="V393" s="1"/>
      <c r="W393" s="1"/>
      <c r="X393" s="1"/>
      <c r="Y393" s="1"/>
      <c r="Z393" s="1"/>
      <c r="AA393" s="1"/>
    </row>
    <row r="394" ht="15.75" customHeight="1">
      <c r="A394" s="1" t="str">
        <f>IFERROR(__xludf.DUMMYFUNCTION("""COMPUTED_VALUE"""),"WyvernTail Ring")</f>
        <v>WyvernTail Ring</v>
      </c>
      <c r="B394" s="1"/>
      <c r="C394" s="1"/>
      <c r="D394" s="1" t="str">
        <f>IFERROR(__xludf.DUMMYFUNCTION("""COMPUTED_VALUE"""),"Ring")</f>
        <v>Ring</v>
      </c>
      <c r="E394" s="1">
        <f>IFERROR(__xludf.DUMMYFUNCTION("""COMPUTED_VALUE"""),1.0)</f>
        <v>1</v>
      </c>
      <c r="F394" s="1" t="str">
        <f>IFERROR(__xludf.DUMMYFUNCTION("""COMPUTED_VALUE""")," (Wyverntail Set) ++When you are attacked, the enemy that attacked you has a 25% Chance to Freeze. ")</f>
        <v> (Wyverntail Set) ++When you are attacked, the enemy that attacked you has a 25% Chance to Freeze. </v>
      </c>
      <c r="G394" s="1">
        <f>IFERROR(__xludf.DUMMYFUNCTION("""COMPUTED_VALUE"""),0.0)</f>
        <v>0</v>
      </c>
      <c r="H394" s="1"/>
      <c r="I394" s="1"/>
      <c r="J394" s="1"/>
      <c r="K394" s="1"/>
      <c r="L394" s="1"/>
      <c r="M394" s="1"/>
      <c r="N394" s="1"/>
      <c r="O394" s="1"/>
      <c r="P394" s="1"/>
      <c r="Q394" s="1"/>
      <c r="R394" s="1"/>
      <c r="S394" s="1"/>
      <c r="T394" s="1"/>
      <c r="U394" s="1"/>
      <c r="V394" s="1"/>
      <c r="W394" s="1"/>
      <c r="X394" s="1"/>
      <c r="Y394" s="1"/>
      <c r="Z394" s="1"/>
      <c r="AA394" s="1"/>
    </row>
    <row r="395" ht="15.75" customHeight="1">
      <c r="A395" s="1" t="str">
        <f>IFERROR(__xludf.DUMMYFUNCTION("""COMPUTED_VALUE"""),"Sweltering Blade")</f>
        <v>Sweltering Blade</v>
      </c>
      <c r="B395" s="1"/>
      <c r="C395" s="1" t="str">
        <f>IFERROR(__xludf.DUMMYFUNCTION("""COMPUTED_VALUE"""),"Sword")</f>
        <v>Sword</v>
      </c>
      <c r="D395" s="1" t="str">
        <f>IFERROR(__xludf.DUMMYFUNCTION("""COMPUTED_VALUE"""),"Hand")</f>
        <v>Hand</v>
      </c>
      <c r="E395" s="1">
        <f>IFERROR(__xludf.DUMMYFUNCTION("""COMPUTED_VALUE"""),400.0)</f>
        <v>400</v>
      </c>
      <c r="F395" s="1" t="str">
        <f>IFERROR(__xludf.DUMMYFUNCTION("""COMPUTED_VALUE"""),"DMG: +5000, Fire DMG: +5000, Water DMG: +5000, Nature DMG: +5000 (Sweltering Set) ++X2 Nature, Water, and Fire Damage.")</f>
        <v>DMG: +5000, Fire DMG: +5000, Water DMG: +5000, Nature DMG: +5000 (Sweltering Set) ++X2 Nature, Water, and Fire Damage.</v>
      </c>
      <c r="G395" s="1">
        <f>IFERROR(__xludf.DUMMYFUNCTION("""COMPUTED_VALUE"""),7800000.0)</f>
        <v>7800000</v>
      </c>
      <c r="H395" s="1"/>
      <c r="I395" s="1"/>
      <c r="J395" s="1"/>
      <c r="K395" s="1"/>
      <c r="L395" s="1"/>
      <c r="M395" s="1"/>
      <c r="N395" s="1"/>
      <c r="O395" s="1"/>
      <c r="P395" s="1"/>
      <c r="Q395" s="1"/>
      <c r="R395" s="1"/>
      <c r="S395" s="1"/>
      <c r="T395" s="1"/>
      <c r="U395" s="1"/>
      <c r="V395" s="1"/>
      <c r="W395" s="1"/>
      <c r="X395" s="1"/>
      <c r="Y395" s="1"/>
      <c r="Z395" s="1"/>
      <c r="AA395" s="1"/>
    </row>
    <row r="396" ht="15.75" customHeight="1">
      <c r="A396" s="1" t="str">
        <f>IFERROR(__xludf.DUMMYFUNCTION("""COMPUTED_VALUE"""),"Sweltering Helm")</f>
        <v>Sweltering Helm</v>
      </c>
      <c r="B396" s="1"/>
      <c r="C396" s="1"/>
      <c r="D396" s="1" t="str">
        <f>IFERROR(__xludf.DUMMYFUNCTION("""COMPUTED_VALUE"""),"Head")</f>
        <v>Head</v>
      </c>
      <c r="E396" s="1">
        <f>IFERROR(__xludf.DUMMYFUNCTION("""COMPUTED_VALUE"""),400.0)</f>
        <v>400</v>
      </c>
      <c r="F396" s="1" t="str">
        <f>IFERROR(__xludf.DUMMYFUNCTION("""COMPUTED_VALUE"""),"DEF: +5000, Fire DEF: +5000, Water DEF: +5000, Nature DEF: +5000 (Sweltering Set) ++X2 Nature, Water, and Fire Damage.")</f>
        <v>DEF: +5000, Fire DEF: +5000, Water DEF: +5000, Nature DEF: +5000 (Sweltering Set) ++X2 Nature, Water, and Fire Damage.</v>
      </c>
      <c r="G396" s="1">
        <f>IFERROR(__xludf.DUMMYFUNCTION("""COMPUTED_VALUE"""),7800000.0)</f>
        <v>7800000</v>
      </c>
      <c r="H396" s="1"/>
      <c r="I396" s="1"/>
      <c r="J396" s="1"/>
      <c r="K396" s="1"/>
      <c r="L396" s="1"/>
      <c r="M396" s="1"/>
      <c r="N396" s="1"/>
      <c r="O396" s="1"/>
      <c r="P396" s="1"/>
      <c r="Q396" s="1"/>
      <c r="R396" s="1"/>
      <c r="S396" s="1"/>
      <c r="T396" s="1"/>
      <c r="U396" s="1"/>
      <c r="V396" s="1"/>
      <c r="W396" s="1"/>
      <c r="X396" s="1"/>
      <c r="Y396" s="1"/>
      <c r="Z396" s="1"/>
      <c r="AA396" s="1"/>
    </row>
    <row r="397" ht="15.75" customHeight="1">
      <c r="A397" s="1" t="str">
        <f>IFERROR(__xludf.DUMMYFUNCTION("""COMPUTED_VALUE"""),"Sweltering Pauldrons")</f>
        <v>Sweltering Pauldrons</v>
      </c>
      <c r="B397" s="1"/>
      <c r="C397" s="1"/>
      <c r="D397" s="1" t="str">
        <f>IFERROR(__xludf.DUMMYFUNCTION("""COMPUTED_VALUE"""),"Shoulders")</f>
        <v>Shoulders</v>
      </c>
      <c r="E397" s="1">
        <f>IFERROR(__xludf.DUMMYFUNCTION("""COMPUTED_VALUE"""),400.0)</f>
        <v>400</v>
      </c>
      <c r="F397" s="1" t="str">
        <f>IFERROR(__xludf.DUMMYFUNCTION("""COMPUTED_VALUE"""),"DEF: +5000, Fire DEF: +5000, Water DEF: +5000, Nature DEF: +5000 (Sweltering Set) ++X2 Nature, Water, and Fire Damage.")</f>
        <v>DEF: +5000, Fire DEF: +5000, Water DEF: +5000, Nature DEF: +5000 (Sweltering Set) ++X2 Nature, Water, and Fire Damage.</v>
      </c>
      <c r="G397" s="1">
        <f>IFERROR(__xludf.DUMMYFUNCTION("""COMPUTED_VALUE"""),7800000.0)</f>
        <v>7800000</v>
      </c>
      <c r="H397" s="1"/>
      <c r="I397" s="1"/>
      <c r="J397" s="1"/>
      <c r="K397" s="1"/>
      <c r="L397" s="1"/>
      <c r="M397" s="1"/>
      <c r="N397" s="1"/>
      <c r="O397" s="1"/>
      <c r="P397" s="1"/>
      <c r="Q397" s="1"/>
      <c r="R397" s="1"/>
      <c r="S397" s="1"/>
      <c r="T397" s="1"/>
      <c r="U397" s="1"/>
      <c r="V397" s="1"/>
      <c r="W397" s="1"/>
      <c r="X397" s="1"/>
      <c r="Y397" s="1"/>
      <c r="Z397" s="1"/>
      <c r="AA397" s="1"/>
    </row>
    <row r="398" ht="15.75" customHeight="1">
      <c r="A398" s="1" t="str">
        <f>IFERROR(__xludf.DUMMYFUNCTION("""COMPUTED_VALUE"""),"Sweltering Chestplate")</f>
        <v>Sweltering Chestplate</v>
      </c>
      <c r="B398" s="1"/>
      <c r="C398" s="1"/>
      <c r="D398" s="1" t="str">
        <f>IFERROR(__xludf.DUMMYFUNCTION("""COMPUTED_VALUE"""),"Torso")</f>
        <v>Torso</v>
      </c>
      <c r="E398" s="1">
        <f>IFERROR(__xludf.DUMMYFUNCTION("""COMPUTED_VALUE"""),400.0)</f>
        <v>400</v>
      </c>
      <c r="F398" s="1" t="str">
        <f>IFERROR(__xludf.DUMMYFUNCTION("""COMPUTED_VALUE"""),"DEF: +5000, Fire DEF: +5000, Water DEF: +5000, Nature DEF: +5000 (Sweltering Set) ++X2 Nature, Water, and Fire Damage.")</f>
        <v>DEF: +5000, Fire DEF: +5000, Water DEF: +5000, Nature DEF: +5000 (Sweltering Set) ++X2 Nature, Water, and Fire Damage.</v>
      </c>
      <c r="G398" s="1">
        <f>IFERROR(__xludf.DUMMYFUNCTION("""COMPUTED_VALUE"""),7800000.0)</f>
        <v>7800000</v>
      </c>
      <c r="H398" s="1"/>
      <c r="I398" s="1"/>
      <c r="J398" s="1"/>
      <c r="K398" s="1"/>
      <c r="L398" s="1"/>
      <c r="M398" s="1"/>
      <c r="N398" s="1"/>
      <c r="O398" s="1"/>
      <c r="P398" s="1"/>
      <c r="Q398" s="1"/>
      <c r="R398" s="1"/>
      <c r="S398" s="1"/>
      <c r="T398" s="1"/>
      <c r="U398" s="1"/>
      <c r="V398" s="1"/>
      <c r="W398" s="1"/>
      <c r="X398" s="1"/>
      <c r="Y398" s="1"/>
      <c r="Z398" s="1"/>
      <c r="AA398" s="1"/>
    </row>
    <row r="399" ht="15.75" customHeight="1">
      <c r="A399" s="1" t="str">
        <f>IFERROR(__xludf.DUMMYFUNCTION("""COMPUTED_VALUE"""),"Sweltering Vambraces")</f>
        <v>Sweltering Vambraces</v>
      </c>
      <c r="B399" s="1"/>
      <c r="C399" s="1"/>
      <c r="D399" s="1" t="str">
        <f>IFERROR(__xludf.DUMMYFUNCTION("""COMPUTED_VALUE"""),"Arms")</f>
        <v>Arms</v>
      </c>
      <c r="E399" s="1">
        <f>IFERROR(__xludf.DUMMYFUNCTION("""COMPUTED_VALUE"""),400.0)</f>
        <v>400</v>
      </c>
      <c r="F399" s="1" t="str">
        <f>IFERROR(__xludf.DUMMYFUNCTION("""COMPUTED_VALUE"""),"DEF: +5000, Fire DEF: +5000, Water DEF: +5000, Nature DEF: +5000 (Sweltering Set) ++X2 Nature, Water, and Fire Damage.")</f>
        <v>DEF: +5000, Fire DEF: +5000, Water DEF: +5000, Nature DEF: +5000 (Sweltering Set) ++X2 Nature, Water, and Fire Damage.</v>
      </c>
      <c r="G399" s="1">
        <f>IFERROR(__xludf.DUMMYFUNCTION("""COMPUTED_VALUE"""),7800000.0)</f>
        <v>7800000</v>
      </c>
      <c r="H399" s="1"/>
      <c r="I399" s="1"/>
      <c r="J399" s="1"/>
      <c r="K399" s="1"/>
      <c r="L399" s="1"/>
      <c r="M399" s="1"/>
      <c r="N399" s="1"/>
      <c r="O399" s="1"/>
      <c r="P399" s="1"/>
      <c r="Q399" s="1"/>
      <c r="R399" s="1"/>
      <c r="S399" s="1"/>
      <c r="T399" s="1"/>
      <c r="U399" s="1"/>
      <c r="V399" s="1"/>
      <c r="W399" s="1"/>
      <c r="X399" s="1"/>
      <c r="Y399" s="1"/>
      <c r="Z399" s="1"/>
      <c r="AA399" s="1"/>
    </row>
    <row r="400" ht="15.75" customHeight="1">
      <c r="A400" s="1" t="str">
        <f>IFERROR(__xludf.DUMMYFUNCTION("""COMPUTED_VALUE"""),"Sweltering Greaves")</f>
        <v>Sweltering Greaves</v>
      </c>
      <c r="B400" s="1"/>
      <c r="C400" s="1"/>
      <c r="D400" s="1" t="str">
        <f>IFERROR(__xludf.DUMMYFUNCTION("""COMPUTED_VALUE"""),"Legs")</f>
        <v>Legs</v>
      </c>
      <c r="E400" s="1">
        <f>IFERROR(__xludf.DUMMYFUNCTION("""COMPUTED_VALUE"""),400.0)</f>
        <v>400</v>
      </c>
      <c r="F400" s="1" t="str">
        <f>IFERROR(__xludf.DUMMYFUNCTION("""COMPUTED_VALUE"""),"DEF: +5000, Fire DEF: +5000, Water DEF: +5000, Nature DEF: +5000 (Sweltering Set) ++X2 Nature, Water, and Fire Damage.")</f>
        <v>DEF: +5000, Fire DEF: +5000, Water DEF: +5000, Nature DEF: +5000 (Sweltering Set) ++X2 Nature, Water, and Fire Damage.</v>
      </c>
      <c r="G400" s="1">
        <f>IFERROR(__xludf.DUMMYFUNCTION("""COMPUTED_VALUE"""),7800000.0)</f>
        <v>7800000</v>
      </c>
      <c r="H400" s="1"/>
      <c r="I400" s="1"/>
      <c r="J400" s="1"/>
      <c r="K400" s="1"/>
      <c r="L400" s="1"/>
      <c r="M400" s="1"/>
      <c r="N400" s="1"/>
      <c r="O400" s="1"/>
      <c r="P400" s="1"/>
      <c r="Q400" s="1"/>
      <c r="R400" s="1"/>
      <c r="S400" s="1"/>
      <c r="T400" s="1"/>
      <c r="U400" s="1"/>
      <c r="V400" s="1"/>
      <c r="W400" s="1"/>
      <c r="X400" s="1"/>
      <c r="Y400" s="1"/>
      <c r="Z400" s="1"/>
      <c r="AA400" s="1"/>
    </row>
    <row r="401" ht="15.75" customHeight="1">
      <c r="A401" s="1" t="str">
        <f>IFERROR(__xludf.DUMMYFUNCTION("""COMPUTED_VALUE"""),"Sweltering Boots")</f>
        <v>Sweltering Boots</v>
      </c>
      <c r="B401" s="1"/>
      <c r="C401" s="1"/>
      <c r="D401" s="1" t="str">
        <f>IFERROR(__xludf.DUMMYFUNCTION("""COMPUTED_VALUE"""),"Feet")</f>
        <v>Feet</v>
      </c>
      <c r="E401" s="1">
        <f>IFERROR(__xludf.DUMMYFUNCTION("""COMPUTED_VALUE"""),400.0)</f>
        <v>400</v>
      </c>
      <c r="F401" s="1" t="str">
        <f>IFERROR(__xludf.DUMMYFUNCTION("""COMPUTED_VALUE"""),"DEF: +5000, Fire DEF: +5000, Water DEF: +5000, Nature DEF: +5000 (Sweltering Set) ++X2 Nature, Water, and Fire Damage.")</f>
        <v>DEF: +5000, Fire DEF: +5000, Water DEF: +5000, Nature DEF: +5000 (Sweltering Set) ++X2 Nature, Water, and Fire Damage.</v>
      </c>
      <c r="G401" s="1">
        <f>IFERROR(__xludf.DUMMYFUNCTION("""COMPUTED_VALUE"""),7800000.0)</f>
        <v>7800000</v>
      </c>
      <c r="H401" s="1"/>
      <c r="I401" s="1"/>
      <c r="J401" s="1"/>
      <c r="K401" s="1"/>
      <c r="L401" s="1"/>
      <c r="M401" s="1"/>
      <c r="N401" s="1"/>
      <c r="O401" s="1"/>
      <c r="P401" s="1"/>
      <c r="Q401" s="1"/>
      <c r="R401" s="1"/>
      <c r="S401" s="1"/>
      <c r="T401" s="1"/>
      <c r="U401" s="1"/>
      <c r="V401" s="1"/>
      <c r="W401" s="1"/>
      <c r="X401" s="1"/>
      <c r="Y401" s="1"/>
      <c r="Z401" s="1"/>
      <c r="AA401" s="1"/>
    </row>
    <row r="402" ht="15.75" customHeight="1">
      <c r="A402" s="1" t="str">
        <f>IFERROR(__xludf.DUMMYFUNCTION("""COMPUTED_VALUE"""),"Sweltering Pendent")</f>
        <v>Sweltering Pendent</v>
      </c>
      <c r="B402" s="1"/>
      <c r="C402" s="1"/>
      <c r="D402" s="1" t="str">
        <f>IFERROR(__xludf.DUMMYFUNCTION("""COMPUTED_VALUE"""),"Neck")</f>
        <v>Neck</v>
      </c>
      <c r="E402" s="1">
        <f>IFERROR(__xludf.DUMMYFUNCTION("""COMPUTED_VALUE"""),1.0)</f>
        <v>1</v>
      </c>
      <c r="F402" s="1" t="str">
        <f>IFERROR(__xludf.DUMMYFUNCTION("""COMPUTED_VALUE""")," (Sweltering Set) ++Fire, Nature, and Water immunity.")</f>
        <v> (Sweltering Set) ++Fire, Nature, and Water immunity.</v>
      </c>
      <c r="G402" s="1">
        <f>IFERROR(__xludf.DUMMYFUNCTION("""COMPUTED_VALUE"""),0.0)</f>
        <v>0</v>
      </c>
      <c r="H402" s="1"/>
      <c r="I402" s="1"/>
      <c r="J402" s="1"/>
      <c r="K402" s="1"/>
      <c r="L402" s="1"/>
      <c r="M402" s="1"/>
      <c r="N402" s="1"/>
      <c r="O402" s="1"/>
      <c r="P402" s="1"/>
      <c r="Q402" s="1"/>
      <c r="R402" s="1"/>
      <c r="S402" s="1"/>
      <c r="T402" s="1"/>
      <c r="U402" s="1"/>
      <c r="V402" s="1"/>
      <c r="W402" s="1"/>
      <c r="X402" s="1"/>
      <c r="Y402" s="1"/>
      <c r="Z402" s="1"/>
      <c r="AA402" s="1"/>
    </row>
    <row r="403" ht="15.75" customHeight="1">
      <c r="A403" s="1" t="str">
        <f>IFERROR(__xludf.DUMMYFUNCTION("""COMPUTED_VALUE"""),"Sweltering Ring")</f>
        <v>Sweltering Ring</v>
      </c>
      <c r="B403" s="1"/>
      <c r="C403" s="1"/>
      <c r="D403" s="1" t="str">
        <f>IFERROR(__xludf.DUMMYFUNCTION("""COMPUTED_VALUE"""),"Ring")</f>
        <v>Ring</v>
      </c>
      <c r="E403" s="1">
        <f>IFERROR(__xludf.DUMMYFUNCTION("""COMPUTED_VALUE"""),1.0)</f>
        <v>1</v>
      </c>
      <c r="F403" s="1" t="str">
        <f>IFERROR(__xludf.DUMMYFUNCTION("""COMPUTED_VALUE""")," (Sweltering Set) ++Fire, Nature, and Water immunity.")</f>
        <v> (Sweltering Set) ++Fire, Nature, and Water immunity.</v>
      </c>
      <c r="G403" s="1">
        <f>IFERROR(__xludf.DUMMYFUNCTION("""COMPUTED_VALUE"""),0.0)</f>
        <v>0</v>
      </c>
      <c r="H403" s="1"/>
      <c r="I403" s="1"/>
      <c r="J403" s="1"/>
      <c r="K403" s="1"/>
      <c r="L403" s="1"/>
      <c r="M403" s="1"/>
      <c r="N403" s="1"/>
      <c r="O403" s="1"/>
      <c r="P403" s="1"/>
      <c r="Q403" s="1"/>
      <c r="R403" s="1"/>
      <c r="S403" s="1"/>
      <c r="T403" s="1"/>
      <c r="U403" s="1"/>
      <c r="V403" s="1"/>
      <c r="W403" s="1"/>
      <c r="X403" s="1"/>
      <c r="Y403" s="1"/>
      <c r="Z403" s="1"/>
      <c r="AA403" s="1"/>
    </row>
    <row r="404" ht="15.75" customHeight="1">
      <c r="A404" s="1" t="str">
        <f>IFERROR(__xludf.DUMMYFUNCTION("""COMPUTED_VALUE"""),"Reinforced Tortoise Shell")</f>
        <v>Reinforced Tortoise Shell</v>
      </c>
      <c r="B404" s="1"/>
      <c r="C404" s="1"/>
      <c r="D404" s="1" t="str">
        <f>IFERROR(__xludf.DUMMYFUNCTION("""COMPUTED_VALUE"""),"Torso")</f>
        <v>Torso</v>
      </c>
      <c r="E404" s="1">
        <f>IFERROR(__xludf.DUMMYFUNCTION("""COMPUTED_VALUE"""),400.0)</f>
        <v>400</v>
      </c>
      <c r="F404" s="1" t="str">
        <f>IFERROR(__xludf.DUMMYFUNCTION("""COMPUTED_VALUE"""),"DEF: +10000, Water DEF: +5000, Light DEF: +5000 ++X2 Defense for the wearer. +-Cannot be Duplicated.")</f>
        <v>DEF: +10000, Water DEF: +5000, Light DEF: +5000 ++X2 Defense for the wearer. +-Cannot be Duplicated.</v>
      </c>
      <c r="G404" s="1">
        <f>IFERROR(__xludf.DUMMYFUNCTION("""COMPUTED_VALUE"""),7800000.0)</f>
        <v>7800000</v>
      </c>
      <c r="H404" s="1"/>
      <c r="I404" s="1"/>
      <c r="J404" s="1"/>
      <c r="K404" s="1"/>
      <c r="L404" s="1"/>
      <c r="M404" s="1"/>
      <c r="N404" s="1"/>
      <c r="O404" s="1"/>
      <c r="P404" s="1"/>
      <c r="Q404" s="1"/>
      <c r="R404" s="1"/>
      <c r="S404" s="1"/>
      <c r="T404" s="1"/>
      <c r="U404" s="1"/>
      <c r="V404" s="1"/>
      <c r="W404" s="1"/>
      <c r="X404" s="1"/>
      <c r="Y404" s="1"/>
      <c r="Z404" s="1"/>
      <c r="AA404" s="1"/>
    </row>
    <row r="405" ht="15.75" customHeight="1">
      <c r="A405" s="1" t="str">
        <f>IFERROR(__xludf.DUMMYFUNCTION("""COMPUTED_VALUE"""),"Tortoise Shell Shield")</f>
        <v>Tortoise Shell Shield</v>
      </c>
      <c r="B405" s="1"/>
      <c r="C405" s="1" t="str">
        <f>IFERROR(__xludf.DUMMYFUNCTION("""COMPUTED_VALUE"""),"Towershield")</f>
        <v>Towershield</v>
      </c>
      <c r="D405" s="1" t="str">
        <f>IFERROR(__xludf.DUMMYFUNCTION("""COMPUTED_VALUE"""),"Hand")</f>
        <v>Hand</v>
      </c>
      <c r="E405" s="1">
        <f>IFERROR(__xludf.DUMMYFUNCTION("""COMPUTED_VALUE"""),400.0)</f>
        <v>400</v>
      </c>
      <c r="F405" s="1" t="str">
        <f>IFERROR(__xludf.DUMMYFUNCTION("""COMPUTED_VALUE"""),"DEF: +20000 ++X2 Defense for the wearer. +-Cannot be Duplicated.")</f>
        <v>DEF: +20000 ++X2 Defense for the wearer. +-Cannot be Duplicated.</v>
      </c>
      <c r="G405" s="1">
        <f>IFERROR(__xludf.DUMMYFUNCTION("""COMPUTED_VALUE"""),7800000.0)</f>
        <v>7800000</v>
      </c>
      <c r="H405" s="1"/>
      <c r="I405" s="1"/>
      <c r="J405" s="1"/>
      <c r="K405" s="1"/>
      <c r="L405" s="1"/>
      <c r="M405" s="1"/>
      <c r="N405" s="1"/>
      <c r="O405" s="1"/>
      <c r="P405" s="1"/>
      <c r="Q405" s="1"/>
      <c r="R405" s="1"/>
      <c r="S405" s="1"/>
      <c r="T405" s="1"/>
      <c r="U405" s="1"/>
      <c r="V405" s="1"/>
      <c r="W405" s="1"/>
      <c r="X405" s="1"/>
      <c r="Y405" s="1"/>
      <c r="Z405" s="1"/>
      <c r="AA405" s="1"/>
    </row>
    <row r="406" ht="15.75" customHeight="1">
      <c r="A406" s="1" t="str">
        <f>IFERROR(__xludf.DUMMYFUNCTION("""COMPUTED_VALUE"""),"Stone of the Summit")</f>
        <v>Stone of the Summit</v>
      </c>
      <c r="B406" s="1"/>
      <c r="C406" s="1"/>
      <c r="D406" s="1" t="str">
        <f>IFERROR(__xludf.DUMMYFUNCTION("""COMPUTED_VALUE"""),"Hand")</f>
        <v>Hand</v>
      </c>
      <c r="E406" s="1">
        <f>IFERROR(__xludf.DUMMYFUNCTION("""COMPUTED_VALUE"""),1.0)</f>
        <v>1</v>
      </c>
      <c r="F406" s="1" t="str">
        <f>IFERROR(__xludf.DUMMYFUNCTION("""COMPUTED_VALUE""")," ++X2 additional damage towards weapons for the user.")</f>
        <v> ++X2 additional damage towards weapons for the user.</v>
      </c>
      <c r="G406" s="1">
        <f>IFERROR(__xludf.DUMMYFUNCTION("""COMPUTED_VALUE"""),0.0)</f>
        <v>0</v>
      </c>
      <c r="H406" s="1"/>
      <c r="I406" s="1"/>
      <c r="J406" s="1"/>
      <c r="K406" s="1"/>
      <c r="L406" s="1"/>
      <c r="M406" s="1"/>
      <c r="N406" s="1"/>
      <c r="O406" s="1"/>
      <c r="P406" s="1"/>
      <c r="Q406" s="1"/>
      <c r="R406" s="1"/>
      <c r="S406" s="1"/>
      <c r="T406" s="1"/>
      <c r="U406" s="1"/>
      <c r="V406" s="1"/>
      <c r="W406" s="1"/>
      <c r="X406" s="1"/>
      <c r="Y406" s="1"/>
      <c r="Z406" s="1"/>
      <c r="AA406" s="1"/>
    </row>
    <row r="407" ht="15.75" customHeight="1">
      <c r="A407" s="1" t="str">
        <f>IFERROR(__xludf.DUMMYFUNCTION("""COMPUTED_VALUE"""),"Deep Blue Pearl")</f>
        <v>Deep Blue Pearl</v>
      </c>
      <c r="B407" s="1" t="str">
        <f>IFERROR(__xludf.DUMMYFUNCTION("""COMPUTED_VALUE"""),"A rare pearl found deep within the ocean of Dragonscale Island.")</f>
        <v>A rare pearl found deep within the ocean of Dragonscale Island.</v>
      </c>
      <c r="C407" s="1"/>
      <c r="D407" s="1" t="str">
        <f>IFERROR(__xludf.DUMMYFUNCTION("""COMPUTED_VALUE"""),"Hand")</f>
        <v>Hand</v>
      </c>
      <c r="E407" s="1">
        <f>IFERROR(__xludf.DUMMYFUNCTION("""COMPUTED_VALUE"""),200.0)</f>
        <v>200</v>
      </c>
      <c r="F407" s="1" t="str">
        <f>IFERROR(__xludf.DUMMYFUNCTION("""COMPUTED_VALUE"""),"DEF: +10000 ++Water Immunity. ++Water damage dealt by you gives you sp back equal half the damage caused.")</f>
        <v>DEF: +10000 ++Water Immunity. ++Water damage dealt by you gives you sp back equal half the damage caused.</v>
      </c>
      <c r="G407" s="1">
        <f>IFERROR(__xludf.DUMMYFUNCTION("""COMPUTED_VALUE"""),1900000.0)</f>
        <v>1900000</v>
      </c>
      <c r="H407" s="1"/>
      <c r="I407" s="1"/>
      <c r="J407" s="1"/>
      <c r="K407" s="1"/>
      <c r="L407" s="1"/>
      <c r="M407" s="1"/>
      <c r="N407" s="1"/>
      <c r="O407" s="1"/>
      <c r="P407" s="1"/>
      <c r="Q407" s="1"/>
      <c r="R407" s="1"/>
      <c r="S407" s="1"/>
      <c r="T407" s="1"/>
      <c r="U407" s="1"/>
      <c r="V407" s="1"/>
      <c r="W407" s="1"/>
      <c r="X407" s="1"/>
      <c r="Y407" s="1"/>
      <c r="Z407" s="1"/>
      <c r="AA407" s="1"/>
    </row>
    <row r="408" ht="15.75" customHeight="1">
      <c r="A408" s="1" t="str">
        <f>IFERROR(__xludf.DUMMYFUNCTION("""COMPUTED_VALUE"""),"Tempests Lightning Rod")</f>
        <v>Tempests Lightning Rod</v>
      </c>
      <c r="B408" s="1"/>
      <c r="C408" s="1" t="str">
        <f>IFERROR(__xludf.DUMMYFUNCTION("""COMPUTED_VALUE"""),"Spear")</f>
        <v>Spear</v>
      </c>
      <c r="D408" s="1" t="str">
        <f>IFERROR(__xludf.DUMMYFUNCTION("""COMPUTED_VALUE"""),"Hand")</f>
        <v>Hand</v>
      </c>
      <c r="E408" s="1">
        <f>IFERROR(__xludf.DUMMYFUNCTION("""COMPUTED_VALUE"""),600.0)</f>
        <v>600</v>
      </c>
      <c r="F408" s="1"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
        <f>IFERROR(__xludf.DUMMYFUNCTION("""COMPUTED_VALUE"""),1.77E7)</f>
        <v>17700000</v>
      </c>
      <c r="H408" s="1"/>
      <c r="I408" s="1"/>
      <c r="J408" s="1"/>
      <c r="K408" s="1"/>
      <c r="L408" s="1"/>
      <c r="M408" s="1"/>
      <c r="N408" s="1"/>
      <c r="O408" s="1"/>
      <c r="P408" s="1"/>
      <c r="Q408" s="1"/>
      <c r="R408" s="1"/>
      <c r="S408" s="1"/>
      <c r="T408" s="1"/>
      <c r="U408" s="1"/>
      <c r="V408" s="1"/>
      <c r="W408" s="1"/>
      <c r="X408" s="1"/>
      <c r="Y408" s="1"/>
      <c r="Z408" s="1"/>
      <c r="AA408" s="1"/>
    </row>
    <row r="409" ht="15.75" customHeight="1">
      <c r="A409" s="1" t="str">
        <f>IFERROR(__xludf.DUMMYFUNCTION("""COMPUTED_VALUE"""),"Sword of Mystic Vagility")</f>
        <v>Sword of Mystic Vagility</v>
      </c>
      <c r="B409" s="1"/>
      <c r="C409" s="1" t="str">
        <f>IFERROR(__xludf.DUMMYFUNCTION("""COMPUTED_VALUE"""),"Sword")</f>
        <v>Sword</v>
      </c>
      <c r="D409" s="1" t="str">
        <f>IFERROR(__xludf.DUMMYFUNCTION("""COMPUTED_VALUE"""),"Hand")</f>
        <v>Hand</v>
      </c>
      <c r="E409" s="1">
        <f>IFERROR(__xludf.DUMMYFUNCTION("""COMPUTED_VALUE"""),200.0)</f>
        <v>200</v>
      </c>
      <c r="F409" s="1" t="str">
        <f>IFERROR(__xludf.DUMMYFUNCTION("""COMPUTED_VALUE"""),"DMG: +50000, Celestial DMG: +50000 ++5 to d20 rolls, ++2 Evasion, ++2 Mobility. +-Cannot be duplicated.")</f>
        <v>DMG: +50000, Celestial DMG: +50000 ++5 to d20 rolls, ++2 Evasion, ++2 Mobility. +-Cannot be duplicated.</v>
      </c>
      <c r="G409" s="1">
        <f>IFERROR(__xludf.DUMMYFUNCTION("""COMPUTED_VALUE"""),1.99E8)</f>
        <v>199000000</v>
      </c>
      <c r="H409" s="1"/>
      <c r="I409" s="1"/>
      <c r="J409" s="1"/>
      <c r="K409" s="1"/>
      <c r="L409" s="1"/>
      <c r="M409" s="1"/>
      <c r="N409" s="1"/>
      <c r="O409" s="1"/>
      <c r="P409" s="1"/>
      <c r="Q409" s="1"/>
      <c r="R409" s="1"/>
      <c r="S409" s="1"/>
      <c r="T409" s="1"/>
      <c r="U409" s="1"/>
      <c r="V409" s="1"/>
      <c r="W409" s="1"/>
      <c r="X409" s="1"/>
      <c r="Y409" s="1"/>
      <c r="Z409" s="1"/>
      <c r="AA409" s="1"/>
    </row>
    <row r="410" ht="15.75" customHeight="1">
      <c r="A410" s="1" t="str">
        <f>IFERROR(__xludf.DUMMYFUNCTION("""COMPUTED_VALUE"""),".50 Caliber Machine Gun (car)")</f>
        <v>.50 Caliber Machine Gun (car)</v>
      </c>
      <c r="B410" s="1"/>
      <c r="C410" s="1" t="str">
        <f>IFERROR(__xludf.DUMMYFUNCTION("""COMPUTED_VALUE"""),"Firearm")</f>
        <v>Firearm</v>
      </c>
      <c r="D410" s="1" t="str">
        <f>IFERROR(__xludf.DUMMYFUNCTION("""COMPUTED_VALUE"""),"CarGun")</f>
        <v>CarGun</v>
      </c>
      <c r="E410" s="1">
        <f>IFERROR(__xludf.DUMMYFUNCTION("""COMPUTED_VALUE"""),400.0)</f>
        <v>400</v>
      </c>
      <c r="F410" s="1"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
        <f>IFERROR(__xludf.DUMMYFUNCTION("""COMPUTED_VALUE"""),7800000.0)</f>
        <v>7800000</v>
      </c>
      <c r="H410" s="1"/>
      <c r="I410" s="1"/>
      <c r="J410" s="1"/>
      <c r="K410" s="1"/>
      <c r="L410" s="1"/>
      <c r="M410" s="1"/>
      <c r="N410" s="1"/>
      <c r="O410" s="1"/>
      <c r="P410" s="1"/>
      <c r="Q410" s="1"/>
      <c r="R410" s="1"/>
      <c r="S410" s="1"/>
      <c r="T410" s="1"/>
      <c r="U410" s="1"/>
      <c r="V410" s="1"/>
      <c r="W410" s="1"/>
      <c r="X410" s="1"/>
      <c r="Y410" s="1"/>
      <c r="Z410" s="1"/>
      <c r="AA410" s="1"/>
    </row>
    <row r="411" ht="15.75" customHeight="1">
      <c r="A411" s="1" t="str">
        <f>IFERROR(__xludf.DUMMYFUNCTION("""COMPUTED_VALUE"""),"Auto Turret")</f>
        <v>Auto Turret</v>
      </c>
      <c r="B411" s="1"/>
      <c r="C411" s="1" t="str">
        <f>IFERROR(__xludf.DUMMYFUNCTION("""COMPUTED_VALUE"""),"Firearm")</f>
        <v>Firearm</v>
      </c>
      <c r="D411" s="1" t="str">
        <f>IFERROR(__xludf.DUMMYFUNCTION("""COMPUTED_VALUE"""),"CarGun")</f>
        <v>CarGun</v>
      </c>
      <c r="E411" s="1">
        <f>IFERROR(__xludf.DUMMYFUNCTION("""COMPUTED_VALUE"""),800.0)</f>
        <v>800</v>
      </c>
      <c r="F411" s="1"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
        <f>IFERROR(__xludf.DUMMYFUNCTION("""COMPUTED_VALUE"""),3.16E7)</f>
        <v>31600000</v>
      </c>
      <c r="H411" s="1"/>
      <c r="I411" s="1"/>
      <c r="J411" s="1"/>
      <c r="K411" s="1"/>
      <c r="L411" s="1"/>
      <c r="M411" s="1"/>
      <c r="N411" s="1"/>
      <c r="O411" s="1"/>
      <c r="P411" s="1"/>
      <c r="Q411" s="1"/>
      <c r="R411" s="1"/>
      <c r="S411" s="1"/>
      <c r="T411" s="1"/>
      <c r="U411" s="1"/>
      <c r="V411" s="1"/>
      <c r="W411" s="1"/>
      <c r="X411" s="1"/>
      <c r="Y411" s="1"/>
      <c r="Z411" s="1"/>
      <c r="AA411" s="1"/>
    </row>
    <row r="412" ht="15.75" customHeight="1">
      <c r="A412" s="1" t="str">
        <f>IFERROR(__xludf.DUMMYFUNCTION("""COMPUTED_VALUE"""),"Lazer Infused Cannon")</f>
        <v>Lazer Infused Cannon</v>
      </c>
      <c r="B412" s="1"/>
      <c r="C412" s="1" t="str">
        <f>IFERROR(__xludf.DUMMYFUNCTION("""COMPUTED_VALUE"""),"Firearm")</f>
        <v>Firearm</v>
      </c>
      <c r="D412" s="1" t="str">
        <f>IFERROR(__xludf.DUMMYFUNCTION("""COMPUTED_VALUE"""),"BoatGun")</f>
        <v>BoatGun</v>
      </c>
      <c r="E412" s="1">
        <f>IFERROR(__xludf.DUMMYFUNCTION("""COMPUTED_VALUE"""),5000.0)</f>
        <v>5000</v>
      </c>
      <c r="F412" s="1" t="str">
        <f>IFERROR(__xludf.DUMMYFUNCTION("""COMPUTED_VALUE"""),", Fire DMG: +250000 ++Does not use Ammunition. ++Cannot avoid, ++Damages all enemies.")</f>
        <v>, Fire DMG: +250000 ++Does not use Ammunition. ++Cannot avoid, ++Damages all enemies.</v>
      </c>
      <c r="G412" s="1">
        <f>IFERROR(__xludf.DUMMYFUNCTION("""COMPUTED_VALUE"""),1.2475E9)</f>
        <v>1247500000</v>
      </c>
      <c r="H412" s="1"/>
      <c r="I412" s="1"/>
      <c r="J412" s="1"/>
      <c r="K412" s="1"/>
      <c r="L412" s="1"/>
      <c r="M412" s="1"/>
      <c r="N412" s="1"/>
      <c r="O412" s="1"/>
      <c r="P412" s="1"/>
      <c r="Q412" s="1"/>
      <c r="R412" s="1"/>
      <c r="S412" s="1"/>
      <c r="T412" s="1"/>
      <c r="U412" s="1"/>
      <c r="V412" s="1"/>
      <c r="W412" s="1"/>
      <c r="X412" s="1"/>
      <c r="Y412" s="1"/>
      <c r="Z412" s="1"/>
      <c r="AA412" s="1"/>
    </row>
    <row r="413" ht="15.75" customHeight="1">
      <c r="A413" s="1" t="str">
        <f>IFERROR(__xludf.DUMMYFUNCTION("""COMPUTED_VALUE"""),"Roof Mounted Turret")</f>
        <v>Roof Mounted Turret</v>
      </c>
      <c r="B413" s="1"/>
      <c r="C413" s="1" t="str">
        <f>IFERROR(__xludf.DUMMYFUNCTION("""COMPUTED_VALUE"""),"Firearm")</f>
        <v>Firearm</v>
      </c>
      <c r="D413" s="1" t="str">
        <f>IFERROR(__xludf.DUMMYFUNCTION("""COMPUTED_VALUE"""),"CarGun")</f>
        <v>CarGun</v>
      </c>
      <c r="E413" s="1">
        <f>IFERROR(__xludf.DUMMYFUNCTION("""COMPUTED_VALUE"""),500.0)</f>
        <v>500</v>
      </c>
      <c r="F413" s="1"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
        <f>IFERROR(__xludf.DUMMYFUNCTION("""COMPUTED_VALUE"""),1.225E7)</f>
        <v>12250000</v>
      </c>
      <c r="H413" s="1"/>
      <c r="I413" s="1"/>
      <c r="J413" s="1"/>
      <c r="K413" s="1"/>
      <c r="L413" s="1"/>
      <c r="M413" s="1"/>
      <c r="N413" s="1"/>
      <c r="O413" s="1"/>
      <c r="P413" s="1"/>
      <c r="Q413" s="1"/>
      <c r="R413" s="1"/>
      <c r="S413" s="1"/>
      <c r="T413" s="1"/>
      <c r="U413" s="1"/>
      <c r="V413" s="1"/>
      <c r="W413" s="1"/>
      <c r="X413" s="1"/>
      <c r="Y413" s="1"/>
      <c r="Z413" s="1"/>
      <c r="AA413" s="1"/>
    </row>
    <row r="414" ht="15.75" customHeight="1">
      <c r="A414" s="1" t="str">
        <f>IFERROR(__xludf.DUMMYFUNCTION("""COMPUTED_VALUE"""),".50 Caliber Machine Gun (boat)")</f>
        <v>.50 Caliber Machine Gun (boat)</v>
      </c>
      <c r="B414" s="1"/>
      <c r="C414" s="1" t="str">
        <f>IFERROR(__xludf.DUMMYFUNCTION("""COMPUTED_VALUE"""),"Firearm")</f>
        <v>Firearm</v>
      </c>
      <c r="D414" s="1" t="str">
        <f>IFERROR(__xludf.DUMMYFUNCTION("""COMPUTED_VALUE"""),"BoatGun")</f>
        <v>BoatGun</v>
      </c>
      <c r="E414" s="1">
        <f>IFERROR(__xludf.DUMMYFUNCTION("""COMPUTED_VALUE"""),500.0)</f>
        <v>500</v>
      </c>
      <c r="F414" s="1" t="str">
        <f>IFERROR(__xludf.DUMMYFUNCTION("""COMPUTED_VALUE"""),"DMG: +25000 ++Roll a d500 to see how many bullets are used when you attack with this weapon. +-Uses bullets")</f>
        <v>DMG: +25000 ++Roll a d500 to see how many bullets are used when you attack with this weapon. +-Uses bullets</v>
      </c>
      <c r="G414" s="1">
        <f>IFERROR(__xludf.DUMMYFUNCTION("""COMPUTED_VALUE"""),1.225E7)</f>
        <v>12250000</v>
      </c>
      <c r="H414" s="1"/>
      <c r="I414" s="1"/>
      <c r="J414" s="1"/>
      <c r="K414" s="1"/>
      <c r="L414" s="1"/>
      <c r="M414" s="1"/>
      <c r="N414" s="1"/>
      <c r="O414" s="1"/>
      <c r="P414" s="1"/>
      <c r="Q414" s="1"/>
      <c r="R414" s="1"/>
      <c r="S414" s="1"/>
      <c r="T414" s="1"/>
      <c r="U414" s="1"/>
      <c r="V414" s="1"/>
      <c r="W414" s="1"/>
      <c r="X414" s="1"/>
      <c r="Y414" s="1"/>
      <c r="Z414" s="1"/>
      <c r="AA414" s="1"/>
    </row>
    <row r="415" ht="15.75" customHeight="1">
      <c r="A415" s="1" t="str">
        <f>IFERROR(__xludf.DUMMYFUNCTION("""COMPUTED_VALUE"""),"Missile Turret (car)")</f>
        <v>Missile Turret (car)</v>
      </c>
      <c r="B415" s="1"/>
      <c r="C415" s="1" t="str">
        <f>IFERROR(__xludf.DUMMYFUNCTION("""COMPUTED_VALUE"""),"Firearm")</f>
        <v>Firearm</v>
      </c>
      <c r="D415" s="1" t="str">
        <f>IFERROR(__xludf.DUMMYFUNCTION("""COMPUTED_VALUE"""),"CarGun")</f>
        <v>CarGun</v>
      </c>
      <c r="E415" s="1">
        <f>IFERROR(__xludf.DUMMYFUNCTION("""COMPUTED_VALUE"""),2000.0)</f>
        <v>2000</v>
      </c>
      <c r="F415" s="1" t="str">
        <f>IFERROR(__xludf.DUMMYFUNCTION("""COMPUTED_VALUE"""),"DMG: +50000, Fire DMG: +50000 ++Damages all enemies. +-Uses Missiles.")</f>
        <v>DMG: +50000, Fire DMG: +50000 ++Damages all enemies. +-Uses Missiles.</v>
      </c>
      <c r="G415" s="1">
        <f>IFERROR(__xludf.DUMMYFUNCTION("""COMPUTED_VALUE"""),1.99E8)</f>
        <v>199000000</v>
      </c>
      <c r="H415" s="1"/>
      <c r="I415" s="1"/>
      <c r="J415" s="1"/>
      <c r="K415" s="1"/>
      <c r="L415" s="1"/>
      <c r="M415" s="1"/>
      <c r="N415" s="1"/>
      <c r="O415" s="1"/>
      <c r="P415" s="1"/>
      <c r="Q415" s="1"/>
      <c r="R415" s="1"/>
      <c r="S415" s="1"/>
      <c r="T415" s="1"/>
      <c r="U415" s="1"/>
      <c r="V415" s="1"/>
      <c r="W415" s="1"/>
      <c r="X415" s="1"/>
      <c r="Y415" s="1"/>
      <c r="Z415" s="1"/>
      <c r="AA415" s="1"/>
    </row>
    <row r="416" ht="15.75" customHeight="1">
      <c r="A416" s="1" t="str">
        <f>IFERROR(__xludf.DUMMYFUNCTION("""COMPUTED_VALUE"""),"Missile Turret (boat)")</f>
        <v>Missile Turret (boat)</v>
      </c>
      <c r="B416" s="1"/>
      <c r="C416" s="1" t="str">
        <f>IFERROR(__xludf.DUMMYFUNCTION("""COMPUTED_VALUE"""),"Firearm")</f>
        <v>Firearm</v>
      </c>
      <c r="D416" s="1" t="str">
        <f>IFERROR(__xludf.DUMMYFUNCTION("""COMPUTED_VALUE"""),"BoatGun")</f>
        <v>BoatGun</v>
      </c>
      <c r="E416" s="1">
        <f>IFERROR(__xludf.DUMMYFUNCTION("""COMPUTED_VALUE"""),2000.0)</f>
        <v>2000</v>
      </c>
      <c r="F416" s="1" t="str">
        <f>IFERROR(__xludf.DUMMYFUNCTION("""COMPUTED_VALUE"""),"DMG: +50000, Fire DMG: +50000 ++Damages all enemies. +-Uses Missiles.")</f>
        <v>DMG: +50000, Fire DMG: +50000 ++Damages all enemies. +-Uses Missiles.</v>
      </c>
      <c r="G416" s="1">
        <f>IFERROR(__xludf.DUMMYFUNCTION("""COMPUTED_VALUE"""),1.99E8)</f>
        <v>199000000</v>
      </c>
      <c r="H416" s="1"/>
      <c r="I416" s="1"/>
      <c r="J416" s="1"/>
      <c r="K416" s="1"/>
      <c r="L416" s="1"/>
      <c r="M416" s="1"/>
      <c r="N416" s="1"/>
      <c r="O416" s="1"/>
      <c r="P416" s="1"/>
      <c r="Q416" s="1"/>
      <c r="R416" s="1"/>
      <c r="S416" s="1"/>
      <c r="T416" s="1"/>
      <c r="U416" s="1"/>
      <c r="V416" s="1"/>
      <c r="W416" s="1"/>
      <c r="X416" s="1"/>
      <c r="Y416" s="1"/>
      <c r="Z416" s="1"/>
      <c r="AA416" s="1"/>
    </row>
    <row r="417" ht="15.75" customHeight="1">
      <c r="A417" s="1" t="str">
        <f>IFERROR(__xludf.DUMMYFUNCTION("""COMPUTED_VALUE"""),"Royal Sword of Dragonia")</f>
        <v>Royal Sword of Dragonia</v>
      </c>
      <c r="B417" s="1"/>
      <c r="C417" s="1" t="str">
        <f>IFERROR(__xludf.DUMMYFUNCTION("""COMPUTED_VALUE"""),"Sword")</f>
        <v>Sword</v>
      </c>
      <c r="D417" s="1" t="str">
        <f>IFERROR(__xludf.DUMMYFUNCTION("""COMPUTED_VALUE"""),"Hand")</f>
        <v>Hand</v>
      </c>
      <c r="E417" s="1">
        <f>IFERROR(__xludf.DUMMYFUNCTION("""COMPUTED_VALUE"""),200.0)</f>
        <v>200</v>
      </c>
      <c r="F417" s="1"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
        <f>IFERROR(__xludf.DUMMYFUNCTION("""COMPUTED_VALUE"""),7.98E8)</f>
        <v>798000000</v>
      </c>
      <c r="H417" s="1"/>
      <c r="I417" s="1"/>
      <c r="J417" s="1"/>
      <c r="K417" s="1"/>
      <c r="L417" s="1"/>
      <c r="M417" s="1"/>
      <c r="N417" s="1"/>
      <c r="O417" s="1"/>
      <c r="P417" s="1"/>
      <c r="Q417" s="1"/>
      <c r="R417" s="1"/>
      <c r="S417" s="1"/>
      <c r="T417" s="1"/>
      <c r="U417" s="1"/>
      <c r="V417" s="1"/>
      <c r="W417" s="1"/>
      <c r="X417" s="1"/>
      <c r="Y417" s="1"/>
      <c r="Z417" s="1"/>
      <c r="AA417" s="1"/>
    </row>
    <row r="418" ht="15.75" customHeight="1">
      <c r="A418" s="1" t="str">
        <f>IFERROR(__xludf.DUMMYFUNCTION("""COMPUTED_VALUE"""),"Dragonian Helm")</f>
        <v>Dragonian Helm</v>
      </c>
      <c r="B418" s="1"/>
      <c r="C418" s="1" t="str">
        <f>IFERROR(__xludf.DUMMYFUNCTION("""COMPUTED_VALUE"""),"Sword")</f>
        <v>Sword</v>
      </c>
      <c r="D418" s="1" t="str">
        <f>IFERROR(__xludf.DUMMYFUNCTION("""COMPUTED_VALUE"""),"Head")</f>
        <v>Head</v>
      </c>
      <c r="E418" s="1">
        <f>IFERROR(__xludf.DUMMYFUNCTION("""COMPUTED_VALUE"""),200.0)</f>
        <v>200</v>
      </c>
      <c r="F418"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
        <f>IFERROR(__xludf.DUMMYFUNCTION("""COMPUTED_VALUE"""),7.98E8)</f>
        <v>798000000</v>
      </c>
      <c r="H418" s="1"/>
      <c r="I418" s="1"/>
      <c r="J418" s="1"/>
      <c r="K418" s="1"/>
      <c r="L418" s="1"/>
      <c r="M418" s="1"/>
      <c r="N418" s="1"/>
      <c r="O418" s="1"/>
      <c r="P418" s="1"/>
      <c r="Q418" s="1"/>
      <c r="R418" s="1"/>
      <c r="S418" s="1"/>
      <c r="T418" s="1"/>
      <c r="U418" s="1"/>
      <c r="V418" s="1"/>
      <c r="W418" s="1"/>
      <c r="X418" s="1"/>
      <c r="Y418" s="1"/>
      <c r="Z418" s="1"/>
      <c r="AA418" s="1"/>
    </row>
    <row r="419" ht="15.75" customHeight="1">
      <c r="A419" s="1" t="str">
        <f>IFERROR(__xludf.DUMMYFUNCTION("""COMPUTED_VALUE"""),"Dragonian Pauldrons")</f>
        <v>Dragonian Pauldrons</v>
      </c>
      <c r="B419" s="1"/>
      <c r="C419" s="1"/>
      <c r="D419" s="1" t="str">
        <f>IFERROR(__xludf.DUMMYFUNCTION("""COMPUTED_VALUE"""),"Shoulders")</f>
        <v>Shoulders</v>
      </c>
      <c r="E419" s="1">
        <f>IFERROR(__xludf.DUMMYFUNCTION("""COMPUTED_VALUE"""),200.0)</f>
        <v>200</v>
      </c>
      <c r="F419"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
        <f>IFERROR(__xludf.DUMMYFUNCTION("""COMPUTED_VALUE"""),7.98E8)</f>
        <v>798000000</v>
      </c>
      <c r="H419" s="1"/>
      <c r="I419" s="1"/>
      <c r="J419" s="1"/>
      <c r="K419" s="1"/>
      <c r="L419" s="1"/>
      <c r="M419" s="1"/>
      <c r="N419" s="1"/>
      <c r="O419" s="1"/>
      <c r="P419" s="1"/>
      <c r="Q419" s="1"/>
      <c r="R419" s="1"/>
      <c r="S419" s="1"/>
      <c r="T419" s="1"/>
      <c r="U419" s="1"/>
      <c r="V419" s="1"/>
      <c r="W419" s="1"/>
      <c r="X419" s="1"/>
      <c r="Y419" s="1"/>
      <c r="Z419" s="1"/>
      <c r="AA419" s="1"/>
    </row>
    <row r="420" ht="15.75" customHeight="1">
      <c r="A420" s="1" t="str">
        <f>IFERROR(__xludf.DUMMYFUNCTION("""COMPUTED_VALUE"""),"Dragonian Chestplate")</f>
        <v>Dragonian Chestplate</v>
      </c>
      <c r="B420" s="1"/>
      <c r="C420" s="1"/>
      <c r="D420" s="1" t="str">
        <f>IFERROR(__xludf.DUMMYFUNCTION("""COMPUTED_VALUE"""),"Torso")</f>
        <v>Torso</v>
      </c>
      <c r="E420" s="1">
        <f>IFERROR(__xludf.DUMMYFUNCTION("""COMPUTED_VALUE"""),200.0)</f>
        <v>200</v>
      </c>
      <c r="F420"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
        <f>IFERROR(__xludf.DUMMYFUNCTION("""COMPUTED_VALUE"""),7.98E8)</f>
        <v>798000000</v>
      </c>
      <c r="H420" s="1"/>
      <c r="I420" s="1"/>
      <c r="J420" s="1"/>
      <c r="K420" s="1"/>
      <c r="L420" s="1"/>
      <c r="M420" s="1"/>
      <c r="N420" s="1"/>
      <c r="O420" s="1"/>
      <c r="P420" s="1"/>
      <c r="Q420" s="1"/>
      <c r="R420" s="1"/>
      <c r="S420" s="1"/>
      <c r="T420" s="1"/>
      <c r="U420" s="1"/>
      <c r="V420" s="1"/>
      <c r="W420" s="1"/>
      <c r="X420" s="1"/>
      <c r="Y420" s="1"/>
      <c r="Z420" s="1"/>
      <c r="AA420" s="1"/>
    </row>
    <row r="421" ht="15.75" customHeight="1">
      <c r="A421" s="1" t="str">
        <f>IFERROR(__xludf.DUMMYFUNCTION("""COMPUTED_VALUE"""),"Dragonian Vambraces")</f>
        <v>Dragonian Vambraces</v>
      </c>
      <c r="B421" s="1"/>
      <c r="C421" s="1"/>
      <c r="D421" s="1" t="str">
        <f>IFERROR(__xludf.DUMMYFUNCTION("""COMPUTED_VALUE"""),"Arms")</f>
        <v>Arms</v>
      </c>
      <c r="E421" s="1">
        <f>IFERROR(__xludf.DUMMYFUNCTION("""COMPUTED_VALUE"""),200.0)</f>
        <v>200</v>
      </c>
      <c r="F421"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
        <f>IFERROR(__xludf.DUMMYFUNCTION("""COMPUTED_VALUE"""),7.98E8)</f>
        <v>798000000</v>
      </c>
      <c r="H421" s="1"/>
      <c r="I421" s="1"/>
      <c r="J421" s="1"/>
      <c r="K421" s="1"/>
      <c r="L421" s="1"/>
      <c r="M421" s="1"/>
      <c r="N421" s="1"/>
      <c r="O421" s="1"/>
      <c r="P421" s="1"/>
      <c r="Q421" s="1"/>
      <c r="R421" s="1"/>
      <c r="S421" s="1"/>
      <c r="T421" s="1"/>
      <c r="U421" s="1"/>
      <c r="V421" s="1"/>
      <c r="W421" s="1"/>
      <c r="X421" s="1"/>
      <c r="Y421" s="1"/>
      <c r="Z421" s="1"/>
      <c r="AA421" s="1"/>
    </row>
    <row r="422" ht="15.75" customHeight="1">
      <c r="A422" s="1" t="str">
        <f>IFERROR(__xludf.DUMMYFUNCTION("""COMPUTED_VALUE"""),"Dragonian Greaves")</f>
        <v>Dragonian Greaves</v>
      </c>
      <c r="B422" s="1"/>
      <c r="C422" s="1"/>
      <c r="D422" s="1" t="str">
        <f>IFERROR(__xludf.DUMMYFUNCTION("""COMPUTED_VALUE"""),"Legs")</f>
        <v>Legs</v>
      </c>
      <c r="E422" s="1">
        <f>IFERROR(__xludf.DUMMYFUNCTION("""COMPUTED_VALUE"""),200.0)</f>
        <v>200</v>
      </c>
      <c r="F422"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
        <f>IFERROR(__xludf.DUMMYFUNCTION("""COMPUTED_VALUE"""),7.98E8)</f>
        <v>798000000</v>
      </c>
      <c r="H422" s="1"/>
      <c r="I422" s="1"/>
      <c r="J422" s="1"/>
      <c r="K422" s="1"/>
      <c r="L422" s="1"/>
      <c r="M422" s="1"/>
      <c r="N422" s="1"/>
      <c r="O422" s="1"/>
      <c r="P422" s="1"/>
      <c r="Q422" s="1"/>
      <c r="R422" s="1"/>
      <c r="S422" s="1"/>
      <c r="T422" s="1"/>
      <c r="U422" s="1"/>
      <c r="V422" s="1"/>
      <c r="W422" s="1"/>
      <c r="X422" s="1"/>
      <c r="Y422" s="1"/>
      <c r="Z422" s="1"/>
      <c r="AA422" s="1"/>
    </row>
    <row r="423" ht="15.75" customHeight="1">
      <c r="A423" s="1" t="str">
        <f>IFERROR(__xludf.DUMMYFUNCTION("""COMPUTED_VALUE"""),"Dragonian Boots")</f>
        <v>Dragonian Boots</v>
      </c>
      <c r="B423" s="1"/>
      <c r="C423" s="1"/>
      <c r="D423" s="1" t="str">
        <f>IFERROR(__xludf.DUMMYFUNCTION("""COMPUTED_VALUE"""),"Feet")</f>
        <v>Feet</v>
      </c>
      <c r="E423" s="1">
        <f>IFERROR(__xludf.DUMMYFUNCTION("""COMPUTED_VALUE"""),200.0)</f>
        <v>200</v>
      </c>
      <c r="F423"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
        <f>IFERROR(__xludf.DUMMYFUNCTION("""COMPUTED_VALUE"""),7.98E8)</f>
        <v>798000000</v>
      </c>
      <c r="H423" s="1"/>
      <c r="I423" s="1"/>
      <c r="J423" s="1"/>
      <c r="K423" s="1"/>
      <c r="L423" s="1"/>
      <c r="M423" s="1"/>
      <c r="N423" s="1"/>
      <c r="O423" s="1"/>
      <c r="P423" s="1"/>
      <c r="Q423" s="1"/>
      <c r="R423" s="1"/>
      <c r="S423" s="1"/>
      <c r="T423" s="1"/>
      <c r="U423" s="1"/>
      <c r="V423" s="1"/>
      <c r="W423" s="1"/>
      <c r="X423" s="1"/>
      <c r="Y423" s="1"/>
      <c r="Z423" s="1"/>
      <c r="AA423" s="1"/>
    </row>
    <row r="424" ht="15.75" customHeight="1">
      <c r="A424" s="1" t="str">
        <f>IFERROR(__xludf.DUMMYFUNCTION("""COMPUTED_VALUE"""),"Dragonian Pendent")</f>
        <v>Dragonian Pendent</v>
      </c>
      <c r="B424" s="1"/>
      <c r="C424" s="1"/>
      <c r="D424" s="1" t="str">
        <f>IFERROR(__xludf.DUMMYFUNCTION("""COMPUTED_VALUE"""),"Neck")</f>
        <v>Neck</v>
      </c>
      <c r="E424" s="1">
        <f>IFERROR(__xludf.DUMMYFUNCTION("""COMPUTED_VALUE"""),200.0)</f>
        <v>200</v>
      </c>
      <c r="F424" s="1"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
        <f>IFERROR(__xludf.DUMMYFUNCTION("""COMPUTED_VALUE"""),4350000.0)</f>
        <v>4350000</v>
      </c>
      <c r="H424" s="1"/>
      <c r="I424" s="1"/>
      <c r="J424" s="1"/>
      <c r="K424" s="1"/>
      <c r="L424" s="1"/>
      <c r="M424" s="1"/>
      <c r="N424" s="1"/>
      <c r="O424" s="1"/>
      <c r="P424" s="1"/>
      <c r="Q424" s="1"/>
      <c r="R424" s="1"/>
      <c r="S424" s="1"/>
      <c r="T424" s="1"/>
      <c r="U424" s="1"/>
      <c r="V424" s="1"/>
      <c r="W424" s="1"/>
      <c r="X424" s="1"/>
      <c r="Y424" s="1"/>
      <c r="Z424" s="1"/>
      <c r="AA424" s="1"/>
    </row>
    <row r="425" ht="15.75" customHeight="1">
      <c r="A425" s="1" t="str">
        <f>IFERROR(__xludf.DUMMYFUNCTION("""COMPUTED_VALUE"""),"Dragonian Ring")</f>
        <v>Dragonian Ring</v>
      </c>
      <c r="B425" s="1"/>
      <c r="C425" s="1"/>
      <c r="D425" s="1" t="str">
        <f>IFERROR(__xludf.DUMMYFUNCTION("""COMPUTED_VALUE"""),"Ring")</f>
        <v>Ring</v>
      </c>
      <c r="E425" s="1">
        <f>IFERROR(__xludf.DUMMYFUNCTION("""COMPUTED_VALUE"""),200.0)</f>
        <v>200</v>
      </c>
      <c r="F425" s="1"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
        <f>IFERROR(__xludf.DUMMYFUNCTION("""COMPUTED_VALUE"""),4350000.0)</f>
        <v>4350000</v>
      </c>
      <c r="H425" s="1"/>
      <c r="I425" s="1"/>
      <c r="J425" s="1"/>
      <c r="K425" s="1"/>
      <c r="L425" s="1"/>
      <c r="M425" s="1"/>
      <c r="N425" s="1"/>
      <c r="O425" s="1"/>
      <c r="P425" s="1"/>
      <c r="Q425" s="1"/>
      <c r="R425" s="1"/>
      <c r="S425" s="1"/>
      <c r="T425" s="1"/>
      <c r="U425" s="1"/>
      <c r="V425" s="1"/>
      <c r="W425" s="1"/>
      <c r="X425" s="1"/>
      <c r="Y425" s="1"/>
      <c r="Z425" s="1"/>
      <c r="AA425" s="1"/>
    </row>
    <row r="426" ht="15.75" customHeight="1">
      <c r="A426" s="1" t="str">
        <f>IFERROR(__xludf.DUMMYFUNCTION("""COMPUTED_VALUE"""),"Fishing Pole of Luck and Power")</f>
        <v>Fishing Pole of Luck and Power</v>
      </c>
      <c r="B426" s="1"/>
      <c r="C426" s="1" t="str">
        <f>IFERROR(__xludf.DUMMYFUNCTION("""COMPUTED_VALUE"""),"Club")</f>
        <v>Club</v>
      </c>
      <c r="D426" s="1" t="str">
        <f>IFERROR(__xludf.DUMMYFUNCTION("""COMPUTED_VALUE"""),"Hand")</f>
        <v>Hand</v>
      </c>
      <c r="E426" s="1">
        <f>IFERROR(__xludf.DUMMYFUNCTION("""COMPUTED_VALUE"""),1600.0)</f>
        <v>1600</v>
      </c>
      <c r="F426" s="1"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
        <f>IFERROR(__xludf.DUMMYFUNCTION("""COMPUTED_VALUE"""),1.272E8)</f>
        <v>127200000</v>
      </c>
      <c r="H426" s="1"/>
      <c r="I426" s="1"/>
      <c r="J426" s="1"/>
      <c r="K426" s="1"/>
      <c r="L426" s="1"/>
      <c r="M426" s="1"/>
      <c r="N426" s="1"/>
      <c r="O426" s="1"/>
      <c r="P426" s="1"/>
      <c r="Q426" s="1"/>
      <c r="R426" s="1"/>
      <c r="S426" s="1"/>
      <c r="T426" s="1"/>
      <c r="U426" s="1"/>
      <c r="V426" s="1"/>
      <c r="W426" s="1"/>
      <c r="X426" s="1"/>
      <c r="Y426" s="1"/>
      <c r="Z426" s="1"/>
      <c r="AA426" s="1"/>
    </row>
    <row r="427" ht="15.75" customHeight="1">
      <c r="A427" s="1" t="str">
        <f>IFERROR(__xludf.DUMMYFUNCTION("""COMPUTED_VALUE"""),"Ancient Oni Pauldrons")</f>
        <v>Ancient Oni Pauldrons</v>
      </c>
      <c r="B427" s="1" t="str">
        <f>IFERROR(__xludf.DUMMYFUNCTION("""COMPUTED_VALUE"""),"An ancient relic to Zhenmay")</f>
        <v>An ancient relic to Zhenmay</v>
      </c>
      <c r="C427" s="1"/>
      <c r="D427" s="1" t="str">
        <f>IFERROR(__xludf.DUMMYFUNCTION("""COMPUTED_VALUE"""),"Shoulders")</f>
        <v>Shoulders</v>
      </c>
      <c r="E427" s="1">
        <f>IFERROR(__xludf.DUMMYFUNCTION("""COMPUTED_VALUE"""),200.0)</f>
        <v>200</v>
      </c>
      <c r="F427" s="1"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
        <f>IFERROR(__xludf.DUMMYFUNCTION("""COMPUTED_VALUE"""),5.104E8)</f>
        <v>510400000</v>
      </c>
      <c r="H427" s="1"/>
      <c r="I427" s="1"/>
      <c r="J427" s="1"/>
      <c r="K427" s="1"/>
      <c r="L427" s="1"/>
      <c r="M427" s="1"/>
      <c r="N427" s="1"/>
      <c r="O427" s="1"/>
      <c r="P427" s="1"/>
      <c r="Q427" s="1"/>
      <c r="R427" s="1"/>
      <c r="S427" s="1"/>
      <c r="T427" s="1"/>
      <c r="U427" s="1"/>
      <c r="V427" s="1"/>
      <c r="W427" s="1"/>
      <c r="X427" s="1"/>
      <c r="Y427" s="1"/>
      <c r="Z427" s="1"/>
      <c r="AA427" s="1"/>
    </row>
    <row r="428" ht="15.75" customHeight="1">
      <c r="A428" s="1" t="str">
        <f>IFERROR(__xludf.DUMMYFUNCTION("""COMPUTED_VALUE"""),"Ancient Oni Vambraces")</f>
        <v>Ancient Oni Vambraces</v>
      </c>
      <c r="B428" s="1" t="str">
        <f>IFERROR(__xludf.DUMMYFUNCTION("""COMPUTED_VALUE"""),"An ancient relic to Zhenmay")</f>
        <v>An ancient relic to Zhenmay</v>
      </c>
      <c r="C428" s="1"/>
      <c r="D428" s="1" t="str">
        <f>IFERROR(__xludf.DUMMYFUNCTION("""COMPUTED_VALUE"""),"Arms")</f>
        <v>Arms</v>
      </c>
      <c r="E428" s="1">
        <f>IFERROR(__xludf.DUMMYFUNCTION("""COMPUTED_VALUE"""),200.0)</f>
        <v>200</v>
      </c>
      <c r="F428" s="1"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
        <f>IFERROR(__xludf.DUMMYFUNCTION("""COMPUTED_VALUE"""),5.104E8)</f>
        <v>510400000</v>
      </c>
      <c r="H428" s="1"/>
      <c r="I428" s="1"/>
      <c r="J428" s="1"/>
      <c r="K428" s="1"/>
      <c r="L428" s="1"/>
      <c r="M428" s="1"/>
      <c r="N428" s="1"/>
      <c r="O428" s="1"/>
      <c r="P428" s="1"/>
      <c r="Q428" s="1"/>
      <c r="R428" s="1"/>
      <c r="S428" s="1"/>
      <c r="T428" s="1"/>
      <c r="U428" s="1"/>
      <c r="V428" s="1"/>
      <c r="W428" s="1"/>
      <c r="X428" s="1"/>
      <c r="Y428" s="1"/>
      <c r="Z428" s="1"/>
      <c r="AA428" s="1"/>
    </row>
    <row r="429" ht="15.75" customHeight="1">
      <c r="A429" s="1" t="str">
        <f>IFERROR(__xludf.DUMMYFUNCTION("""COMPUTED_VALUE"""),"Ancient Oni Greaves")</f>
        <v>Ancient Oni Greaves</v>
      </c>
      <c r="B429" s="1" t="str">
        <f>IFERROR(__xludf.DUMMYFUNCTION("""COMPUTED_VALUE"""),"An ancient relic to Zhenmay")</f>
        <v>An ancient relic to Zhenmay</v>
      </c>
      <c r="C429" s="1"/>
      <c r="D429" s="1" t="str">
        <f>IFERROR(__xludf.DUMMYFUNCTION("""COMPUTED_VALUE"""),"Legs")</f>
        <v>Legs</v>
      </c>
      <c r="E429" s="1">
        <f>IFERROR(__xludf.DUMMYFUNCTION("""COMPUTED_VALUE"""),200.0)</f>
        <v>200</v>
      </c>
      <c r="F429" s="1"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
        <f>IFERROR(__xludf.DUMMYFUNCTION("""COMPUTED_VALUE"""),5.104E8)</f>
        <v>510400000</v>
      </c>
      <c r="H429" s="1"/>
      <c r="I429" s="1"/>
      <c r="J429" s="1"/>
      <c r="K429" s="1"/>
      <c r="L429" s="1"/>
      <c r="M429" s="1"/>
      <c r="N429" s="1"/>
      <c r="O429" s="1"/>
      <c r="P429" s="1"/>
      <c r="Q429" s="1"/>
      <c r="R429" s="1"/>
      <c r="S429" s="1"/>
      <c r="T429" s="1"/>
      <c r="U429" s="1"/>
      <c r="V429" s="1"/>
      <c r="W429" s="1"/>
      <c r="X429" s="1"/>
      <c r="Y429" s="1"/>
      <c r="Z429" s="1"/>
      <c r="AA429" s="1"/>
    </row>
    <row r="430" ht="15.75" customHeight="1">
      <c r="A430" s="1" t="str">
        <f>IFERROR(__xludf.DUMMYFUNCTION("""COMPUTED_VALUE"""),"Ancient Oni Boots")</f>
        <v>Ancient Oni Boots</v>
      </c>
      <c r="B430" s="1" t="str">
        <f>IFERROR(__xludf.DUMMYFUNCTION("""COMPUTED_VALUE"""),"An ancient relic to Zhenmay")</f>
        <v>An ancient relic to Zhenmay</v>
      </c>
      <c r="C430" s="1"/>
      <c r="D430" s="1" t="str">
        <f>IFERROR(__xludf.DUMMYFUNCTION("""COMPUTED_VALUE"""),"Feet")</f>
        <v>Feet</v>
      </c>
      <c r="E430" s="1">
        <f>IFERROR(__xludf.DUMMYFUNCTION("""COMPUTED_VALUE"""),200.0)</f>
        <v>200</v>
      </c>
      <c r="F430" s="1"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
        <f>IFERROR(__xludf.DUMMYFUNCTION("""COMPUTED_VALUE"""),5.104E8)</f>
        <v>510400000</v>
      </c>
      <c r="H430" s="1"/>
      <c r="I430" s="1"/>
      <c r="J430" s="1"/>
      <c r="K430" s="1"/>
      <c r="L430" s="1"/>
      <c r="M430" s="1"/>
      <c r="N430" s="1"/>
      <c r="O430" s="1"/>
      <c r="P430" s="1"/>
      <c r="Q430" s="1"/>
      <c r="R430" s="1"/>
      <c r="S430" s="1"/>
      <c r="T430" s="1"/>
      <c r="U430" s="1"/>
      <c r="V430" s="1"/>
      <c r="W430" s="1"/>
      <c r="X430" s="1"/>
      <c r="Y430" s="1"/>
      <c r="Z430" s="1"/>
      <c r="AA430" s="1"/>
    </row>
    <row r="431" ht="15.75" customHeight="1">
      <c r="A431" s="1" t="str">
        <f>IFERROR(__xludf.DUMMYFUNCTION("""COMPUTED_VALUE"""),"Ancient Oni Katana")</f>
        <v>Ancient Oni Katana</v>
      </c>
      <c r="B431" s="1" t="str">
        <f>IFERROR(__xludf.DUMMYFUNCTION("""COMPUTED_VALUE"""),"An ancient relic to Zhenmay")</f>
        <v>An ancient relic to Zhenmay</v>
      </c>
      <c r="C431" s="1" t="str">
        <f>IFERROR(__xludf.DUMMYFUNCTION("""COMPUTED_VALUE"""),"Sword")</f>
        <v>Sword</v>
      </c>
      <c r="D431" s="1" t="str">
        <f>IFERROR(__xludf.DUMMYFUNCTION("""COMPUTED_VALUE"""),"Hand")</f>
        <v>Hand</v>
      </c>
      <c r="E431" s="1">
        <f>IFERROR(__xludf.DUMMYFUNCTION("""COMPUTED_VALUE"""),200.0)</f>
        <v>200</v>
      </c>
      <c r="F431" s="1"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
        <f>IFERROR(__xludf.DUMMYFUNCTION("""COMPUTED_VALUE"""),5.104E8)</f>
        <v>510400000</v>
      </c>
      <c r="H431" s="1"/>
      <c r="I431" s="1"/>
      <c r="J431" s="1"/>
      <c r="K431" s="1"/>
      <c r="L431" s="1"/>
      <c r="M431" s="1"/>
      <c r="N431" s="1"/>
      <c r="O431" s="1"/>
      <c r="P431" s="1"/>
      <c r="Q431" s="1"/>
      <c r="R431" s="1"/>
      <c r="S431" s="1"/>
      <c r="T431" s="1"/>
      <c r="U431" s="1"/>
      <c r="V431" s="1"/>
      <c r="W431" s="1"/>
      <c r="X431" s="1"/>
      <c r="Y431" s="1"/>
      <c r="Z431" s="1"/>
      <c r="AA431" s="1"/>
    </row>
    <row r="432" ht="15.75" customHeight="1">
      <c r="A432" s="1" t="str">
        <f>IFERROR(__xludf.DUMMYFUNCTION("""COMPUTED_VALUE"""),"The Grand Staff of Evil Flames")</f>
        <v>The Grand Staff of Evil Flames</v>
      </c>
      <c r="B432" s="1"/>
      <c r="C432" s="1" t="str">
        <f>IFERROR(__xludf.DUMMYFUNCTION("""COMPUTED_VALUE"""),"Staff")</f>
        <v>Staff</v>
      </c>
      <c r="D432" s="1" t="str">
        <f>IFERROR(__xludf.DUMMYFUNCTION("""COMPUTED_VALUE"""),"Hand")</f>
        <v>Hand</v>
      </c>
      <c r="E432" s="1">
        <f>IFERROR(__xludf.DUMMYFUNCTION("""COMPUTED_VALUE"""),1200.0)</f>
        <v>1200</v>
      </c>
      <c r="F432" s="1"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
        <f>IFERROR(__xludf.DUMMYFUNCTION("""COMPUTED_VALUE"""),7.14E7)</f>
        <v>71400000</v>
      </c>
      <c r="H432" s="1"/>
      <c r="I432" s="1"/>
      <c r="J432" s="1"/>
      <c r="K432" s="1"/>
      <c r="L432" s="1"/>
      <c r="M432" s="1"/>
      <c r="N432" s="1"/>
      <c r="O432" s="1"/>
      <c r="P432" s="1"/>
      <c r="Q432" s="1"/>
      <c r="R432" s="1"/>
      <c r="S432" s="1"/>
      <c r="T432" s="1"/>
      <c r="U432" s="1"/>
      <c r="V432" s="1"/>
      <c r="W432" s="1"/>
      <c r="X432" s="1"/>
      <c r="Y432" s="1"/>
      <c r="Z432" s="1"/>
      <c r="AA432" s="1"/>
    </row>
    <row r="433" ht="15.75" customHeight="1">
      <c r="A433" s="1" t="str">
        <f>IFERROR(__xludf.DUMMYFUNCTION("""COMPUTED_VALUE"""),"Soul Sword of The Endless Realm")</f>
        <v>Soul Sword of The Endless Realm</v>
      </c>
      <c r="B433" s="1"/>
      <c r="C433" s="1" t="str">
        <f>IFERROR(__xludf.DUMMYFUNCTION("""COMPUTED_VALUE"""),"Sword")</f>
        <v>Sword</v>
      </c>
      <c r="D433" s="1" t="str">
        <f>IFERROR(__xludf.DUMMYFUNCTION("""COMPUTED_VALUE"""),"Hand")</f>
        <v>Hand</v>
      </c>
      <c r="E433" s="1">
        <f>IFERROR(__xludf.DUMMYFUNCTION("""COMPUTED_VALUE"""),200.0)</f>
        <v>200</v>
      </c>
      <c r="F433" s="1"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
        <f>IFERROR(__xludf.DUMMYFUNCTION("""COMPUTED_VALUE"""),4.0455E9)</f>
        <v>4045500000</v>
      </c>
      <c r="H433" s="1"/>
      <c r="I433" s="1"/>
      <c r="J433" s="1"/>
      <c r="K433" s="1"/>
      <c r="L433" s="1"/>
      <c r="M433" s="1"/>
      <c r="N433" s="1"/>
      <c r="O433" s="1"/>
      <c r="P433" s="1"/>
      <c r="Q433" s="1"/>
      <c r="R433" s="1"/>
      <c r="S433" s="1"/>
      <c r="T433" s="1"/>
      <c r="U433" s="1"/>
      <c r="V433" s="1"/>
      <c r="W433" s="1"/>
      <c r="X433" s="1"/>
      <c r="Y433" s="1"/>
      <c r="Z433" s="1"/>
      <c r="AA433" s="1"/>
    </row>
    <row r="434" ht="15.75" customHeight="1">
      <c r="A434" s="1" t="str">
        <f>IFERROR(__xludf.DUMMYFUNCTION("""COMPUTED_VALUE"""),"Rat King's Crown")</f>
        <v>Rat King's Crown</v>
      </c>
      <c r="B434" s="1"/>
      <c r="C434" s="1"/>
      <c r="D434" s="1" t="str">
        <f>IFERROR(__xludf.DUMMYFUNCTION("""COMPUTED_VALUE"""),"Head")</f>
        <v>Head</v>
      </c>
      <c r="E434" s="1">
        <f>IFERROR(__xludf.DUMMYFUNCTION("""COMPUTED_VALUE"""),1000.0)</f>
        <v>1000</v>
      </c>
      <c r="F434" s="1"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
        <f>IFERROR(__xludf.DUMMYFUNCTION("""COMPUTED_VALUE"""),4.95E7)</f>
        <v>49500000</v>
      </c>
      <c r="H434" s="1"/>
      <c r="I434" s="1"/>
      <c r="J434" s="1"/>
      <c r="K434" s="1"/>
      <c r="L434" s="1"/>
      <c r="M434" s="1"/>
      <c r="N434" s="1"/>
      <c r="O434" s="1"/>
      <c r="P434" s="1"/>
      <c r="Q434" s="1"/>
      <c r="R434" s="1"/>
      <c r="S434" s="1"/>
      <c r="T434" s="1"/>
      <c r="U434" s="1"/>
      <c r="V434" s="1"/>
      <c r="W434" s="1"/>
      <c r="X434" s="1"/>
      <c r="Y434" s="1"/>
      <c r="Z434" s="1"/>
      <c r="AA434" s="1"/>
    </row>
    <row r="435" ht="15.75" customHeight="1">
      <c r="A435" s="1" t="str">
        <f>IFERROR(__xludf.DUMMYFUNCTION("""COMPUTED_VALUE"""),"Vermouth's Crown of Tides")</f>
        <v>Vermouth's Crown of Tides</v>
      </c>
      <c r="B435" s="1"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
      <c r="D435" s="1" t="str">
        <f>IFERROR(__xludf.DUMMYFUNCTION("""COMPUTED_VALUE"""),"Head")</f>
        <v>Head</v>
      </c>
      <c r="E435" s="1">
        <f>IFERROR(__xludf.DUMMYFUNCTION("""COMPUTED_VALUE"""),700.0)</f>
        <v>700</v>
      </c>
      <c r="F435" s="1" t="str">
        <f>IFERROR(__xludf.DUMMYFUNCTION("""COMPUTED_VALUE"""),"DEF: +25000, Water DEF: +10000 ++Immunity to Water damage. ++X2 Additional Water damage for the user.")</f>
        <v>DEF: +25000, Water DEF: +10000 ++Immunity to Water damage. ++X2 Additional Water damage for the user.</v>
      </c>
      <c r="G435" s="1">
        <f>IFERROR(__xludf.DUMMYFUNCTION("""COMPUTED_VALUE"""),2.415E7)</f>
        <v>24150000</v>
      </c>
      <c r="H435" s="1"/>
      <c r="I435" s="1"/>
      <c r="J435" s="1"/>
      <c r="K435" s="1"/>
      <c r="L435" s="1"/>
      <c r="M435" s="1"/>
      <c r="N435" s="1"/>
      <c r="O435" s="1"/>
      <c r="P435" s="1"/>
      <c r="Q435" s="1"/>
      <c r="R435" s="1"/>
      <c r="S435" s="1"/>
      <c r="T435" s="1"/>
      <c r="U435" s="1"/>
      <c r="V435" s="1"/>
      <c r="W435" s="1"/>
      <c r="X435" s="1"/>
      <c r="Y435" s="1"/>
      <c r="Z435" s="1"/>
      <c r="AA435" s="1"/>
    </row>
    <row r="436" ht="15.75" customHeight="1">
      <c r="A436" s="1" t="str">
        <f>IFERROR(__xludf.DUMMYFUNCTION("""COMPUTED_VALUE"""),"ChronoMech Enigma")</f>
        <v>ChronoMech Enigma</v>
      </c>
      <c r="B436" s="1" t="str">
        <f>IFERROR(__xludf.DUMMYFUNCTION("""COMPUTED_VALUE"""),"A clockwork device that grants unique abilities.")</f>
        <v>A clockwork device that grants unique abilities.</v>
      </c>
      <c r="C436" s="1"/>
      <c r="D436" s="1" t="str">
        <f>IFERROR(__xludf.DUMMYFUNCTION("""COMPUTED_VALUE"""),"Hand")</f>
        <v>Hand</v>
      </c>
      <c r="E436" s="1">
        <f>IFERROR(__xludf.DUMMYFUNCTION("""COMPUTED_VALUE"""),200.0)</f>
        <v>200</v>
      </c>
      <c r="F436" s="1"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
        <f>IFERROR(__xludf.DUMMYFUNCTION("""COMPUTED_VALUE"""),1900000.0)</f>
        <v>1900000</v>
      </c>
      <c r="H436" s="1"/>
      <c r="I436" s="1"/>
      <c r="J436" s="1"/>
      <c r="K436" s="1"/>
      <c r="L436" s="1"/>
      <c r="M436" s="1"/>
      <c r="N436" s="1"/>
      <c r="O436" s="1"/>
      <c r="P436" s="1"/>
      <c r="Q436" s="1"/>
      <c r="R436" s="1"/>
      <c r="S436" s="1"/>
      <c r="T436" s="1"/>
      <c r="U436" s="1"/>
      <c r="V436" s="1"/>
      <c r="W436" s="1"/>
      <c r="X436" s="1"/>
      <c r="Y436" s="1"/>
      <c r="Z436" s="1"/>
      <c r="AA436" s="1"/>
    </row>
    <row r="437" ht="15.75" customHeight="1">
      <c r="A437" s="1" t="str">
        <f>IFERROR(__xludf.DUMMYFUNCTION("""COMPUTED_VALUE"""),"Royal Sword of The Halloween Kingdom")</f>
        <v>Royal Sword of The Halloween Kingdom</v>
      </c>
      <c r="B437" s="1" t="str">
        <f>IFERROR(__xludf.DUMMYFUNCTION("""COMPUTED_VALUE"""),"Halloween Exclusive")</f>
        <v>Halloween Exclusive</v>
      </c>
      <c r="C437" s="1" t="str">
        <f>IFERROR(__xludf.DUMMYFUNCTION("""COMPUTED_VALUE"""),"Sword")</f>
        <v>Sword</v>
      </c>
      <c r="D437" s="1" t="str">
        <f>IFERROR(__xludf.DUMMYFUNCTION("""COMPUTED_VALUE"""),"Hand")</f>
        <v>Hand</v>
      </c>
      <c r="E437" s="1">
        <f>IFERROR(__xludf.DUMMYFUNCTION("""COMPUTED_VALUE"""),200.0)</f>
        <v>200</v>
      </c>
      <c r="F437" s="1"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
        <f>IFERROR(__xludf.DUMMYFUNCTION("""COMPUTED_VALUE"""),1.0557E9)</f>
        <v>1055700000</v>
      </c>
      <c r="H437" s="1"/>
      <c r="I437" s="1"/>
      <c r="J437" s="1"/>
      <c r="K437" s="1"/>
      <c r="L437" s="1"/>
      <c r="M437" s="1"/>
      <c r="N437" s="1"/>
      <c r="O437" s="1"/>
      <c r="P437" s="1"/>
      <c r="Q437" s="1"/>
      <c r="R437" s="1"/>
      <c r="S437" s="1"/>
      <c r="T437" s="1"/>
      <c r="U437" s="1"/>
      <c r="V437" s="1"/>
      <c r="W437" s="1"/>
      <c r="X437" s="1"/>
      <c r="Y437" s="1"/>
      <c r="Z437" s="1"/>
      <c r="AA437" s="1"/>
    </row>
    <row r="438" ht="15.75" customHeight="1">
      <c r="A438" s="1" t="str">
        <f>IFERROR(__xludf.DUMMYFUNCTION("""COMPUTED_VALUE"""),"Royal Shield of The Halloween Kingdom")</f>
        <v>Royal Shield of The Halloween Kingdom</v>
      </c>
      <c r="B438" s="1" t="str">
        <f>IFERROR(__xludf.DUMMYFUNCTION("""COMPUTED_VALUE"""),"Halloween Exclusive")</f>
        <v>Halloween Exclusive</v>
      </c>
      <c r="C438" s="1" t="str">
        <f>IFERROR(__xludf.DUMMYFUNCTION("""COMPUTED_VALUE"""),"Towershield")</f>
        <v>Towershield</v>
      </c>
      <c r="D438" s="1" t="str">
        <f>IFERROR(__xludf.DUMMYFUNCTION("""COMPUTED_VALUE"""),"Hand")</f>
        <v>Hand</v>
      </c>
      <c r="E438" s="1">
        <f>IFERROR(__xludf.DUMMYFUNCTION("""COMPUTED_VALUE"""),200.0)</f>
        <v>200</v>
      </c>
      <c r="F438" s="1"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
        <f>IFERROR(__xludf.DUMMYFUNCTION("""COMPUTED_VALUE"""),1.0557E9)</f>
        <v>1055700000</v>
      </c>
      <c r="H438" s="1"/>
      <c r="I438" s="1"/>
      <c r="J438" s="1"/>
      <c r="K438" s="1"/>
      <c r="L438" s="1"/>
      <c r="M438" s="1"/>
      <c r="N438" s="1"/>
      <c r="O438" s="1"/>
      <c r="P438" s="1"/>
      <c r="Q438" s="1"/>
      <c r="R438" s="1"/>
      <c r="S438" s="1"/>
      <c r="T438" s="1"/>
      <c r="U438" s="1"/>
      <c r="V438" s="1"/>
      <c r="W438" s="1"/>
      <c r="X438" s="1"/>
      <c r="Y438" s="1"/>
      <c r="Z438" s="1"/>
      <c r="AA438" s="1"/>
    </row>
    <row r="439" ht="15.75" customHeight="1">
      <c r="A439" s="1" t="str">
        <f>IFERROR(__xludf.DUMMYFUNCTION("""COMPUTED_VALUE"""),"Sacred Flaming Pearl")</f>
        <v>Sacred Flaming Pearl</v>
      </c>
      <c r="B439" s="1" t="str">
        <f>IFERROR(__xludf.DUMMYFUNCTION("""COMPUTED_VALUE"""),"Quest item.")</f>
        <v>Quest item.</v>
      </c>
      <c r="C439" s="1"/>
      <c r="D439" s="1" t="str">
        <f>IFERROR(__xludf.DUMMYFUNCTION("""COMPUTED_VALUE"""),"Hand")</f>
        <v>Hand</v>
      </c>
      <c r="E439" s="1">
        <f>IFERROR(__xludf.DUMMYFUNCTION("""COMPUTED_VALUE"""),1.0)</f>
        <v>1</v>
      </c>
      <c r="F439" s="1" t="str">
        <f>IFERROR(__xludf.DUMMYFUNCTION("""COMPUTED_VALUE""")," ++X4 additional fire damage for the user. +-Cannot be duplicated.")</f>
        <v> ++X4 additional fire damage for the user. +-Cannot be duplicated.</v>
      </c>
      <c r="G439" s="1">
        <f>IFERROR(__xludf.DUMMYFUNCTION("""COMPUTED_VALUE"""),0.0)</f>
        <v>0</v>
      </c>
      <c r="H439" s="1"/>
      <c r="I439" s="1"/>
      <c r="J439" s="1"/>
      <c r="K439" s="1"/>
      <c r="L439" s="1"/>
      <c r="M439" s="1"/>
      <c r="N439" s="1"/>
      <c r="O439" s="1"/>
      <c r="P439" s="1"/>
      <c r="Q439" s="1"/>
      <c r="R439" s="1"/>
      <c r="S439" s="1"/>
      <c r="T439" s="1"/>
      <c r="U439" s="1"/>
      <c r="V439" s="1"/>
      <c r="W439" s="1"/>
      <c r="X439" s="1"/>
      <c r="Y439" s="1"/>
      <c r="Z439" s="1"/>
      <c r="AA439" s="1"/>
    </row>
    <row r="440" ht="15.75" customHeight="1">
      <c r="A440" s="1" t="str">
        <f>IFERROR(__xludf.DUMMYFUNCTION("""COMPUTED_VALUE"""),"DragonScale Royal Helm")</f>
        <v>DragonScale Royal Helm</v>
      </c>
      <c r="B440" s="1"/>
      <c r="C440" s="1"/>
      <c r="D440" s="1" t="str">
        <f>IFERROR(__xludf.DUMMYFUNCTION("""COMPUTED_VALUE"""),"Head")</f>
        <v>Head</v>
      </c>
      <c r="E440" s="1">
        <f>IFERROR(__xludf.DUMMYFUNCTION("""COMPUTED_VALUE"""),200.0)</f>
        <v>200</v>
      </c>
      <c r="F440" s="1"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
        <f>IFERROR(__xludf.DUMMYFUNCTION("""COMPUTED_VALUE"""),9.73E7)</f>
        <v>97300000</v>
      </c>
      <c r="H440" s="1"/>
      <c r="I440" s="1"/>
      <c r="J440" s="1"/>
      <c r="K440" s="1"/>
      <c r="L440" s="1"/>
      <c r="M440" s="1"/>
      <c r="N440" s="1"/>
      <c r="O440" s="1"/>
      <c r="P440" s="1"/>
      <c r="Q440" s="1"/>
      <c r="R440" s="1"/>
      <c r="S440" s="1"/>
      <c r="T440" s="1"/>
      <c r="U440" s="1"/>
      <c r="V440" s="1"/>
      <c r="W440" s="1"/>
      <c r="X440" s="1"/>
      <c r="Y440" s="1"/>
      <c r="Z440" s="1"/>
      <c r="AA440" s="1"/>
    </row>
    <row r="441" ht="15.75" customHeight="1">
      <c r="A441" s="1" t="str">
        <f>IFERROR(__xludf.DUMMYFUNCTION("""COMPUTED_VALUE"""),"DragonScale Royal Chestplate")</f>
        <v>DragonScale Royal Chestplate</v>
      </c>
      <c r="B441" s="1"/>
      <c r="C441" s="1"/>
      <c r="D441" s="1" t="str">
        <f>IFERROR(__xludf.DUMMYFUNCTION("""COMPUTED_VALUE"""),"Torso")</f>
        <v>Torso</v>
      </c>
      <c r="E441" s="1">
        <f>IFERROR(__xludf.DUMMYFUNCTION("""COMPUTED_VALUE"""),200.0)</f>
        <v>200</v>
      </c>
      <c r="F441" s="1"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
        <f>IFERROR(__xludf.DUMMYFUNCTION("""COMPUTED_VALUE"""),5.995E7)</f>
        <v>59950000</v>
      </c>
      <c r="H441" s="1"/>
      <c r="I441" s="1"/>
      <c r="J441" s="1"/>
      <c r="K441" s="1"/>
      <c r="L441" s="1"/>
      <c r="M441" s="1"/>
      <c r="N441" s="1"/>
      <c r="O441" s="1"/>
      <c r="P441" s="1"/>
      <c r="Q441" s="1"/>
      <c r="R441" s="1"/>
      <c r="S441" s="1"/>
      <c r="T441" s="1"/>
      <c r="U441" s="1"/>
      <c r="V441" s="1"/>
      <c r="W441" s="1"/>
      <c r="X441" s="1"/>
      <c r="Y441" s="1"/>
      <c r="Z441" s="1"/>
      <c r="AA441" s="1"/>
    </row>
    <row r="442" ht="15.75" customHeight="1">
      <c r="A442" s="1" t="str">
        <f>IFERROR(__xludf.DUMMYFUNCTION("""COMPUTED_VALUE"""),"DragonScale Royal Vambraces")</f>
        <v>DragonScale Royal Vambraces</v>
      </c>
      <c r="B442" s="1"/>
      <c r="C442" s="1"/>
      <c r="D442" s="1" t="str">
        <f>IFERROR(__xludf.DUMMYFUNCTION("""COMPUTED_VALUE"""),"Arms")</f>
        <v>Arms</v>
      </c>
      <c r="E442" s="1">
        <f>IFERROR(__xludf.DUMMYFUNCTION("""COMPUTED_VALUE"""),200.0)</f>
        <v>200</v>
      </c>
      <c r="F442" s="1"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
        <f>IFERROR(__xludf.DUMMYFUNCTION("""COMPUTED_VALUE"""),3.16E7)</f>
        <v>31600000</v>
      </c>
      <c r="H442" s="1"/>
      <c r="I442" s="1"/>
      <c r="J442" s="1"/>
      <c r="K442" s="1"/>
      <c r="L442" s="1"/>
      <c r="M442" s="1"/>
      <c r="N442" s="1"/>
      <c r="O442" s="1"/>
      <c r="P442" s="1"/>
      <c r="Q442" s="1"/>
      <c r="R442" s="1"/>
      <c r="S442" s="1"/>
      <c r="T442" s="1"/>
      <c r="U442" s="1"/>
      <c r="V442" s="1"/>
      <c r="W442" s="1"/>
      <c r="X442" s="1"/>
      <c r="Y442" s="1"/>
      <c r="Z442" s="1"/>
      <c r="AA442" s="1"/>
    </row>
    <row r="443" ht="15.75" customHeight="1">
      <c r="A443" s="1" t="str">
        <f>IFERROR(__xludf.DUMMYFUNCTION("""COMPUTED_VALUE"""),"DragonScale Royal Greaves")</f>
        <v>DragonScale Royal Greaves</v>
      </c>
      <c r="B443" s="1"/>
      <c r="C443" s="1"/>
      <c r="D443" s="1" t="str">
        <f>IFERROR(__xludf.DUMMYFUNCTION("""COMPUTED_VALUE"""),"Legs")</f>
        <v>Legs</v>
      </c>
      <c r="E443" s="1">
        <f>IFERROR(__xludf.DUMMYFUNCTION("""COMPUTED_VALUE"""),200.0)</f>
        <v>200</v>
      </c>
      <c r="F443" s="1"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
        <f>IFERROR(__xludf.DUMMYFUNCTION("""COMPUTED_VALUE"""),3.16E7)</f>
        <v>31600000</v>
      </c>
      <c r="H443" s="1"/>
      <c r="I443" s="1"/>
      <c r="J443" s="1"/>
      <c r="K443" s="1"/>
      <c r="L443" s="1"/>
      <c r="M443" s="1"/>
      <c r="N443" s="1"/>
      <c r="O443" s="1"/>
      <c r="P443" s="1"/>
      <c r="Q443" s="1"/>
      <c r="R443" s="1"/>
      <c r="S443" s="1"/>
      <c r="T443" s="1"/>
      <c r="U443" s="1"/>
      <c r="V443" s="1"/>
      <c r="W443" s="1"/>
      <c r="X443" s="1"/>
      <c r="Y443" s="1"/>
      <c r="Z443" s="1"/>
      <c r="AA443" s="1"/>
    </row>
    <row r="444" ht="15.75" customHeight="1">
      <c r="A444" s="1" t="str">
        <f>IFERROR(__xludf.DUMMYFUNCTION("""COMPUTED_VALUE"""),"DragonScale Royal Shield")</f>
        <v>DragonScale Royal Shield</v>
      </c>
      <c r="B444" s="1"/>
      <c r="C444" s="1" t="str">
        <f>IFERROR(__xludf.DUMMYFUNCTION("""COMPUTED_VALUE"""),"Towershield")</f>
        <v>Towershield</v>
      </c>
      <c r="D444" s="1" t="str">
        <f>IFERROR(__xludf.DUMMYFUNCTION("""COMPUTED_VALUE"""),"Hand")</f>
        <v>Hand</v>
      </c>
      <c r="E444" s="1">
        <f>IFERROR(__xludf.DUMMYFUNCTION("""COMPUTED_VALUE"""),200.0)</f>
        <v>200</v>
      </c>
      <c r="F444" s="1"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
        <f>IFERROR(__xludf.DUMMYFUNCTION("""COMPUTED_VALUE"""),2.1945E8)</f>
        <v>219450000</v>
      </c>
      <c r="H444" s="1"/>
      <c r="I444" s="1"/>
      <c r="J444" s="1"/>
      <c r="K444" s="1"/>
      <c r="L444" s="1"/>
      <c r="M444" s="1"/>
      <c r="N444" s="1"/>
      <c r="O444" s="1"/>
      <c r="P444" s="1"/>
      <c r="Q444" s="1"/>
      <c r="R444" s="1"/>
      <c r="S444" s="1"/>
      <c r="T444" s="1"/>
      <c r="U444" s="1"/>
      <c r="V444" s="1"/>
      <c r="W444" s="1"/>
      <c r="X444" s="1"/>
      <c r="Y444" s="1"/>
      <c r="Z444" s="1"/>
      <c r="AA444" s="1"/>
    </row>
    <row r="445" ht="15.75" customHeight="1">
      <c r="A445" s="1" t="str">
        <f>IFERROR(__xludf.DUMMYFUNCTION("""COMPUTED_VALUE"""),"DragonScale Royal Boots")</f>
        <v>DragonScale Royal Boots</v>
      </c>
      <c r="B445" s="1"/>
      <c r="C445" s="1"/>
      <c r="D445" s="1" t="str">
        <f>IFERROR(__xludf.DUMMYFUNCTION("""COMPUTED_VALUE"""),"Feet")</f>
        <v>Feet</v>
      </c>
      <c r="E445" s="1">
        <f>IFERROR(__xludf.DUMMYFUNCTION("""COMPUTED_VALUE"""),200.0)</f>
        <v>200</v>
      </c>
      <c r="F445" s="1"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
        <f>IFERROR(__xludf.DUMMYFUNCTION("""COMPUTED_VALUE"""),5.356E7)</f>
        <v>53560000</v>
      </c>
      <c r="H445" s="1"/>
      <c r="I445" s="1"/>
      <c r="J445" s="1"/>
      <c r="K445" s="1"/>
      <c r="L445" s="1"/>
      <c r="M445" s="1"/>
      <c r="N445" s="1"/>
      <c r="O445" s="1"/>
      <c r="P445" s="1"/>
      <c r="Q445" s="1"/>
      <c r="R445" s="1"/>
      <c r="S445" s="1"/>
      <c r="T445" s="1"/>
      <c r="U445" s="1"/>
      <c r="V445" s="1"/>
      <c r="W445" s="1"/>
      <c r="X445" s="1"/>
      <c r="Y445" s="1"/>
      <c r="Z445" s="1"/>
      <c r="AA445" s="1"/>
    </row>
    <row r="446" ht="15.75" customHeight="1">
      <c r="A446" s="1" t="str">
        <f>IFERROR(__xludf.DUMMYFUNCTION("""COMPUTED_VALUE"""),"DragonScale Royal Pauldrons")</f>
        <v>DragonScale Royal Pauldrons</v>
      </c>
      <c r="B446" s="1"/>
      <c r="C446" s="1"/>
      <c r="D446" s="1" t="str">
        <f>IFERROR(__xludf.DUMMYFUNCTION("""COMPUTED_VALUE"""),"Shoulders")</f>
        <v>Shoulders</v>
      </c>
      <c r="E446" s="1">
        <f>IFERROR(__xludf.DUMMYFUNCTION("""COMPUTED_VALUE"""),200.0)</f>
        <v>200</v>
      </c>
      <c r="F446" s="1"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
        <f>IFERROR(__xludf.DUMMYFUNCTION("""COMPUTED_VALUE"""),4.95E7)</f>
        <v>49500000</v>
      </c>
      <c r="H446" s="1"/>
      <c r="I446" s="1"/>
      <c r="J446" s="1"/>
      <c r="K446" s="1"/>
      <c r="L446" s="1"/>
      <c r="M446" s="1"/>
      <c r="N446" s="1"/>
      <c r="O446" s="1"/>
      <c r="P446" s="1"/>
      <c r="Q446" s="1"/>
      <c r="R446" s="1"/>
      <c r="S446" s="1"/>
      <c r="T446" s="1"/>
      <c r="U446" s="1"/>
      <c r="V446" s="1"/>
      <c r="W446" s="1"/>
      <c r="X446" s="1"/>
      <c r="Y446" s="1"/>
      <c r="Z446" s="1"/>
      <c r="AA446" s="1"/>
    </row>
    <row r="447" ht="15.75" customHeight="1">
      <c r="A447" s="1" t="str">
        <f>IFERROR(__xludf.DUMMYFUNCTION("""COMPUTED_VALUE"""),"BLADE! OF! JUSTICE!!!!")</f>
        <v>BLADE! OF! JUSTICE!!!!</v>
      </c>
      <c r="B447" s="1"/>
      <c r="C447" s="1" t="str">
        <f>IFERROR(__xludf.DUMMYFUNCTION("""COMPUTED_VALUE"""),"Sword")</f>
        <v>Sword</v>
      </c>
      <c r="D447" s="1" t="str">
        <f>IFERROR(__xludf.DUMMYFUNCTION("""COMPUTED_VALUE"""),"Hand")</f>
        <v>Hand</v>
      </c>
      <c r="E447" s="1">
        <f>IFERROR(__xludf.DUMMYFUNCTION("""COMPUTED_VALUE"""),200.0)</f>
        <v>200</v>
      </c>
      <c r="F447" s="1"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
        <f>IFERROR(__xludf.DUMMYFUNCTION("""COMPUTED_VALUE"""),3.367E8)</f>
        <v>336700000</v>
      </c>
      <c r="H447" s="1"/>
      <c r="I447" s="1"/>
      <c r="J447" s="1"/>
      <c r="K447" s="1"/>
      <c r="L447" s="1"/>
      <c r="M447" s="1"/>
      <c r="N447" s="1"/>
      <c r="O447" s="1"/>
      <c r="P447" s="1"/>
      <c r="Q447" s="1"/>
      <c r="R447" s="1"/>
      <c r="S447" s="1"/>
      <c r="T447" s="1"/>
      <c r="U447" s="1"/>
      <c r="V447" s="1"/>
      <c r="W447" s="1"/>
      <c r="X447" s="1"/>
      <c r="Y447" s="1"/>
      <c r="Z447" s="1"/>
      <c r="AA447" s="1"/>
    </row>
    <row r="448" ht="15.75" customHeight="1">
      <c r="A448" s="1" t="str">
        <f>IFERROR(__xludf.DUMMYFUNCTION("""COMPUTED_VALUE"""),"Abstara Royal Helm")</f>
        <v>Abstara Royal Helm</v>
      </c>
      <c r="B448" s="1"/>
      <c r="C448" s="1"/>
      <c r="D448" s="1" t="str">
        <f>IFERROR(__xludf.DUMMYFUNCTION("""COMPUTED_VALUE"""),"Head")</f>
        <v>Head</v>
      </c>
      <c r="E448" s="1">
        <f>IFERROR(__xludf.DUMMYFUNCTION("""COMPUTED_VALUE"""),200.0)</f>
        <v>200</v>
      </c>
      <c r="F448"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
        <f>IFERROR(__xludf.DUMMYFUNCTION("""COMPUTED_VALUE"""),1.99E8)</f>
        <v>199000000</v>
      </c>
      <c r="H448" s="1"/>
      <c r="I448" s="1"/>
      <c r="J448" s="1"/>
      <c r="K448" s="1"/>
      <c r="L448" s="1"/>
      <c r="M448" s="1"/>
      <c r="N448" s="1"/>
      <c r="O448" s="1"/>
      <c r="P448" s="1"/>
      <c r="Q448" s="1"/>
      <c r="R448" s="1"/>
      <c r="S448" s="1"/>
      <c r="T448" s="1"/>
      <c r="U448" s="1"/>
      <c r="V448" s="1"/>
      <c r="W448" s="1"/>
      <c r="X448" s="1"/>
      <c r="Y448" s="1"/>
      <c r="Z448" s="1"/>
      <c r="AA448" s="1"/>
    </row>
    <row r="449" ht="15.75" customHeight="1">
      <c r="A449" s="1" t="str">
        <f>IFERROR(__xludf.DUMMYFUNCTION("""COMPUTED_VALUE"""),"Abstara Royal Chestplate")</f>
        <v>Abstara Royal Chestplate</v>
      </c>
      <c r="B449" s="1"/>
      <c r="C449" s="1"/>
      <c r="D449" s="1" t="str">
        <f>IFERROR(__xludf.DUMMYFUNCTION("""COMPUTED_VALUE"""),"Torso")</f>
        <v>Torso</v>
      </c>
      <c r="E449" s="1">
        <f>IFERROR(__xludf.DUMMYFUNCTION("""COMPUTED_VALUE"""),200.0)</f>
        <v>200</v>
      </c>
      <c r="F449"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
        <f>IFERROR(__xludf.DUMMYFUNCTION("""COMPUTED_VALUE"""),1.99E8)</f>
        <v>199000000</v>
      </c>
      <c r="H449" s="1"/>
      <c r="I449" s="1"/>
      <c r="J449" s="1"/>
      <c r="K449" s="1"/>
      <c r="L449" s="1"/>
      <c r="M449" s="1"/>
      <c r="N449" s="1"/>
      <c r="O449" s="1"/>
      <c r="P449" s="1"/>
      <c r="Q449" s="1"/>
      <c r="R449" s="1"/>
      <c r="S449" s="1"/>
      <c r="T449" s="1"/>
      <c r="U449" s="1"/>
      <c r="V449" s="1"/>
      <c r="W449" s="1"/>
      <c r="X449" s="1"/>
      <c r="Y449" s="1"/>
      <c r="Z449" s="1"/>
      <c r="AA449" s="1"/>
    </row>
    <row r="450" ht="15.75" customHeight="1">
      <c r="A450" s="1" t="str">
        <f>IFERROR(__xludf.DUMMYFUNCTION("""COMPUTED_VALUE"""),"Abstara Royal Vambraces")</f>
        <v>Abstara Royal Vambraces</v>
      </c>
      <c r="B450" s="1"/>
      <c r="C450" s="1"/>
      <c r="D450" s="1" t="str">
        <f>IFERROR(__xludf.DUMMYFUNCTION("""COMPUTED_VALUE"""),"Arms")</f>
        <v>Arms</v>
      </c>
      <c r="E450" s="1">
        <f>IFERROR(__xludf.DUMMYFUNCTION("""COMPUTED_VALUE"""),200.0)</f>
        <v>200</v>
      </c>
      <c r="F450"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
        <f>IFERROR(__xludf.DUMMYFUNCTION("""COMPUTED_VALUE"""),1.99E8)</f>
        <v>199000000</v>
      </c>
      <c r="H450" s="1"/>
      <c r="I450" s="1"/>
      <c r="J450" s="1"/>
      <c r="K450" s="1"/>
      <c r="L450" s="1"/>
      <c r="M450" s="1"/>
      <c r="N450" s="1"/>
      <c r="O450" s="1"/>
      <c r="P450" s="1"/>
      <c r="Q450" s="1"/>
      <c r="R450" s="1"/>
      <c r="S450" s="1"/>
      <c r="T450" s="1"/>
      <c r="U450" s="1"/>
      <c r="V450" s="1"/>
      <c r="W450" s="1"/>
      <c r="X450" s="1"/>
      <c r="Y450" s="1"/>
      <c r="Z450" s="1"/>
      <c r="AA450" s="1"/>
    </row>
    <row r="451" ht="15.75" customHeight="1">
      <c r="A451" s="1" t="str">
        <f>IFERROR(__xludf.DUMMYFUNCTION("""COMPUTED_VALUE"""),"Abstara Royal Greaves")</f>
        <v>Abstara Royal Greaves</v>
      </c>
      <c r="B451" s="1"/>
      <c r="C451" s="1"/>
      <c r="D451" s="1" t="str">
        <f>IFERROR(__xludf.DUMMYFUNCTION("""COMPUTED_VALUE"""),"Legs")</f>
        <v>Legs</v>
      </c>
      <c r="E451" s="1">
        <f>IFERROR(__xludf.DUMMYFUNCTION("""COMPUTED_VALUE"""),200.0)</f>
        <v>200</v>
      </c>
      <c r="F451"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
        <f>IFERROR(__xludf.DUMMYFUNCTION("""COMPUTED_VALUE"""),1.99E8)</f>
        <v>199000000</v>
      </c>
      <c r="H451" s="1"/>
      <c r="I451" s="1"/>
      <c r="J451" s="1"/>
      <c r="K451" s="1"/>
      <c r="L451" s="1"/>
      <c r="M451" s="1"/>
      <c r="N451" s="1"/>
      <c r="O451" s="1"/>
      <c r="P451" s="1"/>
      <c r="Q451" s="1"/>
      <c r="R451" s="1"/>
      <c r="S451" s="1"/>
      <c r="T451" s="1"/>
      <c r="U451" s="1"/>
      <c r="V451" s="1"/>
      <c r="W451" s="1"/>
      <c r="X451" s="1"/>
      <c r="Y451" s="1"/>
      <c r="Z451" s="1"/>
      <c r="AA451" s="1"/>
    </row>
    <row r="452" ht="15.75" customHeight="1">
      <c r="A452" s="1" t="str">
        <f>IFERROR(__xludf.DUMMYFUNCTION("""COMPUTED_VALUE"""),"Abstara Royal Shield")</f>
        <v>Abstara Royal Shield</v>
      </c>
      <c r="B452" s="1"/>
      <c r="C452" s="1" t="str">
        <f>IFERROR(__xludf.DUMMYFUNCTION("""COMPUTED_VALUE"""),"Towershield")</f>
        <v>Towershield</v>
      </c>
      <c r="D452" s="1" t="str">
        <f>IFERROR(__xludf.DUMMYFUNCTION("""COMPUTED_VALUE"""),"Hand")</f>
        <v>Hand</v>
      </c>
      <c r="E452" s="1">
        <f>IFERROR(__xludf.DUMMYFUNCTION("""COMPUTED_VALUE"""),200.0)</f>
        <v>200</v>
      </c>
      <c r="F452"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
        <f>IFERROR(__xludf.DUMMYFUNCTION("""COMPUTED_VALUE"""),1.99E8)</f>
        <v>199000000</v>
      </c>
      <c r="H452" s="1"/>
      <c r="I452" s="1"/>
      <c r="J452" s="1"/>
      <c r="K452" s="1"/>
      <c r="L452" s="1"/>
      <c r="M452" s="1"/>
      <c r="N452" s="1"/>
      <c r="O452" s="1"/>
      <c r="P452" s="1"/>
      <c r="Q452" s="1"/>
      <c r="R452" s="1"/>
      <c r="S452" s="1"/>
      <c r="T452" s="1"/>
      <c r="U452" s="1"/>
      <c r="V452" s="1"/>
      <c r="W452" s="1"/>
      <c r="X452" s="1"/>
      <c r="Y452" s="1"/>
      <c r="Z452" s="1"/>
      <c r="AA452" s="1"/>
    </row>
    <row r="453" ht="15.75" customHeight="1">
      <c r="A453" s="1" t="str">
        <f>IFERROR(__xludf.DUMMYFUNCTION("""COMPUTED_VALUE"""),"Abstara Royal Boots")</f>
        <v>Abstara Royal Boots</v>
      </c>
      <c r="B453" s="1"/>
      <c r="C453" s="1"/>
      <c r="D453" s="1" t="str">
        <f>IFERROR(__xludf.DUMMYFUNCTION("""COMPUTED_VALUE"""),"Feet")</f>
        <v>Feet</v>
      </c>
      <c r="E453" s="1">
        <f>IFERROR(__xludf.DUMMYFUNCTION("""COMPUTED_VALUE"""),200.0)</f>
        <v>200</v>
      </c>
      <c r="F453"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
        <f>IFERROR(__xludf.DUMMYFUNCTION("""COMPUTED_VALUE"""),1.99E8)</f>
        <v>199000000</v>
      </c>
      <c r="H453" s="1"/>
      <c r="I453" s="1"/>
      <c r="J453" s="1"/>
      <c r="K453" s="1"/>
      <c r="L453" s="1"/>
      <c r="M453" s="1"/>
      <c r="N453" s="1"/>
      <c r="O453" s="1"/>
      <c r="P453" s="1"/>
      <c r="Q453" s="1"/>
      <c r="R453" s="1"/>
      <c r="S453" s="1"/>
      <c r="T453" s="1"/>
      <c r="U453" s="1"/>
      <c r="V453" s="1"/>
      <c r="W453" s="1"/>
      <c r="X453" s="1"/>
      <c r="Y453" s="1"/>
      <c r="Z453" s="1"/>
      <c r="AA453" s="1"/>
    </row>
    <row r="454" ht="15.75" customHeight="1">
      <c r="A454" s="1" t="str">
        <f>IFERROR(__xludf.DUMMYFUNCTION("""COMPUTED_VALUE"""),"Abstara Royal Pauldrons")</f>
        <v>Abstara Royal Pauldrons</v>
      </c>
      <c r="B454" s="1"/>
      <c r="C454" s="1"/>
      <c r="D454" s="1" t="str">
        <f>IFERROR(__xludf.DUMMYFUNCTION("""COMPUTED_VALUE"""),"Shoulders")</f>
        <v>Shoulders</v>
      </c>
      <c r="E454" s="1">
        <f>IFERROR(__xludf.DUMMYFUNCTION("""COMPUTED_VALUE"""),200.0)</f>
        <v>200</v>
      </c>
      <c r="F454"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
        <f>IFERROR(__xludf.DUMMYFUNCTION("""COMPUTED_VALUE"""),1.99E8)</f>
        <v>199000000</v>
      </c>
      <c r="H454" s="1"/>
      <c r="I454" s="1"/>
      <c r="J454" s="1"/>
      <c r="K454" s="1"/>
      <c r="L454" s="1"/>
      <c r="M454" s="1"/>
      <c r="N454" s="1"/>
      <c r="O454" s="1"/>
      <c r="P454" s="1"/>
      <c r="Q454" s="1"/>
      <c r="R454" s="1"/>
      <c r="S454" s="1"/>
      <c r="T454" s="1"/>
      <c r="U454" s="1"/>
      <c r="V454" s="1"/>
      <c r="W454" s="1"/>
      <c r="X454" s="1"/>
      <c r="Y454" s="1"/>
      <c r="Z454" s="1"/>
      <c r="AA454" s="1"/>
    </row>
    <row r="455" ht="15.75" customHeight="1">
      <c r="A455" s="1" t="str">
        <f>IFERROR(__xludf.DUMMYFUNCTION("""COMPUTED_VALUE"""),"Feathered Hat of Roguish ""Justice""")</f>
        <v>Feathered Hat of Roguish "Justice"</v>
      </c>
      <c r="B455" s="1" t="str">
        <f>IFERROR(__xludf.DUMMYFUNCTION("""COMPUTED_VALUE"""),"Quest Item")</f>
        <v>Quest Item</v>
      </c>
      <c r="C455" s="1"/>
      <c r="D455" s="1" t="str">
        <f>IFERROR(__xludf.DUMMYFUNCTION("""COMPUTED_VALUE"""),"Head")</f>
        <v>Head</v>
      </c>
      <c r="E455" s="1">
        <f>IFERROR(__xludf.DUMMYFUNCTION("""COMPUTED_VALUE"""),200.0)</f>
        <v>200</v>
      </c>
      <c r="F455" s="1"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
        <f>IFERROR(__xludf.DUMMYFUNCTION("""COMPUTED_VALUE"""),3.16E7)</f>
        <v>31600000</v>
      </c>
      <c r="H455" s="1"/>
      <c r="I455" s="1"/>
      <c r="J455" s="1"/>
      <c r="K455" s="1"/>
      <c r="L455" s="1"/>
      <c r="M455" s="1"/>
      <c r="N455" s="1"/>
      <c r="O455" s="1"/>
      <c r="P455" s="1"/>
      <c r="Q455" s="1"/>
      <c r="R455" s="1"/>
      <c r="S455" s="1"/>
      <c r="T455" s="1"/>
      <c r="U455" s="1"/>
      <c r="V455" s="1"/>
      <c r="W455" s="1"/>
      <c r="X455" s="1"/>
      <c r="Y455" s="1"/>
      <c r="Z455" s="1"/>
      <c r="AA455" s="1"/>
    </row>
    <row r="456" ht="15.75" customHeight="1">
      <c r="A456" s="1" t="str">
        <f>IFERROR(__xludf.DUMMYFUNCTION("""COMPUTED_VALUE"""),"Cape of Misdeed")</f>
        <v>Cape of Misdeed</v>
      </c>
      <c r="B456" s="1" t="str">
        <f>IFERROR(__xludf.DUMMYFUNCTION("""COMPUTED_VALUE"""),"Quest Item")</f>
        <v>Quest Item</v>
      </c>
      <c r="C456" s="1"/>
      <c r="D456" s="1" t="str">
        <f>IFERROR(__xludf.DUMMYFUNCTION("""COMPUTED_VALUE"""),"Shoulders")</f>
        <v>Shoulders</v>
      </c>
      <c r="E456" s="1">
        <f>IFERROR(__xludf.DUMMYFUNCTION("""COMPUTED_VALUE"""),200.0)</f>
        <v>200</v>
      </c>
      <c r="F456" s="1"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
        <f>IFERROR(__xludf.DUMMYFUNCTION("""COMPUTED_VALUE"""),9460000.0)</f>
        <v>9460000</v>
      </c>
      <c r="H456" s="1"/>
      <c r="I456" s="1"/>
      <c r="J456" s="1"/>
      <c r="K456" s="1"/>
      <c r="L456" s="1"/>
      <c r="M456" s="1"/>
      <c r="N456" s="1"/>
      <c r="O456" s="1"/>
      <c r="P456" s="1"/>
      <c r="Q456" s="1"/>
      <c r="R456" s="1"/>
      <c r="S456" s="1"/>
      <c r="T456" s="1"/>
      <c r="U456" s="1"/>
      <c r="V456" s="1"/>
      <c r="W456" s="1"/>
      <c r="X456" s="1"/>
      <c r="Y456" s="1"/>
      <c r="Z456" s="1"/>
      <c r="AA456" s="1"/>
    </row>
    <row r="457" ht="15.75" customHeight="1">
      <c r="A457" s="1" t="str">
        <f>IFERROR(__xludf.DUMMYFUNCTION("""COMPUTED_VALUE"""),"Doublet of Debauchery")</f>
        <v>Doublet of Debauchery</v>
      </c>
      <c r="B457" s="1" t="str">
        <f>IFERROR(__xludf.DUMMYFUNCTION("""COMPUTED_VALUE"""),"Quest Item")</f>
        <v>Quest Item</v>
      </c>
      <c r="C457" s="1"/>
      <c r="D457" s="1" t="str">
        <f>IFERROR(__xludf.DUMMYFUNCTION("""COMPUTED_VALUE"""),"Torso")</f>
        <v>Torso</v>
      </c>
      <c r="E457" s="1">
        <f>IFERROR(__xludf.DUMMYFUNCTION("""COMPUTED_VALUE"""),200.0)</f>
        <v>200</v>
      </c>
      <c r="F457" s="1"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
        <f>IFERROR(__xludf.DUMMYFUNCTION("""COMPUTED_VALUE"""),9.73E7)</f>
        <v>97300000</v>
      </c>
      <c r="H457" s="1"/>
      <c r="I457" s="1"/>
      <c r="J457" s="1"/>
      <c r="K457" s="1"/>
      <c r="L457" s="1"/>
      <c r="M457" s="1"/>
      <c r="N457" s="1"/>
      <c r="O457" s="1"/>
      <c r="P457" s="1"/>
      <c r="Q457" s="1"/>
      <c r="R457" s="1"/>
      <c r="S457" s="1"/>
      <c r="T457" s="1"/>
      <c r="U457" s="1"/>
      <c r="V457" s="1"/>
      <c r="W457" s="1"/>
      <c r="X457" s="1"/>
      <c r="Y457" s="1"/>
      <c r="Z457" s="1"/>
      <c r="AA457" s="1"/>
    </row>
    <row r="458" ht="15.75" customHeight="1">
      <c r="A458" s="1" t="str">
        <f>IFERROR(__xludf.DUMMYFUNCTION("""COMPUTED_VALUE"""),"Leather Boots of Softstep")</f>
        <v>Leather Boots of Softstep</v>
      </c>
      <c r="B458" s="1" t="str">
        <f>IFERROR(__xludf.DUMMYFUNCTION("""COMPUTED_VALUE"""),"Quest Item")</f>
        <v>Quest Item</v>
      </c>
      <c r="C458" s="1"/>
      <c r="D458" s="1" t="str">
        <f>IFERROR(__xludf.DUMMYFUNCTION("""COMPUTED_VALUE"""),"Feet")</f>
        <v>Feet</v>
      </c>
      <c r="E458" s="1">
        <f>IFERROR(__xludf.DUMMYFUNCTION("""COMPUTED_VALUE"""),200.0)</f>
        <v>200</v>
      </c>
      <c r="F458" s="1"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
        <f>IFERROR(__xludf.DUMMYFUNCTION("""COMPUTED_VALUE"""),3.16E7)</f>
        <v>31600000</v>
      </c>
      <c r="H458" s="1"/>
      <c r="I458" s="1"/>
      <c r="J458" s="1"/>
      <c r="K458" s="1"/>
      <c r="L458" s="1"/>
      <c r="M458" s="1"/>
      <c r="N458" s="1"/>
      <c r="O458" s="1"/>
      <c r="P458" s="1"/>
      <c r="Q458" s="1"/>
      <c r="R458" s="1"/>
      <c r="S458" s="1"/>
      <c r="T458" s="1"/>
      <c r="U458" s="1"/>
      <c r="V458" s="1"/>
      <c r="W458" s="1"/>
      <c r="X458" s="1"/>
      <c r="Y458" s="1"/>
      <c r="Z458" s="1"/>
      <c r="AA458" s="1"/>
    </row>
    <row r="459" ht="15.75" customHeight="1">
      <c r="A459" s="1" t="str">
        <f>IFERROR(__xludf.DUMMYFUNCTION("""COMPUTED_VALUE"""),"Tights of Fabulous Thievery")</f>
        <v>Tights of Fabulous Thievery</v>
      </c>
      <c r="B459" s="1" t="str">
        <f>IFERROR(__xludf.DUMMYFUNCTION("""COMPUTED_VALUE"""),"Quest Item")</f>
        <v>Quest Item</v>
      </c>
      <c r="C459" s="1"/>
      <c r="D459" s="1" t="str">
        <f>IFERROR(__xludf.DUMMYFUNCTION("""COMPUTED_VALUE"""),"Legs")</f>
        <v>Legs</v>
      </c>
      <c r="E459" s="1">
        <f>IFERROR(__xludf.DUMMYFUNCTION("""COMPUTED_VALUE"""),200.0)</f>
        <v>200</v>
      </c>
      <c r="F459" s="1"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
        <f>IFERROR(__xludf.DUMMYFUNCTION("""COMPUTED_VALUE"""),3.16E7)</f>
        <v>31600000</v>
      </c>
      <c r="H459" s="1"/>
      <c r="I459" s="1"/>
      <c r="J459" s="1"/>
      <c r="K459" s="1"/>
      <c r="L459" s="1"/>
      <c r="M459" s="1"/>
      <c r="N459" s="1"/>
      <c r="O459" s="1"/>
      <c r="P459" s="1"/>
      <c r="Q459" s="1"/>
      <c r="R459" s="1"/>
      <c r="S459" s="1"/>
      <c r="T459" s="1"/>
      <c r="U459" s="1"/>
      <c r="V459" s="1"/>
      <c r="W459" s="1"/>
      <c r="X459" s="1"/>
      <c r="Y459" s="1"/>
      <c r="Z459" s="1"/>
      <c r="AA459" s="1"/>
    </row>
    <row r="460" ht="15.75" customHeight="1">
      <c r="A460" s="1" t="str">
        <f>IFERROR(__xludf.DUMMYFUNCTION("""COMPUTED_VALUE"""),"Fingerless Glove of Anonymity")</f>
        <v>Fingerless Glove of Anonymity</v>
      </c>
      <c r="B460" s="1" t="str">
        <f>IFERROR(__xludf.DUMMYFUNCTION("""COMPUTED_VALUE"""),"Quest Item")</f>
        <v>Quest Item</v>
      </c>
      <c r="C460" s="1" t="str">
        <f>IFERROR(__xludf.DUMMYFUNCTION("""COMPUTED_VALUE"""),"Claw")</f>
        <v>Claw</v>
      </c>
      <c r="D460" s="1" t="str">
        <f>IFERROR(__xludf.DUMMYFUNCTION("""COMPUTED_VALUE"""),"Hand")</f>
        <v>Hand</v>
      </c>
      <c r="E460" s="1">
        <f>IFERROR(__xludf.DUMMYFUNCTION("""COMPUTED_VALUE"""),200.0)</f>
        <v>200</v>
      </c>
      <c r="F460" s="1"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
        <f>IFERROR(__xludf.DUMMYFUNCTION("""COMPUTED_VALUE"""),3.16E7)</f>
        <v>31600000</v>
      </c>
      <c r="H460" s="1"/>
      <c r="I460" s="1"/>
      <c r="J460" s="1"/>
      <c r="K460" s="1"/>
      <c r="L460" s="1"/>
      <c r="M460" s="1"/>
      <c r="N460" s="1"/>
      <c r="O460" s="1"/>
      <c r="P460" s="1"/>
      <c r="Q460" s="1"/>
      <c r="R460" s="1"/>
      <c r="S460" s="1"/>
      <c r="T460" s="1"/>
      <c r="U460" s="1"/>
      <c r="V460" s="1"/>
      <c r="W460" s="1"/>
      <c r="X460" s="1"/>
      <c r="Y460" s="1"/>
      <c r="Z460" s="1"/>
      <c r="AA460" s="1"/>
    </row>
    <row r="461" ht="15.75" customHeight="1">
      <c r="A461" s="1" t="str">
        <f>IFERROR(__xludf.DUMMYFUNCTION("""COMPUTED_VALUE"""),"Bracers of Dastardly Deflection")</f>
        <v>Bracers of Dastardly Deflection</v>
      </c>
      <c r="B461" s="1" t="str">
        <f>IFERROR(__xludf.DUMMYFUNCTION("""COMPUTED_VALUE"""),"Quest Item")</f>
        <v>Quest Item</v>
      </c>
      <c r="C461" s="1"/>
      <c r="D461" s="1" t="str">
        <f>IFERROR(__xludf.DUMMYFUNCTION("""COMPUTED_VALUE"""),"Arms")</f>
        <v>Arms</v>
      </c>
      <c r="E461" s="1">
        <f>IFERROR(__xludf.DUMMYFUNCTION("""COMPUTED_VALUE"""),200.0)</f>
        <v>200</v>
      </c>
      <c r="F461" s="1"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
        <f>IFERROR(__xludf.DUMMYFUNCTION("""COMPUTED_VALUE"""),3.16E7)</f>
        <v>31600000</v>
      </c>
      <c r="H461" s="1"/>
      <c r="I461" s="1"/>
      <c r="J461" s="1"/>
      <c r="K461" s="1"/>
      <c r="L461" s="1"/>
      <c r="M461" s="1"/>
      <c r="N461" s="1"/>
      <c r="O461" s="1"/>
      <c r="P461" s="1"/>
      <c r="Q461" s="1"/>
      <c r="R461" s="1"/>
      <c r="S461" s="1"/>
      <c r="T461" s="1"/>
      <c r="U461" s="1"/>
      <c r="V461" s="1"/>
      <c r="W461" s="1"/>
      <c r="X461" s="1"/>
      <c r="Y461" s="1"/>
      <c r="Z461" s="1"/>
      <c r="AA461" s="1"/>
    </row>
    <row r="462" ht="15.75" customHeight="1">
      <c r="A462" s="1" t="str">
        <f>IFERROR(__xludf.DUMMYFUNCTION("""COMPUTED_VALUE"""),"Amulet of the Goddess of Theft")</f>
        <v>Amulet of the Goddess of Theft</v>
      </c>
      <c r="B462" s="1" t="str">
        <f>IFERROR(__xludf.DUMMYFUNCTION("""COMPUTED_VALUE"""),"Quest Item")</f>
        <v>Quest Item</v>
      </c>
      <c r="C462" s="1"/>
      <c r="D462" s="1" t="str">
        <f>IFERROR(__xludf.DUMMYFUNCTION("""COMPUTED_VALUE"""),"Neck")</f>
        <v>Neck</v>
      </c>
      <c r="E462" s="1">
        <f>IFERROR(__xludf.DUMMYFUNCTION("""COMPUTED_VALUE"""),1.0)</f>
        <v>1</v>
      </c>
      <c r="F462" s="1"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
        <f>IFERROR(__xludf.DUMMYFUNCTION("""COMPUTED_VALUE"""),0.0)</f>
        <v>0</v>
      </c>
      <c r="H462" s="1"/>
      <c r="I462" s="1"/>
      <c r="J462" s="1"/>
      <c r="K462" s="1"/>
      <c r="L462" s="1"/>
      <c r="M462" s="1"/>
      <c r="N462" s="1"/>
      <c r="O462" s="1"/>
      <c r="P462" s="1"/>
      <c r="Q462" s="1"/>
      <c r="R462" s="1"/>
      <c r="S462" s="1"/>
      <c r="T462" s="1"/>
      <c r="U462" s="1"/>
      <c r="V462" s="1"/>
      <c r="W462" s="1"/>
      <c r="X462" s="1"/>
      <c r="Y462" s="1"/>
      <c r="Z462" s="1"/>
      <c r="AA462" s="1"/>
    </row>
    <row r="463" ht="15.75" customHeight="1">
      <c r="A463" s="1" t="str">
        <f>IFERROR(__xludf.DUMMYFUNCTION("""COMPUTED_VALUE"""),"Flute of The Majestic Forest")</f>
        <v>Flute of The Majestic Forest</v>
      </c>
      <c r="B463" s="1"/>
      <c r="C463" s="1" t="str">
        <f>IFERROR(__xludf.DUMMYFUNCTION("""COMPUTED_VALUE"""),"Instrument")</f>
        <v>Instrument</v>
      </c>
      <c r="D463" s="1" t="str">
        <f>IFERROR(__xludf.DUMMYFUNCTION("""COMPUTED_VALUE"""),"Hand")</f>
        <v>Hand</v>
      </c>
      <c r="E463" s="1">
        <f>IFERROR(__xludf.DUMMYFUNCTION("""COMPUTED_VALUE"""),300.0)</f>
        <v>300</v>
      </c>
      <c r="F463" s="1"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
        <f>IFERROR(__xludf.DUMMYFUNCTION("""COMPUTED_VALUE"""),4350000.0)</f>
        <v>4350000</v>
      </c>
      <c r="H463" s="1"/>
      <c r="I463" s="1"/>
      <c r="J463" s="1"/>
      <c r="K463" s="1"/>
      <c r="L463" s="1"/>
      <c r="M463" s="1"/>
      <c r="N463" s="1"/>
      <c r="O463" s="1"/>
      <c r="P463" s="1"/>
      <c r="Q463" s="1"/>
      <c r="R463" s="1"/>
      <c r="S463" s="1"/>
      <c r="T463" s="1"/>
      <c r="U463" s="1"/>
      <c r="V463" s="1"/>
      <c r="W463" s="1"/>
      <c r="X463" s="1"/>
      <c r="Y463" s="1"/>
      <c r="Z463" s="1"/>
      <c r="AA463" s="1"/>
    </row>
    <row r="464" ht="15.75" customHeight="1">
      <c r="A464" s="1" t="str">
        <f>IFERROR(__xludf.DUMMYFUNCTION("""COMPUTED_VALUE"""),"Heatmore Tribal Drums")</f>
        <v>Heatmore Tribal Drums</v>
      </c>
      <c r="B464" s="1"/>
      <c r="C464" s="1" t="str">
        <f>IFERROR(__xludf.DUMMYFUNCTION("""COMPUTED_VALUE"""),"Instrument")</f>
        <v>Instrument</v>
      </c>
      <c r="D464" s="1" t="str">
        <f>IFERROR(__xludf.DUMMYFUNCTION("""COMPUTED_VALUE"""),"Hand")</f>
        <v>Hand</v>
      </c>
      <c r="E464" s="1">
        <f>IFERROR(__xludf.DUMMYFUNCTION("""COMPUTED_VALUE"""),600.0)</f>
        <v>600</v>
      </c>
      <c r="F464" s="1"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
        <f>IFERROR(__xludf.DUMMYFUNCTION("""COMPUTED_VALUE"""),1.77E7)</f>
        <v>17700000</v>
      </c>
      <c r="H464" s="1"/>
      <c r="I464" s="1"/>
      <c r="J464" s="1"/>
      <c r="K464" s="1"/>
      <c r="L464" s="1"/>
      <c r="M464" s="1"/>
      <c r="N464" s="1"/>
      <c r="O464" s="1"/>
      <c r="P464" s="1"/>
      <c r="Q464" s="1"/>
      <c r="R464" s="1"/>
      <c r="S464" s="1"/>
      <c r="T464" s="1"/>
      <c r="U464" s="1"/>
      <c r="V464" s="1"/>
      <c r="W464" s="1"/>
      <c r="X464" s="1"/>
      <c r="Y464" s="1"/>
      <c r="Z464" s="1"/>
      <c r="AA464" s="1"/>
    </row>
    <row r="465" ht="15.75" customHeight="1">
      <c r="A465" s="1" t="str">
        <f>IFERROR(__xludf.DUMMYFUNCTION("""COMPUTED_VALUE"""),"Heatmore Tribal Maracas")</f>
        <v>Heatmore Tribal Maracas</v>
      </c>
      <c r="B465" s="1"/>
      <c r="C465" s="1" t="str">
        <f>IFERROR(__xludf.DUMMYFUNCTION("""COMPUTED_VALUE"""),"Instrument")</f>
        <v>Instrument</v>
      </c>
      <c r="D465" s="1" t="str">
        <f>IFERROR(__xludf.DUMMYFUNCTION("""COMPUTED_VALUE"""),"Hand")</f>
        <v>Hand</v>
      </c>
      <c r="E465" s="1">
        <f>IFERROR(__xludf.DUMMYFUNCTION("""COMPUTED_VALUE"""),900.0)</f>
        <v>900</v>
      </c>
      <c r="F465" s="1"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
        <f>IFERROR(__xludf.DUMMYFUNCTION("""COMPUTED_VALUE"""),4.005E7)</f>
        <v>40050000</v>
      </c>
      <c r="H465" s="1"/>
      <c r="I465" s="1"/>
      <c r="J465" s="1"/>
      <c r="K465" s="1"/>
      <c r="L465" s="1"/>
      <c r="M465" s="1"/>
      <c r="N465" s="1"/>
      <c r="O465" s="1"/>
      <c r="P465" s="1"/>
      <c r="Q465" s="1"/>
      <c r="R465" s="1"/>
      <c r="S465" s="1"/>
      <c r="T465" s="1"/>
      <c r="U465" s="1"/>
      <c r="V465" s="1"/>
      <c r="W465" s="1"/>
      <c r="X465" s="1"/>
      <c r="Y465" s="1"/>
      <c r="Z465" s="1"/>
      <c r="AA465" s="1"/>
    </row>
    <row r="466" ht="15.75" customHeight="1">
      <c r="A466" s="1" t="str">
        <f>IFERROR(__xludf.DUMMYFUNCTION("""COMPUTED_VALUE"""),"Mask of Creeping Darkness")</f>
        <v>Mask of Creeping Darkness</v>
      </c>
      <c r="B466" s="1" t="str">
        <f>IFERROR(__xludf.DUMMYFUNCTION("""COMPUTED_VALUE"""),"Quest Item")</f>
        <v>Quest Item</v>
      </c>
      <c r="C466" s="1"/>
      <c r="D466" s="1" t="str">
        <f>IFERROR(__xludf.DUMMYFUNCTION("""COMPUTED_VALUE"""),"Head")</f>
        <v>Head</v>
      </c>
      <c r="E466" s="1">
        <f>IFERROR(__xludf.DUMMYFUNCTION("""COMPUTED_VALUE"""),200.0)</f>
        <v>200</v>
      </c>
      <c r="F466" s="1"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
        <f>IFERROR(__xludf.DUMMYFUNCTION("""COMPUTED_VALUE"""),1.7955E8)</f>
        <v>179550000</v>
      </c>
      <c r="H466" s="1"/>
      <c r="I466" s="1"/>
      <c r="J466" s="1"/>
      <c r="K466" s="1"/>
      <c r="L466" s="1"/>
      <c r="M466" s="1"/>
      <c r="N466" s="1"/>
      <c r="O466" s="1"/>
      <c r="P466" s="1"/>
      <c r="Q466" s="1"/>
      <c r="R466" s="1"/>
      <c r="S466" s="1"/>
      <c r="T466" s="1"/>
      <c r="U466" s="1"/>
      <c r="V466" s="1"/>
      <c r="W466" s="1"/>
      <c r="X466" s="1"/>
      <c r="Y466" s="1"/>
      <c r="Z466" s="1"/>
      <c r="AA466" s="1"/>
    </row>
    <row r="467" ht="15.75" customHeight="1">
      <c r="A467" s="1" t="str">
        <f>IFERROR(__xludf.DUMMYFUNCTION("""COMPUTED_VALUE"""),"Chest of Evershifting Darkness")</f>
        <v>Chest of Evershifting Darkness</v>
      </c>
      <c r="B467" s="1" t="str">
        <f>IFERROR(__xludf.DUMMYFUNCTION("""COMPUTED_VALUE"""),"Quest Item")</f>
        <v>Quest Item</v>
      </c>
      <c r="C467" s="1"/>
      <c r="D467" s="1" t="str">
        <f>IFERROR(__xludf.DUMMYFUNCTION("""COMPUTED_VALUE"""),"Torso")</f>
        <v>Torso</v>
      </c>
      <c r="E467" s="1">
        <f>IFERROR(__xludf.DUMMYFUNCTION("""COMPUTED_VALUE"""),200.0)</f>
        <v>200</v>
      </c>
      <c r="F467" s="1"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
        <f>IFERROR(__xludf.DUMMYFUNCTION("""COMPUTED_VALUE"""),2.1945E8)</f>
        <v>219450000</v>
      </c>
      <c r="H467" s="1"/>
      <c r="I467" s="1"/>
      <c r="J467" s="1"/>
      <c r="K467" s="1"/>
      <c r="L467" s="1"/>
      <c r="M467" s="1"/>
      <c r="N467" s="1"/>
      <c r="O467" s="1"/>
      <c r="P467" s="1"/>
      <c r="Q467" s="1"/>
      <c r="R467" s="1"/>
      <c r="S467" s="1"/>
      <c r="T467" s="1"/>
      <c r="U467" s="1"/>
      <c r="V467" s="1"/>
      <c r="W467" s="1"/>
      <c r="X467" s="1"/>
      <c r="Y467" s="1"/>
      <c r="Z467" s="1"/>
      <c r="AA467" s="1"/>
    </row>
    <row r="468" ht="15.75" customHeight="1">
      <c r="A468" s="1" t="str">
        <f>IFERROR(__xludf.DUMMYFUNCTION("""COMPUTED_VALUE"""),"Leather Boots of EDGINESS")</f>
        <v>Leather Boots of EDGINESS</v>
      </c>
      <c r="B468" s="1" t="str">
        <f>IFERROR(__xludf.DUMMYFUNCTION("""COMPUTED_VALUE"""),"Quest Item")</f>
        <v>Quest Item</v>
      </c>
      <c r="C468" s="1"/>
      <c r="D468" s="1" t="str">
        <f>IFERROR(__xludf.DUMMYFUNCTION("""COMPUTED_VALUE"""),"Feet")</f>
        <v>Feet</v>
      </c>
      <c r="E468" s="1">
        <f>IFERROR(__xludf.DUMMYFUNCTION("""COMPUTED_VALUE"""),200.0)</f>
        <v>200</v>
      </c>
      <c r="F468" s="1"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
        <f>IFERROR(__xludf.DUMMYFUNCTION("""COMPUTED_VALUE"""),1.7955E8)</f>
        <v>179550000</v>
      </c>
      <c r="H468" s="1"/>
      <c r="I468" s="1"/>
      <c r="J468" s="1"/>
      <c r="K468" s="1"/>
      <c r="L468" s="1"/>
      <c r="M468" s="1"/>
      <c r="N468" s="1"/>
      <c r="O468" s="1"/>
      <c r="P468" s="1"/>
      <c r="Q468" s="1"/>
      <c r="R468" s="1"/>
      <c r="S468" s="1"/>
      <c r="T468" s="1"/>
      <c r="U468" s="1"/>
      <c r="V468" s="1"/>
      <c r="W468" s="1"/>
      <c r="X468" s="1"/>
      <c r="Y468" s="1"/>
      <c r="Z468" s="1"/>
      <c r="AA468" s="1"/>
    </row>
    <row r="469" ht="15.75" customHeight="1">
      <c r="A469" s="1" t="str">
        <f>IFERROR(__xludf.DUMMYFUNCTION("""COMPUTED_VALUE"""),"Silken Gloves of Dexterity")</f>
        <v>Silken Gloves of Dexterity</v>
      </c>
      <c r="B469" s="1" t="str">
        <f>IFERROR(__xludf.DUMMYFUNCTION("""COMPUTED_VALUE"""),"Quest Item")</f>
        <v>Quest Item</v>
      </c>
      <c r="C469" s="1"/>
      <c r="D469" s="1" t="str">
        <f>IFERROR(__xludf.DUMMYFUNCTION("""COMPUTED_VALUE"""),"Arms")</f>
        <v>Arms</v>
      </c>
      <c r="E469" s="1">
        <f>IFERROR(__xludf.DUMMYFUNCTION("""COMPUTED_VALUE"""),200.0)</f>
        <v>200</v>
      </c>
      <c r="F469" s="1"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
        <f>IFERROR(__xludf.DUMMYFUNCTION("""COMPUTED_VALUE"""),1.7955E8)</f>
        <v>179550000</v>
      </c>
      <c r="H469" s="1"/>
      <c r="I469" s="1"/>
      <c r="J469" s="1"/>
      <c r="K469" s="1"/>
      <c r="L469" s="1"/>
      <c r="M469" s="1"/>
      <c r="N469" s="1"/>
      <c r="O469" s="1"/>
      <c r="P469" s="1"/>
      <c r="Q469" s="1"/>
      <c r="R469" s="1"/>
      <c r="S469" s="1"/>
      <c r="T469" s="1"/>
      <c r="U469" s="1"/>
      <c r="V469" s="1"/>
      <c r="W469" s="1"/>
      <c r="X469" s="1"/>
      <c r="Y469" s="1"/>
      <c r="Z469" s="1"/>
      <c r="AA469" s="1"/>
    </row>
    <row r="470" ht="15.75" customHeight="1">
      <c r="A470" s="1" t="str">
        <f>IFERROR(__xludf.DUMMYFUNCTION("""COMPUTED_VALUE"""),"Leggings of Swift Death")</f>
        <v>Leggings of Swift Death</v>
      </c>
      <c r="B470" s="1" t="str">
        <f>IFERROR(__xludf.DUMMYFUNCTION("""COMPUTED_VALUE"""),"Quest Item")</f>
        <v>Quest Item</v>
      </c>
      <c r="C470" s="1"/>
      <c r="D470" s="1" t="str">
        <f>IFERROR(__xludf.DUMMYFUNCTION("""COMPUTED_VALUE"""),"Legs")</f>
        <v>Legs</v>
      </c>
      <c r="E470" s="1">
        <f>IFERROR(__xludf.DUMMYFUNCTION("""COMPUTED_VALUE"""),200.0)</f>
        <v>200</v>
      </c>
      <c r="F470" s="1"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
        <f>IFERROR(__xludf.DUMMYFUNCTION("""COMPUTED_VALUE"""),1.7955E8)</f>
        <v>179550000</v>
      </c>
      <c r="H470" s="1"/>
      <c r="I470" s="1"/>
      <c r="J470" s="1"/>
      <c r="K470" s="1"/>
      <c r="L470" s="1"/>
      <c r="M470" s="1"/>
      <c r="N470" s="1"/>
      <c r="O470" s="1"/>
      <c r="P470" s="1"/>
      <c r="Q470" s="1"/>
      <c r="R470" s="1"/>
      <c r="S470" s="1"/>
      <c r="T470" s="1"/>
      <c r="U470" s="1"/>
      <c r="V470" s="1"/>
      <c r="W470" s="1"/>
      <c r="X470" s="1"/>
      <c r="Y470" s="1"/>
      <c r="Z470" s="1"/>
      <c r="AA470" s="1"/>
    </row>
    <row r="471" ht="15.75" customHeight="1">
      <c r="A471" s="1" t="str">
        <f>IFERROR(__xludf.DUMMYFUNCTION("""COMPUTED_VALUE"""),"Cape of Illusion")</f>
        <v>Cape of Illusion</v>
      </c>
      <c r="B471" s="1" t="str">
        <f>IFERROR(__xludf.DUMMYFUNCTION("""COMPUTED_VALUE"""),"Quest Item")</f>
        <v>Quest Item</v>
      </c>
      <c r="C471" s="1"/>
      <c r="D471" s="1" t="str">
        <f>IFERROR(__xludf.DUMMYFUNCTION("""COMPUTED_VALUE"""),"Shoulders")</f>
        <v>Shoulders</v>
      </c>
      <c r="E471" s="1">
        <f>IFERROR(__xludf.DUMMYFUNCTION("""COMPUTED_VALUE"""),200.0)</f>
        <v>200</v>
      </c>
      <c r="F471" s="1"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
        <f>IFERROR(__xludf.DUMMYFUNCTION("""COMPUTED_VALUE"""),1.7955E8)</f>
        <v>179550000</v>
      </c>
      <c r="H471" s="1"/>
      <c r="I471" s="1"/>
      <c r="J471" s="1"/>
      <c r="K471" s="1"/>
      <c r="L471" s="1"/>
      <c r="M471" s="1"/>
      <c r="N471" s="1"/>
      <c r="O471" s="1"/>
      <c r="P471" s="1"/>
      <c r="Q471" s="1"/>
      <c r="R471" s="1"/>
      <c r="S471" s="1"/>
      <c r="T471" s="1"/>
      <c r="U471" s="1"/>
      <c r="V471" s="1"/>
      <c r="W471" s="1"/>
      <c r="X471" s="1"/>
      <c r="Y471" s="1"/>
      <c r="Z471" s="1"/>
      <c r="AA471" s="1"/>
    </row>
    <row r="472" ht="15.75" customHeight="1">
      <c r="A472" s="1" t="str">
        <f>IFERROR(__xludf.DUMMYFUNCTION("""COMPUTED_VALUE"""),"Assassin's Kiss")</f>
        <v>Assassin's Kiss</v>
      </c>
      <c r="B472" s="1" t="str">
        <f>IFERROR(__xludf.DUMMYFUNCTION("""COMPUTED_VALUE"""),"Quest Item")</f>
        <v>Quest Item</v>
      </c>
      <c r="C472" s="1" t="str">
        <f>IFERROR(__xludf.DUMMYFUNCTION("""COMPUTED_VALUE"""),"Knife")</f>
        <v>Knife</v>
      </c>
      <c r="D472" s="1" t="str">
        <f>IFERROR(__xludf.DUMMYFUNCTION("""COMPUTED_VALUE"""),"Hand")</f>
        <v>Hand</v>
      </c>
      <c r="E472" s="1">
        <f>IFERROR(__xludf.DUMMYFUNCTION("""COMPUTED_VALUE"""),200.0)</f>
        <v>200</v>
      </c>
      <c r="F472" s="1"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
        <f>IFERROR(__xludf.DUMMYFUNCTION("""COMPUTED_VALUE"""),2.409E8)</f>
        <v>240900000</v>
      </c>
      <c r="H472" s="1"/>
      <c r="I472" s="1"/>
      <c r="J472" s="1"/>
      <c r="K472" s="1"/>
      <c r="L472" s="1"/>
      <c r="M472" s="1"/>
      <c r="N472" s="1"/>
      <c r="O472" s="1"/>
      <c r="P472" s="1"/>
      <c r="Q472" s="1"/>
      <c r="R472" s="1"/>
      <c r="S472" s="1"/>
      <c r="T472" s="1"/>
      <c r="U472" s="1"/>
      <c r="V472" s="1"/>
      <c r="W472" s="1"/>
      <c r="X472" s="1"/>
      <c r="Y472" s="1"/>
      <c r="Z472" s="1"/>
      <c r="AA472" s="1"/>
    </row>
    <row r="473" ht="15.75" customHeight="1">
      <c r="A473" s="1" t="str">
        <f>IFERROR(__xludf.DUMMYFUNCTION("""COMPUTED_VALUE"""),"Night's Edge")</f>
        <v>Night's Edge</v>
      </c>
      <c r="B473" s="1" t="str">
        <f>IFERROR(__xludf.DUMMYFUNCTION("""COMPUTED_VALUE"""),"Quest Item")</f>
        <v>Quest Item</v>
      </c>
      <c r="C473" s="1" t="str">
        <f>IFERROR(__xludf.DUMMYFUNCTION("""COMPUTED_VALUE"""),"Knife")</f>
        <v>Knife</v>
      </c>
      <c r="D473" s="1" t="str">
        <f>IFERROR(__xludf.DUMMYFUNCTION("""COMPUTED_VALUE"""),"Hand")</f>
        <v>Hand</v>
      </c>
      <c r="E473" s="1">
        <f>IFERROR(__xludf.DUMMYFUNCTION("""COMPUTED_VALUE"""),200.0)</f>
        <v>200</v>
      </c>
      <c r="F473" s="1"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
        <f>IFERROR(__xludf.DUMMYFUNCTION("""COMPUTED_VALUE"""),2.409E8)</f>
        <v>240900000</v>
      </c>
      <c r="H473" s="1"/>
      <c r="I473" s="1"/>
      <c r="J473" s="1"/>
      <c r="K473" s="1"/>
      <c r="L473" s="1"/>
      <c r="M473" s="1"/>
      <c r="N473" s="1"/>
      <c r="O473" s="1"/>
      <c r="P473" s="1"/>
      <c r="Q473" s="1"/>
      <c r="R473" s="1"/>
      <c r="S473" s="1"/>
      <c r="T473" s="1"/>
      <c r="U473" s="1"/>
      <c r="V473" s="1"/>
      <c r="W473" s="1"/>
      <c r="X473" s="1"/>
      <c r="Y473" s="1"/>
      <c r="Z473" s="1"/>
      <c r="AA473" s="1"/>
    </row>
    <row r="474" ht="15.75" customHeight="1">
      <c r="A474" s="1" t="str">
        <f>IFERROR(__xludf.DUMMYFUNCTION("""COMPUTED_VALUE"""),"Ancient Draconian Deity Necklace")</f>
        <v>Ancient Draconian Deity Necklace</v>
      </c>
      <c r="B474" s="1"/>
      <c r="C474" s="1"/>
      <c r="D474" s="1" t="str">
        <f>IFERROR(__xludf.DUMMYFUNCTION("""COMPUTED_VALUE"""),"Neck")</f>
        <v>Neck</v>
      </c>
      <c r="E474" s="1">
        <f>IFERROR(__xludf.DUMMYFUNCTION("""COMPUTED_VALUE"""),1.0)</f>
        <v>1</v>
      </c>
      <c r="F474" s="1" t="str">
        <f>IFERROR(__xludf.DUMMYFUNCTION("""COMPUTED_VALUE""")," ++5 to all d20 rolls, +-Cannot be duplicated.")</f>
        <v> ++5 to all d20 rolls, +-Cannot be duplicated.</v>
      </c>
      <c r="G474" s="1">
        <f>IFERROR(__xludf.DUMMYFUNCTION("""COMPUTED_VALUE"""),0.0)</f>
        <v>0</v>
      </c>
      <c r="H474" s="1"/>
      <c r="I474" s="1"/>
      <c r="J474" s="1"/>
      <c r="K474" s="1"/>
      <c r="L474" s="1"/>
      <c r="M474" s="1"/>
      <c r="N474" s="1"/>
      <c r="O474" s="1"/>
      <c r="P474" s="1"/>
      <c r="Q474" s="1"/>
      <c r="R474" s="1"/>
      <c r="S474" s="1"/>
      <c r="T474" s="1"/>
      <c r="U474" s="1"/>
      <c r="V474" s="1"/>
      <c r="W474" s="1"/>
      <c r="X474" s="1"/>
      <c r="Y474" s="1"/>
      <c r="Z474" s="1"/>
      <c r="AA474" s="1"/>
    </row>
    <row r="475" ht="15.75" customHeight="1">
      <c r="A475" s="1" t="str">
        <f>IFERROR(__xludf.DUMMYFUNCTION("""COMPUTED_VALUE"""),"Gungnir")</f>
        <v>Gungnir</v>
      </c>
      <c r="B475" s="1"/>
      <c r="C475" s="1" t="str">
        <f>IFERROR(__xludf.DUMMYFUNCTION("""COMPUTED_VALUE"""),"Spear")</f>
        <v>Spear</v>
      </c>
      <c r="D475" s="1" t="str">
        <f>IFERROR(__xludf.DUMMYFUNCTION("""COMPUTED_VALUE"""),"Hand")</f>
        <v>Hand</v>
      </c>
      <c r="E475" s="1">
        <f>IFERROR(__xludf.DUMMYFUNCTION("""COMPUTED_VALUE"""),1.0)</f>
        <v>1</v>
      </c>
      <c r="F475" s="1" t="str">
        <f>IFERROR(__xludf.DUMMYFUNCTION("""COMPUTED_VALUE"""),"")</f>
        <v/>
      </c>
      <c r="G475" s="1">
        <f>IFERROR(__xludf.DUMMYFUNCTION("""COMPUTED_VALUE"""),0.0)</f>
        <v>0</v>
      </c>
      <c r="H475" s="1"/>
      <c r="I475" s="1"/>
      <c r="J475" s="1"/>
      <c r="K475" s="1"/>
      <c r="L475" s="1"/>
      <c r="M475" s="1"/>
      <c r="N475" s="1"/>
      <c r="O475" s="1"/>
      <c r="P475" s="1"/>
      <c r="Q475" s="1"/>
      <c r="R475" s="1"/>
      <c r="S475" s="1"/>
      <c r="T475" s="1"/>
      <c r="U475" s="1"/>
      <c r="V475" s="1"/>
      <c r="W475" s="1"/>
      <c r="X475" s="1"/>
      <c r="Y475" s="1"/>
      <c r="Z475" s="1"/>
      <c r="AA475" s="1"/>
    </row>
    <row r="476" ht="15.75" customHeight="1">
      <c r="A476" s="1" t="str">
        <f>IFERROR(__xludf.DUMMYFUNCTION("""COMPUTED_VALUE"""),"Gaia's Rock Hammer")</f>
        <v>Gaia's Rock Hammer</v>
      </c>
      <c r="B476" s="1" t="str">
        <f>IFERROR(__xludf.DUMMYFUNCTION("""COMPUTED_VALUE"""),"Quest Item")</f>
        <v>Quest Item</v>
      </c>
      <c r="C476" s="1" t="str">
        <f>IFERROR(__xludf.DUMMYFUNCTION("""COMPUTED_VALUE"""),"Club")</f>
        <v>Club</v>
      </c>
      <c r="D476" s="1" t="str">
        <f>IFERROR(__xludf.DUMMYFUNCTION("""COMPUTED_VALUE"""),"Hand")</f>
        <v>Hand</v>
      </c>
      <c r="E476" s="1">
        <f>IFERROR(__xludf.DUMMYFUNCTION("""COMPUTED_VALUE"""),200.0)</f>
        <v>200</v>
      </c>
      <c r="F476" s="1"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
        <f>IFERROR(__xludf.DUMMYFUNCTION("""COMPUTED_VALUE"""),5.4285E8)</f>
        <v>542850000</v>
      </c>
      <c r="H476" s="1"/>
      <c r="I476" s="1"/>
      <c r="J476" s="1"/>
      <c r="K476" s="1"/>
      <c r="L476" s="1"/>
      <c r="M476" s="1"/>
      <c r="N476" s="1"/>
      <c r="O476" s="1"/>
      <c r="P476" s="1"/>
      <c r="Q476" s="1"/>
      <c r="R476" s="1"/>
      <c r="S476" s="1"/>
      <c r="T476" s="1"/>
      <c r="U476" s="1"/>
      <c r="V476" s="1"/>
      <c r="W476" s="1"/>
      <c r="X476" s="1"/>
      <c r="Y476" s="1"/>
      <c r="Z476" s="1"/>
      <c r="AA476" s="1"/>
    </row>
    <row r="477" ht="15.75" customHeight="1">
      <c r="A477" s="1" t="str">
        <f>IFERROR(__xludf.DUMMYFUNCTION("""COMPUTED_VALUE"""),"Bahamut's Claw")</f>
        <v>Bahamut's Claw</v>
      </c>
      <c r="B477" s="1" t="str">
        <f>IFERROR(__xludf.DUMMYFUNCTION("""COMPUTED_VALUE"""),"Mob Exclusive")</f>
        <v>Mob Exclusive</v>
      </c>
      <c r="C477" s="1" t="str">
        <f>IFERROR(__xludf.DUMMYFUNCTION("""COMPUTED_VALUE"""),"Claw")</f>
        <v>Claw</v>
      </c>
      <c r="D477" s="1" t="str">
        <f>IFERROR(__xludf.DUMMYFUNCTION("""COMPUTED_VALUE"""),"Hand")</f>
        <v>Hand</v>
      </c>
      <c r="E477" s="1">
        <f>IFERROR(__xludf.DUMMYFUNCTION("""COMPUTED_VALUE"""),200.0)</f>
        <v>200</v>
      </c>
      <c r="F477" s="1"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
        <f>IFERROR(__xludf.DUMMYFUNCTION("""COMPUTED_VALUE"""),1.12425E10)</f>
        <v>11242500000</v>
      </c>
      <c r="H477" s="1"/>
      <c r="I477" s="1"/>
      <c r="J477" s="1"/>
      <c r="K477" s="1"/>
      <c r="L477" s="1"/>
      <c r="M477" s="1"/>
      <c r="N477" s="1"/>
      <c r="O477" s="1"/>
      <c r="P477" s="1"/>
      <c r="Q477" s="1"/>
      <c r="R477" s="1"/>
      <c r="S477" s="1"/>
      <c r="T477" s="1"/>
      <c r="U477" s="1"/>
      <c r="V477" s="1"/>
      <c r="W477" s="1"/>
      <c r="X477" s="1"/>
      <c r="Y477" s="1"/>
      <c r="Z477" s="1"/>
      <c r="AA477" s="1"/>
    </row>
    <row r="478" ht="15.75" customHeight="1">
      <c r="A478" s="1" t="str">
        <f>IFERROR(__xludf.DUMMYFUNCTION("""COMPUTED_VALUE"""),"Chronos' Staff of Time")</f>
        <v>Chronos' Staff of Time</v>
      </c>
      <c r="B478" s="1"/>
      <c r="C478" s="1" t="str">
        <f>IFERROR(__xludf.DUMMYFUNCTION("""COMPUTED_VALUE"""),"Staff")</f>
        <v>Staff</v>
      </c>
      <c r="D478" s="1" t="str">
        <f>IFERROR(__xludf.DUMMYFUNCTION("""COMPUTED_VALUE"""),"Hand")</f>
        <v>Hand</v>
      </c>
      <c r="E478" s="1">
        <f>IFERROR(__xludf.DUMMYFUNCTION("""COMPUTED_VALUE"""),1.0)</f>
        <v>1</v>
      </c>
      <c r="F478" s="1" t="str">
        <f>IFERROR(__xludf.DUMMYFUNCTION("""COMPUTED_VALUE"""),"")</f>
        <v/>
      </c>
      <c r="G478" s="1">
        <f>IFERROR(__xludf.DUMMYFUNCTION("""COMPUTED_VALUE"""),0.0)</f>
        <v>0</v>
      </c>
      <c r="H478" s="1"/>
      <c r="I478" s="1"/>
      <c r="J478" s="1"/>
      <c r="K478" s="1"/>
      <c r="L478" s="1"/>
      <c r="M478" s="1"/>
      <c r="N478" s="1"/>
      <c r="O478" s="1"/>
      <c r="P478" s="1"/>
      <c r="Q478" s="1"/>
      <c r="R478" s="1"/>
      <c r="S478" s="1"/>
      <c r="T478" s="1"/>
      <c r="U478" s="1"/>
      <c r="V478" s="1"/>
      <c r="W478" s="1"/>
      <c r="X478" s="1"/>
      <c r="Y478" s="1"/>
      <c r="Z478" s="1"/>
      <c r="AA478" s="1"/>
    </row>
    <row r="479" ht="15.75" customHeight="1">
      <c r="A479" s="1" t="str">
        <f>IFERROR(__xludf.DUMMYFUNCTION("""COMPUTED_VALUE"""),"Scimitar")</f>
        <v>Scimitar</v>
      </c>
      <c r="B479" s="1"/>
      <c r="C479" s="1" t="str">
        <f>IFERROR(__xludf.DUMMYFUNCTION("""COMPUTED_VALUE"""),"Sword")</f>
        <v>Sword</v>
      </c>
      <c r="D479" s="1" t="str">
        <f>IFERROR(__xludf.DUMMYFUNCTION("""COMPUTED_VALUE"""),"Hand")</f>
        <v>Hand</v>
      </c>
      <c r="E479" s="1">
        <f>IFERROR(__xludf.DUMMYFUNCTION("""COMPUTED_VALUE"""),300.0)</f>
        <v>300</v>
      </c>
      <c r="F479" s="1" t="str">
        <f>IFERROR(__xludf.DUMMYFUNCTION("""COMPUTED_VALUE"""),"DMG: +10000, Fire DMG: +5000")</f>
        <v>DMG: +10000, Fire DMG: +5000</v>
      </c>
      <c r="G479" s="1">
        <f>IFERROR(__xludf.DUMMYFUNCTION("""COMPUTED_VALUE"""),4350000.0)</f>
        <v>4350000</v>
      </c>
      <c r="H479" s="1"/>
      <c r="I479" s="1"/>
      <c r="J479" s="1"/>
      <c r="K479" s="1"/>
      <c r="L479" s="1"/>
      <c r="M479" s="1"/>
      <c r="N479" s="1"/>
      <c r="O479" s="1"/>
      <c r="P479" s="1"/>
      <c r="Q479" s="1"/>
      <c r="R479" s="1"/>
      <c r="S479" s="1"/>
      <c r="T479" s="1"/>
      <c r="U479" s="1"/>
      <c r="V479" s="1"/>
      <c r="W479" s="1"/>
      <c r="X479" s="1"/>
      <c r="Y479" s="1"/>
      <c r="Z479" s="1"/>
      <c r="AA479" s="1"/>
    </row>
    <row r="480" ht="15.75" customHeight="1">
      <c r="A480" s="1" t="str">
        <f>IFERROR(__xludf.DUMMYFUNCTION("""COMPUTED_VALUE"""),"Gaia's Helmet of Earthen Fortitude")</f>
        <v>Gaia's Helmet of Earthen Fortitude</v>
      </c>
      <c r="B480" s="1" t="str">
        <f>IFERROR(__xludf.DUMMYFUNCTION("""COMPUTED_VALUE"""),"Mob Exclusive")</f>
        <v>Mob Exclusive</v>
      </c>
      <c r="C480" s="1"/>
      <c r="D480" s="1" t="str">
        <f>IFERROR(__xludf.DUMMYFUNCTION("""COMPUTED_VALUE"""),"Head")</f>
        <v>Head</v>
      </c>
      <c r="E480" s="1">
        <f>IFERROR(__xludf.DUMMYFUNCTION("""COMPUTED_VALUE"""),200.0)</f>
        <v>200</v>
      </c>
      <c r="F480" s="1"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
        <f>IFERROR(__xludf.DUMMYFUNCTION("""COMPUTED_VALUE"""),3.6315E8)</f>
        <v>363150000</v>
      </c>
      <c r="H480" s="1"/>
      <c r="I480" s="1"/>
      <c r="J480" s="1"/>
      <c r="K480" s="1"/>
      <c r="L480" s="1"/>
      <c r="M480" s="1"/>
      <c r="N480" s="1"/>
      <c r="O480" s="1"/>
      <c r="P480" s="1"/>
      <c r="Q480" s="1"/>
      <c r="R480" s="1"/>
      <c r="S480" s="1"/>
      <c r="T480" s="1"/>
      <c r="U480" s="1"/>
      <c r="V480" s="1"/>
      <c r="W480" s="1"/>
      <c r="X480" s="1"/>
      <c r="Y480" s="1"/>
      <c r="Z480" s="1"/>
      <c r="AA480" s="1"/>
    </row>
    <row r="481" ht="15.75" customHeight="1">
      <c r="A481" s="1" t="str">
        <f>IFERROR(__xludf.DUMMYFUNCTION("""COMPUTED_VALUE"""),"Gaia's Pendant")</f>
        <v>Gaia's Pendant</v>
      </c>
      <c r="B481" s="1" t="str">
        <f>IFERROR(__xludf.DUMMYFUNCTION("""COMPUTED_VALUE"""),"Mob Exclusive")</f>
        <v>Mob Exclusive</v>
      </c>
      <c r="C481" s="1"/>
      <c r="D481" s="1" t="str">
        <f>IFERROR(__xludf.DUMMYFUNCTION("""COMPUTED_VALUE"""),"Neck")</f>
        <v>Neck</v>
      </c>
      <c r="E481" s="1">
        <f>IFERROR(__xludf.DUMMYFUNCTION("""COMPUTED_VALUE"""),1.0)</f>
        <v>1</v>
      </c>
      <c r="F481" s="1" t="str">
        <f>IFERROR(__xludf.DUMMYFUNCTION("""COMPUTED_VALUE""")," ++Revives entire party upon death of the wearer. +-one use per battle")</f>
        <v> ++Revives entire party upon death of the wearer. +-one use per battle</v>
      </c>
      <c r="G481" s="1">
        <f>IFERROR(__xludf.DUMMYFUNCTION("""COMPUTED_VALUE"""),0.0)</f>
        <v>0</v>
      </c>
      <c r="H481" s="1"/>
      <c r="I481" s="1"/>
      <c r="J481" s="1"/>
      <c r="K481" s="1"/>
      <c r="L481" s="1"/>
      <c r="M481" s="1"/>
      <c r="N481" s="1"/>
      <c r="O481" s="1"/>
      <c r="P481" s="1"/>
      <c r="Q481" s="1"/>
      <c r="R481" s="1"/>
      <c r="S481" s="1"/>
      <c r="T481" s="1"/>
      <c r="U481" s="1"/>
      <c r="V481" s="1"/>
      <c r="W481" s="1"/>
      <c r="X481" s="1"/>
      <c r="Y481" s="1"/>
      <c r="Z481" s="1"/>
      <c r="AA481" s="1"/>
    </row>
    <row r="482" ht="15.75" customHeight="1">
      <c r="A482" s="1" t="str">
        <f>IFERROR(__xludf.DUMMYFUNCTION("""COMPUTED_VALUE"""),"Gaia's Sandals of Earthen Fortitude")</f>
        <v>Gaia's Sandals of Earthen Fortitude</v>
      </c>
      <c r="B482" s="1" t="str">
        <f>IFERROR(__xludf.DUMMYFUNCTION("""COMPUTED_VALUE"""),"Mob Exclusive")</f>
        <v>Mob Exclusive</v>
      </c>
      <c r="C482" s="1"/>
      <c r="D482" s="1" t="str">
        <f>IFERROR(__xludf.DUMMYFUNCTION("""COMPUTED_VALUE"""),"Feet")</f>
        <v>Feet</v>
      </c>
      <c r="E482" s="1">
        <f>IFERROR(__xludf.DUMMYFUNCTION("""COMPUTED_VALUE"""),200.0)</f>
        <v>200</v>
      </c>
      <c r="F482" s="1" t="str">
        <f>IFERROR(__xludf.DUMMYFUNCTION("""COMPUTED_VALUE"""),"DEF: +50000, Fire DEF: +35000, Celestial DEF: +50000 ++X2 Earth Damage for self. ++X2 Defense for self")</f>
        <v>DEF: +50000, Fire DEF: +35000, Celestial DEF: +50000 ++X2 Earth Damage for self. ++X2 Defense for self</v>
      </c>
      <c r="G482" s="1">
        <f>IFERROR(__xludf.DUMMYFUNCTION("""COMPUTED_VALUE"""),3.6315E8)</f>
        <v>363150000</v>
      </c>
      <c r="H482" s="1"/>
      <c r="I482" s="1"/>
      <c r="J482" s="1"/>
      <c r="K482" s="1"/>
      <c r="L482" s="1"/>
      <c r="M482" s="1"/>
      <c r="N482" s="1"/>
      <c r="O482" s="1"/>
      <c r="P482" s="1"/>
      <c r="Q482" s="1"/>
      <c r="R482" s="1"/>
      <c r="S482" s="1"/>
      <c r="T482" s="1"/>
      <c r="U482" s="1"/>
      <c r="V482" s="1"/>
      <c r="W482" s="1"/>
      <c r="X482" s="1"/>
      <c r="Y482" s="1"/>
      <c r="Z482" s="1"/>
      <c r="AA482" s="1"/>
    </row>
    <row r="483" ht="15.75" customHeight="1">
      <c r="A483" s="1" t="str">
        <f>IFERROR(__xludf.DUMMYFUNCTION("""COMPUTED_VALUE"""),"Gaia's Gloves")</f>
        <v>Gaia's Gloves</v>
      </c>
      <c r="B483" s="1" t="str">
        <f>IFERROR(__xludf.DUMMYFUNCTION("""COMPUTED_VALUE"""),"Mob Exclusive")</f>
        <v>Mob Exclusive</v>
      </c>
      <c r="C483" s="1"/>
      <c r="D483" s="1" t="str">
        <f>IFERROR(__xludf.DUMMYFUNCTION("""COMPUTED_VALUE"""),"Arms")</f>
        <v>Arms</v>
      </c>
      <c r="E483" s="1">
        <f>IFERROR(__xludf.DUMMYFUNCTION("""COMPUTED_VALUE"""),200.0)</f>
        <v>200</v>
      </c>
      <c r="F483" s="1" t="str">
        <f>IFERROR(__xludf.DUMMYFUNCTION("""COMPUTED_VALUE"""),"DEF: +50000, Fire DEF: +35000, Celestial DEF: +50000 ++X2 Earth Damage for self. ++X2 Defense for self")</f>
        <v>DEF: +50000, Fire DEF: +35000, Celestial DEF: +50000 ++X2 Earth Damage for self. ++X2 Defense for self</v>
      </c>
      <c r="G483" s="1">
        <f>IFERROR(__xludf.DUMMYFUNCTION("""COMPUTED_VALUE"""),3.6315E8)</f>
        <v>363150000</v>
      </c>
      <c r="H483" s="1"/>
      <c r="I483" s="1"/>
      <c r="J483" s="1"/>
      <c r="K483" s="1"/>
      <c r="L483" s="1"/>
      <c r="M483" s="1"/>
      <c r="N483" s="1"/>
      <c r="O483" s="1"/>
      <c r="P483" s="1"/>
      <c r="Q483" s="1"/>
      <c r="R483" s="1"/>
      <c r="S483" s="1"/>
      <c r="T483" s="1"/>
      <c r="U483" s="1"/>
      <c r="V483" s="1"/>
      <c r="W483" s="1"/>
      <c r="X483" s="1"/>
      <c r="Y483" s="1"/>
      <c r="Z483" s="1"/>
      <c r="AA483" s="1"/>
    </row>
    <row r="484" ht="15.75" customHeight="1">
      <c r="A484" s="1" t="str">
        <f>IFERROR(__xludf.DUMMYFUNCTION("""COMPUTED_VALUE"""),"Gaia's Gaiters")</f>
        <v>Gaia's Gaiters</v>
      </c>
      <c r="B484" s="1" t="str">
        <f>IFERROR(__xludf.DUMMYFUNCTION("""COMPUTED_VALUE"""),"Mob Exclusive")</f>
        <v>Mob Exclusive</v>
      </c>
      <c r="C484" s="1"/>
      <c r="D484" s="1" t="str">
        <f>IFERROR(__xludf.DUMMYFUNCTION("""COMPUTED_VALUE"""),"Legs")</f>
        <v>Legs</v>
      </c>
      <c r="E484" s="1">
        <f>IFERROR(__xludf.DUMMYFUNCTION("""COMPUTED_VALUE"""),200.0)</f>
        <v>200</v>
      </c>
      <c r="F484" s="1" t="str">
        <f>IFERROR(__xludf.DUMMYFUNCTION("""COMPUTED_VALUE"""),"DEF: +50000, Fire DEF: +35000, Celestial DEF: +50000 ++X2 Earth Damage for self. ++X2 Defense for self")</f>
        <v>DEF: +50000, Fire DEF: +35000, Celestial DEF: +50000 ++X2 Earth Damage for self. ++X2 Defense for self</v>
      </c>
      <c r="G484" s="1">
        <f>IFERROR(__xludf.DUMMYFUNCTION("""COMPUTED_VALUE"""),3.6315E8)</f>
        <v>363150000</v>
      </c>
      <c r="H484" s="1"/>
      <c r="I484" s="1"/>
      <c r="J484" s="1"/>
      <c r="K484" s="1"/>
      <c r="L484" s="1"/>
      <c r="M484" s="1"/>
      <c r="N484" s="1"/>
      <c r="O484" s="1"/>
      <c r="P484" s="1"/>
      <c r="Q484" s="1"/>
      <c r="R484" s="1"/>
      <c r="S484" s="1"/>
      <c r="T484" s="1"/>
      <c r="U484" s="1"/>
      <c r="V484" s="1"/>
      <c r="W484" s="1"/>
      <c r="X484" s="1"/>
      <c r="Y484" s="1"/>
      <c r="Z484" s="1"/>
      <c r="AA484" s="1"/>
    </row>
    <row r="485" ht="15.75" customHeight="1">
      <c r="A485" s="1" t="str">
        <f>IFERROR(__xludf.DUMMYFUNCTION("""COMPUTED_VALUE"""),"Gaia's Pauldrons")</f>
        <v>Gaia's Pauldrons</v>
      </c>
      <c r="B485" s="1" t="str">
        <f>IFERROR(__xludf.DUMMYFUNCTION("""COMPUTED_VALUE"""),"Mob Exclusive")</f>
        <v>Mob Exclusive</v>
      </c>
      <c r="C485" s="1"/>
      <c r="D485" s="1" t="str">
        <f>IFERROR(__xludf.DUMMYFUNCTION("""COMPUTED_VALUE"""),"Shoulders")</f>
        <v>Shoulders</v>
      </c>
      <c r="E485" s="1">
        <f>IFERROR(__xludf.DUMMYFUNCTION("""COMPUTED_VALUE"""),200.0)</f>
        <v>200</v>
      </c>
      <c r="F485" s="1" t="str">
        <f>IFERROR(__xludf.DUMMYFUNCTION("""COMPUTED_VALUE"""),"DEF: +50000, Fire DEF: +35000, Celestial DEF: +50000 ++X2 Earth Damage for self. ++X2 Defense for self")</f>
        <v>DEF: +50000, Fire DEF: +35000, Celestial DEF: +50000 ++X2 Earth Damage for self. ++X2 Defense for self</v>
      </c>
      <c r="G485" s="1">
        <f>IFERROR(__xludf.DUMMYFUNCTION("""COMPUTED_VALUE"""),3.6315E8)</f>
        <v>363150000</v>
      </c>
      <c r="H485" s="1"/>
      <c r="I485" s="1"/>
      <c r="J485" s="1"/>
      <c r="K485" s="1"/>
      <c r="L485" s="1"/>
      <c r="M485" s="1"/>
      <c r="N485" s="1"/>
      <c r="O485" s="1"/>
      <c r="P485" s="1"/>
      <c r="Q485" s="1"/>
      <c r="R485" s="1"/>
      <c r="S485" s="1"/>
      <c r="T485" s="1"/>
      <c r="U485" s="1"/>
      <c r="V485" s="1"/>
      <c r="W485" s="1"/>
      <c r="X485" s="1"/>
      <c r="Y485" s="1"/>
      <c r="Z485" s="1"/>
      <c r="AA485" s="1"/>
    </row>
    <row r="486" ht="15.75" customHeight="1">
      <c r="A486" s="1" t="str">
        <f>IFERROR(__xludf.DUMMYFUNCTION("""COMPUTED_VALUE"""),"Gaia's Chestpiece")</f>
        <v>Gaia's Chestpiece</v>
      </c>
      <c r="B486" s="1" t="str">
        <f>IFERROR(__xludf.DUMMYFUNCTION("""COMPUTED_VALUE"""),"Mob Exclusive")</f>
        <v>Mob Exclusive</v>
      </c>
      <c r="C486" s="1"/>
      <c r="D486" s="1" t="str">
        <f>IFERROR(__xludf.DUMMYFUNCTION("""COMPUTED_VALUE"""),"Torso")</f>
        <v>Torso</v>
      </c>
      <c r="E486" s="1">
        <f>IFERROR(__xludf.DUMMYFUNCTION("""COMPUTED_VALUE"""),200.0)</f>
        <v>200</v>
      </c>
      <c r="F486" s="1" t="str">
        <f>IFERROR(__xludf.DUMMYFUNCTION("""COMPUTED_VALUE"""),"DEF: +100000, Fire DEF: +70000, Celestial DEF: +100000 ++X2 Earth Damage for self. ++X2 Defense for self")</f>
        <v>DEF: +100000, Fire DEF: +70000, Celestial DEF: +100000 ++X2 Earth Damage for self. ++X2 Defense for self</v>
      </c>
      <c r="G486" s="1">
        <f>IFERROR(__xludf.DUMMYFUNCTION("""COMPUTED_VALUE"""),1.4553E9)</f>
        <v>1455300000</v>
      </c>
      <c r="H486" s="1"/>
      <c r="I486" s="1"/>
      <c r="J486" s="1"/>
      <c r="K486" s="1"/>
      <c r="L486" s="1"/>
      <c r="M486" s="1"/>
      <c r="N486" s="1"/>
      <c r="O486" s="1"/>
      <c r="P486" s="1"/>
      <c r="Q486" s="1"/>
      <c r="R486" s="1"/>
      <c r="S486" s="1"/>
      <c r="T486" s="1"/>
      <c r="U486" s="1"/>
      <c r="V486" s="1"/>
      <c r="W486" s="1"/>
      <c r="X486" s="1"/>
      <c r="Y486" s="1"/>
      <c r="Z486" s="1"/>
      <c r="AA486" s="1"/>
    </row>
    <row r="487" ht="15.75" customHeight="1">
      <c r="A487" s="1" t="str">
        <f>IFERROR(__xludf.DUMMYFUNCTION("""COMPUTED_VALUE"""),"Gaia's Ring")</f>
        <v>Gaia's Ring</v>
      </c>
      <c r="B487" s="1" t="str">
        <f>IFERROR(__xludf.DUMMYFUNCTION("""COMPUTED_VALUE"""),"Mob Exclusive")</f>
        <v>Mob Exclusive</v>
      </c>
      <c r="C487" s="1"/>
      <c r="D487" s="1" t="str">
        <f>IFERROR(__xludf.DUMMYFUNCTION("""COMPUTED_VALUE"""),"Ring")</f>
        <v>Ring</v>
      </c>
      <c r="E487" s="1">
        <f>IFERROR(__xludf.DUMMYFUNCTION("""COMPUTED_VALUE"""),1.0)</f>
        <v>1</v>
      </c>
      <c r="F487" s="1" t="str">
        <f>IFERROR(__xludf.DUMMYFUNCTION("""COMPUTED_VALUE""")," ++X4 defense for self and allies, 50 sp")</f>
        <v> ++X4 defense for self and allies, 50 sp</v>
      </c>
      <c r="G487" s="1">
        <f>IFERROR(__xludf.DUMMYFUNCTION("""COMPUTED_VALUE"""),0.0)</f>
        <v>0</v>
      </c>
      <c r="H487" s="1"/>
      <c r="I487" s="1"/>
      <c r="J487" s="1"/>
      <c r="K487" s="1"/>
      <c r="L487" s="1"/>
      <c r="M487" s="1"/>
      <c r="N487" s="1"/>
      <c r="O487" s="1"/>
      <c r="P487" s="1"/>
      <c r="Q487" s="1"/>
      <c r="R487" s="1"/>
      <c r="S487" s="1"/>
      <c r="T487" s="1"/>
      <c r="U487" s="1"/>
      <c r="V487" s="1"/>
      <c r="W487" s="1"/>
      <c r="X487" s="1"/>
      <c r="Y487" s="1"/>
      <c r="Z487" s="1"/>
      <c r="AA487" s="1"/>
    </row>
    <row r="488" ht="15.75" customHeight="1">
      <c r="A488" s="1" t="str">
        <f>IFERROR(__xludf.DUMMYFUNCTION("""COMPUTED_VALUE"""),"Paladin of Gaia's Bucket helm of Tenacity")</f>
        <v>Paladin of Gaia's Bucket helm of Tenacity</v>
      </c>
      <c r="B488" s="1" t="str">
        <f>IFERROR(__xludf.DUMMYFUNCTION("""COMPUTED_VALUE"""),"Quest Item")</f>
        <v>Quest Item</v>
      </c>
      <c r="C488" s="1"/>
      <c r="D488" s="1" t="str">
        <f>IFERROR(__xludf.DUMMYFUNCTION("""COMPUTED_VALUE"""),"Head")</f>
        <v>Head</v>
      </c>
      <c r="E488" s="1">
        <f>IFERROR(__xludf.DUMMYFUNCTION("""COMPUTED_VALUE"""),200.0)</f>
        <v>200</v>
      </c>
      <c r="F488" s="1"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
        <f>IFERROR(__xludf.DUMMYFUNCTION("""COMPUTED_VALUE"""),1.272E8)</f>
        <v>127200000</v>
      </c>
      <c r="H488" s="1"/>
      <c r="I488" s="1"/>
      <c r="J488" s="1"/>
      <c r="K488" s="1"/>
      <c r="L488" s="1"/>
      <c r="M488" s="1"/>
      <c r="N488" s="1"/>
      <c r="O488" s="1"/>
      <c r="P488" s="1"/>
      <c r="Q488" s="1"/>
      <c r="R488" s="1"/>
      <c r="S488" s="1"/>
      <c r="T488" s="1"/>
      <c r="U488" s="1"/>
      <c r="V488" s="1"/>
      <c r="W488" s="1"/>
      <c r="X488" s="1"/>
      <c r="Y488" s="1"/>
      <c r="Z488" s="1"/>
      <c r="AA488" s="1"/>
    </row>
    <row r="489" ht="15.75" customHeight="1">
      <c r="A489" s="1" t="str">
        <f>IFERROR(__xludf.DUMMYFUNCTION("""COMPUTED_VALUE"""),"Paladin of Gaia's Stone Pauldrons")</f>
        <v>Paladin of Gaia's Stone Pauldrons</v>
      </c>
      <c r="B489" s="1" t="str">
        <f>IFERROR(__xludf.DUMMYFUNCTION("""COMPUTED_VALUE"""),"Quest Item")</f>
        <v>Quest Item</v>
      </c>
      <c r="C489" s="1"/>
      <c r="D489" s="1" t="str">
        <f>IFERROR(__xludf.DUMMYFUNCTION("""COMPUTED_VALUE"""),"Shoulders")</f>
        <v>Shoulders</v>
      </c>
      <c r="E489" s="1">
        <f>IFERROR(__xludf.DUMMYFUNCTION("""COMPUTED_VALUE"""),200.0)</f>
        <v>200</v>
      </c>
      <c r="F489" s="1"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
        <f>IFERROR(__xludf.DUMMYFUNCTION("""COMPUTED_VALUE"""),1.272E8)</f>
        <v>127200000</v>
      </c>
      <c r="H489" s="1"/>
      <c r="I489" s="1"/>
      <c r="J489" s="1"/>
      <c r="K489" s="1"/>
      <c r="L489" s="1"/>
      <c r="M489" s="1"/>
      <c r="N489" s="1"/>
      <c r="O489" s="1"/>
      <c r="P489" s="1"/>
      <c r="Q489" s="1"/>
      <c r="R489" s="1"/>
      <c r="S489" s="1"/>
      <c r="T489" s="1"/>
      <c r="U489" s="1"/>
      <c r="V489" s="1"/>
      <c r="W489" s="1"/>
      <c r="X489" s="1"/>
      <c r="Y489" s="1"/>
      <c r="Z489" s="1"/>
      <c r="AA489" s="1"/>
    </row>
    <row r="490" ht="15.75" customHeight="1">
      <c r="A490" s="1" t="str">
        <f>IFERROR(__xludf.DUMMYFUNCTION("""COMPUTED_VALUE"""),"Paladin of Gaia's Emblazoned Chestpiece")</f>
        <v>Paladin of Gaia's Emblazoned Chestpiece</v>
      </c>
      <c r="B490" s="1" t="str">
        <f>IFERROR(__xludf.DUMMYFUNCTION("""COMPUTED_VALUE"""),"Quest Item")</f>
        <v>Quest Item</v>
      </c>
      <c r="C490" s="1"/>
      <c r="D490" s="1" t="str">
        <f>IFERROR(__xludf.DUMMYFUNCTION("""COMPUTED_VALUE"""),"Torso")</f>
        <v>Torso</v>
      </c>
      <c r="E490" s="1">
        <f>IFERROR(__xludf.DUMMYFUNCTION("""COMPUTED_VALUE"""),200.0)</f>
        <v>200</v>
      </c>
      <c r="F490" s="1"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
        <f>IFERROR(__xludf.DUMMYFUNCTION("""COMPUTED_VALUE"""),7.201E8)</f>
        <v>720100000</v>
      </c>
      <c r="H490" s="1"/>
      <c r="I490" s="1"/>
      <c r="J490" s="1"/>
      <c r="K490" s="1"/>
      <c r="L490" s="1"/>
      <c r="M490" s="1"/>
      <c r="N490" s="1"/>
      <c r="O490" s="1"/>
      <c r="P490" s="1"/>
      <c r="Q490" s="1"/>
      <c r="R490" s="1"/>
      <c r="S490" s="1"/>
      <c r="T490" s="1"/>
      <c r="U490" s="1"/>
      <c r="V490" s="1"/>
      <c r="W490" s="1"/>
      <c r="X490" s="1"/>
      <c r="Y490" s="1"/>
      <c r="Z490" s="1"/>
      <c r="AA490" s="1"/>
    </row>
    <row r="491" ht="15.75" customHeight="1">
      <c r="A491" s="1" t="str">
        <f>IFERROR(__xludf.DUMMYFUNCTION("""COMPUTED_VALUE"""),"Paladin of Gaia's Vambraces")</f>
        <v>Paladin of Gaia's Vambraces</v>
      </c>
      <c r="B491" s="1" t="str">
        <f>IFERROR(__xludf.DUMMYFUNCTION("""COMPUTED_VALUE"""),"Quest Item")</f>
        <v>Quest Item</v>
      </c>
      <c r="C491" s="1"/>
      <c r="D491" s="1" t="str">
        <f>IFERROR(__xludf.DUMMYFUNCTION("""COMPUTED_VALUE"""),"Arms")</f>
        <v>Arms</v>
      </c>
      <c r="E491" s="1">
        <f>IFERROR(__xludf.DUMMYFUNCTION("""COMPUTED_VALUE"""),200.0)</f>
        <v>200</v>
      </c>
      <c r="F491" s="1"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
        <f>IFERROR(__xludf.DUMMYFUNCTION("""COMPUTED_VALUE"""),1.272E8)</f>
        <v>127200000</v>
      </c>
      <c r="H491" s="1"/>
      <c r="I491" s="1"/>
      <c r="J491" s="1"/>
      <c r="K491" s="1"/>
      <c r="L491" s="1"/>
      <c r="M491" s="1"/>
      <c r="N491" s="1"/>
      <c r="O491" s="1"/>
      <c r="P491" s="1"/>
      <c r="Q491" s="1"/>
      <c r="R491" s="1"/>
      <c r="S491" s="1"/>
      <c r="T491" s="1"/>
      <c r="U491" s="1"/>
      <c r="V491" s="1"/>
      <c r="W491" s="1"/>
      <c r="X491" s="1"/>
      <c r="Y491" s="1"/>
      <c r="Z491" s="1"/>
      <c r="AA491" s="1"/>
    </row>
    <row r="492" ht="15.75" customHeight="1">
      <c r="A492" s="1" t="str">
        <f>IFERROR(__xludf.DUMMYFUNCTION("""COMPUTED_VALUE"""),"Paladin of Gaia's Plate Chausses")</f>
        <v>Paladin of Gaia's Plate Chausses</v>
      </c>
      <c r="B492" s="1" t="str">
        <f>IFERROR(__xludf.DUMMYFUNCTION("""COMPUTED_VALUE"""),"Quest Item")</f>
        <v>Quest Item</v>
      </c>
      <c r="C492" s="1"/>
      <c r="D492" s="1" t="str">
        <f>IFERROR(__xludf.DUMMYFUNCTION("""COMPUTED_VALUE"""),"Legs")</f>
        <v>Legs</v>
      </c>
      <c r="E492" s="1">
        <f>IFERROR(__xludf.DUMMYFUNCTION("""COMPUTED_VALUE"""),200.0)</f>
        <v>200</v>
      </c>
      <c r="F492" s="1"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
        <f>IFERROR(__xludf.DUMMYFUNCTION("""COMPUTED_VALUE"""),1.272E8)</f>
        <v>127200000</v>
      </c>
      <c r="H492" s="1"/>
      <c r="I492" s="1"/>
      <c r="J492" s="1"/>
      <c r="K492" s="1"/>
      <c r="L492" s="1"/>
      <c r="M492" s="1"/>
      <c r="N492" s="1"/>
      <c r="O492" s="1"/>
      <c r="P492" s="1"/>
      <c r="Q492" s="1"/>
      <c r="R492" s="1"/>
      <c r="S492" s="1"/>
      <c r="T492" s="1"/>
      <c r="U492" s="1"/>
      <c r="V492" s="1"/>
      <c r="W492" s="1"/>
      <c r="X492" s="1"/>
      <c r="Y492" s="1"/>
      <c r="Z492" s="1"/>
      <c r="AA492" s="1"/>
    </row>
    <row r="493" ht="15.75" customHeight="1">
      <c r="A493" s="1" t="str">
        <f>IFERROR(__xludf.DUMMYFUNCTION("""COMPUTED_VALUE"""),"Paladin of Gaia's Sabatons")</f>
        <v>Paladin of Gaia's Sabatons</v>
      </c>
      <c r="B493" s="1" t="str">
        <f>IFERROR(__xludf.DUMMYFUNCTION("""COMPUTED_VALUE"""),"Quest Item")</f>
        <v>Quest Item</v>
      </c>
      <c r="C493" s="1"/>
      <c r="D493" s="1" t="str">
        <f>IFERROR(__xludf.DUMMYFUNCTION("""COMPUTED_VALUE"""),"Feet")</f>
        <v>Feet</v>
      </c>
      <c r="E493" s="1">
        <f>IFERROR(__xludf.DUMMYFUNCTION("""COMPUTED_VALUE"""),200.0)</f>
        <v>200</v>
      </c>
      <c r="F493" s="1"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
        <f>IFERROR(__xludf.DUMMYFUNCTION("""COMPUTED_VALUE"""),1.272E8)</f>
        <v>127200000</v>
      </c>
      <c r="H493" s="1"/>
      <c r="I493" s="1"/>
      <c r="J493" s="1"/>
      <c r="K493" s="1"/>
      <c r="L493" s="1"/>
      <c r="M493" s="1"/>
      <c r="N493" s="1"/>
      <c r="O493" s="1"/>
      <c r="P493" s="1"/>
      <c r="Q493" s="1"/>
      <c r="R493" s="1"/>
      <c r="S493" s="1"/>
      <c r="T493" s="1"/>
      <c r="U493" s="1"/>
      <c r="V493" s="1"/>
      <c r="W493" s="1"/>
      <c r="X493" s="1"/>
      <c r="Y493" s="1"/>
      <c r="Z493" s="1"/>
      <c r="AA493" s="1"/>
    </row>
    <row r="494" ht="15.75" customHeight="1">
      <c r="A494" s="1" t="str">
        <f>IFERROR(__xludf.DUMMYFUNCTION("""COMPUTED_VALUE"""),"Paladin of Gaia's Ruby Ring")</f>
        <v>Paladin of Gaia's Ruby Ring</v>
      </c>
      <c r="B494" s="1" t="str">
        <f>IFERROR(__xludf.DUMMYFUNCTION("""COMPUTED_VALUE"""),"Quest Item")</f>
        <v>Quest Item</v>
      </c>
      <c r="C494" s="1"/>
      <c r="D494" s="1" t="str">
        <f>IFERROR(__xludf.DUMMYFUNCTION("""COMPUTED_VALUE"""),"Ring")</f>
        <v>Ring</v>
      </c>
      <c r="E494" s="1">
        <f>IFERROR(__xludf.DUMMYFUNCTION("""COMPUTED_VALUE"""),1.0)</f>
        <v>1</v>
      </c>
      <c r="F494" s="1"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
        <f>IFERROR(__xludf.DUMMYFUNCTION("""COMPUTED_VALUE"""),0.0)</f>
        <v>0</v>
      </c>
      <c r="H494" s="1"/>
      <c r="I494" s="1"/>
      <c r="J494" s="1"/>
      <c r="K494" s="1"/>
      <c r="L494" s="1"/>
      <c r="M494" s="1"/>
      <c r="N494" s="1"/>
      <c r="O494" s="1"/>
      <c r="P494" s="1"/>
      <c r="Q494" s="1"/>
      <c r="R494" s="1"/>
      <c r="S494" s="1"/>
      <c r="T494" s="1"/>
      <c r="U494" s="1"/>
      <c r="V494" s="1"/>
      <c r="W494" s="1"/>
      <c r="X494" s="1"/>
      <c r="Y494" s="1"/>
      <c r="Z494" s="1"/>
      <c r="AA494" s="1"/>
    </row>
    <row r="495" ht="15.75" customHeight="1">
      <c r="A495" s="1" t="str">
        <f>IFERROR(__xludf.DUMMYFUNCTION("""COMPUTED_VALUE"""),"Paladin of Gaia's Emerald Pendant")</f>
        <v>Paladin of Gaia's Emerald Pendant</v>
      </c>
      <c r="B495" s="1" t="str">
        <f>IFERROR(__xludf.DUMMYFUNCTION("""COMPUTED_VALUE"""),"Quest Item")</f>
        <v>Quest Item</v>
      </c>
      <c r="C495" s="1"/>
      <c r="D495" s="1" t="str">
        <f>IFERROR(__xludf.DUMMYFUNCTION("""COMPUTED_VALUE"""),"Neck")</f>
        <v>Neck</v>
      </c>
      <c r="E495" s="1">
        <f>IFERROR(__xludf.DUMMYFUNCTION("""COMPUTED_VALUE"""),1.0)</f>
        <v>1</v>
      </c>
      <c r="F495" s="1"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
        <f>IFERROR(__xludf.DUMMYFUNCTION("""COMPUTED_VALUE"""),0.0)</f>
        <v>0</v>
      </c>
      <c r="H495" s="1"/>
      <c r="I495" s="1"/>
      <c r="J495" s="1"/>
      <c r="K495" s="1"/>
      <c r="L495" s="1"/>
      <c r="M495" s="1"/>
      <c r="N495" s="1"/>
      <c r="O495" s="1"/>
      <c r="P495" s="1"/>
      <c r="Q495" s="1"/>
      <c r="R495" s="1"/>
      <c r="S495" s="1"/>
      <c r="T495" s="1"/>
      <c r="U495" s="1"/>
      <c r="V495" s="1"/>
      <c r="W495" s="1"/>
      <c r="X495" s="1"/>
      <c r="Y495" s="1"/>
      <c r="Z495" s="1"/>
      <c r="AA495" s="1"/>
    </row>
    <row r="496" ht="15.75" customHeight="1">
      <c r="A496" s="1" t="str">
        <f>IFERROR(__xludf.DUMMYFUNCTION("""COMPUTED_VALUE"""),"The Blacksmith's Forged Battleaxe ")</f>
        <v>The Blacksmith's Forged Battleaxe </v>
      </c>
      <c r="B496" s="1" t="str">
        <f>IFERROR(__xludf.DUMMYFUNCTION("""COMPUTED_VALUE"""),"Mob Exclusive")</f>
        <v>Mob Exclusive</v>
      </c>
      <c r="C496" s="1" t="str">
        <f>IFERROR(__xludf.DUMMYFUNCTION("""COMPUTED_VALUE"""),"Axe")</f>
        <v>Axe</v>
      </c>
      <c r="D496" s="1" t="str">
        <f>IFERROR(__xludf.DUMMYFUNCTION("""COMPUTED_VALUE"""),"Hand")</f>
        <v>Hand</v>
      </c>
      <c r="E496" s="1">
        <f>IFERROR(__xludf.DUMMYFUNCTION("""COMPUTED_VALUE"""),200.0)</f>
        <v>200</v>
      </c>
      <c r="F496" s="1"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
        <f>IFERROR(__xludf.DUMMYFUNCTION("""COMPUTED_VALUE"""),1.2475E9)</f>
        <v>1247500000</v>
      </c>
      <c r="H496" s="1"/>
      <c r="I496" s="1"/>
      <c r="J496" s="1"/>
      <c r="K496" s="1"/>
      <c r="L496" s="1"/>
      <c r="M496" s="1"/>
      <c r="N496" s="1"/>
      <c r="O496" s="1"/>
      <c r="P496" s="1"/>
      <c r="Q496" s="1"/>
      <c r="R496" s="1"/>
      <c r="S496" s="1"/>
      <c r="T496" s="1"/>
      <c r="U496" s="1"/>
      <c r="V496" s="1"/>
      <c r="W496" s="1"/>
      <c r="X496" s="1"/>
      <c r="Y496" s="1"/>
      <c r="Z496" s="1"/>
      <c r="AA496" s="1"/>
    </row>
    <row r="497" ht="15.75" customHeight="1">
      <c r="A497" s="1" t="str">
        <f>IFERROR(__xludf.DUMMYFUNCTION("""COMPUTED_VALUE"""),"The Blacksmith's Forged Sword")</f>
        <v>The Blacksmith's Forged Sword</v>
      </c>
      <c r="B497" s="1" t="str">
        <f>IFERROR(__xludf.DUMMYFUNCTION("""COMPUTED_VALUE"""),"Mob Exclusive")</f>
        <v>Mob Exclusive</v>
      </c>
      <c r="C497" s="1" t="str">
        <f>IFERROR(__xludf.DUMMYFUNCTION("""COMPUTED_VALUE"""),"Sword")</f>
        <v>Sword</v>
      </c>
      <c r="D497" s="1" t="str">
        <f>IFERROR(__xludf.DUMMYFUNCTION("""COMPUTED_VALUE"""),"Hand")</f>
        <v>Hand</v>
      </c>
      <c r="E497" s="1">
        <f>IFERROR(__xludf.DUMMYFUNCTION("""COMPUTED_VALUE"""),200.0)</f>
        <v>200</v>
      </c>
      <c r="F497" s="1"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
        <f>IFERROR(__xludf.DUMMYFUNCTION("""COMPUTED_VALUE"""),1.2475E9)</f>
        <v>1247500000</v>
      </c>
      <c r="H497" s="1"/>
      <c r="I497" s="1"/>
      <c r="J497" s="1"/>
      <c r="K497" s="1"/>
      <c r="L497" s="1"/>
      <c r="M497" s="1"/>
      <c r="N497" s="1"/>
      <c r="O497" s="1"/>
      <c r="P497" s="1"/>
      <c r="Q497" s="1"/>
      <c r="R497" s="1"/>
      <c r="S497" s="1"/>
      <c r="T497" s="1"/>
      <c r="U497" s="1"/>
      <c r="V497" s="1"/>
      <c r="W497" s="1"/>
      <c r="X497" s="1"/>
      <c r="Y497" s="1"/>
      <c r="Z497" s="1"/>
      <c r="AA497" s="1"/>
    </row>
    <row r="498" ht="15.75" customHeight="1">
      <c r="A498" s="1" t="str">
        <f>IFERROR(__xludf.DUMMYFUNCTION("""COMPUTED_VALUE"""),"The Blacksmith's Forged Helmet")</f>
        <v>The Blacksmith's Forged Helmet</v>
      </c>
      <c r="B498" s="1" t="str">
        <f>IFERROR(__xludf.DUMMYFUNCTION("""COMPUTED_VALUE"""),"Mob Exclusive")</f>
        <v>Mob Exclusive</v>
      </c>
      <c r="C498" s="1"/>
      <c r="D498" s="1" t="str">
        <f>IFERROR(__xludf.DUMMYFUNCTION("""COMPUTED_VALUE"""),"Head")</f>
        <v>Head</v>
      </c>
      <c r="E498" s="1">
        <f>IFERROR(__xludf.DUMMYFUNCTION("""COMPUTED_VALUE"""),4000.0)</f>
        <v>4000</v>
      </c>
      <c r="F498" s="1"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
        <f>IFERROR(__xludf.DUMMYFUNCTION("""COMPUTED_VALUE"""),7.98E8)</f>
        <v>798000000</v>
      </c>
      <c r="H498" s="1"/>
      <c r="I498" s="1"/>
      <c r="J498" s="1"/>
      <c r="K498" s="1"/>
      <c r="L498" s="1"/>
      <c r="M498" s="1"/>
      <c r="N498" s="1"/>
      <c r="O498" s="1"/>
      <c r="P498" s="1"/>
      <c r="Q498" s="1"/>
      <c r="R498" s="1"/>
      <c r="S498" s="1"/>
      <c r="T498" s="1"/>
      <c r="U498" s="1"/>
      <c r="V498" s="1"/>
      <c r="W498" s="1"/>
      <c r="X498" s="1"/>
      <c r="Y498" s="1"/>
      <c r="Z498" s="1"/>
      <c r="AA498" s="1"/>
    </row>
    <row r="499" ht="15.75" customHeight="1">
      <c r="A499" s="1" t="str">
        <f>IFERROR(__xludf.DUMMYFUNCTION("""COMPUTED_VALUE"""),"The Blacksmith's Forged Pauldrons")</f>
        <v>The Blacksmith's Forged Pauldrons</v>
      </c>
      <c r="B499" s="1" t="str">
        <f>IFERROR(__xludf.DUMMYFUNCTION("""COMPUTED_VALUE"""),"Mob Exclusive")</f>
        <v>Mob Exclusive</v>
      </c>
      <c r="C499" s="1"/>
      <c r="D499" s="1" t="str">
        <f>IFERROR(__xludf.DUMMYFUNCTION("""COMPUTED_VALUE"""),"Shoulders")</f>
        <v>Shoulders</v>
      </c>
      <c r="E499" s="1">
        <f>IFERROR(__xludf.DUMMYFUNCTION("""COMPUTED_VALUE"""),4000.0)</f>
        <v>4000</v>
      </c>
      <c r="F499" s="1"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
        <f>IFERROR(__xludf.DUMMYFUNCTION("""COMPUTED_VALUE"""),7.98E8)</f>
        <v>798000000</v>
      </c>
      <c r="H499" s="1"/>
      <c r="I499" s="1"/>
      <c r="J499" s="1"/>
      <c r="K499" s="1"/>
      <c r="L499" s="1"/>
      <c r="M499" s="1"/>
      <c r="N499" s="1"/>
      <c r="O499" s="1"/>
      <c r="P499" s="1"/>
      <c r="Q499" s="1"/>
      <c r="R499" s="1"/>
      <c r="S499" s="1"/>
      <c r="T499" s="1"/>
      <c r="U499" s="1"/>
      <c r="V499" s="1"/>
      <c r="W499" s="1"/>
      <c r="X499" s="1"/>
      <c r="Y499" s="1"/>
      <c r="Z499" s="1"/>
      <c r="AA499" s="1"/>
    </row>
    <row r="500" ht="15.75" customHeight="1">
      <c r="A500" s="1" t="str">
        <f>IFERROR(__xludf.DUMMYFUNCTION("""COMPUTED_VALUE"""),"The Blacksmith's Forged Vambraces")</f>
        <v>The Blacksmith's Forged Vambraces</v>
      </c>
      <c r="B500" s="1" t="str">
        <f>IFERROR(__xludf.DUMMYFUNCTION("""COMPUTED_VALUE"""),"Mob Exclusive")</f>
        <v>Mob Exclusive</v>
      </c>
      <c r="C500" s="1"/>
      <c r="D500" s="1" t="str">
        <f>IFERROR(__xludf.DUMMYFUNCTION("""COMPUTED_VALUE"""),"Arms")</f>
        <v>Arms</v>
      </c>
      <c r="E500" s="1">
        <f>IFERROR(__xludf.DUMMYFUNCTION("""COMPUTED_VALUE"""),4000.0)</f>
        <v>4000</v>
      </c>
      <c r="F500" s="1"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
        <f>IFERROR(__xludf.DUMMYFUNCTION("""COMPUTED_VALUE"""),7.98E8)</f>
        <v>798000000</v>
      </c>
      <c r="H500" s="1"/>
      <c r="I500" s="1"/>
      <c r="J500" s="1"/>
      <c r="K500" s="1"/>
      <c r="L500" s="1"/>
      <c r="M500" s="1"/>
      <c r="N500" s="1"/>
      <c r="O500" s="1"/>
      <c r="P500" s="1"/>
      <c r="Q500" s="1"/>
      <c r="R500" s="1"/>
      <c r="S500" s="1"/>
      <c r="T500" s="1"/>
      <c r="U500" s="1"/>
      <c r="V500" s="1"/>
      <c r="W500" s="1"/>
      <c r="X500" s="1"/>
      <c r="Y500" s="1"/>
      <c r="Z500" s="1"/>
      <c r="AA500" s="1"/>
    </row>
    <row r="501" ht="15.75" customHeight="1">
      <c r="A501" s="1" t="str">
        <f>IFERROR(__xludf.DUMMYFUNCTION("""COMPUTED_VALUE"""),"The Blacksmith's Forged Greaves")</f>
        <v>The Blacksmith's Forged Greaves</v>
      </c>
      <c r="B501" s="1" t="str">
        <f>IFERROR(__xludf.DUMMYFUNCTION("""COMPUTED_VALUE"""),"Mob Exclusive")</f>
        <v>Mob Exclusive</v>
      </c>
      <c r="C501" s="1"/>
      <c r="D501" s="1" t="str">
        <f>IFERROR(__xludf.DUMMYFUNCTION("""COMPUTED_VALUE"""),"Legs")</f>
        <v>Legs</v>
      </c>
      <c r="E501" s="1">
        <f>IFERROR(__xludf.DUMMYFUNCTION("""COMPUTED_VALUE"""),4000.0)</f>
        <v>4000</v>
      </c>
      <c r="F501" s="1"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
        <f>IFERROR(__xludf.DUMMYFUNCTION("""COMPUTED_VALUE"""),7.98E8)</f>
        <v>798000000</v>
      </c>
      <c r="H501" s="1"/>
      <c r="I501" s="1"/>
      <c r="J501" s="1"/>
      <c r="K501" s="1"/>
      <c r="L501" s="1"/>
      <c r="M501" s="1"/>
      <c r="N501" s="1"/>
      <c r="O501" s="1"/>
      <c r="P501" s="1"/>
      <c r="Q501" s="1"/>
      <c r="R501" s="1"/>
      <c r="S501" s="1"/>
      <c r="T501" s="1"/>
      <c r="U501" s="1"/>
      <c r="V501" s="1"/>
      <c r="W501" s="1"/>
      <c r="X501" s="1"/>
      <c r="Y501" s="1"/>
      <c r="Z501" s="1"/>
      <c r="AA501" s="1"/>
    </row>
    <row r="502" ht="15.75" customHeight="1">
      <c r="A502" s="1" t="str">
        <f>IFERROR(__xludf.DUMMYFUNCTION("""COMPUTED_VALUE"""),"The Blacksmith's Forged Sabatons")</f>
        <v>The Blacksmith's Forged Sabatons</v>
      </c>
      <c r="B502" s="1" t="str">
        <f>IFERROR(__xludf.DUMMYFUNCTION("""COMPUTED_VALUE"""),"Mob Exclusive")</f>
        <v>Mob Exclusive</v>
      </c>
      <c r="C502" s="1"/>
      <c r="D502" s="1" t="str">
        <f>IFERROR(__xludf.DUMMYFUNCTION("""COMPUTED_VALUE"""),"Feet")</f>
        <v>Feet</v>
      </c>
      <c r="E502" s="1">
        <f>IFERROR(__xludf.DUMMYFUNCTION("""COMPUTED_VALUE"""),4000.0)</f>
        <v>4000</v>
      </c>
      <c r="F502" s="1"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
        <f>IFERROR(__xludf.DUMMYFUNCTION("""COMPUTED_VALUE"""),7.98E8)</f>
        <v>798000000</v>
      </c>
      <c r="H502" s="1"/>
      <c r="I502" s="1"/>
      <c r="J502" s="1"/>
      <c r="K502" s="1"/>
      <c r="L502" s="1"/>
      <c r="M502" s="1"/>
      <c r="N502" s="1"/>
      <c r="O502" s="1"/>
      <c r="P502" s="1"/>
      <c r="Q502" s="1"/>
      <c r="R502" s="1"/>
      <c r="S502" s="1"/>
      <c r="T502" s="1"/>
      <c r="U502" s="1"/>
      <c r="V502" s="1"/>
      <c r="W502" s="1"/>
      <c r="X502" s="1"/>
      <c r="Y502" s="1"/>
      <c r="Z502" s="1"/>
      <c r="AA502" s="1"/>
    </row>
    <row r="503" ht="15.75" customHeight="1">
      <c r="A503" s="1" t="str">
        <f>IFERROR(__xludf.DUMMYFUNCTION("""COMPUTED_VALUE"""),"The Blacksmith's Forged Cuirasses")</f>
        <v>The Blacksmith's Forged Cuirasses</v>
      </c>
      <c r="B503" s="1" t="str">
        <f>IFERROR(__xludf.DUMMYFUNCTION("""COMPUTED_VALUE"""),"Mob Exclusive")</f>
        <v>Mob Exclusive</v>
      </c>
      <c r="C503" s="1"/>
      <c r="D503" s="1" t="str">
        <f>IFERROR(__xludf.DUMMYFUNCTION("""COMPUTED_VALUE"""),"Torso")</f>
        <v>Torso</v>
      </c>
      <c r="E503" s="1">
        <f>IFERROR(__xludf.DUMMYFUNCTION("""COMPUTED_VALUE"""),4000.0)</f>
        <v>4000</v>
      </c>
      <c r="F503" s="1"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
        <f>IFERROR(__xludf.DUMMYFUNCTION("""COMPUTED_VALUE"""),7.98E8)</f>
        <v>798000000</v>
      </c>
      <c r="H503" s="1"/>
      <c r="I503" s="1"/>
      <c r="J503" s="1"/>
      <c r="K503" s="1"/>
      <c r="L503" s="1"/>
      <c r="M503" s="1"/>
      <c r="N503" s="1"/>
      <c r="O503" s="1"/>
      <c r="P503" s="1"/>
      <c r="Q503" s="1"/>
      <c r="R503" s="1"/>
      <c r="S503" s="1"/>
      <c r="T503" s="1"/>
      <c r="U503" s="1"/>
      <c r="V503" s="1"/>
      <c r="W503" s="1"/>
      <c r="X503" s="1"/>
      <c r="Y503" s="1"/>
      <c r="Z503" s="1"/>
      <c r="AA503" s="1"/>
    </row>
    <row r="504" ht="15.75" customHeight="1">
      <c r="A504" s="1" t="str">
        <f>IFERROR(__xludf.DUMMYFUNCTION("""COMPUTED_VALUE"""),"The Blacksmith's Forged Ring")</f>
        <v>The Blacksmith's Forged Ring</v>
      </c>
      <c r="B504" s="1" t="str">
        <f>IFERROR(__xludf.DUMMYFUNCTION("""COMPUTED_VALUE"""),"Mob Exclusive")</f>
        <v>Mob Exclusive</v>
      </c>
      <c r="C504" s="1"/>
      <c r="D504" s="1" t="str">
        <f>IFERROR(__xludf.DUMMYFUNCTION("""COMPUTED_VALUE"""),"Ring")</f>
        <v>Ring</v>
      </c>
      <c r="E504" s="1">
        <f>IFERROR(__xludf.DUMMYFUNCTION("""COMPUTED_VALUE"""),1.0)</f>
        <v>1</v>
      </c>
      <c r="F504" s="1"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
        <f>IFERROR(__xludf.DUMMYFUNCTION("""COMPUTED_VALUE"""),0.0)</f>
        <v>0</v>
      </c>
      <c r="H504" s="1"/>
      <c r="I504" s="1"/>
      <c r="J504" s="1"/>
      <c r="K504" s="1"/>
      <c r="L504" s="1"/>
      <c r="M504" s="1"/>
      <c r="N504" s="1"/>
      <c r="O504" s="1"/>
      <c r="P504" s="1"/>
      <c r="Q504" s="1"/>
      <c r="R504" s="1"/>
      <c r="S504" s="1"/>
      <c r="T504" s="1"/>
      <c r="U504" s="1"/>
      <c r="V504" s="1"/>
      <c r="W504" s="1"/>
      <c r="X504" s="1"/>
      <c r="Y504" s="1"/>
      <c r="Z504" s="1"/>
      <c r="AA504" s="1"/>
    </row>
    <row r="505" ht="15.75" customHeight="1">
      <c r="A505" s="1" t="str">
        <f>IFERROR(__xludf.DUMMYFUNCTION("""COMPUTED_VALUE"""),"The Blacksmith's Forged Pendant")</f>
        <v>The Blacksmith's Forged Pendant</v>
      </c>
      <c r="B505" s="1" t="str">
        <f>IFERROR(__xludf.DUMMYFUNCTION("""COMPUTED_VALUE"""),"Mob Exclusive")</f>
        <v>Mob Exclusive</v>
      </c>
      <c r="C505" s="1"/>
      <c r="D505" s="1" t="str">
        <f>IFERROR(__xludf.DUMMYFUNCTION("""COMPUTED_VALUE"""),"Neck")</f>
        <v>Neck</v>
      </c>
      <c r="E505" s="1">
        <f>IFERROR(__xludf.DUMMYFUNCTION("""COMPUTED_VALUE"""),1.0)</f>
        <v>1</v>
      </c>
      <c r="F505" s="1"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
        <f>IFERROR(__xludf.DUMMYFUNCTION("""COMPUTED_VALUE"""),0.0)</f>
        <v>0</v>
      </c>
      <c r="H505" s="1"/>
      <c r="I505" s="1"/>
      <c r="J505" s="1"/>
      <c r="K505" s="1"/>
      <c r="L505" s="1"/>
      <c r="M505" s="1"/>
      <c r="N505" s="1"/>
      <c r="O505" s="1"/>
      <c r="P505" s="1"/>
      <c r="Q505" s="1"/>
      <c r="R505" s="1"/>
      <c r="S505" s="1"/>
      <c r="T505" s="1"/>
      <c r="U505" s="1"/>
      <c r="V505" s="1"/>
      <c r="W505" s="1"/>
      <c r="X505" s="1"/>
      <c r="Y505" s="1"/>
      <c r="Z505" s="1"/>
      <c r="AA505" s="1"/>
    </row>
    <row r="506" ht="15.75" customHeight="1">
      <c r="A506" s="1" t="str">
        <f>IFERROR(__xludf.DUMMYFUNCTION("""COMPUTED_VALUE"""),"The Blacksmith's Ring of Green Hatred")</f>
        <v>The Blacksmith's Ring of Green Hatred</v>
      </c>
      <c r="B506" s="1" t="str">
        <f>IFERROR(__xludf.DUMMYFUNCTION("""COMPUTED_VALUE"""),"Mob Exclusive")</f>
        <v>Mob Exclusive</v>
      </c>
      <c r="C506" s="1"/>
      <c r="D506" s="1" t="str">
        <f>IFERROR(__xludf.DUMMYFUNCTION("""COMPUTED_VALUE"""),"Ring")</f>
        <v>Ring</v>
      </c>
      <c r="E506" s="1">
        <f>IFERROR(__xludf.DUMMYFUNCTION("""COMPUTED_VALUE"""),1.0)</f>
        <v>1</v>
      </c>
      <c r="F506" s="1" t="str">
        <f>IFERROR(__xludf.DUMMYFUNCTION("""COMPUTED_VALUE""")," (Hephaestus' Set) ++All attacks deal X10 damage against any enemies with the starting town of Forest View.")</f>
        <v> (Hephaestus' Set) ++All attacks deal X10 damage against any enemies with the starting town of Forest View.</v>
      </c>
      <c r="G506" s="1">
        <f>IFERROR(__xludf.DUMMYFUNCTION("""COMPUTED_VALUE"""),0.0)</f>
        <v>0</v>
      </c>
      <c r="H506" s="1"/>
      <c r="I506" s="1"/>
      <c r="J506" s="1"/>
      <c r="K506" s="1"/>
      <c r="L506" s="1"/>
      <c r="M506" s="1"/>
      <c r="N506" s="1"/>
      <c r="O506" s="1"/>
      <c r="P506" s="1"/>
      <c r="Q506" s="1"/>
      <c r="R506" s="1"/>
      <c r="S506" s="1"/>
      <c r="T506" s="1"/>
      <c r="U506" s="1"/>
      <c r="V506" s="1"/>
      <c r="W506" s="1"/>
      <c r="X506" s="1"/>
      <c r="Y506" s="1"/>
      <c r="Z506" s="1"/>
      <c r="AA506" s="1"/>
    </row>
    <row r="507" ht="15.75" customHeight="1">
      <c r="A507" s="1" t="str">
        <f>IFERROR(__xludf.DUMMYFUNCTION("""COMPUTED_VALUE"""),"Ring o' Strength and Fire")</f>
        <v>Ring o' Strength and Fire</v>
      </c>
      <c r="B507" s="1"/>
      <c r="C507" s="1"/>
      <c r="D507" s="1" t="str">
        <f>IFERROR(__xludf.DUMMYFUNCTION("""COMPUTED_VALUE"""),"Ring")</f>
        <v>Ring</v>
      </c>
      <c r="E507" s="1">
        <f>IFERROR(__xludf.DUMMYFUNCTION("""COMPUTED_VALUE"""),1.0)</f>
        <v>1</v>
      </c>
      <c r="F507" s="1" t="str">
        <f>IFERROR(__xludf.DUMMYFUNCTION("""COMPUTED_VALUE""")," ++Grants immunity to fire. ++Grants X2 damage. +-Can only equip one +-Cannot be duplicated")</f>
        <v> ++Grants immunity to fire. ++Grants X2 damage. +-Can only equip one +-Cannot be duplicated</v>
      </c>
      <c r="G507" s="1">
        <f>IFERROR(__xludf.DUMMYFUNCTION("""COMPUTED_VALUE"""),0.0)</f>
        <v>0</v>
      </c>
      <c r="H507" s="1"/>
      <c r="I507" s="1"/>
      <c r="J507" s="1"/>
      <c r="K507" s="1"/>
      <c r="L507" s="1"/>
      <c r="M507" s="1"/>
      <c r="N507" s="1"/>
      <c r="O507" s="1"/>
      <c r="P507" s="1"/>
      <c r="Q507" s="1"/>
      <c r="R507" s="1"/>
      <c r="S507" s="1"/>
      <c r="T507" s="1"/>
      <c r="U507" s="1"/>
      <c r="V507" s="1"/>
      <c r="W507" s="1"/>
      <c r="X507" s="1"/>
      <c r="Y507" s="1"/>
      <c r="Z507" s="1"/>
      <c r="AA507" s="1"/>
    </row>
    <row r="508" ht="15.75" customHeight="1">
      <c r="A508" s="1" t="str">
        <f>IFERROR(__xludf.DUMMYFUNCTION("""COMPUTED_VALUE"""),"Ring o' Fortitude and Earth")</f>
        <v>Ring o' Fortitude and Earth</v>
      </c>
      <c r="B508" s="1"/>
      <c r="C508" s="1"/>
      <c r="D508" s="1" t="str">
        <f>IFERROR(__xludf.DUMMYFUNCTION("""COMPUTED_VALUE"""),"Ring")</f>
        <v>Ring</v>
      </c>
      <c r="E508" s="1">
        <f>IFERROR(__xludf.DUMMYFUNCTION("""COMPUTED_VALUE"""),1.0)</f>
        <v>1</v>
      </c>
      <c r="F508" s="1" t="str">
        <f>IFERROR(__xludf.DUMMYFUNCTION("""COMPUTED_VALUE""")," ++Grants immunity to Earth. ++Grants X2 Defense. +-Can only equip one +-Cannot be duplicated")</f>
        <v> ++Grants immunity to Earth. ++Grants X2 Defense. +-Can only equip one +-Cannot be duplicated</v>
      </c>
      <c r="G508" s="1">
        <f>IFERROR(__xludf.DUMMYFUNCTION("""COMPUTED_VALUE"""),0.0)</f>
        <v>0</v>
      </c>
      <c r="H508" s="1"/>
      <c r="I508" s="1"/>
      <c r="J508" s="1"/>
      <c r="K508" s="1"/>
      <c r="L508" s="1"/>
      <c r="M508" s="1"/>
      <c r="N508" s="1"/>
      <c r="O508" s="1"/>
      <c r="P508" s="1"/>
      <c r="Q508" s="1"/>
      <c r="R508" s="1"/>
      <c r="S508" s="1"/>
      <c r="T508" s="1"/>
      <c r="U508" s="1"/>
      <c r="V508" s="1"/>
      <c r="W508" s="1"/>
      <c r="X508" s="1"/>
      <c r="Y508" s="1"/>
      <c r="Z508" s="1"/>
      <c r="AA508" s="1"/>
    </row>
    <row r="509" ht="15.75" customHeight="1">
      <c r="A509" s="1" t="str">
        <f>IFERROR(__xludf.DUMMYFUNCTION("""COMPUTED_VALUE"""),"Ring o' Agility and Water")</f>
        <v>Ring o' Agility and Water</v>
      </c>
      <c r="B509" s="1"/>
      <c r="C509" s="1"/>
      <c r="D509" s="1" t="str">
        <f>IFERROR(__xludf.DUMMYFUNCTION("""COMPUTED_VALUE"""),"Ring")</f>
        <v>Ring</v>
      </c>
      <c r="E509" s="1">
        <f>IFERROR(__xludf.DUMMYFUNCTION("""COMPUTED_VALUE"""),1.0)</f>
        <v>1</v>
      </c>
      <c r="F509" s="1" t="str">
        <f>IFERROR(__xludf.DUMMYFUNCTION("""COMPUTED_VALUE""")," ++Grants Immunity to Water. ++Grants +5 to evasion. +-Can only equip one +-Cannot be duplicated")</f>
        <v> ++Grants Immunity to Water. ++Grants +5 to evasion. +-Can only equip one +-Cannot be duplicated</v>
      </c>
      <c r="G509" s="1">
        <f>IFERROR(__xludf.DUMMYFUNCTION("""COMPUTED_VALUE"""),0.0)</f>
        <v>0</v>
      </c>
      <c r="H509" s="1"/>
      <c r="I509" s="1"/>
      <c r="J509" s="1"/>
      <c r="K509" s="1"/>
      <c r="L509" s="1"/>
      <c r="M509" s="1"/>
      <c r="N509" s="1"/>
      <c r="O509" s="1"/>
      <c r="P509" s="1"/>
      <c r="Q509" s="1"/>
      <c r="R509" s="1"/>
      <c r="S509" s="1"/>
      <c r="T509" s="1"/>
      <c r="U509" s="1"/>
      <c r="V509" s="1"/>
      <c r="W509" s="1"/>
      <c r="X509" s="1"/>
      <c r="Y509" s="1"/>
      <c r="Z509" s="1"/>
      <c r="AA509" s="1"/>
    </row>
    <row r="510" ht="15.75" customHeight="1">
      <c r="A510" s="1" t="str">
        <f>IFERROR(__xludf.DUMMYFUNCTION("""COMPUTED_VALUE"""),"Ring o' Power and Delta")</f>
        <v>Ring o' Power and Delta</v>
      </c>
      <c r="B510" s="1"/>
      <c r="C510" s="1"/>
      <c r="D510" s="1" t="str">
        <f>IFERROR(__xludf.DUMMYFUNCTION("""COMPUTED_VALUE"""),"Ring")</f>
        <v>Ring</v>
      </c>
      <c r="E510" s="1">
        <f>IFERROR(__xludf.DUMMYFUNCTION("""COMPUTED_VALUE"""),1.0)</f>
        <v>1</v>
      </c>
      <c r="F510" s="1" t="str">
        <f>IFERROR(__xludf.DUMMYFUNCTION("""COMPUTED_VALUE""")," ++Grants X4 Delta damage. ++Take Half delta damage. +-Can only equip one +-Cannot be duplicated")</f>
        <v> ++Grants X4 Delta damage. ++Take Half delta damage. +-Can only equip one +-Cannot be duplicated</v>
      </c>
      <c r="G510" s="1">
        <f>IFERROR(__xludf.DUMMYFUNCTION("""COMPUTED_VALUE"""),0.0)</f>
        <v>0</v>
      </c>
      <c r="H510" s="1"/>
      <c r="I510" s="1"/>
      <c r="J510" s="1"/>
      <c r="K510" s="1"/>
      <c r="L510" s="1"/>
      <c r="M510" s="1"/>
      <c r="N510" s="1"/>
      <c r="O510" s="1"/>
      <c r="P510" s="1"/>
      <c r="Q510" s="1"/>
      <c r="R510" s="1"/>
      <c r="S510" s="1"/>
      <c r="T510" s="1"/>
      <c r="U510" s="1"/>
      <c r="V510" s="1"/>
      <c r="W510" s="1"/>
      <c r="X510" s="1"/>
      <c r="Y510" s="1"/>
      <c r="Z510" s="1"/>
      <c r="AA510" s="1"/>
    </row>
    <row r="511" ht="15.75" customHeight="1">
      <c r="A511" s="1" t="str">
        <f>IFERROR(__xludf.DUMMYFUNCTION("""COMPUTED_VALUE"""),"Ring o' Courage and Order")</f>
        <v>Ring o' Courage and Order</v>
      </c>
      <c r="B511" s="1"/>
      <c r="C511" s="1"/>
      <c r="D511" s="1" t="str">
        <f>IFERROR(__xludf.DUMMYFUNCTION("""COMPUTED_VALUE"""),"Ring")</f>
        <v>Ring</v>
      </c>
      <c r="E511" s="1">
        <f>IFERROR(__xludf.DUMMYFUNCTION("""COMPUTED_VALUE"""),1.0)</f>
        <v>1</v>
      </c>
      <c r="F511" s="1" t="str">
        <f>IFERROR(__xludf.DUMMYFUNCTION("""COMPUTED_VALUE""")," ++Grants Immunity to Order. ++Enemies halve their rolls when fleeing. +-Can only equip one +-Cannot be duplicated")</f>
        <v> ++Grants Immunity to Order. ++Enemies halve their rolls when fleeing. +-Can only equip one +-Cannot be duplicated</v>
      </c>
      <c r="G511" s="1">
        <f>IFERROR(__xludf.DUMMYFUNCTION("""COMPUTED_VALUE"""),0.0)</f>
        <v>0</v>
      </c>
      <c r="H511" s="1"/>
      <c r="I511" s="1"/>
      <c r="J511" s="1"/>
      <c r="K511" s="1"/>
      <c r="L511" s="1"/>
      <c r="M511" s="1"/>
      <c r="N511" s="1"/>
      <c r="O511" s="1"/>
      <c r="P511" s="1"/>
      <c r="Q511" s="1"/>
      <c r="R511" s="1"/>
      <c r="S511" s="1"/>
      <c r="T511" s="1"/>
      <c r="U511" s="1"/>
      <c r="V511" s="1"/>
      <c r="W511" s="1"/>
      <c r="X511" s="1"/>
      <c r="Y511" s="1"/>
      <c r="Z511" s="1"/>
      <c r="AA511" s="1"/>
    </row>
    <row r="512" ht="15.75" customHeight="1">
      <c r="A512" s="1" t="str">
        <f>IFERROR(__xludf.DUMMYFUNCTION("""COMPUTED_VALUE"""),"Ring o' Resilience and Physicality")</f>
        <v>Ring o' Resilience and Physicality</v>
      </c>
      <c r="B512" s="1"/>
      <c r="C512" s="1"/>
      <c r="D512" s="1" t="str">
        <f>IFERROR(__xludf.DUMMYFUNCTION("""COMPUTED_VALUE"""),"Ring")</f>
        <v>Ring</v>
      </c>
      <c r="E512" s="1">
        <f>IFERROR(__xludf.DUMMYFUNCTION("""COMPUTED_VALUE"""),1.0)</f>
        <v>1</v>
      </c>
      <c r="F512" s="1" t="str">
        <f>IFERROR(__xludf.DUMMYFUNCTION("""COMPUTED_VALUE""")," ++Grants Immunity to Natural attacks. ++Grants +5 Mobility. +-Can only equip one +-Cannot be duplicated")</f>
        <v> ++Grants Immunity to Natural attacks. ++Grants +5 Mobility. +-Can only equip one +-Cannot be duplicated</v>
      </c>
      <c r="G512" s="1">
        <f>IFERROR(__xludf.DUMMYFUNCTION("""COMPUTED_VALUE"""),0.0)</f>
        <v>0</v>
      </c>
      <c r="H512" s="1"/>
      <c r="I512" s="1"/>
      <c r="J512" s="1"/>
      <c r="K512" s="1"/>
      <c r="L512" s="1"/>
      <c r="M512" s="1"/>
      <c r="N512" s="1"/>
      <c r="O512" s="1"/>
      <c r="P512" s="1"/>
      <c r="Q512" s="1"/>
      <c r="R512" s="1"/>
      <c r="S512" s="1"/>
      <c r="T512" s="1"/>
      <c r="U512" s="1"/>
      <c r="V512" s="1"/>
      <c r="W512" s="1"/>
      <c r="X512" s="1"/>
      <c r="Y512" s="1"/>
      <c r="Z512" s="1"/>
      <c r="AA512" s="1"/>
    </row>
    <row r="513" ht="15.75" customHeight="1">
      <c r="A513" s="1" t="str">
        <f>IFERROR(__xludf.DUMMYFUNCTION("""COMPUTED_VALUE"""),"Ring o' Insanity and Chaos")</f>
        <v>Ring o' Insanity and Chaos</v>
      </c>
      <c r="B513" s="1"/>
      <c r="C513" s="1"/>
      <c r="D513" s="1" t="str">
        <f>IFERROR(__xludf.DUMMYFUNCTION("""COMPUTED_VALUE"""),"Ring")</f>
        <v>Ring</v>
      </c>
      <c r="E513" s="1">
        <f>IFERROR(__xludf.DUMMYFUNCTION("""COMPUTED_VALUE"""),1.0)</f>
        <v>1</v>
      </c>
      <c r="F513" s="1" t="str">
        <f>IFERROR(__xludf.DUMMYFUNCTION("""COMPUTED_VALUE""")," ++Grants Immunity to Chaos. +5 to Intimidation. +-Can only equip one +-Cannot be duplicated")</f>
        <v> ++Grants Immunity to Chaos. +5 to Intimidation. +-Can only equip one +-Cannot be duplicated</v>
      </c>
      <c r="G513" s="1">
        <f>IFERROR(__xludf.DUMMYFUNCTION("""COMPUTED_VALUE"""),0.0)</f>
        <v>0</v>
      </c>
      <c r="H513" s="1"/>
      <c r="I513" s="1"/>
      <c r="J513" s="1"/>
      <c r="K513" s="1"/>
      <c r="L513" s="1"/>
      <c r="M513" s="1"/>
      <c r="N513" s="1"/>
      <c r="O513" s="1"/>
      <c r="P513" s="1"/>
      <c r="Q513" s="1"/>
      <c r="R513" s="1"/>
      <c r="S513" s="1"/>
      <c r="T513" s="1"/>
      <c r="U513" s="1"/>
      <c r="V513" s="1"/>
      <c r="W513" s="1"/>
      <c r="X513" s="1"/>
      <c r="Y513" s="1"/>
      <c r="Z513" s="1"/>
      <c r="AA513" s="1"/>
    </row>
    <row r="514" ht="15.75" customHeight="1">
      <c r="A514" s="1" t="str">
        <f>IFERROR(__xludf.DUMMYFUNCTION("""COMPUTED_VALUE"""),"Ring o' Debonair and Light")</f>
        <v>Ring o' Debonair and Light</v>
      </c>
      <c r="B514" s="1"/>
      <c r="C514" s="1"/>
      <c r="D514" s="1" t="str">
        <f>IFERROR(__xludf.DUMMYFUNCTION("""COMPUTED_VALUE"""),"Ring")</f>
        <v>Ring</v>
      </c>
      <c r="E514" s="1">
        <f>IFERROR(__xludf.DUMMYFUNCTION("""COMPUTED_VALUE"""),1.0)</f>
        <v>1</v>
      </c>
      <c r="F514" s="1" t="str">
        <f>IFERROR(__xludf.DUMMYFUNCTION("""COMPUTED_VALUE""")," ++Grants Immunity to Light. +5 to Charisma. +-Can only equip one +-Cannot be duplicated")</f>
        <v> ++Grants Immunity to Light. +5 to Charisma. +-Can only equip one +-Cannot be duplicated</v>
      </c>
      <c r="G514" s="1">
        <f>IFERROR(__xludf.DUMMYFUNCTION("""COMPUTED_VALUE"""),0.0)</f>
        <v>0</v>
      </c>
      <c r="H514" s="1"/>
      <c r="I514" s="1"/>
      <c r="J514" s="1"/>
      <c r="K514" s="1"/>
      <c r="L514" s="1"/>
      <c r="M514" s="1"/>
      <c r="N514" s="1"/>
      <c r="O514" s="1"/>
      <c r="P514" s="1"/>
      <c r="Q514" s="1"/>
      <c r="R514" s="1"/>
      <c r="S514" s="1"/>
      <c r="T514" s="1"/>
      <c r="U514" s="1"/>
      <c r="V514" s="1"/>
      <c r="W514" s="1"/>
      <c r="X514" s="1"/>
      <c r="Y514" s="1"/>
      <c r="Z514" s="1"/>
      <c r="AA514" s="1"/>
    </row>
    <row r="515" ht="15.75" customHeight="1">
      <c r="A515" s="1" t="str">
        <f>IFERROR(__xludf.DUMMYFUNCTION("""COMPUTED_VALUE"""),"Ring o' Spite and Blood")</f>
        <v>Ring o' Spite and Blood</v>
      </c>
      <c r="B515" s="1"/>
      <c r="C515" s="1"/>
      <c r="D515" s="1" t="str">
        <f>IFERROR(__xludf.DUMMYFUNCTION("""COMPUTED_VALUE"""),"Ring")</f>
        <v>Ring</v>
      </c>
      <c r="E515" s="1">
        <f>IFERROR(__xludf.DUMMYFUNCTION("""COMPUTED_VALUE"""),1.0)</f>
        <v>1</v>
      </c>
      <c r="F515" s="1"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
        <f>IFERROR(__xludf.DUMMYFUNCTION("""COMPUTED_VALUE"""),0.0)</f>
        <v>0</v>
      </c>
      <c r="H515" s="1"/>
      <c r="I515" s="1"/>
      <c r="J515" s="1"/>
      <c r="K515" s="1"/>
      <c r="L515" s="1"/>
      <c r="M515" s="1"/>
      <c r="N515" s="1"/>
      <c r="O515" s="1"/>
      <c r="P515" s="1"/>
      <c r="Q515" s="1"/>
      <c r="R515" s="1"/>
      <c r="S515" s="1"/>
      <c r="T515" s="1"/>
      <c r="U515" s="1"/>
      <c r="V515" s="1"/>
      <c r="W515" s="1"/>
      <c r="X515" s="1"/>
      <c r="Y515" s="1"/>
      <c r="Z515" s="1"/>
      <c r="AA515" s="1"/>
    </row>
    <row r="516" ht="15.75" customHeight="1">
      <c r="A516" s="1" t="str">
        <f>IFERROR(__xludf.DUMMYFUNCTION("""COMPUTED_VALUE"""),"Ring o' Neurodivergence and Spirit")</f>
        <v>Ring o' Neurodivergence and Spirit</v>
      </c>
      <c r="B516" s="1"/>
      <c r="C516" s="1"/>
      <c r="D516" s="1" t="str">
        <f>IFERROR(__xludf.DUMMYFUNCTION("""COMPUTED_VALUE"""),"Ring")</f>
        <v>Ring</v>
      </c>
      <c r="E516" s="1">
        <f>IFERROR(__xludf.DUMMYFUNCTION("""COMPUTED_VALUE"""),1.0)</f>
        <v>1</v>
      </c>
      <c r="F516" s="1"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
        <f>IFERROR(__xludf.DUMMYFUNCTION("""COMPUTED_VALUE"""),0.0)</f>
        <v>0</v>
      </c>
      <c r="H516" s="1"/>
      <c r="I516" s="1"/>
      <c r="J516" s="1"/>
      <c r="K516" s="1"/>
      <c r="L516" s="1"/>
      <c r="M516" s="1"/>
      <c r="N516" s="1"/>
      <c r="O516" s="1"/>
      <c r="P516" s="1"/>
      <c r="Q516" s="1"/>
      <c r="R516" s="1"/>
      <c r="S516" s="1"/>
      <c r="T516" s="1"/>
      <c r="U516" s="1"/>
      <c r="V516" s="1"/>
      <c r="W516" s="1"/>
      <c r="X516" s="1"/>
      <c r="Y516" s="1"/>
      <c r="Z516" s="1"/>
      <c r="AA516" s="1"/>
    </row>
    <row r="517" ht="15.75" customHeight="1">
      <c r="A517" s="1" t="str">
        <f>IFERROR(__xludf.DUMMYFUNCTION("""COMPUTED_VALUE"""),"Ring o' Impassivity and Storm")</f>
        <v>Ring o' Impassivity and Storm</v>
      </c>
      <c r="B517" s="1"/>
      <c r="C517" s="1"/>
      <c r="D517" s="1" t="str">
        <f>IFERROR(__xludf.DUMMYFUNCTION("""COMPUTED_VALUE"""),"Ring")</f>
        <v>Ring</v>
      </c>
      <c r="E517" s="1">
        <f>IFERROR(__xludf.DUMMYFUNCTION("""COMPUTED_VALUE"""),1.0)</f>
        <v>1</v>
      </c>
      <c r="F517" s="1"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
        <f>IFERROR(__xludf.DUMMYFUNCTION("""COMPUTED_VALUE"""),0.0)</f>
        <v>0</v>
      </c>
      <c r="H517" s="1"/>
      <c r="I517" s="1"/>
      <c r="J517" s="1"/>
      <c r="K517" s="1"/>
      <c r="L517" s="1"/>
      <c r="M517" s="1"/>
      <c r="N517" s="1"/>
      <c r="O517" s="1"/>
      <c r="P517" s="1"/>
      <c r="Q517" s="1"/>
      <c r="R517" s="1"/>
      <c r="S517" s="1"/>
      <c r="T517" s="1"/>
      <c r="U517" s="1"/>
      <c r="V517" s="1"/>
      <c r="W517" s="1"/>
      <c r="X517" s="1"/>
      <c r="Y517" s="1"/>
      <c r="Z517" s="1"/>
      <c r="AA517" s="1"/>
    </row>
    <row r="518" ht="15.75" customHeight="1">
      <c r="A518" s="1" t="str">
        <f>IFERROR(__xludf.DUMMYFUNCTION("""COMPUTED_VALUE"""),"Ring o' Rigidity and Stasis")</f>
        <v>Ring o' Rigidity and Stasis</v>
      </c>
      <c r="B518" s="1"/>
      <c r="C518" s="1"/>
      <c r="D518" s="1" t="str">
        <f>IFERROR(__xludf.DUMMYFUNCTION("""COMPUTED_VALUE"""),"Ring")</f>
        <v>Ring</v>
      </c>
      <c r="E518" s="1">
        <f>IFERROR(__xludf.DUMMYFUNCTION("""COMPUTED_VALUE"""),1.0)</f>
        <v>1</v>
      </c>
      <c r="F518" s="1"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
        <f>IFERROR(__xludf.DUMMYFUNCTION("""COMPUTED_VALUE"""),0.0)</f>
        <v>0</v>
      </c>
      <c r="H518" s="1"/>
      <c r="I518" s="1"/>
      <c r="J518" s="1"/>
      <c r="K518" s="1"/>
      <c r="L518" s="1"/>
      <c r="M518" s="1"/>
      <c r="N518" s="1"/>
      <c r="O518" s="1"/>
      <c r="P518" s="1"/>
      <c r="Q518" s="1"/>
      <c r="R518" s="1"/>
      <c r="S518" s="1"/>
      <c r="T518" s="1"/>
      <c r="U518" s="1"/>
      <c r="V518" s="1"/>
      <c r="W518" s="1"/>
      <c r="X518" s="1"/>
      <c r="Y518" s="1"/>
      <c r="Z518" s="1"/>
      <c r="AA518" s="1"/>
    </row>
    <row r="519" ht="15.75" customHeight="1">
      <c r="A519" s="1" t="str">
        <f>IFERROR(__xludf.DUMMYFUNCTION("""COMPUTED_VALUE"""),"Ring o' Loyalty and Celestial")</f>
        <v>Ring o' Loyalty and Celestial</v>
      </c>
      <c r="B519" s="1"/>
      <c r="C519" s="1"/>
      <c r="D519" s="1" t="str">
        <f>IFERROR(__xludf.DUMMYFUNCTION("""COMPUTED_VALUE"""),"Ring")</f>
        <v>Ring</v>
      </c>
      <c r="E519" s="1">
        <f>IFERROR(__xludf.DUMMYFUNCTION("""COMPUTED_VALUE"""),1.0)</f>
        <v>1</v>
      </c>
      <c r="F519" s="1" t="str">
        <f>IFERROR(__xludf.DUMMYFUNCTION("""COMPUTED_VALUE""")," ++Grants X6 Celestial damage. Take half damage from celestial. +-Can only equip one +-Cannot be duplicated")</f>
        <v> ++Grants X6 Celestial damage. Take half damage from celestial. +-Can only equip one +-Cannot be duplicated</v>
      </c>
      <c r="G519" s="1">
        <f>IFERROR(__xludf.DUMMYFUNCTION("""COMPUTED_VALUE"""),0.0)</f>
        <v>0</v>
      </c>
      <c r="H519" s="1"/>
      <c r="I519" s="1"/>
      <c r="J519" s="1"/>
      <c r="K519" s="1"/>
      <c r="L519" s="1"/>
      <c r="M519" s="1"/>
      <c r="N519" s="1"/>
      <c r="O519" s="1"/>
      <c r="P519" s="1"/>
      <c r="Q519" s="1"/>
      <c r="R519" s="1"/>
      <c r="S519" s="1"/>
      <c r="T519" s="1"/>
      <c r="U519" s="1"/>
      <c r="V519" s="1"/>
      <c r="W519" s="1"/>
      <c r="X519" s="1"/>
      <c r="Y519" s="1"/>
      <c r="Z519" s="1"/>
      <c r="AA519" s="1"/>
    </row>
    <row r="520" ht="15.75" customHeight="1">
      <c r="A520" s="1" t="str">
        <f>IFERROR(__xludf.DUMMYFUNCTION("""COMPUTED_VALUE"""),"Ring o' Arrogance and Twilight")</f>
        <v>Ring o' Arrogance and Twilight</v>
      </c>
      <c r="B520" s="1"/>
      <c r="C520" s="1"/>
      <c r="D520" s="1" t="str">
        <f>IFERROR(__xludf.DUMMYFUNCTION("""COMPUTED_VALUE"""),"Ring")</f>
        <v>Ring</v>
      </c>
      <c r="E520" s="1">
        <f>IFERROR(__xludf.DUMMYFUNCTION("""COMPUTED_VALUE"""),1.0)</f>
        <v>1</v>
      </c>
      <c r="F520" s="1"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
        <f>IFERROR(__xludf.DUMMYFUNCTION("""COMPUTED_VALUE"""),0.0)</f>
        <v>0</v>
      </c>
      <c r="H520" s="1"/>
      <c r="I520" s="1"/>
      <c r="J520" s="1"/>
      <c r="K520" s="1"/>
      <c r="L520" s="1"/>
      <c r="M520" s="1"/>
      <c r="N520" s="1"/>
      <c r="O520" s="1"/>
      <c r="P520" s="1"/>
      <c r="Q520" s="1"/>
      <c r="R520" s="1"/>
      <c r="S520" s="1"/>
      <c r="T520" s="1"/>
      <c r="U520" s="1"/>
      <c r="V520" s="1"/>
      <c r="W520" s="1"/>
      <c r="X520" s="1"/>
      <c r="Y520" s="1"/>
      <c r="Z520" s="1"/>
      <c r="AA520" s="1"/>
    </row>
    <row r="521" ht="15.75" customHeight="1">
      <c r="A521" s="1" t="str">
        <f>IFERROR(__xludf.DUMMYFUNCTION("""COMPUTED_VALUE"""),"Ring o' Grace and Astral")</f>
        <v>Ring o' Grace and Astral</v>
      </c>
      <c r="B521" s="1"/>
      <c r="C521" s="1"/>
      <c r="D521" s="1" t="str">
        <f>IFERROR(__xludf.DUMMYFUNCTION("""COMPUTED_VALUE"""),"Ring")</f>
        <v>Ring</v>
      </c>
      <c r="E521" s="1">
        <f>IFERROR(__xludf.DUMMYFUNCTION("""COMPUTED_VALUE"""),1.0)</f>
        <v>1</v>
      </c>
      <c r="F521" s="1"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
        <f>IFERROR(__xludf.DUMMYFUNCTION("""COMPUTED_VALUE"""),0.0)</f>
        <v>0</v>
      </c>
      <c r="H521" s="1"/>
      <c r="I521" s="1"/>
      <c r="J521" s="1"/>
      <c r="K521" s="1"/>
      <c r="L521" s="1"/>
      <c r="M521" s="1"/>
      <c r="N521" s="1"/>
      <c r="O521" s="1"/>
      <c r="P521" s="1"/>
      <c r="Q521" s="1"/>
      <c r="R521" s="1"/>
      <c r="S521" s="1"/>
      <c r="T521" s="1"/>
      <c r="U521" s="1"/>
      <c r="V521" s="1"/>
      <c r="W521" s="1"/>
      <c r="X521" s="1"/>
      <c r="Y521" s="1"/>
      <c r="Z521" s="1"/>
      <c r="AA521" s="1"/>
    </row>
    <row r="522" ht="15.75" customHeight="1">
      <c r="A522" s="1" t="str">
        <f>IFERROR(__xludf.DUMMYFUNCTION("""COMPUTED_VALUE"""),"Ring o' Villainy and Voodoo")</f>
        <v>Ring o' Villainy and Voodoo</v>
      </c>
      <c r="B522" s="1"/>
      <c r="C522" s="1"/>
      <c r="D522" s="1" t="str">
        <f>IFERROR(__xludf.DUMMYFUNCTION("""COMPUTED_VALUE"""),"Ring")</f>
        <v>Ring</v>
      </c>
      <c r="E522" s="1">
        <f>IFERROR(__xludf.DUMMYFUNCTION("""COMPUTED_VALUE"""),1.0)</f>
        <v>1</v>
      </c>
      <c r="F522" s="1"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
        <f>IFERROR(__xludf.DUMMYFUNCTION("""COMPUTED_VALUE"""),0.0)</f>
        <v>0</v>
      </c>
      <c r="H522" s="1"/>
      <c r="I522" s="1"/>
      <c r="J522" s="1"/>
      <c r="K522" s="1"/>
      <c r="L522" s="1"/>
      <c r="M522" s="1"/>
      <c r="N522" s="1"/>
      <c r="O522" s="1"/>
      <c r="P522" s="1"/>
      <c r="Q522" s="1"/>
      <c r="R522" s="1"/>
      <c r="S522" s="1"/>
      <c r="T522" s="1"/>
      <c r="U522" s="1"/>
      <c r="V522" s="1"/>
      <c r="W522" s="1"/>
      <c r="X522" s="1"/>
      <c r="Y522" s="1"/>
      <c r="Z522" s="1"/>
      <c r="AA522" s="1"/>
    </row>
    <row r="523" ht="15.75" customHeight="1">
      <c r="A523" s="1" t="str">
        <f>IFERROR(__xludf.DUMMYFUNCTION("""COMPUTED_VALUE"""),"The Bow of The Verdant Forest")</f>
        <v>The Bow of The Verdant Forest</v>
      </c>
      <c r="B523" s="1" t="str">
        <f>IFERROR(__xludf.DUMMYFUNCTION("""COMPUTED_VALUE"""),"Quest Item")</f>
        <v>Quest Item</v>
      </c>
      <c r="C523" s="1"/>
      <c r="D523" s="1" t="str">
        <f>IFERROR(__xludf.DUMMYFUNCTION("""COMPUTED_VALUE"""),"Hand")</f>
        <v>Hand</v>
      </c>
      <c r="E523" s="1">
        <f>IFERROR(__xludf.DUMMYFUNCTION("""COMPUTED_VALUE"""),200.0)</f>
        <v>200</v>
      </c>
      <c r="F523" s="1"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
        <f>IFERROR(__xludf.DUMMYFUNCTION("""COMPUTED_VALUE"""),8.385E7)</f>
        <v>83850000</v>
      </c>
      <c r="H523" s="1"/>
      <c r="I523" s="1"/>
      <c r="J523" s="1"/>
      <c r="K523" s="1"/>
      <c r="L523" s="1"/>
      <c r="M523" s="1"/>
      <c r="N523" s="1"/>
      <c r="O523" s="1"/>
      <c r="P523" s="1"/>
      <c r="Q523" s="1"/>
      <c r="R523" s="1"/>
      <c r="S523" s="1"/>
      <c r="T523" s="1"/>
      <c r="U523" s="1"/>
      <c r="V523" s="1"/>
      <c r="W523" s="1"/>
      <c r="X523" s="1"/>
      <c r="Y523" s="1"/>
      <c r="Z523" s="1"/>
      <c r="AA523" s="1"/>
    </row>
    <row r="524" ht="15.75" customHeight="1">
      <c r="A524" s="1" t="str">
        <f>IFERROR(__xludf.DUMMYFUNCTION("""COMPUTED_VALUE"""),"Enchanted Wooden Buckler of The Verdant Forest")</f>
        <v>Enchanted Wooden Buckler of The Verdant Forest</v>
      </c>
      <c r="B524" s="1" t="str">
        <f>IFERROR(__xludf.DUMMYFUNCTION("""COMPUTED_VALUE"""),"Quest Item")</f>
        <v>Quest Item</v>
      </c>
      <c r="C524" s="1"/>
      <c r="D524" s="1" t="str">
        <f>IFERROR(__xludf.DUMMYFUNCTION("""COMPUTED_VALUE"""),"Hand")</f>
        <v>Hand</v>
      </c>
      <c r="E524" s="1">
        <f>IFERROR(__xludf.DUMMYFUNCTION("""COMPUTED_VALUE"""),200.0)</f>
        <v>200</v>
      </c>
      <c r="F524" s="1"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
        <f>IFERROR(__xludf.DUMMYFUNCTION("""COMPUTED_VALUE"""),3.1125E8)</f>
        <v>311250000</v>
      </c>
      <c r="H524" s="1"/>
      <c r="I524" s="1"/>
      <c r="J524" s="1"/>
      <c r="K524" s="1"/>
      <c r="L524" s="1"/>
      <c r="M524" s="1"/>
      <c r="N524" s="1"/>
      <c r="O524" s="1"/>
      <c r="P524" s="1"/>
      <c r="Q524" s="1"/>
      <c r="R524" s="1"/>
      <c r="S524" s="1"/>
      <c r="T524" s="1"/>
      <c r="U524" s="1"/>
      <c r="V524" s="1"/>
      <c r="W524" s="1"/>
      <c r="X524" s="1"/>
      <c r="Y524" s="1"/>
      <c r="Z524" s="1"/>
      <c r="AA524" s="1"/>
    </row>
    <row r="525" ht="15.75" customHeight="1">
      <c r="A525" s="1" t="str">
        <f>IFERROR(__xludf.DUMMYFUNCTION("""COMPUTED_VALUE"""),"Cowl of the Eagle's Sight")</f>
        <v>Cowl of the Eagle's Sight</v>
      </c>
      <c r="B525" s="1" t="str">
        <f>IFERROR(__xludf.DUMMYFUNCTION("""COMPUTED_VALUE"""),"Quest Item")</f>
        <v>Quest Item</v>
      </c>
      <c r="C525" s="1"/>
      <c r="D525" s="1" t="str">
        <f>IFERROR(__xludf.DUMMYFUNCTION("""COMPUTED_VALUE"""),"Head")</f>
        <v>Head</v>
      </c>
      <c r="E525" s="1">
        <f>IFERROR(__xludf.DUMMYFUNCTION("""COMPUTED_VALUE"""),200.0)</f>
        <v>200</v>
      </c>
      <c r="F525" s="1"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
        <f>IFERROR(__xludf.DUMMYFUNCTION("""COMPUTED_VALUE"""),4.95E7)</f>
        <v>49500000</v>
      </c>
      <c r="H525" s="1"/>
      <c r="I525" s="1"/>
      <c r="J525" s="1"/>
      <c r="K525" s="1"/>
      <c r="L525" s="1"/>
      <c r="M525" s="1"/>
      <c r="N525" s="1"/>
      <c r="O525" s="1"/>
      <c r="P525" s="1"/>
      <c r="Q525" s="1"/>
      <c r="R525" s="1"/>
      <c r="S525" s="1"/>
      <c r="T525" s="1"/>
      <c r="U525" s="1"/>
      <c r="V525" s="1"/>
      <c r="W525" s="1"/>
      <c r="X525" s="1"/>
      <c r="Y525" s="1"/>
      <c r="Z525" s="1"/>
      <c r="AA525" s="1"/>
    </row>
    <row r="526" ht="15.75" customHeight="1">
      <c r="A526" s="1" t="str">
        <f>IFERROR(__xludf.DUMMYFUNCTION("""COMPUTED_VALUE"""),"Ailettes of the Forest's Splendor")</f>
        <v>Ailettes of the Forest's Splendor</v>
      </c>
      <c r="B526" s="1" t="str">
        <f>IFERROR(__xludf.DUMMYFUNCTION("""COMPUTED_VALUE"""),"Quest Item")</f>
        <v>Quest Item</v>
      </c>
      <c r="C526" s="1"/>
      <c r="D526" s="1" t="str">
        <f>IFERROR(__xludf.DUMMYFUNCTION("""COMPUTED_VALUE"""),"Shoulders")</f>
        <v>Shoulders</v>
      </c>
      <c r="E526" s="1">
        <f>IFERROR(__xludf.DUMMYFUNCTION("""COMPUTED_VALUE"""),200.0)</f>
        <v>200</v>
      </c>
      <c r="F526" s="1"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
        <f>IFERROR(__xludf.DUMMYFUNCTION("""COMPUTED_VALUE"""),4.95E7)</f>
        <v>49500000</v>
      </c>
      <c r="H526" s="1"/>
      <c r="I526" s="1"/>
      <c r="J526" s="1"/>
      <c r="K526" s="1"/>
      <c r="L526" s="1"/>
      <c r="M526" s="1"/>
      <c r="N526" s="1"/>
      <c r="O526" s="1"/>
      <c r="P526" s="1"/>
      <c r="Q526" s="1"/>
      <c r="R526" s="1"/>
      <c r="S526" s="1"/>
      <c r="T526" s="1"/>
      <c r="U526" s="1"/>
      <c r="V526" s="1"/>
      <c r="W526" s="1"/>
      <c r="X526" s="1"/>
      <c r="Y526" s="1"/>
      <c r="Z526" s="1"/>
      <c r="AA526" s="1"/>
    </row>
    <row r="527" ht="15.75" customHeight="1">
      <c r="A527" s="1" t="str">
        <f>IFERROR(__xludf.DUMMYFUNCTION("""COMPUTED_VALUE"""),"Bracer of Trueshot")</f>
        <v>Bracer of Trueshot</v>
      </c>
      <c r="B527" s="1" t="str">
        <f>IFERROR(__xludf.DUMMYFUNCTION("""COMPUTED_VALUE"""),"Quest Item")</f>
        <v>Quest Item</v>
      </c>
      <c r="C527" s="1"/>
      <c r="D527" s="1" t="str">
        <f>IFERROR(__xludf.DUMMYFUNCTION("""COMPUTED_VALUE"""),"Arms")</f>
        <v>Arms</v>
      </c>
      <c r="E527" s="1">
        <f>IFERROR(__xludf.DUMMYFUNCTION("""COMPUTED_VALUE"""),200.0)</f>
        <v>200</v>
      </c>
      <c r="F527" s="1"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
        <f>IFERROR(__xludf.DUMMYFUNCTION("""COMPUTED_VALUE"""),4.95E7)</f>
        <v>49500000</v>
      </c>
      <c r="H527" s="1"/>
      <c r="I527" s="1"/>
      <c r="J527" s="1"/>
      <c r="K527" s="1"/>
      <c r="L527" s="1"/>
      <c r="M527" s="1"/>
      <c r="N527" s="1"/>
      <c r="O527" s="1"/>
      <c r="P527" s="1"/>
      <c r="Q527" s="1"/>
      <c r="R527" s="1"/>
      <c r="S527" s="1"/>
      <c r="T527" s="1"/>
      <c r="U527" s="1"/>
      <c r="V527" s="1"/>
      <c r="W527" s="1"/>
      <c r="X527" s="1"/>
      <c r="Y527" s="1"/>
      <c r="Z527" s="1"/>
      <c r="AA527" s="1"/>
    </row>
    <row r="528" ht="15.75" customHeight="1">
      <c r="A528" s="1" t="str">
        <f>IFERROR(__xludf.DUMMYFUNCTION("""COMPUTED_VALUE"""),"Leather Cuirass of Barkskin")</f>
        <v>Leather Cuirass of Barkskin</v>
      </c>
      <c r="B528" s="1" t="str">
        <f>IFERROR(__xludf.DUMMYFUNCTION("""COMPUTED_VALUE"""),"Quest Item")</f>
        <v>Quest Item</v>
      </c>
      <c r="C528" s="1"/>
      <c r="D528" s="1" t="str">
        <f>IFERROR(__xludf.DUMMYFUNCTION("""COMPUTED_VALUE"""),"Torso")</f>
        <v>Torso</v>
      </c>
      <c r="E528" s="1">
        <f>IFERROR(__xludf.DUMMYFUNCTION("""COMPUTED_VALUE"""),200.0)</f>
        <v>200</v>
      </c>
      <c r="F528" s="1"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
        <f>IFERROR(__xludf.DUMMYFUNCTION("""COMPUTED_VALUE"""),1.1175E8)</f>
        <v>111750000</v>
      </c>
      <c r="H528" s="1"/>
      <c r="I528" s="1"/>
      <c r="J528" s="1"/>
      <c r="K528" s="1"/>
      <c r="L528" s="1"/>
      <c r="M528" s="1"/>
      <c r="N528" s="1"/>
      <c r="O528" s="1"/>
      <c r="P528" s="1"/>
      <c r="Q528" s="1"/>
      <c r="R528" s="1"/>
      <c r="S528" s="1"/>
      <c r="T528" s="1"/>
      <c r="U528" s="1"/>
      <c r="V528" s="1"/>
      <c r="W528" s="1"/>
      <c r="X528" s="1"/>
      <c r="Y528" s="1"/>
      <c r="Z528" s="1"/>
      <c r="AA528" s="1"/>
    </row>
    <row r="529" ht="15.75" customHeight="1">
      <c r="A529" s="1" t="str">
        <f>IFERROR(__xludf.DUMMYFUNCTION("""COMPUTED_VALUE"""),"Greaves of The Verdant Forest")</f>
        <v>Greaves of The Verdant Forest</v>
      </c>
      <c r="B529" s="1" t="str">
        <f>IFERROR(__xludf.DUMMYFUNCTION("""COMPUTED_VALUE"""),"Quest Item")</f>
        <v>Quest Item</v>
      </c>
      <c r="C529" s="1"/>
      <c r="D529" s="1" t="str">
        <f>IFERROR(__xludf.DUMMYFUNCTION("""COMPUTED_VALUE"""),"Legs")</f>
        <v>Legs</v>
      </c>
      <c r="E529" s="1">
        <f>IFERROR(__xludf.DUMMYFUNCTION("""COMPUTED_VALUE"""),200.0)</f>
        <v>200</v>
      </c>
      <c r="F529" s="1"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
        <f>IFERROR(__xludf.DUMMYFUNCTION("""COMPUTED_VALUE"""),4.95E7)</f>
        <v>49500000</v>
      </c>
      <c r="H529" s="1"/>
      <c r="I529" s="1"/>
      <c r="J529" s="1"/>
      <c r="K529" s="1"/>
      <c r="L529" s="1"/>
      <c r="M529" s="1"/>
      <c r="N529" s="1"/>
      <c r="O529" s="1"/>
      <c r="P529" s="1"/>
      <c r="Q529" s="1"/>
      <c r="R529" s="1"/>
      <c r="S529" s="1"/>
      <c r="T529" s="1"/>
      <c r="U529" s="1"/>
      <c r="V529" s="1"/>
      <c r="W529" s="1"/>
      <c r="X529" s="1"/>
      <c r="Y529" s="1"/>
      <c r="Z529" s="1"/>
      <c r="AA529" s="1"/>
    </row>
    <row r="530" ht="15.75" customHeight="1">
      <c r="A530" s="1" t="str">
        <f>IFERROR(__xludf.DUMMYFUNCTION("""COMPUTED_VALUE"""),"Boots of The Verdant Forest")</f>
        <v>Boots of The Verdant Forest</v>
      </c>
      <c r="B530" s="1" t="str">
        <f>IFERROR(__xludf.DUMMYFUNCTION("""COMPUTED_VALUE"""),"Quest Item")</f>
        <v>Quest Item</v>
      </c>
      <c r="C530" s="1"/>
      <c r="D530" s="1" t="str">
        <f>IFERROR(__xludf.DUMMYFUNCTION("""COMPUTED_VALUE"""),"Feet")</f>
        <v>Feet</v>
      </c>
      <c r="E530" s="1">
        <f>IFERROR(__xludf.DUMMYFUNCTION("""COMPUTED_VALUE"""),200.0)</f>
        <v>200</v>
      </c>
      <c r="F530" s="1"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
        <f>IFERROR(__xludf.DUMMYFUNCTION("""COMPUTED_VALUE"""),4.95E7)</f>
        <v>49500000</v>
      </c>
      <c r="H530" s="1"/>
      <c r="I530" s="1"/>
      <c r="J530" s="1"/>
      <c r="K530" s="1"/>
      <c r="L530" s="1"/>
      <c r="M530" s="1"/>
      <c r="N530" s="1"/>
      <c r="O530" s="1"/>
      <c r="P530" s="1"/>
      <c r="Q530" s="1"/>
      <c r="R530" s="1"/>
      <c r="S530" s="1"/>
      <c r="T530" s="1"/>
      <c r="U530" s="1"/>
      <c r="V530" s="1"/>
      <c r="W530" s="1"/>
      <c r="X530" s="1"/>
      <c r="Y530" s="1"/>
      <c r="Z530" s="1"/>
      <c r="AA530" s="1"/>
    </row>
    <row r="531" ht="15.75" customHeight="1">
      <c r="A531" s="1" t="str">
        <f>IFERROR(__xludf.DUMMYFUNCTION("""COMPUTED_VALUE"""),"Emerald Ring of The Forest")</f>
        <v>Emerald Ring of The Forest</v>
      </c>
      <c r="B531" s="1" t="str">
        <f>IFERROR(__xludf.DUMMYFUNCTION("""COMPUTED_VALUE"""),"Quest Item")</f>
        <v>Quest Item</v>
      </c>
      <c r="C531" s="1"/>
      <c r="D531" s="1" t="str">
        <f>IFERROR(__xludf.DUMMYFUNCTION("""COMPUTED_VALUE"""),"Ring")</f>
        <v>Ring</v>
      </c>
      <c r="E531" s="1">
        <f>IFERROR(__xludf.DUMMYFUNCTION("""COMPUTED_VALUE"""),1.0)</f>
        <v>1</v>
      </c>
      <c r="F531" s="1"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
        <f>IFERROR(__xludf.DUMMYFUNCTION("""COMPUTED_VALUE"""),0.0)</f>
        <v>0</v>
      </c>
      <c r="H531" s="1"/>
      <c r="I531" s="1"/>
      <c r="J531" s="1"/>
      <c r="K531" s="1"/>
      <c r="L531" s="1"/>
      <c r="M531" s="1"/>
      <c r="N531" s="1"/>
      <c r="O531" s="1"/>
      <c r="P531" s="1"/>
      <c r="Q531" s="1"/>
      <c r="R531" s="1"/>
      <c r="S531" s="1"/>
      <c r="T531" s="1"/>
      <c r="U531" s="1"/>
      <c r="V531" s="1"/>
      <c r="W531" s="1"/>
      <c r="X531" s="1"/>
      <c r="Y531" s="1"/>
      <c r="Z531" s="1"/>
      <c r="AA531" s="1"/>
    </row>
    <row r="532" ht="15.75" customHeight="1">
      <c r="A532" s="1" t="str">
        <f>IFERROR(__xludf.DUMMYFUNCTION("""COMPUTED_VALUE"""),"Emerald Amulet of The Forest")</f>
        <v>Emerald Amulet of The Forest</v>
      </c>
      <c r="B532" s="1" t="str">
        <f>IFERROR(__xludf.DUMMYFUNCTION("""COMPUTED_VALUE"""),"Quest Item")</f>
        <v>Quest Item</v>
      </c>
      <c r="C532" s="1"/>
      <c r="D532" s="1" t="str">
        <f>IFERROR(__xludf.DUMMYFUNCTION("""COMPUTED_VALUE"""),"Neck")</f>
        <v>Neck</v>
      </c>
      <c r="E532" s="1">
        <f>IFERROR(__xludf.DUMMYFUNCTION("""COMPUTED_VALUE"""),1.0)</f>
        <v>1</v>
      </c>
      <c r="F532" s="1"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
        <f>IFERROR(__xludf.DUMMYFUNCTION("""COMPUTED_VALUE"""),0.0)</f>
        <v>0</v>
      </c>
      <c r="H532" s="1"/>
      <c r="I532" s="1"/>
      <c r="J532" s="1"/>
      <c r="K532" s="1"/>
      <c r="L532" s="1"/>
      <c r="M532" s="1"/>
      <c r="N532" s="1"/>
      <c r="O532" s="1"/>
      <c r="P532" s="1"/>
      <c r="Q532" s="1"/>
      <c r="R532" s="1"/>
      <c r="S532" s="1"/>
      <c r="T532" s="1"/>
      <c r="U532" s="1"/>
      <c r="V532" s="1"/>
      <c r="W532" s="1"/>
      <c r="X532" s="1"/>
      <c r="Y532" s="1"/>
      <c r="Z532" s="1"/>
      <c r="AA532" s="1"/>
    </row>
    <row r="533" ht="15.75" customHeight="1">
      <c r="A533" s="1" t="str">
        <f>IFERROR(__xludf.DUMMYFUNCTION("""COMPUTED_VALUE"""),"Artemis' Crown of The Forest")</f>
        <v>Artemis' Crown of The Forest</v>
      </c>
      <c r="B533" s="1" t="str">
        <f>IFERROR(__xludf.DUMMYFUNCTION("""COMPUTED_VALUE"""),"Mob Exclusive. The crown that was gifted to Aranyani upon her ascension to godhood")</f>
        <v>Mob Exclusive. The crown that was gifted to Aranyani upon her ascension to godhood</v>
      </c>
      <c r="C533" s="1"/>
      <c r="D533" s="1" t="str">
        <f>IFERROR(__xludf.DUMMYFUNCTION("""COMPUTED_VALUE"""),"Head")</f>
        <v>Head</v>
      </c>
      <c r="E533" s="1">
        <f>IFERROR(__xludf.DUMMYFUNCTION("""COMPUTED_VALUE"""),2000.0)</f>
        <v>2000</v>
      </c>
      <c r="F533" s="1"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
        <f>IFERROR(__xludf.DUMMYFUNCTION("""COMPUTED_VALUE"""),1.99E8)</f>
        <v>199000000</v>
      </c>
      <c r="H533" s="1"/>
      <c r="I533" s="1"/>
      <c r="J533" s="1"/>
      <c r="K533" s="1"/>
      <c r="L533" s="1"/>
      <c r="M533" s="1"/>
      <c r="N533" s="1"/>
      <c r="O533" s="1"/>
      <c r="P533" s="1"/>
      <c r="Q533" s="1"/>
      <c r="R533" s="1"/>
      <c r="S533" s="1"/>
      <c r="T533" s="1"/>
      <c r="U533" s="1"/>
      <c r="V533" s="1"/>
      <c r="W533" s="1"/>
      <c r="X533" s="1"/>
      <c r="Y533" s="1"/>
      <c r="Z533" s="1"/>
      <c r="AA533" s="1"/>
    </row>
    <row r="534" ht="15.75" customHeight="1">
      <c r="A534" s="1" t="str">
        <f>IFERROR(__xludf.DUMMYFUNCTION("""COMPUTED_VALUE"""),"Artemis' Bow of Divine Wrath")</f>
        <v>Artemis' Bow of Divine Wrath</v>
      </c>
      <c r="B534" s="1" t="str">
        <f>IFERROR(__xludf.DUMMYFUNCTION("""COMPUTED_VALUE"""),"Mob Exclusive.")</f>
        <v>Mob Exclusive.</v>
      </c>
      <c r="C534" s="1" t="str">
        <f>IFERROR(__xludf.DUMMYFUNCTION("""COMPUTED_VALUE"""),"Bow")</f>
        <v>Bow</v>
      </c>
      <c r="D534" s="1" t="str">
        <f>IFERROR(__xludf.DUMMYFUNCTION("""COMPUTED_VALUE"""),"Hand")</f>
        <v>Hand</v>
      </c>
      <c r="E534" s="1">
        <f>IFERROR(__xludf.DUMMYFUNCTION("""COMPUTED_VALUE"""),12000.0)</f>
        <v>12000</v>
      </c>
      <c r="F534" s="1"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
        <f>IFERROR(__xludf.DUMMYFUNCTION("""COMPUTED_VALUE"""),7.194E9)</f>
        <v>7194000000</v>
      </c>
      <c r="H534" s="1"/>
      <c r="I534" s="1"/>
      <c r="J534" s="1"/>
      <c r="K534" s="1"/>
      <c r="L534" s="1"/>
      <c r="M534" s="1"/>
      <c r="N534" s="1"/>
      <c r="O534" s="1"/>
      <c r="P534" s="1"/>
      <c r="Q534" s="1"/>
      <c r="R534" s="1"/>
      <c r="S534" s="1"/>
      <c r="T534" s="1"/>
      <c r="U534" s="1"/>
      <c r="V534" s="1"/>
      <c r="W534" s="1"/>
      <c r="X534" s="1"/>
      <c r="Y534" s="1"/>
      <c r="Z534" s="1"/>
      <c r="AA534" s="1"/>
    </row>
    <row r="535" ht="15.75" customHeight="1">
      <c r="A535" s="1" t="str">
        <f>IFERROR(__xludf.DUMMYFUNCTION("""COMPUTED_VALUE"""),"Artemis' Shield of Divine Grace")</f>
        <v>Artemis' Shield of Divine Grace</v>
      </c>
      <c r="B535" s="1" t="str">
        <f>IFERROR(__xludf.DUMMYFUNCTION("""COMPUTED_VALUE"""),"Mob Exclusive")</f>
        <v>Mob Exclusive</v>
      </c>
      <c r="C535" s="1" t="str">
        <f>IFERROR(__xludf.DUMMYFUNCTION("""COMPUTED_VALUE"""),"Buckler")</f>
        <v>Buckler</v>
      </c>
      <c r="D535" s="1" t="str">
        <f>IFERROR(__xludf.DUMMYFUNCTION("""COMPUTED_VALUE"""),"Hand")</f>
        <v>Hand</v>
      </c>
      <c r="E535" s="1">
        <f>IFERROR(__xludf.DUMMYFUNCTION("""COMPUTED_VALUE"""),6000.0)</f>
        <v>6000</v>
      </c>
      <c r="F535" s="1"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
        <f>IFERROR(__xludf.DUMMYFUNCTION("""COMPUTED_VALUE"""),1.797E9)</f>
        <v>1797000000</v>
      </c>
      <c r="H535" s="1"/>
      <c r="I535" s="1"/>
      <c r="J535" s="1"/>
      <c r="K535" s="1"/>
      <c r="L535" s="1"/>
      <c r="M535" s="1"/>
      <c r="N535" s="1"/>
      <c r="O535" s="1"/>
      <c r="P535" s="1"/>
      <c r="Q535" s="1"/>
      <c r="R535" s="1"/>
      <c r="S535" s="1"/>
      <c r="T535" s="1"/>
      <c r="U535" s="1"/>
      <c r="V535" s="1"/>
      <c r="W535" s="1"/>
      <c r="X535" s="1"/>
      <c r="Y535" s="1"/>
      <c r="Z535" s="1"/>
      <c r="AA535" s="1"/>
    </row>
    <row r="536" ht="15.75" customHeight="1">
      <c r="A536" s="1" t="str">
        <f>IFERROR(__xludf.DUMMYFUNCTION("""COMPUTED_VALUE"""),"Artemis' Divine Quiver")</f>
        <v>Artemis' Divine Quiver</v>
      </c>
      <c r="B536" s="1" t="str">
        <f>IFERROR(__xludf.DUMMYFUNCTION("""COMPUTED_VALUE"""),"Mob Exclusive")</f>
        <v>Mob Exclusive</v>
      </c>
      <c r="C536" s="1"/>
      <c r="D536" s="1" t="str">
        <f>IFERROR(__xludf.DUMMYFUNCTION("""COMPUTED_VALUE"""),"Shoulders")</f>
        <v>Shoulders</v>
      </c>
      <c r="E536" s="1">
        <f>IFERROR(__xludf.DUMMYFUNCTION("""COMPUTED_VALUE"""),1.0)</f>
        <v>1</v>
      </c>
      <c r="F536" s="1"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
        <f>IFERROR(__xludf.DUMMYFUNCTION("""COMPUTED_VALUE"""),0.0)</f>
        <v>0</v>
      </c>
      <c r="H536" s="1"/>
      <c r="I536" s="1"/>
      <c r="J536" s="1"/>
      <c r="K536" s="1"/>
      <c r="L536" s="1"/>
      <c r="M536" s="1"/>
      <c r="N536" s="1"/>
      <c r="O536" s="1"/>
      <c r="P536" s="1"/>
      <c r="Q536" s="1"/>
      <c r="R536" s="1"/>
      <c r="S536" s="1"/>
      <c r="T536" s="1"/>
      <c r="U536" s="1"/>
      <c r="V536" s="1"/>
      <c r="W536" s="1"/>
      <c r="X536" s="1"/>
      <c r="Y536" s="1"/>
      <c r="Z536" s="1"/>
      <c r="AA536" s="1"/>
    </row>
    <row r="537" ht="15.75" customHeight="1">
      <c r="A537" s="1" t="str">
        <f>IFERROR(__xludf.DUMMYFUNCTION("""COMPUTED_VALUE"""),"Artemis' Toga of Divine Beauty")</f>
        <v>Artemis' Toga of Divine Beauty</v>
      </c>
      <c r="B537" s="1" t="str">
        <f>IFERROR(__xludf.DUMMYFUNCTION("""COMPUTED_VALUE"""),"Mob Exclusive")</f>
        <v>Mob Exclusive</v>
      </c>
      <c r="C537" s="1"/>
      <c r="D537" s="1" t="str">
        <f>IFERROR(__xludf.DUMMYFUNCTION("""COMPUTED_VALUE"""),"Torso")</f>
        <v>Torso</v>
      </c>
      <c r="E537" s="1">
        <f>IFERROR(__xludf.DUMMYFUNCTION("""COMPUTED_VALUE"""),4000.0)</f>
        <v>4000</v>
      </c>
      <c r="F537" s="1"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
        <f>IFERROR(__xludf.DUMMYFUNCTION("""COMPUTED_VALUE"""),7.98E8)</f>
        <v>798000000</v>
      </c>
      <c r="H537" s="1"/>
      <c r="I537" s="1"/>
      <c r="J537" s="1"/>
      <c r="K537" s="1"/>
      <c r="L537" s="1"/>
      <c r="M537" s="1"/>
      <c r="N537" s="1"/>
      <c r="O537" s="1"/>
      <c r="P537" s="1"/>
      <c r="Q537" s="1"/>
      <c r="R537" s="1"/>
      <c r="S537" s="1"/>
      <c r="T537" s="1"/>
      <c r="U537" s="1"/>
      <c r="V537" s="1"/>
      <c r="W537" s="1"/>
      <c r="X537" s="1"/>
      <c r="Y537" s="1"/>
      <c r="Z537" s="1"/>
      <c r="AA537" s="1"/>
    </row>
    <row r="538" ht="15.75" customHeight="1">
      <c r="A538" s="1" t="str">
        <f>IFERROR(__xludf.DUMMYFUNCTION("""COMPUTED_VALUE"""),"Artemis' Bracer of The Archer Goddess")</f>
        <v>Artemis' Bracer of The Archer Goddess</v>
      </c>
      <c r="B538" s="1" t="str">
        <f>IFERROR(__xludf.DUMMYFUNCTION("""COMPUTED_VALUE"""),"Mob Exclusive")</f>
        <v>Mob Exclusive</v>
      </c>
      <c r="C538" s="1"/>
      <c r="D538" s="1" t="str">
        <f>IFERROR(__xludf.DUMMYFUNCTION("""COMPUTED_VALUE"""),"Arms")</f>
        <v>Arms</v>
      </c>
      <c r="E538" s="1">
        <f>IFERROR(__xludf.DUMMYFUNCTION("""COMPUTED_VALUE"""),2000.0)</f>
        <v>2000</v>
      </c>
      <c r="F538" s="1"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
        <f>IFERROR(__xludf.DUMMYFUNCTION("""COMPUTED_VALUE"""),1.99E8)</f>
        <v>199000000</v>
      </c>
      <c r="H538" s="1"/>
      <c r="I538" s="1"/>
      <c r="J538" s="1"/>
      <c r="K538" s="1"/>
      <c r="L538" s="1"/>
      <c r="M538" s="1"/>
      <c r="N538" s="1"/>
      <c r="O538" s="1"/>
      <c r="P538" s="1"/>
      <c r="Q538" s="1"/>
      <c r="R538" s="1"/>
      <c r="S538" s="1"/>
      <c r="T538" s="1"/>
      <c r="U538" s="1"/>
      <c r="V538" s="1"/>
      <c r="W538" s="1"/>
      <c r="X538" s="1"/>
      <c r="Y538" s="1"/>
      <c r="Z538" s="1"/>
      <c r="AA538" s="1"/>
    </row>
    <row r="539" ht="15.75" customHeight="1">
      <c r="A539" s="1" t="str">
        <f>IFERROR(__xludf.DUMMYFUNCTION("""COMPUTED_VALUE"""),"Artemis' Leggings of Divine Agility")</f>
        <v>Artemis' Leggings of Divine Agility</v>
      </c>
      <c r="B539" s="1" t="str">
        <f>IFERROR(__xludf.DUMMYFUNCTION("""COMPUTED_VALUE"""),"Mob Exclusive")</f>
        <v>Mob Exclusive</v>
      </c>
      <c r="C539" s="1"/>
      <c r="D539" s="1" t="str">
        <f>IFERROR(__xludf.DUMMYFUNCTION("""COMPUTED_VALUE"""),"Legs")</f>
        <v>Legs</v>
      </c>
      <c r="E539" s="1">
        <f>IFERROR(__xludf.DUMMYFUNCTION("""COMPUTED_VALUE"""),2000.0)</f>
        <v>2000</v>
      </c>
      <c r="F539" s="1"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
        <f>IFERROR(__xludf.DUMMYFUNCTION("""COMPUTED_VALUE"""),1.99E8)</f>
        <v>199000000</v>
      </c>
      <c r="H539" s="1"/>
      <c r="I539" s="1"/>
      <c r="J539" s="1"/>
      <c r="K539" s="1"/>
      <c r="L539" s="1"/>
      <c r="M539" s="1"/>
      <c r="N539" s="1"/>
      <c r="O539" s="1"/>
      <c r="P539" s="1"/>
      <c r="Q539" s="1"/>
      <c r="R539" s="1"/>
      <c r="S539" s="1"/>
      <c r="T539" s="1"/>
      <c r="U539" s="1"/>
      <c r="V539" s="1"/>
      <c r="W539" s="1"/>
      <c r="X539" s="1"/>
      <c r="Y539" s="1"/>
      <c r="Z539" s="1"/>
      <c r="AA539" s="1"/>
    </row>
    <row r="540" ht="15.75" customHeight="1">
      <c r="A540" s="1" t="str">
        <f>IFERROR(__xludf.DUMMYFUNCTION("""COMPUTED_VALUE"""),"Artemis' Sandals of Divine Speed")</f>
        <v>Artemis' Sandals of Divine Speed</v>
      </c>
      <c r="B540" s="1" t="str">
        <f>IFERROR(__xludf.DUMMYFUNCTION("""COMPUTED_VALUE"""),"Mob Exclusive")</f>
        <v>Mob Exclusive</v>
      </c>
      <c r="C540" s="1"/>
      <c r="D540" s="1" t="str">
        <f>IFERROR(__xludf.DUMMYFUNCTION("""COMPUTED_VALUE"""),"Feet")</f>
        <v>Feet</v>
      </c>
      <c r="E540" s="1">
        <f>IFERROR(__xludf.DUMMYFUNCTION("""COMPUTED_VALUE"""),2000.0)</f>
        <v>2000</v>
      </c>
      <c r="F540" s="1"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
        <f>IFERROR(__xludf.DUMMYFUNCTION("""COMPUTED_VALUE"""),1.99E8)</f>
        <v>199000000</v>
      </c>
      <c r="H540" s="1"/>
      <c r="I540" s="1"/>
      <c r="J540" s="1"/>
      <c r="K540" s="1"/>
      <c r="L540" s="1"/>
      <c r="M540" s="1"/>
      <c r="N540" s="1"/>
      <c r="O540" s="1"/>
      <c r="P540" s="1"/>
      <c r="Q540" s="1"/>
      <c r="R540" s="1"/>
      <c r="S540" s="1"/>
      <c r="T540" s="1"/>
      <c r="U540" s="1"/>
      <c r="V540" s="1"/>
      <c r="W540" s="1"/>
      <c r="X540" s="1"/>
      <c r="Y540" s="1"/>
      <c r="Z540" s="1"/>
      <c r="AA540" s="1"/>
    </row>
    <row r="541" ht="15.75" customHeight="1">
      <c r="A541" s="1" t="str">
        <f>IFERROR(__xludf.DUMMYFUNCTION("""COMPUTED_VALUE"""),"Artemis' Ring")</f>
        <v>Artemis' Ring</v>
      </c>
      <c r="B541" s="1" t="str">
        <f>IFERROR(__xludf.DUMMYFUNCTION("""COMPUTED_VALUE"""),"Mob Exclusive")</f>
        <v>Mob Exclusive</v>
      </c>
      <c r="C541" s="1"/>
      <c r="D541" s="1" t="str">
        <f>IFERROR(__xludf.DUMMYFUNCTION("""COMPUTED_VALUE"""),"Ring")</f>
        <v>Ring</v>
      </c>
      <c r="E541" s="1">
        <f>IFERROR(__xludf.DUMMYFUNCTION("""COMPUTED_VALUE"""),1.0)</f>
        <v>1</v>
      </c>
      <c r="F541" s="1" t="str">
        <f>IFERROR(__xludf.DUMMYFUNCTION("""COMPUTED_VALUE""")," ++10% chance to revive after dying once. +-can only be equipped by Artemis.")</f>
        <v> ++10% chance to revive after dying once. +-can only be equipped by Artemis.</v>
      </c>
      <c r="G541" s="1">
        <f>IFERROR(__xludf.DUMMYFUNCTION("""COMPUTED_VALUE"""),0.0)</f>
        <v>0</v>
      </c>
      <c r="H541" s="1"/>
      <c r="I541" s="1"/>
      <c r="J541" s="1"/>
      <c r="K541" s="1"/>
      <c r="L541" s="1"/>
      <c r="M541" s="1"/>
      <c r="N541" s="1"/>
      <c r="O541" s="1"/>
      <c r="P541" s="1"/>
      <c r="Q541" s="1"/>
      <c r="R541" s="1"/>
      <c r="S541" s="1"/>
      <c r="T541" s="1"/>
      <c r="U541" s="1"/>
      <c r="V541" s="1"/>
      <c r="W541" s="1"/>
      <c r="X541" s="1"/>
      <c r="Y541" s="1"/>
      <c r="Z541" s="1"/>
      <c r="AA541" s="1"/>
    </row>
    <row r="542" ht="15.75" customHeight="1">
      <c r="A542" s="1" t="str">
        <f>IFERROR(__xludf.DUMMYFUNCTION("""COMPUTED_VALUE"""),"Artemis' Fang Necklace")</f>
        <v>Artemis' Fang Necklace</v>
      </c>
      <c r="B542" s="1" t="str">
        <f>IFERROR(__xludf.DUMMYFUNCTION("""COMPUTED_VALUE"""),"Mob Exclusive")</f>
        <v>Mob Exclusive</v>
      </c>
      <c r="C542" s="1"/>
      <c r="D542" s="1" t="str">
        <f>IFERROR(__xludf.DUMMYFUNCTION("""COMPUTED_VALUE"""),"Neck")</f>
        <v>Neck</v>
      </c>
      <c r="E542" s="1">
        <f>IFERROR(__xludf.DUMMYFUNCTION("""COMPUTED_VALUE"""),1.0)</f>
        <v>1</v>
      </c>
      <c r="F542" s="1"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
        <f>IFERROR(__xludf.DUMMYFUNCTION("""COMPUTED_VALUE"""),0.0)</f>
        <v>0</v>
      </c>
      <c r="H542" s="1"/>
      <c r="I542" s="1"/>
      <c r="J542" s="1"/>
      <c r="K542" s="1"/>
      <c r="L542" s="1"/>
      <c r="M542" s="1"/>
      <c r="N542" s="1"/>
      <c r="O542" s="1"/>
      <c r="P542" s="1"/>
      <c r="Q542" s="1"/>
      <c r="R542" s="1"/>
      <c r="S542" s="1"/>
      <c r="T542" s="1"/>
      <c r="U542" s="1"/>
      <c r="V542" s="1"/>
      <c r="W542" s="1"/>
      <c r="X542" s="1"/>
      <c r="Y542" s="1"/>
      <c r="Z542" s="1"/>
      <c r="AA542" s="1"/>
    </row>
    <row r="543" ht="15.75" customHeight="1">
      <c r="A543" s="1" t="str">
        <f>IFERROR(__xludf.DUMMYFUNCTION("""COMPUTED_VALUE"""),"Forged Paladin's Helm")</f>
        <v>Forged Paladin's Helm</v>
      </c>
      <c r="B543" s="1" t="str">
        <f>IFERROR(__xludf.DUMMYFUNCTION("""COMPUTED_VALUE"""),"Quest Item")</f>
        <v>Quest Item</v>
      </c>
      <c r="C543" s="1"/>
      <c r="D543" s="1" t="str">
        <f>IFERROR(__xludf.DUMMYFUNCTION("""COMPUTED_VALUE"""),"Head")</f>
        <v>Head</v>
      </c>
      <c r="E543" s="1">
        <f>IFERROR(__xludf.DUMMYFUNCTION("""COMPUTED_VALUE"""),200.0)</f>
        <v>200</v>
      </c>
      <c r="F543" s="1"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
        <f>IFERROR(__xludf.DUMMYFUNCTION("""COMPUTED_VALUE"""),1.1175E8)</f>
        <v>111750000</v>
      </c>
      <c r="H543" s="1"/>
      <c r="I543" s="1"/>
      <c r="J543" s="1"/>
      <c r="K543" s="1"/>
      <c r="L543" s="1"/>
      <c r="M543" s="1"/>
      <c r="N543" s="1"/>
      <c r="O543" s="1"/>
      <c r="P543" s="1"/>
      <c r="Q543" s="1"/>
      <c r="R543" s="1"/>
      <c r="S543" s="1"/>
      <c r="T543" s="1"/>
      <c r="U543" s="1"/>
      <c r="V543" s="1"/>
      <c r="W543" s="1"/>
      <c r="X543" s="1"/>
      <c r="Y543" s="1"/>
      <c r="Z543" s="1"/>
      <c r="AA543" s="1"/>
    </row>
    <row r="544" ht="15.75" customHeight="1">
      <c r="A544" s="1" t="str">
        <f>IFERROR(__xludf.DUMMYFUNCTION("""COMPUTED_VALUE"""),"Forged Paladin's Pauldrons")</f>
        <v>Forged Paladin's Pauldrons</v>
      </c>
      <c r="B544" s="1" t="str">
        <f>IFERROR(__xludf.DUMMYFUNCTION("""COMPUTED_VALUE"""),"Quest Item")</f>
        <v>Quest Item</v>
      </c>
      <c r="C544" s="1"/>
      <c r="D544" s="1" t="str">
        <f>IFERROR(__xludf.DUMMYFUNCTION("""COMPUTED_VALUE"""),"Shoulders")</f>
        <v>Shoulders</v>
      </c>
      <c r="E544" s="1">
        <f>IFERROR(__xludf.DUMMYFUNCTION("""COMPUTED_VALUE"""),200.0)</f>
        <v>200</v>
      </c>
      <c r="F544" s="1"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
        <f>IFERROR(__xludf.DUMMYFUNCTION("""COMPUTED_VALUE"""),1.1175E8)</f>
        <v>111750000</v>
      </c>
      <c r="H544" s="1"/>
      <c r="I544" s="1"/>
      <c r="J544" s="1"/>
      <c r="K544" s="1"/>
      <c r="L544" s="1"/>
      <c r="M544" s="1"/>
      <c r="N544" s="1"/>
      <c r="O544" s="1"/>
      <c r="P544" s="1"/>
      <c r="Q544" s="1"/>
      <c r="R544" s="1"/>
      <c r="S544" s="1"/>
      <c r="T544" s="1"/>
      <c r="U544" s="1"/>
      <c r="V544" s="1"/>
      <c r="W544" s="1"/>
      <c r="X544" s="1"/>
      <c r="Y544" s="1"/>
      <c r="Z544" s="1"/>
      <c r="AA544" s="1"/>
    </row>
    <row r="545" ht="15.75" customHeight="1">
      <c r="A545" s="1" t="str">
        <f>IFERROR(__xludf.DUMMYFUNCTION("""COMPUTED_VALUE"""),"Forged Paladin's Plate")</f>
        <v>Forged Paladin's Plate</v>
      </c>
      <c r="B545" s="1" t="str">
        <f>IFERROR(__xludf.DUMMYFUNCTION("""COMPUTED_VALUE"""),"Quest Item")</f>
        <v>Quest Item</v>
      </c>
      <c r="C545" s="1"/>
      <c r="D545" s="1" t="str">
        <f>IFERROR(__xludf.DUMMYFUNCTION("""COMPUTED_VALUE"""),"Torso")</f>
        <v>Torso</v>
      </c>
      <c r="E545" s="1">
        <f>IFERROR(__xludf.DUMMYFUNCTION("""COMPUTED_VALUE"""),200.0)</f>
        <v>200</v>
      </c>
      <c r="F545" s="1"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
        <f>IFERROR(__xludf.DUMMYFUNCTION("""COMPUTED_VALUE"""),1.99E8)</f>
        <v>199000000</v>
      </c>
      <c r="H545" s="1"/>
      <c r="I545" s="1"/>
      <c r="J545" s="1"/>
      <c r="K545" s="1"/>
      <c r="L545" s="1"/>
      <c r="M545" s="1"/>
      <c r="N545" s="1"/>
      <c r="O545" s="1"/>
      <c r="P545" s="1"/>
      <c r="Q545" s="1"/>
      <c r="R545" s="1"/>
      <c r="S545" s="1"/>
      <c r="T545" s="1"/>
      <c r="U545" s="1"/>
      <c r="V545" s="1"/>
      <c r="W545" s="1"/>
      <c r="X545" s="1"/>
      <c r="Y545" s="1"/>
      <c r="Z545" s="1"/>
      <c r="AA545" s="1"/>
    </row>
    <row r="546" ht="15.75" customHeight="1">
      <c r="A546" s="1" t="str">
        <f>IFERROR(__xludf.DUMMYFUNCTION("""COMPUTED_VALUE"""),"Forged Paladin's Vambraces")</f>
        <v>Forged Paladin's Vambraces</v>
      </c>
      <c r="B546" s="1" t="str">
        <f>IFERROR(__xludf.DUMMYFUNCTION("""COMPUTED_VALUE"""),"Quest Item")</f>
        <v>Quest Item</v>
      </c>
      <c r="C546" s="1"/>
      <c r="D546" s="1" t="str">
        <f>IFERROR(__xludf.DUMMYFUNCTION("""COMPUTED_VALUE"""),"Arms")</f>
        <v>Arms</v>
      </c>
      <c r="E546" s="1">
        <f>IFERROR(__xludf.DUMMYFUNCTION("""COMPUTED_VALUE"""),200.0)</f>
        <v>200</v>
      </c>
      <c r="F546" s="1"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
        <f>IFERROR(__xludf.DUMMYFUNCTION("""COMPUTED_VALUE"""),1.1175E8)</f>
        <v>111750000</v>
      </c>
      <c r="H546" s="1"/>
      <c r="I546" s="1"/>
      <c r="J546" s="1"/>
      <c r="K546" s="1"/>
      <c r="L546" s="1"/>
      <c r="M546" s="1"/>
      <c r="N546" s="1"/>
      <c r="O546" s="1"/>
      <c r="P546" s="1"/>
      <c r="Q546" s="1"/>
      <c r="R546" s="1"/>
      <c r="S546" s="1"/>
      <c r="T546" s="1"/>
      <c r="U546" s="1"/>
      <c r="V546" s="1"/>
      <c r="W546" s="1"/>
      <c r="X546" s="1"/>
      <c r="Y546" s="1"/>
      <c r="Z546" s="1"/>
      <c r="AA546" s="1"/>
    </row>
    <row r="547" ht="15.75" customHeight="1">
      <c r="A547" s="1" t="str">
        <f>IFERROR(__xludf.DUMMYFUNCTION("""COMPUTED_VALUE"""),"Forged Firearm")</f>
        <v>Forged Firearm</v>
      </c>
      <c r="B547" s="1" t="str">
        <f>IFERROR(__xludf.DUMMYFUNCTION("""COMPUTED_VALUE"""),"Quest Item")</f>
        <v>Quest Item</v>
      </c>
      <c r="C547" s="1" t="str">
        <f>IFERROR(__xludf.DUMMYFUNCTION("""COMPUTED_VALUE"""),"Firearm")</f>
        <v>Firearm</v>
      </c>
      <c r="D547" s="1" t="str">
        <f>IFERROR(__xludf.DUMMYFUNCTION("""COMPUTED_VALUE"""),"Hand")</f>
        <v>Hand</v>
      </c>
      <c r="E547" s="1">
        <f>IFERROR(__xludf.DUMMYFUNCTION("""COMPUTED_VALUE"""),200.0)</f>
        <v>200</v>
      </c>
      <c r="F547" s="1"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
        <f>IFERROR(__xludf.DUMMYFUNCTION("""COMPUTED_VALUE"""),1.99E8)</f>
        <v>199000000</v>
      </c>
      <c r="H547" s="1"/>
      <c r="I547" s="1"/>
      <c r="J547" s="1"/>
      <c r="K547" s="1"/>
      <c r="L547" s="1"/>
      <c r="M547" s="1"/>
      <c r="N547" s="1"/>
      <c r="O547" s="1"/>
      <c r="P547" s="1"/>
      <c r="Q547" s="1"/>
      <c r="R547" s="1"/>
      <c r="S547" s="1"/>
      <c r="T547" s="1"/>
      <c r="U547" s="1"/>
      <c r="V547" s="1"/>
      <c r="W547" s="1"/>
      <c r="X547" s="1"/>
      <c r="Y547" s="1"/>
      <c r="Z547" s="1"/>
      <c r="AA547" s="1"/>
    </row>
    <row r="548" ht="15.75" customHeight="1">
      <c r="A548" s="1" t="str">
        <f>IFERROR(__xludf.DUMMYFUNCTION("""COMPUTED_VALUE"""),"Forged Towershield")</f>
        <v>Forged Towershield</v>
      </c>
      <c r="B548" s="1" t="str">
        <f>IFERROR(__xludf.DUMMYFUNCTION("""COMPUTED_VALUE"""),"Quest Item")</f>
        <v>Quest Item</v>
      </c>
      <c r="C548" s="1" t="str">
        <f>IFERROR(__xludf.DUMMYFUNCTION("""COMPUTED_VALUE"""),"Towershield")</f>
        <v>Towershield</v>
      </c>
      <c r="D548" s="1" t="str">
        <f>IFERROR(__xludf.DUMMYFUNCTION("""COMPUTED_VALUE"""),"Hand")</f>
        <v>Hand</v>
      </c>
      <c r="E548" s="1">
        <f>IFERROR(__xludf.DUMMYFUNCTION("""COMPUTED_VALUE"""),200.0)</f>
        <v>200</v>
      </c>
      <c r="F548" s="1"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
        <f>IFERROR(__xludf.DUMMYFUNCTION("""COMPUTED_VALUE"""),5.4285E8)</f>
        <v>542850000</v>
      </c>
      <c r="H548" s="1"/>
      <c r="I548" s="1"/>
      <c r="J548" s="1"/>
      <c r="K548" s="1"/>
      <c r="L548" s="1"/>
      <c r="M548" s="1"/>
      <c r="N548" s="1"/>
      <c r="O548" s="1"/>
      <c r="P548" s="1"/>
      <c r="Q548" s="1"/>
      <c r="R548" s="1"/>
      <c r="S548" s="1"/>
      <c r="T548" s="1"/>
      <c r="U548" s="1"/>
      <c r="V548" s="1"/>
      <c r="W548" s="1"/>
      <c r="X548" s="1"/>
      <c r="Y548" s="1"/>
      <c r="Z548" s="1"/>
      <c r="AA548" s="1"/>
    </row>
    <row r="549" ht="15.75" customHeight="1">
      <c r="A549" s="1" t="str">
        <f>IFERROR(__xludf.DUMMYFUNCTION("""COMPUTED_VALUE"""),"Forged Leg guard")</f>
        <v>Forged Leg guard</v>
      </c>
      <c r="B549" s="1" t="str">
        <f>IFERROR(__xludf.DUMMYFUNCTION("""COMPUTED_VALUE"""),"Quest Item")</f>
        <v>Quest Item</v>
      </c>
      <c r="C549" s="1"/>
      <c r="D549" s="1" t="str">
        <f>IFERROR(__xludf.DUMMYFUNCTION("""COMPUTED_VALUE"""),"Legs")</f>
        <v>Legs</v>
      </c>
      <c r="E549" s="1">
        <f>IFERROR(__xludf.DUMMYFUNCTION("""COMPUTED_VALUE"""),200.0)</f>
        <v>200</v>
      </c>
      <c r="F549" s="1"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
        <f>IFERROR(__xludf.DUMMYFUNCTION("""COMPUTED_VALUE"""),1.1175E8)</f>
        <v>111750000</v>
      </c>
      <c r="H549" s="1"/>
      <c r="I549" s="1"/>
      <c r="J549" s="1"/>
      <c r="K549" s="1"/>
      <c r="L549" s="1"/>
      <c r="M549" s="1"/>
      <c r="N549" s="1"/>
      <c r="O549" s="1"/>
      <c r="P549" s="1"/>
      <c r="Q549" s="1"/>
      <c r="R549" s="1"/>
      <c r="S549" s="1"/>
      <c r="T549" s="1"/>
      <c r="U549" s="1"/>
      <c r="V549" s="1"/>
      <c r="W549" s="1"/>
      <c r="X549" s="1"/>
      <c r="Y549" s="1"/>
      <c r="Z549" s="1"/>
      <c r="AA549" s="1"/>
    </row>
    <row r="550" ht="15.75" customHeight="1">
      <c r="A550" s="1" t="str">
        <f>IFERROR(__xludf.DUMMYFUNCTION("""COMPUTED_VALUE"""),"Forged Sabatons")</f>
        <v>Forged Sabatons</v>
      </c>
      <c r="B550" s="1" t="str">
        <f>IFERROR(__xludf.DUMMYFUNCTION("""COMPUTED_VALUE"""),"Quest Item")</f>
        <v>Quest Item</v>
      </c>
      <c r="C550" s="1"/>
      <c r="D550" s="1" t="str">
        <f>IFERROR(__xludf.DUMMYFUNCTION("""COMPUTED_VALUE"""),"Feet")</f>
        <v>Feet</v>
      </c>
      <c r="E550" s="1">
        <f>IFERROR(__xludf.DUMMYFUNCTION("""COMPUTED_VALUE"""),200.0)</f>
        <v>200</v>
      </c>
      <c r="F550" s="1"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
        <f>IFERROR(__xludf.DUMMYFUNCTION("""COMPUTED_VALUE"""),1.1175E8)</f>
        <v>111750000</v>
      </c>
      <c r="H550" s="1"/>
      <c r="I550" s="1"/>
      <c r="J550" s="1"/>
      <c r="K550" s="1"/>
      <c r="L550" s="1"/>
      <c r="M550" s="1"/>
      <c r="N550" s="1"/>
      <c r="O550" s="1"/>
      <c r="P550" s="1"/>
      <c r="Q550" s="1"/>
      <c r="R550" s="1"/>
      <c r="S550" s="1"/>
      <c r="T550" s="1"/>
      <c r="U550" s="1"/>
      <c r="V550" s="1"/>
      <c r="W550" s="1"/>
      <c r="X550" s="1"/>
      <c r="Y550" s="1"/>
      <c r="Z550" s="1"/>
      <c r="AA550" s="1"/>
    </row>
    <row r="551" ht="15.75" customHeight="1">
      <c r="A551" s="1" t="str">
        <f>IFERROR(__xludf.DUMMYFUNCTION("""COMPUTED_VALUE"""),"Scrap Ring")</f>
        <v>Scrap Ring</v>
      </c>
      <c r="B551" s="1" t="str">
        <f>IFERROR(__xludf.DUMMYFUNCTION("""COMPUTED_VALUE"""),"Quest Item")</f>
        <v>Quest Item</v>
      </c>
      <c r="C551" s="1"/>
      <c r="D551" s="1" t="str">
        <f>IFERROR(__xludf.DUMMYFUNCTION("""COMPUTED_VALUE"""),"Ring")</f>
        <v>Ring</v>
      </c>
      <c r="E551" s="1">
        <f>IFERROR(__xludf.DUMMYFUNCTION("""COMPUTED_VALUE"""),1.0)</f>
        <v>1</v>
      </c>
      <c r="F551" s="1" t="str">
        <f>IFERROR(__xludf.DUMMYFUNCTION("""COMPUTED_VALUE""")," ++When you attack an enemy with a firearm, inflict Marked 3. +-Forged Paladin Class Only.")</f>
        <v> ++When you attack an enemy with a firearm, inflict Marked 3. +-Forged Paladin Class Only.</v>
      </c>
      <c r="G551" s="1">
        <f>IFERROR(__xludf.DUMMYFUNCTION("""COMPUTED_VALUE"""),0.0)</f>
        <v>0</v>
      </c>
      <c r="H551" s="1"/>
      <c r="I551" s="1"/>
      <c r="J551" s="1"/>
      <c r="K551" s="1"/>
      <c r="L551" s="1"/>
      <c r="M551" s="1"/>
      <c r="N551" s="1"/>
      <c r="O551" s="1"/>
      <c r="P551" s="1"/>
      <c r="Q551" s="1"/>
      <c r="R551" s="1"/>
      <c r="S551" s="1"/>
      <c r="T551" s="1"/>
      <c r="U551" s="1"/>
      <c r="V551" s="1"/>
      <c r="W551" s="1"/>
      <c r="X551" s="1"/>
      <c r="Y551" s="1"/>
      <c r="Z551" s="1"/>
      <c r="AA551" s="1"/>
    </row>
    <row r="552" ht="15.75" customHeight="1">
      <c r="A552" s="1" t="str">
        <f>IFERROR(__xludf.DUMMYFUNCTION("""COMPUTED_VALUE"""),"Scrap Gorget")</f>
        <v>Scrap Gorget</v>
      </c>
      <c r="B552" s="1" t="str">
        <f>IFERROR(__xludf.DUMMYFUNCTION("""COMPUTED_VALUE"""),"Quest Item")</f>
        <v>Quest Item</v>
      </c>
      <c r="C552" s="1"/>
      <c r="D552" s="1" t="str">
        <f>IFERROR(__xludf.DUMMYFUNCTION("""COMPUTED_VALUE"""),"Neck")</f>
        <v>Neck</v>
      </c>
      <c r="E552" s="1">
        <f>IFERROR(__xludf.DUMMYFUNCTION("""COMPUTED_VALUE"""),1.0)</f>
        <v>1</v>
      </c>
      <c r="F552" s="1"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
        <f>IFERROR(__xludf.DUMMYFUNCTION("""COMPUTED_VALUE"""),0.0)</f>
        <v>0</v>
      </c>
      <c r="H552" s="1"/>
      <c r="I552" s="1"/>
      <c r="J552" s="1"/>
      <c r="K552" s="1"/>
      <c r="L552" s="1"/>
      <c r="M552" s="1"/>
      <c r="N552" s="1"/>
      <c r="O552" s="1"/>
      <c r="P552" s="1"/>
      <c r="Q552" s="1"/>
      <c r="R552" s="1"/>
      <c r="S552" s="1"/>
      <c r="T552" s="1"/>
      <c r="U552" s="1"/>
      <c r="V552" s="1"/>
      <c r="W552" s="1"/>
      <c r="X552" s="1"/>
      <c r="Y552" s="1"/>
      <c r="Z552" s="1"/>
      <c r="AA552" s="1"/>
    </row>
    <row r="553" ht="15.75" customHeight="1">
      <c r="A553" s="1" t="str">
        <f>IFERROR(__xludf.DUMMYFUNCTION("""COMPUTED_VALUE"""),"Minstrel's Cap")</f>
        <v>Minstrel's Cap</v>
      </c>
      <c r="B553" s="1" t="str">
        <f>IFERROR(__xludf.DUMMYFUNCTION("""COMPUTED_VALUE"""),"Quest Item")</f>
        <v>Quest Item</v>
      </c>
      <c r="C553" s="1"/>
      <c r="D553" s="1" t="str">
        <f>IFERROR(__xludf.DUMMYFUNCTION("""COMPUTED_VALUE"""),"Head")</f>
        <v>Head</v>
      </c>
      <c r="E553" s="1">
        <f>IFERROR(__xludf.DUMMYFUNCTION("""COMPUTED_VALUE"""),400.0)</f>
        <v>400</v>
      </c>
      <c r="F553" s="1"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
        <f>IFERROR(__xludf.DUMMYFUNCTION("""COMPUTED_VALUE"""),7800000.0)</f>
        <v>7800000</v>
      </c>
      <c r="H553" s="1"/>
      <c r="I553" s="1"/>
      <c r="J553" s="1"/>
      <c r="K553" s="1"/>
      <c r="L553" s="1"/>
      <c r="M553" s="1"/>
      <c r="N553" s="1"/>
      <c r="O553" s="1"/>
      <c r="P553" s="1"/>
      <c r="Q553" s="1"/>
      <c r="R553" s="1"/>
      <c r="S553" s="1"/>
      <c r="T553" s="1"/>
      <c r="U553" s="1"/>
      <c r="V553" s="1"/>
      <c r="W553" s="1"/>
      <c r="X553" s="1"/>
      <c r="Y553" s="1"/>
      <c r="Z553" s="1"/>
      <c r="AA553" s="1"/>
    </row>
    <row r="554" ht="15.75" customHeight="1">
      <c r="A554" s="1" t="str">
        <f>IFERROR(__xludf.DUMMYFUNCTION("""COMPUTED_VALUE"""),"Minstrel's Cape")</f>
        <v>Minstrel's Cape</v>
      </c>
      <c r="B554" s="1" t="str">
        <f>IFERROR(__xludf.DUMMYFUNCTION("""COMPUTED_VALUE"""),"Quest Item")</f>
        <v>Quest Item</v>
      </c>
      <c r="C554" s="1"/>
      <c r="D554" s="1" t="str">
        <f>IFERROR(__xludf.DUMMYFUNCTION("""COMPUTED_VALUE"""),"Shoulders")</f>
        <v>Shoulders</v>
      </c>
      <c r="E554" s="1">
        <f>IFERROR(__xludf.DUMMYFUNCTION("""COMPUTED_VALUE"""),400.0)</f>
        <v>400</v>
      </c>
      <c r="F554" s="1"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
        <f>IFERROR(__xludf.DUMMYFUNCTION("""COMPUTED_VALUE"""),7800000.0)</f>
        <v>7800000</v>
      </c>
      <c r="H554" s="1"/>
      <c r="I554" s="1"/>
      <c r="J554" s="1"/>
      <c r="K554" s="1"/>
      <c r="L554" s="1"/>
      <c r="M554" s="1"/>
      <c r="N554" s="1"/>
      <c r="O554" s="1"/>
      <c r="P554" s="1"/>
      <c r="Q554" s="1"/>
      <c r="R554" s="1"/>
      <c r="S554" s="1"/>
      <c r="T554" s="1"/>
      <c r="U554" s="1"/>
      <c r="V554" s="1"/>
      <c r="W554" s="1"/>
      <c r="X554" s="1"/>
      <c r="Y554" s="1"/>
      <c r="Z554" s="1"/>
      <c r="AA554" s="1"/>
    </row>
    <row r="555" ht="15.75" customHeight="1">
      <c r="A555" s="1" t="str">
        <f>IFERROR(__xludf.DUMMYFUNCTION("""COMPUTED_VALUE"""),"Minstrel's Doublet")</f>
        <v>Minstrel's Doublet</v>
      </c>
      <c r="B555" s="1" t="str">
        <f>IFERROR(__xludf.DUMMYFUNCTION("""COMPUTED_VALUE"""),"Quest Item")</f>
        <v>Quest Item</v>
      </c>
      <c r="C555" s="1"/>
      <c r="D555" s="1" t="str">
        <f>IFERROR(__xludf.DUMMYFUNCTION("""COMPUTED_VALUE"""),"Torso")</f>
        <v>Torso</v>
      </c>
      <c r="E555" s="1">
        <f>IFERROR(__xludf.DUMMYFUNCTION("""COMPUTED_VALUE"""),800.0)</f>
        <v>800</v>
      </c>
      <c r="F555" s="1"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
        <f>IFERROR(__xludf.DUMMYFUNCTION("""COMPUTED_VALUE"""),3.16E7)</f>
        <v>31600000</v>
      </c>
      <c r="H555" s="1"/>
      <c r="I555" s="1"/>
      <c r="J555" s="1"/>
      <c r="K555" s="1"/>
      <c r="L555" s="1"/>
      <c r="M555" s="1"/>
      <c r="N555" s="1"/>
      <c r="O555" s="1"/>
      <c r="P555" s="1"/>
      <c r="Q555" s="1"/>
      <c r="R555" s="1"/>
      <c r="S555" s="1"/>
      <c r="T555" s="1"/>
      <c r="U555" s="1"/>
      <c r="V555" s="1"/>
      <c r="W555" s="1"/>
      <c r="X555" s="1"/>
      <c r="Y555" s="1"/>
      <c r="Z555" s="1"/>
      <c r="AA555" s="1"/>
    </row>
    <row r="556" ht="15.75" customHeight="1">
      <c r="A556" s="1" t="str">
        <f>IFERROR(__xludf.DUMMYFUNCTION("""COMPUTED_VALUE"""),"Minstrel's Cuffs")</f>
        <v>Minstrel's Cuffs</v>
      </c>
      <c r="B556" s="1" t="str">
        <f>IFERROR(__xludf.DUMMYFUNCTION("""COMPUTED_VALUE"""),"Quest Item")</f>
        <v>Quest Item</v>
      </c>
      <c r="C556" s="1"/>
      <c r="D556" s="1" t="str">
        <f>IFERROR(__xludf.DUMMYFUNCTION("""COMPUTED_VALUE"""),"Arms")</f>
        <v>Arms</v>
      </c>
      <c r="E556" s="1">
        <f>IFERROR(__xludf.DUMMYFUNCTION("""COMPUTED_VALUE"""),400.0)</f>
        <v>400</v>
      </c>
      <c r="F556" s="1"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
        <f>IFERROR(__xludf.DUMMYFUNCTION("""COMPUTED_VALUE"""),7800000.0)</f>
        <v>7800000</v>
      </c>
      <c r="H556" s="1"/>
      <c r="I556" s="1"/>
      <c r="J556" s="1"/>
      <c r="K556" s="1"/>
      <c r="L556" s="1"/>
      <c r="M556" s="1"/>
      <c r="N556" s="1"/>
      <c r="O556" s="1"/>
      <c r="P556" s="1"/>
      <c r="Q556" s="1"/>
      <c r="R556" s="1"/>
      <c r="S556" s="1"/>
      <c r="T556" s="1"/>
      <c r="U556" s="1"/>
      <c r="V556" s="1"/>
      <c r="W556" s="1"/>
      <c r="X556" s="1"/>
      <c r="Y556" s="1"/>
      <c r="Z556" s="1"/>
      <c r="AA556" s="1"/>
    </row>
    <row r="557" ht="15.75" customHeight="1">
      <c r="A557" s="1" t="str">
        <f>IFERROR(__xludf.DUMMYFUNCTION("""COMPUTED_VALUE"""),"Heavenly Lute")</f>
        <v>Heavenly Lute</v>
      </c>
      <c r="B557" s="1" t="str">
        <f>IFERROR(__xludf.DUMMYFUNCTION("""COMPUTED_VALUE"""),"Quest Item")</f>
        <v>Quest Item</v>
      </c>
      <c r="C557" s="1" t="str">
        <f>IFERROR(__xludf.DUMMYFUNCTION("""COMPUTED_VALUE"""),"Instrument")</f>
        <v>Instrument</v>
      </c>
      <c r="D557" s="1" t="str">
        <f>IFERROR(__xludf.DUMMYFUNCTION("""COMPUTED_VALUE"""),"Hand")</f>
        <v>Hand</v>
      </c>
      <c r="E557" s="1">
        <f>IFERROR(__xludf.DUMMYFUNCTION("""COMPUTED_VALUE"""),900.0)</f>
        <v>900</v>
      </c>
      <c r="F557" s="1"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
        <f>IFERROR(__xludf.DUMMYFUNCTION("""COMPUTED_VALUE"""),4.005E7)</f>
        <v>40050000</v>
      </c>
      <c r="H557" s="1"/>
      <c r="I557" s="1"/>
      <c r="J557" s="1"/>
      <c r="K557" s="1"/>
      <c r="L557" s="1"/>
      <c r="M557" s="1"/>
      <c r="N557" s="1"/>
      <c r="O557" s="1"/>
      <c r="P557" s="1"/>
      <c r="Q557" s="1"/>
      <c r="R557" s="1"/>
      <c r="S557" s="1"/>
      <c r="T557" s="1"/>
      <c r="U557" s="1"/>
      <c r="V557" s="1"/>
      <c r="W557" s="1"/>
      <c r="X557" s="1"/>
      <c r="Y557" s="1"/>
      <c r="Z557" s="1"/>
      <c r="AA557" s="1"/>
    </row>
    <row r="558" ht="15.75" customHeight="1">
      <c r="A558" s="1" t="str">
        <f>IFERROR(__xludf.DUMMYFUNCTION("""COMPUTED_VALUE"""),"Wine Stained Buckler With Portable Alcoholism")</f>
        <v>Wine Stained Buckler With Portable Alcoholism</v>
      </c>
      <c r="B558" s="1" t="str">
        <f>IFERROR(__xludf.DUMMYFUNCTION("""COMPUTED_VALUE"""),"Quest Item")</f>
        <v>Quest Item</v>
      </c>
      <c r="C558" s="1" t="str">
        <f>IFERROR(__xludf.DUMMYFUNCTION("""COMPUTED_VALUE"""),"Buckler")</f>
        <v>Buckler</v>
      </c>
      <c r="D558" s="1" t="str">
        <f>IFERROR(__xludf.DUMMYFUNCTION("""COMPUTED_VALUE"""),"Hand")</f>
        <v>Hand</v>
      </c>
      <c r="E558" s="1">
        <f>IFERROR(__xludf.DUMMYFUNCTION("""COMPUTED_VALUE"""),1500.0)</f>
        <v>1500</v>
      </c>
      <c r="F558" s="1"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
        <f>IFERROR(__xludf.DUMMYFUNCTION("""COMPUTED_VALUE"""),1.1175E8)</f>
        <v>111750000</v>
      </c>
      <c r="H558" s="1"/>
      <c r="I558" s="1"/>
      <c r="J558" s="1"/>
      <c r="K558" s="1"/>
      <c r="L558" s="1"/>
      <c r="M558" s="1"/>
      <c r="N558" s="1"/>
      <c r="O558" s="1"/>
      <c r="P558" s="1"/>
      <c r="Q558" s="1"/>
      <c r="R558" s="1"/>
      <c r="S558" s="1"/>
      <c r="T558" s="1"/>
      <c r="U558" s="1"/>
      <c r="V558" s="1"/>
      <c r="W558" s="1"/>
      <c r="X558" s="1"/>
      <c r="Y558" s="1"/>
      <c r="Z558" s="1"/>
      <c r="AA558" s="1"/>
    </row>
    <row r="559" ht="15.75" customHeight="1">
      <c r="A559" s="1" t="str">
        <f>IFERROR(__xludf.DUMMYFUNCTION("""COMPUTED_VALUE"""),"Minstrel's Tights")</f>
        <v>Minstrel's Tights</v>
      </c>
      <c r="B559" s="1" t="str">
        <f>IFERROR(__xludf.DUMMYFUNCTION("""COMPUTED_VALUE"""),"Quest Item")</f>
        <v>Quest Item</v>
      </c>
      <c r="C559" s="1"/>
      <c r="D559" s="1" t="str">
        <f>IFERROR(__xludf.DUMMYFUNCTION("""COMPUTED_VALUE"""),"Legs")</f>
        <v>Legs</v>
      </c>
      <c r="E559" s="1">
        <f>IFERROR(__xludf.DUMMYFUNCTION("""COMPUTED_VALUE"""),400.0)</f>
        <v>400</v>
      </c>
      <c r="F559" s="1" t="str">
        <f>IFERROR(__xludf.DUMMYFUNCTION("""COMPUTED_VALUE"""),"DEF: +20000 ++20,000 ACC and ATK. ++X2 Acoustic Damage +-Paladin of The Party and Bard Class only.")</f>
        <v>DEF: +20000 ++20,000 ACC and ATK. ++X2 Acoustic Damage +-Paladin of The Party and Bard Class only.</v>
      </c>
      <c r="G559" s="1">
        <f>IFERROR(__xludf.DUMMYFUNCTION("""COMPUTED_VALUE"""),7800000.0)</f>
        <v>7800000</v>
      </c>
      <c r="H559" s="1"/>
      <c r="I559" s="1"/>
      <c r="J559" s="1"/>
      <c r="K559" s="1"/>
      <c r="L559" s="1"/>
      <c r="M559" s="1"/>
      <c r="N559" s="1"/>
      <c r="O559" s="1"/>
      <c r="P559" s="1"/>
      <c r="Q559" s="1"/>
      <c r="R559" s="1"/>
      <c r="S559" s="1"/>
      <c r="T559" s="1"/>
      <c r="U559" s="1"/>
      <c r="V559" s="1"/>
      <c r="W559" s="1"/>
      <c r="X559" s="1"/>
      <c r="Y559" s="1"/>
      <c r="Z559" s="1"/>
      <c r="AA559" s="1"/>
    </row>
    <row r="560" ht="15.75" customHeight="1">
      <c r="A560" s="1" t="str">
        <f>IFERROR(__xludf.DUMMYFUNCTION("""COMPUTED_VALUE"""),"Minstrel's Boots")</f>
        <v>Minstrel's Boots</v>
      </c>
      <c r="B560" s="1" t="str">
        <f>IFERROR(__xludf.DUMMYFUNCTION("""COMPUTED_VALUE"""),"Quest Item")</f>
        <v>Quest Item</v>
      </c>
      <c r="C560" s="1"/>
      <c r="D560" s="1" t="str">
        <f>IFERROR(__xludf.DUMMYFUNCTION("""COMPUTED_VALUE"""),"Feet")</f>
        <v>Feet</v>
      </c>
      <c r="E560" s="1">
        <f>IFERROR(__xludf.DUMMYFUNCTION("""COMPUTED_VALUE"""),400.0)</f>
        <v>400</v>
      </c>
      <c r="F560" s="1"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
        <f>IFERROR(__xludf.DUMMYFUNCTION("""COMPUTED_VALUE"""),7800000.0)</f>
        <v>7800000</v>
      </c>
      <c r="H560" s="1"/>
      <c r="I560" s="1"/>
      <c r="J560" s="1"/>
      <c r="K560" s="1"/>
      <c r="L560" s="1"/>
      <c r="M560" s="1"/>
      <c r="N560" s="1"/>
      <c r="O560" s="1"/>
      <c r="P560" s="1"/>
      <c r="Q560" s="1"/>
      <c r="R560" s="1"/>
      <c r="S560" s="1"/>
      <c r="T560" s="1"/>
      <c r="U560" s="1"/>
      <c r="V560" s="1"/>
      <c r="W560" s="1"/>
      <c r="X560" s="1"/>
      <c r="Y560" s="1"/>
      <c r="Z560" s="1"/>
      <c r="AA560" s="1"/>
    </row>
    <row r="561" ht="15.75" customHeight="1">
      <c r="A561" s="1" t="str">
        <f>IFERROR(__xludf.DUMMYFUNCTION("""COMPUTED_VALUE"""),"Brass Ring of Blackout Drunkenness")</f>
        <v>Brass Ring of Blackout Drunkenness</v>
      </c>
      <c r="B561" s="1" t="str">
        <f>IFERROR(__xludf.DUMMYFUNCTION("""COMPUTED_VALUE"""),"Quest Item")</f>
        <v>Quest Item</v>
      </c>
      <c r="C561" s="1"/>
      <c r="D561" s="1" t="str">
        <f>IFERROR(__xludf.DUMMYFUNCTION("""COMPUTED_VALUE"""),"Ring")</f>
        <v>Ring</v>
      </c>
      <c r="E561" s="1">
        <f>IFERROR(__xludf.DUMMYFUNCTION("""COMPUTED_VALUE"""),1.0)</f>
        <v>1</v>
      </c>
      <c r="F561" s="1"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
        <f>IFERROR(__xludf.DUMMYFUNCTION("""COMPUTED_VALUE"""),0.0)</f>
        <v>0</v>
      </c>
      <c r="H561" s="1"/>
      <c r="I561" s="1"/>
      <c r="J561" s="1"/>
      <c r="K561" s="1"/>
      <c r="L561" s="1"/>
      <c r="M561" s="1"/>
      <c r="N561" s="1"/>
      <c r="O561" s="1"/>
      <c r="P561" s="1"/>
      <c r="Q561" s="1"/>
      <c r="R561" s="1"/>
      <c r="S561" s="1"/>
      <c r="T561" s="1"/>
      <c r="U561" s="1"/>
      <c r="V561" s="1"/>
      <c r="W561" s="1"/>
      <c r="X561" s="1"/>
      <c r="Y561" s="1"/>
      <c r="Z561" s="1"/>
      <c r="AA561" s="1"/>
    </row>
    <row r="562" ht="15.75" customHeight="1">
      <c r="A562" s="1" t="str">
        <f>IFERROR(__xludf.DUMMYFUNCTION("""COMPUTED_VALUE"""),"Wreath of The Party's Fervor")</f>
        <v>Wreath of The Party's Fervor</v>
      </c>
      <c r="B562" s="1" t="str">
        <f>IFERROR(__xludf.DUMMYFUNCTION("""COMPUTED_VALUE"""),"Quest Item")</f>
        <v>Quest Item</v>
      </c>
      <c r="C562" s="1"/>
      <c r="D562" s="1" t="str">
        <f>IFERROR(__xludf.DUMMYFUNCTION("""COMPUTED_VALUE"""),"Neck")</f>
        <v>Neck</v>
      </c>
      <c r="E562" s="1">
        <f>IFERROR(__xludf.DUMMYFUNCTION("""COMPUTED_VALUE"""),1.0)</f>
        <v>1</v>
      </c>
      <c r="F562" s="1"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
        <f>IFERROR(__xludf.DUMMYFUNCTION("""COMPUTED_VALUE"""),0.0)</f>
        <v>0</v>
      </c>
      <c r="H562" s="1"/>
      <c r="I562" s="1"/>
      <c r="J562" s="1"/>
      <c r="K562" s="1"/>
      <c r="L562" s="1"/>
      <c r="M562" s="1"/>
      <c r="N562" s="1"/>
      <c r="O562" s="1"/>
      <c r="P562" s="1"/>
      <c r="Q562" s="1"/>
      <c r="R562" s="1"/>
      <c r="S562" s="1"/>
      <c r="T562" s="1"/>
      <c r="U562" s="1"/>
      <c r="V562" s="1"/>
      <c r="W562" s="1"/>
      <c r="X562" s="1"/>
      <c r="Y562" s="1"/>
      <c r="Z562" s="1"/>
      <c r="AA562" s="1"/>
    </row>
    <row r="563" ht="15.75" customHeight="1">
      <c r="A563" s="1" t="str">
        <f>IFERROR(__xludf.DUMMYFUNCTION("""COMPUTED_VALUE"""),"Pauldrons of Tritonoch")</f>
        <v>Pauldrons of Tritonoch</v>
      </c>
      <c r="B563" s="1"/>
      <c r="C563" s="1"/>
      <c r="D563" s="1" t="str">
        <f>IFERROR(__xludf.DUMMYFUNCTION("""COMPUTED_VALUE"""),"Shoulders")</f>
        <v>Shoulders</v>
      </c>
      <c r="E563" s="1">
        <f>IFERROR(__xludf.DUMMYFUNCTION("""COMPUTED_VALUE"""),800.0)</f>
        <v>800</v>
      </c>
      <c r="F563" s="1" t="str">
        <f>IFERROR(__xludf.DUMMYFUNCTION("""COMPUTED_VALUE"""),"DEF: +20000, Water DEF: +20000 ++Waves of Entitlement - x5 additional Water damage")</f>
        <v>DEF: +20000, Water DEF: +20000 ++Waves of Entitlement - x5 additional Water damage</v>
      </c>
      <c r="G563" s="1">
        <f>IFERROR(__xludf.DUMMYFUNCTION("""COMPUTED_VALUE"""),3.16E7)</f>
        <v>31600000</v>
      </c>
      <c r="H563" s="1"/>
      <c r="I563" s="1"/>
      <c r="J563" s="1"/>
      <c r="K563" s="1"/>
      <c r="L563" s="1"/>
      <c r="M563" s="1"/>
      <c r="N563" s="1"/>
      <c r="O563" s="1"/>
      <c r="P563" s="1"/>
      <c r="Q563" s="1"/>
      <c r="R563" s="1"/>
      <c r="S563" s="1"/>
      <c r="T563" s="1"/>
      <c r="U563" s="1"/>
      <c r="V563" s="1"/>
      <c r="W563" s="1"/>
      <c r="X563" s="1"/>
      <c r="Y563" s="1"/>
      <c r="Z563" s="1"/>
      <c r="AA563" s="1"/>
    </row>
    <row r="564" ht="15.75" customHeight="1">
      <c r="A564" s="1" t="str">
        <f>IFERROR(__xludf.DUMMYFUNCTION("""COMPUTED_VALUE"""),"Chestplate of Tritonoch")</f>
        <v>Chestplate of Tritonoch</v>
      </c>
      <c r="B564" s="1"/>
      <c r="C564" s="1"/>
      <c r="D564" s="1" t="str">
        <f>IFERROR(__xludf.DUMMYFUNCTION("""COMPUTED_VALUE"""),"Torso")</f>
        <v>Torso</v>
      </c>
      <c r="E564" s="1">
        <f>IFERROR(__xludf.DUMMYFUNCTION("""COMPUTED_VALUE"""),800.0)</f>
        <v>800</v>
      </c>
      <c r="F564" s="1" t="str">
        <f>IFERROR(__xludf.DUMMYFUNCTION("""COMPUTED_VALUE"""),"DEF: +20000, Water DEF: +20000 ++Waves of Entitlement - x5 additional Water damage")</f>
        <v>DEF: +20000, Water DEF: +20000 ++Waves of Entitlement - x5 additional Water damage</v>
      </c>
      <c r="G564" s="1">
        <f>IFERROR(__xludf.DUMMYFUNCTION("""COMPUTED_VALUE"""),3.16E7)</f>
        <v>31600000</v>
      </c>
      <c r="H564" s="1"/>
      <c r="I564" s="1"/>
      <c r="J564" s="1"/>
      <c r="K564" s="1"/>
      <c r="L564" s="1"/>
      <c r="M564" s="1"/>
      <c r="N564" s="1"/>
      <c r="O564" s="1"/>
      <c r="P564" s="1"/>
      <c r="Q564" s="1"/>
      <c r="R564" s="1"/>
      <c r="S564" s="1"/>
      <c r="T564" s="1"/>
      <c r="U564" s="1"/>
      <c r="V564" s="1"/>
      <c r="W564" s="1"/>
      <c r="X564" s="1"/>
      <c r="Y564" s="1"/>
      <c r="Z564" s="1"/>
      <c r="AA564" s="1"/>
    </row>
    <row r="565" ht="15.75" customHeight="1">
      <c r="A565" s="1" t="str">
        <f>IFERROR(__xludf.DUMMYFUNCTION("""COMPUTED_VALUE"""),"Vambraces of Tritonoch")</f>
        <v>Vambraces of Tritonoch</v>
      </c>
      <c r="B565" s="1"/>
      <c r="C565" s="1"/>
      <c r="D565" s="1" t="str">
        <f>IFERROR(__xludf.DUMMYFUNCTION("""COMPUTED_VALUE"""),"Arms")</f>
        <v>Arms</v>
      </c>
      <c r="E565" s="1">
        <f>IFERROR(__xludf.DUMMYFUNCTION("""COMPUTED_VALUE"""),800.0)</f>
        <v>800</v>
      </c>
      <c r="F565" s="1" t="str">
        <f>IFERROR(__xludf.DUMMYFUNCTION("""COMPUTED_VALUE"""),"DEF: +20000, Water DEF: +20000 ++Waves of Entitlement - x5 additional Water damage")</f>
        <v>DEF: +20000, Water DEF: +20000 ++Waves of Entitlement - x5 additional Water damage</v>
      </c>
      <c r="G565" s="1">
        <f>IFERROR(__xludf.DUMMYFUNCTION("""COMPUTED_VALUE"""),3.16E7)</f>
        <v>31600000</v>
      </c>
      <c r="H565" s="1"/>
      <c r="I565" s="1"/>
      <c r="J565" s="1"/>
      <c r="K565" s="1"/>
      <c r="L565" s="1"/>
      <c r="M565" s="1"/>
      <c r="N565" s="1"/>
      <c r="O565" s="1"/>
      <c r="P565" s="1"/>
      <c r="Q565" s="1"/>
      <c r="R565" s="1"/>
      <c r="S565" s="1"/>
      <c r="T565" s="1"/>
      <c r="U565" s="1"/>
      <c r="V565" s="1"/>
      <c r="W565" s="1"/>
      <c r="X565" s="1"/>
      <c r="Y565" s="1"/>
      <c r="Z565" s="1"/>
      <c r="AA565" s="1"/>
    </row>
    <row r="566" ht="15.75" customHeight="1">
      <c r="A566" s="1" t="str">
        <f>IFERROR(__xludf.DUMMYFUNCTION("""COMPUTED_VALUE"""),"Trident of Tritonoch")</f>
        <v>Trident of Tritonoch</v>
      </c>
      <c r="B566" s="1"/>
      <c r="C566" s="1" t="str">
        <f>IFERROR(__xludf.DUMMYFUNCTION("""COMPUTED_VALUE"""),"Spear")</f>
        <v>Spear</v>
      </c>
      <c r="D566" s="1" t="str">
        <f>IFERROR(__xludf.DUMMYFUNCTION("""COMPUTED_VALUE"""),"Hand")</f>
        <v>Hand</v>
      </c>
      <c r="E566" s="1">
        <f>IFERROR(__xludf.DUMMYFUNCTION("""COMPUTED_VALUE"""),200.0)</f>
        <v>200</v>
      </c>
      <c r="F566" s="1"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
        <f>IFERROR(__xludf.DUMMYFUNCTION("""COMPUTED_VALUE"""),7.14E7)</f>
        <v>71400000</v>
      </c>
      <c r="H566" s="1"/>
      <c r="I566" s="1"/>
      <c r="J566" s="1"/>
      <c r="K566" s="1"/>
      <c r="L566" s="1"/>
      <c r="M566" s="1"/>
      <c r="N566" s="1"/>
      <c r="O566" s="1"/>
      <c r="P566" s="1"/>
      <c r="Q566" s="1"/>
      <c r="R566" s="1"/>
      <c r="S566" s="1"/>
      <c r="T566" s="1"/>
      <c r="U566" s="1"/>
      <c r="V566" s="1"/>
      <c r="W566" s="1"/>
      <c r="X566" s="1"/>
      <c r="Y566" s="1"/>
      <c r="Z566" s="1"/>
      <c r="AA566" s="1"/>
    </row>
    <row r="567" ht="15.75" customHeight="1">
      <c r="A567" s="1" t="str">
        <f>IFERROR(__xludf.DUMMYFUNCTION("""COMPUTED_VALUE"""),"Boots of Tritonoch")</f>
        <v>Boots of Tritonoch</v>
      </c>
      <c r="B567" s="1"/>
      <c r="C567" s="1"/>
      <c r="D567" s="1" t="str">
        <f>IFERROR(__xludf.DUMMYFUNCTION("""COMPUTED_VALUE"""),"Feet")</f>
        <v>Feet</v>
      </c>
      <c r="E567" s="1">
        <f>IFERROR(__xludf.DUMMYFUNCTION("""COMPUTED_VALUE"""),800.0)</f>
        <v>800</v>
      </c>
      <c r="F567" s="1" t="str">
        <f>IFERROR(__xludf.DUMMYFUNCTION("""COMPUTED_VALUE"""),"DEF: +20000, Water DEF: +20000 ++Waves of Entitlement - x5 additional Water damage")</f>
        <v>DEF: +20000, Water DEF: +20000 ++Waves of Entitlement - x5 additional Water damage</v>
      </c>
      <c r="G567" s="1">
        <f>IFERROR(__xludf.DUMMYFUNCTION("""COMPUTED_VALUE"""),3.16E7)</f>
        <v>31600000</v>
      </c>
      <c r="H567" s="1"/>
      <c r="I567" s="1"/>
      <c r="J567" s="1"/>
      <c r="K567" s="1"/>
      <c r="L567" s="1"/>
      <c r="M567" s="1"/>
      <c r="N567" s="1"/>
      <c r="O567" s="1"/>
      <c r="P567" s="1"/>
      <c r="Q567" s="1"/>
      <c r="R567" s="1"/>
      <c r="S567" s="1"/>
      <c r="T567" s="1"/>
      <c r="U567" s="1"/>
      <c r="V567" s="1"/>
      <c r="W567" s="1"/>
      <c r="X567" s="1"/>
      <c r="Y567" s="1"/>
      <c r="Z567" s="1"/>
      <c r="AA567" s="1"/>
    </row>
    <row r="568" ht="15.75" customHeight="1">
      <c r="A568" s="1" t="str">
        <f>IFERROR(__xludf.DUMMYFUNCTION("""COMPUTED_VALUE"""),"Steel Bandit Dagger")</f>
        <v>Steel Bandit Dagger</v>
      </c>
      <c r="B568" s="1"/>
      <c r="C568" s="1" t="str">
        <f>IFERROR(__xludf.DUMMYFUNCTION("""COMPUTED_VALUE"""),"Knife")</f>
        <v>Knife</v>
      </c>
      <c r="D568" s="1" t="str">
        <f>IFERROR(__xludf.DUMMYFUNCTION("""COMPUTED_VALUE"""),"Hand")</f>
        <v>Hand</v>
      </c>
      <c r="E568" s="1">
        <f>IFERROR(__xludf.DUMMYFUNCTION("""COMPUTED_VALUE"""),1000.0)</f>
        <v>1000</v>
      </c>
      <c r="F568" s="1" t="str">
        <f>IFERROR(__xludf.DUMMYFUNCTION("""COMPUTED_VALUE"""),"DMG: +50000 ++10% chance to steal gilders upon hitting an enemy guilders stolen are equivalent to 1,000*d20")</f>
        <v>DMG: +50000 ++10% chance to steal gilders upon hitting an enemy guilders stolen are equivalent to 1,000*d20</v>
      </c>
      <c r="G568" s="1">
        <f>IFERROR(__xludf.DUMMYFUNCTION("""COMPUTED_VALUE"""),4.95E7)</f>
        <v>49500000</v>
      </c>
      <c r="H568" s="1"/>
      <c r="I568" s="1"/>
      <c r="J568" s="1"/>
      <c r="K568" s="1"/>
      <c r="L568" s="1"/>
      <c r="M568" s="1"/>
      <c r="N568" s="1"/>
      <c r="O568" s="1"/>
      <c r="P568" s="1"/>
      <c r="Q568" s="1"/>
      <c r="R568" s="1"/>
      <c r="S568" s="1"/>
      <c r="T568" s="1"/>
      <c r="U568" s="1"/>
      <c r="V568" s="1"/>
      <c r="W568" s="1"/>
      <c r="X568" s="1"/>
      <c r="Y568" s="1"/>
      <c r="Z568" s="1"/>
      <c r="AA568" s="1"/>
    </row>
    <row r="569" ht="15.75" customHeight="1">
      <c r="A569" s="1" t="str">
        <f>IFERROR(__xludf.DUMMYFUNCTION("""COMPUTED_VALUE"""),"Bandit Hide Helm")</f>
        <v>Bandit Hide Helm</v>
      </c>
      <c r="B569" s="1"/>
      <c r="C569" s="1"/>
      <c r="D569" s="1" t="str">
        <f>IFERROR(__xludf.DUMMYFUNCTION("""COMPUTED_VALUE"""),"Head")</f>
        <v>Head</v>
      </c>
      <c r="E569" s="1">
        <f>IFERROR(__xludf.DUMMYFUNCTION("""COMPUTED_VALUE"""),1000.0)</f>
        <v>1000</v>
      </c>
      <c r="F569" s="1" t="str">
        <f>IFERROR(__xludf.DUMMYFUNCTION("""COMPUTED_VALUE"""),"DEF: +50000")</f>
        <v>DEF: +50000</v>
      </c>
      <c r="G569" s="1">
        <f>IFERROR(__xludf.DUMMYFUNCTION("""COMPUTED_VALUE"""),4.95E7)</f>
        <v>49500000</v>
      </c>
      <c r="H569" s="1"/>
      <c r="I569" s="1"/>
      <c r="J569" s="1"/>
      <c r="K569" s="1"/>
      <c r="L569" s="1"/>
      <c r="M569" s="1"/>
      <c r="N569" s="1"/>
      <c r="O569" s="1"/>
      <c r="P569" s="1"/>
      <c r="Q569" s="1"/>
      <c r="R569" s="1"/>
      <c r="S569" s="1"/>
      <c r="T569" s="1"/>
      <c r="U569" s="1"/>
      <c r="V569" s="1"/>
      <c r="W569" s="1"/>
      <c r="X569" s="1"/>
      <c r="Y569" s="1"/>
      <c r="Z569" s="1"/>
      <c r="AA569" s="1"/>
    </row>
    <row r="570" ht="15.75" customHeight="1">
      <c r="A570" s="1" t="str">
        <f>IFERROR(__xludf.DUMMYFUNCTION("""COMPUTED_VALUE"""),"Bandit Hide Padding")</f>
        <v>Bandit Hide Padding</v>
      </c>
      <c r="B570" s="1"/>
      <c r="C570" s="1"/>
      <c r="D570" s="1" t="str">
        <f>IFERROR(__xludf.DUMMYFUNCTION("""COMPUTED_VALUE"""),"Shoulders")</f>
        <v>Shoulders</v>
      </c>
      <c r="E570" s="1">
        <f>IFERROR(__xludf.DUMMYFUNCTION("""COMPUTED_VALUE"""),1000.0)</f>
        <v>1000</v>
      </c>
      <c r="F570" s="1" t="str">
        <f>IFERROR(__xludf.DUMMYFUNCTION("""COMPUTED_VALUE"""),"DEF: +50000")</f>
        <v>DEF: +50000</v>
      </c>
      <c r="G570" s="1">
        <f>IFERROR(__xludf.DUMMYFUNCTION("""COMPUTED_VALUE"""),4.95E7)</f>
        <v>49500000</v>
      </c>
      <c r="H570" s="1"/>
      <c r="I570" s="1"/>
      <c r="J570" s="1"/>
      <c r="K570" s="1"/>
      <c r="L570" s="1"/>
      <c r="M570" s="1"/>
      <c r="N570" s="1"/>
      <c r="O570" s="1"/>
      <c r="P570" s="1"/>
      <c r="Q570" s="1"/>
      <c r="R570" s="1"/>
      <c r="S570" s="1"/>
      <c r="T570" s="1"/>
      <c r="U570" s="1"/>
      <c r="V570" s="1"/>
      <c r="W570" s="1"/>
      <c r="X570" s="1"/>
      <c r="Y570" s="1"/>
      <c r="Z570" s="1"/>
      <c r="AA570" s="1"/>
    </row>
    <row r="571" ht="15.75" customHeight="1">
      <c r="A571" s="1" t="str">
        <f>IFERROR(__xludf.DUMMYFUNCTION("""COMPUTED_VALUE"""),"Bandit Hide Chestplate")</f>
        <v>Bandit Hide Chestplate</v>
      </c>
      <c r="B571" s="1"/>
      <c r="C571" s="1"/>
      <c r="D571" s="1" t="str">
        <f>IFERROR(__xludf.DUMMYFUNCTION("""COMPUTED_VALUE"""),"Torso")</f>
        <v>Torso</v>
      </c>
      <c r="E571" s="1">
        <f>IFERROR(__xludf.DUMMYFUNCTION("""COMPUTED_VALUE"""),1000.0)</f>
        <v>1000</v>
      </c>
      <c r="F571" s="1" t="str">
        <f>IFERROR(__xludf.DUMMYFUNCTION("""COMPUTED_VALUE"""),"DEF: +50000 ++X2 damage with Knives")</f>
        <v>DEF: +50000 ++X2 damage with Knives</v>
      </c>
      <c r="G571" s="1">
        <f>IFERROR(__xludf.DUMMYFUNCTION("""COMPUTED_VALUE"""),4.95E7)</f>
        <v>49500000</v>
      </c>
      <c r="H571" s="1"/>
      <c r="I571" s="1"/>
      <c r="J571" s="1"/>
      <c r="K571" s="1"/>
      <c r="L571" s="1"/>
      <c r="M571" s="1"/>
      <c r="N571" s="1"/>
      <c r="O571" s="1"/>
      <c r="P571" s="1"/>
      <c r="Q571" s="1"/>
      <c r="R571" s="1"/>
      <c r="S571" s="1"/>
      <c r="T571" s="1"/>
      <c r="U571" s="1"/>
      <c r="V571" s="1"/>
      <c r="W571" s="1"/>
      <c r="X571" s="1"/>
      <c r="Y571" s="1"/>
      <c r="Z571" s="1"/>
      <c r="AA571" s="1"/>
    </row>
    <row r="572" ht="15.75" customHeight="1">
      <c r="A572" s="1" t="str">
        <f>IFERROR(__xludf.DUMMYFUNCTION("""COMPUTED_VALUE"""),"Bandit Hide Vambraces")</f>
        <v>Bandit Hide Vambraces</v>
      </c>
      <c r="B572" s="1"/>
      <c r="C572" s="1"/>
      <c r="D572" s="1" t="str">
        <f>IFERROR(__xludf.DUMMYFUNCTION("""COMPUTED_VALUE"""),"Arms")</f>
        <v>Arms</v>
      </c>
      <c r="E572" s="1">
        <f>IFERROR(__xludf.DUMMYFUNCTION("""COMPUTED_VALUE"""),1000.0)</f>
        <v>1000</v>
      </c>
      <c r="F572" s="1" t="str">
        <f>IFERROR(__xludf.DUMMYFUNCTION("""COMPUTED_VALUE"""),"DEF: +50000")</f>
        <v>DEF: +50000</v>
      </c>
      <c r="G572" s="1">
        <f>IFERROR(__xludf.DUMMYFUNCTION("""COMPUTED_VALUE"""),4.95E7)</f>
        <v>49500000</v>
      </c>
      <c r="H572" s="1"/>
      <c r="I572" s="1"/>
      <c r="J572" s="1"/>
      <c r="K572" s="1"/>
      <c r="L572" s="1"/>
      <c r="M572" s="1"/>
      <c r="N572" s="1"/>
      <c r="O572" s="1"/>
      <c r="P572" s="1"/>
      <c r="Q572" s="1"/>
      <c r="R572" s="1"/>
      <c r="S572" s="1"/>
      <c r="T572" s="1"/>
      <c r="U572" s="1"/>
      <c r="V572" s="1"/>
      <c r="W572" s="1"/>
      <c r="X572" s="1"/>
      <c r="Y572" s="1"/>
      <c r="Z572" s="1"/>
      <c r="AA572" s="1"/>
    </row>
    <row r="573" ht="15.75" customHeight="1">
      <c r="A573" s="1" t="str">
        <f>IFERROR(__xludf.DUMMYFUNCTION("""COMPUTED_VALUE"""),"Bandit Hide Greaves")</f>
        <v>Bandit Hide Greaves</v>
      </c>
      <c r="B573" s="1"/>
      <c r="C573" s="1"/>
      <c r="D573" s="1" t="str">
        <f>IFERROR(__xludf.DUMMYFUNCTION("""COMPUTED_VALUE"""),"Legs")</f>
        <v>Legs</v>
      </c>
      <c r="E573" s="1">
        <f>IFERROR(__xludf.DUMMYFUNCTION("""COMPUTED_VALUE"""),1000.0)</f>
        <v>1000</v>
      </c>
      <c r="F573" s="1" t="str">
        <f>IFERROR(__xludf.DUMMYFUNCTION("""COMPUTED_VALUE"""),"DEF: +50000")</f>
        <v>DEF: +50000</v>
      </c>
      <c r="G573" s="1">
        <f>IFERROR(__xludf.DUMMYFUNCTION("""COMPUTED_VALUE"""),4.95E7)</f>
        <v>49500000</v>
      </c>
      <c r="H573" s="1"/>
      <c r="I573" s="1"/>
      <c r="J573" s="1"/>
      <c r="K573" s="1"/>
      <c r="L573" s="1"/>
      <c r="M573" s="1"/>
      <c r="N573" s="1"/>
      <c r="O573" s="1"/>
      <c r="P573" s="1"/>
      <c r="Q573" s="1"/>
      <c r="R573" s="1"/>
      <c r="S573" s="1"/>
      <c r="T573" s="1"/>
      <c r="U573" s="1"/>
      <c r="V573" s="1"/>
      <c r="W573" s="1"/>
      <c r="X573" s="1"/>
      <c r="Y573" s="1"/>
      <c r="Z573" s="1"/>
      <c r="AA573" s="1"/>
    </row>
    <row r="574" ht="15.75" customHeight="1">
      <c r="A574" s="1" t="str">
        <f>IFERROR(__xludf.DUMMYFUNCTION("""COMPUTED_VALUE"""),"Bandit Hide Boots")</f>
        <v>Bandit Hide Boots</v>
      </c>
      <c r="B574" s="1"/>
      <c r="C574" s="1"/>
      <c r="D574" s="1" t="str">
        <f>IFERROR(__xludf.DUMMYFUNCTION("""COMPUTED_VALUE"""),"Feet")</f>
        <v>Feet</v>
      </c>
      <c r="E574" s="1">
        <f>IFERROR(__xludf.DUMMYFUNCTION("""COMPUTED_VALUE"""),1000.0)</f>
        <v>1000</v>
      </c>
      <c r="F574" s="1" t="str">
        <f>IFERROR(__xludf.DUMMYFUNCTION("""COMPUTED_VALUE"""),"DEF: +50000  ++5 to all confiscate, pickpocket, or take rolls")</f>
        <v>DEF: +50000  ++5 to all confiscate, pickpocket, or take rolls</v>
      </c>
      <c r="G574" s="1">
        <f>IFERROR(__xludf.DUMMYFUNCTION("""COMPUTED_VALUE"""),4.95E7)</f>
        <v>49500000</v>
      </c>
      <c r="H574" s="1"/>
      <c r="I574" s="1"/>
      <c r="J574" s="1"/>
      <c r="K574" s="1"/>
      <c r="L574" s="1"/>
      <c r="M574" s="1"/>
      <c r="N574" s="1"/>
      <c r="O574" s="1"/>
      <c r="P574" s="1"/>
      <c r="Q574" s="1"/>
      <c r="R574" s="1"/>
      <c r="S574" s="1"/>
      <c r="T574" s="1"/>
      <c r="U574" s="1"/>
      <c r="V574" s="1"/>
      <c r="W574" s="1"/>
      <c r="X574" s="1"/>
      <c r="Y574" s="1"/>
      <c r="Z574" s="1"/>
      <c r="AA574" s="1"/>
    </row>
    <row r="575" ht="15.75" customHeight="1">
      <c r="A575" s="1" t="str">
        <f>IFERROR(__xludf.DUMMYFUNCTION("""COMPUTED_VALUE"""),"Nunchucks")</f>
        <v>Nunchucks</v>
      </c>
      <c r="B575" s="1"/>
      <c r="C575" s="1" t="str">
        <f>IFERROR(__xludf.DUMMYFUNCTION("""COMPUTED_VALUE"""),"Club")</f>
        <v>Club</v>
      </c>
      <c r="D575" s="1" t="str">
        <f>IFERROR(__xludf.DUMMYFUNCTION("""COMPUTED_VALUE"""),"Hand")</f>
        <v>Hand</v>
      </c>
      <c r="E575" s="1">
        <f>IFERROR(__xludf.DUMMYFUNCTION("""COMPUTED_VALUE"""),3000.0)</f>
        <v>3000</v>
      </c>
      <c r="F575" s="1" t="str">
        <f>IFERROR(__xludf.DUMMYFUNCTION("""COMPUTED_VALUE"""),"DMG: +150000 ++10% chance to disarm your enemy when hitting them")</f>
        <v>DMG: +150000 ++10% chance to disarm your enemy when hitting them</v>
      </c>
      <c r="G575" s="1">
        <f>IFERROR(__xludf.DUMMYFUNCTION("""COMPUTED_VALUE"""),4.485E8)</f>
        <v>448500000</v>
      </c>
      <c r="H575" s="1"/>
      <c r="I575" s="1"/>
      <c r="J575" s="1"/>
      <c r="K575" s="1"/>
      <c r="L575" s="1"/>
      <c r="M575" s="1"/>
      <c r="N575" s="1"/>
      <c r="O575" s="1"/>
      <c r="P575" s="1"/>
      <c r="Q575" s="1"/>
      <c r="R575" s="1"/>
      <c r="S575" s="1"/>
      <c r="T575" s="1"/>
      <c r="U575" s="1"/>
      <c r="V575" s="1"/>
      <c r="W575" s="1"/>
      <c r="X575" s="1"/>
      <c r="Y575" s="1"/>
      <c r="Z575" s="1"/>
      <c r="AA575" s="1"/>
    </row>
    <row r="576" ht="15.75" customHeight="1">
      <c r="A576" s="1" t="str">
        <f>IFERROR(__xludf.DUMMYFUNCTION("""COMPUTED_VALUE"""),"Shuriken (Enhanced)")</f>
        <v>Shuriken (Enhanced)</v>
      </c>
      <c r="B576" s="1" t="str">
        <f>IFERROR(__xludf.DUMMYFUNCTION("""COMPUTED_VALUE"""),"the tantamount Ninja weapon, requires a level of dexterity you probably don't possess")</f>
        <v>the tantamount Ninja weapon, requires a level of dexterity you probably don't possess</v>
      </c>
      <c r="C576" s="1" t="str">
        <f>IFERROR(__xludf.DUMMYFUNCTION("""COMPUTED_VALUE"""),"Boomerang")</f>
        <v>Boomerang</v>
      </c>
      <c r="D576" s="1" t="str">
        <f>IFERROR(__xludf.DUMMYFUNCTION("""COMPUTED_VALUE"""),"Hand")</f>
        <v>Hand</v>
      </c>
      <c r="E576" s="1">
        <f>IFERROR(__xludf.DUMMYFUNCTION("""COMPUTED_VALUE"""),1500.0)</f>
        <v>1500</v>
      </c>
      <c r="F576" s="1" t="str">
        <f>IFERROR(__xludf.DUMMYFUNCTION("""COMPUTED_VALUE"""),"DMG: +50000, Blood DMG: +25000 ++Returns when thrown, can throw up to 4 in one attack (roll 1d4 to determine)")</f>
        <v>DMG: +50000, Blood DMG: +25000 ++Returns when thrown, can throw up to 4 in one attack (roll 1d4 to determine)</v>
      </c>
      <c r="G576" s="1">
        <f>IFERROR(__xludf.DUMMYFUNCTION("""COMPUTED_VALUE"""),1.1175E8)</f>
        <v>111750000</v>
      </c>
      <c r="H576" s="1"/>
      <c r="I576" s="1"/>
      <c r="J576" s="1"/>
      <c r="K576" s="1"/>
      <c r="L576" s="1"/>
      <c r="M576" s="1"/>
      <c r="N576" s="1"/>
      <c r="O576" s="1"/>
      <c r="P576" s="1"/>
      <c r="Q576" s="1"/>
      <c r="R576" s="1"/>
      <c r="S576" s="1"/>
      <c r="T576" s="1"/>
      <c r="U576" s="1"/>
      <c r="V576" s="1"/>
      <c r="W576" s="1"/>
      <c r="X576" s="1"/>
      <c r="Y576" s="1"/>
      <c r="Z576" s="1"/>
      <c r="AA576" s="1"/>
    </row>
    <row r="577" ht="15.75" customHeight="1">
      <c r="A577" s="1" t="str">
        <f>IFERROR(__xludf.DUMMYFUNCTION("""COMPUTED_VALUE"""),"Poison Dart Gun")</f>
        <v>Poison Dart Gun</v>
      </c>
      <c r="B577" s="1"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 t="str">
        <f>IFERROR(__xludf.DUMMYFUNCTION("""COMPUTED_VALUE"""),"Firearm")</f>
        <v>Firearm</v>
      </c>
      <c r="D577" s="1" t="str">
        <f>IFERROR(__xludf.DUMMYFUNCTION("""COMPUTED_VALUE"""),"Hand")</f>
        <v>Hand</v>
      </c>
      <c r="E577" s="1">
        <f>IFERROR(__xludf.DUMMYFUNCTION("""COMPUTED_VALUE"""),2000.0)</f>
        <v>2000</v>
      </c>
      <c r="F577" s="1" t="str">
        <f>IFERROR(__xludf.DUMMYFUNCTION("""COMPUTED_VALUE"""),"DMG: +75000, Voodoo DMG: +25000 ++Inflicts Poison 2500 for 2 rounds. ++Uses darts as ammo")</f>
        <v>DMG: +75000, Voodoo DMG: +25000 ++Inflicts Poison 2500 for 2 rounds. ++Uses darts as ammo</v>
      </c>
      <c r="G577" s="1">
        <f>IFERROR(__xludf.DUMMYFUNCTION("""COMPUTED_VALUE"""),1.99E8)</f>
        <v>199000000</v>
      </c>
      <c r="H577" s="1"/>
      <c r="I577" s="1"/>
      <c r="J577" s="1"/>
      <c r="K577" s="1"/>
      <c r="L577" s="1"/>
      <c r="M577" s="1"/>
      <c r="N577" s="1"/>
      <c r="O577" s="1"/>
      <c r="P577" s="1"/>
      <c r="Q577" s="1"/>
      <c r="R577" s="1"/>
      <c r="S577" s="1"/>
      <c r="T577" s="1"/>
      <c r="U577" s="1"/>
      <c r="V577" s="1"/>
      <c r="W577" s="1"/>
      <c r="X577" s="1"/>
      <c r="Y577" s="1"/>
      <c r="Z577" s="1"/>
      <c r="AA577" s="1"/>
    </row>
    <row r="578" ht="15.75" customHeight="1">
      <c r="A578" s="1" t="str">
        <f>IFERROR(__xludf.DUMMYFUNCTION("""COMPUTED_VALUE"""),"Poison Tipped Needle")</f>
        <v>Poison Tipped Needle</v>
      </c>
      <c r="B578" s="1" t="str">
        <f>IFERROR(__xludf.DUMMYFUNCTION("""COMPUTED_VALUE"""),"A needle dipped in master Wushang's thousand poisons or some other Wuxia novel esque bullshit")</f>
        <v>A needle dipped in master Wushang's thousand poisons or some other Wuxia novel esque bullshit</v>
      </c>
      <c r="C578" s="1" t="str">
        <f>IFERROR(__xludf.DUMMYFUNCTION("""COMPUTED_VALUE"""),"Knife")</f>
        <v>Knife</v>
      </c>
      <c r="D578" s="1" t="str">
        <f>IFERROR(__xludf.DUMMYFUNCTION("""COMPUTED_VALUE"""),"Hand")</f>
        <v>Hand</v>
      </c>
      <c r="E578" s="1">
        <f>IFERROR(__xludf.DUMMYFUNCTION("""COMPUTED_VALUE"""),2000.0)</f>
        <v>2000</v>
      </c>
      <c r="F578" s="1" t="str">
        <f>IFERROR(__xludf.DUMMYFUNCTION("""COMPUTED_VALUE"""),"DMG: +75000, Voodoo DMG: +25000 ++When rolling a Natural 19 or 20 deals X3 Damage. ++Inflicts Poison 100")</f>
        <v>DMG: +75000, Voodoo DMG: +25000 ++When rolling a Natural 19 or 20 deals X3 Damage. ++Inflicts Poison 100</v>
      </c>
      <c r="G578" s="1">
        <f>IFERROR(__xludf.DUMMYFUNCTION("""COMPUTED_VALUE"""),1.99E8)</f>
        <v>199000000</v>
      </c>
      <c r="H578" s="1"/>
      <c r="I578" s="1"/>
      <c r="J578" s="1"/>
      <c r="K578" s="1"/>
      <c r="L578" s="1"/>
      <c r="M578" s="1"/>
      <c r="N578" s="1"/>
      <c r="O578" s="1"/>
      <c r="P578" s="1"/>
      <c r="Q578" s="1"/>
      <c r="R578" s="1"/>
      <c r="S578" s="1"/>
      <c r="T578" s="1"/>
      <c r="U578" s="1"/>
      <c r="V578" s="1"/>
      <c r="W578" s="1"/>
      <c r="X578" s="1"/>
      <c r="Y578" s="1"/>
      <c r="Z578" s="1"/>
      <c r="AA578" s="1"/>
    </row>
    <row r="579" ht="15.75" customHeight="1">
      <c r="A579" s="1" t="str">
        <f>IFERROR(__xludf.DUMMYFUNCTION("""COMPUTED_VALUE"""),"Katana (Enhanced)")</f>
        <v>Katana (Enhanced)</v>
      </c>
      <c r="B579" s="1" t="str">
        <f>IFERROR(__xludf.DUMMYFUNCTION("""COMPUTED_VALUE"""),"The sword of weebs and actual samurai alike, surprisingly yes, weebs do exist in Spira")</f>
        <v>The sword of weebs and actual samurai alike, surprisingly yes, weebs do exist in Spira</v>
      </c>
      <c r="C579" s="1" t="str">
        <f>IFERROR(__xludf.DUMMYFUNCTION("""COMPUTED_VALUE"""),"Sword")</f>
        <v>Sword</v>
      </c>
      <c r="D579" s="1" t="str">
        <f>IFERROR(__xludf.DUMMYFUNCTION("""COMPUTED_VALUE"""),"Hand")</f>
        <v>Hand</v>
      </c>
      <c r="E579" s="1">
        <f>IFERROR(__xludf.DUMMYFUNCTION("""COMPUTED_VALUE"""),2500.0)</f>
        <v>2500</v>
      </c>
      <c r="F579" s="1" t="str">
        <f>IFERROR(__xludf.DUMMYFUNCTION("""COMPUTED_VALUE"""),"DMG: +125000 ++Triples the chance for the sword ability to activate, +-Cannot be Forged")</f>
        <v>DMG: +125000 ++Triples the chance for the sword ability to activate, +-Cannot be Forged</v>
      </c>
      <c r="G579" s="1">
        <f>IFERROR(__xludf.DUMMYFUNCTION("""COMPUTED_VALUE"""),3.1125E8)</f>
        <v>311250000</v>
      </c>
      <c r="H579" s="1"/>
      <c r="I579" s="1"/>
      <c r="J579" s="1"/>
      <c r="K579" s="1"/>
      <c r="L579" s="1"/>
      <c r="M579" s="1"/>
      <c r="N579" s="1"/>
      <c r="O579" s="1"/>
      <c r="P579" s="1"/>
      <c r="Q579" s="1"/>
      <c r="R579" s="1"/>
      <c r="S579" s="1"/>
      <c r="T579" s="1"/>
      <c r="U579" s="1"/>
      <c r="V579" s="1"/>
      <c r="W579" s="1"/>
      <c r="X579" s="1"/>
      <c r="Y579" s="1"/>
      <c r="Z579" s="1"/>
      <c r="AA579" s="1"/>
    </row>
    <row r="580" ht="15.75" customHeight="1">
      <c r="A580" s="1" t="str">
        <f>IFERROR(__xludf.DUMMYFUNCTION("""COMPUTED_VALUE"""),"Ninja Initiate's Cowl")</f>
        <v>Ninja Initiate's Cowl</v>
      </c>
      <c r="B580" s="1" t="str">
        <f>IFERROR(__xludf.DUMMYFUNCTION("""COMPUTED_VALUE"""),"Armor given to newbie Ninja's who have yet to choose a master")</f>
        <v>Armor given to newbie Ninja's who have yet to choose a master</v>
      </c>
      <c r="C580" s="1"/>
      <c r="D580" s="1" t="str">
        <f>IFERROR(__xludf.DUMMYFUNCTION("""COMPUTED_VALUE"""),"Head")</f>
        <v>Head</v>
      </c>
      <c r="E580" s="1">
        <f>IFERROR(__xludf.DUMMYFUNCTION("""COMPUTED_VALUE"""),2500.0)</f>
        <v>2500</v>
      </c>
      <c r="F580" s="1" t="str">
        <f>IFERROR(__xludf.DUMMYFUNCTION("""COMPUTED_VALUE"""),"DEF: +125000 ++X2 damage with Knives")</f>
        <v>DEF: +125000 ++X2 damage with Knives</v>
      </c>
      <c r="G580" s="1">
        <f>IFERROR(__xludf.DUMMYFUNCTION("""COMPUTED_VALUE"""),3.1125E8)</f>
        <v>311250000</v>
      </c>
      <c r="H580" s="1"/>
      <c r="I580" s="1"/>
      <c r="J580" s="1"/>
      <c r="K580" s="1"/>
      <c r="L580" s="1"/>
      <c r="M580" s="1"/>
      <c r="N580" s="1"/>
      <c r="O580" s="1"/>
      <c r="P580" s="1"/>
      <c r="Q580" s="1"/>
      <c r="R580" s="1"/>
      <c r="S580" s="1"/>
      <c r="T580" s="1"/>
      <c r="U580" s="1"/>
      <c r="V580" s="1"/>
      <c r="W580" s="1"/>
      <c r="X580" s="1"/>
      <c r="Y580" s="1"/>
      <c r="Z580" s="1"/>
      <c r="AA580" s="1"/>
    </row>
    <row r="581" ht="15.75" customHeight="1">
      <c r="A581" s="1" t="str">
        <f>IFERROR(__xludf.DUMMYFUNCTION("""COMPUTED_VALUE"""),"Ninja Initiate's Cape")</f>
        <v>Ninja Initiate's Cape</v>
      </c>
      <c r="B581" s="1" t="str">
        <f>IFERROR(__xludf.DUMMYFUNCTION("""COMPUTED_VALUE"""),"Armor given to newbie Ninja's who have yet to choose a master")</f>
        <v>Armor given to newbie Ninja's who have yet to choose a master</v>
      </c>
      <c r="C581" s="1"/>
      <c r="D581" s="1" t="str">
        <f>IFERROR(__xludf.DUMMYFUNCTION("""COMPUTED_VALUE"""),"Shoulders")</f>
        <v>Shoulders</v>
      </c>
      <c r="E581" s="1">
        <f>IFERROR(__xludf.DUMMYFUNCTION("""COMPUTED_VALUE"""),2500.0)</f>
        <v>2500</v>
      </c>
      <c r="F581" s="1" t="str">
        <f>IFERROR(__xludf.DUMMYFUNCTION("""COMPUTED_VALUE"""),"DEF: +125000 ++X2 damage with Knives")</f>
        <v>DEF: +125000 ++X2 damage with Knives</v>
      </c>
      <c r="G581" s="1">
        <f>IFERROR(__xludf.DUMMYFUNCTION("""COMPUTED_VALUE"""),3.1125E8)</f>
        <v>311250000</v>
      </c>
      <c r="H581" s="1"/>
      <c r="I581" s="1"/>
      <c r="J581" s="1"/>
      <c r="K581" s="1"/>
      <c r="L581" s="1"/>
      <c r="M581" s="1"/>
      <c r="N581" s="1"/>
      <c r="O581" s="1"/>
      <c r="P581" s="1"/>
      <c r="Q581" s="1"/>
      <c r="R581" s="1"/>
      <c r="S581" s="1"/>
      <c r="T581" s="1"/>
      <c r="U581" s="1"/>
      <c r="V581" s="1"/>
      <c r="W581" s="1"/>
      <c r="X581" s="1"/>
      <c r="Y581" s="1"/>
      <c r="Z581" s="1"/>
      <c r="AA581" s="1"/>
    </row>
    <row r="582" ht="15.75" customHeight="1">
      <c r="A582" s="1" t="str">
        <f>IFERROR(__xludf.DUMMYFUNCTION("""COMPUTED_VALUE"""),"Ninja Initiate's Vest")</f>
        <v>Ninja Initiate's Vest</v>
      </c>
      <c r="B582" s="1" t="str">
        <f>IFERROR(__xludf.DUMMYFUNCTION("""COMPUTED_VALUE"""),"Armor given to newbie Ninja's who have yet to choose a master")</f>
        <v>Armor given to newbie Ninja's who have yet to choose a master</v>
      </c>
      <c r="C582" s="1"/>
      <c r="D582" s="1" t="str">
        <f>IFERROR(__xludf.DUMMYFUNCTION("""COMPUTED_VALUE"""),"Torso")</f>
        <v>Torso</v>
      </c>
      <c r="E582" s="1">
        <f>IFERROR(__xludf.DUMMYFUNCTION("""COMPUTED_VALUE"""),2500.0)</f>
        <v>2500</v>
      </c>
      <c r="F582" s="1" t="str">
        <f>IFERROR(__xludf.DUMMYFUNCTION("""COMPUTED_VALUE"""),"DEF: +125000 ++X2 damage with Knives")</f>
        <v>DEF: +125000 ++X2 damage with Knives</v>
      </c>
      <c r="G582" s="1">
        <f>IFERROR(__xludf.DUMMYFUNCTION("""COMPUTED_VALUE"""),3.1125E8)</f>
        <v>311250000</v>
      </c>
      <c r="H582" s="1"/>
      <c r="I582" s="1"/>
      <c r="J582" s="1"/>
      <c r="K582" s="1"/>
      <c r="L582" s="1"/>
      <c r="M582" s="1"/>
      <c r="N582" s="1"/>
      <c r="O582" s="1"/>
      <c r="P582" s="1"/>
      <c r="Q582" s="1"/>
      <c r="R582" s="1"/>
      <c r="S582" s="1"/>
      <c r="T582" s="1"/>
      <c r="U582" s="1"/>
      <c r="V582" s="1"/>
      <c r="W582" s="1"/>
      <c r="X582" s="1"/>
      <c r="Y582" s="1"/>
      <c r="Z582" s="1"/>
      <c r="AA582" s="1"/>
    </row>
    <row r="583" ht="15.75" customHeight="1">
      <c r="A583" s="1" t="str">
        <f>IFERROR(__xludf.DUMMYFUNCTION("""COMPUTED_VALUE"""),"Ninja Initiate's Gloves")</f>
        <v>Ninja Initiate's Gloves</v>
      </c>
      <c r="B583" s="1" t="str">
        <f>IFERROR(__xludf.DUMMYFUNCTION("""COMPUTED_VALUE"""),"Armor given to newbie Ninja's who have yet to choose a master")</f>
        <v>Armor given to newbie Ninja's who have yet to choose a master</v>
      </c>
      <c r="C583" s="1"/>
      <c r="D583" s="1" t="str">
        <f>IFERROR(__xludf.DUMMYFUNCTION("""COMPUTED_VALUE"""),"Arms")</f>
        <v>Arms</v>
      </c>
      <c r="E583" s="1">
        <f>IFERROR(__xludf.DUMMYFUNCTION("""COMPUTED_VALUE"""),2500.0)</f>
        <v>2500</v>
      </c>
      <c r="F583" s="1" t="str">
        <f>IFERROR(__xludf.DUMMYFUNCTION("""COMPUTED_VALUE"""),"DEF: +125000 ++X2 damage with Knives")</f>
        <v>DEF: +125000 ++X2 damage with Knives</v>
      </c>
      <c r="G583" s="1">
        <f>IFERROR(__xludf.DUMMYFUNCTION("""COMPUTED_VALUE"""),3.1125E8)</f>
        <v>311250000</v>
      </c>
      <c r="H583" s="1"/>
      <c r="I583" s="1"/>
      <c r="J583" s="1"/>
      <c r="K583" s="1"/>
      <c r="L583" s="1"/>
      <c r="M583" s="1"/>
      <c r="N583" s="1"/>
      <c r="O583" s="1"/>
      <c r="P583" s="1"/>
      <c r="Q583" s="1"/>
      <c r="R583" s="1"/>
      <c r="S583" s="1"/>
      <c r="T583" s="1"/>
      <c r="U583" s="1"/>
      <c r="V583" s="1"/>
      <c r="W583" s="1"/>
      <c r="X583" s="1"/>
      <c r="Y583" s="1"/>
      <c r="Z583" s="1"/>
      <c r="AA583" s="1"/>
    </row>
    <row r="584" ht="15.75" customHeight="1">
      <c r="A584" s="1" t="str">
        <f>IFERROR(__xludf.DUMMYFUNCTION("""COMPUTED_VALUE"""),"Ninja Initiate's Sarouel")</f>
        <v>Ninja Initiate's Sarouel</v>
      </c>
      <c r="B584" s="1" t="str">
        <f>IFERROR(__xludf.DUMMYFUNCTION("""COMPUTED_VALUE"""),"Armor given to newbie Ninja's who have yet to choose a master")</f>
        <v>Armor given to newbie Ninja's who have yet to choose a master</v>
      </c>
      <c r="C584" s="1"/>
      <c r="D584" s="1" t="str">
        <f>IFERROR(__xludf.DUMMYFUNCTION("""COMPUTED_VALUE"""),"Legs")</f>
        <v>Legs</v>
      </c>
      <c r="E584" s="1">
        <f>IFERROR(__xludf.DUMMYFUNCTION("""COMPUTED_VALUE"""),2500.0)</f>
        <v>2500</v>
      </c>
      <c r="F584" s="1" t="str">
        <f>IFERROR(__xludf.DUMMYFUNCTION("""COMPUTED_VALUE"""),"DEF: +125000 ++X2 damage with Knives")</f>
        <v>DEF: +125000 ++X2 damage with Knives</v>
      </c>
      <c r="G584" s="1">
        <f>IFERROR(__xludf.DUMMYFUNCTION("""COMPUTED_VALUE"""),3.1125E8)</f>
        <v>311250000</v>
      </c>
      <c r="H584" s="1"/>
      <c r="I584" s="1"/>
      <c r="J584" s="1"/>
      <c r="K584" s="1"/>
      <c r="L584" s="1"/>
      <c r="M584" s="1"/>
      <c r="N584" s="1"/>
      <c r="O584" s="1"/>
      <c r="P584" s="1"/>
      <c r="Q584" s="1"/>
      <c r="R584" s="1"/>
      <c r="S584" s="1"/>
      <c r="T584" s="1"/>
      <c r="U584" s="1"/>
      <c r="V584" s="1"/>
      <c r="W584" s="1"/>
      <c r="X584" s="1"/>
      <c r="Y584" s="1"/>
      <c r="Z584" s="1"/>
      <c r="AA584" s="1"/>
    </row>
    <row r="585" ht="15.75" customHeight="1">
      <c r="A585" s="1" t="str">
        <f>IFERROR(__xludf.DUMMYFUNCTION("""COMPUTED_VALUE"""),"Ninja Initiate's Sandals")</f>
        <v>Ninja Initiate's Sandals</v>
      </c>
      <c r="B585" s="1" t="str">
        <f>IFERROR(__xludf.DUMMYFUNCTION("""COMPUTED_VALUE"""),"Armor given to newbie Ninja's who have yet to choose a master")</f>
        <v>Armor given to newbie Ninja's who have yet to choose a master</v>
      </c>
      <c r="C585" s="1"/>
      <c r="D585" s="1" t="str">
        <f>IFERROR(__xludf.DUMMYFUNCTION("""COMPUTED_VALUE"""),"Feet")</f>
        <v>Feet</v>
      </c>
      <c r="E585" s="1">
        <f>IFERROR(__xludf.DUMMYFUNCTION("""COMPUTED_VALUE"""),2500.0)</f>
        <v>2500</v>
      </c>
      <c r="F585" s="1" t="str">
        <f>IFERROR(__xludf.DUMMYFUNCTION("""COMPUTED_VALUE"""),"DEF: +125000 ++X2 damage with Knives")</f>
        <v>DEF: +125000 ++X2 damage with Knives</v>
      </c>
      <c r="G585" s="1">
        <f>IFERROR(__xludf.DUMMYFUNCTION("""COMPUTED_VALUE"""),3.1125E8)</f>
        <v>311250000</v>
      </c>
      <c r="H585" s="1"/>
      <c r="I585" s="1"/>
      <c r="J585" s="1"/>
      <c r="K585" s="1"/>
      <c r="L585" s="1"/>
      <c r="M585" s="1"/>
      <c r="N585" s="1"/>
      <c r="O585" s="1"/>
      <c r="P585" s="1"/>
      <c r="Q585" s="1"/>
      <c r="R585" s="1"/>
      <c r="S585" s="1"/>
      <c r="T585" s="1"/>
      <c r="U585" s="1"/>
      <c r="V585" s="1"/>
      <c r="W585" s="1"/>
      <c r="X585" s="1"/>
      <c r="Y585" s="1"/>
      <c r="Z585" s="1"/>
      <c r="AA585" s="1"/>
    </row>
    <row r="586" ht="15.75" customHeight="1">
      <c r="A586" s="1" t="str">
        <f>IFERROR(__xludf.DUMMYFUNCTION("""COMPUTED_VALUE"""),"Sai")</f>
        <v>Sai</v>
      </c>
      <c r="B586" s="1" t="str">
        <f>IFERROR(__xludf.DUMMYFUNCTION("""COMPUTED_VALUE"""),"A weapon designed for redirecting an enemies blade and then striking for their vitals")</f>
        <v>A weapon designed for redirecting an enemies blade and then striking for their vitals</v>
      </c>
      <c r="C586" s="1" t="str">
        <f>IFERROR(__xludf.DUMMYFUNCTION("""COMPUTED_VALUE"""),"Knife")</f>
        <v>Knife</v>
      </c>
      <c r="D586" s="1" t="str">
        <f>IFERROR(__xludf.DUMMYFUNCTION("""COMPUTED_VALUE"""),"Hand")</f>
        <v>Hand</v>
      </c>
      <c r="E586" s="1">
        <f>IFERROR(__xludf.DUMMYFUNCTION("""COMPUTED_VALUE"""),2500.0)</f>
        <v>2500</v>
      </c>
      <c r="F586" s="1"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
        <f>IFERROR(__xludf.DUMMYFUNCTION("""COMPUTED_VALUE"""),3.1125E8)</f>
        <v>311250000</v>
      </c>
      <c r="H586" s="1"/>
      <c r="I586" s="1"/>
      <c r="J586" s="1"/>
      <c r="K586" s="1"/>
      <c r="L586" s="1"/>
      <c r="M586" s="1"/>
      <c r="N586" s="1"/>
      <c r="O586" s="1"/>
      <c r="P586" s="1"/>
      <c r="Q586" s="1"/>
      <c r="R586" s="1"/>
      <c r="S586" s="1"/>
      <c r="T586" s="1"/>
      <c r="U586" s="1"/>
      <c r="V586" s="1"/>
      <c r="W586" s="1"/>
      <c r="X586" s="1"/>
      <c r="Y586" s="1"/>
      <c r="Z586" s="1"/>
      <c r="AA586" s="1"/>
    </row>
    <row r="587" ht="15.75" customHeight="1">
      <c r="A587" s="1" t="str">
        <f>IFERROR(__xludf.DUMMYFUNCTION("""COMPUTED_VALUE"""),"Poison Master's Mask")</f>
        <v>Poison Master's Mask</v>
      </c>
      <c r="B587"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
      <c r="D587" s="1" t="str">
        <f>IFERROR(__xludf.DUMMYFUNCTION("""COMPUTED_VALUE"""),"Head")</f>
        <v>Head</v>
      </c>
      <c r="E587" s="1">
        <f>IFERROR(__xludf.DUMMYFUNCTION("""COMPUTED_VALUE"""),2500.0)</f>
        <v>2500</v>
      </c>
      <c r="F587" s="1" t="str">
        <f>IFERROR(__xludf.DUMMYFUNCTION("""COMPUTED_VALUE"""),"DEF: +125000 ++X2 Poison damage")</f>
        <v>DEF: +125000 ++X2 Poison damage</v>
      </c>
      <c r="G587" s="1">
        <f>IFERROR(__xludf.DUMMYFUNCTION("""COMPUTED_VALUE"""),3.1125E8)</f>
        <v>311250000</v>
      </c>
      <c r="H587" s="1"/>
      <c r="I587" s="1"/>
      <c r="J587" s="1"/>
      <c r="K587" s="1"/>
      <c r="L587" s="1"/>
      <c r="M587" s="1"/>
      <c r="N587" s="1"/>
      <c r="O587" s="1"/>
      <c r="P587" s="1"/>
      <c r="Q587" s="1"/>
      <c r="R587" s="1"/>
      <c r="S587" s="1"/>
      <c r="T587" s="1"/>
      <c r="U587" s="1"/>
      <c r="V587" s="1"/>
      <c r="W587" s="1"/>
      <c r="X587" s="1"/>
      <c r="Y587" s="1"/>
      <c r="Z587" s="1"/>
      <c r="AA587" s="1"/>
    </row>
    <row r="588" ht="15.75" customHeight="1">
      <c r="A588" s="1" t="str">
        <f>IFERROR(__xludf.DUMMYFUNCTION("""COMPUTED_VALUE"""),"Poison Master's Cape")</f>
        <v>Poison Master's Cape</v>
      </c>
      <c r="B588"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
      <c r="D588" s="1" t="str">
        <f>IFERROR(__xludf.DUMMYFUNCTION("""COMPUTED_VALUE"""),"Shoulders")</f>
        <v>Shoulders</v>
      </c>
      <c r="E588" s="1">
        <f>IFERROR(__xludf.DUMMYFUNCTION("""COMPUTED_VALUE"""),2500.0)</f>
        <v>2500</v>
      </c>
      <c r="F588" s="1" t="str">
        <f>IFERROR(__xludf.DUMMYFUNCTION("""COMPUTED_VALUE"""),"DEF: +125000 ++X2 Poison damage")</f>
        <v>DEF: +125000 ++X2 Poison damage</v>
      </c>
      <c r="G588" s="1">
        <f>IFERROR(__xludf.DUMMYFUNCTION("""COMPUTED_VALUE"""),3.1125E8)</f>
        <v>311250000</v>
      </c>
      <c r="H588" s="1"/>
      <c r="I588" s="1"/>
      <c r="J588" s="1"/>
      <c r="K588" s="1"/>
      <c r="L588" s="1"/>
      <c r="M588" s="1"/>
      <c r="N588" s="1"/>
      <c r="O588" s="1"/>
      <c r="P588" s="1"/>
      <c r="Q588" s="1"/>
      <c r="R588" s="1"/>
      <c r="S588" s="1"/>
      <c r="T588" s="1"/>
      <c r="U588" s="1"/>
      <c r="V588" s="1"/>
      <c r="W588" s="1"/>
      <c r="X588" s="1"/>
      <c r="Y588" s="1"/>
      <c r="Z588" s="1"/>
      <c r="AA588" s="1"/>
    </row>
    <row r="589" ht="15.75" customHeight="1">
      <c r="A589" s="1" t="str">
        <f>IFERROR(__xludf.DUMMYFUNCTION("""COMPUTED_VALUE"""),"Poison Master's Robe")</f>
        <v>Poison Master's Robe</v>
      </c>
      <c r="B589"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
      <c r="D589" s="1" t="str">
        <f>IFERROR(__xludf.DUMMYFUNCTION("""COMPUTED_VALUE"""),"Torso")</f>
        <v>Torso</v>
      </c>
      <c r="E589" s="1">
        <f>IFERROR(__xludf.DUMMYFUNCTION("""COMPUTED_VALUE"""),2500.0)</f>
        <v>2500</v>
      </c>
      <c r="F589" s="1" t="str">
        <f>IFERROR(__xludf.DUMMYFUNCTION("""COMPUTED_VALUE"""),"DEF: +125000")</f>
        <v>DEF: +125000</v>
      </c>
      <c r="G589" s="1">
        <f>IFERROR(__xludf.DUMMYFUNCTION("""COMPUTED_VALUE"""),3.1125E8)</f>
        <v>311250000</v>
      </c>
      <c r="H589" s="1"/>
      <c r="I589" s="1"/>
      <c r="J589" s="1"/>
      <c r="K589" s="1"/>
      <c r="L589" s="1"/>
      <c r="M589" s="1"/>
      <c r="N589" s="1"/>
      <c r="O589" s="1"/>
      <c r="P589" s="1"/>
      <c r="Q589" s="1"/>
      <c r="R589" s="1"/>
      <c r="S589" s="1"/>
      <c r="T589" s="1"/>
      <c r="U589" s="1"/>
      <c r="V589" s="1"/>
      <c r="W589" s="1"/>
      <c r="X589" s="1"/>
      <c r="Y589" s="1"/>
      <c r="Z589" s="1"/>
      <c r="AA589" s="1"/>
    </row>
    <row r="590" ht="15.75" customHeight="1">
      <c r="A590" s="1" t="str">
        <f>IFERROR(__xludf.DUMMYFUNCTION("""COMPUTED_VALUE"""),"Poison Master's Heavy Duty Gloves")</f>
        <v>Poison Master's Heavy Duty Gloves</v>
      </c>
      <c r="B590"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
      <c r="D590" s="1" t="str">
        <f>IFERROR(__xludf.DUMMYFUNCTION("""COMPUTED_VALUE"""),"Arms")</f>
        <v>Arms</v>
      </c>
      <c r="E590" s="1">
        <f>IFERROR(__xludf.DUMMYFUNCTION("""COMPUTED_VALUE"""),2500.0)</f>
        <v>2500</v>
      </c>
      <c r="F590" s="1" t="str">
        <f>IFERROR(__xludf.DUMMYFUNCTION("""COMPUTED_VALUE"""),"DEF: +125000 ++Poison Immunity")</f>
        <v>DEF: +125000 ++Poison Immunity</v>
      </c>
      <c r="G590" s="1">
        <f>IFERROR(__xludf.DUMMYFUNCTION("""COMPUTED_VALUE"""),3.1125E8)</f>
        <v>311250000</v>
      </c>
      <c r="H590" s="1"/>
      <c r="I590" s="1"/>
      <c r="J590" s="1"/>
      <c r="K590" s="1"/>
      <c r="L590" s="1"/>
      <c r="M590" s="1"/>
      <c r="N590" s="1"/>
      <c r="O590" s="1"/>
      <c r="P590" s="1"/>
      <c r="Q590" s="1"/>
      <c r="R590" s="1"/>
      <c r="S590" s="1"/>
      <c r="T590" s="1"/>
      <c r="U590" s="1"/>
      <c r="V590" s="1"/>
      <c r="W590" s="1"/>
      <c r="X590" s="1"/>
      <c r="Y590" s="1"/>
      <c r="Z590" s="1"/>
      <c r="AA590" s="1"/>
    </row>
    <row r="591" ht="15.75" customHeight="1">
      <c r="A591" s="1" t="str">
        <f>IFERROR(__xludf.DUMMYFUNCTION("""COMPUTED_VALUE"""),"Poison Master's Sarouel")</f>
        <v>Poison Master's Sarouel</v>
      </c>
      <c r="B591"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
      <c r="D591" s="1" t="str">
        <f>IFERROR(__xludf.DUMMYFUNCTION("""COMPUTED_VALUE"""),"Legs")</f>
        <v>Legs</v>
      </c>
      <c r="E591" s="1">
        <f>IFERROR(__xludf.DUMMYFUNCTION("""COMPUTED_VALUE"""),2500.0)</f>
        <v>2500</v>
      </c>
      <c r="F591" s="1" t="str">
        <f>IFERROR(__xludf.DUMMYFUNCTION("""COMPUTED_VALUE"""),"DEF: +125000")</f>
        <v>DEF: +125000</v>
      </c>
      <c r="G591" s="1">
        <f>IFERROR(__xludf.DUMMYFUNCTION("""COMPUTED_VALUE"""),3.1125E8)</f>
        <v>311250000</v>
      </c>
      <c r="H591" s="1"/>
      <c r="I591" s="1"/>
      <c r="J591" s="1"/>
      <c r="K591" s="1"/>
      <c r="L591" s="1"/>
      <c r="M591" s="1"/>
      <c r="N591" s="1"/>
      <c r="O591" s="1"/>
      <c r="P591" s="1"/>
      <c r="Q591" s="1"/>
      <c r="R591" s="1"/>
      <c r="S591" s="1"/>
      <c r="T591" s="1"/>
      <c r="U591" s="1"/>
      <c r="V591" s="1"/>
      <c r="W591" s="1"/>
      <c r="X591" s="1"/>
      <c r="Y591" s="1"/>
      <c r="Z591" s="1"/>
      <c r="AA591" s="1"/>
    </row>
    <row r="592" ht="15.75" customHeight="1">
      <c r="A592" s="1" t="str">
        <f>IFERROR(__xludf.DUMMYFUNCTION("""COMPUTED_VALUE"""),"Poison Master's Boots")</f>
        <v>Poison Master's Boots</v>
      </c>
      <c r="B592"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
      <c r="D592" s="1" t="str">
        <f>IFERROR(__xludf.DUMMYFUNCTION("""COMPUTED_VALUE"""),"Feet")</f>
        <v>Feet</v>
      </c>
      <c r="E592" s="1">
        <f>IFERROR(__xludf.DUMMYFUNCTION("""COMPUTED_VALUE"""),2500.0)</f>
        <v>2500</v>
      </c>
      <c r="F592" s="1" t="str">
        <f>IFERROR(__xludf.DUMMYFUNCTION("""COMPUTED_VALUE"""),"DEF: +125000 ++When an enemy is Poisoned gain Haste 3")</f>
        <v>DEF: +125000 ++When an enemy is Poisoned gain Haste 3</v>
      </c>
      <c r="G592" s="1">
        <f>IFERROR(__xludf.DUMMYFUNCTION("""COMPUTED_VALUE"""),3.1125E8)</f>
        <v>311250000</v>
      </c>
      <c r="H592" s="1"/>
      <c r="I592" s="1"/>
      <c r="J592" s="1"/>
      <c r="K592" s="1"/>
      <c r="L592" s="1"/>
      <c r="M592" s="1"/>
      <c r="N592" s="1"/>
      <c r="O592" s="1"/>
      <c r="P592" s="1"/>
      <c r="Q592" s="1"/>
      <c r="R592" s="1"/>
      <c r="S592" s="1"/>
      <c r="T592" s="1"/>
      <c r="U592" s="1"/>
      <c r="V592" s="1"/>
      <c r="W592" s="1"/>
      <c r="X592" s="1"/>
      <c r="Y592" s="1"/>
      <c r="Z592" s="1"/>
      <c r="AA592" s="1"/>
    </row>
    <row r="593" ht="15.75" customHeight="1">
      <c r="A593" s="1" t="str">
        <f>IFERROR(__xludf.DUMMYFUNCTION("""COMPUTED_VALUE"""),"Ambusher's Cowl")</f>
        <v>Ambusher's Cowl</v>
      </c>
      <c r="B593" s="1" t="str">
        <f>IFERROR(__xludf.DUMMYFUNCTION("""COMPUTED_VALUE"""),"The armor of intermediate ninja's who have decided to pursue the art of the ambush to the extreme")</f>
        <v>The armor of intermediate ninja's who have decided to pursue the art of the ambush to the extreme</v>
      </c>
      <c r="C593" s="1"/>
      <c r="D593" s="1" t="str">
        <f>IFERROR(__xludf.DUMMYFUNCTION("""COMPUTED_VALUE"""),"Head")</f>
        <v>Head</v>
      </c>
      <c r="E593" s="1">
        <f>IFERROR(__xludf.DUMMYFUNCTION("""COMPUTED_VALUE"""),2500.0)</f>
        <v>2500</v>
      </c>
      <c r="F593" s="1" t="str">
        <f>IFERROR(__xludf.DUMMYFUNCTION("""COMPUTED_VALUE"""),"DEF: +125000 ++Conceal is Guaranteed to cast if the last action you took was a weapon attack")</f>
        <v>DEF: +125000 ++Conceal is Guaranteed to cast if the last action you took was a weapon attack</v>
      </c>
      <c r="G593" s="1">
        <f>IFERROR(__xludf.DUMMYFUNCTION("""COMPUTED_VALUE"""),3.1125E8)</f>
        <v>311250000</v>
      </c>
      <c r="H593" s="1"/>
      <c r="I593" s="1"/>
      <c r="J593" s="1"/>
      <c r="K593" s="1"/>
      <c r="L593" s="1"/>
      <c r="M593" s="1"/>
      <c r="N593" s="1"/>
      <c r="O593" s="1"/>
      <c r="P593" s="1"/>
      <c r="Q593" s="1"/>
      <c r="R593" s="1"/>
      <c r="S593" s="1"/>
      <c r="T593" s="1"/>
      <c r="U593" s="1"/>
      <c r="V593" s="1"/>
      <c r="W593" s="1"/>
      <c r="X593" s="1"/>
      <c r="Y593" s="1"/>
      <c r="Z593" s="1"/>
      <c r="AA593" s="1"/>
    </row>
    <row r="594" ht="15.75" customHeight="1">
      <c r="A594" s="1" t="str">
        <f>IFERROR(__xludf.DUMMYFUNCTION("""COMPUTED_VALUE"""),"Ambusher's Cape")</f>
        <v>Ambusher's Cape</v>
      </c>
      <c r="B594" s="1" t="str">
        <f>IFERROR(__xludf.DUMMYFUNCTION("""COMPUTED_VALUE"""),"The armor of intermediate ninja's who have decided to pursue the art of the ambush to the extreme")</f>
        <v>The armor of intermediate ninja's who have decided to pursue the art of the ambush to the extreme</v>
      </c>
      <c r="C594" s="1"/>
      <c r="D594" s="1" t="str">
        <f>IFERROR(__xludf.DUMMYFUNCTION("""COMPUTED_VALUE"""),"Shoulders")</f>
        <v>Shoulders</v>
      </c>
      <c r="E594" s="1">
        <f>IFERROR(__xludf.DUMMYFUNCTION("""COMPUTED_VALUE"""),2500.0)</f>
        <v>2500</v>
      </c>
      <c r="F594" s="1" t="str">
        <f>IFERROR(__xludf.DUMMYFUNCTION("""COMPUTED_VALUE"""),"DEF: +125000 ++Conceal: upon entering combat you are invulnerable for 1 round or until you attack")</f>
        <v>DEF: +125000 ++Conceal: upon entering combat you are invulnerable for 1 round or until you attack</v>
      </c>
      <c r="G594" s="1">
        <f>IFERROR(__xludf.DUMMYFUNCTION("""COMPUTED_VALUE"""),3.1125E8)</f>
        <v>311250000</v>
      </c>
      <c r="H594" s="1"/>
      <c r="I594" s="1"/>
      <c r="J594" s="1"/>
      <c r="K594" s="1"/>
      <c r="L594" s="1"/>
      <c r="M594" s="1"/>
      <c r="N594" s="1"/>
      <c r="O594" s="1"/>
      <c r="P594" s="1"/>
      <c r="Q594" s="1"/>
      <c r="R594" s="1"/>
      <c r="S594" s="1"/>
      <c r="T594" s="1"/>
      <c r="U594" s="1"/>
      <c r="V594" s="1"/>
      <c r="W594" s="1"/>
      <c r="X594" s="1"/>
      <c r="Y594" s="1"/>
      <c r="Z594" s="1"/>
      <c r="AA594" s="1"/>
    </row>
    <row r="595" ht="15.75" customHeight="1">
      <c r="A595" s="1" t="str">
        <f>IFERROR(__xludf.DUMMYFUNCTION("""COMPUTED_VALUE"""),"Ambusher's Vest")</f>
        <v>Ambusher's Vest</v>
      </c>
      <c r="B595" s="1" t="str">
        <f>IFERROR(__xludf.DUMMYFUNCTION("""COMPUTED_VALUE"""),"The armor of intermediate ninja's who have decided to pursue the art of the ambush to the extreme")</f>
        <v>The armor of intermediate ninja's who have decided to pursue the art of the ambush to the extreme</v>
      </c>
      <c r="C595" s="1"/>
      <c r="D595" s="1" t="str">
        <f>IFERROR(__xludf.DUMMYFUNCTION("""COMPUTED_VALUE"""),"Torso")</f>
        <v>Torso</v>
      </c>
      <c r="E595" s="1">
        <f>IFERROR(__xludf.DUMMYFUNCTION("""COMPUTED_VALUE"""),2500.0)</f>
        <v>2500</v>
      </c>
      <c r="F595" s="1" t="str">
        <f>IFERROR(__xludf.DUMMYFUNCTION("""COMPUTED_VALUE"""),"DEF: +125000 ++When breaking concealment deal X2 damage")</f>
        <v>DEF: +125000 ++When breaking concealment deal X2 damage</v>
      </c>
      <c r="G595" s="1">
        <f>IFERROR(__xludf.DUMMYFUNCTION("""COMPUTED_VALUE"""),3.1125E8)</f>
        <v>311250000</v>
      </c>
      <c r="H595" s="1"/>
      <c r="I595" s="1"/>
      <c r="J595" s="1"/>
      <c r="K595" s="1"/>
      <c r="L595" s="1"/>
      <c r="M595" s="1"/>
      <c r="N595" s="1"/>
      <c r="O595" s="1"/>
      <c r="P595" s="1"/>
      <c r="Q595" s="1"/>
      <c r="R595" s="1"/>
      <c r="S595" s="1"/>
      <c r="T595" s="1"/>
      <c r="U595" s="1"/>
      <c r="V595" s="1"/>
      <c r="W595" s="1"/>
      <c r="X595" s="1"/>
      <c r="Y595" s="1"/>
      <c r="Z595" s="1"/>
      <c r="AA595" s="1"/>
    </row>
    <row r="596" ht="15.75" customHeight="1">
      <c r="A596" s="1" t="str">
        <f>IFERROR(__xludf.DUMMYFUNCTION("""COMPUTED_VALUE"""),"Ambusher's Gloves")</f>
        <v>Ambusher's Gloves</v>
      </c>
      <c r="B596" s="1" t="str">
        <f>IFERROR(__xludf.DUMMYFUNCTION("""COMPUTED_VALUE"""),"The armor of intermediate ninja's who have decided to pursue the art of the ambush to the extreme")</f>
        <v>The armor of intermediate ninja's who have decided to pursue the art of the ambush to the extreme</v>
      </c>
      <c r="C596" s="1"/>
      <c r="D596" s="1" t="str">
        <f>IFERROR(__xludf.DUMMYFUNCTION("""COMPUTED_VALUE"""),"Arms")</f>
        <v>Arms</v>
      </c>
      <c r="E596" s="1">
        <f>IFERROR(__xludf.DUMMYFUNCTION("""COMPUTED_VALUE"""),2500.0)</f>
        <v>2500</v>
      </c>
      <c r="F596" s="1"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
        <f>IFERROR(__xludf.DUMMYFUNCTION("""COMPUTED_VALUE"""),3.1125E8)</f>
        <v>311250000</v>
      </c>
      <c r="H596" s="1"/>
      <c r="I596" s="1"/>
      <c r="J596" s="1"/>
      <c r="K596" s="1"/>
      <c r="L596" s="1"/>
      <c r="M596" s="1"/>
      <c r="N596" s="1"/>
      <c r="O596" s="1"/>
      <c r="P596" s="1"/>
      <c r="Q596" s="1"/>
      <c r="R596" s="1"/>
      <c r="S596" s="1"/>
      <c r="T596" s="1"/>
      <c r="U596" s="1"/>
      <c r="V596" s="1"/>
      <c r="W596" s="1"/>
      <c r="X596" s="1"/>
      <c r="Y596" s="1"/>
      <c r="Z596" s="1"/>
      <c r="AA596" s="1"/>
    </row>
    <row r="597" ht="15.75" customHeight="1">
      <c r="A597" s="1" t="str">
        <f>IFERROR(__xludf.DUMMYFUNCTION("""COMPUTED_VALUE"""),"Ambusher's Sarouel")</f>
        <v>Ambusher's Sarouel</v>
      </c>
      <c r="B597" s="1" t="str">
        <f>IFERROR(__xludf.DUMMYFUNCTION("""COMPUTED_VALUE"""),"The armor of intermediate ninja's who have decided to pursue the art of the ambush to the extreme")</f>
        <v>The armor of intermediate ninja's who have decided to pursue the art of the ambush to the extreme</v>
      </c>
      <c r="C597" s="1"/>
      <c r="D597" s="1" t="str">
        <f>IFERROR(__xludf.DUMMYFUNCTION("""COMPUTED_VALUE"""),"Legs")</f>
        <v>Legs</v>
      </c>
      <c r="E597" s="1">
        <f>IFERROR(__xludf.DUMMYFUNCTION("""COMPUTED_VALUE"""),2500.0)</f>
        <v>2500</v>
      </c>
      <c r="F597" s="1" t="str">
        <f>IFERROR(__xludf.DUMMYFUNCTION("""COMPUTED_VALUE"""),"DEF: +125000 ++X2 damage with knives")</f>
        <v>DEF: +125000 ++X2 damage with knives</v>
      </c>
      <c r="G597" s="1">
        <f>IFERROR(__xludf.DUMMYFUNCTION("""COMPUTED_VALUE"""),3.1125E8)</f>
        <v>311250000</v>
      </c>
      <c r="H597" s="1"/>
      <c r="I597" s="1"/>
      <c r="J597" s="1"/>
      <c r="K597" s="1"/>
      <c r="L597" s="1"/>
      <c r="M597" s="1"/>
      <c r="N597" s="1"/>
      <c r="O597" s="1"/>
      <c r="P597" s="1"/>
      <c r="Q597" s="1"/>
      <c r="R597" s="1"/>
      <c r="S597" s="1"/>
      <c r="T597" s="1"/>
      <c r="U597" s="1"/>
      <c r="V597" s="1"/>
      <c r="W597" s="1"/>
      <c r="X597" s="1"/>
      <c r="Y597" s="1"/>
      <c r="Z597" s="1"/>
      <c r="AA597" s="1"/>
    </row>
    <row r="598" ht="15.75" customHeight="1">
      <c r="A598" s="1" t="str">
        <f>IFERROR(__xludf.DUMMYFUNCTION("""COMPUTED_VALUE"""),"Ambusher's Sandals")</f>
        <v>Ambusher's Sandals</v>
      </c>
      <c r="B598" s="1" t="str">
        <f>IFERROR(__xludf.DUMMYFUNCTION("""COMPUTED_VALUE"""),"The armor of intermediate ninja's who have decided to pursue the art of the ambush to the extreme")</f>
        <v>The armor of intermediate ninja's who have decided to pursue the art of the ambush to the extreme</v>
      </c>
      <c r="C598" s="1"/>
      <c r="D598" s="1" t="str">
        <f>IFERROR(__xludf.DUMMYFUNCTION("""COMPUTED_VALUE"""),"Feet")</f>
        <v>Feet</v>
      </c>
      <c r="E598" s="1">
        <f>IFERROR(__xludf.DUMMYFUNCTION("""COMPUTED_VALUE"""),2500.0)</f>
        <v>2500</v>
      </c>
      <c r="F598" s="1" t="str">
        <f>IFERROR(__xludf.DUMMYFUNCTION("""COMPUTED_VALUE"""),"DEF: +125000 ++When breaking concealment gain invigorate 5")</f>
        <v>DEF: +125000 ++When breaking concealment gain invigorate 5</v>
      </c>
      <c r="G598" s="1">
        <f>IFERROR(__xludf.DUMMYFUNCTION("""COMPUTED_VALUE"""),3.1125E8)</f>
        <v>311250000</v>
      </c>
      <c r="H598" s="1"/>
      <c r="I598" s="1"/>
      <c r="J598" s="1"/>
      <c r="K598" s="1"/>
      <c r="L598" s="1"/>
      <c r="M598" s="1"/>
      <c r="N598" s="1"/>
      <c r="O598" s="1"/>
      <c r="P598" s="1"/>
      <c r="Q598" s="1"/>
      <c r="R598" s="1"/>
      <c r="S598" s="1"/>
      <c r="T598" s="1"/>
      <c r="U598" s="1"/>
      <c r="V598" s="1"/>
      <c r="W598" s="1"/>
      <c r="X598" s="1"/>
      <c r="Y598" s="1"/>
      <c r="Z598" s="1"/>
      <c r="AA598" s="1"/>
    </row>
    <row r="599" ht="15.75" customHeight="1">
      <c r="A599" s="1" t="str">
        <f>IFERROR(__xludf.DUMMYFUNCTION("""COMPUTED_VALUE"""),"Blade of Ancestral Blood")</f>
        <v>Blade of Ancestral Blood</v>
      </c>
      <c r="B599" s="1"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 t="str">
        <f>IFERROR(__xludf.DUMMYFUNCTION("""COMPUTED_VALUE"""),"Knife")</f>
        <v>Knife</v>
      </c>
      <c r="D599" s="1" t="str">
        <f>IFERROR(__xludf.DUMMYFUNCTION("""COMPUTED_VALUE"""),"Hand")</f>
        <v>Hand</v>
      </c>
      <c r="E599" s="1">
        <f>IFERROR(__xludf.DUMMYFUNCTION("""COMPUTED_VALUE"""),200.0)</f>
        <v>200</v>
      </c>
      <c r="F599" s="1"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
        <f>IFERROR(__xludf.DUMMYFUNCTION("""COMPUTED_VALUE"""),1.797E9)</f>
        <v>1797000000</v>
      </c>
      <c r="H599" s="1"/>
      <c r="I599" s="1"/>
      <c r="J599" s="1"/>
      <c r="K599" s="1"/>
      <c r="L599" s="1"/>
      <c r="M599" s="1"/>
      <c r="N599" s="1"/>
      <c r="O599" s="1"/>
      <c r="P599" s="1"/>
      <c r="Q599" s="1"/>
      <c r="R599" s="1"/>
      <c r="S599" s="1"/>
      <c r="T599" s="1"/>
      <c r="U599" s="1"/>
      <c r="V599" s="1"/>
      <c r="W599" s="1"/>
      <c r="X599" s="1"/>
      <c r="Y599" s="1"/>
      <c r="Z599" s="1"/>
      <c r="AA599" s="1"/>
    </row>
    <row r="600" ht="15.75" customHeight="1">
      <c r="A600" s="1" t="str">
        <f>IFERROR(__xludf.DUMMYFUNCTION("""COMPUTED_VALUE"""),"Lunaris, Sword of The Moon")</f>
        <v>Lunaris, Sword of The Moon</v>
      </c>
      <c r="B600" s="1"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 t="str">
        <f>IFERROR(__xludf.DUMMYFUNCTION("""COMPUTED_VALUE"""),"Sword")</f>
        <v>Sword</v>
      </c>
      <c r="D600" s="1" t="str">
        <f>IFERROR(__xludf.DUMMYFUNCTION("""COMPUTED_VALUE"""),"Hand")</f>
        <v>Hand</v>
      </c>
      <c r="E600" s="1">
        <f>IFERROR(__xludf.DUMMYFUNCTION("""COMPUTED_VALUE"""),200.0)</f>
        <v>200</v>
      </c>
      <c r="F600" s="1"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
        <f>IFERROR(__xludf.DUMMYFUNCTION("""COMPUTED_VALUE"""),7.194E9)</f>
        <v>7194000000</v>
      </c>
      <c r="H600" s="1"/>
      <c r="I600" s="1"/>
      <c r="J600" s="1"/>
      <c r="K600" s="1"/>
      <c r="L600" s="1"/>
      <c r="M600" s="1"/>
      <c r="N600" s="1"/>
      <c r="O600" s="1"/>
      <c r="P600" s="1"/>
      <c r="Q600" s="1"/>
      <c r="R600" s="1"/>
      <c r="S600" s="1"/>
      <c r="T600" s="1"/>
      <c r="U600" s="1"/>
      <c r="V600" s="1"/>
      <c r="W600" s="1"/>
      <c r="X600" s="1"/>
      <c r="Y600" s="1"/>
      <c r="Z600" s="1"/>
      <c r="AA600" s="1"/>
    </row>
    <row r="601" ht="15.75" customHeight="1">
      <c r="A601" s="1" t="str">
        <f>IFERROR(__xludf.DUMMYFUNCTION("""COMPUTED_VALUE"""),"Master Inugima's Cowl")</f>
        <v>Master Inugima's Cowl</v>
      </c>
      <c r="B601" s="1" t="str">
        <f>IFERROR(__xludf.DUMMYFUNCTION("""COMPUTED_VALUE"""),"Mob Exclusive")</f>
        <v>Mob Exclusive</v>
      </c>
      <c r="C601" s="1"/>
      <c r="D601" s="1" t="str">
        <f>IFERROR(__xludf.DUMMYFUNCTION("""COMPUTED_VALUE"""),"Head")</f>
        <v>Head</v>
      </c>
      <c r="E601" s="1">
        <f>IFERROR(__xludf.DUMMYFUNCTION("""COMPUTED_VALUE"""),1.0)</f>
        <v>1</v>
      </c>
      <c r="F601" s="1" t="str">
        <f>IFERROR(__xludf.DUMMYFUNCTION("""COMPUTED_VALUE"""),"")</f>
        <v/>
      </c>
      <c r="G601" s="1">
        <f>IFERROR(__xludf.DUMMYFUNCTION("""COMPUTED_VALUE"""),0.0)</f>
        <v>0</v>
      </c>
      <c r="H601" s="1"/>
      <c r="I601" s="1"/>
      <c r="J601" s="1"/>
      <c r="K601" s="1"/>
      <c r="L601" s="1"/>
      <c r="M601" s="1"/>
      <c r="N601" s="1"/>
      <c r="O601" s="1"/>
      <c r="P601" s="1"/>
      <c r="Q601" s="1"/>
      <c r="R601" s="1"/>
      <c r="S601" s="1"/>
      <c r="T601" s="1"/>
      <c r="U601" s="1"/>
      <c r="V601" s="1"/>
      <c r="W601" s="1"/>
      <c r="X601" s="1"/>
      <c r="Y601" s="1"/>
      <c r="Z601" s="1"/>
      <c r="AA601" s="1"/>
    </row>
    <row r="602" ht="15.75" customHeight="1">
      <c r="A602" s="1" t="str">
        <f>IFERROR(__xludf.DUMMYFUNCTION("""COMPUTED_VALUE"""),"Master Inugima's Cape")</f>
        <v>Master Inugima's Cape</v>
      </c>
      <c r="B602" s="1" t="str">
        <f>IFERROR(__xludf.DUMMYFUNCTION("""COMPUTED_VALUE"""),"Mob Exclusive")</f>
        <v>Mob Exclusive</v>
      </c>
      <c r="C602" s="1"/>
      <c r="D602" s="1" t="str">
        <f>IFERROR(__xludf.DUMMYFUNCTION("""COMPUTED_VALUE"""),"Shoulders")</f>
        <v>Shoulders</v>
      </c>
      <c r="E602" s="1">
        <f>IFERROR(__xludf.DUMMYFUNCTION("""COMPUTED_VALUE"""),1.0)</f>
        <v>1</v>
      </c>
      <c r="F602" s="1" t="str">
        <f>IFERROR(__xludf.DUMMYFUNCTION("""COMPUTED_VALUE"""),"")</f>
        <v/>
      </c>
      <c r="G602" s="1">
        <f>IFERROR(__xludf.DUMMYFUNCTION("""COMPUTED_VALUE"""),0.0)</f>
        <v>0</v>
      </c>
      <c r="H602" s="1"/>
      <c r="I602" s="1"/>
      <c r="J602" s="1"/>
      <c r="K602" s="1"/>
      <c r="L602" s="1"/>
      <c r="M602" s="1"/>
      <c r="N602" s="1"/>
      <c r="O602" s="1"/>
      <c r="P602" s="1"/>
      <c r="Q602" s="1"/>
      <c r="R602" s="1"/>
      <c r="S602" s="1"/>
      <c r="T602" s="1"/>
      <c r="U602" s="1"/>
      <c r="V602" s="1"/>
      <c r="W602" s="1"/>
      <c r="X602" s="1"/>
      <c r="Y602" s="1"/>
      <c r="Z602" s="1"/>
      <c r="AA602" s="1"/>
    </row>
    <row r="603" ht="15.75" customHeight="1">
      <c r="A603" s="1" t="str">
        <f>IFERROR(__xludf.DUMMYFUNCTION("""COMPUTED_VALUE"""),"Master Inugima's Cloak")</f>
        <v>Master Inugima's Cloak</v>
      </c>
      <c r="B603" s="1" t="str">
        <f>IFERROR(__xludf.DUMMYFUNCTION("""COMPUTED_VALUE"""),"Mob Exclusive")</f>
        <v>Mob Exclusive</v>
      </c>
      <c r="C603" s="1"/>
      <c r="D603" s="1" t="str">
        <f>IFERROR(__xludf.DUMMYFUNCTION("""COMPUTED_VALUE"""),"Torso")</f>
        <v>Torso</v>
      </c>
      <c r="E603" s="1">
        <f>IFERROR(__xludf.DUMMYFUNCTION("""COMPUTED_VALUE"""),1.0)</f>
        <v>1</v>
      </c>
      <c r="F603" s="1" t="str">
        <f>IFERROR(__xludf.DUMMYFUNCTION("""COMPUTED_VALUE"""),"")</f>
        <v/>
      </c>
      <c r="G603" s="1">
        <f>IFERROR(__xludf.DUMMYFUNCTION("""COMPUTED_VALUE"""),0.0)</f>
        <v>0</v>
      </c>
      <c r="H603" s="1"/>
      <c r="I603" s="1"/>
      <c r="J603" s="1"/>
      <c r="K603" s="1"/>
      <c r="L603" s="1"/>
      <c r="M603" s="1"/>
      <c r="N603" s="1"/>
      <c r="O603" s="1"/>
      <c r="P603" s="1"/>
      <c r="Q603" s="1"/>
      <c r="R603" s="1"/>
      <c r="S603" s="1"/>
      <c r="T603" s="1"/>
      <c r="U603" s="1"/>
      <c r="V603" s="1"/>
      <c r="W603" s="1"/>
      <c r="X603" s="1"/>
      <c r="Y603" s="1"/>
      <c r="Z603" s="1"/>
      <c r="AA603" s="1"/>
    </row>
    <row r="604" ht="15.75" customHeight="1">
      <c r="A604" s="1" t="str">
        <f>IFERROR(__xludf.DUMMYFUNCTION("""COMPUTED_VALUE"""),"Master Inugima's Gloves")</f>
        <v>Master Inugima's Gloves</v>
      </c>
      <c r="B604" s="1" t="str">
        <f>IFERROR(__xludf.DUMMYFUNCTION("""COMPUTED_VALUE"""),"Mob Exclusive")</f>
        <v>Mob Exclusive</v>
      </c>
      <c r="C604" s="1"/>
      <c r="D604" s="1" t="str">
        <f>IFERROR(__xludf.DUMMYFUNCTION("""COMPUTED_VALUE"""),"Arms")</f>
        <v>Arms</v>
      </c>
      <c r="E604" s="1">
        <f>IFERROR(__xludf.DUMMYFUNCTION("""COMPUTED_VALUE"""),1.0)</f>
        <v>1</v>
      </c>
      <c r="F604" s="1" t="str">
        <f>IFERROR(__xludf.DUMMYFUNCTION("""COMPUTED_VALUE"""),"")</f>
        <v/>
      </c>
      <c r="G604" s="1">
        <f>IFERROR(__xludf.DUMMYFUNCTION("""COMPUTED_VALUE"""),0.0)</f>
        <v>0</v>
      </c>
      <c r="H604" s="1"/>
      <c r="I604" s="1"/>
      <c r="J604" s="1"/>
      <c r="K604" s="1"/>
      <c r="L604" s="1"/>
      <c r="M604" s="1"/>
      <c r="N604" s="1"/>
      <c r="O604" s="1"/>
      <c r="P604" s="1"/>
      <c r="Q604" s="1"/>
      <c r="R604" s="1"/>
      <c r="S604" s="1"/>
      <c r="T604" s="1"/>
      <c r="U604" s="1"/>
      <c r="V604" s="1"/>
      <c r="W604" s="1"/>
      <c r="X604" s="1"/>
      <c r="Y604" s="1"/>
      <c r="Z604" s="1"/>
      <c r="AA604" s="1"/>
    </row>
    <row r="605" ht="15.75" customHeight="1">
      <c r="A605" s="1" t="str">
        <f>IFERROR(__xludf.DUMMYFUNCTION("""COMPUTED_VALUE"""),"Master Inugima's Sarouel")</f>
        <v>Master Inugima's Sarouel</v>
      </c>
      <c r="B605" s="1" t="str">
        <f>IFERROR(__xludf.DUMMYFUNCTION("""COMPUTED_VALUE"""),"Mob Exclusive")</f>
        <v>Mob Exclusive</v>
      </c>
      <c r="C605" s="1"/>
      <c r="D605" s="1" t="str">
        <f>IFERROR(__xludf.DUMMYFUNCTION("""COMPUTED_VALUE"""),"Legs")</f>
        <v>Legs</v>
      </c>
      <c r="E605" s="1">
        <f>IFERROR(__xludf.DUMMYFUNCTION("""COMPUTED_VALUE"""),1.0)</f>
        <v>1</v>
      </c>
      <c r="F605" s="1" t="str">
        <f>IFERROR(__xludf.DUMMYFUNCTION("""COMPUTED_VALUE"""),"")</f>
        <v/>
      </c>
      <c r="G605" s="1">
        <f>IFERROR(__xludf.DUMMYFUNCTION("""COMPUTED_VALUE"""),0.0)</f>
        <v>0</v>
      </c>
      <c r="H605" s="1"/>
      <c r="I605" s="1"/>
      <c r="J605" s="1"/>
      <c r="K605" s="1"/>
      <c r="L605" s="1"/>
      <c r="M605" s="1"/>
      <c r="N605" s="1"/>
      <c r="O605" s="1"/>
      <c r="P605" s="1"/>
      <c r="Q605" s="1"/>
      <c r="R605" s="1"/>
      <c r="S605" s="1"/>
      <c r="T605" s="1"/>
      <c r="U605" s="1"/>
      <c r="V605" s="1"/>
      <c r="W605" s="1"/>
      <c r="X605" s="1"/>
      <c r="Y605" s="1"/>
      <c r="Z605" s="1"/>
      <c r="AA605" s="1"/>
    </row>
    <row r="606" ht="15.75" customHeight="1">
      <c r="A606" s="1" t="str">
        <f>IFERROR(__xludf.DUMMYFUNCTION("""COMPUTED_VALUE"""),"Master Inugima's Boots")</f>
        <v>Master Inugima's Boots</v>
      </c>
      <c r="B606" s="1" t="str">
        <f>IFERROR(__xludf.DUMMYFUNCTION("""COMPUTED_VALUE"""),"Mob Exclusive")</f>
        <v>Mob Exclusive</v>
      </c>
      <c r="C606" s="1"/>
      <c r="D606" s="1" t="str">
        <f>IFERROR(__xludf.DUMMYFUNCTION("""COMPUTED_VALUE"""),"Feet")</f>
        <v>Feet</v>
      </c>
      <c r="E606" s="1">
        <f>IFERROR(__xludf.DUMMYFUNCTION("""COMPUTED_VALUE"""),1.0)</f>
        <v>1</v>
      </c>
      <c r="F606" s="1" t="str">
        <f>IFERROR(__xludf.DUMMYFUNCTION("""COMPUTED_VALUE"""),"")</f>
        <v/>
      </c>
      <c r="G606" s="1">
        <f>IFERROR(__xludf.DUMMYFUNCTION("""COMPUTED_VALUE"""),0.0)</f>
        <v>0</v>
      </c>
      <c r="H606" s="1"/>
      <c r="I606" s="1"/>
      <c r="J606" s="1"/>
      <c r="K606" s="1"/>
      <c r="L606" s="1"/>
      <c r="M606" s="1"/>
      <c r="N606" s="1"/>
      <c r="O606" s="1"/>
      <c r="P606" s="1"/>
      <c r="Q606" s="1"/>
      <c r="R606" s="1"/>
      <c r="S606" s="1"/>
      <c r="T606" s="1"/>
      <c r="U606" s="1"/>
      <c r="V606" s="1"/>
      <c r="W606" s="1"/>
      <c r="X606" s="1"/>
      <c r="Y606" s="1"/>
      <c r="Z606" s="1"/>
      <c r="AA606" s="1"/>
    </row>
    <row r="607" ht="15.75" customHeight="1">
      <c r="A607" s="1" t="str">
        <f>IFERROR(__xludf.DUMMYFUNCTION("""COMPUTED_VALUE"""),"Master Inugima's Ring")</f>
        <v>Master Inugima's Ring</v>
      </c>
      <c r="B607" s="1" t="str">
        <f>IFERROR(__xludf.DUMMYFUNCTION("""COMPUTED_VALUE"""),"Mob Exclusive")</f>
        <v>Mob Exclusive</v>
      </c>
      <c r="C607" s="1"/>
      <c r="D607" s="1" t="str">
        <f>IFERROR(__xludf.DUMMYFUNCTION("""COMPUTED_VALUE"""),"Finger")</f>
        <v>Finger</v>
      </c>
      <c r="E607" s="1">
        <f>IFERROR(__xludf.DUMMYFUNCTION("""COMPUTED_VALUE"""),1.0)</f>
        <v>1</v>
      </c>
      <c r="F607" s="1"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
        <f>IFERROR(__xludf.DUMMYFUNCTION("""COMPUTED_VALUE"""),0.0)</f>
        <v>0</v>
      </c>
      <c r="H607" s="1"/>
      <c r="I607" s="1"/>
      <c r="J607" s="1"/>
      <c r="K607" s="1"/>
      <c r="L607" s="1"/>
      <c r="M607" s="1"/>
      <c r="N607" s="1"/>
      <c r="O607" s="1"/>
      <c r="P607" s="1"/>
      <c r="Q607" s="1"/>
      <c r="R607" s="1"/>
      <c r="S607" s="1"/>
      <c r="T607" s="1"/>
      <c r="U607" s="1"/>
      <c r="V607" s="1"/>
      <c r="W607" s="1"/>
      <c r="X607" s="1"/>
      <c r="Y607" s="1"/>
      <c r="Z607" s="1"/>
      <c r="AA607" s="1"/>
    </row>
    <row r="608" ht="15.75" customHeight="1">
      <c r="A608" s="1" t="str">
        <f>IFERROR(__xludf.DUMMYFUNCTION("""COMPUTED_VALUE"""),"Master Inugima's Pendant")</f>
        <v>Master Inugima's Pendant</v>
      </c>
      <c r="B608" s="1" t="str">
        <f>IFERROR(__xludf.DUMMYFUNCTION("""COMPUTED_VALUE"""),"Mob Exclusive")</f>
        <v>Mob Exclusive</v>
      </c>
      <c r="C608" s="1"/>
      <c r="D608" s="1" t="str">
        <f>IFERROR(__xludf.DUMMYFUNCTION("""COMPUTED_VALUE"""),"Neck")</f>
        <v>Neck</v>
      </c>
      <c r="E608" s="1">
        <f>IFERROR(__xludf.DUMMYFUNCTION("""COMPUTED_VALUE"""),1.0)</f>
        <v>1</v>
      </c>
      <c r="F608" s="1" t="str">
        <f>IFERROR(__xludf.DUMMYFUNCTION("""COMPUTED_VALUE"""),"")</f>
        <v/>
      </c>
      <c r="G608" s="1">
        <f>IFERROR(__xludf.DUMMYFUNCTION("""COMPUTED_VALUE"""),0.0)</f>
        <v>0</v>
      </c>
      <c r="H608" s="1"/>
      <c r="I608" s="1"/>
      <c r="J608" s="1"/>
      <c r="K608" s="1"/>
      <c r="L608" s="1"/>
      <c r="M608" s="1"/>
      <c r="N608" s="1"/>
      <c r="O608" s="1"/>
      <c r="P608" s="1"/>
      <c r="Q608" s="1"/>
      <c r="R608" s="1"/>
      <c r="S608" s="1"/>
      <c r="T608" s="1"/>
      <c r="U608" s="1"/>
      <c r="V608" s="1"/>
      <c r="W608" s="1"/>
      <c r="X608" s="1"/>
      <c r="Y608" s="1"/>
      <c r="Z608" s="1"/>
      <c r="AA608" s="1"/>
    </row>
    <row r="609" ht="15.75" customHeight="1">
      <c r="A609" s="1" t="str">
        <f>IFERROR(__xludf.DUMMYFUNCTION("""COMPUTED_VALUE"""),"Amulet of Giving")</f>
        <v>Amulet of Giving</v>
      </c>
      <c r="B609" s="1" t="str">
        <f>IFERROR(__xludf.DUMMYFUNCTION("""COMPUTED_VALUE"""),"Thanksgiving Event Item")</f>
        <v>Thanksgiving Event Item</v>
      </c>
      <c r="C609" s="1"/>
      <c r="D609" s="1" t="str">
        <f>IFERROR(__xludf.DUMMYFUNCTION("""COMPUTED_VALUE"""),"Neck")</f>
        <v>Neck</v>
      </c>
      <c r="E609" s="1">
        <f>IFERROR(__xludf.DUMMYFUNCTION("""COMPUTED_VALUE"""),1.0)</f>
        <v>1</v>
      </c>
      <c r="F609" s="1"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
        <f>IFERROR(__xludf.DUMMYFUNCTION("""COMPUTED_VALUE"""),0.0)</f>
        <v>0</v>
      </c>
      <c r="H609" s="1"/>
      <c r="I609" s="1"/>
      <c r="J609" s="1"/>
      <c r="K609" s="1"/>
      <c r="L609" s="1"/>
      <c r="M609" s="1"/>
      <c r="N609" s="1"/>
      <c r="O609" s="1"/>
      <c r="P609" s="1"/>
      <c r="Q609" s="1"/>
      <c r="R609" s="1"/>
      <c r="S609" s="1"/>
      <c r="T609" s="1"/>
      <c r="U609" s="1"/>
      <c r="V609" s="1"/>
      <c r="W609" s="1"/>
      <c r="X609" s="1"/>
      <c r="Y609" s="1"/>
      <c r="Z609" s="1"/>
      <c r="AA609" s="1"/>
    </row>
    <row r="610" ht="15.75" customHeight="1">
      <c r="A610" s="1" t="str">
        <f>IFERROR(__xludf.DUMMYFUNCTION("""COMPUTED_VALUE"""),"Pilgrim's Hat")</f>
        <v>Pilgrim's Hat</v>
      </c>
      <c r="B610" s="1" t="str">
        <f>IFERROR(__xludf.DUMMYFUNCTION("""COMPUTED_VALUE"""),"Thanksgiving Event Item")</f>
        <v>Thanksgiving Event Item</v>
      </c>
      <c r="C610" s="1"/>
      <c r="D610" s="1" t="str">
        <f>IFERROR(__xludf.DUMMYFUNCTION("""COMPUTED_VALUE"""),"Head")</f>
        <v>Head</v>
      </c>
      <c r="E610" s="1">
        <f>IFERROR(__xludf.DUMMYFUNCTION("""COMPUTED_VALUE"""),1.0)</f>
        <v>1</v>
      </c>
      <c r="F610" s="1" t="str">
        <f>IFERROR(__xludf.DUMMYFUNCTION("""COMPUTED_VALUE""")," ++Double the hunger, thirst, and energy you receive when consuming a consumable. +-Cannot be duplicated.")</f>
        <v> ++Double the hunger, thirst, and energy you receive when consuming a consumable. +-Cannot be duplicated.</v>
      </c>
      <c r="G610" s="1">
        <f>IFERROR(__xludf.DUMMYFUNCTION("""COMPUTED_VALUE"""),0.0)</f>
        <v>0</v>
      </c>
      <c r="H610" s="1"/>
      <c r="I610" s="1"/>
      <c r="J610" s="1"/>
      <c r="K610" s="1"/>
      <c r="L610" s="1"/>
      <c r="M610" s="1"/>
      <c r="N610" s="1"/>
      <c r="O610" s="1"/>
      <c r="P610" s="1"/>
      <c r="Q610" s="1"/>
      <c r="R610" s="1"/>
      <c r="S610" s="1"/>
      <c r="T610" s="1"/>
      <c r="U610" s="1"/>
      <c r="V610" s="1"/>
      <c r="W610" s="1"/>
      <c r="X610" s="1"/>
      <c r="Y610" s="1"/>
      <c r="Z610" s="1"/>
      <c r="AA610" s="1"/>
    </row>
    <row r="611" ht="15.75" customHeight="1">
      <c r="A611" s="1" t="str">
        <f>IFERROR(__xludf.DUMMYFUNCTION("""COMPUTED_VALUE"""),"Dragon Flute")</f>
        <v>Dragon Flute</v>
      </c>
      <c r="B611" s="1"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 t="str">
        <f>IFERROR(__xludf.DUMMYFUNCTION("""COMPUTED_VALUE"""),"Instrument")</f>
        <v>Instrument</v>
      </c>
      <c r="D611" s="1" t="str">
        <f>IFERROR(__xludf.DUMMYFUNCTION("""COMPUTED_VALUE"""),"Hand")</f>
        <v>Hand</v>
      </c>
      <c r="E611" s="1">
        <f>IFERROR(__xludf.DUMMYFUNCTION("""COMPUTED_VALUE"""),100.0)</f>
        <v>100</v>
      </c>
      <c r="F611" s="1"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
        <f>IFERROR(__xludf.DUMMYFUNCTION("""COMPUTED_VALUE"""),450000.0)</f>
        <v>450000</v>
      </c>
      <c r="H611" s="1"/>
      <c r="I611" s="1"/>
      <c r="J611" s="1"/>
      <c r="K611" s="1"/>
      <c r="L611" s="1"/>
      <c r="M611" s="1"/>
      <c r="N611" s="1"/>
      <c r="O611" s="1"/>
      <c r="P611" s="1"/>
      <c r="Q611" s="1"/>
      <c r="R611" s="1"/>
      <c r="S611" s="1"/>
      <c r="T611" s="1"/>
      <c r="U611" s="1"/>
      <c r="V611" s="1"/>
      <c r="W611" s="1"/>
      <c r="X611" s="1"/>
      <c r="Y611" s="1"/>
      <c r="Z611" s="1"/>
      <c r="AA611" s="1"/>
    </row>
    <row r="612" ht="15.75" customHeight="1">
      <c r="A612" s="1" t="str">
        <f>IFERROR(__xludf.DUMMYFUNCTION("""COMPUTED_VALUE"""),"Harbingers' Helm of the Unrestrained (Spira)")</f>
        <v>Harbingers' Helm of the Unrestrained (Spira)</v>
      </c>
      <c r="B612" s="1"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
      <c r="D612" s="1" t="str">
        <f>IFERROR(__xludf.DUMMYFUNCTION("""COMPUTED_VALUE"""),"Head")</f>
        <v>Head</v>
      </c>
      <c r="E612" s="1">
        <f>IFERROR(__xludf.DUMMYFUNCTION("""COMPUTED_VALUE"""),200.0)</f>
        <v>200</v>
      </c>
      <c r="F612"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
        <f>IFERROR(__xludf.DUMMYFUNCTION("""COMPUTED_VALUE"""),7.98E8)</f>
        <v>798000000</v>
      </c>
      <c r="H612" s="1"/>
      <c r="I612" s="1"/>
      <c r="J612" s="1"/>
      <c r="K612" s="1"/>
      <c r="L612" s="1"/>
      <c r="M612" s="1"/>
      <c r="N612" s="1"/>
      <c r="O612" s="1"/>
      <c r="P612" s="1"/>
      <c r="Q612" s="1"/>
      <c r="R612" s="1"/>
      <c r="S612" s="1"/>
      <c r="T612" s="1"/>
      <c r="U612" s="1"/>
      <c r="V612" s="1"/>
      <c r="W612" s="1"/>
      <c r="X612" s="1"/>
      <c r="Y612" s="1"/>
      <c r="Z612" s="1"/>
      <c r="AA612" s="1"/>
    </row>
    <row r="613" ht="15.75" customHeight="1">
      <c r="A613" s="1" t="str">
        <f>IFERROR(__xludf.DUMMYFUNCTION("""COMPUTED_VALUE"""),"Harbingers' Shifting Pauldrons (Spira)")</f>
        <v>Harbingers' Shifting Pauldrons (Spira)</v>
      </c>
      <c r="B613" s="1"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
      <c r="D613" s="1" t="str">
        <f>IFERROR(__xludf.DUMMYFUNCTION("""COMPUTED_VALUE"""),"Shoulders")</f>
        <v>Shoulders</v>
      </c>
      <c r="E613" s="1">
        <f>IFERROR(__xludf.DUMMYFUNCTION("""COMPUTED_VALUE"""),200.0)</f>
        <v>200</v>
      </c>
      <c r="F613"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
        <f>IFERROR(__xludf.DUMMYFUNCTION("""COMPUTED_VALUE"""),7.98E8)</f>
        <v>798000000</v>
      </c>
      <c r="H613" s="1"/>
      <c r="I613" s="1"/>
      <c r="J613" s="1"/>
      <c r="K613" s="1"/>
      <c r="L613" s="1"/>
      <c r="M613" s="1"/>
      <c r="N613" s="1"/>
      <c r="O613" s="1"/>
      <c r="P613" s="1"/>
      <c r="Q613" s="1"/>
      <c r="R613" s="1"/>
      <c r="S613" s="1"/>
      <c r="T613" s="1"/>
      <c r="U613" s="1"/>
      <c r="V613" s="1"/>
      <c r="W613" s="1"/>
      <c r="X613" s="1"/>
      <c r="Y613" s="1"/>
      <c r="Z613" s="1"/>
      <c r="AA613" s="1"/>
    </row>
    <row r="614" ht="15.75" customHeight="1">
      <c r="A614" s="1" t="str">
        <f>IFERROR(__xludf.DUMMYFUNCTION("""COMPUTED_VALUE"""),"Harbingers' Emblazoned Chest of The Encroaching Void (Spira)")</f>
        <v>Harbingers' Emblazoned Chest of The Encroaching Void (Spira)</v>
      </c>
      <c r="B614" s="1"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
      <c r="D614" s="1" t="str">
        <f>IFERROR(__xludf.DUMMYFUNCTION("""COMPUTED_VALUE"""),"Torso")</f>
        <v>Torso</v>
      </c>
      <c r="E614" s="1">
        <f>IFERROR(__xludf.DUMMYFUNCTION("""COMPUTED_VALUE"""),200.0)</f>
        <v>200</v>
      </c>
      <c r="F614"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
        <f>IFERROR(__xludf.DUMMYFUNCTION("""COMPUTED_VALUE"""),7.98E8)</f>
        <v>798000000</v>
      </c>
      <c r="H614" s="1"/>
      <c r="I614" s="1"/>
      <c r="J614" s="1"/>
      <c r="K614" s="1"/>
      <c r="L614" s="1"/>
      <c r="M614" s="1"/>
      <c r="N614" s="1"/>
      <c r="O614" s="1"/>
      <c r="P614" s="1"/>
      <c r="Q614" s="1"/>
      <c r="R614" s="1"/>
      <c r="S614" s="1"/>
      <c r="T614" s="1"/>
      <c r="U614" s="1"/>
      <c r="V614" s="1"/>
      <c r="W614" s="1"/>
      <c r="X614" s="1"/>
      <c r="Y614" s="1"/>
      <c r="Z614" s="1"/>
      <c r="AA614" s="1"/>
    </row>
    <row r="615" ht="15.75" customHeight="1">
      <c r="A615" s="1" t="str">
        <f>IFERROR(__xludf.DUMMYFUNCTION("""COMPUTED_VALUE"""),"Harbingers' Broken Fettering (Spira)")</f>
        <v>Harbingers' Broken Fettering (Spira)</v>
      </c>
      <c r="B615" s="1"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
      <c r="D615" s="1" t="str">
        <f>IFERROR(__xludf.DUMMYFUNCTION("""COMPUTED_VALUE"""),"Arms")</f>
        <v>Arms</v>
      </c>
      <c r="E615" s="1">
        <f>IFERROR(__xludf.DUMMYFUNCTION("""COMPUTED_VALUE"""),200.0)</f>
        <v>200</v>
      </c>
      <c r="F615"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
        <f>IFERROR(__xludf.DUMMYFUNCTION("""COMPUTED_VALUE"""),7.98E8)</f>
        <v>798000000</v>
      </c>
      <c r="H615" s="1"/>
      <c r="I615" s="1"/>
      <c r="J615" s="1"/>
      <c r="K615" s="1"/>
      <c r="L615" s="1"/>
      <c r="M615" s="1"/>
      <c r="N615" s="1"/>
      <c r="O615" s="1"/>
      <c r="P615" s="1"/>
      <c r="Q615" s="1"/>
      <c r="R615" s="1"/>
      <c r="S615" s="1"/>
      <c r="T615" s="1"/>
      <c r="U615" s="1"/>
      <c r="V615" s="1"/>
      <c r="W615" s="1"/>
      <c r="X615" s="1"/>
      <c r="Y615" s="1"/>
      <c r="Z615" s="1"/>
      <c r="AA615" s="1"/>
    </row>
    <row r="616" ht="15.75" customHeight="1">
      <c r="A616" s="1" t="str">
        <f>IFERROR(__xludf.DUMMYFUNCTION("""COMPUTED_VALUE"""),"Harbingers' Ethereal Chausses (Spira)")</f>
        <v>Harbingers' Ethereal Chausses (Spira)</v>
      </c>
      <c r="B616" s="1"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
      <c r="D616" s="1" t="str">
        <f>IFERROR(__xludf.DUMMYFUNCTION("""COMPUTED_VALUE"""),"Legs")</f>
        <v>Legs</v>
      </c>
      <c r="E616" s="1">
        <f>IFERROR(__xludf.DUMMYFUNCTION("""COMPUTED_VALUE"""),200.0)</f>
        <v>200</v>
      </c>
      <c r="F616"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
        <f>IFERROR(__xludf.DUMMYFUNCTION("""COMPUTED_VALUE"""),7.98E8)</f>
        <v>798000000</v>
      </c>
      <c r="H616" s="1"/>
      <c r="I616" s="1"/>
      <c r="J616" s="1"/>
      <c r="K616" s="1"/>
      <c r="L616" s="1"/>
      <c r="M616" s="1"/>
      <c r="N616" s="1"/>
      <c r="O616" s="1"/>
      <c r="P616" s="1"/>
      <c r="Q616" s="1"/>
      <c r="R616" s="1"/>
      <c r="S616" s="1"/>
      <c r="T616" s="1"/>
      <c r="U616" s="1"/>
      <c r="V616" s="1"/>
      <c r="W616" s="1"/>
      <c r="X616" s="1"/>
      <c r="Y616" s="1"/>
      <c r="Z616" s="1"/>
      <c r="AA616" s="1"/>
    </row>
    <row r="617" ht="15.75" customHeight="1">
      <c r="A617" s="1" t="str">
        <f>IFERROR(__xludf.DUMMYFUNCTION("""COMPUTED_VALUE"""),"Harbingers' Spiked Sabatons (Spira)")</f>
        <v>Harbingers' Spiked Sabatons (Spira)</v>
      </c>
      <c r="B617" s="1"/>
      <c r="C617" s="1"/>
      <c r="D617" s="1" t="str">
        <f>IFERROR(__xludf.DUMMYFUNCTION("""COMPUTED_VALUE"""),"Feet")</f>
        <v>Feet</v>
      </c>
      <c r="E617" s="1">
        <f>IFERROR(__xludf.DUMMYFUNCTION("""COMPUTED_VALUE"""),200.0)</f>
        <v>200</v>
      </c>
      <c r="F617"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
        <f>IFERROR(__xludf.DUMMYFUNCTION("""COMPUTED_VALUE"""),7.98E8)</f>
        <v>798000000</v>
      </c>
      <c r="H617" s="1"/>
      <c r="I617" s="1"/>
      <c r="J617" s="1"/>
      <c r="K617" s="1"/>
      <c r="L617" s="1"/>
      <c r="M617" s="1"/>
      <c r="N617" s="1"/>
      <c r="O617" s="1"/>
      <c r="P617" s="1"/>
      <c r="Q617" s="1"/>
      <c r="R617" s="1"/>
      <c r="S617" s="1"/>
      <c r="T617" s="1"/>
      <c r="U617" s="1"/>
      <c r="V617" s="1"/>
      <c r="W617" s="1"/>
      <c r="X617" s="1"/>
      <c r="Y617" s="1"/>
      <c r="Z617" s="1"/>
      <c r="AA617" s="1"/>
    </row>
    <row r="618" ht="15.75" customHeight="1">
      <c r="A618" s="1" t="str">
        <f>IFERROR(__xludf.DUMMYFUNCTION("""COMPUTED_VALUE"""),"Harbingers' Vow (Spira)")</f>
        <v>Harbingers' Vow (Spira)</v>
      </c>
      <c r="B618" s="1"/>
      <c r="C618" s="1"/>
      <c r="D618" s="1" t="str">
        <f>IFERROR(__xludf.DUMMYFUNCTION("""COMPUTED_VALUE"""),"Finger")</f>
        <v>Finger</v>
      </c>
      <c r="E618" s="1">
        <f>IFERROR(__xludf.DUMMYFUNCTION("""COMPUTED_VALUE"""),1.0)</f>
        <v>1</v>
      </c>
      <c r="F618" s="1"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
        <f>IFERROR(__xludf.DUMMYFUNCTION("""COMPUTED_VALUE"""),0.0)</f>
        <v>0</v>
      </c>
      <c r="H618" s="1"/>
      <c r="I618" s="1"/>
      <c r="J618" s="1"/>
      <c r="K618" s="1"/>
      <c r="L618" s="1"/>
      <c r="M618" s="1"/>
      <c r="N618" s="1"/>
      <c r="O618" s="1"/>
      <c r="P618" s="1"/>
      <c r="Q618" s="1"/>
      <c r="R618" s="1"/>
      <c r="S618" s="1"/>
      <c r="T618" s="1"/>
      <c r="U618" s="1"/>
      <c r="V618" s="1"/>
      <c r="W618" s="1"/>
      <c r="X618" s="1"/>
      <c r="Y618" s="1"/>
      <c r="Z618" s="1"/>
      <c r="AA618" s="1"/>
    </row>
    <row r="619" ht="15.75" customHeight="1">
      <c r="A619" s="1" t="str">
        <f>IFERROR(__xludf.DUMMYFUNCTION("""COMPUTED_VALUE"""),"Harbingers' Resolve (Spira)")</f>
        <v>Harbingers' Resolve (Spira)</v>
      </c>
      <c r="B619" s="1"/>
      <c r="C619" s="1"/>
      <c r="D619" s="1" t="str">
        <f>IFERROR(__xludf.DUMMYFUNCTION("""COMPUTED_VALUE"""),"Neck")</f>
        <v>Neck</v>
      </c>
      <c r="E619" s="1">
        <f>IFERROR(__xludf.DUMMYFUNCTION("""COMPUTED_VALUE"""),1.0)</f>
        <v>1</v>
      </c>
      <c r="F619" s="1" t="str">
        <f>IFERROR(__xludf.DUMMYFUNCTION("""COMPUTED_VALUE""")," ++To the Death! - Upon taking lethal damage resist it with 1 hp and gain 10 stacks of insanity (once per battle)")</f>
        <v> ++To the Death! - Upon taking lethal damage resist it with 1 hp and gain 10 stacks of insanity (once per battle)</v>
      </c>
      <c r="G619" s="1">
        <f>IFERROR(__xludf.DUMMYFUNCTION("""COMPUTED_VALUE"""),0.0)</f>
        <v>0</v>
      </c>
      <c r="H619" s="1"/>
      <c r="I619" s="1"/>
      <c r="J619" s="1"/>
      <c r="K619" s="1"/>
      <c r="L619" s="1"/>
      <c r="M619" s="1"/>
      <c r="N619" s="1"/>
      <c r="O619" s="1"/>
      <c r="P619" s="1"/>
      <c r="Q619" s="1"/>
      <c r="R619" s="1"/>
      <c r="S619" s="1"/>
      <c r="T619" s="1"/>
      <c r="U619" s="1"/>
      <c r="V619" s="1"/>
      <c r="W619" s="1"/>
      <c r="X619" s="1"/>
      <c r="Y619" s="1"/>
      <c r="Z619" s="1"/>
      <c r="AA619" s="1"/>
    </row>
    <row r="620" ht="15.75" customHeight="1">
      <c r="A620" s="1" t="str">
        <f>IFERROR(__xludf.DUMMYFUNCTION("""COMPUTED_VALUE"""),"Harbingers' Fist of Iron (Spira)")</f>
        <v>Harbingers' Fist of Iron (Spira)</v>
      </c>
      <c r="B620" s="1"/>
      <c r="C620" s="1" t="str">
        <f>IFERROR(__xludf.DUMMYFUNCTION("""COMPUTED_VALUE"""),"Gauntlet")</f>
        <v>Gauntlet</v>
      </c>
      <c r="D620" s="1" t="str">
        <f>IFERROR(__xludf.DUMMYFUNCTION("""COMPUTED_VALUE"""),"Hand")</f>
        <v>Hand</v>
      </c>
      <c r="E620" s="1">
        <f>IFERROR(__xludf.DUMMYFUNCTION("""COMPUTED_VALUE"""),200.0)</f>
        <v>200</v>
      </c>
      <c r="F620" s="1"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
        <f>IFERROR(__xludf.DUMMYFUNCTION("""COMPUTED_VALUE"""),1.99E8)</f>
        <v>199000000</v>
      </c>
      <c r="H620" s="1"/>
      <c r="I620" s="1"/>
      <c r="J620" s="1"/>
      <c r="K620" s="1"/>
      <c r="L620" s="1"/>
      <c r="M620" s="1"/>
      <c r="N620" s="1"/>
      <c r="O620" s="1"/>
      <c r="P620" s="1"/>
      <c r="Q620" s="1"/>
      <c r="R620" s="1"/>
      <c r="S620" s="1"/>
      <c r="T620" s="1"/>
      <c r="U620" s="1"/>
      <c r="V620" s="1"/>
      <c r="W620" s="1"/>
      <c r="X620" s="1"/>
      <c r="Y620" s="1"/>
      <c r="Z620" s="1"/>
      <c r="AA620" s="1"/>
    </row>
    <row r="621" ht="15.75" customHeight="1">
      <c r="A621" s="1" t="str">
        <f>IFERROR(__xludf.DUMMYFUNCTION("""COMPUTED_VALUE"""),"Harbingers' Claw of Steel (Spira)")</f>
        <v>Harbingers' Claw of Steel (Spira)</v>
      </c>
      <c r="B621" s="1"/>
      <c r="C621" s="1" t="str">
        <f>IFERROR(__xludf.DUMMYFUNCTION("""COMPUTED_VALUE"""),"Claw")</f>
        <v>Claw</v>
      </c>
      <c r="D621" s="1" t="str">
        <f>IFERROR(__xludf.DUMMYFUNCTION("""COMPUTED_VALUE"""),"Hand")</f>
        <v>Hand</v>
      </c>
      <c r="E621" s="1">
        <f>IFERROR(__xludf.DUMMYFUNCTION("""COMPUTED_VALUE"""),200.0)</f>
        <v>200</v>
      </c>
      <c r="F621" s="1"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
        <f>IFERROR(__xludf.DUMMYFUNCTION("""COMPUTED_VALUE"""),1.99E8)</f>
        <v>199000000</v>
      </c>
      <c r="H621" s="1"/>
      <c r="I621" s="1"/>
      <c r="J621" s="1"/>
      <c r="K621" s="1"/>
      <c r="L621" s="1"/>
      <c r="M621" s="1"/>
      <c r="N621" s="1"/>
      <c r="O621" s="1"/>
      <c r="P621" s="1"/>
      <c r="Q621" s="1"/>
      <c r="R621" s="1"/>
      <c r="S621" s="1"/>
      <c r="T621" s="1"/>
      <c r="U621" s="1"/>
      <c r="V621" s="1"/>
      <c r="W621" s="1"/>
      <c r="X621" s="1"/>
      <c r="Y621" s="1"/>
      <c r="Z621" s="1"/>
      <c r="AA621" s="1"/>
    </row>
    <row r="622" ht="15.75" customHeight="1">
      <c r="A622" s="1" t="str">
        <f>IFERROR(__xludf.DUMMYFUNCTION("""COMPUTED_VALUE"""),"Eagles Claw")</f>
        <v>Eagles Claw</v>
      </c>
      <c r="B622" s="1"/>
      <c r="C622" s="1" t="str">
        <f>IFERROR(__xludf.DUMMYFUNCTION("""COMPUTED_VALUE"""),"Claw")</f>
        <v>Claw</v>
      </c>
      <c r="D622" s="1" t="str">
        <f>IFERROR(__xludf.DUMMYFUNCTION("""COMPUTED_VALUE"""),"Hand")</f>
        <v>Hand</v>
      </c>
      <c r="E622" s="1">
        <f>IFERROR(__xludf.DUMMYFUNCTION("""COMPUTED_VALUE"""),200.0)</f>
        <v>200</v>
      </c>
      <c r="F622" s="1" t="str">
        <f>IFERROR(__xludf.DUMMYFUNCTION("""COMPUTED_VALUE"""),"DMG: +10000 ++Eagles Removal - 20% Chance to remove the target from battle. ")</f>
        <v>DMG: +10000 ++Eagles Removal - 20% Chance to remove the target from battle. </v>
      </c>
      <c r="G622" s="1">
        <f>IFERROR(__xludf.DUMMYFUNCTION("""COMPUTED_VALUE"""),1900000.0)</f>
        <v>1900000</v>
      </c>
      <c r="H622" s="1"/>
      <c r="I622" s="1"/>
      <c r="J622" s="1"/>
      <c r="K622" s="1"/>
      <c r="L622" s="1"/>
      <c r="M622" s="1"/>
      <c r="N622" s="1"/>
      <c r="O622" s="1"/>
      <c r="P622" s="1"/>
      <c r="Q622" s="1"/>
      <c r="R622" s="1"/>
      <c r="S622" s="1"/>
      <c r="T622" s="1"/>
      <c r="U622" s="1"/>
      <c r="V622" s="1"/>
      <c r="W622" s="1"/>
      <c r="X622" s="1"/>
      <c r="Y622" s="1"/>
      <c r="Z622" s="1"/>
      <c r="AA622" s="1"/>
    </row>
    <row r="623" ht="15.75" customHeight="1">
      <c r="A623" s="1" t="str">
        <f>IFERROR(__xludf.DUMMYFUNCTION("""COMPUTED_VALUE"""),"Golden Gauntlet")</f>
        <v>Golden Gauntlet</v>
      </c>
      <c r="B623" s="1"/>
      <c r="C623" s="1" t="str">
        <f>IFERROR(__xludf.DUMMYFUNCTION("""COMPUTED_VALUE"""),"Gauntlet")</f>
        <v>Gauntlet</v>
      </c>
      <c r="D623" s="1" t="str">
        <f>IFERROR(__xludf.DUMMYFUNCTION("""COMPUTED_VALUE"""),"Hand")</f>
        <v>Hand</v>
      </c>
      <c r="E623" s="1">
        <f>IFERROR(__xludf.DUMMYFUNCTION("""COMPUTED_VALUE"""),200.0)</f>
        <v>200</v>
      </c>
      <c r="F623" s="1" t="str">
        <f>IFERROR(__xludf.DUMMYFUNCTION("""COMPUTED_VALUE"""),"DMG: +5000, Light DMG: +2500, Order DMG: +2500")</f>
        <v>DMG: +5000, Light DMG: +2500, Order DMG: +2500</v>
      </c>
      <c r="G623" s="1">
        <f>IFERROR(__xludf.DUMMYFUNCTION("""COMPUTED_VALUE"""),1900000.0)</f>
        <v>1900000</v>
      </c>
      <c r="H623" s="1"/>
      <c r="I623" s="1"/>
      <c r="J623" s="1"/>
      <c r="K623" s="1"/>
      <c r="L623" s="1"/>
      <c r="M623" s="1"/>
      <c r="N623" s="1"/>
      <c r="O623" s="1"/>
      <c r="P623" s="1"/>
      <c r="Q623" s="1"/>
      <c r="R623" s="1"/>
      <c r="S623" s="1"/>
      <c r="T623" s="1"/>
      <c r="U623" s="1"/>
      <c r="V623" s="1"/>
      <c r="W623" s="1"/>
      <c r="X623" s="1"/>
      <c r="Y623" s="1"/>
      <c r="Z623" s="1"/>
      <c r="AA623" s="1"/>
    </row>
    <row r="624" ht="15.75" customHeight="1">
      <c r="A624" s="1" t="str">
        <f>IFERROR(__xludf.DUMMYFUNCTION("""COMPUTED_VALUE"""),"Hand Crossbow")</f>
        <v>Hand Crossbow</v>
      </c>
      <c r="B624" s="1"/>
      <c r="C624" s="1" t="str">
        <f>IFERROR(__xludf.DUMMYFUNCTION("""COMPUTED_VALUE"""),"Bow")</f>
        <v>Bow</v>
      </c>
      <c r="D624" s="1" t="str">
        <f>IFERROR(__xludf.DUMMYFUNCTION("""COMPUTED_VALUE"""),"Hand")</f>
        <v>Hand</v>
      </c>
      <c r="E624" s="1">
        <f>IFERROR(__xludf.DUMMYFUNCTION("""COMPUTED_VALUE"""),200.0)</f>
        <v>200</v>
      </c>
      <c r="F624" s="1" t="str">
        <f>IFERROR(__xludf.DUMMYFUNCTION("""COMPUTED_VALUE"""),"DMG: +10000")</f>
        <v>DMG: +10000</v>
      </c>
      <c r="G624" s="1">
        <f>IFERROR(__xludf.DUMMYFUNCTION("""COMPUTED_VALUE"""),1900000.0)</f>
        <v>1900000</v>
      </c>
      <c r="H624" s="1"/>
      <c r="I624" s="1"/>
      <c r="J624" s="1"/>
      <c r="K624" s="1"/>
      <c r="L624" s="1"/>
      <c r="M624" s="1"/>
      <c r="N624" s="1"/>
      <c r="O624" s="1"/>
      <c r="P624" s="1"/>
      <c r="Q624" s="1"/>
      <c r="R624" s="1"/>
      <c r="S624" s="1"/>
      <c r="T624" s="1"/>
      <c r="U624" s="1"/>
      <c r="V624" s="1"/>
      <c r="W624" s="1"/>
      <c r="X624" s="1"/>
      <c r="Y624" s="1"/>
      <c r="Z624" s="1"/>
      <c r="AA624" s="1"/>
    </row>
    <row r="625" ht="15.75" customHeight="1">
      <c r="A625" s="1" t="str">
        <f>IFERROR(__xludf.DUMMYFUNCTION("""COMPUTED_VALUE"""),"Flintlock Pistol")</f>
        <v>Flintlock Pistol</v>
      </c>
      <c r="B625" s="1"/>
      <c r="C625" s="1" t="str">
        <f>IFERROR(__xludf.DUMMYFUNCTION("""COMPUTED_VALUE"""),"Firearm")</f>
        <v>Firearm</v>
      </c>
      <c r="D625" s="1" t="str">
        <f>IFERROR(__xludf.DUMMYFUNCTION("""COMPUTED_VALUE"""),"Hand")</f>
        <v>Hand</v>
      </c>
      <c r="E625" s="1">
        <f>IFERROR(__xludf.DUMMYFUNCTION("""COMPUTED_VALUE"""),200.0)</f>
        <v>200</v>
      </c>
      <c r="F625" s="1" t="str">
        <f>IFERROR(__xludf.DUMMYFUNCTION("""COMPUTED_VALUE"""),"DMG: +10000")</f>
        <v>DMG: +10000</v>
      </c>
      <c r="G625" s="1">
        <f>IFERROR(__xludf.DUMMYFUNCTION("""COMPUTED_VALUE"""),1900000.0)</f>
        <v>1900000</v>
      </c>
      <c r="H625" s="1"/>
      <c r="I625" s="1"/>
      <c r="J625" s="1"/>
      <c r="K625" s="1"/>
      <c r="L625" s="1"/>
      <c r="M625" s="1"/>
      <c r="N625" s="1"/>
      <c r="O625" s="1"/>
      <c r="P625" s="1"/>
      <c r="Q625" s="1"/>
      <c r="R625" s="1"/>
      <c r="S625" s="1"/>
      <c r="T625" s="1"/>
      <c r="U625" s="1"/>
      <c r="V625" s="1"/>
      <c r="W625" s="1"/>
      <c r="X625" s="1"/>
      <c r="Y625" s="1"/>
      <c r="Z625" s="1"/>
      <c r="AA625" s="1"/>
    </row>
    <row r="626" ht="15.75" customHeight="1">
      <c r="A626" s="1" t="str">
        <f>IFERROR(__xludf.DUMMYFUNCTION("""COMPUTED_VALUE"""),"Head of Gévaudan")</f>
        <v>Head of Gévaudan</v>
      </c>
      <c r="B626" s="1"/>
      <c r="C626" s="1"/>
      <c r="D626" s="1" t="str">
        <f>IFERROR(__xludf.DUMMYFUNCTION("""COMPUTED_VALUE"""),"Head")</f>
        <v>Head</v>
      </c>
      <c r="E626" s="1">
        <f>IFERROR(__xludf.DUMMYFUNCTION("""COMPUTED_VALUE"""),200.0)</f>
        <v>200</v>
      </c>
      <c r="F626" s="1" t="str">
        <f>IFERROR(__xludf.DUMMYFUNCTION("""COMPUTED_VALUE"""),"DEF: +10000 ++ +5 to intimidation, ++Soul Shake: Allows to cast ""Shaken Soul""")</f>
        <v>DEF: +10000 ++ +5 to intimidation, ++Soul Shake: Allows to cast "Shaken Soul"</v>
      </c>
      <c r="G626" s="1">
        <f>IFERROR(__xludf.DUMMYFUNCTION("""COMPUTED_VALUE"""),1900000.0)</f>
        <v>1900000</v>
      </c>
      <c r="H626" s="1"/>
      <c r="I626" s="1"/>
      <c r="J626" s="1"/>
      <c r="K626" s="1"/>
      <c r="L626" s="1"/>
      <c r="M626" s="1"/>
      <c r="N626" s="1"/>
      <c r="O626" s="1"/>
      <c r="P626" s="1"/>
      <c r="Q626" s="1"/>
      <c r="R626" s="1"/>
      <c r="S626" s="1"/>
      <c r="T626" s="1"/>
      <c r="U626" s="1"/>
      <c r="V626" s="1"/>
      <c r="W626" s="1"/>
      <c r="X626" s="1"/>
      <c r="Y626" s="1"/>
      <c r="Z626" s="1"/>
      <c r="AA626" s="1"/>
    </row>
    <row r="627" ht="15.75" customHeight="1">
      <c r="A627" s="1" t="str">
        <f>IFERROR(__xludf.DUMMYFUNCTION("""COMPUTED_VALUE"""),"Phantasmal Scythe")</f>
        <v>Phantasmal Scythe</v>
      </c>
      <c r="B627" s="1"/>
      <c r="C627" s="1" t="str">
        <f>IFERROR(__xludf.DUMMYFUNCTION("""COMPUTED_VALUE"""),"Scythe")</f>
        <v>Scythe</v>
      </c>
      <c r="D627" s="1" t="str">
        <f>IFERROR(__xludf.DUMMYFUNCTION("""COMPUTED_VALUE"""),"Hand")</f>
        <v>Hand</v>
      </c>
      <c r="E627" s="1">
        <f>IFERROR(__xludf.DUMMYFUNCTION("""COMPUTED_VALUE"""),1000.0)</f>
        <v>1000</v>
      </c>
      <c r="F627" s="1" t="str">
        <f>IFERROR(__xludf.DUMMYFUNCTION("""COMPUTED_VALUE"""),", Spirit DMG: +50000")</f>
        <v>, Spirit DMG: +50000</v>
      </c>
      <c r="G627" s="1">
        <f>IFERROR(__xludf.DUMMYFUNCTION("""COMPUTED_VALUE"""),4.95E7)</f>
        <v>49500000</v>
      </c>
      <c r="H627" s="1"/>
      <c r="I627" s="1"/>
      <c r="J627" s="1"/>
      <c r="K627" s="1"/>
      <c r="L627" s="1"/>
      <c r="M627" s="1"/>
      <c r="N627" s="1"/>
      <c r="O627" s="1"/>
      <c r="P627" s="1"/>
      <c r="Q627" s="1"/>
      <c r="R627" s="1"/>
      <c r="S627" s="1"/>
      <c r="T627" s="1"/>
      <c r="U627" s="1"/>
      <c r="V627" s="1"/>
      <c r="W627" s="1"/>
      <c r="X627" s="1"/>
      <c r="Y627" s="1"/>
      <c r="Z627" s="1"/>
      <c r="AA627" s="1"/>
    </row>
    <row r="628" ht="15.75" customHeight="1">
      <c r="A628" s="1" t="str">
        <f>IFERROR(__xludf.DUMMYFUNCTION("""COMPUTED_VALUE"""),"Piranha Tooth Dagger")</f>
        <v>Piranha Tooth Dagger</v>
      </c>
      <c r="B628" s="1"/>
      <c r="C628" s="1" t="str">
        <f>IFERROR(__xludf.DUMMYFUNCTION("""COMPUTED_VALUE"""),"Knife")</f>
        <v>Knife</v>
      </c>
      <c r="D628" s="1" t="str">
        <f>IFERROR(__xludf.DUMMYFUNCTION("""COMPUTED_VALUE"""),"Hand")</f>
        <v>Hand</v>
      </c>
      <c r="E628" s="1">
        <f>IFERROR(__xludf.DUMMYFUNCTION("""COMPUTED_VALUE"""),10.0)</f>
        <v>10</v>
      </c>
      <c r="F628" s="1"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
        <f>IFERROR(__xludf.DUMMYFUNCTION("""COMPUTED_VALUE"""),1000.0)</f>
        <v>1000</v>
      </c>
      <c r="H628" s="1"/>
      <c r="I628" s="1"/>
      <c r="J628" s="1"/>
      <c r="K628" s="1"/>
      <c r="L628" s="1"/>
      <c r="M628" s="1"/>
      <c r="N628" s="1"/>
      <c r="O628" s="1"/>
      <c r="P628" s="1"/>
      <c r="Q628" s="1"/>
      <c r="R628" s="1"/>
      <c r="S628" s="1"/>
      <c r="T628" s="1"/>
      <c r="U628" s="1"/>
      <c r="V628" s="1"/>
      <c r="W628" s="1"/>
      <c r="X628" s="1"/>
      <c r="Y628" s="1"/>
      <c r="Z628" s="1"/>
      <c r="AA628" s="1"/>
    </row>
    <row r="629" ht="15.75" customHeight="1">
      <c r="A629" s="1" t="str">
        <f>IFERROR(__xludf.DUMMYFUNCTION("""COMPUTED_VALUE"""),"Rhino Horn Spear")</f>
        <v>Rhino Horn Spear</v>
      </c>
      <c r="B629" s="1"/>
      <c r="C629" s="1" t="str">
        <f>IFERROR(__xludf.DUMMYFUNCTION("""COMPUTED_VALUE"""),"Spear")</f>
        <v>Spear</v>
      </c>
      <c r="D629" s="1" t="str">
        <f>IFERROR(__xludf.DUMMYFUNCTION("""COMPUTED_VALUE"""),"Hand")</f>
        <v>Hand</v>
      </c>
      <c r="E629" s="1">
        <f>IFERROR(__xludf.DUMMYFUNCTION("""COMPUTED_VALUE"""),200.0)</f>
        <v>200</v>
      </c>
      <c r="F629" s="1" t="str">
        <f>IFERROR(__xludf.DUMMYFUNCTION("""COMPUTED_VALUE"""),"DMG: +10000 ++Charge - The first attack made with this weapon deals X2 damage")</f>
        <v>DMG: +10000 ++Charge - The first attack made with this weapon deals X2 damage</v>
      </c>
      <c r="G629" s="1">
        <f>IFERROR(__xludf.DUMMYFUNCTION("""COMPUTED_VALUE"""),1900000.0)</f>
        <v>1900000</v>
      </c>
      <c r="H629" s="1"/>
      <c r="I629" s="1"/>
      <c r="J629" s="1"/>
      <c r="K629" s="1"/>
      <c r="L629" s="1"/>
      <c r="M629" s="1"/>
      <c r="N629" s="1"/>
      <c r="O629" s="1"/>
      <c r="P629" s="1"/>
      <c r="Q629" s="1"/>
      <c r="R629" s="1"/>
      <c r="S629" s="1"/>
      <c r="T629" s="1"/>
      <c r="U629" s="1"/>
      <c r="V629" s="1"/>
      <c r="W629" s="1"/>
      <c r="X629" s="1"/>
      <c r="Y629" s="1"/>
      <c r="Z629" s="1"/>
      <c r="AA629" s="1"/>
    </row>
    <row r="630" ht="15.75" customHeight="1">
      <c r="A630" s="1" t="str">
        <f>IFERROR(__xludf.DUMMYFUNCTION("""COMPUTED_VALUE"""),"Rock Axe")</f>
        <v>Rock Axe</v>
      </c>
      <c r="B630" s="1"/>
      <c r="C630" s="1" t="str">
        <f>IFERROR(__xludf.DUMMYFUNCTION("""COMPUTED_VALUE"""),"Axe")</f>
        <v>Axe</v>
      </c>
      <c r="D630" s="1" t="str">
        <f>IFERROR(__xludf.DUMMYFUNCTION("""COMPUTED_VALUE"""),"Hand")</f>
        <v>Hand</v>
      </c>
      <c r="E630" s="1">
        <f>IFERROR(__xludf.DUMMYFUNCTION("""COMPUTED_VALUE"""),40.0)</f>
        <v>40</v>
      </c>
      <c r="F630" s="1" t="str">
        <f>IFERROR(__xludf.DUMMYFUNCTION("""COMPUTED_VALUE"""),"DMG: +1000, Earth DMG: +1000")</f>
        <v>DMG: +1000, Earth DMG: +1000</v>
      </c>
      <c r="G630" s="1">
        <f>IFERROR(__xludf.DUMMYFUNCTION("""COMPUTED_VALUE"""),60000.0)</f>
        <v>60000</v>
      </c>
      <c r="H630" s="1"/>
      <c r="I630" s="1"/>
      <c r="J630" s="1"/>
      <c r="K630" s="1"/>
      <c r="L630" s="1"/>
      <c r="M630" s="1"/>
      <c r="N630" s="1"/>
      <c r="O630" s="1"/>
      <c r="P630" s="1"/>
      <c r="Q630" s="1"/>
      <c r="R630" s="1"/>
      <c r="S630" s="1"/>
      <c r="T630" s="1"/>
      <c r="U630" s="1"/>
      <c r="V630" s="1"/>
      <c r="W630" s="1"/>
      <c r="X630" s="1"/>
      <c r="Y630" s="1"/>
      <c r="Z630" s="1"/>
      <c r="AA630" s="1"/>
    </row>
    <row r="631" ht="15.75" customHeight="1">
      <c r="A631" s="1" t="str">
        <f>IFERROR(__xludf.DUMMYFUNCTION("""COMPUTED_VALUE"""),"Saber Tooth")</f>
        <v>Saber Tooth</v>
      </c>
      <c r="B631" s="1"/>
      <c r="C631" s="1" t="str">
        <f>IFERROR(__xludf.DUMMYFUNCTION("""COMPUTED_VALUE"""),"Knife")</f>
        <v>Knife</v>
      </c>
      <c r="D631" s="1" t="str">
        <f>IFERROR(__xludf.DUMMYFUNCTION("""COMPUTED_VALUE"""),"Hand")</f>
        <v>Hand</v>
      </c>
      <c r="E631" s="1">
        <f>IFERROR(__xludf.DUMMYFUNCTION("""COMPUTED_VALUE"""),200.0)</f>
        <v>200</v>
      </c>
      <c r="F631" s="1" t="str">
        <f>IFERROR(__xludf.DUMMYFUNCTION("""COMPUTED_VALUE"""),"DMG: +10000")</f>
        <v>DMG: +10000</v>
      </c>
      <c r="G631" s="1">
        <f>IFERROR(__xludf.DUMMYFUNCTION("""COMPUTED_VALUE"""),1900000.0)</f>
        <v>1900000</v>
      </c>
      <c r="H631" s="1"/>
      <c r="I631" s="1"/>
      <c r="J631" s="1"/>
      <c r="K631" s="1"/>
      <c r="L631" s="1"/>
      <c r="M631" s="1"/>
      <c r="N631" s="1"/>
      <c r="O631" s="1"/>
      <c r="P631" s="1"/>
      <c r="Q631" s="1"/>
      <c r="R631" s="1"/>
      <c r="S631" s="1"/>
      <c r="T631" s="1"/>
      <c r="U631" s="1"/>
      <c r="V631" s="1"/>
      <c r="W631" s="1"/>
      <c r="X631" s="1"/>
      <c r="Y631" s="1"/>
      <c r="Z631" s="1"/>
      <c r="AA631" s="1"/>
    </row>
    <row r="632" ht="15.75" customHeight="1">
      <c r="A632" s="1" t="str">
        <f>IFERROR(__xludf.DUMMYFUNCTION("""COMPUTED_VALUE"""),"Worm Tooth Chainsaw")</f>
        <v>Worm Tooth Chainsaw</v>
      </c>
      <c r="B632" s="1"/>
      <c r="C632" s="1" t="str">
        <f>IFERROR(__xludf.DUMMYFUNCTION("""COMPUTED_VALUE"""),"Axe")</f>
        <v>Axe</v>
      </c>
      <c r="D632" s="1" t="str">
        <f>IFERROR(__xludf.DUMMYFUNCTION("""COMPUTED_VALUE"""),"Hand")</f>
        <v>Hand</v>
      </c>
      <c r="E632" s="1">
        <f>IFERROR(__xludf.DUMMYFUNCTION("""COMPUTED_VALUE"""),1200.0)</f>
        <v>1200</v>
      </c>
      <c r="F632" s="1"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
        <f>IFERROR(__xludf.DUMMYFUNCTION("""COMPUTED_VALUE"""),7.14E7)</f>
        <v>71400000</v>
      </c>
      <c r="H632" s="1"/>
      <c r="I632" s="1"/>
      <c r="J632" s="1"/>
      <c r="K632" s="1"/>
      <c r="L632" s="1"/>
      <c r="M632" s="1"/>
      <c r="N632" s="1"/>
      <c r="O632" s="1"/>
      <c r="P632" s="1"/>
      <c r="Q632" s="1"/>
      <c r="R632" s="1"/>
      <c r="S632" s="1"/>
      <c r="T632" s="1"/>
      <c r="U632" s="1"/>
      <c r="V632" s="1"/>
      <c r="W632" s="1"/>
      <c r="X632" s="1"/>
      <c r="Y632" s="1"/>
      <c r="Z632" s="1"/>
      <c r="AA632" s="1"/>
    </row>
    <row r="633" ht="15.75" customHeight="1">
      <c r="A633" s="1" t="str">
        <f>IFERROR(__xludf.DUMMYFUNCTION("""COMPUTED_VALUE"""),"Shark Tooth Greatclub")</f>
        <v>Shark Tooth Greatclub</v>
      </c>
      <c r="B633" s="1"/>
      <c r="C633" s="1" t="str">
        <f>IFERROR(__xludf.DUMMYFUNCTION("""COMPUTED_VALUE"""),"Club")</f>
        <v>Club</v>
      </c>
      <c r="D633" s="1" t="str">
        <f>IFERROR(__xludf.DUMMYFUNCTION("""COMPUTED_VALUE"""),"Hand")</f>
        <v>Hand</v>
      </c>
      <c r="E633" s="1">
        <f>IFERROR(__xludf.DUMMYFUNCTION("""COMPUTED_VALUE"""),500.0)</f>
        <v>500</v>
      </c>
      <c r="F633" s="1"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
        <f>IFERROR(__xludf.DUMMYFUNCTION("""COMPUTED_VALUE"""),1.225E7)</f>
        <v>12250000</v>
      </c>
      <c r="H633" s="1"/>
      <c r="I633" s="1"/>
      <c r="J633" s="1"/>
      <c r="K633" s="1"/>
      <c r="L633" s="1"/>
      <c r="M633" s="1"/>
      <c r="N633" s="1"/>
      <c r="O633" s="1"/>
      <c r="P633" s="1"/>
      <c r="Q633" s="1"/>
      <c r="R633" s="1"/>
      <c r="S633" s="1"/>
      <c r="T633" s="1"/>
      <c r="U633" s="1"/>
      <c r="V633" s="1"/>
      <c r="W633" s="1"/>
      <c r="X633" s="1"/>
      <c r="Y633" s="1"/>
      <c r="Z633" s="1"/>
      <c r="AA633" s="1"/>
    </row>
    <row r="634" ht="15.75" customHeight="1">
      <c r="A634" s="1" t="str">
        <f>IFERROR(__xludf.DUMMYFUNCTION("""COMPUTED_VALUE"""),"Sticky Slime Guantlets")</f>
        <v>Sticky Slime Guantlets</v>
      </c>
      <c r="B634" s="1"/>
      <c r="C634" s="1" t="str">
        <f>IFERROR(__xludf.DUMMYFUNCTION("""COMPUTED_VALUE"""),"Gauntlet")</f>
        <v>Gauntlet</v>
      </c>
      <c r="D634" s="1" t="str">
        <f>IFERROR(__xludf.DUMMYFUNCTION("""COMPUTED_VALUE"""),"Hand")</f>
        <v>Hand</v>
      </c>
      <c r="E634" s="1">
        <f>IFERROR(__xludf.DUMMYFUNCTION("""COMPUTED_VALUE"""),400.0)</f>
        <v>400</v>
      </c>
      <c r="F634" s="1" t="str">
        <f>IFERROR(__xludf.DUMMYFUNCTION("""COMPUTED_VALUE"""),"DEF: +20000 ++Slimey Grasp - When these gloves are equipped the natural power ""take"" Is guaranteed to succeed.")</f>
        <v>DEF: +20000 ++Slimey Grasp - When these gloves are equipped the natural power "take" Is guaranteed to succeed.</v>
      </c>
      <c r="G634" s="1">
        <f>IFERROR(__xludf.DUMMYFUNCTION("""COMPUTED_VALUE"""),7800000.0)</f>
        <v>7800000</v>
      </c>
      <c r="H634" s="1"/>
      <c r="I634" s="1"/>
      <c r="J634" s="1"/>
      <c r="K634" s="1"/>
      <c r="L634" s="1"/>
      <c r="M634" s="1"/>
      <c r="N634" s="1"/>
      <c r="O634" s="1"/>
      <c r="P634" s="1"/>
      <c r="Q634" s="1"/>
      <c r="R634" s="1"/>
      <c r="S634" s="1"/>
      <c r="T634" s="1"/>
      <c r="U634" s="1"/>
      <c r="V634" s="1"/>
      <c r="W634" s="1"/>
      <c r="X634" s="1"/>
      <c r="Y634" s="1"/>
      <c r="Z634" s="1"/>
      <c r="AA634" s="1"/>
    </row>
    <row r="635" ht="15.75" customHeight="1">
      <c r="A635" s="1" t="str">
        <f>IFERROR(__xludf.DUMMYFUNCTION("""COMPUTED_VALUE"""),"Draconic Scythe")</f>
        <v>Draconic Scythe</v>
      </c>
      <c r="B635" s="1"/>
      <c r="C635" s="1" t="str">
        <f>IFERROR(__xludf.DUMMYFUNCTION("""COMPUTED_VALUE"""),"Scythe")</f>
        <v>Scythe</v>
      </c>
      <c r="D635" s="1" t="str">
        <f>IFERROR(__xludf.DUMMYFUNCTION("""COMPUTED_VALUE"""),"Hand")</f>
        <v>Hand</v>
      </c>
      <c r="E635" s="1">
        <f>IFERROR(__xludf.DUMMYFUNCTION("""COMPUTED_VALUE"""),2000.0)</f>
        <v>2000</v>
      </c>
      <c r="F635" s="1"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
        <f>IFERROR(__xludf.DUMMYFUNCTION("""COMPUTED_VALUE"""),1.99E8)</f>
        <v>199000000</v>
      </c>
      <c r="H635" s="1"/>
      <c r="I635" s="1"/>
      <c r="J635" s="1"/>
      <c r="K635" s="1"/>
      <c r="L635" s="1"/>
      <c r="M635" s="1"/>
      <c r="N635" s="1"/>
      <c r="O635" s="1"/>
      <c r="P635" s="1"/>
      <c r="Q635" s="1"/>
      <c r="R635" s="1"/>
      <c r="S635" s="1"/>
      <c r="T635" s="1"/>
      <c r="U635" s="1"/>
      <c r="V635" s="1"/>
      <c r="W635" s="1"/>
      <c r="X635" s="1"/>
      <c r="Y635" s="1"/>
      <c r="Z635" s="1"/>
      <c r="AA635" s="1"/>
    </row>
    <row r="636" ht="15.75" customHeight="1">
      <c r="A636" s="1" t="str">
        <f>IFERROR(__xludf.DUMMYFUNCTION("""COMPUTED_VALUE"""),"Elemental Scythe")</f>
        <v>Elemental Scythe</v>
      </c>
      <c r="B636" s="1"/>
      <c r="C636" s="1" t="str">
        <f>IFERROR(__xludf.DUMMYFUNCTION("""COMPUTED_VALUE"""),"Scythe")</f>
        <v>Scythe</v>
      </c>
      <c r="D636" s="1" t="str">
        <f>IFERROR(__xludf.DUMMYFUNCTION("""COMPUTED_VALUE"""),"Hand")</f>
        <v>Hand</v>
      </c>
      <c r="E636" s="1">
        <f>IFERROR(__xludf.DUMMYFUNCTION("""COMPUTED_VALUE"""),2000.0)</f>
        <v>2000</v>
      </c>
      <c r="F636" s="1"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
        <f>IFERROR(__xludf.DUMMYFUNCTION("""COMPUTED_VALUE"""),1.99E8)</f>
        <v>199000000</v>
      </c>
      <c r="H636" s="1"/>
      <c r="I636" s="1"/>
      <c r="J636" s="1"/>
      <c r="K636" s="1"/>
      <c r="L636" s="1"/>
      <c r="M636" s="1"/>
      <c r="N636" s="1"/>
      <c r="O636" s="1"/>
      <c r="P636" s="1"/>
      <c r="Q636" s="1"/>
      <c r="R636" s="1"/>
      <c r="S636" s="1"/>
      <c r="T636" s="1"/>
      <c r="U636" s="1"/>
      <c r="V636" s="1"/>
      <c r="W636" s="1"/>
      <c r="X636" s="1"/>
      <c r="Y636" s="1"/>
      <c r="Z636" s="1"/>
      <c r="AA636" s="1"/>
    </row>
    <row r="637" ht="15.75" customHeight="1">
      <c r="A637" s="1" t="str">
        <f>IFERROR(__xludf.DUMMYFUNCTION("""COMPUTED_VALUE"""),"Staff of the Elemental King of Water")</f>
        <v>Staff of the Elemental King of Water</v>
      </c>
      <c r="B637" s="1"/>
      <c r="C637" s="1" t="str">
        <f>IFERROR(__xludf.DUMMYFUNCTION("""COMPUTED_VALUE"""),"Staff")</f>
        <v>Staff</v>
      </c>
      <c r="D637" s="1" t="str">
        <f>IFERROR(__xludf.DUMMYFUNCTION("""COMPUTED_VALUE"""),"Hand")</f>
        <v>Hand</v>
      </c>
      <c r="E637" s="1">
        <f>IFERROR(__xludf.DUMMYFUNCTION("""COMPUTED_VALUE"""),1000.0)</f>
        <v>1000</v>
      </c>
      <c r="F637" s="1" t="str">
        <f>IFERROR(__xludf.DUMMYFUNCTION("""COMPUTED_VALUE"""),", Water DMG: +50000 ++Summoned Water Elementals deal 5X water damage")</f>
        <v>, Water DMG: +50000 ++Summoned Water Elementals deal 5X water damage</v>
      </c>
      <c r="G637" s="1">
        <f>IFERROR(__xludf.DUMMYFUNCTION("""COMPUTED_VALUE"""),4.95E7)</f>
        <v>49500000</v>
      </c>
      <c r="H637" s="1"/>
      <c r="I637" s="1"/>
      <c r="J637" s="1"/>
      <c r="K637" s="1"/>
      <c r="L637" s="1"/>
      <c r="M637" s="1"/>
      <c r="N637" s="1"/>
      <c r="O637" s="1"/>
      <c r="P637" s="1"/>
      <c r="Q637" s="1"/>
      <c r="R637" s="1"/>
      <c r="S637" s="1"/>
      <c r="T637" s="1"/>
      <c r="U637" s="1"/>
      <c r="V637" s="1"/>
      <c r="W637" s="1"/>
      <c r="X637" s="1"/>
      <c r="Y637" s="1"/>
      <c r="Z637" s="1"/>
      <c r="AA637" s="1"/>
    </row>
    <row r="638" ht="15.75" customHeight="1">
      <c r="A638" s="1" t="str">
        <f>IFERROR(__xludf.DUMMYFUNCTION("""COMPUTED_VALUE"""),"Bashe's Tail")</f>
        <v>Bashe's Tail</v>
      </c>
      <c r="B638" s="1"/>
      <c r="C638" s="1"/>
      <c r="D638" s="1" t="str">
        <f>IFERROR(__xludf.DUMMYFUNCTION("""COMPUTED_VALUE"""),"Legs")</f>
        <v>Legs</v>
      </c>
      <c r="E638" s="1">
        <f>IFERROR(__xludf.DUMMYFUNCTION("""COMPUTED_VALUE"""),800.0)</f>
        <v>800</v>
      </c>
      <c r="F638" s="1" t="str">
        <f>IFERROR(__xludf.DUMMYFUNCTION("""COMPUTED_VALUE"""),"DEF: +40000 ++Smash - Allows you to attack with the tail as if it were a club weapon")</f>
        <v>DEF: +40000 ++Smash - Allows you to attack with the tail as if it were a club weapon</v>
      </c>
      <c r="G638" s="1">
        <f>IFERROR(__xludf.DUMMYFUNCTION("""COMPUTED_VALUE"""),3.16E7)</f>
        <v>31600000</v>
      </c>
      <c r="H638" s="1"/>
      <c r="I638" s="1"/>
      <c r="J638" s="1"/>
      <c r="K638" s="1"/>
      <c r="L638" s="1"/>
      <c r="M638" s="1"/>
      <c r="N638" s="1"/>
      <c r="O638" s="1"/>
      <c r="P638" s="1"/>
      <c r="Q638" s="1"/>
      <c r="R638" s="1"/>
      <c r="S638" s="1"/>
      <c r="T638" s="1"/>
      <c r="U638" s="1"/>
      <c r="V638" s="1"/>
      <c r="W638" s="1"/>
      <c r="X638" s="1"/>
      <c r="Y638" s="1"/>
      <c r="Z638" s="1"/>
      <c r="AA638" s="1"/>
    </row>
    <row r="639" ht="15.75" customHeight="1">
      <c r="A639" s="1" t="str">
        <f>IFERROR(__xludf.DUMMYFUNCTION("""COMPUTED_VALUE"""),"Bashe's Flute")</f>
        <v>Bashe's Flute</v>
      </c>
      <c r="B639" s="1"/>
      <c r="C639" s="1" t="str">
        <f>IFERROR(__xludf.DUMMYFUNCTION("""COMPUTED_VALUE"""),"Instrument")</f>
        <v>Instrument</v>
      </c>
      <c r="D639" s="1" t="str">
        <f>IFERROR(__xludf.DUMMYFUNCTION("""COMPUTED_VALUE"""),"Hand")</f>
        <v>Hand</v>
      </c>
      <c r="E639" s="1">
        <f>IFERROR(__xludf.DUMMYFUNCTION("""COMPUTED_VALUE"""),1000.0)</f>
        <v>1000</v>
      </c>
      <c r="F639" s="1"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
        <f>IFERROR(__xludf.DUMMYFUNCTION("""COMPUTED_VALUE"""),4.95E7)</f>
        <v>49500000</v>
      </c>
      <c r="H639" s="1"/>
      <c r="I639" s="1"/>
      <c r="J639" s="1"/>
      <c r="K639" s="1"/>
      <c r="L639" s="1"/>
      <c r="M639" s="1"/>
      <c r="N639" s="1"/>
      <c r="O639" s="1"/>
      <c r="P639" s="1"/>
      <c r="Q639" s="1"/>
      <c r="R639" s="1"/>
      <c r="S639" s="1"/>
      <c r="T639" s="1"/>
      <c r="U639" s="1"/>
      <c r="V639" s="1"/>
      <c r="W639" s="1"/>
      <c r="X639" s="1"/>
      <c r="Y639" s="1"/>
      <c r="Z639" s="1"/>
      <c r="AA639" s="1"/>
    </row>
    <row r="640" ht="15.75" customHeight="1">
      <c r="A640" s="1" t="str">
        <f>IFERROR(__xludf.DUMMYFUNCTION("""COMPUTED_VALUE"""),"Grash's Favorite Length Of Iron")</f>
        <v>Grash's Favorite Length Of Iron</v>
      </c>
      <c r="B640" s="1"/>
      <c r="C640" s="1" t="str">
        <f>IFERROR(__xludf.DUMMYFUNCTION("""COMPUTED_VALUE"""),"Club")</f>
        <v>Club</v>
      </c>
      <c r="D640" s="1" t="str">
        <f>IFERROR(__xludf.DUMMYFUNCTION("""COMPUTED_VALUE"""),"Hand")</f>
        <v>Hand</v>
      </c>
      <c r="E640" s="1">
        <f>IFERROR(__xludf.DUMMYFUNCTION("""COMPUTED_VALUE"""),2000.0)</f>
        <v>2000</v>
      </c>
      <c r="F640" s="1" t="str">
        <f>IFERROR(__xludf.DUMMYFUNCTION("""COMPUTED_VALUE"""),"DMG: +100000 ++When a Samurai Wields this weapon they get access to the ""Grash's Smashing Success"" Natural Power")</f>
        <v>DMG: +100000 ++When a Samurai Wields this weapon they get access to the "Grash's Smashing Success" Natural Power</v>
      </c>
      <c r="G640" s="1">
        <f>IFERROR(__xludf.DUMMYFUNCTION("""COMPUTED_VALUE"""),1.99E8)</f>
        <v>199000000</v>
      </c>
      <c r="H640" s="1"/>
      <c r="I640" s="1"/>
      <c r="J640" s="1"/>
      <c r="K640" s="1"/>
      <c r="L640" s="1"/>
      <c r="M640" s="1"/>
      <c r="N640" s="1"/>
      <c r="O640" s="1"/>
      <c r="P640" s="1"/>
      <c r="Q640" s="1"/>
      <c r="R640" s="1"/>
      <c r="S640" s="1"/>
      <c r="T640" s="1"/>
      <c r="U640" s="1"/>
      <c r="V640" s="1"/>
      <c r="W640" s="1"/>
      <c r="X640" s="1"/>
      <c r="Y640" s="1"/>
      <c r="Z640" s="1"/>
      <c r="AA640" s="1"/>
    </row>
    <row r="641" ht="15.75" customHeight="1">
      <c r="A641" s="1" t="str">
        <f>IFERROR(__xludf.DUMMYFUNCTION("""COMPUTED_VALUE"""),"Wolf Tooth Neclace")</f>
        <v>Wolf Tooth Neclace</v>
      </c>
      <c r="B641" s="1"/>
      <c r="C641" s="1"/>
      <c r="D641" s="1" t="str">
        <f>IFERROR(__xludf.DUMMYFUNCTION("""COMPUTED_VALUE"""),"Neck")</f>
        <v>Neck</v>
      </c>
      <c r="E641" s="1">
        <f>IFERROR(__xludf.DUMMYFUNCTION("""COMPUTED_VALUE"""),1.0)</f>
        <v>1</v>
      </c>
      <c r="F641" s="1"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
        <f>IFERROR(__xludf.DUMMYFUNCTION("""COMPUTED_VALUE"""),0.0)</f>
        <v>0</v>
      </c>
      <c r="H641" s="1"/>
      <c r="I641" s="1"/>
      <c r="J641" s="1"/>
      <c r="K641" s="1"/>
      <c r="L641" s="1"/>
      <c r="M641" s="1"/>
      <c r="N641" s="1"/>
      <c r="O641" s="1"/>
      <c r="P641" s="1"/>
      <c r="Q641" s="1"/>
      <c r="R641" s="1"/>
      <c r="S641" s="1"/>
      <c r="T641" s="1"/>
      <c r="U641" s="1"/>
      <c r="V641" s="1"/>
      <c r="W641" s="1"/>
      <c r="X641" s="1"/>
      <c r="Y641" s="1"/>
      <c r="Z641" s="1"/>
      <c r="AA641" s="1"/>
    </row>
    <row r="642" ht="15.75" customHeight="1">
      <c r="A642" s="1" t="str">
        <f>IFERROR(__xludf.DUMMYFUNCTION("""COMPUTED_VALUE"""),"Dragon Scale Necklace")</f>
        <v>Dragon Scale Necklace</v>
      </c>
      <c r="B642" s="1"/>
      <c r="C642" s="1"/>
      <c r="D642" s="1" t="str">
        <f>IFERROR(__xludf.DUMMYFUNCTION("""COMPUTED_VALUE"""),"Neck")</f>
        <v>Neck</v>
      </c>
      <c r="E642" s="1">
        <f>IFERROR(__xludf.DUMMYFUNCTION("""COMPUTED_VALUE"""),1.0)</f>
        <v>1</v>
      </c>
      <c r="F642" s="1"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
        <f>IFERROR(__xludf.DUMMYFUNCTION("""COMPUTED_VALUE"""),0.0)</f>
        <v>0</v>
      </c>
      <c r="H642" s="1"/>
      <c r="I642" s="1"/>
      <c r="J642" s="1"/>
      <c r="K642" s="1"/>
      <c r="L642" s="1"/>
      <c r="M642" s="1"/>
      <c r="N642" s="1"/>
      <c r="O642" s="1"/>
      <c r="P642" s="1"/>
      <c r="Q642" s="1"/>
      <c r="R642" s="1"/>
      <c r="S642" s="1"/>
      <c r="T642" s="1"/>
      <c r="U642" s="1"/>
      <c r="V642" s="1"/>
      <c r="W642" s="1"/>
      <c r="X642" s="1"/>
      <c r="Y642" s="1"/>
      <c r="Z642" s="1"/>
      <c r="AA642" s="1"/>
    </row>
    <row r="643" ht="15.75" customHeight="1">
      <c r="A643" s="1" t="str">
        <f>IFERROR(__xludf.DUMMYFUNCTION("""COMPUTED_VALUE"""),"Heavenly Necklace")</f>
        <v>Heavenly Necklace</v>
      </c>
      <c r="B643" s="1"/>
      <c r="C643" s="1"/>
      <c r="D643" s="1" t="str">
        <f>IFERROR(__xludf.DUMMYFUNCTION("""COMPUTED_VALUE"""),"Neck")</f>
        <v>Neck</v>
      </c>
      <c r="E643" s="1">
        <f>IFERROR(__xludf.DUMMYFUNCTION("""COMPUTED_VALUE"""),1.0)</f>
        <v>1</v>
      </c>
      <c r="F643" s="1"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
        <f>IFERROR(__xludf.DUMMYFUNCTION("""COMPUTED_VALUE"""),0.0)</f>
        <v>0</v>
      </c>
      <c r="H643" s="1"/>
      <c r="I643" s="1"/>
      <c r="J643" s="1"/>
      <c r="K643" s="1"/>
      <c r="L643" s="1"/>
      <c r="M643" s="1"/>
      <c r="N643" s="1"/>
      <c r="O643" s="1"/>
      <c r="P643" s="1"/>
      <c r="Q643" s="1"/>
      <c r="R643" s="1"/>
      <c r="S643" s="1"/>
      <c r="T643" s="1"/>
      <c r="U643" s="1"/>
      <c r="V643" s="1"/>
      <c r="W643" s="1"/>
      <c r="X643" s="1"/>
      <c r="Y643" s="1"/>
      <c r="Z643" s="1"/>
      <c r="AA643" s="1"/>
    </row>
    <row r="644" ht="15.75" customHeight="1">
      <c r="A644" s="1" t="str">
        <f>IFERROR(__xludf.DUMMYFUNCTION("""COMPUTED_VALUE"""),"Demonic Necklace")</f>
        <v>Demonic Necklace</v>
      </c>
      <c r="B644" s="1"/>
      <c r="C644" s="1"/>
      <c r="D644" s="1" t="str">
        <f>IFERROR(__xludf.DUMMYFUNCTION("""COMPUTED_VALUE"""),"Neck")</f>
        <v>Neck</v>
      </c>
      <c r="E644" s="1">
        <f>IFERROR(__xludf.DUMMYFUNCTION("""COMPUTED_VALUE"""),1.0)</f>
        <v>1</v>
      </c>
      <c r="F644" s="1"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
        <f>IFERROR(__xludf.DUMMYFUNCTION("""COMPUTED_VALUE"""),0.0)</f>
        <v>0</v>
      </c>
      <c r="H644" s="1"/>
      <c r="I644" s="1"/>
      <c r="J644" s="1"/>
      <c r="K644" s="1"/>
      <c r="L644" s="1"/>
      <c r="M644" s="1"/>
      <c r="N644" s="1"/>
      <c r="O644" s="1"/>
      <c r="P644" s="1"/>
      <c r="Q644" s="1"/>
      <c r="R644" s="1"/>
      <c r="S644" s="1"/>
      <c r="T644" s="1"/>
      <c r="U644" s="1"/>
      <c r="V644" s="1"/>
      <c r="W644" s="1"/>
      <c r="X644" s="1"/>
      <c r="Y644" s="1"/>
      <c r="Z644" s="1"/>
      <c r="AA644" s="1"/>
    </row>
    <row r="645" ht="15.75" customHeight="1">
      <c r="A645" s="1" t="str">
        <f>IFERROR(__xludf.DUMMYFUNCTION("""COMPUTED_VALUE"""),"The Cloak of Gévaudan")</f>
        <v>The Cloak of Gévaudan</v>
      </c>
      <c r="B645" s="1"/>
      <c r="C645" s="1"/>
      <c r="D645" s="1" t="str">
        <f>IFERROR(__xludf.DUMMYFUNCTION("""COMPUTED_VALUE"""),"Shoulders")</f>
        <v>Shoulders</v>
      </c>
      <c r="E645" s="1">
        <f>IFERROR(__xludf.DUMMYFUNCTION("""COMPUTED_VALUE"""),800.0)</f>
        <v>800</v>
      </c>
      <c r="F645" s="1" t="str">
        <f>IFERROR(__xludf.DUMMYFUNCTION("""COMPUTED_VALUE"""),"DEF: +25000, Fire DEF: +15000 ++The warm coat grants you immunity to freezing.")</f>
        <v>DEF: +25000, Fire DEF: +15000 ++The warm coat grants you immunity to freezing.</v>
      </c>
      <c r="G645" s="1">
        <f>IFERROR(__xludf.DUMMYFUNCTION("""COMPUTED_VALUE"""),3.16E7)</f>
        <v>31600000</v>
      </c>
      <c r="H645" s="1"/>
      <c r="I645" s="1"/>
      <c r="J645" s="1"/>
      <c r="K645" s="1"/>
      <c r="L645" s="1"/>
      <c r="M645" s="1"/>
      <c r="N645" s="1"/>
      <c r="O645" s="1"/>
      <c r="P645" s="1"/>
      <c r="Q645" s="1"/>
      <c r="R645" s="1"/>
      <c r="S645" s="1"/>
      <c r="T645" s="1"/>
      <c r="U645" s="1"/>
      <c r="V645" s="1"/>
      <c r="W645" s="1"/>
      <c r="X645" s="1"/>
      <c r="Y645" s="1"/>
      <c r="Z645" s="1"/>
      <c r="AA645" s="1"/>
    </row>
    <row r="646" ht="15.75" customHeight="1">
      <c r="A646" s="1" t="str">
        <f>IFERROR(__xludf.DUMMYFUNCTION("""COMPUTED_VALUE"""),"Spirit Glyph")</f>
        <v>Spirit Glyph</v>
      </c>
      <c r="B646" s="1"/>
      <c r="C646" s="1"/>
      <c r="D646" s="1" t="str">
        <f>IFERROR(__xludf.DUMMYFUNCTION("""COMPUTED_VALUE"""),"Ring")</f>
        <v>Ring</v>
      </c>
      <c r="E646" s="1">
        <f>IFERROR(__xludf.DUMMYFUNCTION("""COMPUTED_VALUE"""),1.0)</f>
        <v>1</v>
      </c>
      <c r="F646" s="1"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
        <f>IFERROR(__xludf.DUMMYFUNCTION("""COMPUTED_VALUE"""),0.0)</f>
        <v>0</v>
      </c>
      <c r="H646" s="1"/>
      <c r="I646" s="1"/>
      <c r="J646" s="1"/>
      <c r="K646" s="1"/>
      <c r="L646" s="1"/>
      <c r="M646" s="1"/>
      <c r="N646" s="1"/>
      <c r="O646" s="1"/>
      <c r="P646" s="1"/>
      <c r="Q646" s="1"/>
      <c r="R646" s="1"/>
      <c r="S646" s="1"/>
      <c r="T646" s="1"/>
      <c r="U646" s="1"/>
      <c r="V646" s="1"/>
      <c r="W646" s="1"/>
      <c r="X646" s="1"/>
      <c r="Y646" s="1"/>
      <c r="Z646" s="1"/>
      <c r="AA646" s="1"/>
    </row>
    <row r="647" ht="15.75" customHeight="1">
      <c r="A647" s="1" t="str">
        <f>IFERROR(__xludf.DUMMYFUNCTION("""COMPUTED_VALUE"""),"Necromantic Sigil")</f>
        <v>Necromantic Sigil</v>
      </c>
      <c r="B647" s="1"/>
      <c r="C647" s="1"/>
      <c r="D647" s="1" t="str">
        <f>IFERROR(__xludf.DUMMYFUNCTION("""COMPUTED_VALUE"""),"Ring")</f>
        <v>Ring</v>
      </c>
      <c r="E647" s="1">
        <f>IFERROR(__xludf.DUMMYFUNCTION("""COMPUTED_VALUE"""),1.0)</f>
        <v>1</v>
      </c>
      <c r="F647" s="1"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
        <f>IFERROR(__xludf.DUMMYFUNCTION("""COMPUTED_VALUE"""),0.0)</f>
        <v>0</v>
      </c>
      <c r="H647" s="1"/>
      <c r="I647" s="1"/>
      <c r="J647" s="1"/>
      <c r="K647" s="1"/>
      <c r="L647" s="1"/>
      <c r="M647" s="1"/>
      <c r="N647" s="1"/>
      <c r="O647" s="1"/>
      <c r="P647" s="1"/>
      <c r="Q647" s="1"/>
      <c r="R647" s="1"/>
      <c r="S647" s="1"/>
      <c r="T647" s="1"/>
      <c r="U647" s="1"/>
      <c r="V647" s="1"/>
      <c r="W647" s="1"/>
      <c r="X647" s="1"/>
      <c r="Y647" s="1"/>
      <c r="Z647" s="1"/>
      <c r="AA647" s="1"/>
    </row>
    <row r="648" ht="15.75" customHeight="1">
      <c r="A648" s="1" t="str">
        <f>IFERROR(__xludf.DUMMYFUNCTION("""COMPUTED_VALUE"""),"Dragonslayer")</f>
        <v>Dragonslayer</v>
      </c>
      <c r="B648" s="1" t="str">
        <f>IFERROR(__xludf.DUMMYFUNCTION("""COMPUTED_VALUE"""),"It was too big to be called a sword. Massive, thick, heavy, and far too rough. Indeed, it was a heap of raw iron.")</f>
        <v>It was too big to be called a sword. Massive, thick, heavy, and far too rough. Indeed, it was a heap of raw iron.</v>
      </c>
      <c r="C648" s="1" t="str">
        <f>IFERROR(__xludf.DUMMYFUNCTION("""COMPUTED_VALUE"""),"Sword")</f>
        <v>Sword</v>
      </c>
      <c r="D648" s="1" t="str">
        <f>IFERROR(__xludf.DUMMYFUNCTION("""COMPUTED_VALUE"""),"Hand")</f>
        <v>Hand</v>
      </c>
      <c r="E648" s="1">
        <f>IFERROR(__xludf.DUMMYFUNCTION("""COMPUTED_VALUE"""),2000.0)</f>
        <v>2000</v>
      </c>
      <c r="F648" s="1" t="str">
        <f>IFERROR(__xludf.DUMMYFUNCTION("""COMPUTED_VALUE"""),"DMG: +100000 ++Deals X10 damage when fighting a Dragon or Monstrosity")</f>
        <v>DMG: +100000 ++Deals X10 damage when fighting a Dragon or Monstrosity</v>
      </c>
      <c r="G648" s="1">
        <f>IFERROR(__xludf.DUMMYFUNCTION("""COMPUTED_VALUE"""),1.99E8)</f>
        <v>199000000</v>
      </c>
      <c r="H648" s="1"/>
      <c r="I648" s="1"/>
      <c r="J648" s="1"/>
      <c r="K648" s="1"/>
      <c r="L648" s="1"/>
      <c r="M648" s="1"/>
      <c r="N648" s="1"/>
      <c r="O648" s="1"/>
      <c r="P648" s="1"/>
      <c r="Q648" s="1"/>
      <c r="R648" s="1"/>
      <c r="S648" s="1"/>
      <c r="T648" s="1"/>
      <c r="U648" s="1"/>
      <c r="V648" s="1"/>
      <c r="W648" s="1"/>
      <c r="X648" s="1"/>
      <c r="Y648" s="1"/>
      <c r="Z648" s="1"/>
      <c r="AA648" s="1"/>
    </row>
    <row r="649" ht="15.75" customHeight="1">
      <c r="A649" s="1" t="str">
        <f>IFERROR(__xludf.DUMMYFUNCTION("""COMPUTED_VALUE"""),"Rusted Halberd")</f>
        <v>Rusted Halberd</v>
      </c>
      <c r="B649" s="1"/>
      <c r="C649" s="1" t="str">
        <f>IFERROR(__xludf.DUMMYFUNCTION("""COMPUTED_VALUE"""),"Spear")</f>
        <v>Spear</v>
      </c>
      <c r="D649" s="1" t="str">
        <f>IFERROR(__xludf.DUMMYFUNCTION("""COMPUTED_VALUE"""),"Hand")</f>
        <v>Hand</v>
      </c>
      <c r="E649" s="1">
        <f>IFERROR(__xludf.DUMMYFUNCTION("""COMPUTED_VALUE"""),100.0)</f>
        <v>100</v>
      </c>
      <c r="F649" s="1" t="str">
        <f>IFERROR(__xludf.DUMMYFUNCTION("""COMPUTED_VALUE"""),"DMG: +5000")</f>
        <v>DMG: +5000</v>
      </c>
      <c r="G649" s="1">
        <f>IFERROR(__xludf.DUMMYFUNCTION("""COMPUTED_VALUE"""),450000.0)</f>
        <v>450000</v>
      </c>
      <c r="H649" s="1"/>
      <c r="I649" s="1"/>
      <c r="J649" s="1"/>
      <c r="K649" s="1"/>
      <c r="L649" s="1"/>
      <c r="M649" s="1"/>
      <c r="N649" s="1"/>
      <c r="O649" s="1"/>
      <c r="P649" s="1"/>
      <c r="Q649" s="1"/>
      <c r="R649" s="1"/>
      <c r="S649" s="1"/>
      <c r="T649" s="1"/>
      <c r="U649" s="1"/>
      <c r="V649" s="1"/>
      <c r="W649" s="1"/>
      <c r="X649" s="1"/>
      <c r="Y649" s="1"/>
      <c r="Z649" s="1"/>
      <c r="AA649" s="1"/>
    </row>
    <row r="650" ht="15.75" customHeight="1">
      <c r="A650" s="1" t="str">
        <f>IFERROR(__xludf.DUMMYFUNCTION("""COMPUTED_VALUE"""),"Diseased Rapier")</f>
        <v>Diseased Rapier</v>
      </c>
      <c r="B650" s="1"/>
      <c r="C650" s="1" t="str">
        <f>IFERROR(__xludf.DUMMYFUNCTION("""COMPUTED_VALUE"""),"Sword")</f>
        <v>Sword</v>
      </c>
      <c r="D650" s="1" t="str">
        <f>IFERROR(__xludf.DUMMYFUNCTION("""COMPUTED_VALUE"""),"Hand")</f>
        <v>Hand</v>
      </c>
      <c r="E650" s="1">
        <f>IFERROR(__xludf.DUMMYFUNCTION("""COMPUTED_VALUE"""),50.0)</f>
        <v>50</v>
      </c>
      <c r="F650" s="1" t="str">
        <f>IFERROR(__xludf.DUMMYFUNCTION("""COMPUTED_VALUE"""),"DMG: +2500 ++15% chance to inflict the target with a random non-pemanent disease")</f>
        <v>DMG: +2500 ++15% chance to inflict the target with a random non-pemanent disease</v>
      </c>
      <c r="G650" s="1">
        <f>IFERROR(__xludf.DUMMYFUNCTION("""COMPUTED_VALUE"""),100000.0)</f>
        <v>100000</v>
      </c>
      <c r="H650" s="1"/>
      <c r="I650" s="1"/>
      <c r="J650" s="1"/>
      <c r="K650" s="1"/>
      <c r="L650" s="1"/>
      <c r="M650" s="1"/>
      <c r="N650" s="1"/>
      <c r="O650" s="1"/>
      <c r="P650" s="1"/>
      <c r="Q650" s="1"/>
      <c r="R650" s="1"/>
      <c r="S650" s="1"/>
      <c r="T650" s="1"/>
      <c r="U650" s="1"/>
      <c r="V650" s="1"/>
      <c r="W650" s="1"/>
      <c r="X650" s="1"/>
      <c r="Y650" s="1"/>
      <c r="Z650" s="1"/>
      <c r="AA650" s="1"/>
    </row>
    <row r="651" ht="15.75" customHeight="1">
      <c r="A651" s="1" t="str">
        <f>IFERROR(__xludf.DUMMYFUNCTION("""COMPUTED_VALUE"""),"Symbol of Greed")</f>
        <v>Symbol of Greed</v>
      </c>
      <c r="B651" s="1"/>
      <c r="C651" s="1"/>
      <c r="D651" s="1" t="str">
        <f>IFERROR(__xludf.DUMMYFUNCTION("""COMPUTED_VALUE"""),"Finger")</f>
        <v>Finger</v>
      </c>
      <c r="E651" s="1">
        <f>IFERROR(__xludf.DUMMYFUNCTION("""COMPUTED_VALUE"""),1.0)</f>
        <v>1</v>
      </c>
      <c r="F651" s="1"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
        <f>IFERROR(__xludf.DUMMYFUNCTION("""COMPUTED_VALUE"""),0.0)</f>
        <v>0</v>
      </c>
      <c r="H651" s="1"/>
      <c r="I651" s="1"/>
      <c r="J651" s="1"/>
      <c r="K651" s="1"/>
      <c r="L651" s="1"/>
      <c r="M651" s="1"/>
      <c r="N651" s="1"/>
      <c r="O651" s="1"/>
      <c r="P651" s="1"/>
      <c r="Q651" s="1"/>
      <c r="R651" s="1"/>
      <c r="S651" s="1"/>
      <c r="T651" s="1"/>
      <c r="U651" s="1"/>
      <c r="V651" s="1"/>
      <c r="W651" s="1"/>
      <c r="X651" s="1"/>
      <c r="Y651" s="1"/>
      <c r="Z651" s="1"/>
      <c r="AA651" s="1"/>
    </row>
    <row r="652" ht="15.75" customHeight="1">
      <c r="A652" s="1" t="str">
        <f>IFERROR(__xludf.DUMMYFUNCTION("""COMPUTED_VALUE"""),"Enchanted Quiver")</f>
        <v>Enchanted Quiver</v>
      </c>
      <c r="B652" s="1"/>
      <c r="C652" s="1"/>
      <c r="D652" s="1" t="str">
        <f>IFERROR(__xludf.DUMMYFUNCTION("""COMPUTED_VALUE"""),"Shoulders")</f>
        <v>Shoulders</v>
      </c>
      <c r="E652" s="1">
        <f>IFERROR(__xludf.DUMMYFUNCTION("""COMPUTED_VALUE"""),1.0)</f>
        <v>1</v>
      </c>
      <c r="F652" s="1" t="str">
        <f>IFERROR(__xludf.DUMMYFUNCTION("""COMPUTED_VALUE""")," ++Magic Arrow - ++5 to all attack rolls with a bow +-(Archer Class Only)")</f>
        <v> ++Magic Arrow - ++5 to all attack rolls with a bow +-(Archer Class Only)</v>
      </c>
      <c r="G652" s="1">
        <f>IFERROR(__xludf.DUMMYFUNCTION("""COMPUTED_VALUE"""),0.0)</f>
        <v>0</v>
      </c>
      <c r="H652" s="1"/>
      <c r="I652" s="1"/>
      <c r="J652" s="1"/>
      <c r="K652" s="1"/>
      <c r="L652" s="1"/>
      <c r="M652" s="1"/>
      <c r="N652" s="1"/>
      <c r="O652" s="1"/>
      <c r="P652" s="1"/>
      <c r="Q652" s="1"/>
      <c r="R652" s="1"/>
      <c r="S652" s="1"/>
      <c r="T652" s="1"/>
      <c r="U652" s="1"/>
      <c r="V652" s="1"/>
      <c r="W652" s="1"/>
      <c r="X652" s="1"/>
      <c r="Y652" s="1"/>
      <c r="Z652" s="1"/>
      <c r="AA652" s="1"/>
    </row>
    <row r="653" ht="15.75" customHeight="1">
      <c r="A653" s="1" t="str">
        <f>IFERROR(__xludf.DUMMYFUNCTION("""COMPUTED_VALUE"""),"Ring of the Siren")</f>
        <v>Ring of the Siren</v>
      </c>
      <c r="B653" s="1"/>
      <c r="C653" s="1"/>
      <c r="D653" s="1" t="str">
        <f>IFERROR(__xludf.DUMMYFUNCTION("""COMPUTED_VALUE"""),"Finger")</f>
        <v>Finger</v>
      </c>
      <c r="E653" s="1">
        <f>IFERROR(__xludf.DUMMYFUNCTION("""COMPUTED_VALUE"""),1.0)</f>
        <v>1</v>
      </c>
      <c r="F653" s="1"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
        <f>IFERROR(__xludf.DUMMYFUNCTION("""COMPUTED_VALUE"""),0.0)</f>
        <v>0</v>
      </c>
      <c r="H653" s="1"/>
      <c r="I653" s="1"/>
      <c r="J653" s="1"/>
      <c r="K653" s="1"/>
      <c r="L653" s="1"/>
      <c r="M653" s="1"/>
      <c r="N653" s="1"/>
      <c r="O653" s="1"/>
      <c r="P653" s="1"/>
      <c r="Q653" s="1"/>
      <c r="R653" s="1"/>
      <c r="S653" s="1"/>
      <c r="T653" s="1"/>
      <c r="U653" s="1"/>
      <c r="V653" s="1"/>
      <c r="W653" s="1"/>
      <c r="X653" s="1"/>
      <c r="Y653" s="1"/>
      <c r="Z653" s="1"/>
      <c r="AA653" s="1"/>
    </row>
    <row r="654" ht="15.75" customHeight="1">
      <c r="A654" s="1" t="str">
        <f>IFERROR(__xludf.DUMMYFUNCTION("""COMPUTED_VALUE"""),"Amulet of The Berserker")</f>
        <v>Amulet of The Berserker</v>
      </c>
      <c r="B654" s="1"/>
      <c r="C654" s="1"/>
      <c r="D654" s="1" t="str">
        <f>IFERROR(__xludf.DUMMYFUNCTION("""COMPUTED_VALUE"""),"Neck")</f>
        <v>Neck</v>
      </c>
      <c r="E654" s="1">
        <f>IFERROR(__xludf.DUMMYFUNCTION("""COMPUTED_VALUE"""),1.0)</f>
        <v>1</v>
      </c>
      <c r="F654" s="1" t="str">
        <f>IFERROR(__xludf.DUMMYFUNCTION("""COMPUTED_VALUE""")," ++Berserk - When attacking or being attacked gain 1 stack of Insanity +-(Brawler Class Only)")</f>
        <v> ++Berserk - When attacking or being attacked gain 1 stack of Insanity +-(Brawler Class Only)</v>
      </c>
      <c r="G654" s="1">
        <f>IFERROR(__xludf.DUMMYFUNCTION("""COMPUTED_VALUE"""),0.0)</f>
        <v>0</v>
      </c>
      <c r="H654" s="1"/>
      <c r="I654" s="1"/>
      <c r="J654" s="1"/>
      <c r="K654" s="1"/>
      <c r="L654" s="1"/>
      <c r="M654" s="1"/>
      <c r="N654" s="1"/>
      <c r="O654" s="1"/>
      <c r="P654" s="1"/>
      <c r="Q654" s="1"/>
      <c r="R654" s="1"/>
      <c r="S654" s="1"/>
      <c r="T654" s="1"/>
      <c r="U654" s="1"/>
      <c r="V654" s="1"/>
      <c r="W654" s="1"/>
      <c r="X654" s="1"/>
      <c r="Y654" s="1"/>
      <c r="Z654" s="1"/>
      <c r="AA654" s="1"/>
    </row>
    <row r="655" ht="15.75" customHeight="1">
      <c r="A655" s="1" t="str">
        <f>IFERROR(__xludf.DUMMYFUNCTION("""COMPUTED_VALUE"""),"Mask of the Cultist")</f>
        <v>Mask of the Cultist</v>
      </c>
      <c r="B655" s="1"/>
      <c r="C655" s="1"/>
      <c r="D655" s="1" t="str">
        <f>IFERROR(__xludf.DUMMYFUNCTION("""COMPUTED_VALUE"""),"Head")</f>
        <v>Head</v>
      </c>
      <c r="E655" s="1">
        <f>IFERROR(__xludf.DUMMYFUNCTION("""COMPUTED_VALUE"""),1.0)</f>
        <v>1</v>
      </c>
      <c r="F655" s="1"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
        <f>IFERROR(__xludf.DUMMYFUNCTION("""COMPUTED_VALUE"""),0.0)</f>
        <v>0</v>
      </c>
      <c r="H655" s="1"/>
      <c r="I655" s="1"/>
      <c r="J655" s="1"/>
      <c r="K655" s="1"/>
      <c r="L655" s="1"/>
      <c r="M655" s="1"/>
      <c r="N655" s="1"/>
      <c r="O655" s="1"/>
      <c r="P655" s="1"/>
      <c r="Q655" s="1"/>
      <c r="R655" s="1"/>
      <c r="S655" s="1"/>
      <c r="T655" s="1"/>
      <c r="U655" s="1"/>
      <c r="V655" s="1"/>
      <c r="W655" s="1"/>
      <c r="X655" s="1"/>
      <c r="Y655" s="1"/>
      <c r="Z655" s="1"/>
      <c r="AA655" s="1"/>
    </row>
    <row r="656" ht="15.75" customHeight="1">
      <c r="A656" s="1" t="str">
        <f>IFERROR(__xludf.DUMMYFUNCTION("""COMPUTED_VALUE"""),"""Natural"" Cologne")</f>
        <v>"Natural" Cologne</v>
      </c>
      <c r="B656" s="1"/>
      <c r="C656" s="1"/>
      <c r="D656" s="1" t="str">
        <f>IFERROR(__xludf.DUMMYFUNCTION("""COMPUTED_VALUE"""),"Neck")</f>
        <v>Neck</v>
      </c>
      <c r="E656" s="1">
        <f>IFERROR(__xludf.DUMMYFUNCTION("""COMPUTED_VALUE"""),1.0)</f>
        <v>1</v>
      </c>
      <c r="F656" s="1"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
        <f>IFERROR(__xludf.DUMMYFUNCTION("""COMPUTED_VALUE"""),0.0)</f>
        <v>0</v>
      </c>
      <c r="H656" s="1"/>
      <c r="I656" s="1"/>
      <c r="J656" s="1"/>
      <c r="K656" s="1"/>
      <c r="L656" s="1"/>
      <c r="M656" s="1"/>
      <c r="N656" s="1"/>
      <c r="O656" s="1"/>
      <c r="P656" s="1"/>
      <c r="Q656" s="1"/>
      <c r="R656" s="1"/>
      <c r="S656" s="1"/>
      <c r="T656" s="1"/>
      <c r="U656" s="1"/>
      <c r="V656" s="1"/>
      <c r="W656" s="1"/>
      <c r="X656" s="1"/>
      <c r="Y656" s="1"/>
      <c r="Z656" s="1"/>
      <c r="AA656" s="1"/>
    </row>
    <row r="657" ht="15.75" customHeight="1">
      <c r="A657" s="1" t="str">
        <f>IFERROR(__xludf.DUMMYFUNCTION("""COMPUTED_VALUE"""),"Bonded Ring")</f>
        <v>Bonded Ring</v>
      </c>
      <c r="B657" s="1"/>
      <c r="C657" s="1"/>
      <c r="D657" s="1" t="str">
        <f>IFERROR(__xludf.DUMMYFUNCTION("""COMPUTED_VALUE"""),"Finger")</f>
        <v>Finger</v>
      </c>
      <c r="E657" s="1">
        <f>IFERROR(__xludf.DUMMYFUNCTION("""COMPUTED_VALUE"""),1.0)</f>
        <v>1</v>
      </c>
      <c r="F657" s="1"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
        <f>IFERROR(__xludf.DUMMYFUNCTION("""COMPUTED_VALUE"""),0.0)</f>
        <v>0</v>
      </c>
      <c r="H657" s="1"/>
      <c r="I657" s="1"/>
      <c r="J657" s="1"/>
      <c r="K657" s="1"/>
      <c r="L657" s="1"/>
      <c r="M657" s="1"/>
      <c r="N657" s="1"/>
      <c r="O657" s="1"/>
      <c r="P657" s="1"/>
      <c r="Q657" s="1"/>
      <c r="R657" s="1"/>
      <c r="S657" s="1"/>
      <c r="T657" s="1"/>
      <c r="U657" s="1"/>
      <c r="V657" s="1"/>
      <c r="W657" s="1"/>
      <c r="X657" s="1"/>
      <c r="Y657" s="1"/>
      <c r="Z657" s="1"/>
      <c r="AA657" s="1"/>
    </row>
    <row r="658" ht="15.75" customHeight="1">
      <c r="A658" s="1" t="str">
        <f>IFERROR(__xludf.DUMMYFUNCTION("""COMPUTED_VALUE"""),"Deadeye Brooch")</f>
        <v>Deadeye Brooch</v>
      </c>
      <c r="B658" s="1"/>
      <c r="C658" s="1"/>
      <c r="D658" s="1" t="str">
        <f>IFERROR(__xludf.DUMMYFUNCTION("""COMPUTED_VALUE"""),"Neck")</f>
        <v>Neck</v>
      </c>
      <c r="E658" s="1">
        <f>IFERROR(__xludf.DUMMYFUNCTION("""COMPUTED_VALUE"""),1.0)</f>
        <v>1</v>
      </c>
      <c r="F658" s="1"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
        <f>IFERROR(__xludf.DUMMYFUNCTION("""COMPUTED_VALUE"""),0.0)</f>
        <v>0</v>
      </c>
      <c r="H658" s="1"/>
      <c r="I658" s="1"/>
      <c r="J658" s="1"/>
      <c r="K658" s="1"/>
      <c r="L658" s="1"/>
      <c r="M658" s="1"/>
      <c r="N658" s="1"/>
      <c r="O658" s="1"/>
      <c r="P658" s="1"/>
      <c r="Q658" s="1"/>
      <c r="R658" s="1"/>
      <c r="S658" s="1"/>
      <c r="T658" s="1"/>
      <c r="U658" s="1"/>
      <c r="V658" s="1"/>
      <c r="W658" s="1"/>
      <c r="X658" s="1"/>
      <c r="Y658" s="1"/>
      <c r="Z658" s="1"/>
      <c r="AA658" s="1"/>
    </row>
    <row r="659" ht="15.75" customHeight="1">
      <c r="A659" s="1" t="str">
        <f>IFERROR(__xludf.DUMMYFUNCTION("""COMPUTED_VALUE"""),"Tool Kit")</f>
        <v>Tool Kit</v>
      </c>
      <c r="B659" s="1"/>
      <c r="C659" s="1"/>
      <c r="D659" s="1" t="str">
        <f>IFERROR(__xludf.DUMMYFUNCTION("""COMPUTED_VALUE"""),"Ring")</f>
        <v>Ring</v>
      </c>
      <c r="E659" s="1">
        <f>IFERROR(__xludf.DUMMYFUNCTION("""COMPUTED_VALUE"""),1.0)</f>
        <v>1</v>
      </c>
      <c r="F659" s="1" t="str">
        <f>IFERROR(__xludf.DUMMYFUNCTION("""COMPUTED_VALUE""")," ++The Right Tool For The Job - once per dungeon you are guaranteed to disable a trap +-(Hunter Class Only)")</f>
        <v> ++The Right Tool For The Job - once per dungeon you are guaranteed to disable a trap +-(Hunter Class Only)</v>
      </c>
      <c r="G659" s="1">
        <f>IFERROR(__xludf.DUMMYFUNCTION("""COMPUTED_VALUE"""),0.0)</f>
        <v>0</v>
      </c>
      <c r="H659" s="1"/>
      <c r="I659" s="1"/>
      <c r="J659" s="1"/>
      <c r="K659" s="1"/>
      <c r="L659" s="1"/>
      <c r="M659" s="1"/>
      <c r="N659" s="1"/>
      <c r="O659" s="1"/>
      <c r="P659" s="1"/>
      <c r="Q659" s="1"/>
      <c r="R659" s="1"/>
      <c r="S659" s="1"/>
      <c r="T659" s="1"/>
      <c r="U659" s="1"/>
      <c r="V659" s="1"/>
      <c r="W659" s="1"/>
      <c r="X659" s="1"/>
      <c r="Y659" s="1"/>
      <c r="Z659" s="1"/>
      <c r="AA659" s="1"/>
    </row>
    <row r="660" ht="15.75" customHeight="1">
      <c r="A660" s="1" t="str">
        <f>IFERROR(__xludf.DUMMYFUNCTION("""COMPUTED_VALUE"""),"Basic Bitch Award")</f>
        <v>Basic Bitch Award</v>
      </c>
      <c r="B660" s="1"/>
      <c r="C660" s="1"/>
      <c r="D660" s="1" t="str">
        <f>IFERROR(__xludf.DUMMYFUNCTION("""COMPUTED_VALUE"""),"Ring")</f>
        <v>Ring</v>
      </c>
      <c r="E660" s="1">
        <f>IFERROR(__xludf.DUMMYFUNCTION("""COMPUTED_VALUE"""),1.0)</f>
        <v>1</v>
      </c>
      <c r="F660" s="1" t="str">
        <f>IFERROR(__xludf.DUMMYFUNCTION("""COMPUTED_VALUE""")," ++Joe Schmoe - +5 Charisma +-(Knight Class Only)")</f>
        <v> ++Joe Schmoe - +5 Charisma +-(Knight Class Only)</v>
      </c>
      <c r="G660" s="1">
        <f>IFERROR(__xludf.DUMMYFUNCTION("""COMPUTED_VALUE"""),0.0)</f>
        <v>0</v>
      </c>
      <c r="H660" s="1"/>
      <c r="I660" s="1"/>
      <c r="J660" s="1"/>
      <c r="K660" s="1"/>
      <c r="L660" s="1"/>
      <c r="M660" s="1"/>
      <c r="N660" s="1"/>
      <c r="O660" s="1"/>
      <c r="P660" s="1"/>
      <c r="Q660" s="1"/>
      <c r="R660" s="1"/>
      <c r="S660" s="1"/>
      <c r="T660" s="1"/>
      <c r="U660" s="1"/>
      <c r="V660" s="1"/>
      <c r="W660" s="1"/>
      <c r="X660" s="1"/>
      <c r="Y660" s="1"/>
      <c r="Z660" s="1"/>
      <c r="AA660" s="1"/>
    </row>
    <row r="661" ht="15.75" customHeight="1">
      <c r="A661" s="1" t="str">
        <f>IFERROR(__xludf.DUMMYFUNCTION("""COMPUTED_VALUE"""),"Ring of The Frail Scholar")</f>
        <v>Ring of The Frail Scholar</v>
      </c>
      <c r="B661" s="1"/>
      <c r="C661" s="1"/>
      <c r="D661" s="1" t="str">
        <f>IFERROR(__xludf.DUMMYFUNCTION("""COMPUTED_VALUE"""),"Ring")</f>
        <v>Ring</v>
      </c>
      <c r="E661" s="1">
        <f>IFERROR(__xludf.DUMMYFUNCTION("""COMPUTED_VALUE"""),1.0)</f>
        <v>1</v>
      </c>
      <c r="F661" s="1" t="str">
        <f>IFERROR(__xludf.DUMMYFUNCTION("""COMPUTED_VALUE""")," ++Frail Scholar - Lowers HP by half but doubles SP +-(Mage, Wizard, and Sorcerer Class Only)")</f>
        <v> ++Frail Scholar - Lowers HP by half but doubles SP +-(Mage, Wizard, and Sorcerer Class Only)</v>
      </c>
      <c r="G661" s="1">
        <f>IFERROR(__xludf.DUMMYFUNCTION("""COMPUTED_VALUE"""),0.0)</f>
        <v>0</v>
      </c>
      <c r="H661" s="1"/>
      <c r="I661" s="1"/>
      <c r="J661" s="1"/>
      <c r="K661" s="1"/>
      <c r="L661" s="1"/>
      <c r="M661" s="1"/>
      <c r="N661" s="1"/>
      <c r="O661" s="1"/>
      <c r="P661" s="1"/>
      <c r="Q661" s="1"/>
      <c r="R661" s="1"/>
      <c r="S661" s="1"/>
      <c r="T661" s="1"/>
      <c r="U661" s="1"/>
      <c r="V661" s="1"/>
      <c r="W661" s="1"/>
      <c r="X661" s="1"/>
      <c r="Y661" s="1"/>
      <c r="Z661" s="1"/>
      <c r="AA661" s="1"/>
    </row>
    <row r="662" ht="15.75" customHeight="1">
      <c r="A662" s="1" t="str">
        <f>IFERROR(__xludf.DUMMYFUNCTION("""COMPUTED_VALUE"""),"Ring of Sticky FIngers")</f>
        <v>Ring of Sticky FIngers</v>
      </c>
      <c r="B662" s="1"/>
      <c r="C662" s="1"/>
      <c r="D662" s="1" t="str">
        <f>IFERROR(__xludf.DUMMYFUNCTION("""COMPUTED_VALUE"""),"Ring")</f>
        <v>Ring</v>
      </c>
      <c r="E662" s="1">
        <f>IFERROR(__xludf.DUMMYFUNCTION("""COMPUTED_VALUE"""),1.0)</f>
        <v>1</v>
      </c>
      <c r="F662" s="1" t="str">
        <f>IFERROR(__xludf.DUMMYFUNCTION("""COMPUTED_VALUE""")," ++Sticky FIngers - Allows you to use confiscate, take, and pickpocket skills twice +-(Marauder Class Only)")</f>
        <v> ++Sticky FIngers - Allows you to use confiscate, take, and pickpocket skills twice +-(Marauder Class Only)</v>
      </c>
      <c r="G662" s="1">
        <f>IFERROR(__xludf.DUMMYFUNCTION("""COMPUTED_VALUE"""),0.0)</f>
        <v>0</v>
      </c>
      <c r="H662" s="1"/>
      <c r="I662" s="1"/>
      <c r="J662" s="1"/>
      <c r="K662" s="1"/>
      <c r="L662" s="1"/>
      <c r="M662" s="1"/>
      <c r="N662" s="1"/>
      <c r="O662" s="1"/>
      <c r="P662" s="1"/>
      <c r="Q662" s="1"/>
      <c r="R662" s="1"/>
      <c r="S662" s="1"/>
      <c r="T662" s="1"/>
      <c r="U662" s="1"/>
      <c r="V662" s="1"/>
      <c r="W662" s="1"/>
      <c r="X662" s="1"/>
      <c r="Y662" s="1"/>
      <c r="Z662" s="1"/>
      <c r="AA662" s="1"/>
    </row>
    <row r="663" ht="15.75" customHeight="1">
      <c r="A663" s="1" t="str">
        <f>IFERROR(__xludf.DUMMYFUNCTION("""COMPUTED_VALUE"""),"Spirit Furnace")</f>
        <v>Spirit Furnace</v>
      </c>
      <c r="B663" s="1"/>
      <c r="C663" s="1"/>
      <c r="D663" s="1" t="str">
        <f>IFERROR(__xludf.DUMMYFUNCTION("""COMPUTED_VALUE"""),"Neck")</f>
        <v>Neck</v>
      </c>
      <c r="E663" s="1">
        <f>IFERROR(__xludf.DUMMYFUNCTION("""COMPUTED_VALUE"""),1.0)</f>
        <v>1</v>
      </c>
      <c r="F663" s="1"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
        <f>IFERROR(__xludf.DUMMYFUNCTION("""COMPUTED_VALUE"""),0.0)</f>
        <v>0</v>
      </c>
      <c r="H663" s="1"/>
      <c r="I663" s="1"/>
      <c r="J663" s="1"/>
      <c r="K663" s="1"/>
      <c r="L663" s="1"/>
      <c r="M663" s="1"/>
      <c r="N663" s="1"/>
      <c r="O663" s="1"/>
      <c r="P663" s="1"/>
      <c r="Q663" s="1"/>
      <c r="R663" s="1"/>
      <c r="S663" s="1"/>
      <c r="T663" s="1"/>
      <c r="U663" s="1"/>
      <c r="V663" s="1"/>
      <c r="W663" s="1"/>
      <c r="X663" s="1"/>
      <c r="Y663" s="1"/>
      <c r="Z663" s="1"/>
      <c r="AA663" s="1"/>
    </row>
    <row r="664" ht="15.75" customHeight="1">
      <c r="A664" s="1" t="str">
        <f>IFERROR(__xludf.DUMMYFUNCTION("""COMPUTED_VALUE"""),"Smokebomb Pouch")</f>
        <v>Smokebomb Pouch</v>
      </c>
      <c r="B664" s="1"/>
      <c r="C664" s="1"/>
      <c r="D664" s="1" t="str">
        <f>IFERROR(__xludf.DUMMYFUNCTION("""COMPUTED_VALUE"""),"Legs")</f>
        <v>Legs</v>
      </c>
      <c r="E664" s="1">
        <f>IFERROR(__xludf.DUMMYFUNCTION("""COMPUTED_VALUE"""),1.0)</f>
        <v>1</v>
      </c>
      <c r="F664" s="1" t="str">
        <f>IFERROR(__xludf.DUMMYFUNCTION("""COMPUTED_VALUE""")," ++Smoke Bomb - Conceal abilities are guaranteed to succeed +-(Ninja Class Only)")</f>
        <v> ++Smoke Bomb - Conceal abilities are guaranteed to succeed +-(Ninja Class Only)</v>
      </c>
      <c r="G664" s="1">
        <f>IFERROR(__xludf.DUMMYFUNCTION("""COMPUTED_VALUE"""),0.0)</f>
        <v>0</v>
      </c>
      <c r="H664" s="1"/>
      <c r="I664" s="1"/>
      <c r="J664" s="1"/>
      <c r="K664" s="1"/>
      <c r="L664" s="1"/>
      <c r="M664" s="1"/>
      <c r="N664" s="1"/>
      <c r="O664" s="1"/>
      <c r="P664" s="1"/>
      <c r="Q664" s="1"/>
      <c r="R664" s="1"/>
      <c r="S664" s="1"/>
      <c r="T664" s="1"/>
      <c r="U664" s="1"/>
      <c r="V664" s="1"/>
      <c r="W664" s="1"/>
      <c r="X664" s="1"/>
      <c r="Y664" s="1"/>
      <c r="Z664" s="1"/>
      <c r="AA664" s="1"/>
    </row>
    <row r="665" ht="15.75" customHeight="1">
      <c r="A665" s="1" t="str">
        <f>IFERROR(__xludf.DUMMYFUNCTION("""COMPUTED_VALUE"""),"Certificate of Shield Bashing School")</f>
        <v>Certificate of Shield Bashing School</v>
      </c>
      <c r="B665" s="1"/>
      <c r="C665" s="1"/>
      <c r="D665" s="1" t="str">
        <f>IFERROR(__xludf.DUMMYFUNCTION("""COMPUTED_VALUE"""),"Neck")</f>
        <v>Neck</v>
      </c>
      <c r="E665" s="1">
        <f>IFERROR(__xludf.DUMMYFUNCTION("""COMPUTED_VALUE"""),1.0)</f>
        <v>1</v>
      </c>
      <c r="F665" s="1"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
        <f>IFERROR(__xludf.DUMMYFUNCTION("""COMPUTED_VALUE"""),0.0)</f>
        <v>0</v>
      </c>
      <c r="H665" s="1"/>
      <c r="I665" s="1"/>
      <c r="J665" s="1"/>
      <c r="K665" s="1"/>
      <c r="L665" s="1"/>
      <c r="M665" s="1"/>
      <c r="N665" s="1"/>
      <c r="O665" s="1"/>
      <c r="P665" s="1"/>
      <c r="Q665" s="1"/>
      <c r="R665" s="1"/>
      <c r="S665" s="1"/>
      <c r="T665" s="1"/>
      <c r="U665" s="1"/>
      <c r="V665" s="1"/>
      <c r="W665" s="1"/>
      <c r="X665" s="1"/>
      <c r="Y665" s="1"/>
      <c r="Z665" s="1"/>
      <c r="AA665" s="1"/>
    </row>
    <row r="666" ht="15.75" customHeight="1">
      <c r="A666" s="1" t="str">
        <f>IFERROR(__xludf.DUMMYFUNCTION("""COMPUTED_VALUE"""),"Goblet of Greed")</f>
        <v>Goblet of Greed</v>
      </c>
      <c r="B666" s="1"/>
      <c r="C666" s="1"/>
      <c r="D666" s="1" t="str">
        <f>IFERROR(__xludf.DUMMYFUNCTION("""COMPUTED_VALUE"""),"Neck")</f>
        <v>Neck</v>
      </c>
      <c r="E666" s="1">
        <f>IFERROR(__xludf.DUMMYFUNCTION("""COMPUTED_VALUE"""),1.0)</f>
        <v>1</v>
      </c>
      <c r="F666" s="1"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
        <f>IFERROR(__xludf.DUMMYFUNCTION("""COMPUTED_VALUE"""),0.0)</f>
        <v>0</v>
      </c>
      <c r="H666" s="1"/>
      <c r="I666" s="1"/>
      <c r="J666" s="1"/>
      <c r="K666" s="1"/>
      <c r="L666" s="1"/>
      <c r="M666" s="1"/>
      <c r="N666" s="1"/>
      <c r="O666" s="1"/>
      <c r="P666" s="1"/>
      <c r="Q666" s="1"/>
      <c r="R666" s="1"/>
      <c r="S666" s="1"/>
      <c r="T666" s="1"/>
      <c r="U666" s="1"/>
      <c r="V666" s="1"/>
      <c r="W666" s="1"/>
      <c r="X666" s="1"/>
      <c r="Y666" s="1"/>
      <c r="Z666" s="1"/>
      <c r="AA666" s="1"/>
    </row>
    <row r="667" ht="15.75" customHeight="1">
      <c r="A667" s="1" t="str">
        <f>IFERROR(__xludf.DUMMYFUNCTION("""COMPUTED_VALUE"""),"Holy Symbol")</f>
        <v>Holy Symbol</v>
      </c>
      <c r="B667" s="1"/>
      <c r="C667" s="1"/>
      <c r="D667" s="1" t="str">
        <f>IFERROR(__xludf.DUMMYFUNCTION("""COMPUTED_VALUE"""),"Neck")</f>
        <v>Neck</v>
      </c>
      <c r="E667" s="1">
        <f>IFERROR(__xludf.DUMMYFUNCTION("""COMPUTED_VALUE"""),1.0)</f>
        <v>1</v>
      </c>
      <c r="F667" s="1"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
        <f>IFERROR(__xludf.DUMMYFUNCTION("""COMPUTED_VALUE"""),0.0)</f>
        <v>0</v>
      </c>
      <c r="H667" s="1"/>
      <c r="I667" s="1"/>
      <c r="J667" s="1"/>
      <c r="K667" s="1"/>
      <c r="L667" s="1"/>
      <c r="M667" s="1"/>
      <c r="N667" s="1"/>
      <c r="O667" s="1"/>
      <c r="P667" s="1"/>
      <c r="Q667" s="1"/>
      <c r="R667" s="1"/>
      <c r="S667" s="1"/>
      <c r="T667" s="1"/>
      <c r="U667" s="1"/>
      <c r="V667" s="1"/>
      <c r="W667" s="1"/>
      <c r="X667" s="1"/>
      <c r="Y667" s="1"/>
      <c r="Z667" s="1"/>
      <c r="AA667" s="1"/>
    </row>
    <row r="668" ht="15.75" customHeight="1">
      <c r="A668" s="1" t="str">
        <f>IFERROR(__xludf.DUMMYFUNCTION("""COMPUTED_VALUE"""),"Mysterious Merchant's Scythe")</f>
        <v>Mysterious Merchant's Scythe</v>
      </c>
      <c r="B668" s="1" t="str">
        <f>IFERROR(__xludf.DUMMYFUNCTION("""COMPUTED_VALUE"""),"The scythe of the mysterious merchant himself imbued with a great power")</f>
        <v>The scythe of the mysterious merchant himself imbued with a great power</v>
      </c>
      <c r="C668" s="1" t="str">
        <f>IFERROR(__xludf.DUMMYFUNCTION("""COMPUTED_VALUE"""),"Scythe")</f>
        <v>Scythe</v>
      </c>
      <c r="D668" s="1" t="str">
        <f>IFERROR(__xludf.DUMMYFUNCTION("""COMPUTED_VALUE"""),"Hand")</f>
        <v>Hand</v>
      </c>
      <c r="E668" s="1">
        <f>IFERROR(__xludf.DUMMYFUNCTION("""COMPUTED_VALUE"""),1000.0)</f>
        <v>1000</v>
      </c>
      <c r="F668" s="1"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
        <f>IFERROR(__xludf.DUMMYFUNCTION("""COMPUTED_VALUE"""),4.95E7)</f>
        <v>49500000</v>
      </c>
      <c r="H668" s="1"/>
      <c r="I668" s="1"/>
      <c r="J668" s="1"/>
      <c r="K668" s="1"/>
      <c r="L668" s="1"/>
      <c r="M668" s="1"/>
      <c r="N668" s="1"/>
      <c r="O668" s="1"/>
      <c r="P668" s="1"/>
      <c r="Q668" s="1"/>
      <c r="R668" s="1"/>
      <c r="S668" s="1"/>
      <c r="T668" s="1"/>
      <c r="U668" s="1"/>
      <c r="V668" s="1"/>
      <c r="W668" s="1"/>
      <c r="X668" s="1"/>
      <c r="Y668" s="1"/>
      <c r="Z668" s="1"/>
      <c r="AA668" s="1"/>
    </row>
    <row r="669" ht="15.75" customHeight="1">
      <c r="A669" s="1" t="str">
        <f>IFERROR(__xludf.DUMMYFUNCTION("""COMPUTED_VALUE"""),"Cursed Saya")</f>
        <v>Cursed Saya</v>
      </c>
      <c r="B669" s="1"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
      <c r="D669" s="1" t="str">
        <f>IFERROR(__xludf.DUMMYFUNCTION("""COMPUTED_VALUE"""),"Legs")</f>
        <v>Legs</v>
      </c>
      <c r="E669" s="1">
        <f>IFERROR(__xludf.DUMMYFUNCTION("""COMPUTED_VALUE"""),1.0)</f>
        <v>1</v>
      </c>
      <c r="F669" s="1"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
        <f>IFERROR(__xludf.DUMMYFUNCTION("""COMPUTED_VALUE"""),0.0)</f>
        <v>0</v>
      </c>
      <c r="H669" s="1"/>
      <c r="I669" s="1"/>
      <c r="J669" s="1"/>
      <c r="K669" s="1"/>
      <c r="L669" s="1"/>
      <c r="M669" s="1"/>
      <c r="N669" s="1"/>
      <c r="O669" s="1"/>
      <c r="P669" s="1"/>
      <c r="Q669" s="1"/>
      <c r="R669" s="1"/>
      <c r="S669" s="1"/>
      <c r="T669" s="1"/>
      <c r="U669" s="1"/>
      <c r="V669" s="1"/>
      <c r="W669" s="1"/>
      <c r="X669" s="1"/>
      <c r="Y669" s="1"/>
      <c r="Z669" s="1"/>
      <c r="AA669" s="1"/>
    </row>
    <row r="670" ht="15.75" customHeight="1">
      <c r="A670" s="1" t="str">
        <f>IFERROR(__xludf.DUMMYFUNCTION("""COMPUTED_VALUE"""),"Shamanic Staff")</f>
        <v>Shamanic Staff</v>
      </c>
      <c r="B670" s="1"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 t="str">
        <f>IFERROR(__xludf.DUMMYFUNCTION("""COMPUTED_VALUE"""),"Staff")</f>
        <v>Staff</v>
      </c>
      <c r="D670" s="1" t="str">
        <f>IFERROR(__xludf.DUMMYFUNCTION("""COMPUTED_VALUE"""),"Hand")</f>
        <v>Hand</v>
      </c>
      <c r="E670" s="1">
        <f>IFERROR(__xludf.DUMMYFUNCTION("""COMPUTED_VALUE"""),1500.0)</f>
        <v>1500</v>
      </c>
      <c r="F670" s="1"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
        <f>IFERROR(__xludf.DUMMYFUNCTION("""COMPUTED_VALUE"""),1.1175E8)</f>
        <v>111750000</v>
      </c>
      <c r="H670" s="1"/>
      <c r="I670" s="1"/>
      <c r="J670" s="1"/>
      <c r="K670" s="1"/>
      <c r="L670" s="1"/>
      <c r="M670" s="1"/>
      <c r="N670" s="1"/>
      <c r="O670" s="1"/>
      <c r="P670" s="1"/>
      <c r="Q670" s="1"/>
      <c r="R670" s="1"/>
      <c r="S670" s="1"/>
      <c r="T670" s="1"/>
      <c r="U670" s="1"/>
      <c r="V670" s="1"/>
      <c r="W670" s="1"/>
      <c r="X670" s="1"/>
      <c r="Y670" s="1"/>
      <c r="Z670" s="1"/>
      <c r="AA670" s="1"/>
    </row>
    <row r="671" ht="15.75" customHeight="1">
      <c r="A671" s="1" t="str">
        <f>IFERROR(__xludf.DUMMYFUNCTION("""COMPUTED_VALUE"""),"Rune Necklace")</f>
        <v>Rune Necklace</v>
      </c>
      <c r="B671" s="1"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
      <c r="D671" s="1" t="str">
        <f>IFERROR(__xludf.DUMMYFUNCTION("""COMPUTED_VALUE"""),"Neck")</f>
        <v>Neck</v>
      </c>
      <c r="E671" s="1">
        <f>IFERROR(__xludf.DUMMYFUNCTION("""COMPUTED_VALUE"""),1.0)</f>
        <v>1</v>
      </c>
      <c r="F671" s="1" t="str">
        <f>IFERROR(__xludf.DUMMYFUNCTION("""COMPUTED_VALUE""")," ++Spirit's Friend - Any summoned Spirit gains +5 to all perks and X2 base stats +-(Shaman Class Only)")</f>
        <v> ++Spirit's Friend - Any summoned Spirit gains +5 to all perks and X2 base stats +-(Shaman Class Only)</v>
      </c>
      <c r="G671" s="1">
        <f>IFERROR(__xludf.DUMMYFUNCTION("""COMPUTED_VALUE"""),0.0)</f>
        <v>0</v>
      </c>
      <c r="H671" s="1"/>
      <c r="I671" s="1"/>
      <c r="J671" s="1"/>
      <c r="K671" s="1"/>
      <c r="L671" s="1"/>
      <c r="M671" s="1"/>
      <c r="N671" s="1"/>
      <c r="O671" s="1"/>
      <c r="P671" s="1"/>
      <c r="Q671" s="1"/>
      <c r="R671" s="1"/>
      <c r="S671" s="1"/>
      <c r="T671" s="1"/>
      <c r="U671" s="1"/>
      <c r="V671" s="1"/>
      <c r="W671" s="1"/>
      <c r="X671" s="1"/>
      <c r="Y671" s="1"/>
      <c r="Z671" s="1"/>
      <c r="AA671" s="1"/>
    </row>
    <row r="672" ht="15.75" customHeight="1">
      <c r="A672" s="1" t="str">
        <f>IFERROR(__xludf.DUMMYFUNCTION("""COMPUTED_VALUE"""),"Spell Sponge")</f>
        <v>Spell Sponge</v>
      </c>
      <c r="B672" s="1"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
      <c r="D672" s="1" t="str">
        <f>IFERROR(__xludf.DUMMYFUNCTION("""COMPUTED_VALUE"""),"Neck")</f>
        <v>Neck</v>
      </c>
      <c r="E672" s="1">
        <f>IFERROR(__xludf.DUMMYFUNCTION("""COMPUTED_VALUE"""),1.0)</f>
        <v>1</v>
      </c>
      <c r="F672" s="1"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
        <f>IFERROR(__xludf.DUMMYFUNCTION("""COMPUTED_VALUE"""),0.0)</f>
        <v>0</v>
      </c>
      <c r="H672" s="1"/>
      <c r="I672" s="1"/>
      <c r="J672" s="1"/>
      <c r="K672" s="1"/>
      <c r="L672" s="1"/>
      <c r="M672" s="1"/>
      <c r="N672" s="1"/>
      <c r="O672" s="1"/>
      <c r="P672" s="1"/>
      <c r="Q672" s="1"/>
      <c r="R672" s="1"/>
      <c r="S672" s="1"/>
      <c r="T672" s="1"/>
      <c r="U672" s="1"/>
      <c r="V672" s="1"/>
      <c r="W672" s="1"/>
      <c r="X672" s="1"/>
      <c r="Y672" s="1"/>
      <c r="Z672" s="1"/>
      <c r="AA672" s="1"/>
    </row>
    <row r="673" ht="15.75" customHeight="1">
      <c r="A673" s="1" t="str">
        <f>IFERROR(__xludf.DUMMYFUNCTION("""COMPUTED_VALUE"""),"Viking's Warpaint")</f>
        <v>Viking's Warpaint</v>
      </c>
      <c r="B673" s="1" t="str">
        <f>IFERROR(__xludf.DUMMYFUNCTION("""COMPUTED_VALUE"""),"A set of primitive paint imported from Knappadalr, for some reason these paints fill you with rage.")</f>
        <v>A set of primitive paint imported from Knappadalr, for some reason these paints fill you with rage.</v>
      </c>
      <c r="C673" s="1"/>
      <c r="D673" s="1" t="str">
        <f>IFERROR(__xludf.DUMMYFUNCTION("""COMPUTED_VALUE"""),"Head")</f>
        <v>Head</v>
      </c>
      <c r="E673" s="1">
        <f>IFERROR(__xludf.DUMMYFUNCTION("""COMPUTED_VALUE"""),1.0)</f>
        <v>1</v>
      </c>
      <c r="F673" s="1"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
        <f>IFERROR(__xludf.DUMMYFUNCTION("""COMPUTED_VALUE"""),0.0)</f>
        <v>0</v>
      </c>
      <c r="H673" s="1"/>
      <c r="I673" s="1"/>
      <c r="J673" s="1"/>
      <c r="K673" s="1"/>
      <c r="L673" s="1"/>
      <c r="M673" s="1"/>
      <c r="N673" s="1"/>
      <c r="O673" s="1"/>
      <c r="P673" s="1"/>
      <c r="Q673" s="1"/>
      <c r="R673" s="1"/>
      <c r="S673" s="1"/>
      <c r="T673" s="1"/>
      <c r="U673" s="1"/>
      <c r="V673" s="1"/>
      <c r="W673" s="1"/>
      <c r="X673" s="1"/>
      <c r="Y673" s="1"/>
      <c r="Z673" s="1"/>
      <c r="AA673" s="1"/>
    </row>
    <row r="674" ht="15.75" customHeight="1">
      <c r="A674" s="1" t="str">
        <f>IFERROR(__xludf.DUMMYFUNCTION("""COMPUTED_VALUE"""),"Speed Shoes")</f>
        <v>Speed Shoes</v>
      </c>
      <c r="B674" s="1" t="str">
        <f>IFERROR(__xludf.DUMMYFUNCTION("""COMPUTED_VALUE"""),"A pair of red shoes that make you feel like dancing.")</f>
        <v>A pair of red shoes that make you feel like dancing.</v>
      </c>
      <c r="C674" s="1"/>
      <c r="D674" s="1" t="str">
        <f>IFERROR(__xludf.DUMMYFUNCTION("""COMPUTED_VALUE"""),"Feet")</f>
        <v>Feet</v>
      </c>
      <c r="E674" s="1">
        <f>IFERROR(__xludf.DUMMYFUNCTION("""COMPUTED_VALUE"""),1.0)</f>
        <v>1</v>
      </c>
      <c r="F674" s="1"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
        <f>IFERROR(__xludf.DUMMYFUNCTION("""COMPUTED_VALUE"""),0.0)</f>
        <v>0</v>
      </c>
      <c r="H674" s="1"/>
      <c r="I674" s="1"/>
      <c r="J674" s="1"/>
      <c r="K674" s="1"/>
      <c r="L674" s="1"/>
      <c r="M674" s="1"/>
      <c r="N674" s="1"/>
      <c r="O674" s="1"/>
      <c r="P674" s="1"/>
      <c r="Q674" s="1"/>
      <c r="R674" s="1"/>
      <c r="S674" s="1"/>
      <c r="T674" s="1"/>
      <c r="U674" s="1"/>
      <c r="V674" s="1"/>
      <c r="W674" s="1"/>
      <c r="X674" s="1"/>
      <c r="Y674" s="1"/>
      <c r="Z674" s="1"/>
      <c r="AA674" s="1"/>
    </row>
    <row r="675" ht="15.75" customHeight="1">
      <c r="A675" s="1" t="str">
        <f>IFERROR(__xludf.DUMMYFUNCTION("""COMPUTED_VALUE"""),"Book of Hexes")</f>
        <v>Book of Hexes</v>
      </c>
      <c r="B675" s="1" t="str">
        <f>IFERROR(__xludf.DUMMYFUNCTION("""COMPUTED_VALUE"""),"The staple item for a witch.")</f>
        <v>The staple item for a witch.</v>
      </c>
      <c r="C675" s="1"/>
      <c r="D675" s="1" t="str">
        <f>IFERROR(__xludf.DUMMYFUNCTION("""COMPUTED_VALUE"""),"Legs")</f>
        <v>Legs</v>
      </c>
      <c r="E675" s="1">
        <f>IFERROR(__xludf.DUMMYFUNCTION("""COMPUTED_VALUE"""),1.0)</f>
        <v>1</v>
      </c>
      <c r="F675" s="1"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
        <f>IFERROR(__xludf.DUMMYFUNCTION("""COMPUTED_VALUE"""),0.0)</f>
        <v>0</v>
      </c>
      <c r="H675" s="1"/>
      <c r="I675" s="1"/>
      <c r="J675" s="1"/>
      <c r="K675" s="1"/>
      <c r="L675" s="1"/>
      <c r="M675" s="1"/>
      <c r="N675" s="1"/>
      <c r="O675" s="1"/>
      <c r="P675" s="1"/>
      <c r="Q675" s="1"/>
      <c r="R675" s="1"/>
      <c r="S675" s="1"/>
      <c r="T675" s="1"/>
      <c r="U675" s="1"/>
      <c r="V675" s="1"/>
      <c r="W675" s="1"/>
      <c r="X675" s="1"/>
      <c r="Y675" s="1"/>
      <c r="Z675" s="1"/>
      <c r="AA675" s="1"/>
    </row>
    <row r="676" ht="15.75" customHeight="1">
      <c r="A676" s="1" t="str">
        <f>IFERROR(__xludf.DUMMYFUNCTION("""COMPUTED_VALUE"""),"Ring of Boring")</f>
        <v>Ring of Boring</v>
      </c>
      <c r="B676" s="1" t="str">
        <f>IFERROR(__xludf.DUMMYFUNCTION("""COMPUTED_VALUE"""),"The item for people who made a character but decided they were ""too good"" for it's abilities.")</f>
        <v>The item for people who made a character but decided they were "too good" for it's abilities.</v>
      </c>
      <c r="C676" s="1"/>
      <c r="D676" s="1" t="str">
        <f>IFERROR(__xludf.DUMMYFUNCTION("""COMPUTED_VALUE"""),"Finger")</f>
        <v>Finger</v>
      </c>
      <c r="E676" s="1">
        <f>IFERROR(__xludf.DUMMYFUNCTION("""COMPUTED_VALUE"""),1.0)</f>
        <v>1</v>
      </c>
      <c r="F676" s="1" t="str">
        <f>IFERROR(__xludf.DUMMYFUNCTION("""COMPUTED_VALUE""")," ++Why are you so boring? - X2 additional damage.")</f>
        <v> ++Why are you so boring? - X2 additional damage.</v>
      </c>
      <c r="G676" s="1">
        <f>IFERROR(__xludf.DUMMYFUNCTION("""COMPUTED_VALUE"""),0.0)</f>
        <v>0</v>
      </c>
      <c r="H676" s="1"/>
      <c r="I676" s="1"/>
      <c r="J676" s="1"/>
      <c r="K676" s="1"/>
      <c r="L676" s="1"/>
      <c r="M676" s="1"/>
      <c r="N676" s="1"/>
      <c r="O676" s="1"/>
      <c r="P676" s="1"/>
      <c r="Q676" s="1"/>
      <c r="R676" s="1"/>
      <c r="S676" s="1"/>
      <c r="T676" s="1"/>
      <c r="U676" s="1"/>
      <c r="V676" s="1"/>
      <c r="W676" s="1"/>
      <c r="X676" s="1"/>
      <c r="Y676" s="1"/>
      <c r="Z676" s="1"/>
      <c r="AA676" s="1"/>
    </row>
    <row r="677" ht="15.75" customHeight="1">
      <c r="A677" s="1" t="str">
        <f>IFERROR(__xludf.DUMMYFUNCTION("""COMPUTED_VALUE"""),"Frozen Spearman's High-Low Dress")</f>
        <v>Frozen Spearman's High-Low Dress</v>
      </c>
      <c r="B677" s="1"/>
      <c r="C677" s="1"/>
      <c r="D677" s="1" t="str">
        <f>IFERROR(__xludf.DUMMYFUNCTION("""COMPUTED_VALUE"""),"Torso")</f>
        <v>Torso</v>
      </c>
      <c r="E677" s="1">
        <f>IFERROR(__xludf.DUMMYFUNCTION("""COMPUTED_VALUE"""),200.0)</f>
        <v>200</v>
      </c>
      <c r="F677" s="1"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
        <f>IFERROR(__xludf.DUMMYFUNCTION("""COMPUTED_VALUE"""),1.99E8)</f>
        <v>199000000</v>
      </c>
      <c r="H677" s="1"/>
      <c r="I677" s="1"/>
      <c r="J677" s="1"/>
      <c r="K677" s="1"/>
      <c r="L677" s="1"/>
      <c r="M677" s="1"/>
      <c r="N677" s="1"/>
      <c r="O677" s="1"/>
      <c r="P677" s="1"/>
      <c r="Q677" s="1"/>
      <c r="R677" s="1"/>
      <c r="S677" s="1"/>
      <c r="T677" s="1"/>
      <c r="U677" s="1"/>
      <c r="V677" s="1"/>
      <c r="W677" s="1"/>
      <c r="X677" s="1"/>
      <c r="Y677" s="1"/>
      <c r="Z677" s="1"/>
      <c r="AA677" s="1"/>
    </row>
    <row r="678" ht="15.75" customHeight="1">
      <c r="A678" s="1" t="str">
        <f>IFERROR(__xludf.DUMMYFUNCTION("""COMPUTED_VALUE"""),"Frozen Spearman's Jhodpur's")</f>
        <v>Frozen Spearman's Jhodpur's</v>
      </c>
      <c r="B678" s="1"/>
      <c r="C678" s="1"/>
      <c r="D678" s="1" t="str">
        <f>IFERROR(__xludf.DUMMYFUNCTION("""COMPUTED_VALUE"""),"Legs")</f>
        <v>Legs</v>
      </c>
      <c r="E678" s="1">
        <f>IFERROR(__xludf.DUMMYFUNCTION("""COMPUTED_VALUE"""),200.0)</f>
        <v>200</v>
      </c>
      <c r="F678" s="1"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
        <f>IFERROR(__xludf.DUMMYFUNCTION("""COMPUTED_VALUE"""),1.99E8)</f>
        <v>199000000</v>
      </c>
      <c r="H678" s="1"/>
      <c r="I678" s="1"/>
      <c r="J678" s="1"/>
      <c r="K678" s="1"/>
      <c r="L678" s="1"/>
      <c r="M678" s="1"/>
      <c r="N678" s="1"/>
      <c r="O678" s="1"/>
      <c r="P678" s="1"/>
      <c r="Q678" s="1"/>
      <c r="R678" s="1"/>
      <c r="S678" s="1"/>
      <c r="T678" s="1"/>
      <c r="U678" s="1"/>
      <c r="V678" s="1"/>
      <c r="W678" s="1"/>
      <c r="X678" s="1"/>
      <c r="Y678" s="1"/>
      <c r="Z678" s="1"/>
      <c r="AA678" s="1"/>
    </row>
    <row r="679" ht="15.75" customHeight="1">
      <c r="A679" s="1" t="str">
        <f>IFERROR(__xludf.DUMMYFUNCTION("""COMPUTED_VALUE"""),"Frozen Spearman's Fur Boots")</f>
        <v>Frozen Spearman's Fur Boots</v>
      </c>
      <c r="B679" s="1"/>
      <c r="C679" s="1"/>
      <c r="D679" s="1" t="str">
        <f>IFERROR(__xludf.DUMMYFUNCTION("""COMPUTED_VALUE"""),"Feet")</f>
        <v>Feet</v>
      </c>
      <c r="E679" s="1">
        <f>IFERROR(__xludf.DUMMYFUNCTION("""COMPUTED_VALUE"""),200.0)</f>
        <v>200</v>
      </c>
      <c r="F679" s="1"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
        <f>IFERROR(__xludf.DUMMYFUNCTION("""COMPUTED_VALUE"""),1.99E8)</f>
        <v>199000000</v>
      </c>
      <c r="H679" s="1"/>
      <c r="I679" s="1"/>
      <c r="J679" s="1"/>
      <c r="K679" s="1"/>
      <c r="L679" s="1"/>
      <c r="M679" s="1"/>
      <c r="N679" s="1"/>
      <c r="O679" s="1"/>
      <c r="P679" s="1"/>
      <c r="Q679" s="1"/>
      <c r="R679" s="1"/>
      <c r="S679" s="1"/>
      <c r="T679" s="1"/>
      <c r="U679" s="1"/>
      <c r="V679" s="1"/>
      <c r="W679" s="1"/>
      <c r="X679" s="1"/>
      <c r="Y679" s="1"/>
      <c r="Z679" s="1"/>
      <c r="AA679" s="1"/>
    </row>
    <row r="680" ht="15.75" customHeight="1">
      <c r="A680" s="1" t="str">
        <f>IFERROR(__xludf.DUMMYFUNCTION("""COMPUTED_VALUE"""),"Frozen Spearman's Bracers")</f>
        <v>Frozen Spearman's Bracers</v>
      </c>
      <c r="B680" s="1"/>
      <c r="C680" s="1"/>
      <c r="D680" s="1" t="str">
        <f>IFERROR(__xludf.DUMMYFUNCTION("""COMPUTED_VALUE"""),"Arms")</f>
        <v>Arms</v>
      </c>
      <c r="E680" s="1">
        <f>IFERROR(__xludf.DUMMYFUNCTION("""COMPUTED_VALUE"""),200.0)</f>
        <v>200</v>
      </c>
      <c r="F680" s="1"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
        <f>IFERROR(__xludf.DUMMYFUNCTION("""COMPUTED_VALUE"""),1.99E8)</f>
        <v>199000000</v>
      </c>
      <c r="H680" s="1"/>
      <c r="I680" s="1"/>
      <c r="J680" s="1"/>
      <c r="K680" s="1"/>
      <c r="L680" s="1"/>
      <c r="M680" s="1"/>
      <c r="N680" s="1"/>
      <c r="O680" s="1"/>
      <c r="P680" s="1"/>
      <c r="Q680" s="1"/>
      <c r="R680" s="1"/>
      <c r="S680" s="1"/>
      <c r="T680" s="1"/>
      <c r="U680" s="1"/>
      <c r="V680" s="1"/>
      <c r="W680" s="1"/>
      <c r="X680" s="1"/>
      <c r="Y680" s="1"/>
      <c r="Z680" s="1"/>
      <c r="AA680" s="1"/>
    </row>
    <row r="681" ht="15.75" customHeight="1">
      <c r="A681" s="1" t="str">
        <f>IFERROR(__xludf.DUMMYFUNCTION("""COMPUTED_VALUE"""),"Frozen Spearman's Fur Cloak")</f>
        <v>Frozen Spearman's Fur Cloak</v>
      </c>
      <c r="B681" s="1"/>
      <c r="C681" s="1"/>
      <c r="D681" s="1" t="str">
        <f>IFERROR(__xludf.DUMMYFUNCTION("""COMPUTED_VALUE"""),"Pauldrons")</f>
        <v>Pauldrons</v>
      </c>
      <c r="E681" s="1">
        <f>IFERROR(__xludf.DUMMYFUNCTION("""COMPUTED_VALUE"""),200.0)</f>
        <v>200</v>
      </c>
      <c r="F681" s="1"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
        <f>IFERROR(__xludf.DUMMYFUNCTION("""COMPUTED_VALUE"""),1.99E8)</f>
        <v>199000000</v>
      </c>
      <c r="H681" s="1"/>
      <c r="I681" s="1"/>
      <c r="J681" s="1"/>
      <c r="K681" s="1"/>
      <c r="L681" s="1"/>
      <c r="M681" s="1"/>
      <c r="N681" s="1"/>
      <c r="O681" s="1"/>
      <c r="P681" s="1"/>
      <c r="Q681" s="1"/>
      <c r="R681" s="1"/>
      <c r="S681" s="1"/>
      <c r="T681" s="1"/>
      <c r="U681" s="1"/>
      <c r="V681" s="1"/>
      <c r="W681" s="1"/>
      <c r="X681" s="1"/>
      <c r="Y681" s="1"/>
      <c r="Z681" s="1"/>
      <c r="AA681" s="1"/>
    </row>
    <row r="682" ht="15.75" customHeight="1">
      <c r="A682" s="1" t="str">
        <f>IFERROR(__xludf.DUMMYFUNCTION("""COMPUTED_VALUE"""),"Frost Mage's Cloak")</f>
        <v>Frost Mage's Cloak</v>
      </c>
      <c r="B682" s="1"/>
      <c r="C682" s="1"/>
      <c r="D682" s="1" t="str">
        <f>IFERROR(__xludf.DUMMYFUNCTION("""COMPUTED_VALUE"""),"Torso")</f>
        <v>Torso</v>
      </c>
      <c r="E682" s="1">
        <f>IFERROR(__xludf.DUMMYFUNCTION("""COMPUTED_VALUE"""),200.0)</f>
        <v>200</v>
      </c>
      <c r="F682" s="1"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
        <f>IFERROR(__xludf.DUMMYFUNCTION("""COMPUTED_VALUE"""),4350000.0)</f>
        <v>4350000</v>
      </c>
      <c r="H682" s="1"/>
      <c r="I682" s="1"/>
      <c r="J682" s="1"/>
      <c r="K682" s="1"/>
      <c r="L682" s="1"/>
      <c r="M682" s="1"/>
      <c r="N682" s="1"/>
      <c r="O682" s="1"/>
      <c r="P682" s="1"/>
      <c r="Q682" s="1"/>
      <c r="R682" s="1"/>
      <c r="S682" s="1"/>
      <c r="T682" s="1"/>
      <c r="U682" s="1"/>
      <c r="V682" s="1"/>
      <c r="W682" s="1"/>
      <c r="X682" s="1"/>
      <c r="Y682" s="1"/>
      <c r="Z682" s="1"/>
      <c r="AA682" s="1"/>
    </row>
    <row r="683" ht="15.75" customHeight="1">
      <c r="A683" s="1" t="str">
        <f>IFERROR(__xludf.DUMMYFUNCTION("""COMPUTED_VALUE"""),"Frost Mage's Boots")</f>
        <v>Frost Mage's Boots</v>
      </c>
      <c r="B683" s="1"/>
      <c r="C683" s="1"/>
      <c r="D683" s="1" t="str">
        <f>IFERROR(__xludf.DUMMYFUNCTION("""COMPUTED_VALUE"""),"Feet")</f>
        <v>Feet</v>
      </c>
      <c r="E683" s="1">
        <f>IFERROR(__xludf.DUMMYFUNCTION("""COMPUTED_VALUE"""),200.0)</f>
        <v>200</v>
      </c>
      <c r="F683" s="1"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
        <f>IFERROR(__xludf.DUMMYFUNCTION("""COMPUTED_VALUE"""),4350000.0)</f>
        <v>4350000</v>
      </c>
      <c r="H683" s="1"/>
      <c r="I683" s="1"/>
      <c r="J683" s="1"/>
      <c r="K683" s="1"/>
      <c r="L683" s="1"/>
      <c r="M683" s="1"/>
      <c r="N683" s="1"/>
      <c r="O683" s="1"/>
      <c r="P683" s="1"/>
      <c r="Q683" s="1"/>
      <c r="R683" s="1"/>
      <c r="S683" s="1"/>
      <c r="T683" s="1"/>
      <c r="U683" s="1"/>
      <c r="V683" s="1"/>
      <c r="W683" s="1"/>
      <c r="X683" s="1"/>
      <c r="Y683" s="1"/>
      <c r="Z683" s="1"/>
      <c r="AA683" s="1"/>
    </row>
    <row r="684" ht="15.75" customHeight="1">
      <c r="A684" s="1" t="str">
        <f>IFERROR(__xludf.DUMMYFUNCTION("""COMPUTED_VALUE"""),"Frost Mage's Hood")</f>
        <v>Frost Mage's Hood</v>
      </c>
      <c r="B684" s="1"/>
      <c r="C684" s="1"/>
      <c r="D684" s="1" t="str">
        <f>IFERROR(__xludf.DUMMYFUNCTION("""COMPUTED_VALUE"""),"Head")</f>
        <v>Head</v>
      </c>
      <c r="E684" s="1">
        <f>IFERROR(__xludf.DUMMYFUNCTION("""COMPUTED_VALUE"""),200.0)</f>
        <v>200</v>
      </c>
      <c r="F684" s="1"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
        <f>IFERROR(__xludf.DUMMYFUNCTION("""COMPUTED_VALUE"""),4350000.0)</f>
        <v>4350000</v>
      </c>
      <c r="H684" s="1"/>
      <c r="I684" s="1"/>
      <c r="J684" s="1"/>
      <c r="K684" s="1"/>
      <c r="L684" s="1"/>
      <c r="M684" s="1"/>
      <c r="N684" s="1"/>
      <c r="O684" s="1"/>
      <c r="P684" s="1"/>
      <c r="Q684" s="1"/>
      <c r="R684" s="1"/>
      <c r="S684" s="1"/>
      <c r="T684" s="1"/>
      <c r="U684" s="1"/>
      <c r="V684" s="1"/>
      <c r="W684" s="1"/>
      <c r="X684" s="1"/>
      <c r="Y684" s="1"/>
      <c r="Z684" s="1"/>
      <c r="AA684" s="1"/>
    </row>
    <row r="685" ht="15.75" customHeight="1">
      <c r="A685" s="1" t="str">
        <f>IFERROR(__xludf.DUMMYFUNCTION("""COMPUTED_VALUE"""),"Crown of Frozen Swords")</f>
        <v>Crown of Frozen Swords</v>
      </c>
      <c r="B685" s="1"/>
      <c r="C685" s="1"/>
      <c r="D685" s="1" t="str">
        <f>IFERROR(__xludf.DUMMYFUNCTION("""COMPUTED_VALUE"""),"Head")</f>
        <v>Head</v>
      </c>
      <c r="E685" s="1">
        <f>IFERROR(__xludf.DUMMYFUNCTION("""COMPUTED_VALUE"""),200.0)</f>
        <v>200</v>
      </c>
      <c r="F685" s="1"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
        <f>IFERROR(__xludf.DUMMYFUNCTION("""COMPUTED_VALUE"""),7.98E8)</f>
        <v>798000000</v>
      </c>
      <c r="H685" s="1"/>
      <c r="I685" s="1"/>
      <c r="J685" s="1"/>
      <c r="K685" s="1"/>
      <c r="L685" s="1"/>
      <c r="M685" s="1"/>
      <c r="N685" s="1"/>
      <c r="O685" s="1"/>
      <c r="P685" s="1"/>
      <c r="Q685" s="1"/>
      <c r="R685" s="1"/>
      <c r="S685" s="1"/>
      <c r="T685" s="1"/>
      <c r="U685" s="1"/>
      <c r="V685" s="1"/>
      <c r="W685" s="1"/>
      <c r="X685" s="1"/>
      <c r="Y685" s="1"/>
      <c r="Z685" s="1"/>
      <c r="AA685" s="1"/>
    </row>
    <row r="686" ht="15.75" customHeight="1">
      <c r="A686" s="1" t="str">
        <f>IFERROR(__xludf.DUMMYFUNCTION("""COMPUTED_VALUE"""),"Frost-bitten Cape")</f>
        <v>Frost-bitten Cape</v>
      </c>
      <c r="B686" s="1"/>
      <c r="C686" s="1"/>
      <c r="D686" s="1" t="str">
        <f>IFERROR(__xludf.DUMMYFUNCTION("""COMPUTED_VALUE"""),"Shoulders")</f>
        <v>Shoulders</v>
      </c>
      <c r="E686" s="1">
        <f>IFERROR(__xludf.DUMMYFUNCTION("""COMPUTED_VALUE"""),200.0)</f>
        <v>200</v>
      </c>
      <c r="F686" s="1"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
        <f>IFERROR(__xludf.DUMMYFUNCTION("""COMPUTED_VALUE"""),7.98E8)</f>
        <v>798000000</v>
      </c>
      <c r="H686" s="1"/>
      <c r="I686" s="1"/>
      <c r="J686" s="1"/>
      <c r="K686" s="1"/>
      <c r="L686" s="1"/>
      <c r="M686" s="1"/>
      <c r="N686" s="1"/>
      <c r="O686" s="1"/>
      <c r="P686" s="1"/>
      <c r="Q686" s="1"/>
      <c r="R686" s="1"/>
      <c r="S686" s="1"/>
      <c r="T686" s="1"/>
      <c r="U686" s="1"/>
      <c r="V686" s="1"/>
      <c r="W686" s="1"/>
      <c r="X686" s="1"/>
      <c r="Y686" s="1"/>
      <c r="Z686" s="1"/>
      <c r="AA686" s="1"/>
    </row>
    <row r="687" ht="15.75" customHeight="1">
      <c r="A687" s="1" t="str">
        <f>IFERROR(__xludf.DUMMYFUNCTION("""COMPUTED_VALUE"""),"Ice-steel Pauldrons")</f>
        <v>Ice-steel Pauldrons</v>
      </c>
      <c r="B687" s="1"/>
      <c r="C687" s="1"/>
      <c r="D687" s="1" t="str">
        <f>IFERROR(__xludf.DUMMYFUNCTION("""COMPUTED_VALUE"""),"Shoulders")</f>
        <v>Shoulders</v>
      </c>
      <c r="E687" s="1">
        <f>IFERROR(__xludf.DUMMYFUNCTION("""COMPUTED_VALUE"""),200.0)</f>
        <v>200</v>
      </c>
      <c r="F687" s="1" t="str">
        <f>IFERROR(__xludf.DUMMYFUNCTION("""COMPUTED_VALUE"""),"DEF: +50000, Earth DEF: +50000, Nature DEF: +50000, Celestial DEF: +50000 ++Cold Shoulder - Immunity to freeze")</f>
        <v>DEF: +50000, Earth DEF: +50000, Nature DEF: +50000, Celestial DEF: +50000 ++Cold Shoulder - Immunity to freeze</v>
      </c>
      <c r="G687" s="1">
        <f>IFERROR(__xludf.DUMMYFUNCTION("""COMPUTED_VALUE"""),7.98E8)</f>
        <v>798000000</v>
      </c>
      <c r="H687" s="1"/>
      <c r="I687" s="1"/>
      <c r="J687" s="1"/>
      <c r="K687" s="1"/>
      <c r="L687" s="1"/>
      <c r="M687" s="1"/>
      <c r="N687" s="1"/>
      <c r="O687" s="1"/>
      <c r="P687" s="1"/>
      <c r="Q687" s="1"/>
      <c r="R687" s="1"/>
      <c r="S687" s="1"/>
      <c r="T687" s="1"/>
      <c r="U687" s="1"/>
      <c r="V687" s="1"/>
      <c r="W687" s="1"/>
      <c r="X687" s="1"/>
      <c r="Y687" s="1"/>
      <c r="Z687" s="1"/>
      <c r="AA687" s="1"/>
    </row>
    <row r="688" ht="15.75" customHeight="1">
      <c r="A688" s="1" t="str">
        <f>IFERROR(__xludf.DUMMYFUNCTION("""COMPUTED_VALUE"""),"Ice-steel Bracers")</f>
        <v>Ice-steel Bracers</v>
      </c>
      <c r="B688" s="1"/>
      <c r="C688" s="1"/>
      <c r="D688" s="1" t="str">
        <f>IFERROR(__xludf.DUMMYFUNCTION("""COMPUTED_VALUE"""),"Arms")</f>
        <v>Arms</v>
      </c>
      <c r="E688" s="1">
        <f>IFERROR(__xludf.DUMMYFUNCTION("""COMPUTED_VALUE"""),200.0)</f>
        <v>200</v>
      </c>
      <c r="F688" s="1"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
        <f>IFERROR(__xludf.DUMMYFUNCTION("""COMPUTED_VALUE"""),7.98E8)</f>
        <v>798000000</v>
      </c>
      <c r="H688" s="1"/>
      <c r="I688" s="1"/>
      <c r="J688" s="1"/>
      <c r="K688" s="1"/>
      <c r="L688" s="1"/>
      <c r="M688" s="1"/>
      <c r="N688" s="1"/>
      <c r="O688" s="1"/>
      <c r="P688" s="1"/>
      <c r="Q688" s="1"/>
      <c r="R688" s="1"/>
      <c r="S688" s="1"/>
      <c r="T688" s="1"/>
      <c r="U688" s="1"/>
      <c r="V688" s="1"/>
      <c r="W688" s="1"/>
      <c r="X688" s="1"/>
      <c r="Y688" s="1"/>
      <c r="Z688" s="1"/>
      <c r="AA688" s="1"/>
    </row>
    <row r="689" ht="15.75" customHeight="1">
      <c r="A689" s="1" t="str">
        <f>IFERROR(__xludf.DUMMYFUNCTION("""COMPUTED_VALUE"""),"Ice-steel Chausses")</f>
        <v>Ice-steel Chausses</v>
      </c>
      <c r="B689" s="1" t="str">
        <f>IFERROR(__xludf.DUMMYFUNCTION("""COMPUTED_VALUE"""),"The chinks in the armor suggest a lack of care over the past years.")</f>
        <v>The chinks in the armor suggest a lack of care over the past years.</v>
      </c>
      <c r="C689" s="1"/>
      <c r="D689" s="1" t="str">
        <f>IFERROR(__xludf.DUMMYFUNCTION("""COMPUTED_VALUE"""),"Legs")</f>
        <v>Legs</v>
      </c>
      <c r="E689" s="1">
        <f>IFERROR(__xludf.DUMMYFUNCTION("""COMPUTED_VALUE"""),200.0)</f>
        <v>200</v>
      </c>
      <c r="F689" s="1" t="str">
        <f>IFERROR(__xludf.DUMMYFUNCTION("""COMPUTED_VALUE"""),"DEF: +50000, Earth DEF: +50000, Nature DEF: +50000, Celestial DEF: +50000 ++X2 Weapon Damage")</f>
        <v>DEF: +50000, Earth DEF: +50000, Nature DEF: +50000, Celestial DEF: +50000 ++X2 Weapon Damage</v>
      </c>
      <c r="G689" s="1">
        <f>IFERROR(__xludf.DUMMYFUNCTION("""COMPUTED_VALUE"""),7.98E8)</f>
        <v>798000000</v>
      </c>
      <c r="H689" s="1"/>
      <c r="I689" s="1"/>
      <c r="J689" s="1"/>
      <c r="K689" s="1"/>
      <c r="L689" s="1"/>
      <c r="M689" s="1"/>
      <c r="N689" s="1"/>
      <c r="O689" s="1"/>
      <c r="P689" s="1"/>
      <c r="Q689" s="1"/>
      <c r="R689" s="1"/>
      <c r="S689" s="1"/>
      <c r="T689" s="1"/>
      <c r="U689" s="1"/>
      <c r="V689" s="1"/>
      <c r="W689" s="1"/>
      <c r="X689" s="1"/>
      <c r="Y689" s="1"/>
      <c r="Z689" s="1"/>
      <c r="AA689" s="1"/>
    </row>
    <row r="690" ht="15.75" customHeight="1">
      <c r="A690" s="1" t="str">
        <f>IFERROR(__xludf.DUMMYFUNCTION("""COMPUTED_VALUE"""),"Frost Stompers")</f>
        <v>Frost Stompers</v>
      </c>
      <c r="B690" s="1" t="str">
        <f>IFERROR(__xludf.DUMMYFUNCTION("""COMPUTED_VALUE"""),"These frozen iron boots are covered in a layer of permafrost, it seems as though they'll never thaw.")</f>
        <v>These frozen iron boots are covered in a layer of permafrost, it seems as though they'll never thaw.</v>
      </c>
      <c r="C690" s="1"/>
      <c r="D690" s="1" t="str">
        <f>IFERROR(__xludf.DUMMYFUNCTION("""COMPUTED_VALUE"""),"Feet")</f>
        <v>Feet</v>
      </c>
      <c r="E690" s="1">
        <f>IFERROR(__xludf.DUMMYFUNCTION("""COMPUTED_VALUE"""),200.0)</f>
        <v>200</v>
      </c>
      <c r="F690" s="1" t="str">
        <f>IFERROR(__xludf.DUMMYFUNCTION("""COMPUTED_VALUE"""),"DEF: +50000, Earth DEF: +50000, Nature DEF: +50000, Celestial DEF: +50000 ++X2 Storm Damage")</f>
        <v>DEF: +50000, Earth DEF: +50000, Nature DEF: +50000, Celestial DEF: +50000 ++X2 Storm Damage</v>
      </c>
      <c r="G690" s="1">
        <f>IFERROR(__xludf.DUMMYFUNCTION("""COMPUTED_VALUE"""),7.98E8)</f>
        <v>798000000</v>
      </c>
      <c r="H690" s="1"/>
      <c r="I690" s="1"/>
      <c r="J690" s="1"/>
      <c r="K690" s="1"/>
      <c r="L690" s="1"/>
      <c r="M690" s="1"/>
      <c r="N690" s="1"/>
      <c r="O690" s="1"/>
      <c r="P690" s="1"/>
      <c r="Q690" s="1"/>
      <c r="R690" s="1"/>
      <c r="S690" s="1"/>
      <c r="T690" s="1"/>
      <c r="U690" s="1"/>
      <c r="V690" s="1"/>
      <c r="W690" s="1"/>
      <c r="X690" s="1"/>
      <c r="Y690" s="1"/>
      <c r="Z690" s="1"/>
      <c r="AA690" s="1"/>
    </row>
    <row r="691" ht="15.75" customHeight="1">
      <c r="A691" s="1" t="str">
        <f>IFERROR(__xludf.DUMMYFUNCTION("""COMPUTED_VALUE"""),"Plate of the Frozen Sun")</f>
        <v>Plate of the Frozen Sun</v>
      </c>
      <c r="B691" s="1" t="str">
        <f>IFERROR(__xludf.DUMMYFUNCTION("""COMPUTED_VALUE"""),"""The king was not always as he is now, but the yearly curse of the ice mage has him colder than usual"" ~old man")</f>
        <v>"The king was not always as he is now, but the yearly curse of the ice mage has him colder than usual" ~old man</v>
      </c>
      <c r="C691" s="1"/>
      <c r="D691" s="1" t="str">
        <f>IFERROR(__xludf.DUMMYFUNCTION("""COMPUTED_VALUE"""),"Torso")</f>
        <v>Torso</v>
      </c>
      <c r="E691" s="1">
        <f>IFERROR(__xludf.DUMMYFUNCTION("""COMPUTED_VALUE"""),200.0)</f>
        <v>200</v>
      </c>
      <c r="F691" s="1"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
        <f>IFERROR(__xludf.DUMMYFUNCTION("""COMPUTED_VALUE"""),7.98E8)</f>
        <v>798000000</v>
      </c>
      <c r="H691" s="1"/>
      <c r="I691" s="1"/>
      <c r="J691" s="1"/>
      <c r="K691" s="1"/>
      <c r="L691" s="1"/>
      <c r="M691" s="1"/>
      <c r="N691" s="1"/>
      <c r="O691" s="1"/>
      <c r="P691" s="1"/>
      <c r="Q691" s="1"/>
      <c r="R691" s="1"/>
      <c r="S691" s="1"/>
      <c r="T691" s="1"/>
      <c r="U691" s="1"/>
      <c r="V691" s="1"/>
      <c r="W691" s="1"/>
      <c r="X691" s="1"/>
      <c r="Y691" s="1"/>
      <c r="Z691" s="1"/>
      <c r="AA691" s="1"/>
    </row>
    <row r="692" ht="15.75" customHeight="1">
      <c r="A692" s="1" t="str">
        <f>IFERROR(__xludf.DUMMYFUNCTION("""COMPUTED_VALUE"""),"Frost Mage's Staff")</f>
        <v>Frost Mage's Staff</v>
      </c>
      <c r="B692" s="1" t="str">
        <f>IFERROR(__xludf.DUMMYFUNCTION("""COMPUTED_VALUE"""),"""FREEZE"" ~Frost mage")</f>
        <v>"FREEZE" ~Frost mage</v>
      </c>
      <c r="C692" s="1" t="str">
        <f>IFERROR(__xludf.DUMMYFUNCTION("""COMPUTED_VALUE"""),"Staff")</f>
        <v>Staff</v>
      </c>
      <c r="D692" s="1" t="str">
        <f>IFERROR(__xludf.DUMMYFUNCTION("""COMPUTED_VALUE"""),"Hand")</f>
        <v>Hand</v>
      </c>
      <c r="E692" s="1">
        <f>IFERROR(__xludf.DUMMYFUNCTION("""COMPUTED_VALUE"""),200.0)</f>
        <v>200</v>
      </c>
      <c r="F692" s="1"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
        <f>IFERROR(__xludf.DUMMYFUNCTION("""COMPUTED_VALUE"""),4.485E8)</f>
        <v>448500000</v>
      </c>
      <c r="H692" s="1"/>
      <c r="I692" s="1"/>
      <c r="J692" s="1"/>
      <c r="K692" s="1"/>
      <c r="L692" s="1"/>
      <c r="M692" s="1"/>
      <c r="N692" s="1"/>
      <c r="O692" s="1"/>
      <c r="P692" s="1"/>
      <c r="Q692" s="1"/>
      <c r="R692" s="1"/>
      <c r="S692" s="1"/>
      <c r="T692" s="1"/>
      <c r="U692" s="1"/>
      <c r="V692" s="1"/>
      <c r="W692" s="1"/>
      <c r="X692" s="1"/>
      <c r="Y692" s="1"/>
      <c r="Z692" s="1"/>
      <c r="AA692" s="1"/>
    </row>
    <row r="693" ht="15.75" customHeight="1">
      <c r="A693" s="1" t="str">
        <f>IFERROR(__xludf.DUMMYFUNCTION("""COMPUTED_VALUE"""),"Snowball")</f>
        <v>Snowball</v>
      </c>
      <c r="B693" s="1" t="str">
        <f>IFERROR(__xludf.DUMMYFUNCTION("""COMPUTED_VALUE"""),"""If you even think about hitting me with that I'll fill one with lead and bash your skull with it"" ~Gwennivir")</f>
        <v>"If you even think about hitting me with that I'll fill one with lead and bash your skull with it" ~Gwennivir</v>
      </c>
      <c r="C693" s="1" t="str">
        <f>IFERROR(__xludf.DUMMYFUNCTION("""COMPUTED_VALUE"""),"Boomerang")</f>
        <v>Boomerang</v>
      </c>
      <c r="D693" s="1" t="str">
        <f>IFERROR(__xludf.DUMMYFUNCTION("""COMPUTED_VALUE"""),"Hand")</f>
        <v>Hand</v>
      </c>
      <c r="E693" s="1">
        <f>IFERROR(__xludf.DUMMYFUNCTION("""COMPUTED_VALUE"""),200.0)</f>
        <v>200</v>
      </c>
      <c r="F693" s="1"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
        <f>IFERROR(__xludf.DUMMYFUNCTION("""COMPUTED_VALUE"""),1900000.0)</f>
        <v>1900000</v>
      </c>
      <c r="H693" s="1"/>
      <c r="I693" s="1"/>
      <c r="J693" s="1"/>
      <c r="K693" s="1"/>
      <c r="L693" s="1"/>
      <c r="M693" s="1"/>
      <c r="N693" s="1"/>
      <c r="O693" s="1"/>
      <c r="P693" s="1"/>
      <c r="Q693" s="1"/>
      <c r="R693" s="1"/>
      <c r="S693" s="1"/>
      <c r="T693" s="1"/>
      <c r="U693" s="1"/>
      <c r="V693" s="1"/>
      <c r="W693" s="1"/>
      <c r="X693" s="1"/>
      <c r="Y693" s="1"/>
      <c r="Z693" s="1"/>
      <c r="AA693" s="1"/>
    </row>
    <row r="694" ht="15.75" customHeight="1">
      <c r="A694" s="1" t="str">
        <f>IFERROR(__xludf.DUMMYFUNCTION("""COMPUTED_VALUE"""),"Corvid Cloak")</f>
        <v>Corvid Cloak</v>
      </c>
      <c r="B694" s="1" t="str">
        <f>IFERROR(__xludf.DUMMYFUNCTION("""COMPUTED_VALUE"""),"Formed from the feathers of many crows and ravens, this cloak has an imposing presence.")</f>
        <v>Formed from the feathers of many crows and ravens, this cloak has an imposing presence.</v>
      </c>
      <c r="C694" s="1"/>
      <c r="D694" s="1" t="str">
        <f>IFERROR(__xludf.DUMMYFUNCTION("""COMPUTED_VALUE"""),"Shoulders")</f>
        <v>Shoulders</v>
      </c>
      <c r="E694" s="1">
        <f>IFERROR(__xludf.DUMMYFUNCTION("""COMPUTED_VALUE"""),1.0)</f>
        <v>1</v>
      </c>
      <c r="F694" s="1"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
        <f>IFERROR(__xludf.DUMMYFUNCTION("""COMPUTED_VALUE"""),0.0)</f>
        <v>0</v>
      </c>
      <c r="H694" s="1"/>
      <c r="I694" s="1"/>
      <c r="J694" s="1"/>
      <c r="K694" s="1"/>
      <c r="L694" s="1"/>
      <c r="M694" s="1"/>
      <c r="N694" s="1"/>
      <c r="O694" s="1"/>
      <c r="P694" s="1"/>
      <c r="Q694" s="1"/>
      <c r="R694" s="1"/>
      <c r="S694" s="1"/>
      <c r="T694" s="1"/>
      <c r="U694" s="1"/>
      <c r="V694" s="1"/>
      <c r="W694" s="1"/>
      <c r="X694" s="1"/>
      <c r="Y694" s="1"/>
      <c r="Z694" s="1"/>
      <c r="AA694" s="1"/>
    </row>
    <row r="695" ht="15.75" customHeight="1">
      <c r="A695" s="1" t="str">
        <f>IFERROR(__xludf.DUMMYFUNCTION("""COMPUTED_VALUE"""),"Plague Doctor's Mask")</f>
        <v>Plague Doctor's Mask</v>
      </c>
      <c r="B695" s="1"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
      <c r="D695" s="1" t="str">
        <f>IFERROR(__xludf.DUMMYFUNCTION("""COMPUTED_VALUE"""),"Head")</f>
        <v>Head</v>
      </c>
      <c r="E695" s="1">
        <f>IFERROR(__xludf.DUMMYFUNCTION("""COMPUTED_VALUE"""),1.0)</f>
        <v>1</v>
      </c>
      <c r="F695" s="1" t="str">
        <f>IFERROR(__xludf.DUMMYFUNCTION("""COMPUTED_VALUE""")," ++Plague Doctor: 25% chance to be unaffected by a disease +-Cannot be Duplicated")</f>
        <v> ++Plague Doctor: 25% chance to be unaffected by a disease +-Cannot be Duplicated</v>
      </c>
      <c r="G695" s="1">
        <f>IFERROR(__xludf.DUMMYFUNCTION("""COMPUTED_VALUE"""),0.0)</f>
        <v>0</v>
      </c>
      <c r="H695" s="1"/>
      <c r="I695" s="1"/>
      <c r="J695" s="1"/>
      <c r="K695" s="1"/>
      <c r="L695" s="1"/>
      <c r="M695" s="1"/>
      <c r="N695" s="1"/>
      <c r="O695" s="1"/>
      <c r="P695" s="1"/>
      <c r="Q695" s="1"/>
      <c r="R695" s="1"/>
      <c r="S695" s="1"/>
      <c r="T695" s="1"/>
      <c r="U695" s="1"/>
      <c r="V695" s="1"/>
      <c r="W695" s="1"/>
      <c r="X695" s="1"/>
      <c r="Y695" s="1"/>
      <c r="Z695" s="1"/>
      <c r="AA695" s="1"/>
    </row>
    <row r="696" ht="15.75" customHeight="1">
      <c r="A696" s="1" t="str">
        <f>IFERROR(__xludf.DUMMYFUNCTION("""COMPUTED_VALUE"""),"""The Only Cure""")</f>
        <v>"The Only Cure"</v>
      </c>
      <c r="B696" s="1"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
      <c r="D696" s="1" t="str">
        <f>IFERROR(__xludf.DUMMYFUNCTION("""COMPUTED_VALUE"""),"Neck")</f>
        <v>Neck</v>
      </c>
      <c r="E696" s="1">
        <f>IFERROR(__xludf.DUMMYFUNCTION("""COMPUTED_VALUE"""),1.0)</f>
        <v>1</v>
      </c>
      <c r="F696" s="1"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
        <f>IFERROR(__xludf.DUMMYFUNCTION("""COMPUTED_VALUE"""),0.0)</f>
        <v>0</v>
      </c>
      <c r="H696" s="1"/>
      <c r="I696" s="1"/>
      <c r="J696" s="1"/>
      <c r="K696" s="1"/>
      <c r="L696" s="1"/>
      <c r="M696" s="1"/>
      <c r="N696" s="1"/>
      <c r="O696" s="1"/>
      <c r="P696" s="1"/>
      <c r="Q696" s="1"/>
      <c r="R696" s="1"/>
      <c r="S696" s="1"/>
      <c r="T696" s="1"/>
      <c r="U696" s="1"/>
      <c r="V696" s="1"/>
      <c r="W696" s="1"/>
      <c r="X696" s="1"/>
      <c r="Y696" s="1"/>
      <c r="Z696" s="1"/>
      <c r="AA696" s="1"/>
    </row>
    <row r="697" ht="15.75" customHeight="1">
      <c r="A697" s="1" t="str">
        <f>IFERROR(__xludf.DUMMYFUNCTION("""COMPUTED_VALUE"""),"Plague Doctor's Gloves")</f>
        <v>Plague Doctor's Gloves</v>
      </c>
      <c r="B697" s="1" t="str">
        <f>IFERROR(__xludf.DUMMYFUNCTION("""COMPUTED_VALUE"""),"These gloves have been stained with blood and potions over the years.")</f>
        <v>These gloves have been stained with blood and potions over the years.</v>
      </c>
      <c r="C697" s="1"/>
      <c r="D697" s="1" t="str">
        <f>IFERROR(__xludf.DUMMYFUNCTION("""COMPUTED_VALUE"""),"Arms")</f>
        <v>Arms</v>
      </c>
      <c r="E697" s="1">
        <f>IFERROR(__xludf.DUMMYFUNCTION("""COMPUTED_VALUE"""),1.0)</f>
        <v>1</v>
      </c>
      <c r="F697" s="1" t="str">
        <f>IFERROR(__xludf.DUMMYFUNCTION("""COMPUTED_VALUE""")," ++Poisoner I:X2 damage +-Cannot be Duplicated")</f>
        <v> ++Poisoner I:X2 damage +-Cannot be Duplicated</v>
      </c>
      <c r="G697" s="1">
        <f>IFERROR(__xludf.DUMMYFUNCTION("""COMPUTED_VALUE"""),0.0)</f>
        <v>0</v>
      </c>
      <c r="H697" s="1"/>
      <c r="I697" s="1"/>
      <c r="J697" s="1"/>
      <c r="K697" s="1"/>
      <c r="L697" s="1"/>
      <c r="M697" s="1"/>
      <c r="N697" s="1"/>
      <c r="O697" s="1"/>
      <c r="P697" s="1"/>
      <c r="Q697" s="1"/>
      <c r="R697" s="1"/>
      <c r="S697" s="1"/>
      <c r="T697" s="1"/>
      <c r="U697" s="1"/>
      <c r="V697" s="1"/>
      <c r="W697" s="1"/>
      <c r="X697" s="1"/>
      <c r="Y697" s="1"/>
      <c r="Z697" s="1"/>
      <c r="AA697" s="1"/>
    </row>
    <row r="698" ht="15.75" customHeight="1">
      <c r="A698" s="1" t="str">
        <f>IFERROR(__xludf.DUMMYFUNCTION("""COMPUTED_VALUE"""),"Plague Doctor's Sarouel")</f>
        <v>Plague Doctor's Sarouel</v>
      </c>
      <c r="B698" s="1"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
      <c r="D698" s="1" t="str">
        <f>IFERROR(__xludf.DUMMYFUNCTION("""COMPUTED_VALUE"""),"Legs")</f>
        <v>Legs</v>
      </c>
      <c r="E698" s="1">
        <f>IFERROR(__xludf.DUMMYFUNCTION("""COMPUTED_VALUE"""),1.0)</f>
        <v>1</v>
      </c>
      <c r="F698" s="1" t="str">
        <f>IFERROR(__xludf.DUMMYFUNCTION("""COMPUTED_VALUE""")," ++Poisoner I:X2 damage +-Cannot be Duplicated")</f>
        <v> ++Poisoner I:X2 damage +-Cannot be Duplicated</v>
      </c>
      <c r="G698" s="1">
        <f>IFERROR(__xludf.DUMMYFUNCTION("""COMPUTED_VALUE"""),0.0)</f>
        <v>0</v>
      </c>
      <c r="H698" s="1"/>
      <c r="I698" s="1"/>
      <c r="J698" s="1"/>
      <c r="K698" s="1"/>
      <c r="L698" s="1"/>
      <c r="M698" s="1"/>
      <c r="N698" s="1"/>
      <c r="O698" s="1"/>
      <c r="P698" s="1"/>
      <c r="Q698" s="1"/>
      <c r="R698" s="1"/>
      <c r="S698" s="1"/>
      <c r="T698" s="1"/>
      <c r="U698" s="1"/>
      <c r="V698" s="1"/>
      <c r="W698" s="1"/>
      <c r="X698" s="1"/>
      <c r="Y698" s="1"/>
      <c r="Z698" s="1"/>
      <c r="AA698" s="1"/>
    </row>
    <row r="699" ht="15.75" customHeight="1">
      <c r="A699" s="1" t="str">
        <f>IFERROR(__xludf.DUMMYFUNCTION("""COMPUTED_VALUE"""),"Plague Doctor's Boots")</f>
        <v>Plague Doctor's Boots</v>
      </c>
      <c r="B699" s="1" t="str">
        <f>IFERROR(__xludf.DUMMYFUNCTION("""COMPUTED_VALUE"""),"These boots have been designed for optimal movement through all kinds of hazards.")</f>
        <v>These boots have been designed for optimal movement through all kinds of hazards.</v>
      </c>
      <c r="C699" s="1"/>
      <c r="D699" s="1" t="str">
        <f>IFERROR(__xludf.DUMMYFUNCTION("""COMPUTED_VALUE"""),"Feet")</f>
        <v>Feet</v>
      </c>
      <c r="E699" s="1">
        <f>IFERROR(__xludf.DUMMYFUNCTION("""COMPUTED_VALUE"""),1.0)</f>
        <v>1</v>
      </c>
      <c r="F699" s="1" t="str">
        <f>IFERROR(__xludf.DUMMYFUNCTION("""COMPUTED_VALUE""")," ++Swamp Stompers: You take only half the effect of environmental hazards +-Cannot be Duplicated")</f>
        <v> ++Swamp Stompers: You take only half the effect of environmental hazards +-Cannot be Duplicated</v>
      </c>
      <c r="G699" s="1">
        <f>IFERROR(__xludf.DUMMYFUNCTION("""COMPUTED_VALUE"""),0.0)</f>
        <v>0</v>
      </c>
      <c r="H699" s="1"/>
      <c r="I699" s="1"/>
      <c r="J699" s="1"/>
      <c r="K699" s="1"/>
      <c r="L699" s="1"/>
      <c r="M699" s="1"/>
      <c r="N699" s="1"/>
      <c r="O699" s="1"/>
      <c r="P699" s="1"/>
      <c r="Q699" s="1"/>
      <c r="R699" s="1"/>
      <c r="S699" s="1"/>
      <c r="T699" s="1"/>
      <c r="U699" s="1"/>
      <c r="V699" s="1"/>
      <c r="W699" s="1"/>
      <c r="X699" s="1"/>
      <c r="Y699" s="1"/>
      <c r="Z699" s="1"/>
      <c r="AA699" s="1"/>
    </row>
    <row r="700" ht="15.75" customHeight="1">
      <c r="A700" s="1" t="str">
        <f>IFERROR(__xludf.DUMMYFUNCTION("""COMPUTED_VALUE"""),"Plague Doctor's Apron")</f>
        <v>Plague Doctor's Apron</v>
      </c>
      <c r="B700" s="1" t="str">
        <f>IFERROR(__xludf.DUMMYFUNCTION("""COMPUTED_VALUE"""),"The thick leather of this apron ensures that accidents with poison are minimalized.")</f>
        <v>The thick leather of this apron ensures that accidents with poison are minimalized.</v>
      </c>
      <c r="C700" s="1"/>
      <c r="D700" s="1" t="str">
        <f>IFERROR(__xludf.DUMMYFUNCTION("""COMPUTED_VALUE"""),"Torso")</f>
        <v>Torso</v>
      </c>
      <c r="E700" s="1">
        <f>IFERROR(__xludf.DUMMYFUNCTION("""COMPUTED_VALUE"""),1.0)</f>
        <v>1</v>
      </c>
      <c r="F700" s="1" t="str">
        <f>IFERROR(__xludf.DUMMYFUNCTION("""COMPUTED_VALUE""")," ++Spllatter Proof: Immune to poison +-Cannot be Duplicated")</f>
        <v> ++Spllatter Proof: Immune to poison +-Cannot be Duplicated</v>
      </c>
      <c r="G700" s="1">
        <f>IFERROR(__xludf.DUMMYFUNCTION("""COMPUTED_VALUE"""),0.0)</f>
        <v>0</v>
      </c>
      <c r="H700" s="1"/>
      <c r="I700" s="1"/>
      <c r="J700" s="1"/>
      <c r="K700" s="1"/>
      <c r="L700" s="1"/>
      <c r="M700" s="1"/>
      <c r="N700" s="1"/>
      <c r="O700" s="1"/>
      <c r="P700" s="1"/>
      <c r="Q700" s="1"/>
      <c r="R700" s="1"/>
      <c r="S700" s="1"/>
      <c r="T700" s="1"/>
      <c r="U700" s="1"/>
      <c r="V700" s="1"/>
      <c r="W700" s="1"/>
      <c r="X700" s="1"/>
      <c r="Y700" s="1"/>
      <c r="Z700" s="1"/>
      <c r="AA700" s="1"/>
    </row>
    <row r="701" ht="15.75" customHeight="1">
      <c r="A701" s="1" t="str">
        <f>IFERROR(__xludf.DUMMYFUNCTION("""COMPUTED_VALUE"""),"Poisonous Hand Crossbow")</f>
        <v>Poisonous Hand Crossbow</v>
      </c>
      <c r="B701" s="1" t="str">
        <f>IFERROR(__xludf.DUMMYFUNCTION("""COMPUTED_VALUE"""),"""Because sometimes the only viable tactic, is a dirty one"" ~Gwennivir")</f>
        <v>"Because sometimes the only viable tactic, is a dirty one" ~Gwennivir</v>
      </c>
      <c r="C701" s="1" t="str">
        <f>IFERROR(__xludf.DUMMYFUNCTION("""COMPUTED_VALUE"""),"Bow")</f>
        <v>Bow</v>
      </c>
      <c r="D701" s="1" t="str">
        <f>IFERROR(__xludf.DUMMYFUNCTION("""COMPUTED_VALUE"""),"Hand")</f>
        <v>Hand</v>
      </c>
      <c r="E701" s="1">
        <f>IFERROR(__xludf.DUMMYFUNCTION("""COMPUTED_VALUE"""),1000.0)</f>
        <v>1000</v>
      </c>
      <c r="F701" s="1" t="str">
        <f>IFERROR(__xludf.DUMMYFUNCTION("""COMPUTED_VALUE"""),"DMG: +50000 ++Poisoned I: Hitting an enemy with this weapon inflicts 500 poison")</f>
        <v>DMG: +50000 ++Poisoned I: Hitting an enemy with this weapon inflicts 500 poison</v>
      </c>
      <c r="G701" s="1">
        <f>IFERROR(__xludf.DUMMYFUNCTION("""COMPUTED_VALUE"""),4.95E7)</f>
        <v>49500000</v>
      </c>
      <c r="H701" s="1"/>
      <c r="I701" s="1"/>
      <c r="J701" s="1"/>
      <c r="K701" s="1"/>
      <c r="L701" s="1"/>
      <c r="M701" s="1"/>
      <c r="N701" s="1"/>
      <c r="O701" s="1"/>
      <c r="P701" s="1"/>
      <c r="Q701" s="1"/>
      <c r="R701" s="1"/>
      <c r="S701" s="1"/>
      <c r="T701" s="1"/>
      <c r="U701" s="1"/>
      <c r="V701" s="1"/>
      <c r="W701" s="1"/>
      <c r="X701" s="1"/>
      <c r="Y701" s="1"/>
      <c r="Z701" s="1"/>
      <c r="AA701" s="1"/>
    </row>
    <row r="702" ht="15.75" customHeight="1">
      <c r="A702" s="1" t="str">
        <f>IFERROR(__xludf.DUMMYFUNCTION("""COMPUTED_VALUE"""),"Poison Tipped Knife")</f>
        <v>Poison Tipped Knife</v>
      </c>
      <c r="B702" s="1" t="str">
        <f>IFERROR(__xludf.DUMMYFUNCTION("""COMPUTED_VALUE"""),"""It isn't the most graceful end, and it isn't quick by any means... What, you thought I'd defend it?"" ~Gwennivir")</f>
        <v>"It isn't the most graceful end, and it isn't quick by any means... What, you thought I'd defend it?" ~Gwennivir</v>
      </c>
      <c r="C702" s="1" t="str">
        <f>IFERROR(__xludf.DUMMYFUNCTION("""COMPUTED_VALUE"""),"Knife")</f>
        <v>Knife</v>
      </c>
      <c r="D702" s="1" t="str">
        <f>IFERROR(__xludf.DUMMYFUNCTION("""COMPUTED_VALUE"""),"Hand")</f>
        <v>Hand</v>
      </c>
      <c r="E702" s="1">
        <f>IFERROR(__xludf.DUMMYFUNCTION("""COMPUTED_VALUE"""),1000.0)</f>
        <v>1000</v>
      </c>
      <c r="F702" s="1" t="str">
        <f>IFERROR(__xludf.DUMMYFUNCTION("""COMPUTED_VALUE"""),"DMG: +50000 ++Poisoned I: Hitting an enemy with this weapon inflicts 500 poison")</f>
        <v>DMG: +50000 ++Poisoned I: Hitting an enemy with this weapon inflicts 500 poison</v>
      </c>
      <c r="G702" s="1">
        <f>IFERROR(__xludf.DUMMYFUNCTION("""COMPUTED_VALUE"""),4.95E7)</f>
        <v>49500000</v>
      </c>
      <c r="H702" s="1"/>
      <c r="I702" s="1"/>
      <c r="J702" s="1"/>
      <c r="K702" s="1"/>
      <c r="L702" s="1"/>
      <c r="M702" s="1"/>
      <c r="N702" s="1"/>
      <c r="O702" s="1"/>
      <c r="P702" s="1"/>
      <c r="Q702" s="1"/>
      <c r="R702" s="1"/>
      <c r="S702" s="1"/>
      <c r="T702" s="1"/>
      <c r="U702" s="1"/>
      <c r="V702" s="1"/>
      <c r="W702" s="1"/>
      <c r="X702" s="1"/>
      <c r="Y702" s="1"/>
      <c r="Z702" s="1"/>
      <c r="AA702" s="1"/>
    </row>
    <row r="703" ht="15.75" customHeight="1">
      <c r="A703" s="1" t="str">
        <f>IFERROR(__xludf.DUMMYFUNCTION("""COMPUTED_VALUE"""),"Frozen Head-Splitter")</f>
        <v>Frozen Head-Splitter</v>
      </c>
      <c r="B703" s="1"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 t="str">
        <f>IFERROR(__xludf.DUMMYFUNCTION("""COMPUTED_VALUE"""),"Club")</f>
        <v>Club</v>
      </c>
      <c r="D703" s="1" t="str">
        <f>IFERROR(__xludf.DUMMYFUNCTION("""COMPUTED_VALUE"""),"Hand")</f>
        <v>Hand</v>
      </c>
      <c r="E703" s="1">
        <f>IFERROR(__xludf.DUMMYFUNCTION("""COMPUTED_VALUE"""),1200.0)</f>
        <v>1200</v>
      </c>
      <c r="F703" s="1"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
        <f>IFERROR(__xludf.DUMMYFUNCTION("""COMPUTED_VALUE"""),7.14E7)</f>
        <v>71400000</v>
      </c>
      <c r="H703" s="1"/>
      <c r="I703" s="1"/>
      <c r="J703" s="1"/>
      <c r="K703" s="1"/>
      <c r="L703" s="1"/>
      <c r="M703" s="1"/>
      <c r="N703" s="1"/>
      <c r="O703" s="1"/>
      <c r="P703" s="1"/>
      <c r="Q703" s="1"/>
      <c r="R703" s="1"/>
      <c r="S703" s="1"/>
      <c r="T703" s="1"/>
      <c r="U703" s="1"/>
      <c r="V703" s="1"/>
      <c r="W703" s="1"/>
      <c r="X703" s="1"/>
      <c r="Y703" s="1"/>
      <c r="Z703" s="1"/>
      <c r="AA703" s="1"/>
    </row>
    <row r="704" ht="15.75" customHeight="1">
      <c r="A704" s="1" t="str">
        <f>IFERROR(__xludf.DUMMYFUNCTION("""COMPUTED_VALUE"""),"Fireball Cannon")</f>
        <v>Fireball Cannon</v>
      </c>
      <c r="B704" s="1" t="str">
        <f>IFERROR(__xludf.DUMMYFUNCTION("""COMPUTED_VALUE"""),"""Sometimes fire is the only answer to the question,"" ~Gwennivir")</f>
        <v>"Sometimes fire is the only answer to the question," ~Gwennivir</v>
      </c>
      <c r="C704" s="1" t="str">
        <f>IFERROR(__xludf.DUMMYFUNCTION("""COMPUTED_VALUE"""),"Firearm")</f>
        <v>Firearm</v>
      </c>
      <c r="D704" s="1" t="str">
        <f>IFERROR(__xludf.DUMMYFUNCTION("""COMPUTED_VALUE"""),"BoatGun")</f>
        <v>BoatGun</v>
      </c>
      <c r="E704" s="1">
        <f>IFERROR(__xludf.DUMMYFUNCTION("""COMPUTED_VALUE"""),1000.0)</f>
        <v>1000</v>
      </c>
      <c r="F704" s="1" t="str">
        <f>IFERROR(__xludf.DUMMYFUNCTION("""COMPUTED_VALUE"""),"DMG: +30000, Fire DMG: +20000 ++Burn 10,000. ++Requires Fire Cannon Balls")</f>
        <v>DMG: +30000, Fire DMG: +20000 ++Burn 10,000. ++Requires Fire Cannon Balls</v>
      </c>
      <c r="G704" s="1">
        <f>IFERROR(__xludf.DUMMYFUNCTION("""COMPUTED_VALUE"""),4.95E7)</f>
        <v>49500000</v>
      </c>
      <c r="H704" s="1"/>
      <c r="I704" s="1"/>
      <c r="J704" s="1"/>
      <c r="K704" s="1"/>
      <c r="L704" s="1"/>
      <c r="M704" s="1"/>
      <c r="N704" s="1"/>
      <c r="O704" s="1"/>
      <c r="P704" s="1"/>
      <c r="Q704" s="1"/>
      <c r="R704" s="1"/>
      <c r="S704" s="1"/>
      <c r="T704" s="1"/>
      <c r="U704" s="1"/>
      <c r="V704" s="1"/>
      <c r="W704" s="1"/>
      <c r="X704" s="1"/>
      <c r="Y704" s="1"/>
      <c r="Z704" s="1"/>
      <c r="AA704" s="1"/>
    </row>
    <row r="705" ht="15.75" customHeight="1">
      <c r="A705" s="1" t="str">
        <f>IFERROR(__xludf.DUMMYFUNCTION("""COMPUTED_VALUE"""),"Harpoon Gun")</f>
        <v>Harpoon Gun</v>
      </c>
      <c r="B705" s="1"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 t="str">
        <f>IFERROR(__xludf.DUMMYFUNCTION("""COMPUTED_VALUE"""),"Spear")</f>
        <v>Spear</v>
      </c>
      <c r="D705" s="1" t="str">
        <f>IFERROR(__xludf.DUMMYFUNCTION("""COMPUTED_VALUE"""),"BoatGun")</f>
        <v>BoatGun</v>
      </c>
      <c r="E705" s="1">
        <f>IFERROR(__xludf.DUMMYFUNCTION("""COMPUTED_VALUE"""),400.0)</f>
        <v>400</v>
      </c>
      <c r="F705" s="1" t="str">
        <f>IFERROR(__xludf.DUMMYFUNCTION("""COMPUTED_VALUE"""),"DMG: +10000, Blood DMG: +10000 ++Bleed 10,000. ")</f>
        <v>DMG: +10000, Blood DMG: +10000 ++Bleed 10,000. </v>
      </c>
      <c r="G705" s="1">
        <f>IFERROR(__xludf.DUMMYFUNCTION("""COMPUTED_VALUE"""),7800000.0)</f>
        <v>7800000</v>
      </c>
      <c r="H705" s="1"/>
      <c r="I705" s="1"/>
      <c r="J705" s="1"/>
      <c r="K705" s="1"/>
      <c r="L705" s="1"/>
      <c r="M705" s="1"/>
      <c r="N705" s="1"/>
      <c r="O705" s="1"/>
      <c r="P705" s="1"/>
      <c r="Q705" s="1"/>
      <c r="R705" s="1"/>
      <c r="S705" s="1"/>
      <c r="T705" s="1"/>
      <c r="U705" s="1"/>
      <c r="V705" s="1"/>
      <c r="W705" s="1"/>
      <c r="X705" s="1"/>
      <c r="Y705" s="1"/>
      <c r="Z705" s="1"/>
      <c r="AA705" s="1"/>
    </row>
    <row r="706" ht="15.75" customHeight="1">
      <c r="A706" s="1" t="str">
        <f>IFERROR(__xludf.DUMMYFUNCTION("""COMPUTED_VALUE"""),"Torpedo Launcher")</f>
        <v>Torpedo Launcher</v>
      </c>
      <c r="B706" s="1" t="str">
        <f>IFERROR(__xludf.DUMMYFUNCTION("""COMPUTED_VALUE"""),"""Sometimes you need a little more bang for your buck, in those times you need a torpedo,"" ~Gwennivir")</f>
        <v>"Sometimes you need a little more bang for your buck, in those times you need a torpedo," ~Gwennivir</v>
      </c>
      <c r="C706" s="1" t="str">
        <f>IFERROR(__xludf.DUMMYFUNCTION("""COMPUTED_VALUE"""),"Firearm")</f>
        <v>Firearm</v>
      </c>
      <c r="D706" s="1" t="str">
        <f>IFERROR(__xludf.DUMMYFUNCTION("""COMPUTED_VALUE"""),"BoatGun")</f>
        <v>BoatGun</v>
      </c>
      <c r="E706" s="1">
        <f>IFERROR(__xludf.DUMMYFUNCTION("""COMPUTED_VALUE"""),1000.0)</f>
        <v>1000</v>
      </c>
      <c r="F706" s="1" t="str">
        <f>IFERROR(__xludf.DUMMYFUNCTION("""COMPUTED_VALUE"""),"DMG: +50000 ++ Requires Torpedos")</f>
        <v>DMG: +50000 ++ Requires Torpedos</v>
      </c>
      <c r="G706" s="1">
        <f>IFERROR(__xludf.DUMMYFUNCTION("""COMPUTED_VALUE"""),4.95E7)</f>
        <v>49500000</v>
      </c>
      <c r="H706" s="1"/>
      <c r="I706" s="1"/>
      <c r="J706" s="1"/>
      <c r="K706" s="1"/>
      <c r="L706" s="1"/>
      <c r="M706" s="1"/>
      <c r="N706" s="1"/>
      <c r="O706" s="1"/>
      <c r="P706" s="1"/>
      <c r="Q706" s="1"/>
      <c r="R706" s="1"/>
      <c r="S706" s="1"/>
      <c r="T706" s="1"/>
      <c r="U706" s="1"/>
      <c r="V706" s="1"/>
      <c r="W706" s="1"/>
      <c r="X706" s="1"/>
      <c r="Y706" s="1"/>
      <c r="Z706" s="1"/>
      <c r="AA706" s="1"/>
    </row>
    <row r="707" ht="15.75" customHeight="1">
      <c r="A707" s="1" t="str">
        <f>IFERROR(__xludf.DUMMYFUNCTION("""COMPUTED_VALUE"""),"Double Barrel Shotgun")</f>
        <v>Double Barrel Shotgun</v>
      </c>
      <c r="B707" s="1" t="str">
        <f>IFERROR(__xludf.DUMMYFUNCTION("""COMPUTED_VALUE"""),"""Because what's better than one barrel? Two,"" ~Gwennivir")</f>
        <v>"Because what's better than one barrel? Two," ~Gwennivir</v>
      </c>
      <c r="C707" s="1" t="str">
        <f>IFERROR(__xludf.DUMMYFUNCTION("""COMPUTED_VALUE"""),"Firearm")</f>
        <v>Firearm</v>
      </c>
      <c r="D707" s="1" t="str">
        <f>IFERROR(__xludf.DUMMYFUNCTION("""COMPUTED_VALUE"""),"Hand")</f>
        <v>Hand</v>
      </c>
      <c r="E707" s="1">
        <f>IFERROR(__xludf.DUMMYFUNCTION("""COMPUTED_VALUE"""),800.0)</f>
        <v>800</v>
      </c>
      <c r="F707" s="1"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
        <f>IFERROR(__xludf.DUMMYFUNCTION("""COMPUTED_VALUE"""),3.16E7)</f>
        <v>31600000</v>
      </c>
      <c r="H707" s="1"/>
      <c r="I707" s="1"/>
      <c r="J707" s="1"/>
      <c r="K707" s="1"/>
      <c r="L707" s="1"/>
      <c r="M707" s="1"/>
      <c r="N707" s="1"/>
      <c r="O707" s="1"/>
      <c r="P707" s="1"/>
      <c r="Q707" s="1"/>
      <c r="R707" s="1"/>
      <c r="S707" s="1"/>
      <c r="T707" s="1"/>
      <c r="U707" s="1"/>
      <c r="V707" s="1"/>
      <c r="W707" s="1"/>
      <c r="X707" s="1"/>
      <c r="Y707" s="1"/>
      <c r="Z707" s="1"/>
      <c r="AA707" s="1"/>
    </row>
    <row r="708" ht="15.75" customHeight="1">
      <c r="A708" s="1" t="str">
        <f>IFERROR(__xludf.DUMMYFUNCTION("""COMPUTED_VALUE"""),"Single Barrel Shotgun")</f>
        <v>Single Barrel Shotgun</v>
      </c>
      <c r="B708" s="1" t="str">
        <f>IFERROR(__xludf.DUMMYFUNCTION("""COMPUTED_VALUE"""),"""For when you want to put more than one hole in your enemies at a time"" ~Gwennivir")</f>
        <v>"For when you want to put more than one hole in your enemies at a time" ~Gwennivir</v>
      </c>
      <c r="C708" s="1" t="str">
        <f>IFERROR(__xludf.DUMMYFUNCTION("""COMPUTED_VALUE"""),"Firearm")</f>
        <v>Firearm</v>
      </c>
      <c r="D708" s="1" t="str">
        <f>IFERROR(__xludf.DUMMYFUNCTION("""COMPUTED_VALUE"""),"Hand")</f>
        <v>Hand</v>
      </c>
      <c r="E708" s="1">
        <f>IFERROR(__xludf.DUMMYFUNCTION("""COMPUTED_VALUE"""),400.0)</f>
        <v>400</v>
      </c>
      <c r="F708" s="1" t="str">
        <f>IFERROR(__xludf.DUMMYFUNCTION("""COMPUTED_VALUE"""),"DMG: +10000, Blood DMG: +10000")</f>
        <v>DMG: +10000, Blood DMG: +10000</v>
      </c>
      <c r="G708" s="1">
        <f>IFERROR(__xludf.DUMMYFUNCTION("""COMPUTED_VALUE"""),7800000.0)</f>
        <v>7800000</v>
      </c>
      <c r="H708" s="1"/>
      <c r="I708" s="1"/>
      <c r="J708" s="1"/>
      <c r="K708" s="1"/>
      <c r="L708" s="1"/>
      <c r="M708" s="1"/>
      <c r="N708" s="1"/>
      <c r="O708" s="1"/>
      <c r="P708" s="1"/>
      <c r="Q708" s="1"/>
      <c r="R708" s="1"/>
      <c r="S708" s="1"/>
      <c r="T708" s="1"/>
      <c r="U708" s="1"/>
      <c r="V708" s="1"/>
      <c r="W708" s="1"/>
      <c r="X708" s="1"/>
      <c r="Y708" s="1"/>
      <c r="Z708" s="1"/>
      <c r="AA708" s="1"/>
    </row>
    <row r="709" ht="15.75" customHeight="1">
      <c r="A709" s="1" t="str">
        <f>IFERROR(__xludf.DUMMYFUNCTION("""COMPUTED_VALUE"""),"Poison Staff")</f>
        <v>Poison Staff</v>
      </c>
      <c r="B709" s="1"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 t="str">
        <f>IFERROR(__xludf.DUMMYFUNCTION("""COMPUTED_VALUE"""),"Staff")</f>
        <v>Staff</v>
      </c>
      <c r="D709" s="1" t="str">
        <f>IFERROR(__xludf.DUMMYFUNCTION("""COMPUTED_VALUE"""),"Hand")</f>
        <v>Hand</v>
      </c>
      <c r="E709" s="1">
        <f>IFERROR(__xludf.DUMMYFUNCTION("""COMPUTED_VALUE"""),2000.0)</f>
        <v>2000</v>
      </c>
      <c r="F709" s="1" t="str">
        <f>IFERROR(__xludf.DUMMYFUNCTION("""COMPUTED_VALUE"""),", Nature DMG: +100000 ++ Poison 20,000")</f>
        <v>, Nature DMG: +100000 ++ Poison 20,000</v>
      </c>
      <c r="G709" s="1">
        <f>IFERROR(__xludf.DUMMYFUNCTION("""COMPUTED_VALUE"""),1.99E8)</f>
        <v>199000000</v>
      </c>
      <c r="H709" s="1"/>
      <c r="I709" s="1"/>
      <c r="J709" s="1"/>
      <c r="K709" s="1"/>
      <c r="L709" s="1"/>
      <c r="M709" s="1"/>
      <c r="N709" s="1"/>
      <c r="O709" s="1"/>
      <c r="P709" s="1"/>
      <c r="Q709" s="1"/>
      <c r="R709" s="1"/>
      <c r="S709" s="1"/>
      <c r="T709" s="1"/>
      <c r="U709" s="1"/>
      <c r="V709" s="1"/>
      <c r="W709" s="1"/>
      <c r="X709" s="1"/>
      <c r="Y709" s="1"/>
      <c r="Z709" s="1"/>
      <c r="AA709" s="1"/>
    </row>
    <row r="710" ht="15.75" customHeight="1">
      <c r="A710" s="1" t="str">
        <f>IFERROR(__xludf.DUMMYFUNCTION("""COMPUTED_VALUE"""),"Chameldrians Staff of Thriving Blossoms")</f>
        <v>Chameldrians Staff of Thriving Blossoms</v>
      </c>
      <c r="B710" s="1"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 t="str">
        <f>IFERROR(__xludf.DUMMYFUNCTION("""COMPUTED_VALUE"""),"Staff")</f>
        <v>Staff</v>
      </c>
      <c r="D710" s="1" t="str">
        <f>IFERROR(__xludf.DUMMYFUNCTION("""COMPUTED_VALUE"""),"Hand")</f>
        <v>Hand</v>
      </c>
      <c r="E710" s="1">
        <f>IFERROR(__xludf.DUMMYFUNCTION("""COMPUTED_VALUE"""),2000.0)</f>
        <v>2000</v>
      </c>
      <c r="F710" s="1"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
        <f>IFERROR(__xludf.DUMMYFUNCTION("""COMPUTED_VALUE"""),1.99E8)</f>
        <v>199000000</v>
      </c>
      <c r="H710" s="1"/>
      <c r="I710" s="1"/>
      <c r="J710" s="1"/>
      <c r="K710" s="1"/>
      <c r="L710" s="1"/>
      <c r="M710" s="1"/>
      <c r="N710" s="1"/>
      <c r="O710" s="1"/>
      <c r="P710" s="1"/>
      <c r="Q710" s="1"/>
      <c r="R710" s="1"/>
      <c r="S710" s="1"/>
      <c r="T710" s="1"/>
      <c r="U710" s="1"/>
      <c r="V710" s="1"/>
      <c r="W710" s="1"/>
      <c r="X710" s="1"/>
      <c r="Y710" s="1"/>
      <c r="Z710" s="1"/>
      <c r="AA710" s="1"/>
    </row>
    <row r="711" ht="15.75" customHeight="1">
      <c r="A711" s="1" t="str">
        <f>IFERROR(__xludf.DUMMYFUNCTION("""COMPUTED_VALUE"""),"Cooper's Memento")</f>
        <v>Cooper's Memento</v>
      </c>
      <c r="B711" s="1" t="str">
        <f>IFERROR(__xludf.DUMMYFUNCTION("""COMPUTED_VALUE"""),"A small stopwatch, the ticking has stopped.")</f>
        <v>A small stopwatch, the ticking has stopped.</v>
      </c>
      <c r="C711" s="1" t="str">
        <f>IFERROR(__xludf.DUMMYFUNCTION("""COMPUTED_VALUE"""),"Item")</f>
        <v>Item</v>
      </c>
      <c r="D711" s="1" t="str">
        <f>IFERROR(__xludf.DUMMYFUNCTION("""COMPUTED_VALUE"""),"Arms")</f>
        <v>Arms</v>
      </c>
      <c r="E711" s="1">
        <f>IFERROR(__xludf.DUMMYFUNCTION("""COMPUTED_VALUE"""),1.0)</f>
        <v>1</v>
      </c>
      <c r="F711" s="1" t="str">
        <f>IFERROR(__xludf.DUMMYFUNCTION("""COMPUTED_VALUE""")," ++15% chance to be unaffected by a curse")</f>
        <v> ++15% chance to be unaffected by a curse</v>
      </c>
      <c r="G711" s="1">
        <f>IFERROR(__xludf.DUMMYFUNCTION("""COMPUTED_VALUE"""),0.0)</f>
        <v>0</v>
      </c>
      <c r="H711" s="1"/>
      <c r="I711" s="1"/>
      <c r="J711" s="1"/>
      <c r="K711" s="1"/>
      <c r="L711" s="1"/>
      <c r="M711" s="1"/>
      <c r="N711" s="1"/>
      <c r="O711" s="1"/>
      <c r="P711" s="1"/>
      <c r="Q711" s="1"/>
      <c r="R711" s="1"/>
      <c r="S711" s="1"/>
      <c r="T711" s="1"/>
      <c r="U711" s="1"/>
      <c r="V711" s="1"/>
      <c r="W711" s="1"/>
      <c r="X711" s="1"/>
      <c r="Y711" s="1"/>
      <c r="Z711" s="1"/>
      <c r="AA711" s="1"/>
    </row>
    <row r="712" ht="15.75" customHeight="1">
      <c r="A712" s="1" t="str">
        <f>IFERROR(__xludf.DUMMYFUNCTION("""COMPUTED_VALUE"""),"Gaian Champion's Shield")</f>
        <v>Gaian Champion's Shield</v>
      </c>
      <c r="B712" s="1" t="str">
        <f>IFERROR(__xludf.DUMMYFUNCTION("""COMPUTED_VALUE"""),"""We are born to be the shield of the people, too many paladins forget this simple fact"" ~Grisaia")</f>
        <v>"We are born to be the shield of the people, too many paladins forget this simple fact" ~Grisaia</v>
      </c>
      <c r="C712" s="1" t="str">
        <f>IFERROR(__xludf.DUMMYFUNCTION("""COMPUTED_VALUE"""),"Towershield")</f>
        <v>Towershield</v>
      </c>
      <c r="D712" s="1" t="str">
        <f>IFERROR(__xludf.DUMMYFUNCTION("""COMPUTED_VALUE"""),"Hand")</f>
        <v>Hand</v>
      </c>
      <c r="E712" s="1">
        <f>IFERROR(__xludf.DUMMYFUNCTION("""COMPUTED_VALUE"""),200.0)</f>
        <v>200</v>
      </c>
      <c r="F712" s="1"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
        <f>IFERROR(__xludf.DUMMYFUNCTION("""COMPUTED_VALUE"""),1.2475E9)</f>
        <v>1247500000</v>
      </c>
      <c r="H712" s="1"/>
      <c r="I712" s="1"/>
      <c r="J712" s="1"/>
      <c r="K712" s="1"/>
      <c r="L712" s="1"/>
      <c r="M712" s="1"/>
      <c r="N712" s="1"/>
      <c r="O712" s="1"/>
      <c r="P712" s="1"/>
      <c r="Q712" s="1"/>
      <c r="R712" s="1"/>
      <c r="S712" s="1"/>
      <c r="T712" s="1"/>
      <c r="U712" s="1"/>
      <c r="V712" s="1"/>
      <c r="W712" s="1"/>
      <c r="X712" s="1"/>
      <c r="Y712" s="1"/>
      <c r="Z712" s="1"/>
      <c r="AA712" s="1"/>
    </row>
    <row r="713" ht="15.75" customHeight="1">
      <c r="A713" s="1" t="str">
        <f>IFERROR(__xludf.DUMMYFUNCTION("""COMPUTED_VALUE"""),"The Billowing Bludgeon")</f>
        <v>The Billowing Bludgeon</v>
      </c>
      <c r="B713" s="1"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 t="str">
        <f>IFERROR(__xludf.DUMMYFUNCTION("""COMPUTED_VALUE"""),"Staff")</f>
        <v>Staff</v>
      </c>
      <c r="D713" s="1" t="str">
        <f>IFERROR(__xludf.DUMMYFUNCTION("""COMPUTED_VALUE"""),"Hand")</f>
        <v>Hand</v>
      </c>
      <c r="E713" s="1">
        <f>IFERROR(__xludf.DUMMYFUNCTION("""COMPUTED_VALUE"""),200.0)</f>
        <v>200</v>
      </c>
      <c r="F713" s="1"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
        <f>IFERROR(__xludf.DUMMYFUNCTION("""COMPUTED_VALUE"""),1.797E9)</f>
        <v>1797000000</v>
      </c>
      <c r="H713" s="1"/>
      <c r="I713" s="1"/>
      <c r="J713" s="1"/>
      <c r="K713" s="1"/>
      <c r="L713" s="1"/>
      <c r="M713" s="1"/>
      <c r="N713" s="1"/>
      <c r="O713" s="1"/>
      <c r="P713" s="1"/>
      <c r="Q713" s="1"/>
      <c r="R713" s="1"/>
      <c r="S713" s="1"/>
      <c r="T713" s="1"/>
      <c r="U713" s="1"/>
      <c r="V713" s="1"/>
      <c r="W713" s="1"/>
      <c r="X713" s="1"/>
      <c r="Y713" s="1"/>
      <c r="Z713" s="1"/>
      <c r="AA713" s="1"/>
    </row>
    <row r="714" ht="15.75" customHeight="1">
      <c r="A714" s="1" t="str">
        <f>IFERROR(__xludf.DUMMYFUNCTION("""COMPUTED_VALUE"""),"Home Run Bat")</f>
        <v>Home Run Bat</v>
      </c>
      <c r="B714" s="1"/>
      <c r="C714" s="1" t="str">
        <f>IFERROR(__xludf.DUMMYFUNCTION("""COMPUTED_VALUE"""),"Club")</f>
        <v>Club</v>
      </c>
      <c r="D714" s="1" t="str">
        <f>IFERROR(__xludf.DUMMYFUNCTION("""COMPUTED_VALUE"""),"Hand")</f>
        <v>Hand</v>
      </c>
      <c r="E714" s="1">
        <f>IFERROR(__xludf.DUMMYFUNCTION("""COMPUTED_VALUE"""),200.0)</f>
        <v>200</v>
      </c>
      <c r="F714" s="1"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
        <f>IFERROR(__xludf.DUMMYFUNCTION("""COMPUTED_VALUE"""),7.98E8)</f>
        <v>798000000</v>
      </c>
      <c r="H714" s="1"/>
      <c r="I714" s="1"/>
      <c r="J714" s="1"/>
      <c r="K714" s="1"/>
      <c r="L714" s="1"/>
      <c r="M714" s="1"/>
      <c r="N714" s="1"/>
      <c r="O714" s="1"/>
      <c r="P714" s="1"/>
      <c r="Q714" s="1"/>
      <c r="R714" s="1"/>
      <c r="S714" s="1"/>
      <c r="T714" s="1"/>
      <c r="U714" s="1"/>
      <c r="V714" s="1"/>
      <c r="W714" s="1"/>
      <c r="X714" s="1"/>
      <c r="Y714" s="1"/>
      <c r="Z714" s="1"/>
      <c r="AA714" s="1"/>
    </row>
    <row r="715" ht="15.75" customHeight="1">
      <c r="A715" s="1" t="str">
        <f>IFERROR(__xludf.DUMMYFUNCTION("""COMPUTED_VALUE"""),"Lunar New Year Dragon Head")</f>
        <v>Lunar New Year Dragon Head</v>
      </c>
      <c r="B715" s="1"/>
      <c r="C715" s="1" t="str">
        <f>IFERROR(__xludf.DUMMYFUNCTION("""COMPUTED_VALUE"""),"Item")</f>
        <v>Item</v>
      </c>
      <c r="D715" s="1" t="str">
        <f>IFERROR(__xludf.DUMMYFUNCTION("""COMPUTED_VALUE"""),"Head")</f>
        <v>Head</v>
      </c>
      <c r="E715" s="1">
        <f>IFERROR(__xludf.DUMMYFUNCTION("""COMPUTED_VALUE"""),200.0)</f>
        <v>200</v>
      </c>
      <c r="F715" s="1" t="str">
        <f>IFERROR(__xludf.DUMMYFUNCTION("""COMPUTED_VALUE"""),"DEF: +25000, Fire DEF: +25000, Celestial DEF: +25000 ++Gain ""Greater Dragon's Breath"" Power. ++X2 additional Fire Damage.")</f>
        <v>DEF: +25000, Fire DEF: +25000, Celestial DEF: +25000 ++Gain "Greater Dragon's Breath" Power. ++X2 additional Fire Damage.</v>
      </c>
      <c r="G715" s="1">
        <f>IFERROR(__xludf.DUMMYFUNCTION("""COMPUTED_VALUE"""),1.1175E8)</f>
        <v>111750000</v>
      </c>
      <c r="H715" s="1"/>
      <c r="I715" s="1"/>
      <c r="J715" s="1"/>
      <c r="K715" s="1"/>
      <c r="L715" s="1"/>
      <c r="M715" s="1"/>
      <c r="N715" s="1"/>
      <c r="O715" s="1"/>
      <c r="P715" s="1"/>
      <c r="Q715" s="1"/>
      <c r="R715" s="1"/>
      <c r="S715" s="1"/>
      <c r="T715" s="1"/>
      <c r="U715" s="1"/>
      <c r="V715" s="1"/>
      <c r="W715" s="1"/>
      <c r="X715" s="1"/>
      <c r="Y715" s="1"/>
      <c r="Z715" s="1"/>
      <c r="AA715" s="1"/>
    </row>
    <row r="716" ht="15.75" customHeight="1">
      <c r="A716" s="1" t="str">
        <f>IFERROR(__xludf.DUMMYFUNCTION("""COMPUTED_VALUE"""),"Lunar New Year Dragon Shoulders")</f>
        <v>Lunar New Year Dragon Shoulders</v>
      </c>
      <c r="B716" s="1"/>
      <c r="C716" s="1" t="str">
        <f>IFERROR(__xludf.DUMMYFUNCTION("""COMPUTED_VALUE"""),"Item")</f>
        <v>Item</v>
      </c>
      <c r="D716" s="1" t="str">
        <f>IFERROR(__xludf.DUMMYFUNCTION("""COMPUTED_VALUE"""),"Shoulders")</f>
        <v>Shoulders</v>
      </c>
      <c r="E716" s="1">
        <f>IFERROR(__xludf.DUMMYFUNCTION("""COMPUTED_VALUE"""),200.0)</f>
        <v>200</v>
      </c>
      <c r="F716" s="1" t="str">
        <f>IFERROR(__xludf.DUMMYFUNCTION("""COMPUTED_VALUE"""),"DEF: +25000, Fire DEF: +25000, Celestial DEF: +25000 ++X2 additional Fire Damage.")</f>
        <v>DEF: +25000, Fire DEF: +25000, Celestial DEF: +25000 ++X2 additional Fire Damage.</v>
      </c>
      <c r="G716" s="1">
        <f>IFERROR(__xludf.DUMMYFUNCTION("""COMPUTED_VALUE"""),1.1175E8)</f>
        <v>111750000</v>
      </c>
      <c r="H716" s="1"/>
      <c r="I716" s="1"/>
      <c r="J716" s="1"/>
      <c r="K716" s="1"/>
      <c r="L716" s="1"/>
      <c r="M716" s="1"/>
      <c r="N716" s="1"/>
      <c r="O716" s="1"/>
      <c r="P716" s="1"/>
      <c r="Q716" s="1"/>
      <c r="R716" s="1"/>
      <c r="S716" s="1"/>
      <c r="T716" s="1"/>
      <c r="U716" s="1"/>
      <c r="V716" s="1"/>
      <c r="W716" s="1"/>
      <c r="X716" s="1"/>
      <c r="Y716" s="1"/>
      <c r="Z716" s="1"/>
      <c r="AA716" s="1"/>
    </row>
    <row r="717" ht="15.75" customHeight="1">
      <c r="A717" s="1" t="str">
        <f>IFERROR(__xludf.DUMMYFUNCTION("""COMPUTED_VALUE"""),"Lunar New Year Dragon Arms")</f>
        <v>Lunar New Year Dragon Arms</v>
      </c>
      <c r="B717" s="1"/>
      <c r="C717" s="1" t="str">
        <f>IFERROR(__xludf.DUMMYFUNCTION("""COMPUTED_VALUE"""),"Item")</f>
        <v>Item</v>
      </c>
      <c r="D717" s="1" t="str">
        <f>IFERROR(__xludf.DUMMYFUNCTION("""COMPUTED_VALUE"""),"Arms")</f>
        <v>Arms</v>
      </c>
      <c r="E717" s="1">
        <f>IFERROR(__xludf.DUMMYFUNCTION("""COMPUTED_VALUE"""),200.0)</f>
        <v>200</v>
      </c>
      <c r="F717" s="1" t="str">
        <f>IFERROR(__xludf.DUMMYFUNCTION("""COMPUTED_VALUE"""),"DEF: +25000, Fire DEF: +25000, Celestial DEF: +25000 ++X2 additional Fire Damage.")</f>
        <v>DEF: +25000, Fire DEF: +25000, Celestial DEF: +25000 ++X2 additional Fire Damage.</v>
      </c>
      <c r="G717" s="1">
        <f>IFERROR(__xludf.DUMMYFUNCTION("""COMPUTED_VALUE"""),1.1175E8)</f>
        <v>111750000</v>
      </c>
      <c r="H717" s="1"/>
      <c r="I717" s="1"/>
      <c r="J717" s="1"/>
      <c r="K717" s="1"/>
      <c r="L717" s="1"/>
      <c r="M717" s="1"/>
      <c r="N717" s="1"/>
      <c r="O717" s="1"/>
      <c r="P717" s="1"/>
      <c r="Q717" s="1"/>
      <c r="R717" s="1"/>
      <c r="S717" s="1"/>
      <c r="T717" s="1"/>
      <c r="U717" s="1"/>
      <c r="V717" s="1"/>
      <c r="W717" s="1"/>
      <c r="X717" s="1"/>
      <c r="Y717" s="1"/>
      <c r="Z717" s="1"/>
      <c r="AA717" s="1"/>
    </row>
    <row r="718" ht="15.75" customHeight="1">
      <c r="A718" s="1" t="str">
        <f>IFERROR(__xludf.DUMMYFUNCTION("""COMPUTED_VALUE"""),"Lunar New Year Dragon Torso")</f>
        <v>Lunar New Year Dragon Torso</v>
      </c>
      <c r="B718" s="1"/>
      <c r="C718" s="1" t="str">
        <f>IFERROR(__xludf.DUMMYFUNCTION("""COMPUTED_VALUE"""),"Item")</f>
        <v>Item</v>
      </c>
      <c r="D718" s="1" t="str">
        <f>IFERROR(__xludf.DUMMYFUNCTION("""COMPUTED_VALUE"""),"Torso")</f>
        <v>Torso</v>
      </c>
      <c r="E718" s="1">
        <f>IFERROR(__xludf.DUMMYFUNCTION("""COMPUTED_VALUE"""),200.0)</f>
        <v>200</v>
      </c>
      <c r="F718" s="1" t="str">
        <f>IFERROR(__xludf.DUMMYFUNCTION("""COMPUTED_VALUE"""),"DEF: +25000, Fire DEF: +25000, Celestial DEF: +25000 ++X2 additional Fire Damage.")</f>
        <v>DEF: +25000, Fire DEF: +25000, Celestial DEF: +25000 ++X2 additional Fire Damage.</v>
      </c>
      <c r="G718" s="1">
        <f>IFERROR(__xludf.DUMMYFUNCTION("""COMPUTED_VALUE"""),1.1175E8)</f>
        <v>111750000</v>
      </c>
      <c r="H718" s="1"/>
      <c r="I718" s="1"/>
      <c r="J718" s="1"/>
      <c r="K718" s="1"/>
      <c r="L718" s="1"/>
      <c r="M718" s="1"/>
      <c r="N718" s="1"/>
      <c r="O718" s="1"/>
      <c r="P718" s="1"/>
      <c r="Q718" s="1"/>
      <c r="R718" s="1"/>
      <c r="S718" s="1"/>
      <c r="T718" s="1"/>
      <c r="U718" s="1"/>
      <c r="V718" s="1"/>
      <c r="W718" s="1"/>
      <c r="X718" s="1"/>
      <c r="Y718" s="1"/>
      <c r="Z718" s="1"/>
      <c r="AA718" s="1"/>
    </row>
    <row r="719" ht="15.75" customHeight="1">
      <c r="A719" s="1" t="str">
        <f>IFERROR(__xludf.DUMMYFUNCTION("""COMPUTED_VALUE"""),"Lunar New Year Dragon Legs")</f>
        <v>Lunar New Year Dragon Legs</v>
      </c>
      <c r="B719" s="1"/>
      <c r="C719" s="1" t="str">
        <f>IFERROR(__xludf.DUMMYFUNCTION("""COMPUTED_VALUE"""),"Item")</f>
        <v>Item</v>
      </c>
      <c r="D719" s="1" t="str">
        <f>IFERROR(__xludf.DUMMYFUNCTION("""COMPUTED_VALUE"""),"Legs")</f>
        <v>Legs</v>
      </c>
      <c r="E719" s="1">
        <f>IFERROR(__xludf.DUMMYFUNCTION("""COMPUTED_VALUE"""),200.0)</f>
        <v>200</v>
      </c>
      <c r="F719" s="1" t="str">
        <f>IFERROR(__xludf.DUMMYFUNCTION("""COMPUTED_VALUE"""),"DEF: +25000, Fire DEF: +25000, Celestial DEF: +25000 ++X2 additional Fire Damage.")</f>
        <v>DEF: +25000, Fire DEF: +25000, Celestial DEF: +25000 ++X2 additional Fire Damage.</v>
      </c>
      <c r="G719" s="1">
        <f>IFERROR(__xludf.DUMMYFUNCTION("""COMPUTED_VALUE"""),1.1175E8)</f>
        <v>111750000</v>
      </c>
      <c r="H719" s="1"/>
      <c r="I719" s="1"/>
      <c r="J719" s="1"/>
      <c r="K719" s="1"/>
      <c r="L719" s="1"/>
      <c r="M719" s="1"/>
      <c r="N719" s="1"/>
      <c r="O719" s="1"/>
      <c r="P719" s="1"/>
      <c r="Q719" s="1"/>
      <c r="R719" s="1"/>
      <c r="S719" s="1"/>
      <c r="T719" s="1"/>
      <c r="U719" s="1"/>
      <c r="V719" s="1"/>
      <c r="W719" s="1"/>
      <c r="X719" s="1"/>
      <c r="Y719" s="1"/>
      <c r="Z719" s="1"/>
      <c r="AA719" s="1"/>
    </row>
    <row r="720" ht="15.75" customHeight="1">
      <c r="A720" s="1" t="str">
        <f>IFERROR(__xludf.DUMMYFUNCTION("""COMPUTED_VALUE"""),"Lunar New Year Dragon Feet")</f>
        <v>Lunar New Year Dragon Feet</v>
      </c>
      <c r="B720" s="1"/>
      <c r="C720" s="1" t="str">
        <f>IFERROR(__xludf.DUMMYFUNCTION("""COMPUTED_VALUE"""),"Item")</f>
        <v>Item</v>
      </c>
      <c r="D720" s="1" t="str">
        <f>IFERROR(__xludf.DUMMYFUNCTION("""COMPUTED_VALUE"""),"Feet")</f>
        <v>Feet</v>
      </c>
      <c r="E720" s="1">
        <f>IFERROR(__xludf.DUMMYFUNCTION("""COMPUTED_VALUE"""),200.0)</f>
        <v>200</v>
      </c>
      <c r="F720" s="1" t="str">
        <f>IFERROR(__xludf.DUMMYFUNCTION("""COMPUTED_VALUE"""),"DEF: +25000, Fire DEF: +25000, Celestial DEF: +25000 ++X2 additional Fire Damage.")</f>
        <v>DEF: +25000, Fire DEF: +25000, Celestial DEF: +25000 ++X2 additional Fire Damage.</v>
      </c>
      <c r="G720" s="1">
        <f>IFERROR(__xludf.DUMMYFUNCTION("""COMPUTED_VALUE"""),1.1175E8)</f>
        <v>111750000</v>
      </c>
      <c r="H720" s="1"/>
      <c r="I720" s="1"/>
      <c r="J720" s="1"/>
      <c r="K720" s="1"/>
      <c r="L720" s="1"/>
      <c r="M720" s="1"/>
      <c r="N720" s="1"/>
      <c r="O720" s="1"/>
      <c r="P720" s="1"/>
      <c r="Q720" s="1"/>
      <c r="R720" s="1"/>
      <c r="S720" s="1"/>
      <c r="T720" s="1"/>
      <c r="U720" s="1"/>
      <c r="V720" s="1"/>
      <c r="W720" s="1"/>
      <c r="X720" s="1"/>
      <c r="Y720" s="1"/>
      <c r="Z720" s="1"/>
      <c r="AA720" s="1"/>
    </row>
    <row r="721" ht="15.75" customHeight="1">
      <c r="A721" s="1" t="str">
        <f>IFERROR(__xludf.DUMMYFUNCTION("""COMPUTED_VALUE"""),"Spirit Blade")</f>
        <v>Spirit Blade</v>
      </c>
      <c r="B721" s="1"/>
      <c r="C721" s="1" t="str">
        <f>IFERROR(__xludf.DUMMYFUNCTION("""COMPUTED_VALUE"""),"Sword")</f>
        <v>Sword</v>
      </c>
      <c r="D721" s="1" t="str">
        <f>IFERROR(__xludf.DUMMYFUNCTION("""COMPUTED_VALUE"""),"Hand")</f>
        <v>Hand</v>
      </c>
      <c r="E721" s="1">
        <f>IFERROR(__xludf.DUMMYFUNCTION("""COMPUTED_VALUE"""),600.0)</f>
        <v>600</v>
      </c>
      <c r="F721" s="1" t="str">
        <f>IFERROR(__xludf.DUMMYFUNCTION("""COMPUTED_VALUE"""),"DMG: +20000, Light DMG: +10000")</f>
        <v>DMG: +20000, Light DMG: +10000</v>
      </c>
      <c r="G721" s="1">
        <f>IFERROR(__xludf.DUMMYFUNCTION("""COMPUTED_VALUE"""),1.77E7)</f>
        <v>17700000</v>
      </c>
      <c r="H721" s="1"/>
      <c r="I721" s="1"/>
      <c r="J721" s="1"/>
      <c r="K721" s="1"/>
      <c r="L721" s="1"/>
      <c r="M721" s="1"/>
      <c r="N721" s="1"/>
      <c r="O721" s="1"/>
      <c r="P721" s="1"/>
      <c r="Q721" s="1"/>
      <c r="R721" s="1"/>
      <c r="S721" s="1"/>
      <c r="T721" s="1"/>
      <c r="U721" s="1"/>
      <c r="V721" s="1"/>
      <c r="W721" s="1"/>
      <c r="X721" s="1"/>
      <c r="Y721" s="1"/>
      <c r="Z721" s="1"/>
      <c r="AA721" s="1"/>
    </row>
    <row r="722" ht="15.75" customHeight="1">
      <c r="A722" s="1" t="str">
        <f>IFERROR(__xludf.DUMMYFUNCTION("""COMPUTED_VALUE"""),"Spirit Shield")</f>
        <v>Spirit Shield</v>
      </c>
      <c r="B722" s="1"/>
      <c r="C722" s="1" t="str">
        <f>IFERROR(__xludf.DUMMYFUNCTION("""COMPUTED_VALUE"""),"Buckler")</f>
        <v>Buckler</v>
      </c>
      <c r="D722" s="1" t="str">
        <f>IFERROR(__xludf.DUMMYFUNCTION("""COMPUTED_VALUE"""),"Hand")</f>
        <v>Hand</v>
      </c>
      <c r="E722" s="1">
        <f>IFERROR(__xludf.DUMMYFUNCTION("""COMPUTED_VALUE"""),600.0)</f>
        <v>600</v>
      </c>
      <c r="F722" s="1" t="str">
        <f>IFERROR(__xludf.DUMMYFUNCTION("""COMPUTED_VALUE"""),"DEF: +20000, Light DEF: +10000")</f>
        <v>DEF: +20000, Light DEF: +10000</v>
      </c>
      <c r="G722" s="1">
        <f>IFERROR(__xludf.DUMMYFUNCTION("""COMPUTED_VALUE"""),1.77E7)</f>
        <v>17700000</v>
      </c>
      <c r="H722" s="1"/>
      <c r="I722" s="1"/>
      <c r="J722" s="1"/>
      <c r="K722" s="1"/>
      <c r="L722" s="1"/>
      <c r="M722" s="1"/>
      <c r="N722" s="1"/>
      <c r="O722" s="1"/>
      <c r="P722" s="1"/>
      <c r="Q722" s="1"/>
      <c r="R722" s="1"/>
      <c r="S722" s="1"/>
      <c r="T722" s="1"/>
      <c r="U722" s="1"/>
      <c r="V722" s="1"/>
      <c r="W722" s="1"/>
      <c r="X722" s="1"/>
      <c r="Y722" s="1"/>
      <c r="Z722" s="1"/>
      <c r="AA722" s="1"/>
    </row>
    <row r="723" ht="15.75" customHeight="1">
      <c r="A723" s="1" t="str">
        <f>IFERROR(__xludf.DUMMYFUNCTION("""COMPUTED_VALUE"""),"Mage's Hood")</f>
        <v>Mage's Hood</v>
      </c>
      <c r="B723" s="1"/>
      <c r="C723" s="1" t="str">
        <f>IFERROR(__xludf.DUMMYFUNCTION("""COMPUTED_VALUE"""),"Item")</f>
        <v>Item</v>
      </c>
      <c r="D723" s="1" t="str">
        <f>IFERROR(__xludf.DUMMYFUNCTION("""COMPUTED_VALUE"""),"Head")</f>
        <v>Head</v>
      </c>
      <c r="E723" s="1">
        <f>IFERROR(__xludf.DUMMYFUNCTION("""COMPUTED_VALUE"""),1.0)</f>
        <v>1</v>
      </c>
      <c r="F723" s="1" t="str">
        <f>IFERROR(__xludf.DUMMYFUNCTION("""COMPUTED_VALUE""")," ++5000 additional HP and SP. ++Plus 2 Wisdom. +-Cannot be forged. +-Cannot be duplicateed.")</f>
        <v> ++5000 additional HP and SP. ++Plus 2 Wisdom. +-Cannot be forged. +-Cannot be duplicateed.</v>
      </c>
      <c r="G723" s="1">
        <f>IFERROR(__xludf.DUMMYFUNCTION("""COMPUTED_VALUE"""),0.0)</f>
        <v>0</v>
      </c>
      <c r="H723" s="1"/>
      <c r="I723" s="1"/>
      <c r="J723" s="1"/>
      <c r="K723" s="1"/>
      <c r="L723" s="1"/>
      <c r="M723" s="1"/>
      <c r="N723" s="1"/>
      <c r="O723" s="1"/>
      <c r="P723" s="1"/>
      <c r="Q723" s="1"/>
      <c r="R723" s="1"/>
      <c r="S723" s="1"/>
      <c r="T723" s="1"/>
      <c r="U723" s="1"/>
      <c r="V723" s="1"/>
      <c r="W723" s="1"/>
      <c r="X723" s="1"/>
      <c r="Y723" s="1"/>
      <c r="Z723" s="1"/>
      <c r="AA723" s="1"/>
    </row>
    <row r="724" ht="15.75" customHeight="1">
      <c r="A724" s="1" t="str">
        <f>IFERROR(__xludf.DUMMYFUNCTION("""COMPUTED_VALUE"""),"Mage's Cloak")</f>
        <v>Mage's Cloak</v>
      </c>
      <c r="B724" s="1"/>
      <c r="C724" s="1" t="str">
        <f>IFERROR(__xludf.DUMMYFUNCTION("""COMPUTED_VALUE"""),"Item")</f>
        <v>Item</v>
      </c>
      <c r="D724" s="1" t="str">
        <f>IFERROR(__xludf.DUMMYFUNCTION("""COMPUTED_VALUE"""),"Torso")</f>
        <v>Torso</v>
      </c>
      <c r="E724" s="1">
        <f>IFERROR(__xludf.DUMMYFUNCTION("""COMPUTED_VALUE"""),1.0)</f>
        <v>1</v>
      </c>
      <c r="F724" s="1" t="str">
        <f>IFERROR(__xludf.DUMMYFUNCTION("""COMPUTED_VALUE""")," ++5000 additional HP and SP. ++Plus 2 Wisdom. +-Cannot be forged. +-Cannot be duplicateed.")</f>
        <v> ++5000 additional HP and SP. ++Plus 2 Wisdom. +-Cannot be forged. +-Cannot be duplicateed.</v>
      </c>
      <c r="G724" s="1">
        <f>IFERROR(__xludf.DUMMYFUNCTION("""COMPUTED_VALUE"""),0.0)</f>
        <v>0</v>
      </c>
      <c r="H724" s="1"/>
      <c r="I724" s="1"/>
      <c r="J724" s="1"/>
      <c r="K724" s="1"/>
      <c r="L724" s="1"/>
      <c r="M724" s="1"/>
      <c r="N724" s="1"/>
      <c r="O724" s="1"/>
      <c r="P724" s="1"/>
      <c r="Q724" s="1"/>
      <c r="R724" s="1"/>
      <c r="S724" s="1"/>
      <c r="T724" s="1"/>
      <c r="U724" s="1"/>
      <c r="V724" s="1"/>
      <c r="W724" s="1"/>
      <c r="X724" s="1"/>
      <c r="Y724" s="1"/>
      <c r="Z724" s="1"/>
      <c r="AA724" s="1"/>
    </row>
    <row r="725" ht="15.75" customHeight="1">
      <c r="A725" s="1" t="str">
        <f>IFERROR(__xludf.DUMMYFUNCTION("""COMPUTED_VALUE"""),"Mage's Shoes")</f>
        <v>Mage's Shoes</v>
      </c>
      <c r="B725" s="1"/>
      <c r="C725" s="1" t="str">
        <f>IFERROR(__xludf.DUMMYFUNCTION("""COMPUTED_VALUE"""),"Item")</f>
        <v>Item</v>
      </c>
      <c r="D725" s="1" t="str">
        <f>IFERROR(__xludf.DUMMYFUNCTION("""COMPUTED_VALUE"""),"Feet")</f>
        <v>Feet</v>
      </c>
      <c r="E725" s="1">
        <f>IFERROR(__xludf.DUMMYFUNCTION("""COMPUTED_VALUE"""),1.0)</f>
        <v>1</v>
      </c>
      <c r="F725" s="1" t="str">
        <f>IFERROR(__xludf.DUMMYFUNCTION("""COMPUTED_VALUE""")," ++5000 additional HP and SP. ++Plus 1 Wisdom. +-Cannot be forged. +-Cannot be duplicateed.")</f>
        <v> ++5000 additional HP and SP. ++Plus 1 Wisdom. +-Cannot be forged. +-Cannot be duplicateed.</v>
      </c>
      <c r="G725" s="1">
        <f>IFERROR(__xludf.DUMMYFUNCTION("""COMPUTED_VALUE"""),0.0)</f>
        <v>0</v>
      </c>
      <c r="H725" s="1"/>
      <c r="I725" s="1"/>
      <c r="J725" s="1"/>
      <c r="K725" s="1"/>
      <c r="L725" s="1"/>
      <c r="M725" s="1"/>
      <c r="N725" s="1"/>
      <c r="O725" s="1"/>
      <c r="P725" s="1"/>
      <c r="Q725" s="1"/>
      <c r="R725" s="1"/>
      <c r="S725" s="1"/>
      <c r="T725" s="1"/>
      <c r="U725" s="1"/>
      <c r="V725" s="1"/>
      <c r="W725" s="1"/>
      <c r="X725" s="1"/>
      <c r="Y725" s="1"/>
      <c r="Z725" s="1"/>
      <c r="AA725" s="1"/>
    </row>
    <row r="726" ht="15.75" customHeight="1">
      <c r="A726" s="1" t="str">
        <f>IFERROR(__xludf.DUMMYFUNCTION("""COMPUTED_VALUE"""),"Sorcerer's Hood")</f>
        <v>Sorcerer's Hood</v>
      </c>
      <c r="B726" s="1"/>
      <c r="C726" s="1" t="str">
        <f>IFERROR(__xludf.DUMMYFUNCTION("""COMPUTED_VALUE"""),"Item")</f>
        <v>Item</v>
      </c>
      <c r="D726" s="1" t="str">
        <f>IFERROR(__xludf.DUMMYFUNCTION("""COMPUTED_VALUE"""),"Head")</f>
        <v>Head</v>
      </c>
      <c r="E726" s="1">
        <f>IFERROR(__xludf.DUMMYFUNCTION("""COMPUTED_VALUE"""),1.0)</f>
        <v>1</v>
      </c>
      <c r="F726" s="1" t="str">
        <f>IFERROR(__xludf.DUMMYFUNCTION("""COMPUTED_VALUE""")," ++2500 additional HP and SP. ++Plus 2 Wisdom. +-Cannot be forged. +-Cannot be duplicateed.")</f>
        <v> ++2500 additional HP and SP. ++Plus 2 Wisdom. +-Cannot be forged. +-Cannot be duplicateed.</v>
      </c>
      <c r="G726" s="1">
        <f>IFERROR(__xludf.DUMMYFUNCTION("""COMPUTED_VALUE"""),0.0)</f>
        <v>0</v>
      </c>
      <c r="H726" s="1"/>
      <c r="I726" s="1"/>
      <c r="J726" s="1"/>
      <c r="K726" s="1"/>
      <c r="L726" s="1"/>
      <c r="M726" s="1"/>
      <c r="N726" s="1"/>
      <c r="O726" s="1"/>
      <c r="P726" s="1"/>
      <c r="Q726" s="1"/>
      <c r="R726" s="1"/>
      <c r="S726" s="1"/>
      <c r="T726" s="1"/>
      <c r="U726" s="1"/>
      <c r="V726" s="1"/>
      <c r="W726" s="1"/>
      <c r="X726" s="1"/>
      <c r="Y726" s="1"/>
      <c r="Z726" s="1"/>
      <c r="AA726" s="1"/>
    </row>
    <row r="727" ht="15.75" customHeight="1">
      <c r="A727" s="1" t="str">
        <f>IFERROR(__xludf.DUMMYFUNCTION("""COMPUTED_VALUE"""),"Sorcerer's Cloak")</f>
        <v>Sorcerer's Cloak</v>
      </c>
      <c r="B727" s="1"/>
      <c r="C727" s="1" t="str">
        <f>IFERROR(__xludf.DUMMYFUNCTION("""COMPUTED_VALUE"""),"Item")</f>
        <v>Item</v>
      </c>
      <c r="D727" s="1" t="str">
        <f>IFERROR(__xludf.DUMMYFUNCTION("""COMPUTED_VALUE"""),"Torso")</f>
        <v>Torso</v>
      </c>
      <c r="E727" s="1">
        <f>IFERROR(__xludf.DUMMYFUNCTION("""COMPUTED_VALUE"""),1.0)</f>
        <v>1</v>
      </c>
      <c r="F727" s="1" t="str">
        <f>IFERROR(__xludf.DUMMYFUNCTION("""COMPUTED_VALUE""")," ++2500 additional HP and SP. ++Plus 2 Wisdom. +-Cannot be forged. +-Cannot be duplicateed.")</f>
        <v> ++2500 additional HP and SP. ++Plus 2 Wisdom. +-Cannot be forged. +-Cannot be duplicateed.</v>
      </c>
      <c r="G727" s="1">
        <f>IFERROR(__xludf.DUMMYFUNCTION("""COMPUTED_VALUE"""),0.0)</f>
        <v>0</v>
      </c>
      <c r="H727" s="1"/>
      <c r="I727" s="1"/>
      <c r="J727" s="1"/>
      <c r="K727" s="1"/>
      <c r="L727" s="1"/>
      <c r="M727" s="1"/>
      <c r="N727" s="1"/>
      <c r="O727" s="1"/>
      <c r="P727" s="1"/>
      <c r="Q727" s="1"/>
      <c r="R727" s="1"/>
      <c r="S727" s="1"/>
      <c r="T727" s="1"/>
      <c r="U727" s="1"/>
      <c r="V727" s="1"/>
      <c r="W727" s="1"/>
      <c r="X727" s="1"/>
      <c r="Y727" s="1"/>
      <c r="Z727" s="1"/>
      <c r="AA727" s="1"/>
    </row>
    <row r="728" ht="15.75" customHeight="1">
      <c r="A728" s="1" t="str">
        <f>IFERROR(__xludf.DUMMYFUNCTION("""COMPUTED_VALUE"""),"Sorcerer's Shoes")</f>
        <v>Sorcerer's Shoes</v>
      </c>
      <c r="B728" s="1"/>
      <c r="C728" s="1" t="str">
        <f>IFERROR(__xludf.DUMMYFUNCTION("""COMPUTED_VALUE"""),"Item")</f>
        <v>Item</v>
      </c>
      <c r="D728" s="1" t="str">
        <f>IFERROR(__xludf.DUMMYFUNCTION("""COMPUTED_VALUE"""),"Feet")</f>
        <v>Feet</v>
      </c>
      <c r="E728" s="1">
        <f>IFERROR(__xludf.DUMMYFUNCTION("""COMPUTED_VALUE"""),1.0)</f>
        <v>1</v>
      </c>
      <c r="F728" s="1" t="str">
        <f>IFERROR(__xludf.DUMMYFUNCTION("""COMPUTED_VALUE""")," ++2500 additional HP and SP. ++Plus 1 Wisdom. +-Cannot be forged. +-Cannot be duplicateed.")</f>
        <v> ++2500 additional HP and SP. ++Plus 1 Wisdom. +-Cannot be forged. +-Cannot be duplicateed.</v>
      </c>
      <c r="G728" s="1">
        <f>IFERROR(__xludf.DUMMYFUNCTION("""COMPUTED_VALUE"""),0.0)</f>
        <v>0</v>
      </c>
      <c r="H728" s="1"/>
      <c r="I728" s="1"/>
      <c r="J728" s="1"/>
      <c r="K728" s="1"/>
      <c r="L728" s="1"/>
      <c r="M728" s="1"/>
      <c r="N728" s="1"/>
      <c r="O728" s="1"/>
      <c r="P728" s="1"/>
      <c r="Q728" s="1"/>
      <c r="R728" s="1"/>
      <c r="S728" s="1"/>
      <c r="T728" s="1"/>
      <c r="U728" s="1"/>
      <c r="V728" s="1"/>
      <c r="W728" s="1"/>
      <c r="X728" s="1"/>
      <c r="Y728" s="1"/>
      <c r="Z728" s="1"/>
      <c r="AA728" s="1"/>
    </row>
    <row r="729" ht="15.75" customHeight="1">
      <c r="A729" s="1" t="str">
        <f>IFERROR(__xludf.DUMMYFUNCTION("""COMPUTED_VALUE"""),"Wizard's Hood")</f>
        <v>Wizard's Hood</v>
      </c>
      <c r="B729" s="1"/>
      <c r="C729" s="1" t="str">
        <f>IFERROR(__xludf.DUMMYFUNCTION("""COMPUTED_VALUE"""),"Item")</f>
        <v>Item</v>
      </c>
      <c r="D729" s="1" t="str">
        <f>IFERROR(__xludf.DUMMYFUNCTION("""COMPUTED_VALUE"""),"Head")</f>
        <v>Head</v>
      </c>
      <c r="E729" s="1">
        <f>IFERROR(__xludf.DUMMYFUNCTION("""COMPUTED_VALUE"""),1.0)</f>
        <v>1</v>
      </c>
      <c r="F729" s="1" t="str">
        <f>IFERROR(__xludf.DUMMYFUNCTION("""COMPUTED_VALUE""")," ++1000 additional HP and SP. ++X2 Spell Damage. +-Cannot be forged. +-Cannot be duplicateed.")</f>
        <v> ++1000 additional HP and SP. ++X2 Spell Damage. +-Cannot be forged. +-Cannot be duplicateed.</v>
      </c>
      <c r="G729" s="1">
        <f>IFERROR(__xludf.DUMMYFUNCTION("""COMPUTED_VALUE"""),0.0)</f>
        <v>0</v>
      </c>
      <c r="H729" s="1"/>
      <c r="I729" s="1"/>
      <c r="J729" s="1"/>
      <c r="K729" s="1"/>
      <c r="L729" s="1"/>
      <c r="M729" s="1"/>
      <c r="N729" s="1"/>
      <c r="O729" s="1"/>
      <c r="P729" s="1"/>
      <c r="Q729" s="1"/>
      <c r="R729" s="1"/>
      <c r="S729" s="1"/>
      <c r="T729" s="1"/>
      <c r="U729" s="1"/>
      <c r="V729" s="1"/>
      <c r="W729" s="1"/>
      <c r="X729" s="1"/>
      <c r="Y729" s="1"/>
      <c r="Z729" s="1"/>
      <c r="AA729" s="1"/>
    </row>
    <row r="730" ht="15.75" customHeight="1">
      <c r="A730" s="1" t="str">
        <f>IFERROR(__xludf.DUMMYFUNCTION("""COMPUTED_VALUE"""),"Wizard's Cloak")</f>
        <v>Wizard's Cloak</v>
      </c>
      <c r="B730" s="1"/>
      <c r="C730" s="1" t="str">
        <f>IFERROR(__xludf.DUMMYFUNCTION("""COMPUTED_VALUE"""),"Item")</f>
        <v>Item</v>
      </c>
      <c r="D730" s="1" t="str">
        <f>IFERROR(__xludf.DUMMYFUNCTION("""COMPUTED_VALUE"""),"Torso")</f>
        <v>Torso</v>
      </c>
      <c r="E730" s="1">
        <f>IFERROR(__xludf.DUMMYFUNCTION("""COMPUTED_VALUE"""),1.0)</f>
        <v>1</v>
      </c>
      <c r="F730" s="1" t="str">
        <f>IFERROR(__xludf.DUMMYFUNCTION("""COMPUTED_VALUE""")," ++1000 additional HP and SP. ++X2 Spell Damage. +-Cannot be forged. +-Cannot be duplicateed.")</f>
        <v> ++1000 additional HP and SP. ++X2 Spell Damage. +-Cannot be forged. +-Cannot be duplicateed.</v>
      </c>
      <c r="G730" s="1">
        <f>IFERROR(__xludf.DUMMYFUNCTION("""COMPUTED_VALUE"""),0.0)</f>
        <v>0</v>
      </c>
      <c r="H730" s="1"/>
      <c r="I730" s="1"/>
      <c r="J730" s="1"/>
      <c r="K730" s="1"/>
      <c r="L730" s="1"/>
      <c r="M730" s="1"/>
      <c r="N730" s="1"/>
      <c r="O730" s="1"/>
      <c r="P730" s="1"/>
      <c r="Q730" s="1"/>
      <c r="R730" s="1"/>
      <c r="S730" s="1"/>
      <c r="T730" s="1"/>
      <c r="U730" s="1"/>
      <c r="V730" s="1"/>
      <c r="W730" s="1"/>
      <c r="X730" s="1"/>
      <c r="Y730" s="1"/>
      <c r="Z730" s="1"/>
      <c r="AA730" s="1"/>
    </row>
    <row r="731" ht="15.75" customHeight="1">
      <c r="A731" s="1" t="str">
        <f>IFERROR(__xludf.DUMMYFUNCTION("""COMPUTED_VALUE"""),"Wizard's Shoes")</f>
        <v>Wizard's Shoes</v>
      </c>
      <c r="B731" s="1"/>
      <c r="C731" s="1" t="str">
        <f>IFERROR(__xludf.DUMMYFUNCTION("""COMPUTED_VALUE"""),"Item")</f>
        <v>Item</v>
      </c>
      <c r="D731" s="1" t="str">
        <f>IFERROR(__xludf.DUMMYFUNCTION("""COMPUTED_VALUE"""),"Feet")</f>
        <v>Feet</v>
      </c>
      <c r="E731" s="1">
        <f>IFERROR(__xludf.DUMMYFUNCTION("""COMPUTED_VALUE"""),1.0)</f>
        <v>1</v>
      </c>
      <c r="F731" s="1" t="str">
        <f>IFERROR(__xludf.DUMMYFUNCTION("""COMPUTED_VALUE""")," ++1000 additional HP and SP. ++X2 Spell Damage. +-Cannot be forged. +-Cannot be duplicateed.")</f>
        <v> ++1000 additional HP and SP. ++X2 Spell Damage. +-Cannot be forged. +-Cannot be duplicateed.</v>
      </c>
      <c r="G731" s="1">
        <f>IFERROR(__xludf.DUMMYFUNCTION("""COMPUTED_VALUE"""),0.0)</f>
        <v>0</v>
      </c>
      <c r="H731" s="1"/>
      <c r="I731" s="1"/>
      <c r="J731" s="1"/>
      <c r="K731" s="1"/>
      <c r="L731" s="1"/>
      <c r="M731" s="1"/>
      <c r="N731" s="1"/>
      <c r="O731" s="1"/>
      <c r="P731" s="1"/>
      <c r="Q731" s="1"/>
      <c r="R731" s="1"/>
      <c r="S731" s="1"/>
      <c r="T731" s="1"/>
      <c r="U731" s="1"/>
      <c r="V731" s="1"/>
      <c r="W731" s="1"/>
      <c r="X731" s="1"/>
      <c r="Y731" s="1"/>
      <c r="Z731" s="1"/>
      <c r="AA731" s="1"/>
    </row>
    <row r="732" ht="15.75" customHeight="1">
      <c r="A732" s="1" t="str">
        <f>IFERROR(__xludf.DUMMYFUNCTION("""COMPUTED_VALUE"""),"Gunslinger's Cap")</f>
        <v>Gunslinger's Cap</v>
      </c>
      <c r="B732" s="1"/>
      <c r="C732" s="1" t="str">
        <f>IFERROR(__xludf.DUMMYFUNCTION("""COMPUTED_VALUE"""),"Item")</f>
        <v>Item</v>
      </c>
      <c r="D732" s="1" t="str">
        <f>IFERROR(__xludf.DUMMYFUNCTION("""COMPUTED_VALUE"""),"Head")</f>
        <v>Head</v>
      </c>
      <c r="E732" s="1">
        <f>IFERROR(__xludf.DUMMYFUNCTION("""COMPUTED_VALUE"""),1.0)</f>
        <v>1</v>
      </c>
      <c r="F732" s="1" t="str">
        <f>IFERROR(__xludf.DUMMYFUNCTION("""COMPUTED_VALUE""")," ++10,000 ACC and ATK. ++2 Mobility +-Cannot be forged or duplicated")</f>
        <v> ++10,000 ACC and ATK. ++2 Mobility +-Cannot be forged or duplicated</v>
      </c>
      <c r="G732" s="1">
        <f>IFERROR(__xludf.DUMMYFUNCTION("""COMPUTED_VALUE"""),0.0)</f>
        <v>0</v>
      </c>
      <c r="H732" s="1"/>
      <c r="I732" s="1"/>
      <c r="J732" s="1"/>
      <c r="K732" s="1"/>
      <c r="L732" s="1"/>
      <c r="M732" s="1"/>
      <c r="N732" s="1"/>
      <c r="O732" s="1"/>
      <c r="P732" s="1"/>
      <c r="Q732" s="1"/>
      <c r="R732" s="1"/>
      <c r="S732" s="1"/>
      <c r="T732" s="1"/>
      <c r="U732" s="1"/>
      <c r="V732" s="1"/>
      <c r="W732" s="1"/>
      <c r="X732" s="1"/>
      <c r="Y732" s="1"/>
      <c r="Z732" s="1"/>
      <c r="AA732" s="1"/>
    </row>
    <row r="733" ht="15.75" customHeight="1">
      <c r="A733" s="1" t="str">
        <f>IFERROR(__xludf.DUMMYFUNCTION("""COMPUTED_VALUE"""),"Gunslinger's Shirt")</f>
        <v>Gunslinger's Shirt</v>
      </c>
      <c r="B733" s="1"/>
      <c r="C733" s="1" t="str">
        <f>IFERROR(__xludf.DUMMYFUNCTION("""COMPUTED_VALUE"""),"Item")</f>
        <v>Item</v>
      </c>
      <c r="D733" s="1" t="str">
        <f>IFERROR(__xludf.DUMMYFUNCTION("""COMPUTED_VALUE"""),"Torso")</f>
        <v>Torso</v>
      </c>
      <c r="E733" s="1">
        <f>IFERROR(__xludf.DUMMYFUNCTION("""COMPUTED_VALUE"""),1.0)</f>
        <v>1</v>
      </c>
      <c r="F733" s="1" t="str">
        <f>IFERROR(__xludf.DUMMYFUNCTION("""COMPUTED_VALUE""")," ++10,000 ACC and ATK. ++2 Mobility +-Cannot be forged or duplicated")</f>
        <v> ++10,000 ACC and ATK. ++2 Mobility +-Cannot be forged or duplicated</v>
      </c>
      <c r="G733" s="1">
        <f>IFERROR(__xludf.DUMMYFUNCTION("""COMPUTED_VALUE"""),0.0)</f>
        <v>0</v>
      </c>
      <c r="H733" s="1"/>
      <c r="I733" s="1"/>
      <c r="J733" s="1"/>
      <c r="K733" s="1"/>
      <c r="L733" s="1"/>
      <c r="M733" s="1"/>
      <c r="N733" s="1"/>
      <c r="O733" s="1"/>
      <c r="P733" s="1"/>
      <c r="Q733" s="1"/>
      <c r="R733" s="1"/>
      <c r="S733" s="1"/>
      <c r="T733" s="1"/>
      <c r="U733" s="1"/>
      <c r="V733" s="1"/>
      <c r="W733" s="1"/>
      <c r="X733" s="1"/>
      <c r="Y733" s="1"/>
      <c r="Z733" s="1"/>
      <c r="AA733" s="1"/>
    </row>
    <row r="734" ht="15.75" customHeight="1">
      <c r="A734" s="1" t="str">
        <f>IFERROR(__xludf.DUMMYFUNCTION("""COMPUTED_VALUE"""),"Gunslinger's Boots")</f>
        <v>Gunslinger's Boots</v>
      </c>
      <c r="B734" s="1"/>
      <c r="C734" s="1" t="str">
        <f>IFERROR(__xludf.DUMMYFUNCTION("""COMPUTED_VALUE"""),"Item")</f>
        <v>Item</v>
      </c>
      <c r="D734" s="1" t="str">
        <f>IFERROR(__xludf.DUMMYFUNCTION("""COMPUTED_VALUE"""),"Feet")</f>
        <v>Feet</v>
      </c>
      <c r="E734" s="1">
        <f>IFERROR(__xludf.DUMMYFUNCTION("""COMPUTED_VALUE"""),1.0)</f>
        <v>1</v>
      </c>
      <c r="F734" s="1" t="str">
        <f>IFERROR(__xludf.DUMMYFUNCTION("""COMPUTED_VALUE""")," ++10,000 ACC and ATK. ++1 Mobility +-Cannot be forged or duplicated")</f>
        <v> ++10,000 ACC and ATK. ++1 Mobility +-Cannot be forged or duplicated</v>
      </c>
      <c r="G734" s="1">
        <f>IFERROR(__xludf.DUMMYFUNCTION("""COMPUTED_VALUE"""),0.0)</f>
        <v>0</v>
      </c>
      <c r="H734" s="1"/>
      <c r="I734" s="1"/>
      <c r="J734" s="1"/>
      <c r="K734" s="1"/>
      <c r="L734" s="1"/>
      <c r="M734" s="1"/>
      <c r="N734" s="1"/>
      <c r="O734" s="1"/>
      <c r="P734" s="1"/>
      <c r="Q734" s="1"/>
      <c r="R734" s="1"/>
      <c r="S734" s="1"/>
      <c r="T734" s="1"/>
      <c r="U734" s="1"/>
      <c r="V734" s="1"/>
      <c r="W734" s="1"/>
      <c r="X734" s="1"/>
      <c r="Y734" s="1"/>
      <c r="Z734" s="1"/>
      <c r="AA734" s="1"/>
    </row>
    <row r="735" ht="15.75" customHeight="1">
      <c r="A735" s="1" t="str">
        <f>IFERROR(__xludf.DUMMYFUNCTION("""COMPUTED_VALUE"""),"Bard's Coif")</f>
        <v>Bard's Coif</v>
      </c>
      <c r="B735" s="1"/>
      <c r="C735" s="1" t="str">
        <f>IFERROR(__xludf.DUMMYFUNCTION("""COMPUTED_VALUE"""),"Item")</f>
        <v>Item</v>
      </c>
      <c r="D735" s="1" t="str">
        <f>IFERROR(__xludf.DUMMYFUNCTION("""COMPUTED_VALUE"""),"Head")</f>
        <v>Head</v>
      </c>
      <c r="E735" s="1">
        <f>IFERROR(__xludf.DUMMYFUNCTION("""COMPUTED_VALUE"""),1.0)</f>
        <v>1</v>
      </c>
      <c r="F735" s="1" t="str">
        <f>IFERROR(__xludf.DUMMYFUNCTION("""COMPUTED_VALUE""")," ++10,000 ACC and ATK. ++2 Charisma +-Cannot be forged or duplicated")</f>
        <v> ++10,000 ACC and ATK. ++2 Charisma +-Cannot be forged or duplicated</v>
      </c>
      <c r="G735" s="1">
        <f>IFERROR(__xludf.DUMMYFUNCTION("""COMPUTED_VALUE"""),0.0)</f>
        <v>0</v>
      </c>
      <c r="H735" s="1"/>
      <c r="I735" s="1"/>
      <c r="J735" s="1"/>
      <c r="K735" s="1"/>
      <c r="L735" s="1"/>
      <c r="M735" s="1"/>
      <c r="N735" s="1"/>
      <c r="O735" s="1"/>
      <c r="P735" s="1"/>
      <c r="Q735" s="1"/>
      <c r="R735" s="1"/>
      <c r="S735" s="1"/>
      <c r="T735" s="1"/>
      <c r="U735" s="1"/>
      <c r="V735" s="1"/>
      <c r="W735" s="1"/>
      <c r="X735" s="1"/>
      <c r="Y735" s="1"/>
      <c r="Z735" s="1"/>
      <c r="AA735" s="1"/>
    </row>
    <row r="736" ht="15.75" customHeight="1">
      <c r="A736" s="1" t="str">
        <f>IFERROR(__xludf.DUMMYFUNCTION("""COMPUTED_VALUE"""),"Bard's Gambeson")</f>
        <v>Bard's Gambeson</v>
      </c>
      <c r="B736" s="1"/>
      <c r="C736" s="1" t="str">
        <f>IFERROR(__xludf.DUMMYFUNCTION("""COMPUTED_VALUE"""),"Item")</f>
        <v>Item</v>
      </c>
      <c r="D736" s="1" t="str">
        <f>IFERROR(__xludf.DUMMYFUNCTION("""COMPUTED_VALUE"""),"Torso")</f>
        <v>Torso</v>
      </c>
      <c r="E736" s="1">
        <f>IFERROR(__xludf.DUMMYFUNCTION("""COMPUTED_VALUE"""),1.0)</f>
        <v>1</v>
      </c>
      <c r="F736" s="1" t="str">
        <f>IFERROR(__xludf.DUMMYFUNCTION("""COMPUTED_VALUE""")," ++10,000 ACC and ATK. ++2 Charisma +-Cannot be forged or duplicated")</f>
        <v> ++10,000 ACC and ATK. ++2 Charisma +-Cannot be forged or duplicated</v>
      </c>
      <c r="G736" s="1">
        <f>IFERROR(__xludf.DUMMYFUNCTION("""COMPUTED_VALUE"""),0.0)</f>
        <v>0</v>
      </c>
      <c r="H736" s="1"/>
      <c r="I736" s="1"/>
      <c r="J736" s="1"/>
      <c r="K736" s="1"/>
      <c r="L736" s="1"/>
      <c r="M736" s="1"/>
      <c r="N736" s="1"/>
      <c r="O736" s="1"/>
      <c r="P736" s="1"/>
      <c r="Q736" s="1"/>
      <c r="R736" s="1"/>
      <c r="S736" s="1"/>
      <c r="T736" s="1"/>
      <c r="U736" s="1"/>
      <c r="V736" s="1"/>
      <c r="W736" s="1"/>
      <c r="X736" s="1"/>
      <c r="Y736" s="1"/>
      <c r="Z736" s="1"/>
      <c r="AA736" s="1"/>
    </row>
    <row r="737" ht="15.75" customHeight="1">
      <c r="A737" s="1" t="str">
        <f>IFERROR(__xludf.DUMMYFUNCTION("""COMPUTED_VALUE"""),"Bard's Shoes")</f>
        <v>Bard's Shoes</v>
      </c>
      <c r="B737" s="1"/>
      <c r="C737" s="1" t="str">
        <f>IFERROR(__xludf.DUMMYFUNCTION("""COMPUTED_VALUE"""),"Item")</f>
        <v>Item</v>
      </c>
      <c r="D737" s="1" t="str">
        <f>IFERROR(__xludf.DUMMYFUNCTION("""COMPUTED_VALUE"""),"Feet")</f>
        <v>Feet</v>
      </c>
      <c r="E737" s="1">
        <f>IFERROR(__xludf.DUMMYFUNCTION("""COMPUTED_VALUE"""),1.0)</f>
        <v>1</v>
      </c>
      <c r="F737" s="1" t="str">
        <f>IFERROR(__xludf.DUMMYFUNCTION("""COMPUTED_VALUE""")," ++10,000 ACC and ATK. ++1 Charisma +-Cannot be forged or duplicated")</f>
        <v> ++10,000 ACC and ATK. ++1 Charisma +-Cannot be forged or duplicated</v>
      </c>
      <c r="G737" s="1">
        <f>IFERROR(__xludf.DUMMYFUNCTION("""COMPUTED_VALUE"""),0.0)</f>
        <v>0</v>
      </c>
      <c r="H737" s="1"/>
      <c r="I737" s="1"/>
      <c r="J737" s="1"/>
      <c r="K737" s="1"/>
      <c r="L737" s="1"/>
      <c r="M737" s="1"/>
      <c r="N737" s="1"/>
      <c r="O737" s="1"/>
      <c r="P737" s="1"/>
      <c r="Q737" s="1"/>
      <c r="R737" s="1"/>
      <c r="S737" s="1"/>
      <c r="T737" s="1"/>
      <c r="U737" s="1"/>
      <c r="V737" s="1"/>
      <c r="W737" s="1"/>
      <c r="X737" s="1"/>
      <c r="Y737" s="1"/>
      <c r="Z737" s="1"/>
      <c r="AA737" s="1"/>
    </row>
    <row r="738" ht="15.75" customHeight="1">
      <c r="A738" s="1" t="str">
        <f>IFERROR(__xludf.DUMMYFUNCTION("""COMPUTED_VALUE"""),"Dragonscale Skirt")</f>
        <v>Dragonscale Skirt</v>
      </c>
      <c r="B738" s="1"/>
      <c r="C738" s="1" t="str">
        <f>IFERROR(__xludf.DUMMYFUNCTION("""COMPUTED_VALUE"""),"Item")</f>
        <v>Item</v>
      </c>
      <c r="D738" s="1" t="str">
        <f>IFERROR(__xludf.DUMMYFUNCTION("""COMPUTED_VALUE"""),"Legs")</f>
        <v>Legs</v>
      </c>
      <c r="E738" s="1">
        <f>IFERROR(__xludf.DUMMYFUNCTION("""COMPUTED_VALUE"""),1.0)</f>
        <v>1</v>
      </c>
      <c r="F738" s="1" t="str">
        <f>IFERROR(__xludf.DUMMYFUNCTION("""COMPUTED_VALUE""")," ++7,000 additional HP and SP, ++2 Mobility +-Cannot be forged or duplicated")</f>
        <v> ++7,000 additional HP and SP, ++2 Mobility +-Cannot be forged or duplicated</v>
      </c>
      <c r="G738" s="1">
        <f>IFERROR(__xludf.DUMMYFUNCTION("""COMPUTED_VALUE"""),0.0)</f>
        <v>0</v>
      </c>
      <c r="H738" s="1"/>
      <c r="I738" s="1"/>
      <c r="J738" s="1"/>
      <c r="K738" s="1"/>
      <c r="L738" s="1"/>
      <c r="M738" s="1"/>
      <c r="N738" s="1"/>
      <c r="O738" s="1"/>
      <c r="P738" s="1"/>
      <c r="Q738" s="1"/>
      <c r="R738" s="1"/>
      <c r="S738" s="1"/>
      <c r="T738" s="1"/>
      <c r="U738" s="1"/>
      <c r="V738" s="1"/>
      <c r="W738" s="1"/>
      <c r="X738" s="1"/>
      <c r="Y738" s="1"/>
      <c r="Z738" s="1"/>
      <c r="AA738" s="1"/>
    </row>
    <row r="739" ht="15.75" customHeight="1">
      <c r="A739" s="1" t="str">
        <f>IFERROR(__xludf.DUMMYFUNCTION("""COMPUTED_VALUE"""),"Dragonscale Cape")</f>
        <v>Dragonscale Cape</v>
      </c>
      <c r="B739" s="1"/>
      <c r="C739" s="1" t="str">
        <f>IFERROR(__xludf.DUMMYFUNCTION("""COMPUTED_VALUE"""),"Item")</f>
        <v>Item</v>
      </c>
      <c r="D739" s="1" t="str">
        <f>IFERROR(__xludf.DUMMYFUNCTION("""COMPUTED_VALUE"""),"Shoulders")</f>
        <v>Shoulders</v>
      </c>
      <c r="E739" s="1">
        <f>IFERROR(__xludf.DUMMYFUNCTION("""COMPUTED_VALUE"""),1.0)</f>
        <v>1</v>
      </c>
      <c r="F739" s="1" t="str">
        <f>IFERROR(__xludf.DUMMYFUNCTION("""COMPUTED_VALUE""")," ++8,300 additional HP and SP, +-Cannot be forged or duplicated")</f>
        <v> ++8,300 additional HP and SP, +-Cannot be forged or duplicated</v>
      </c>
      <c r="G739" s="1">
        <f>IFERROR(__xludf.DUMMYFUNCTION("""COMPUTED_VALUE"""),0.0)</f>
        <v>0</v>
      </c>
      <c r="H739" s="1"/>
      <c r="I739" s="1"/>
      <c r="J739" s="1"/>
      <c r="K739" s="1"/>
      <c r="L739" s="1"/>
      <c r="M739" s="1"/>
      <c r="N739" s="1"/>
      <c r="O739" s="1"/>
      <c r="P739" s="1"/>
      <c r="Q739" s="1"/>
      <c r="R739" s="1"/>
      <c r="S739" s="1"/>
      <c r="T739" s="1"/>
      <c r="U739" s="1"/>
      <c r="V739" s="1"/>
      <c r="W739" s="1"/>
      <c r="X739" s="1"/>
      <c r="Y739" s="1"/>
      <c r="Z739" s="1"/>
      <c r="AA739" s="1"/>
    </row>
    <row r="740" ht="15.75" customHeight="1">
      <c r="A740" s="1" t="str">
        <f>IFERROR(__xludf.DUMMYFUNCTION("""COMPUTED_VALUE"""),"Broken Dragonscale Mail")</f>
        <v>Broken Dragonscale Mail</v>
      </c>
      <c r="B740" s="1"/>
      <c r="C740" s="1" t="str">
        <f>IFERROR(__xludf.DUMMYFUNCTION("""COMPUTED_VALUE"""),"Item")</f>
        <v>Item</v>
      </c>
      <c r="D740" s="1" t="str">
        <f>IFERROR(__xludf.DUMMYFUNCTION("""COMPUTED_VALUE"""),"Torso")</f>
        <v>Torso</v>
      </c>
      <c r="E740" s="1">
        <f>IFERROR(__xludf.DUMMYFUNCTION("""COMPUTED_VALUE"""),980.0)</f>
        <v>980</v>
      </c>
      <c r="F740" s="1" t="str">
        <f>IFERROR(__xludf.DUMMYFUNCTION("""COMPUTED_VALUE"""),"DEF: +48900 +-5% chance of breaking when wearer is attacked")</f>
        <v>DEF: +48900 +-5% chance of breaking when wearer is attacked</v>
      </c>
      <c r="G740" s="1">
        <f>IFERROR(__xludf.DUMMYFUNCTION("""COMPUTED_VALUE"""),4.656E7)</f>
        <v>46560000</v>
      </c>
      <c r="H740" s="1"/>
      <c r="I740" s="1"/>
      <c r="J740" s="1"/>
      <c r="K740" s="1"/>
      <c r="L740" s="1"/>
      <c r="M740" s="1"/>
      <c r="N740" s="1"/>
      <c r="O740" s="1"/>
      <c r="P740" s="1"/>
      <c r="Q740" s="1"/>
      <c r="R740" s="1"/>
      <c r="S740" s="1"/>
      <c r="T740" s="1"/>
      <c r="U740" s="1"/>
      <c r="V740" s="1"/>
      <c r="W740" s="1"/>
      <c r="X740" s="1"/>
      <c r="Y740" s="1"/>
      <c r="Z740" s="1"/>
      <c r="AA740" s="1"/>
    </row>
    <row r="741" ht="15.75" customHeight="1">
      <c r="A741" s="1" t="str">
        <f>IFERROR(__xludf.DUMMYFUNCTION("""COMPUTED_VALUE"""),"Dragonscale Mail")</f>
        <v>Dragonscale Mail</v>
      </c>
      <c r="B741" s="1"/>
      <c r="C741" s="1" t="str">
        <f>IFERROR(__xludf.DUMMYFUNCTION("""COMPUTED_VALUE"""),"Item")</f>
        <v>Item</v>
      </c>
      <c r="D741" s="1" t="str">
        <f>IFERROR(__xludf.DUMMYFUNCTION("""COMPUTED_VALUE"""),"Torso")</f>
        <v>Torso</v>
      </c>
      <c r="E741" s="1">
        <f>IFERROR(__xludf.DUMMYFUNCTION("""COMPUTED_VALUE"""),3000.0)</f>
        <v>3000</v>
      </c>
      <c r="F741" s="1" t="str">
        <f>IFERROR(__xludf.DUMMYFUNCTION("""COMPUTED_VALUE"""),"DEF: +150000")</f>
        <v>DEF: +150000</v>
      </c>
      <c r="G741" s="1">
        <f>IFERROR(__xludf.DUMMYFUNCTION("""COMPUTED_VALUE"""),4.485E8)</f>
        <v>448500000</v>
      </c>
      <c r="H741" s="1"/>
      <c r="I741" s="1"/>
      <c r="J741" s="1"/>
      <c r="K741" s="1"/>
      <c r="L741" s="1"/>
      <c r="M741" s="1"/>
      <c r="N741" s="1"/>
      <c r="O741" s="1"/>
      <c r="P741" s="1"/>
      <c r="Q741" s="1"/>
      <c r="R741" s="1"/>
      <c r="S741" s="1"/>
      <c r="T741" s="1"/>
      <c r="U741" s="1"/>
      <c r="V741" s="1"/>
      <c r="W741" s="1"/>
      <c r="X741" s="1"/>
      <c r="Y741" s="1"/>
      <c r="Z741" s="1"/>
      <c r="AA741" s="1"/>
    </row>
    <row r="742" ht="15.75" customHeight="1">
      <c r="A742" s="1" t="str">
        <f>IFERROR(__xludf.DUMMYFUNCTION("""COMPUTED_VALUE"""),"Dragonscale Charm")</f>
        <v>Dragonscale Charm</v>
      </c>
      <c r="B742" s="1"/>
      <c r="C742" s="1" t="str">
        <f>IFERROR(__xludf.DUMMYFUNCTION("""COMPUTED_VALUE"""),"Item")</f>
        <v>Item</v>
      </c>
      <c r="D742" s="1" t="str">
        <f>IFERROR(__xludf.DUMMYFUNCTION("""COMPUTED_VALUE"""),"Neck")</f>
        <v>Neck</v>
      </c>
      <c r="E742" s="1">
        <f>IFERROR(__xludf.DUMMYFUNCTION("""COMPUTED_VALUE"""),1.0)</f>
        <v>1</v>
      </c>
      <c r="F742" s="1" t="str">
        <f>IFERROR(__xludf.DUMMYFUNCTION("""COMPUTED_VALUE""")," ++1000 additional HP and SP for every piece of Dragonscale equipment equipped +-Cannot be forged or duplicated")</f>
        <v> ++1000 additional HP and SP for every piece of Dragonscale equipment equipped +-Cannot be forged or duplicated</v>
      </c>
      <c r="G742" s="1">
        <f>IFERROR(__xludf.DUMMYFUNCTION("""COMPUTED_VALUE"""),0.0)</f>
        <v>0</v>
      </c>
      <c r="H742" s="1"/>
      <c r="I742" s="1"/>
      <c r="J742" s="1"/>
      <c r="K742" s="1"/>
      <c r="L742" s="1"/>
      <c r="M742" s="1"/>
      <c r="N742" s="1"/>
      <c r="O742" s="1"/>
      <c r="P742" s="1"/>
      <c r="Q742" s="1"/>
      <c r="R742" s="1"/>
      <c r="S742" s="1"/>
      <c r="T742" s="1"/>
      <c r="U742" s="1"/>
      <c r="V742" s="1"/>
      <c r="W742" s="1"/>
      <c r="X742" s="1"/>
      <c r="Y742" s="1"/>
      <c r="Z742" s="1"/>
      <c r="AA742" s="1"/>
    </row>
    <row r="743" ht="15.75" customHeight="1">
      <c r="A743" s="1" t="str">
        <f>IFERROR(__xludf.DUMMYFUNCTION("""COMPUTED_VALUE"""),"Dragonscale Sandals")</f>
        <v>Dragonscale Sandals</v>
      </c>
      <c r="B743" s="1"/>
      <c r="C743" s="1" t="str">
        <f>IFERROR(__xludf.DUMMYFUNCTION("""COMPUTED_VALUE"""),"Item")</f>
        <v>Item</v>
      </c>
      <c r="D743" s="1" t="str">
        <f>IFERROR(__xludf.DUMMYFUNCTION("""COMPUTED_VALUE"""),"Feet")</f>
        <v>Feet</v>
      </c>
      <c r="E743" s="1">
        <f>IFERROR(__xludf.DUMMYFUNCTION("""COMPUTED_VALUE"""),1.0)</f>
        <v>1</v>
      </c>
      <c r="F743" s="1" t="str">
        <f>IFERROR(__xludf.DUMMYFUNCTION("""COMPUTED_VALUE""")," ++2 Mobility +-Cannot be forged or duplicated")</f>
        <v> ++2 Mobility +-Cannot be forged or duplicated</v>
      </c>
      <c r="G743" s="1">
        <f>IFERROR(__xludf.DUMMYFUNCTION("""COMPUTED_VALUE"""),0.0)</f>
        <v>0</v>
      </c>
      <c r="H743" s="1"/>
      <c r="I743" s="1"/>
      <c r="J743" s="1"/>
      <c r="K743" s="1"/>
      <c r="L743" s="1"/>
      <c r="M743" s="1"/>
      <c r="N743" s="1"/>
      <c r="O743" s="1"/>
      <c r="P743" s="1"/>
      <c r="Q743" s="1"/>
      <c r="R743" s="1"/>
      <c r="S743" s="1"/>
      <c r="T743" s="1"/>
      <c r="U743" s="1"/>
      <c r="V743" s="1"/>
      <c r="W743" s="1"/>
      <c r="X743" s="1"/>
      <c r="Y743" s="1"/>
      <c r="Z743" s="1"/>
      <c r="AA743" s="1"/>
    </row>
    <row r="744" ht="15.75" customHeight="1">
      <c r="A744" s="1" t="str">
        <f>IFERROR(__xludf.DUMMYFUNCTION("""COMPUTED_VALUE"""),"Dragonscale Talisman")</f>
        <v>Dragonscale Talisman</v>
      </c>
      <c r="B744" s="1"/>
      <c r="C744" s="1" t="str">
        <f>IFERROR(__xludf.DUMMYFUNCTION("""COMPUTED_VALUE"""),"Item")</f>
        <v>Item</v>
      </c>
      <c r="D744" s="1" t="str">
        <f>IFERROR(__xludf.DUMMYFUNCTION("""COMPUTED_VALUE"""),"Neck")</f>
        <v>Neck</v>
      </c>
      <c r="E744" s="1">
        <f>IFERROR(__xludf.DUMMYFUNCTION("""COMPUTED_VALUE"""),1.0)</f>
        <v>1</v>
      </c>
      <c r="F744" s="1" t="str">
        <f>IFERROR(__xludf.DUMMYFUNCTION("""COMPUTED_VALUE""")," ++10000 additional HP and SP, +-Cannot be forged or duplicated")</f>
        <v> ++10000 additional HP and SP, +-Cannot be forged or duplicated</v>
      </c>
      <c r="G744" s="1">
        <f>IFERROR(__xludf.DUMMYFUNCTION("""COMPUTED_VALUE"""),0.0)</f>
        <v>0</v>
      </c>
      <c r="H744" s="1"/>
      <c r="I744" s="1"/>
      <c r="J744" s="1"/>
      <c r="K744" s="1"/>
      <c r="L744" s="1"/>
      <c r="M744" s="1"/>
      <c r="N744" s="1"/>
      <c r="O744" s="1"/>
      <c r="P744" s="1"/>
      <c r="Q744" s="1"/>
      <c r="R744" s="1"/>
      <c r="S744" s="1"/>
      <c r="T744" s="1"/>
      <c r="U744" s="1"/>
      <c r="V744" s="1"/>
      <c r="W744" s="1"/>
      <c r="X744" s="1"/>
      <c r="Y744" s="1"/>
      <c r="Z744" s="1"/>
      <c r="AA744" s="1"/>
    </row>
    <row r="745" ht="15.75" customHeight="1">
      <c r="A745" s="1" t="str">
        <f>IFERROR(__xludf.DUMMYFUNCTION("""COMPUTED_VALUE"""),"Dragonscale Water Ring")</f>
        <v>Dragonscale Water Ring</v>
      </c>
      <c r="B745" s="1"/>
      <c r="C745" s="1" t="str">
        <f>IFERROR(__xludf.DUMMYFUNCTION("""COMPUTED_VALUE"""),"Item")</f>
        <v>Item</v>
      </c>
      <c r="D745" s="1" t="str">
        <f>IFERROR(__xludf.DUMMYFUNCTION("""COMPUTED_VALUE"""),"Finger")</f>
        <v>Finger</v>
      </c>
      <c r="E745" s="1">
        <f>IFERROR(__xludf.DUMMYFUNCTION("""COMPUTED_VALUE"""),1.0)</f>
        <v>1</v>
      </c>
      <c r="F745" s="1" t="str">
        <f>IFERROR(__xludf.DUMMYFUNCTION("""COMPUTED_VALUE""")," ++Converts all Natural damage to Water damage +-Cannot be duplicated")</f>
        <v> ++Converts all Natural damage to Water damage +-Cannot be duplicated</v>
      </c>
      <c r="G745" s="1">
        <f>IFERROR(__xludf.DUMMYFUNCTION("""COMPUTED_VALUE"""),0.0)</f>
        <v>0</v>
      </c>
      <c r="H745" s="1"/>
      <c r="I745" s="1"/>
      <c r="J745" s="1"/>
      <c r="K745" s="1"/>
      <c r="L745" s="1"/>
      <c r="M745" s="1"/>
      <c r="N745" s="1"/>
      <c r="O745" s="1"/>
      <c r="P745" s="1"/>
      <c r="Q745" s="1"/>
      <c r="R745" s="1"/>
      <c r="S745" s="1"/>
      <c r="T745" s="1"/>
      <c r="U745" s="1"/>
      <c r="V745" s="1"/>
      <c r="W745" s="1"/>
      <c r="X745" s="1"/>
      <c r="Y745" s="1"/>
      <c r="Z745" s="1"/>
      <c r="AA745" s="1"/>
    </row>
    <row r="746" ht="15.75" customHeight="1">
      <c r="A746" s="1" t="str">
        <f>IFERROR(__xludf.DUMMYFUNCTION("""COMPUTED_VALUE"""),"Dragonscale Gauntlets")</f>
        <v>Dragonscale Gauntlets</v>
      </c>
      <c r="B746" s="1"/>
      <c r="C746" s="1" t="str">
        <f>IFERROR(__xludf.DUMMYFUNCTION("""COMPUTED_VALUE"""),"Gauntlet")</f>
        <v>Gauntlet</v>
      </c>
      <c r="D746" s="1" t="str">
        <f>IFERROR(__xludf.DUMMYFUNCTION("""COMPUTED_VALUE"""),"Hand")</f>
        <v>Hand</v>
      </c>
      <c r="E746" s="1">
        <f>IFERROR(__xludf.DUMMYFUNCTION("""COMPUTED_VALUE"""),2000.0)</f>
        <v>2000</v>
      </c>
      <c r="F746" s="1" t="str">
        <f>IFERROR(__xludf.DUMMYFUNCTION("""COMPUTED_VALUE"""),"DEF: +100000")</f>
        <v>DEF: +100000</v>
      </c>
      <c r="G746" s="1">
        <f>IFERROR(__xludf.DUMMYFUNCTION("""COMPUTED_VALUE"""),1.99E8)</f>
        <v>199000000</v>
      </c>
      <c r="H746" s="1"/>
      <c r="I746" s="1"/>
      <c r="J746" s="1"/>
      <c r="K746" s="1"/>
      <c r="L746" s="1"/>
      <c r="M746" s="1"/>
      <c r="N746" s="1"/>
      <c r="O746" s="1"/>
      <c r="P746" s="1"/>
      <c r="Q746" s="1"/>
      <c r="R746" s="1"/>
      <c r="S746" s="1"/>
      <c r="T746" s="1"/>
      <c r="U746" s="1"/>
      <c r="V746" s="1"/>
      <c r="W746" s="1"/>
      <c r="X746" s="1"/>
      <c r="Y746" s="1"/>
      <c r="Z746" s="1"/>
      <c r="AA746" s="1"/>
    </row>
    <row r="747" ht="15.75" customHeight="1">
      <c r="A747" s="1" t="str">
        <f>IFERROR(__xludf.DUMMYFUNCTION("""COMPUTED_VALUE"""),"Fire Dragonscale Bow")</f>
        <v>Fire Dragonscale Bow</v>
      </c>
      <c r="B747" s="1"/>
      <c r="C747" s="1" t="str">
        <f>IFERROR(__xludf.DUMMYFUNCTION("""COMPUTED_VALUE"""),"Bow")</f>
        <v>Bow</v>
      </c>
      <c r="D747" s="1" t="str">
        <f>IFERROR(__xludf.DUMMYFUNCTION("""COMPUTED_VALUE"""),"Hand")</f>
        <v>Hand</v>
      </c>
      <c r="E747" s="1">
        <f>IFERROR(__xludf.DUMMYFUNCTION("""COMPUTED_VALUE"""),3000.0)</f>
        <v>3000</v>
      </c>
      <c r="F747" s="1" t="str">
        <f>IFERROR(__xludf.DUMMYFUNCTION("""COMPUTED_VALUE"""),"DMG: +20000, Fire DMG: +130000")</f>
        <v>DMG: +20000, Fire DMG: +130000</v>
      </c>
      <c r="G747" s="1">
        <f>IFERROR(__xludf.DUMMYFUNCTION("""COMPUTED_VALUE"""),4.485E8)</f>
        <v>448500000</v>
      </c>
      <c r="H747" s="1"/>
      <c r="I747" s="1"/>
      <c r="J747" s="1"/>
      <c r="K747" s="1"/>
      <c r="L747" s="1"/>
      <c r="M747" s="1"/>
      <c r="N747" s="1"/>
      <c r="O747" s="1"/>
      <c r="P747" s="1"/>
      <c r="Q747" s="1"/>
      <c r="R747" s="1"/>
      <c r="S747" s="1"/>
      <c r="T747" s="1"/>
      <c r="U747" s="1"/>
      <c r="V747" s="1"/>
      <c r="W747" s="1"/>
      <c r="X747" s="1"/>
      <c r="Y747" s="1"/>
      <c r="Z747" s="1"/>
      <c r="AA747" s="1"/>
    </row>
    <row r="748" ht="15.75" customHeight="1">
      <c r="A748" s="1" t="str">
        <f>IFERROR(__xludf.DUMMYFUNCTION("""COMPUTED_VALUE"""),"Storm Dragonscale Flail")</f>
        <v>Storm Dragonscale Flail</v>
      </c>
      <c r="B748" s="1"/>
      <c r="C748" s="1" t="str">
        <f>IFERROR(__xludf.DUMMYFUNCTION("""COMPUTED_VALUE"""),"Club")</f>
        <v>Club</v>
      </c>
      <c r="D748" s="1" t="str">
        <f>IFERROR(__xludf.DUMMYFUNCTION("""COMPUTED_VALUE"""),"Hand")</f>
        <v>Hand</v>
      </c>
      <c r="E748" s="1">
        <f>IFERROR(__xludf.DUMMYFUNCTION("""COMPUTED_VALUE"""),2400.0)</f>
        <v>2400</v>
      </c>
      <c r="F748" s="1"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
        <f>IFERROR(__xludf.DUMMYFUNCTION("""COMPUTED_VALUE"""),2.868E8)</f>
        <v>286800000</v>
      </c>
      <c r="H748" s="1"/>
      <c r="I748" s="1"/>
      <c r="J748" s="1"/>
      <c r="K748" s="1"/>
      <c r="L748" s="1"/>
      <c r="M748" s="1"/>
      <c r="N748" s="1"/>
      <c r="O748" s="1"/>
      <c r="P748" s="1"/>
      <c r="Q748" s="1"/>
      <c r="R748" s="1"/>
      <c r="S748" s="1"/>
      <c r="T748" s="1"/>
      <c r="U748" s="1"/>
      <c r="V748" s="1"/>
      <c r="W748" s="1"/>
      <c r="X748" s="1"/>
      <c r="Y748" s="1"/>
      <c r="Z748" s="1"/>
      <c r="AA748" s="1"/>
    </row>
    <row r="749" ht="15.75" customHeight="1">
      <c r="A749" s="1" t="str">
        <f>IFERROR(__xludf.DUMMYFUNCTION("""COMPUTED_VALUE"""),"Dragonscale Spear")</f>
        <v>Dragonscale Spear</v>
      </c>
      <c r="B749" s="1"/>
      <c r="C749" s="1" t="str">
        <f>IFERROR(__xludf.DUMMYFUNCTION("""COMPUTED_VALUE"""),"Spear")</f>
        <v>Spear</v>
      </c>
      <c r="D749" s="1" t="str">
        <f>IFERROR(__xludf.DUMMYFUNCTION("""COMPUTED_VALUE"""),"Hand")</f>
        <v>Hand</v>
      </c>
      <c r="E749" s="1">
        <f>IFERROR(__xludf.DUMMYFUNCTION("""COMPUTED_VALUE"""),2800.0)</f>
        <v>2800</v>
      </c>
      <c r="F749" s="1" t="str">
        <f>IFERROR(__xludf.DUMMYFUNCTION("""COMPUTED_VALUE"""),"DMG: +140000")</f>
        <v>DMG: +140000</v>
      </c>
      <c r="G749" s="1">
        <f>IFERROR(__xludf.DUMMYFUNCTION("""COMPUTED_VALUE"""),3.906E8)</f>
        <v>390600000</v>
      </c>
      <c r="H749" s="1"/>
      <c r="I749" s="1"/>
      <c r="J749" s="1"/>
      <c r="K749" s="1"/>
      <c r="L749" s="1"/>
      <c r="M749" s="1"/>
      <c r="N749" s="1"/>
      <c r="O749" s="1"/>
      <c r="P749" s="1"/>
      <c r="Q749" s="1"/>
      <c r="R749" s="1"/>
      <c r="S749" s="1"/>
      <c r="T749" s="1"/>
      <c r="U749" s="1"/>
      <c r="V749" s="1"/>
      <c r="W749" s="1"/>
      <c r="X749" s="1"/>
      <c r="Y749" s="1"/>
      <c r="Z749" s="1"/>
      <c r="AA749" s="1"/>
    </row>
    <row r="750" ht="15.75" customHeight="1">
      <c r="A750" s="1" t="str">
        <f>IFERROR(__xludf.DUMMYFUNCTION("""COMPUTED_VALUE"""),"Dragonscale Scythe")</f>
        <v>Dragonscale Scythe</v>
      </c>
      <c r="B750" s="1"/>
      <c r="C750" s="1" t="str">
        <f>IFERROR(__xludf.DUMMYFUNCTION("""COMPUTED_VALUE"""),"Scythe")</f>
        <v>Scythe</v>
      </c>
      <c r="D750" s="1" t="str">
        <f>IFERROR(__xludf.DUMMYFUNCTION("""COMPUTED_VALUE"""),"Hand")</f>
        <v>Hand</v>
      </c>
      <c r="E750" s="1">
        <f>IFERROR(__xludf.DUMMYFUNCTION("""COMPUTED_VALUE"""),2500.0)</f>
        <v>2500</v>
      </c>
      <c r="F750" s="1" t="str">
        <f>IFERROR(__xludf.DUMMYFUNCTION("""COMPUTED_VALUE"""),"DMG: +125000 ++If used to kill a dragon, 100% chance to get its soul. +-Cannot be forged or duplicated")</f>
        <v>DMG: +125000 ++If used to kill a dragon, 100% chance to get its soul. +-Cannot be forged or duplicated</v>
      </c>
      <c r="G750" s="1">
        <f>IFERROR(__xludf.DUMMYFUNCTION("""COMPUTED_VALUE"""),3.1125E8)</f>
        <v>311250000</v>
      </c>
      <c r="H750" s="1"/>
      <c r="I750" s="1"/>
      <c r="J750" s="1"/>
      <c r="K750" s="1"/>
      <c r="L750" s="1"/>
      <c r="M750" s="1"/>
      <c r="N750" s="1"/>
      <c r="O750" s="1"/>
      <c r="P750" s="1"/>
      <c r="Q750" s="1"/>
      <c r="R750" s="1"/>
      <c r="S750" s="1"/>
      <c r="T750" s="1"/>
      <c r="U750" s="1"/>
      <c r="V750" s="1"/>
      <c r="W750" s="1"/>
      <c r="X750" s="1"/>
      <c r="Y750" s="1"/>
      <c r="Z750" s="1"/>
      <c r="AA750" s="1"/>
    </row>
    <row r="751" ht="15.75" customHeight="1">
      <c r="A751" s="1" t="str">
        <f>IFERROR(__xludf.DUMMYFUNCTION("""COMPUTED_VALUE"""),"Dark Dragonscale Claws")</f>
        <v>Dark Dragonscale Claws</v>
      </c>
      <c r="B751" s="1"/>
      <c r="C751" s="1" t="str">
        <f>IFERROR(__xludf.DUMMYFUNCTION("""COMPUTED_VALUE"""),"Claw")</f>
        <v>Claw</v>
      </c>
      <c r="D751" s="1" t="str">
        <f>IFERROR(__xludf.DUMMYFUNCTION("""COMPUTED_VALUE"""),"Hand")</f>
        <v>Hand</v>
      </c>
      <c r="E751" s="1">
        <f>IFERROR(__xludf.DUMMYFUNCTION("""COMPUTED_VALUE"""),2900.0)</f>
        <v>2900</v>
      </c>
      <c r="F751" s="1" t="str">
        <f>IFERROR(__xludf.DUMMYFUNCTION("""COMPUTED_VALUE"""),", Dark DMG: +145000 ++ 30% chance to remove enemy from battle")</f>
        <v>, Dark DMG: +145000 ++ 30% chance to remove enemy from battle</v>
      </c>
      <c r="G751" s="1">
        <f>IFERROR(__xludf.DUMMYFUNCTION("""COMPUTED_VALUE"""),4.1905E8)</f>
        <v>419050000</v>
      </c>
      <c r="H751" s="1"/>
      <c r="I751" s="1"/>
      <c r="J751" s="1"/>
      <c r="K751" s="1"/>
      <c r="L751" s="1"/>
      <c r="M751" s="1"/>
      <c r="N751" s="1"/>
      <c r="O751" s="1"/>
      <c r="P751" s="1"/>
      <c r="Q751" s="1"/>
      <c r="R751" s="1"/>
      <c r="S751" s="1"/>
      <c r="T751" s="1"/>
      <c r="U751" s="1"/>
      <c r="V751" s="1"/>
      <c r="W751" s="1"/>
      <c r="X751" s="1"/>
      <c r="Y751" s="1"/>
      <c r="Z751" s="1"/>
      <c r="AA751" s="1"/>
    </row>
    <row r="752" ht="15.75" customHeight="1">
      <c r="A752" s="1" t="str">
        <f>IFERROR(__xludf.DUMMYFUNCTION("""COMPUTED_VALUE"""),"Chaotic Dragonscale Claw")</f>
        <v>Chaotic Dragonscale Claw</v>
      </c>
      <c r="B752" s="1"/>
      <c r="C752" s="1" t="str">
        <f>IFERROR(__xludf.DUMMYFUNCTION("""COMPUTED_VALUE"""),"Claw")</f>
        <v>Claw</v>
      </c>
      <c r="D752" s="1" t="str">
        <f>IFERROR(__xludf.DUMMYFUNCTION("""COMPUTED_VALUE"""),"Hand")</f>
        <v>Hand</v>
      </c>
      <c r="E752" s="1">
        <f>IFERROR(__xludf.DUMMYFUNCTION("""COMPUTED_VALUE"""),2350.0)</f>
        <v>2350</v>
      </c>
      <c r="F752" s="1" t="str">
        <f>IFERROR(__xludf.DUMMYFUNCTION("""COMPUTED_VALUE"""),"DMG: +1, Chaos DMG: +117000 +-5% chance of dealing 1 damage when attacking")</f>
        <v>DMG: +1, Chaos DMG: +117000 +-5% chance of dealing 1 damage when attacking</v>
      </c>
      <c r="G752" s="1">
        <f>IFERROR(__xludf.DUMMYFUNCTION("""COMPUTED_VALUE"""),2.7261E8)</f>
        <v>272610000</v>
      </c>
      <c r="H752" s="1"/>
      <c r="I752" s="1"/>
      <c r="J752" s="1"/>
      <c r="K752" s="1"/>
      <c r="L752" s="1"/>
      <c r="M752" s="1"/>
      <c r="N752" s="1"/>
      <c r="O752" s="1"/>
      <c r="P752" s="1"/>
      <c r="Q752" s="1"/>
      <c r="R752" s="1"/>
      <c r="S752" s="1"/>
      <c r="T752" s="1"/>
      <c r="U752" s="1"/>
      <c r="V752" s="1"/>
      <c r="W752" s="1"/>
      <c r="X752" s="1"/>
      <c r="Y752" s="1"/>
      <c r="Z752" s="1"/>
      <c r="AA752" s="1"/>
    </row>
    <row r="753" ht="15.75" customHeight="1">
      <c r="A753" s="1" t="str">
        <f>IFERROR(__xludf.DUMMYFUNCTION("""COMPUTED_VALUE"""),"Earthen Dragonscale Boots")</f>
        <v>Earthen Dragonscale Boots</v>
      </c>
      <c r="B753" s="1"/>
      <c r="C753" s="1" t="str">
        <f>IFERROR(__xludf.DUMMYFUNCTION("""COMPUTED_VALUE"""),"Item")</f>
        <v>Item</v>
      </c>
      <c r="D753" s="1" t="str">
        <f>IFERROR(__xludf.DUMMYFUNCTION("""COMPUTED_VALUE"""),"Feet")</f>
        <v>Feet</v>
      </c>
      <c r="E753" s="1">
        <f>IFERROR(__xludf.DUMMYFUNCTION("""COMPUTED_VALUE"""),3000.0)</f>
        <v>3000</v>
      </c>
      <c r="F753" s="1" t="str">
        <f>IFERROR(__xludf.DUMMYFUNCTION("""COMPUTED_VALUE"""),"DEF: +60000, Earth DEF: +90000 ++Immune to Earth spells")</f>
        <v>DEF: +60000, Earth DEF: +90000 ++Immune to Earth spells</v>
      </c>
      <c r="G753" s="1">
        <f>IFERROR(__xludf.DUMMYFUNCTION("""COMPUTED_VALUE"""),4.485E8)</f>
        <v>448500000</v>
      </c>
      <c r="H753" s="1"/>
      <c r="I753" s="1"/>
      <c r="J753" s="1"/>
      <c r="K753" s="1"/>
      <c r="L753" s="1"/>
      <c r="M753" s="1"/>
      <c r="N753" s="1"/>
      <c r="O753" s="1"/>
      <c r="P753" s="1"/>
      <c r="Q753" s="1"/>
      <c r="R753" s="1"/>
      <c r="S753" s="1"/>
      <c r="T753" s="1"/>
      <c r="U753" s="1"/>
      <c r="V753" s="1"/>
      <c r="W753" s="1"/>
      <c r="X753" s="1"/>
      <c r="Y753" s="1"/>
      <c r="Z753" s="1"/>
      <c r="AA753" s="1"/>
    </row>
    <row r="754" ht="15.75" customHeight="1">
      <c r="A754" s="1" t="str">
        <f>IFERROR(__xludf.DUMMYFUNCTION("""COMPUTED_VALUE"""),"Dragonscale Harp")</f>
        <v>Dragonscale Harp</v>
      </c>
      <c r="B754" s="1"/>
      <c r="C754" s="1" t="str">
        <f>IFERROR(__xludf.DUMMYFUNCTION("""COMPUTED_VALUE"""),"Instrument")</f>
        <v>Instrument</v>
      </c>
      <c r="D754" s="1" t="str">
        <f>IFERROR(__xludf.DUMMYFUNCTION("""COMPUTED_VALUE"""),"Hand")</f>
        <v>Hand</v>
      </c>
      <c r="E754" s="1">
        <f>IFERROR(__xludf.DUMMYFUNCTION("""COMPUTED_VALUE"""),2620.0)</f>
        <v>2620</v>
      </c>
      <c r="F754" s="1" t="str">
        <f>IFERROR(__xludf.DUMMYFUNCTION("""COMPUTED_VALUE"""),"DMG: +1000, Acoustic DMG: +130000 ++Causes any dragon enemies to skip its next turn when attacked.")</f>
        <v>DMG: +1000, Acoustic DMG: +130000 ++Causes any dragon enemies to skip its next turn when attacked.</v>
      </c>
      <c r="G754" s="1">
        <f>IFERROR(__xludf.DUMMYFUNCTION("""COMPUTED_VALUE"""),3.4191E8)</f>
        <v>341910000</v>
      </c>
      <c r="H754" s="1"/>
      <c r="I754" s="1"/>
      <c r="J754" s="1"/>
      <c r="K754" s="1"/>
      <c r="L754" s="1"/>
      <c r="M754" s="1"/>
      <c r="N754" s="1"/>
      <c r="O754" s="1"/>
      <c r="P754" s="1"/>
      <c r="Q754" s="1"/>
      <c r="R754" s="1"/>
      <c r="S754" s="1"/>
      <c r="T754" s="1"/>
      <c r="U754" s="1"/>
      <c r="V754" s="1"/>
      <c r="W754" s="1"/>
      <c r="X754" s="1"/>
      <c r="Y754" s="1"/>
      <c r="Z754" s="1"/>
      <c r="AA754" s="1"/>
    </row>
    <row r="755" ht="15.75" customHeight="1">
      <c r="A755" s="1" t="str">
        <f>IFERROR(__xludf.DUMMYFUNCTION("""COMPUTED_VALUE"""),"Dragonscale Bracers")</f>
        <v>Dragonscale Bracers</v>
      </c>
      <c r="B755" s="1"/>
      <c r="C755" s="1" t="str">
        <f>IFERROR(__xludf.DUMMYFUNCTION("""COMPUTED_VALUE"""),"Item")</f>
        <v>Item</v>
      </c>
      <c r="D755" s="1" t="str">
        <f>IFERROR(__xludf.DUMMYFUNCTION("""COMPUTED_VALUE"""),"Arms")</f>
        <v>Arms</v>
      </c>
      <c r="E755" s="1">
        <f>IFERROR(__xludf.DUMMYFUNCTION("""COMPUTED_VALUE"""),2000.0)</f>
        <v>2000</v>
      </c>
      <c r="F755" s="1" t="str">
        <f>IFERROR(__xludf.DUMMYFUNCTION("""COMPUTED_VALUE"""),"DEF: +100000 ++X2 DEF when fighting a dragon(s).")</f>
        <v>DEF: +100000 ++X2 DEF when fighting a dragon(s).</v>
      </c>
      <c r="G755" s="1">
        <f>IFERROR(__xludf.DUMMYFUNCTION("""COMPUTED_VALUE"""),1.99E8)</f>
        <v>199000000</v>
      </c>
      <c r="H755" s="1"/>
      <c r="I755" s="1"/>
      <c r="J755" s="1"/>
      <c r="K755" s="1"/>
      <c r="L755" s="1"/>
      <c r="M755" s="1"/>
      <c r="N755" s="1"/>
      <c r="O755" s="1"/>
      <c r="P755" s="1"/>
      <c r="Q755" s="1"/>
      <c r="R755" s="1"/>
      <c r="S755" s="1"/>
      <c r="T755" s="1"/>
      <c r="U755" s="1"/>
      <c r="V755" s="1"/>
      <c r="W755" s="1"/>
      <c r="X755" s="1"/>
      <c r="Y755" s="1"/>
      <c r="Z755" s="1"/>
      <c r="AA755" s="1"/>
    </row>
    <row r="756" ht="15.75" customHeight="1">
      <c r="A756" s="1" t="str">
        <f>IFERROR(__xludf.DUMMYFUNCTION("""COMPUTED_VALUE"""),"Dragonscale Crown")</f>
        <v>Dragonscale Crown</v>
      </c>
      <c r="B756" s="1"/>
      <c r="C756" s="1" t="str">
        <f>IFERROR(__xludf.DUMMYFUNCTION("""COMPUTED_VALUE"""),"Item")</f>
        <v>Item</v>
      </c>
      <c r="D756" s="1" t="str">
        <f>IFERROR(__xludf.DUMMYFUNCTION("""COMPUTED_VALUE"""),"Head")</f>
        <v>Head</v>
      </c>
      <c r="E756" s="1">
        <f>IFERROR(__xludf.DUMMYFUNCTION("""COMPUTED_VALUE"""),1.0)</f>
        <v>1</v>
      </c>
      <c r="F756" s="1" t="str">
        <f>IFERROR(__xludf.DUMMYFUNCTION("""COMPUTED_VALUE""")," ++7,500 additional HP and SP, +-Cannot be forged or duplicated")</f>
        <v> ++7,500 additional HP and SP, +-Cannot be forged or duplicated</v>
      </c>
      <c r="G756" s="1">
        <f>IFERROR(__xludf.DUMMYFUNCTION("""COMPUTED_VALUE"""),0.0)</f>
        <v>0</v>
      </c>
      <c r="H756" s="1"/>
      <c r="I756" s="1"/>
      <c r="J756" s="1"/>
      <c r="K756" s="1"/>
      <c r="L756" s="1"/>
      <c r="M756" s="1"/>
      <c r="N756" s="1"/>
      <c r="O756" s="1"/>
      <c r="P756" s="1"/>
      <c r="Q756" s="1"/>
      <c r="R756" s="1"/>
      <c r="S756" s="1"/>
      <c r="T756" s="1"/>
      <c r="U756" s="1"/>
      <c r="V756" s="1"/>
      <c r="W756" s="1"/>
      <c r="X756" s="1"/>
      <c r="Y756" s="1"/>
      <c r="Z756" s="1"/>
      <c r="AA756" s="1"/>
    </row>
    <row r="757" ht="15.75" customHeight="1">
      <c r="A757" s="1" t="str">
        <f>IFERROR(__xludf.DUMMYFUNCTION("""COMPUTED_VALUE"""),"Dragonscale Helm")</f>
        <v>Dragonscale Helm</v>
      </c>
      <c r="B757" s="1"/>
      <c r="C757" s="1" t="str">
        <f>IFERROR(__xludf.DUMMYFUNCTION("""COMPUTED_VALUE"""),"Item")</f>
        <v>Item</v>
      </c>
      <c r="D757" s="1" t="str">
        <f>IFERROR(__xludf.DUMMYFUNCTION("""COMPUTED_VALUE"""),"Head")</f>
        <v>Head</v>
      </c>
      <c r="E757" s="1">
        <f>IFERROR(__xludf.DUMMYFUNCTION("""COMPUTED_VALUE"""),2600.0)</f>
        <v>2600</v>
      </c>
      <c r="F757" s="1" t="str">
        <f>IFERROR(__xludf.DUMMYFUNCTION("""COMPUTED_VALUE"""),"DEF: +130000")</f>
        <v>DEF: +130000</v>
      </c>
      <c r="G757" s="1">
        <f>IFERROR(__xludf.DUMMYFUNCTION("""COMPUTED_VALUE"""),3.367E8)</f>
        <v>336700000</v>
      </c>
      <c r="H757" s="1"/>
      <c r="I757" s="1"/>
      <c r="J757" s="1"/>
      <c r="K757" s="1"/>
      <c r="L757" s="1"/>
      <c r="M757" s="1"/>
      <c r="N757" s="1"/>
      <c r="O757" s="1"/>
      <c r="P757" s="1"/>
      <c r="Q757" s="1"/>
      <c r="R757" s="1"/>
      <c r="S757" s="1"/>
      <c r="T757" s="1"/>
      <c r="U757" s="1"/>
      <c r="V757" s="1"/>
      <c r="W757" s="1"/>
      <c r="X757" s="1"/>
      <c r="Y757" s="1"/>
      <c r="Z757" s="1"/>
      <c r="AA757" s="1"/>
    </row>
    <row r="758" ht="15.75" customHeight="1">
      <c r="A758" s="1" t="str">
        <f>IFERROR(__xludf.DUMMYFUNCTION("""COMPUTED_VALUE"""),"Dragonscale Rifle")</f>
        <v>Dragonscale Rifle</v>
      </c>
      <c r="B758" s="1"/>
      <c r="C758" s="1" t="str">
        <f>IFERROR(__xludf.DUMMYFUNCTION("""COMPUTED_VALUE"""),"Firearm")</f>
        <v>Firearm</v>
      </c>
      <c r="D758" s="1" t="str">
        <f>IFERROR(__xludf.DUMMYFUNCTION("""COMPUTED_VALUE"""),"Hand")</f>
        <v>Hand</v>
      </c>
      <c r="E758" s="1">
        <f>IFERROR(__xludf.DUMMYFUNCTION("""COMPUTED_VALUE"""),3400.0)</f>
        <v>3400</v>
      </c>
      <c r="F758" s="1" t="str">
        <f>IFERROR(__xludf.DUMMYFUNCTION("""COMPUTED_VALUE"""),"DMG: +170000  +-Uses bullets")</f>
        <v>DMG: +170000  +-Uses bullets</v>
      </c>
      <c r="G758" s="1">
        <f>IFERROR(__xludf.DUMMYFUNCTION("""COMPUTED_VALUE"""),5.763E8)</f>
        <v>576300000</v>
      </c>
      <c r="H758" s="1"/>
      <c r="I758" s="1"/>
      <c r="J758" s="1"/>
      <c r="K758" s="1"/>
      <c r="L758" s="1"/>
      <c r="M758" s="1"/>
      <c r="N758" s="1"/>
      <c r="O758" s="1"/>
      <c r="P758" s="1"/>
      <c r="Q758" s="1"/>
      <c r="R758" s="1"/>
      <c r="S758" s="1"/>
      <c r="T758" s="1"/>
      <c r="U758" s="1"/>
      <c r="V758" s="1"/>
      <c r="W758" s="1"/>
      <c r="X758" s="1"/>
      <c r="Y758" s="1"/>
      <c r="Z758" s="1"/>
      <c r="AA758" s="1"/>
    </row>
    <row r="759" ht="15.75" customHeight="1">
      <c r="A759" s="1" t="str">
        <f>IFERROR(__xludf.DUMMYFUNCTION("""COMPUTED_VALUE"""),"Searing Dragonscale Staff")</f>
        <v>Searing Dragonscale Staff</v>
      </c>
      <c r="B759" s="1"/>
      <c r="C759" s="1" t="str">
        <f>IFERROR(__xludf.DUMMYFUNCTION("""COMPUTED_VALUE"""),"Staff")</f>
        <v>Staff</v>
      </c>
      <c r="D759" s="1" t="str">
        <f>IFERROR(__xludf.DUMMYFUNCTION("""COMPUTED_VALUE"""),"Hand")</f>
        <v>Hand</v>
      </c>
      <c r="E759" s="1">
        <f>IFERROR(__xludf.DUMMYFUNCTION("""COMPUTED_VALUE"""),3000.0)</f>
        <v>3000</v>
      </c>
      <c r="F759" s="1" t="str">
        <f>IFERROR(__xludf.DUMMYFUNCTION("""COMPUTED_VALUE"""),", Light DMG: +150000")</f>
        <v>, Light DMG: +150000</v>
      </c>
      <c r="G759" s="1">
        <f>IFERROR(__xludf.DUMMYFUNCTION("""COMPUTED_VALUE"""),4.485E8)</f>
        <v>448500000</v>
      </c>
      <c r="H759" s="1"/>
      <c r="I759" s="1"/>
      <c r="J759" s="1"/>
      <c r="K759" s="1"/>
      <c r="L759" s="1"/>
      <c r="M759" s="1"/>
      <c r="N759" s="1"/>
      <c r="O759" s="1"/>
      <c r="P759" s="1"/>
      <c r="Q759" s="1"/>
      <c r="R759" s="1"/>
      <c r="S759" s="1"/>
      <c r="T759" s="1"/>
      <c r="U759" s="1"/>
      <c r="V759" s="1"/>
      <c r="W759" s="1"/>
      <c r="X759" s="1"/>
      <c r="Y759" s="1"/>
      <c r="Z759" s="1"/>
      <c r="AA759" s="1"/>
    </row>
    <row r="760" ht="15.75" customHeight="1">
      <c r="A760" s="1" t="str">
        <f>IFERROR(__xludf.DUMMYFUNCTION("""COMPUTED_VALUE"""),"Forgotten Scythe")</f>
        <v>Forgotten Scythe</v>
      </c>
      <c r="B760" s="1"/>
      <c r="C760" s="1" t="str">
        <f>IFERROR(__xludf.DUMMYFUNCTION("""COMPUTED_VALUE"""),"Scythe")</f>
        <v>Scythe</v>
      </c>
      <c r="D760" s="1" t="str">
        <f>IFERROR(__xludf.DUMMYFUNCTION("""COMPUTED_VALUE"""),"Hand")</f>
        <v>Hand</v>
      </c>
      <c r="E760" s="1">
        <f>IFERROR(__xludf.DUMMYFUNCTION("""COMPUTED_VALUE"""),5800.0)</f>
        <v>5800</v>
      </c>
      <c r="F760" s="1" t="str">
        <f>IFERROR(__xludf.DUMMYFUNCTION("""COMPUTED_VALUE"""),", Chaos DMG: +290000")</f>
        <v>, Chaos DMG: +290000</v>
      </c>
      <c r="G760" s="1">
        <f>IFERROR(__xludf.DUMMYFUNCTION("""COMPUTED_VALUE"""),1.6791E9)</f>
        <v>1679100000</v>
      </c>
      <c r="H760" s="1"/>
      <c r="I760" s="1"/>
      <c r="J760" s="1"/>
      <c r="K760" s="1"/>
      <c r="L760" s="1"/>
      <c r="M760" s="1"/>
      <c r="N760" s="1"/>
      <c r="O760" s="1"/>
      <c r="P760" s="1"/>
      <c r="Q760" s="1"/>
      <c r="R760" s="1"/>
      <c r="S760" s="1"/>
      <c r="T760" s="1"/>
      <c r="U760" s="1"/>
      <c r="V760" s="1"/>
      <c r="W760" s="1"/>
      <c r="X760" s="1"/>
      <c r="Y760" s="1"/>
      <c r="Z760" s="1"/>
      <c r="AA760" s="1"/>
    </row>
    <row r="761" ht="15.75" customHeight="1">
      <c r="A761" s="1" t="str">
        <f>IFERROR(__xludf.DUMMYFUNCTION("""COMPUTED_VALUE"""),"Forsaken Club")</f>
        <v>Forsaken Club</v>
      </c>
      <c r="B761" s="1"/>
      <c r="C761" s="1" t="str">
        <f>IFERROR(__xludf.DUMMYFUNCTION("""COMPUTED_VALUE"""),"Club")</f>
        <v>Club</v>
      </c>
      <c r="D761" s="1" t="str">
        <f>IFERROR(__xludf.DUMMYFUNCTION("""COMPUTED_VALUE"""),"Hand")</f>
        <v>Hand</v>
      </c>
      <c r="E761" s="1">
        <f>IFERROR(__xludf.DUMMYFUNCTION("""COMPUTED_VALUE"""),5000.0)</f>
        <v>5000</v>
      </c>
      <c r="F761" s="1" t="str">
        <f>IFERROR(__xludf.DUMMYFUNCTION("""COMPUTED_VALUE"""),"DMG: +250000")</f>
        <v>DMG: +250000</v>
      </c>
      <c r="G761" s="1">
        <f>IFERROR(__xludf.DUMMYFUNCTION("""COMPUTED_VALUE"""),1.2475E9)</f>
        <v>1247500000</v>
      </c>
      <c r="H761" s="1"/>
      <c r="I761" s="1"/>
      <c r="J761" s="1"/>
      <c r="K761" s="1"/>
      <c r="L761" s="1"/>
      <c r="M761" s="1"/>
      <c r="N761" s="1"/>
      <c r="O761" s="1"/>
      <c r="P761" s="1"/>
      <c r="Q761" s="1"/>
      <c r="R761" s="1"/>
      <c r="S761" s="1"/>
      <c r="T761" s="1"/>
      <c r="U761" s="1"/>
      <c r="V761" s="1"/>
      <c r="W761" s="1"/>
      <c r="X761" s="1"/>
      <c r="Y761" s="1"/>
      <c r="Z761" s="1"/>
      <c r="AA761" s="1"/>
    </row>
    <row r="762" ht="15.75" customHeight="1">
      <c r="A762" s="1" t="str">
        <f>IFERROR(__xludf.DUMMYFUNCTION("""COMPUTED_VALUE"""),"Demonic Breastplate")</f>
        <v>Demonic Breastplate</v>
      </c>
      <c r="B762" s="1"/>
      <c r="C762" s="1" t="str">
        <f>IFERROR(__xludf.DUMMYFUNCTION("""COMPUTED_VALUE"""),"Item")</f>
        <v>Item</v>
      </c>
      <c r="D762" s="1" t="str">
        <f>IFERROR(__xludf.DUMMYFUNCTION("""COMPUTED_VALUE"""),"Torso")</f>
        <v>Torso</v>
      </c>
      <c r="E762" s="1">
        <f>IFERROR(__xludf.DUMMYFUNCTION("""COMPUTED_VALUE"""),4000.0)</f>
        <v>4000</v>
      </c>
      <c r="F762" s="1" t="str">
        <f>IFERROR(__xludf.DUMMYFUNCTION("""COMPUTED_VALUE"""),"DEF: +50000, Fire DEF: +50000, Dark DEF: +50000, Chaos DEF: +50000")</f>
        <v>DEF: +50000, Fire DEF: +50000, Dark DEF: +50000, Chaos DEF: +50000</v>
      </c>
      <c r="G762" s="1">
        <f>IFERROR(__xludf.DUMMYFUNCTION("""COMPUTED_VALUE"""),7.98E8)</f>
        <v>798000000</v>
      </c>
      <c r="H762" s="1"/>
      <c r="I762" s="1"/>
      <c r="J762" s="1"/>
      <c r="K762" s="1"/>
      <c r="L762" s="1"/>
      <c r="M762" s="1"/>
      <c r="N762" s="1"/>
      <c r="O762" s="1"/>
      <c r="P762" s="1"/>
      <c r="Q762" s="1"/>
      <c r="R762" s="1"/>
      <c r="S762" s="1"/>
      <c r="T762" s="1"/>
      <c r="U762" s="1"/>
      <c r="V762" s="1"/>
      <c r="W762" s="1"/>
      <c r="X762" s="1"/>
      <c r="Y762" s="1"/>
      <c r="Z762" s="1"/>
      <c r="AA762" s="1"/>
    </row>
    <row r="763" ht="15.75" customHeight="1">
      <c r="A763" s="1" t="str">
        <f>IFERROR(__xludf.DUMMYFUNCTION("""COMPUTED_VALUE"""),"Fallen Ruler's Crown")</f>
        <v>Fallen Ruler's Crown</v>
      </c>
      <c r="B763" s="1"/>
      <c r="C763" s="1" t="str">
        <f>IFERROR(__xludf.DUMMYFUNCTION("""COMPUTED_VALUE"""),"Item")</f>
        <v>Item</v>
      </c>
      <c r="D763" s="1" t="str">
        <f>IFERROR(__xludf.DUMMYFUNCTION("""COMPUTED_VALUE"""),"Head")</f>
        <v>Head</v>
      </c>
      <c r="E763" s="1">
        <f>IFERROR(__xludf.DUMMYFUNCTION("""COMPUTED_VALUE"""),1.0)</f>
        <v>1</v>
      </c>
      <c r="F763" s="1" t="str">
        <f>IFERROR(__xludf.DUMMYFUNCTION("""COMPUTED_VALUE""")," ++5% chance undead enemies will willingly surrender +-Cannot be forged or duplicated")</f>
        <v> ++5% chance undead enemies will willingly surrender +-Cannot be forged or duplicated</v>
      </c>
      <c r="G763" s="1">
        <f>IFERROR(__xludf.DUMMYFUNCTION("""COMPUTED_VALUE"""),0.0)</f>
        <v>0</v>
      </c>
      <c r="H763" s="1"/>
      <c r="I763" s="1"/>
      <c r="J763" s="1"/>
      <c r="K763" s="1"/>
      <c r="L763" s="1"/>
      <c r="M763" s="1"/>
      <c r="N763" s="1"/>
      <c r="O763" s="1"/>
      <c r="P763" s="1"/>
      <c r="Q763" s="1"/>
      <c r="R763" s="1"/>
      <c r="S763" s="1"/>
      <c r="T763" s="1"/>
      <c r="U763" s="1"/>
      <c r="V763" s="1"/>
      <c r="W763" s="1"/>
      <c r="X763" s="1"/>
      <c r="Y763" s="1"/>
      <c r="Z763" s="1"/>
      <c r="AA763" s="1"/>
    </row>
    <row r="764" ht="15.75" customHeight="1">
      <c r="A764" s="1" t="str">
        <f>IFERROR(__xludf.DUMMYFUNCTION("""COMPUTED_VALUE"""),"Old Knife")</f>
        <v>Old Knife</v>
      </c>
      <c r="B764" s="1"/>
      <c r="C764" s="1" t="str">
        <f>IFERROR(__xludf.DUMMYFUNCTION("""COMPUTED_VALUE"""),"Knife")</f>
        <v>Knife</v>
      </c>
      <c r="D764" s="1" t="str">
        <f>IFERROR(__xludf.DUMMYFUNCTION("""COMPUTED_VALUE"""),"Hand")</f>
        <v>Hand</v>
      </c>
      <c r="E764" s="1">
        <f>IFERROR(__xludf.DUMMYFUNCTION("""COMPUTED_VALUE"""),3640.0)</f>
        <v>3640</v>
      </c>
      <c r="F764" s="1" t="str">
        <f>IFERROR(__xludf.DUMMYFUNCTION("""COMPUTED_VALUE"""),"DMG: +12000, Blood DMG: +170000")</f>
        <v>DMG: +12000, Blood DMG: +170000</v>
      </c>
      <c r="G764" s="1">
        <f>IFERROR(__xludf.DUMMYFUNCTION("""COMPUTED_VALUE"""),6.6066E8)</f>
        <v>660660000</v>
      </c>
      <c r="H764" s="1"/>
      <c r="I764" s="1"/>
      <c r="J764" s="1"/>
      <c r="K764" s="1"/>
      <c r="L764" s="1"/>
      <c r="M764" s="1"/>
      <c r="N764" s="1"/>
      <c r="O764" s="1"/>
      <c r="P764" s="1"/>
      <c r="Q764" s="1"/>
      <c r="R764" s="1"/>
      <c r="S764" s="1"/>
      <c r="T764" s="1"/>
      <c r="U764" s="1"/>
      <c r="V764" s="1"/>
      <c r="W764" s="1"/>
      <c r="X764" s="1"/>
      <c r="Y764" s="1"/>
      <c r="Z764" s="1"/>
      <c r="AA764" s="1"/>
    </row>
    <row r="765" ht="15.75" customHeight="1">
      <c r="A765" s="1" t="str">
        <f>IFERROR(__xludf.DUMMYFUNCTION("""COMPUTED_VALUE"""),"Plunderbuss")</f>
        <v>Plunderbuss</v>
      </c>
      <c r="B765" s="1"/>
      <c r="C765" s="1" t="str">
        <f>IFERROR(__xludf.DUMMYFUNCTION("""COMPUTED_VALUE"""),"Firearm")</f>
        <v>Firearm</v>
      </c>
      <c r="D765" s="1" t="str">
        <f>IFERROR(__xludf.DUMMYFUNCTION("""COMPUTED_VALUE"""),"Hand")</f>
        <v>Hand</v>
      </c>
      <c r="E765" s="1">
        <f>IFERROR(__xludf.DUMMYFUNCTION("""COMPUTED_VALUE"""),3800.0)</f>
        <v>3800</v>
      </c>
      <c r="F765" s="1" t="str">
        <f>IFERROR(__xludf.DUMMYFUNCTION("""COMPUTED_VALUE"""),"DMG: +190000 +-Uses bullets, ++Get two of every loot drop you roll. +-Cannot be forged or duplicated")</f>
        <v>DMG: +190000 +-Uses bullets, ++Get two of every loot drop you roll. +-Cannot be forged or duplicated</v>
      </c>
      <c r="G765" s="1">
        <f>IFERROR(__xludf.DUMMYFUNCTION("""COMPUTED_VALUE"""),7.201E8)</f>
        <v>720100000</v>
      </c>
      <c r="H765" s="1"/>
      <c r="I765" s="1"/>
      <c r="J765" s="1"/>
      <c r="K765" s="1"/>
      <c r="L765" s="1"/>
      <c r="M765" s="1"/>
      <c r="N765" s="1"/>
      <c r="O765" s="1"/>
      <c r="P765" s="1"/>
      <c r="Q765" s="1"/>
      <c r="R765" s="1"/>
      <c r="S765" s="1"/>
      <c r="T765" s="1"/>
      <c r="U765" s="1"/>
      <c r="V765" s="1"/>
      <c r="W765" s="1"/>
      <c r="X765" s="1"/>
      <c r="Y765" s="1"/>
      <c r="Z765" s="1"/>
      <c r="AA765" s="1"/>
    </row>
    <row r="766" ht="15.75" customHeight="1">
      <c r="A766" s="1" t="str">
        <f>IFERROR(__xludf.DUMMYFUNCTION("""COMPUTED_VALUE"""),"Dragon Destroyer")</f>
        <v>Dragon Destroyer</v>
      </c>
      <c r="B766" s="1"/>
      <c r="C766" s="1" t="str">
        <f>IFERROR(__xludf.DUMMYFUNCTION("""COMPUTED_VALUE"""),"Axe")</f>
        <v>Axe</v>
      </c>
      <c r="D766" s="1" t="str">
        <f>IFERROR(__xludf.DUMMYFUNCTION("""COMPUTED_VALUE"""),"Hand")</f>
        <v>Hand</v>
      </c>
      <c r="E766" s="1">
        <f>IFERROR(__xludf.DUMMYFUNCTION("""COMPUTED_VALUE"""),6000.0)</f>
        <v>6000</v>
      </c>
      <c r="F766" s="1" t="str">
        <f>IFERROR(__xludf.DUMMYFUNCTION("""COMPUTED_VALUE"""),"DMG: +300000 ++deals unblockable damage to dragons +-Cannot be forged or duplicated")</f>
        <v>DMG: +300000 ++deals unblockable damage to dragons +-Cannot be forged or duplicated</v>
      </c>
      <c r="G766" s="1">
        <f>IFERROR(__xludf.DUMMYFUNCTION("""COMPUTED_VALUE"""),1.797E9)</f>
        <v>1797000000</v>
      </c>
      <c r="H766" s="1"/>
      <c r="I766" s="1"/>
      <c r="J766" s="1"/>
      <c r="K766" s="1"/>
      <c r="L766" s="1"/>
      <c r="M766" s="1"/>
      <c r="N766" s="1"/>
      <c r="O766" s="1"/>
      <c r="P766" s="1"/>
      <c r="Q766" s="1"/>
      <c r="R766" s="1"/>
      <c r="S766" s="1"/>
      <c r="T766" s="1"/>
      <c r="U766" s="1"/>
      <c r="V766" s="1"/>
      <c r="W766" s="1"/>
      <c r="X766" s="1"/>
      <c r="Y766" s="1"/>
      <c r="Z766" s="1"/>
      <c r="AA766" s="1"/>
    </row>
    <row r="767" ht="15.75" customHeight="1">
      <c r="A767" s="1" t="str">
        <f>IFERROR(__xludf.DUMMYFUNCTION("""COMPUTED_VALUE"""),"Dragonscale of Returns")</f>
        <v>Dragonscale of Returns</v>
      </c>
      <c r="B767" s="1"/>
      <c r="C767" s="1" t="str">
        <f>IFERROR(__xludf.DUMMYFUNCTION("""COMPUTED_VALUE"""),"Boomerang")</f>
        <v>Boomerang</v>
      </c>
      <c r="D767" s="1" t="str">
        <f>IFERROR(__xludf.DUMMYFUNCTION("""COMPUTED_VALUE"""),"Hand")</f>
        <v>Hand</v>
      </c>
      <c r="E767" s="1">
        <f>IFERROR(__xludf.DUMMYFUNCTION("""COMPUTED_VALUE"""),1500.0)</f>
        <v>1500</v>
      </c>
      <c r="F767" s="1" t="str">
        <f>IFERROR(__xludf.DUMMYFUNCTION("""COMPUTED_VALUE"""),"DMG: +75000 ++Receive a dragon scale when thrown at a dragon, +-Cannot be forged or duplicated")</f>
        <v>DMG: +75000 ++Receive a dragon scale when thrown at a dragon, +-Cannot be forged or duplicated</v>
      </c>
      <c r="G767" s="1">
        <f>IFERROR(__xludf.DUMMYFUNCTION("""COMPUTED_VALUE"""),1.1175E8)</f>
        <v>111750000</v>
      </c>
      <c r="H767" s="1"/>
      <c r="I767" s="1"/>
      <c r="J767" s="1"/>
      <c r="K767" s="1"/>
      <c r="L767" s="1"/>
      <c r="M767" s="1"/>
      <c r="N767" s="1"/>
      <c r="O767" s="1"/>
      <c r="P767" s="1"/>
      <c r="Q767" s="1"/>
      <c r="R767" s="1"/>
      <c r="S767" s="1"/>
      <c r="T767" s="1"/>
      <c r="U767" s="1"/>
      <c r="V767" s="1"/>
      <c r="W767" s="1"/>
      <c r="X767" s="1"/>
      <c r="Y767" s="1"/>
      <c r="Z767" s="1"/>
      <c r="AA767" s="1"/>
    </row>
    <row r="768" ht="15.75" customHeight="1">
      <c r="A768" s="1" t="str">
        <f>IFERROR(__xludf.DUMMYFUNCTION("""COMPUTED_VALUE"""),"Brimstone Staff")</f>
        <v>Brimstone Staff</v>
      </c>
      <c r="B768" s="1"/>
      <c r="C768" s="1" t="str">
        <f>IFERROR(__xludf.DUMMYFUNCTION("""COMPUTED_VALUE"""),"Staff")</f>
        <v>Staff</v>
      </c>
      <c r="D768" s="1" t="str">
        <f>IFERROR(__xludf.DUMMYFUNCTION("""COMPUTED_VALUE"""),"Hand")</f>
        <v>Hand</v>
      </c>
      <c r="E768" s="1">
        <f>IFERROR(__xludf.DUMMYFUNCTION("""COMPUTED_VALUE"""),4600.0)</f>
        <v>4600</v>
      </c>
      <c r="F768" s="1" t="str">
        <f>IFERROR(__xludf.DUMMYFUNCTION("""COMPUTED_VALUE"""),", Fire DMG: +230000 ++Fire spells cost half SP, +-Cannot be forged or duplicated")</f>
        <v>, Fire DMG: +230000 ++Fire spells cost half SP, +-Cannot be forged or duplicated</v>
      </c>
      <c r="G768" s="1">
        <f>IFERROR(__xludf.DUMMYFUNCTION("""COMPUTED_VALUE"""),1.0557E9)</f>
        <v>1055700000</v>
      </c>
      <c r="H768" s="1"/>
      <c r="I768" s="1"/>
      <c r="J768" s="1"/>
      <c r="K768" s="1"/>
      <c r="L768" s="1"/>
      <c r="M768" s="1"/>
      <c r="N768" s="1"/>
      <c r="O768" s="1"/>
      <c r="P768" s="1"/>
      <c r="Q768" s="1"/>
      <c r="R768" s="1"/>
      <c r="S768" s="1"/>
      <c r="T768" s="1"/>
      <c r="U768" s="1"/>
      <c r="V768" s="1"/>
      <c r="W768" s="1"/>
      <c r="X768" s="1"/>
      <c r="Y768" s="1"/>
      <c r="Z768" s="1"/>
      <c r="AA768" s="1"/>
    </row>
    <row r="769" ht="15.75" customHeight="1">
      <c r="A769" s="1" t="str">
        <f>IFERROR(__xludf.DUMMYFUNCTION("""COMPUTED_VALUE"""),"Eternal Ember")</f>
        <v>Eternal Ember</v>
      </c>
      <c r="B769" s="1"/>
      <c r="C769" s="1" t="str">
        <f>IFERROR(__xludf.DUMMYFUNCTION("""COMPUTED_VALUE"""),"Item")</f>
        <v>Item</v>
      </c>
      <c r="D769" s="1" t="str">
        <f>IFERROR(__xludf.DUMMYFUNCTION("""COMPUTED_VALUE"""),"Neck")</f>
        <v>Neck</v>
      </c>
      <c r="E769" s="1">
        <f>IFERROR(__xludf.DUMMYFUNCTION("""COMPUTED_VALUE"""),3000.0)</f>
        <v>3000</v>
      </c>
      <c r="F769" s="1"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
        <f>IFERROR(__xludf.DUMMYFUNCTION("""COMPUTED_VALUE"""),4.485E8)</f>
        <v>448500000</v>
      </c>
      <c r="H769" s="1"/>
      <c r="I769" s="1"/>
      <c r="J769" s="1"/>
      <c r="K769" s="1"/>
      <c r="L769" s="1"/>
      <c r="M769" s="1"/>
      <c r="N769" s="1"/>
      <c r="O769" s="1"/>
      <c r="P769" s="1"/>
      <c r="Q769" s="1"/>
      <c r="R769" s="1"/>
      <c r="S769" s="1"/>
      <c r="T769" s="1"/>
      <c r="U769" s="1"/>
      <c r="V769" s="1"/>
      <c r="W769" s="1"/>
      <c r="X769" s="1"/>
      <c r="Y769" s="1"/>
      <c r="Z769" s="1"/>
      <c r="AA769" s="1"/>
    </row>
    <row r="770" ht="15.75" customHeight="1">
      <c r="A770" s="1" t="str">
        <f>IFERROR(__xludf.DUMMYFUNCTION("""COMPUTED_VALUE"""),"Crystal Blood")</f>
        <v>Crystal Blood</v>
      </c>
      <c r="B770" s="1"/>
      <c r="C770" s="1" t="str">
        <f>IFERROR(__xludf.DUMMYFUNCTION("""COMPUTED_VALUE"""),"Item")</f>
        <v>Item</v>
      </c>
      <c r="D770" s="1" t="str">
        <f>IFERROR(__xludf.DUMMYFUNCTION("""COMPUTED_VALUE"""),"Neck")</f>
        <v>Neck</v>
      </c>
      <c r="E770" s="1">
        <f>IFERROR(__xludf.DUMMYFUNCTION("""COMPUTED_VALUE"""),1.0)</f>
        <v>1</v>
      </c>
      <c r="F770" s="1" t="str">
        <f>IFERROR(__xludf.DUMMYFUNCTION("""COMPUTED_VALUE""")," ++Wearer's first non-XHP cost blood spell of the battle has no HP cost , +-Cannot be forged or duplicated")</f>
        <v> ++Wearer's first non-XHP cost blood spell of the battle has no HP cost , +-Cannot be forged or duplicated</v>
      </c>
      <c r="G770" s="1">
        <f>IFERROR(__xludf.DUMMYFUNCTION("""COMPUTED_VALUE"""),0.0)</f>
        <v>0</v>
      </c>
      <c r="H770" s="1"/>
      <c r="I770" s="1"/>
      <c r="J770" s="1"/>
      <c r="K770" s="1"/>
      <c r="L770" s="1"/>
      <c r="M770" s="1"/>
      <c r="N770" s="1"/>
      <c r="O770" s="1"/>
      <c r="P770" s="1"/>
      <c r="Q770" s="1"/>
      <c r="R770" s="1"/>
      <c r="S770" s="1"/>
      <c r="T770" s="1"/>
      <c r="U770" s="1"/>
      <c r="V770" s="1"/>
      <c r="W770" s="1"/>
      <c r="X770" s="1"/>
      <c r="Y770" s="1"/>
      <c r="Z770" s="1"/>
      <c r="AA770" s="1"/>
    </row>
    <row r="771" ht="15.75" customHeight="1">
      <c r="A771" s="1" t="str">
        <f>IFERROR(__xludf.DUMMYFUNCTION("""COMPUTED_VALUE"""),"Ultimate Gamble")</f>
        <v>Ultimate Gamble</v>
      </c>
      <c r="B771" s="1"/>
      <c r="C771" s="1" t="str">
        <f>IFERROR(__xludf.DUMMYFUNCTION("""COMPUTED_VALUE"""),"Sword")</f>
        <v>Sword</v>
      </c>
      <c r="D771" s="1" t="str">
        <f>IFERROR(__xludf.DUMMYFUNCTION("""COMPUTED_VALUE"""),"Hand")</f>
        <v>Hand</v>
      </c>
      <c r="E771" s="1">
        <f>IFERROR(__xludf.DUMMYFUNCTION("""COMPUTED_VALUE"""),12000.0)</f>
        <v>12000</v>
      </c>
      <c r="F771" s="1"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
        <f>IFERROR(__xludf.DUMMYFUNCTION("""COMPUTED_VALUE"""),7.194E9)</f>
        <v>7194000000</v>
      </c>
      <c r="H771" s="1"/>
      <c r="I771" s="1"/>
      <c r="J771" s="1"/>
      <c r="K771" s="1"/>
      <c r="L771" s="1"/>
      <c r="M771" s="1"/>
      <c r="N771" s="1"/>
      <c r="O771" s="1"/>
      <c r="P771" s="1"/>
      <c r="Q771" s="1"/>
      <c r="R771" s="1"/>
      <c r="S771" s="1"/>
      <c r="T771" s="1"/>
      <c r="U771" s="1"/>
      <c r="V771" s="1"/>
      <c r="W771" s="1"/>
      <c r="X771" s="1"/>
      <c r="Y771" s="1"/>
      <c r="Z771" s="1"/>
      <c r="AA771" s="1"/>
    </row>
    <row r="772" ht="15.75" customHeight="1">
      <c r="A772" s="1" t="str">
        <f>IFERROR(__xludf.DUMMYFUNCTION("""COMPUTED_VALUE"""),"Awakened Evil")</f>
        <v>Awakened Evil</v>
      </c>
      <c r="B772" s="1"/>
      <c r="C772" s="1" t="str">
        <f>IFERROR(__xludf.DUMMYFUNCTION("""COMPUTED_VALUE"""),"Claw")</f>
        <v>Claw</v>
      </c>
      <c r="D772" s="1" t="str">
        <f>IFERROR(__xludf.DUMMYFUNCTION("""COMPUTED_VALUE"""),"Hand")</f>
        <v>Hand</v>
      </c>
      <c r="E772" s="1">
        <f>IFERROR(__xludf.DUMMYFUNCTION("""COMPUTED_VALUE"""),9000.0)</f>
        <v>9000</v>
      </c>
      <c r="F772" s="1" t="str">
        <f>IFERROR(__xludf.DUMMYFUNCTION("""COMPUTED_VALUE"""),"DMG: +450000")</f>
        <v>DMG: +450000</v>
      </c>
      <c r="G772" s="1">
        <f>IFERROR(__xludf.DUMMYFUNCTION("""COMPUTED_VALUE"""),4.0455E9)</f>
        <v>4045500000</v>
      </c>
      <c r="H772" s="1"/>
      <c r="I772" s="1"/>
      <c r="J772" s="1"/>
      <c r="K772" s="1"/>
      <c r="L772" s="1"/>
      <c r="M772" s="1"/>
      <c r="N772" s="1"/>
      <c r="O772" s="1"/>
      <c r="P772" s="1"/>
      <c r="Q772" s="1"/>
      <c r="R772" s="1"/>
      <c r="S772" s="1"/>
      <c r="T772" s="1"/>
      <c r="U772" s="1"/>
      <c r="V772" s="1"/>
      <c r="W772" s="1"/>
      <c r="X772" s="1"/>
      <c r="Y772" s="1"/>
      <c r="Z772" s="1"/>
      <c r="AA772" s="1"/>
    </row>
    <row r="773" ht="15.75" customHeight="1">
      <c r="A773" s="1" t="str">
        <f>IFERROR(__xludf.DUMMYFUNCTION("""COMPUTED_VALUE"""),"Soldier's Charge")</f>
        <v>Soldier's Charge</v>
      </c>
      <c r="B773" s="1"/>
      <c r="C773" s="1" t="str">
        <f>IFERROR(__xludf.DUMMYFUNCTION("""COMPUTED_VALUE"""),"Firearm")</f>
        <v>Firearm</v>
      </c>
      <c r="D773" s="1" t="str">
        <f>IFERROR(__xludf.DUMMYFUNCTION("""COMPUTED_VALUE"""),"Hand")</f>
        <v>Hand</v>
      </c>
      <c r="E773" s="1">
        <f>IFERROR(__xludf.DUMMYFUNCTION("""COMPUTED_VALUE"""),4400.0)</f>
        <v>4400</v>
      </c>
      <c r="F773" s="1" t="str">
        <f>IFERROR(__xludf.DUMMYFUNCTION("""COMPUTED_VALUE"""),"DMG: +60000, Fire DMG: +60000, Spirit DMG: +100000")</f>
        <v>DMG: +60000, Fire DMG: +60000, Spirit DMG: +100000</v>
      </c>
      <c r="G773" s="1">
        <f>IFERROR(__xludf.DUMMYFUNCTION("""COMPUTED_VALUE"""),9.658E8)</f>
        <v>965800000</v>
      </c>
      <c r="H773" s="1"/>
      <c r="I773" s="1"/>
      <c r="J773" s="1"/>
      <c r="K773" s="1"/>
      <c r="L773" s="1"/>
      <c r="M773" s="1"/>
      <c r="N773" s="1"/>
      <c r="O773" s="1"/>
      <c r="P773" s="1"/>
      <c r="Q773" s="1"/>
      <c r="R773" s="1"/>
      <c r="S773" s="1"/>
      <c r="T773" s="1"/>
      <c r="U773" s="1"/>
      <c r="V773" s="1"/>
      <c r="W773" s="1"/>
      <c r="X773" s="1"/>
      <c r="Y773" s="1"/>
      <c r="Z773" s="1"/>
      <c r="AA773" s="1"/>
    </row>
    <row r="774" ht="15.75" customHeight="1">
      <c r="A774" s="1" t="str">
        <f>IFERROR(__xludf.DUMMYFUNCTION("""COMPUTED_VALUE"""),"Weight of Sin")</f>
        <v>Weight of Sin</v>
      </c>
      <c r="B774" s="1"/>
      <c r="C774" s="1" t="str">
        <f>IFERROR(__xludf.DUMMYFUNCTION("""COMPUTED_VALUE"""),"Item")</f>
        <v>Item</v>
      </c>
      <c r="D774" s="1" t="str">
        <f>IFERROR(__xludf.DUMMYFUNCTION("""COMPUTED_VALUE"""),"Torso")</f>
        <v>Torso</v>
      </c>
      <c r="E774" s="1">
        <f>IFERROR(__xludf.DUMMYFUNCTION("""COMPUTED_VALUE"""),11200.0)</f>
        <v>11200</v>
      </c>
      <c r="F774" s="1" t="str">
        <f>IFERROR(__xludf.DUMMYFUNCTION("""COMPUTED_VALUE"""),"DEF: +560000 +-Always go last in turn order, +-Cannot be removed")</f>
        <v>DEF: +560000 +-Always go last in turn order, +-Cannot be removed</v>
      </c>
      <c r="G774" s="1">
        <f>IFERROR(__xludf.DUMMYFUNCTION("""COMPUTED_VALUE"""),6.2664E9)</f>
        <v>6266400000</v>
      </c>
      <c r="H774" s="1"/>
      <c r="I774" s="1"/>
      <c r="J774" s="1"/>
      <c r="K774" s="1"/>
      <c r="L774" s="1"/>
      <c r="M774" s="1"/>
      <c r="N774" s="1"/>
      <c r="O774" s="1"/>
      <c r="P774" s="1"/>
      <c r="Q774" s="1"/>
      <c r="R774" s="1"/>
      <c r="S774" s="1"/>
      <c r="T774" s="1"/>
      <c r="U774" s="1"/>
      <c r="V774" s="1"/>
      <c r="W774" s="1"/>
      <c r="X774" s="1"/>
      <c r="Y774" s="1"/>
      <c r="Z774" s="1"/>
      <c r="AA774" s="1"/>
    </row>
    <row r="775" ht="15.75" customHeight="1">
      <c r="A775" s="1" t="str">
        <f>IFERROR(__xludf.DUMMYFUNCTION("""COMPUTED_VALUE"""),"Volcano's Summit")</f>
        <v>Volcano's Summit</v>
      </c>
      <c r="B775" s="1"/>
      <c r="C775" s="1" t="str">
        <f>IFERROR(__xludf.DUMMYFUNCTION("""COMPUTED_VALUE"""),"Item")</f>
        <v>Item</v>
      </c>
      <c r="D775" s="1" t="str">
        <f>IFERROR(__xludf.DUMMYFUNCTION("""COMPUTED_VALUE"""),"Head")</f>
        <v>Head</v>
      </c>
      <c r="E775" s="1">
        <f>IFERROR(__xludf.DUMMYFUNCTION("""COMPUTED_VALUE"""),4000.0)</f>
        <v>4000</v>
      </c>
      <c r="F775" s="1" t="str">
        <f>IFERROR(__xludf.DUMMYFUNCTION("""COMPUTED_VALUE"""),", Fire DEF: +200000 ++X2 Fire damage")</f>
        <v>, Fire DEF: +200000 ++X2 Fire damage</v>
      </c>
      <c r="G775" s="1">
        <f>IFERROR(__xludf.DUMMYFUNCTION("""COMPUTED_VALUE"""),7.98E8)</f>
        <v>798000000</v>
      </c>
      <c r="H775" s="1"/>
      <c r="I775" s="1"/>
      <c r="J775" s="1"/>
      <c r="K775" s="1"/>
      <c r="L775" s="1"/>
      <c r="M775" s="1"/>
      <c r="N775" s="1"/>
      <c r="O775" s="1"/>
      <c r="P775" s="1"/>
      <c r="Q775" s="1"/>
      <c r="R775" s="1"/>
      <c r="S775" s="1"/>
      <c r="T775" s="1"/>
      <c r="U775" s="1"/>
      <c r="V775" s="1"/>
      <c r="W775" s="1"/>
      <c r="X775" s="1"/>
      <c r="Y775" s="1"/>
      <c r="Z775" s="1"/>
      <c r="AA775" s="1"/>
    </row>
    <row r="776" ht="15.75" customHeight="1">
      <c r="A776" s="1" t="str">
        <f>IFERROR(__xludf.DUMMYFUNCTION("""COMPUTED_VALUE"""),"Long Distance Loveletter")</f>
        <v>Long Distance Loveletter</v>
      </c>
      <c r="B776" s="1"/>
      <c r="C776" s="1" t="str">
        <f>IFERROR(__xludf.DUMMYFUNCTION("""COMPUTED_VALUE"""),"Firearm")</f>
        <v>Firearm</v>
      </c>
      <c r="D776" s="1" t="str">
        <f>IFERROR(__xludf.DUMMYFUNCTION("""COMPUTED_VALUE"""),"Hand")</f>
        <v>Hand</v>
      </c>
      <c r="E776" s="1">
        <f>IFERROR(__xludf.DUMMYFUNCTION("""COMPUTED_VALUE"""),12000.0)</f>
        <v>12000</v>
      </c>
      <c r="F776" s="1" t="str">
        <f>IFERROR(__xludf.DUMMYFUNCTION("""COMPUTED_VALUE"""),"DMG: +600000 ++10% chance for 1 enemy to become an ally at the beginning of battle.")</f>
        <v>DMG: +600000 ++10% chance for 1 enemy to become an ally at the beginning of battle.</v>
      </c>
      <c r="G776" s="1">
        <f>IFERROR(__xludf.DUMMYFUNCTION("""COMPUTED_VALUE"""),7.194E9)</f>
        <v>7194000000</v>
      </c>
      <c r="H776" s="1"/>
      <c r="I776" s="1"/>
      <c r="J776" s="1"/>
      <c r="K776" s="1"/>
      <c r="L776" s="1"/>
      <c r="M776" s="1"/>
      <c r="N776" s="1"/>
      <c r="O776" s="1"/>
      <c r="P776" s="1"/>
      <c r="Q776" s="1"/>
      <c r="R776" s="1"/>
      <c r="S776" s="1"/>
      <c r="T776" s="1"/>
      <c r="U776" s="1"/>
      <c r="V776" s="1"/>
      <c r="W776" s="1"/>
      <c r="X776" s="1"/>
      <c r="Y776" s="1"/>
      <c r="Z776" s="1"/>
      <c r="AA776" s="1"/>
    </row>
    <row r="777" ht="15.75" customHeight="1">
      <c r="A777" s="1" t="str">
        <f>IFERROR(__xludf.DUMMYFUNCTION("""COMPUTED_VALUE"""),"Cursed Child's Hatchet")</f>
        <v>Cursed Child's Hatchet</v>
      </c>
      <c r="B777" s="1"/>
      <c r="C777" s="1" t="str">
        <f>IFERROR(__xludf.DUMMYFUNCTION("""COMPUTED_VALUE"""),"Axe")</f>
        <v>Axe</v>
      </c>
      <c r="D777" s="1" t="str">
        <f>IFERROR(__xludf.DUMMYFUNCTION("""COMPUTED_VALUE"""),"Hand")</f>
        <v>Hand</v>
      </c>
      <c r="E777" s="1">
        <f>IFERROR(__xludf.DUMMYFUNCTION("""COMPUTED_VALUE"""),3000.0)</f>
        <v>3000</v>
      </c>
      <c r="F777" s="1" t="str">
        <f>IFERROR(__xludf.DUMMYFUNCTION("""COMPUTED_VALUE"""),"DMG: +150000 +- 15% chance of attacking a random ally")</f>
        <v>DMG: +150000 +- 15% chance of attacking a random ally</v>
      </c>
      <c r="G777" s="1">
        <f>IFERROR(__xludf.DUMMYFUNCTION("""COMPUTED_VALUE"""),4.485E8)</f>
        <v>448500000</v>
      </c>
      <c r="H777" s="1"/>
      <c r="I777" s="1"/>
      <c r="J777" s="1"/>
      <c r="K777" s="1"/>
      <c r="L777" s="1"/>
      <c r="M777" s="1"/>
      <c r="N777" s="1"/>
      <c r="O777" s="1"/>
      <c r="P777" s="1"/>
      <c r="Q777" s="1"/>
      <c r="R777" s="1"/>
      <c r="S777" s="1"/>
      <c r="T777" s="1"/>
      <c r="U777" s="1"/>
      <c r="V777" s="1"/>
      <c r="W777" s="1"/>
      <c r="X777" s="1"/>
      <c r="Y777" s="1"/>
      <c r="Z777" s="1"/>
      <c r="AA777" s="1"/>
    </row>
    <row r="778" ht="15.75" customHeight="1">
      <c r="A778" s="1" t="str">
        <f>IFERROR(__xludf.DUMMYFUNCTION("""COMPUTED_VALUE"""),"Helm of Lost Hope")</f>
        <v>Helm of Lost Hope</v>
      </c>
      <c r="B778" s="1"/>
      <c r="C778" s="1" t="str">
        <f>IFERROR(__xludf.DUMMYFUNCTION("""COMPUTED_VALUE"""),"Item")</f>
        <v>Item</v>
      </c>
      <c r="D778" s="1" t="str">
        <f>IFERROR(__xludf.DUMMYFUNCTION("""COMPUTED_VALUE"""),"Head")</f>
        <v>Head</v>
      </c>
      <c r="E778" s="1">
        <f>IFERROR(__xludf.DUMMYFUNCTION("""COMPUTED_VALUE"""),6800.0)</f>
        <v>6800</v>
      </c>
      <c r="F778" s="1" t="str">
        <f>IFERROR(__xludf.DUMMYFUNCTION("""COMPUTED_VALUE"""),"DEF: +340000")</f>
        <v>DEF: +340000</v>
      </c>
      <c r="G778" s="1">
        <f>IFERROR(__xludf.DUMMYFUNCTION("""COMPUTED_VALUE"""),2.3086E9)</f>
        <v>2308600000</v>
      </c>
      <c r="H778" s="1"/>
      <c r="I778" s="1"/>
      <c r="J778" s="1"/>
      <c r="K778" s="1"/>
      <c r="L778" s="1"/>
      <c r="M778" s="1"/>
      <c r="N778" s="1"/>
      <c r="O778" s="1"/>
      <c r="P778" s="1"/>
      <c r="Q778" s="1"/>
      <c r="R778" s="1"/>
      <c r="S778" s="1"/>
      <c r="T778" s="1"/>
      <c r="U778" s="1"/>
      <c r="V778" s="1"/>
      <c r="W778" s="1"/>
      <c r="X778" s="1"/>
      <c r="Y778" s="1"/>
      <c r="Z778" s="1"/>
      <c r="AA778" s="1"/>
    </row>
    <row r="779" ht="15.75" customHeight="1">
      <c r="A779" s="1" t="str">
        <f>IFERROR(__xludf.DUMMYFUNCTION("""COMPUTED_VALUE"""),"Cursed Shield")</f>
        <v>Cursed Shield</v>
      </c>
      <c r="B779" s="1"/>
      <c r="C779" s="1" t="str">
        <f>IFERROR(__xludf.DUMMYFUNCTION("""COMPUTED_VALUE"""),"Towershield")</f>
        <v>Towershield</v>
      </c>
      <c r="D779" s="1" t="str">
        <f>IFERROR(__xludf.DUMMYFUNCTION("""COMPUTED_VALUE"""),"Hand")</f>
        <v>Hand</v>
      </c>
      <c r="E779" s="1">
        <f>IFERROR(__xludf.DUMMYFUNCTION("""COMPUTED_VALUE"""),3200.0)</f>
        <v>3200</v>
      </c>
      <c r="F779" s="1" t="str">
        <f>IFERROR(__xludf.DUMMYFUNCTION("""COMPUTED_VALUE"""),"DEF: +160000 +-Unequipping destroys the item")</f>
        <v>DEF: +160000 +-Unequipping destroys the item</v>
      </c>
      <c r="G779" s="1">
        <f>IFERROR(__xludf.DUMMYFUNCTION("""COMPUTED_VALUE"""),5.104E8)</f>
        <v>510400000</v>
      </c>
      <c r="H779" s="1"/>
      <c r="I779" s="1"/>
      <c r="J779" s="1"/>
      <c r="K779" s="1"/>
      <c r="L779" s="1"/>
      <c r="M779" s="1"/>
      <c r="N779" s="1"/>
      <c r="O779" s="1"/>
      <c r="P779" s="1"/>
      <c r="Q779" s="1"/>
      <c r="R779" s="1"/>
      <c r="S779" s="1"/>
      <c r="T779" s="1"/>
      <c r="U779" s="1"/>
      <c r="V779" s="1"/>
      <c r="W779" s="1"/>
      <c r="X779" s="1"/>
      <c r="Y779" s="1"/>
      <c r="Z779" s="1"/>
      <c r="AA779" s="1"/>
    </row>
    <row r="780" ht="15.75" customHeight="1">
      <c r="A780" s="1" t="str">
        <f>IFERROR(__xludf.DUMMYFUNCTION("""COMPUTED_VALUE"""),"Dragonscale Buckler")</f>
        <v>Dragonscale Buckler</v>
      </c>
      <c r="B780" s="1"/>
      <c r="C780" s="1" t="str">
        <f>IFERROR(__xludf.DUMMYFUNCTION("""COMPUTED_VALUE"""),"Buckler")</f>
        <v>Buckler</v>
      </c>
      <c r="D780" s="1" t="str">
        <f>IFERROR(__xludf.DUMMYFUNCTION("""COMPUTED_VALUE"""),"Hand")</f>
        <v>Hand</v>
      </c>
      <c r="E780" s="1">
        <f>IFERROR(__xludf.DUMMYFUNCTION("""COMPUTED_VALUE"""),2140.0)</f>
        <v>2140</v>
      </c>
      <c r="F780" s="1" t="str">
        <f>IFERROR(__xludf.DUMMYFUNCTION("""COMPUTED_VALUE"""),"DEF: +107000")</f>
        <v>DEF: +107000</v>
      </c>
      <c r="G780" s="1">
        <f>IFERROR(__xludf.DUMMYFUNCTION("""COMPUTED_VALUE"""),2.2791E8)</f>
        <v>227910000</v>
      </c>
      <c r="H780" s="1"/>
      <c r="I780" s="1"/>
      <c r="J780" s="1"/>
      <c r="K780" s="1"/>
      <c r="L780" s="1"/>
      <c r="M780" s="1"/>
      <c r="N780" s="1"/>
      <c r="O780" s="1"/>
      <c r="P780" s="1"/>
      <c r="Q780" s="1"/>
      <c r="R780" s="1"/>
      <c r="S780" s="1"/>
      <c r="T780" s="1"/>
      <c r="U780" s="1"/>
      <c r="V780" s="1"/>
      <c r="W780" s="1"/>
      <c r="X780" s="1"/>
      <c r="Y780" s="1"/>
      <c r="Z780" s="1"/>
      <c r="AA780" s="1"/>
    </row>
    <row r="781" ht="15.75" customHeight="1">
      <c r="A781" s="1" t="str">
        <f>IFERROR(__xludf.DUMMYFUNCTION("""COMPUTED_VALUE"""),"Magma Trident")</f>
        <v>Magma Trident</v>
      </c>
      <c r="B781" s="1"/>
      <c r="C781" s="1" t="str">
        <f>IFERROR(__xludf.DUMMYFUNCTION("""COMPUTED_VALUE"""),"Spear")</f>
        <v>Spear</v>
      </c>
      <c r="D781" s="1" t="str">
        <f>IFERROR(__xludf.DUMMYFUNCTION("""COMPUTED_VALUE"""),"Hand")</f>
        <v>Hand</v>
      </c>
      <c r="E781" s="1">
        <f>IFERROR(__xludf.DUMMYFUNCTION("""COMPUTED_VALUE"""),4000.0)</f>
        <v>4000</v>
      </c>
      <c r="F781" s="1" t="str">
        <f>IFERROR(__xludf.DUMMYFUNCTION("""COMPUTED_VALUE"""),"DMG: +100000, Fire DMG: +100000")</f>
        <v>DMG: +100000, Fire DMG: +100000</v>
      </c>
      <c r="G781" s="1">
        <f>IFERROR(__xludf.DUMMYFUNCTION("""COMPUTED_VALUE"""),7.98E8)</f>
        <v>798000000</v>
      </c>
      <c r="H781" s="1"/>
      <c r="I781" s="1"/>
      <c r="J781" s="1"/>
      <c r="K781" s="1"/>
      <c r="L781" s="1"/>
      <c r="M781" s="1"/>
      <c r="N781" s="1"/>
      <c r="O781" s="1"/>
      <c r="P781" s="1"/>
      <c r="Q781" s="1"/>
      <c r="R781" s="1"/>
      <c r="S781" s="1"/>
      <c r="T781" s="1"/>
      <c r="U781" s="1"/>
      <c r="V781" s="1"/>
      <c r="W781" s="1"/>
      <c r="X781" s="1"/>
      <c r="Y781" s="1"/>
      <c r="Z781" s="1"/>
      <c r="AA781" s="1"/>
    </row>
    <row r="782" ht="15.75" customHeight="1">
      <c r="A782" s="1" t="str">
        <f>IFERROR(__xludf.DUMMYFUNCTION("""COMPUTED_VALUE"""),"Bonemerang")</f>
        <v>Bonemerang</v>
      </c>
      <c r="B782" s="1"/>
      <c r="C782" s="1" t="str">
        <f>IFERROR(__xludf.DUMMYFUNCTION("""COMPUTED_VALUE"""),"Boomerang")</f>
        <v>Boomerang</v>
      </c>
      <c r="D782" s="1" t="str">
        <f>IFERROR(__xludf.DUMMYFUNCTION("""COMPUTED_VALUE"""),"Hand")</f>
        <v>Hand</v>
      </c>
      <c r="E782" s="1">
        <f>IFERROR(__xludf.DUMMYFUNCTION("""COMPUTED_VALUE"""),5200.0)</f>
        <v>5200</v>
      </c>
      <c r="F782" s="1" t="str">
        <f>IFERROR(__xludf.DUMMYFUNCTION("""COMPUTED_VALUE"""),"DMG: +250000, Chaos DMG: +10000")</f>
        <v>DMG: +250000, Chaos DMG: +10000</v>
      </c>
      <c r="G782" s="1">
        <f>IFERROR(__xludf.DUMMYFUNCTION("""COMPUTED_VALUE"""),1.3494E9)</f>
        <v>1349400000</v>
      </c>
      <c r="H782" s="1"/>
      <c r="I782" s="1"/>
      <c r="J782" s="1"/>
      <c r="K782" s="1"/>
      <c r="L782" s="1"/>
      <c r="M782" s="1"/>
      <c r="N782" s="1"/>
      <c r="O782" s="1"/>
      <c r="P782" s="1"/>
      <c r="Q782" s="1"/>
      <c r="R782" s="1"/>
      <c r="S782" s="1"/>
      <c r="T782" s="1"/>
      <c r="U782" s="1"/>
      <c r="V782" s="1"/>
      <c r="W782" s="1"/>
      <c r="X782" s="1"/>
      <c r="Y782" s="1"/>
      <c r="Z782" s="1"/>
      <c r="AA782" s="1"/>
    </row>
    <row r="783" ht="15.75" customHeight="1">
      <c r="A783" s="1" t="str">
        <f>IFERROR(__xludf.DUMMYFUNCTION("""COMPUTED_VALUE"""),"Blamerang")</f>
        <v>Blamerang</v>
      </c>
      <c r="B783" s="1"/>
      <c r="C783" s="1" t="str">
        <f>IFERROR(__xludf.DUMMYFUNCTION("""COMPUTED_VALUE"""),"Boomerang")</f>
        <v>Boomerang</v>
      </c>
      <c r="D783" s="1" t="str">
        <f>IFERROR(__xludf.DUMMYFUNCTION("""COMPUTED_VALUE"""),"Hand")</f>
        <v>Hand</v>
      </c>
      <c r="E783" s="1">
        <f>IFERROR(__xludf.DUMMYFUNCTION("""COMPUTED_VALUE"""),4400.0)</f>
        <v>4400</v>
      </c>
      <c r="F783" s="1" t="str">
        <f>IFERROR(__xludf.DUMMYFUNCTION("""COMPUTED_VALUE"""),"DMG: +20000, Fire DMG: +200000 ++Explodes when thrown at an enemy, hitting other enemies")</f>
        <v>DMG: +20000, Fire DMG: +200000 ++Explodes when thrown at an enemy, hitting other enemies</v>
      </c>
      <c r="G783" s="1">
        <f>IFERROR(__xludf.DUMMYFUNCTION("""COMPUTED_VALUE"""),9.658E8)</f>
        <v>965800000</v>
      </c>
      <c r="H783" s="1"/>
      <c r="I783" s="1"/>
      <c r="J783" s="1"/>
      <c r="K783" s="1"/>
      <c r="L783" s="1"/>
      <c r="M783" s="1"/>
      <c r="N783" s="1"/>
      <c r="O783" s="1"/>
      <c r="P783" s="1"/>
      <c r="Q783" s="1"/>
      <c r="R783" s="1"/>
      <c r="S783" s="1"/>
      <c r="T783" s="1"/>
      <c r="U783" s="1"/>
      <c r="V783" s="1"/>
      <c r="W783" s="1"/>
      <c r="X783" s="1"/>
      <c r="Y783" s="1"/>
      <c r="Z783" s="1"/>
      <c r="AA783" s="1"/>
    </row>
    <row r="784" ht="15.75" customHeight="1">
      <c r="A784" s="1" t="str">
        <f>IFERROR(__xludf.DUMMYFUNCTION("""COMPUTED_VALUE"""),"Condemned Bow")</f>
        <v>Condemned Bow</v>
      </c>
      <c r="B784" s="1"/>
      <c r="C784" s="1" t="str">
        <f>IFERROR(__xludf.DUMMYFUNCTION("""COMPUTED_VALUE"""),"Bow")</f>
        <v>Bow</v>
      </c>
      <c r="D784" s="1" t="str">
        <f>IFERROR(__xludf.DUMMYFUNCTION("""COMPUTED_VALUE"""),"Hand")</f>
        <v>Hand</v>
      </c>
      <c r="E784" s="1">
        <f>IFERROR(__xludf.DUMMYFUNCTION("""COMPUTED_VALUE"""),6000.0)</f>
        <v>6000</v>
      </c>
      <c r="F784" s="1" t="str">
        <f>IFERROR(__xludf.DUMMYFUNCTION("""COMPUTED_VALUE"""),"DMG: +300000 +-5% chance for the DM to take control of your turn")</f>
        <v>DMG: +300000 +-5% chance for the DM to take control of your turn</v>
      </c>
      <c r="G784" s="1">
        <f>IFERROR(__xludf.DUMMYFUNCTION("""COMPUTED_VALUE"""),1.797E9)</f>
        <v>1797000000</v>
      </c>
      <c r="H784" s="1"/>
      <c r="I784" s="1"/>
      <c r="J784" s="1"/>
      <c r="K784" s="1"/>
      <c r="L784" s="1"/>
      <c r="M784" s="1"/>
      <c r="N784" s="1"/>
      <c r="O784" s="1"/>
      <c r="P784" s="1"/>
      <c r="Q784" s="1"/>
      <c r="R784" s="1"/>
      <c r="S784" s="1"/>
      <c r="T784" s="1"/>
      <c r="U784" s="1"/>
      <c r="V784" s="1"/>
      <c r="W784" s="1"/>
      <c r="X784" s="1"/>
      <c r="Y784" s="1"/>
      <c r="Z784" s="1"/>
      <c r="AA784" s="1"/>
    </row>
    <row r="785" ht="15.75" customHeight="1">
      <c r="A785" s="1" t="str">
        <f>IFERROR(__xludf.DUMMYFUNCTION("""COMPUTED_VALUE"""),"Ancient Blacksmith's Soul In A Bottle")</f>
        <v>Ancient Blacksmith's Soul In A Bottle</v>
      </c>
      <c r="B785" s="1"/>
      <c r="C785" s="1" t="str">
        <f>IFERROR(__xludf.DUMMYFUNCTION("""COMPUTED_VALUE"""),"Item")</f>
        <v>Item</v>
      </c>
      <c r="D785" s="1" t="str">
        <f>IFERROR(__xludf.DUMMYFUNCTION("""COMPUTED_VALUE"""),"Neck")</f>
        <v>Neck</v>
      </c>
      <c r="E785" s="1">
        <f>IFERROR(__xludf.DUMMYFUNCTION("""COMPUTED_VALUE"""),1.0)</f>
        <v>1</v>
      </c>
      <c r="F785" s="1"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
        <f>IFERROR(__xludf.DUMMYFUNCTION("""COMPUTED_VALUE"""),0.0)</f>
        <v>0</v>
      </c>
      <c r="H785" s="1"/>
      <c r="I785" s="1"/>
      <c r="J785" s="1"/>
      <c r="K785" s="1"/>
      <c r="L785" s="1"/>
      <c r="M785" s="1"/>
      <c r="N785" s="1"/>
      <c r="O785" s="1"/>
      <c r="P785" s="1"/>
      <c r="Q785" s="1"/>
      <c r="R785" s="1"/>
      <c r="S785" s="1"/>
      <c r="T785" s="1"/>
      <c r="U785" s="1"/>
      <c r="V785" s="1"/>
      <c r="W785" s="1"/>
      <c r="X785" s="1"/>
      <c r="Y785" s="1"/>
      <c r="Z785" s="1"/>
      <c r="AA785" s="1"/>
    </row>
    <row r="786" ht="15.75" customHeight="1">
      <c r="A786" s="1" t="str">
        <f>IFERROR(__xludf.DUMMYFUNCTION("""COMPUTED_VALUE"""),"Ancient Breeder's Soul In A Bottle")</f>
        <v>Ancient Breeder's Soul In A Bottle</v>
      </c>
      <c r="B786" s="1"/>
      <c r="C786" s="1" t="str">
        <f>IFERROR(__xludf.DUMMYFUNCTION("""COMPUTED_VALUE"""),"Item")</f>
        <v>Item</v>
      </c>
      <c r="D786" s="1" t="str">
        <f>IFERROR(__xludf.DUMMYFUNCTION("""COMPUTED_VALUE"""),"Neck")</f>
        <v>Neck</v>
      </c>
      <c r="E786" s="1">
        <f>IFERROR(__xludf.DUMMYFUNCTION("""COMPUTED_VALUE"""),1.0)</f>
        <v>1</v>
      </c>
      <c r="F786" s="1" t="str">
        <f>IFERROR(__xludf.DUMMYFUNCTION("""COMPUTED_VALUE""")," ++All creatures hatched from an egg deal X5 damage of all types.")</f>
        <v> ++All creatures hatched from an egg deal X5 damage of all types.</v>
      </c>
      <c r="G786" s="1">
        <f>IFERROR(__xludf.DUMMYFUNCTION("""COMPUTED_VALUE"""),0.0)</f>
        <v>0</v>
      </c>
      <c r="H786" s="1"/>
      <c r="I786" s="1"/>
      <c r="J786" s="1"/>
      <c r="K786" s="1"/>
      <c r="L786" s="1"/>
      <c r="M786" s="1"/>
      <c r="N786" s="1"/>
      <c r="O786" s="1"/>
      <c r="P786" s="1"/>
      <c r="Q786" s="1"/>
      <c r="R786" s="1"/>
      <c r="S786" s="1"/>
      <c r="T786" s="1"/>
      <c r="U786" s="1"/>
      <c r="V786" s="1"/>
      <c r="W786" s="1"/>
      <c r="X786" s="1"/>
      <c r="Y786" s="1"/>
      <c r="Z786" s="1"/>
      <c r="AA786" s="1"/>
    </row>
    <row r="787" ht="15.75" customHeight="1">
      <c r="A787" s="1" t="str">
        <f>IFERROR(__xludf.DUMMYFUNCTION("""COMPUTED_VALUE"""),"Ancient Crafter's Soul In A Bottle")</f>
        <v>Ancient Crafter's Soul In A Bottle</v>
      </c>
      <c r="B787" s="1"/>
      <c r="C787" s="1" t="str">
        <f>IFERROR(__xludf.DUMMYFUNCTION("""COMPUTED_VALUE"""),"Item")</f>
        <v>Item</v>
      </c>
      <c r="D787" s="1" t="str">
        <f>IFERROR(__xludf.DUMMYFUNCTION("""COMPUTED_VALUE"""),"Neck")</f>
        <v>Neck</v>
      </c>
      <c r="E787" s="1">
        <f>IFERROR(__xludf.DUMMYFUNCTION("""COMPUTED_VALUE"""),1.0)</f>
        <v>1</v>
      </c>
      <c r="F787" s="1" t="str">
        <f>IFERROR(__xludf.DUMMYFUNCTION("""COMPUTED_VALUE""")," ++Triples all crafting materials gathered")</f>
        <v> ++Triples all crafting materials gathered</v>
      </c>
      <c r="G787" s="1">
        <f>IFERROR(__xludf.DUMMYFUNCTION("""COMPUTED_VALUE"""),0.0)</f>
        <v>0</v>
      </c>
      <c r="H787" s="1"/>
      <c r="I787" s="1"/>
      <c r="J787" s="1"/>
      <c r="K787" s="1"/>
      <c r="L787" s="1"/>
      <c r="M787" s="1"/>
      <c r="N787" s="1"/>
      <c r="O787" s="1"/>
      <c r="P787" s="1"/>
      <c r="Q787" s="1"/>
      <c r="R787" s="1"/>
      <c r="S787" s="1"/>
      <c r="T787" s="1"/>
      <c r="U787" s="1"/>
      <c r="V787" s="1"/>
      <c r="W787" s="1"/>
      <c r="X787" s="1"/>
      <c r="Y787" s="1"/>
      <c r="Z787" s="1"/>
      <c r="AA787" s="1"/>
    </row>
    <row r="788" ht="15.75" customHeight="1">
      <c r="A788" s="1" t="str">
        <f>IFERROR(__xludf.DUMMYFUNCTION("""COMPUTED_VALUE"""),"Ancient Alchemist's Soul In A Bottle")</f>
        <v>Ancient Alchemist's Soul In A Bottle</v>
      </c>
      <c r="B788" s="1"/>
      <c r="C788" s="1" t="str">
        <f>IFERROR(__xludf.DUMMYFUNCTION("""COMPUTED_VALUE"""),"Item")</f>
        <v>Item</v>
      </c>
      <c r="D788" s="1" t="str">
        <f>IFERROR(__xludf.DUMMYFUNCTION("""COMPUTED_VALUE"""),"Neck")</f>
        <v>Neck</v>
      </c>
      <c r="E788" s="1">
        <f>IFERROR(__xludf.DUMMYFUNCTION("""COMPUTED_VALUE"""),1.0)</f>
        <v>1</v>
      </c>
      <c r="F788" s="1" t="str">
        <f>IFERROR(__xludf.DUMMYFUNCTION("""COMPUTED_VALUE""")," ++Doubles the effect of all herbs and potions")</f>
        <v> ++Doubles the effect of all herbs and potions</v>
      </c>
      <c r="G788" s="1">
        <f>IFERROR(__xludf.DUMMYFUNCTION("""COMPUTED_VALUE"""),0.0)</f>
        <v>0</v>
      </c>
      <c r="H788" s="1"/>
      <c r="I788" s="1"/>
      <c r="J788" s="1"/>
      <c r="K788" s="1"/>
      <c r="L788" s="1"/>
      <c r="M788" s="1"/>
      <c r="N788" s="1"/>
      <c r="O788" s="1"/>
      <c r="P788" s="1"/>
      <c r="Q788" s="1"/>
      <c r="R788" s="1"/>
      <c r="S788" s="1"/>
      <c r="T788" s="1"/>
      <c r="U788" s="1"/>
      <c r="V788" s="1"/>
      <c r="W788" s="1"/>
      <c r="X788" s="1"/>
      <c r="Y788" s="1"/>
      <c r="Z788" s="1"/>
      <c r="AA788" s="1"/>
    </row>
    <row r="789" ht="15.75" customHeight="1">
      <c r="A789" s="1" t="str">
        <f>IFERROR(__xludf.DUMMYFUNCTION("""COMPUTED_VALUE"""),"Ancient Farmer's Soul In A Bottle")</f>
        <v>Ancient Farmer's Soul In A Bottle</v>
      </c>
      <c r="B789" s="1"/>
      <c r="C789" s="1" t="str">
        <f>IFERROR(__xludf.DUMMYFUNCTION("""COMPUTED_VALUE"""),"Item")</f>
        <v>Item</v>
      </c>
      <c r="D789" s="1" t="str">
        <f>IFERROR(__xludf.DUMMYFUNCTION("""COMPUTED_VALUE"""),"Neck")</f>
        <v>Neck</v>
      </c>
      <c r="E789" s="1">
        <f>IFERROR(__xludf.DUMMYFUNCTION("""COMPUTED_VALUE"""),1.0)</f>
        <v>1</v>
      </c>
      <c r="F789" s="1" t="str">
        <f>IFERROR(__xludf.DUMMYFUNCTION("""COMPUTED_VALUE""")," ++Doubles all items harvested from your farms")</f>
        <v> ++Doubles all items harvested from your farms</v>
      </c>
      <c r="G789" s="1">
        <f>IFERROR(__xludf.DUMMYFUNCTION("""COMPUTED_VALUE"""),0.0)</f>
        <v>0</v>
      </c>
      <c r="H789" s="1"/>
      <c r="I789" s="1"/>
      <c r="J789" s="1"/>
      <c r="K789" s="1"/>
      <c r="L789" s="1"/>
      <c r="M789" s="1"/>
      <c r="N789" s="1"/>
      <c r="O789" s="1"/>
      <c r="P789" s="1"/>
      <c r="Q789" s="1"/>
      <c r="R789" s="1"/>
      <c r="S789" s="1"/>
      <c r="T789" s="1"/>
      <c r="U789" s="1"/>
      <c r="V789" s="1"/>
      <c r="W789" s="1"/>
      <c r="X789" s="1"/>
      <c r="Y789" s="1"/>
      <c r="Z789" s="1"/>
      <c r="AA789" s="1"/>
    </row>
    <row r="790" ht="15.75" customHeight="1">
      <c r="A790" s="1" t="str">
        <f>IFERROR(__xludf.DUMMYFUNCTION("""COMPUTED_VALUE"""),"Ancient Chef's Soul In A Bottle")</f>
        <v>Ancient Chef's Soul In A Bottle</v>
      </c>
      <c r="B790" s="1"/>
      <c r="C790" s="1" t="str">
        <f>IFERROR(__xludf.DUMMYFUNCTION("""COMPUTED_VALUE"""),"Item")</f>
        <v>Item</v>
      </c>
      <c r="D790" s="1" t="str">
        <f>IFERROR(__xludf.DUMMYFUNCTION("""COMPUTED_VALUE"""),"Neck")</f>
        <v>Neck</v>
      </c>
      <c r="E790" s="1">
        <f>IFERROR(__xludf.DUMMYFUNCTION("""COMPUTED_VALUE"""),1.0)</f>
        <v>1</v>
      </c>
      <c r="F790" s="1" t="str">
        <f>IFERROR(__xludf.DUMMYFUNCTION("""COMPUTED_VALUE""")," ++Doubles the effect of all food items cooked")</f>
        <v> ++Doubles the effect of all food items cooked</v>
      </c>
      <c r="G790" s="1">
        <f>IFERROR(__xludf.DUMMYFUNCTION("""COMPUTED_VALUE"""),0.0)</f>
        <v>0</v>
      </c>
      <c r="H790" s="1"/>
      <c r="I790" s="1"/>
      <c r="J790" s="1"/>
      <c r="K790" s="1"/>
      <c r="L790" s="1"/>
      <c r="M790" s="1"/>
      <c r="N790" s="1"/>
      <c r="O790" s="1"/>
      <c r="P790" s="1"/>
      <c r="Q790" s="1"/>
      <c r="R790" s="1"/>
      <c r="S790" s="1"/>
      <c r="T790" s="1"/>
      <c r="U790" s="1"/>
      <c r="V790" s="1"/>
      <c r="W790" s="1"/>
      <c r="X790" s="1"/>
      <c r="Y790" s="1"/>
      <c r="Z790" s="1"/>
      <c r="AA790" s="1"/>
    </row>
    <row r="791" ht="15.75" customHeight="1">
      <c r="A791" s="1" t="str">
        <f>IFERROR(__xludf.DUMMYFUNCTION("""COMPUTED_VALUE"""),"Ancient Miner's Soul In A Bottle")</f>
        <v>Ancient Miner's Soul In A Bottle</v>
      </c>
      <c r="B791" s="1"/>
      <c r="C791" s="1" t="str">
        <f>IFERROR(__xludf.DUMMYFUNCTION("""COMPUTED_VALUE"""),"Item")</f>
        <v>Item</v>
      </c>
      <c r="D791" s="1" t="str">
        <f>IFERROR(__xludf.DUMMYFUNCTION("""COMPUTED_VALUE"""),"Neck")</f>
        <v>Neck</v>
      </c>
      <c r="E791" s="1">
        <f>IFERROR(__xludf.DUMMYFUNCTION("""COMPUTED_VALUE"""),1.0)</f>
        <v>1</v>
      </c>
      <c r="F791" s="1" t="str">
        <f>IFERROR(__xludf.DUMMYFUNCTION("""COMPUTED_VALUE""")," ++Doubles all minerals obtained while mining")</f>
        <v> ++Doubles all minerals obtained while mining</v>
      </c>
      <c r="G791" s="1">
        <f>IFERROR(__xludf.DUMMYFUNCTION("""COMPUTED_VALUE"""),0.0)</f>
        <v>0</v>
      </c>
      <c r="H791" s="1"/>
      <c r="I791" s="1"/>
      <c r="J791" s="1"/>
      <c r="K791" s="1"/>
      <c r="L791" s="1"/>
      <c r="M791" s="1"/>
      <c r="N791" s="1"/>
      <c r="O791" s="1"/>
      <c r="P791" s="1"/>
      <c r="Q791" s="1"/>
      <c r="R791" s="1"/>
      <c r="S791" s="1"/>
      <c r="T791" s="1"/>
      <c r="U791" s="1"/>
      <c r="V791" s="1"/>
      <c r="W791" s="1"/>
      <c r="X791" s="1"/>
      <c r="Y791" s="1"/>
      <c r="Z791" s="1"/>
      <c r="AA791" s="1"/>
    </row>
    <row r="792" ht="15.75" customHeight="1">
      <c r="A792" s="1" t="str">
        <f>IFERROR(__xludf.DUMMYFUNCTION("""COMPUTED_VALUE"""),"Ancient Spira Guard's Soul In A Bottle")</f>
        <v>Ancient Spira Guard's Soul In A Bottle</v>
      </c>
      <c r="B792" s="1"/>
      <c r="C792" s="1" t="str">
        <f>IFERROR(__xludf.DUMMYFUNCTION("""COMPUTED_VALUE"""),"Item")</f>
        <v>Item</v>
      </c>
      <c r="D792" s="1" t="str">
        <f>IFERROR(__xludf.DUMMYFUNCTION("""COMPUTED_VALUE"""),"Neck")</f>
        <v>Neck</v>
      </c>
      <c r="E792" s="1">
        <f>IFERROR(__xludf.DUMMYFUNCTION("""COMPUTED_VALUE"""),1.0)</f>
        <v>1</v>
      </c>
      <c r="F792" s="1" t="str">
        <f>IFERROR(__xludf.DUMMYFUNCTION("""COMPUTED_VALUE""")," ++Add +5 to all rolls to arrest")</f>
        <v> ++Add +5 to all rolls to arrest</v>
      </c>
      <c r="G792" s="1">
        <f>IFERROR(__xludf.DUMMYFUNCTION("""COMPUTED_VALUE"""),0.0)</f>
        <v>0</v>
      </c>
      <c r="H792" s="1"/>
      <c r="I792" s="1"/>
      <c r="J792" s="1"/>
      <c r="K792" s="1"/>
      <c r="L792" s="1"/>
      <c r="M792" s="1"/>
      <c r="N792" s="1"/>
      <c r="O792" s="1"/>
      <c r="P792" s="1"/>
      <c r="Q792" s="1"/>
      <c r="R792" s="1"/>
      <c r="S792" s="1"/>
      <c r="T792" s="1"/>
      <c r="U792" s="1"/>
      <c r="V792" s="1"/>
      <c r="W792" s="1"/>
      <c r="X792" s="1"/>
      <c r="Y792" s="1"/>
      <c r="Z792" s="1"/>
      <c r="AA792" s="1"/>
    </row>
    <row r="793" ht="15.75" customHeight="1">
      <c r="A793" s="1" t="str">
        <f>IFERROR(__xludf.DUMMYFUNCTION("""COMPUTED_VALUE"""),"Ancient Fisherman's Soul In A Bottle")</f>
        <v>Ancient Fisherman's Soul In A Bottle</v>
      </c>
      <c r="B793" s="1"/>
      <c r="C793" s="1" t="str">
        <f>IFERROR(__xludf.DUMMYFUNCTION("""COMPUTED_VALUE"""),"Item")</f>
        <v>Item</v>
      </c>
      <c r="D793" s="1" t="str">
        <f>IFERROR(__xludf.DUMMYFUNCTION("""COMPUTED_VALUE"""),"Neck")</f>
        <v>Neck</v>
      </c>
      <c r="E793" s="1">
        <f>IFERROR(__xludf.DUMMYFUNCTION("""COMPUTED_VALUE"""),1.0)</f>
        <v>1</v>
      </c>
      <c r="F793" s="1" t="str">
        <f>IFERROR(__xludf.DUMMYFUNCTION("""COMPUTED_VALUE""")," ++Doubles all fish obtained while fishing")</f>
        <v> ++Doubles all fish obtained while fishing</v>
      </c>
      <c r="G793" s="1">
        <f>IFERROR(__xludf.DUMMYFUNCTION("""COMPUTED_VALUE"""),0.0)</f>
        <v>0</v>
      </c>
      <c r="H793" s="1"/>
      <c r="I793" s="1"/>
      <c r="J793" s="1"/>
      <c r="K793" s="1"/>
      <c r="L793" s="1"/>
      <c r="M793" s="1"/>
      <c r="N793" s="1"/>
      <c r="O793" s="1"/>
      <c r="P793" s="1"/>
      <c r="Q793" s="1"/>
      <c r="R793" s="1"/>
      <c r="S793" s="1"/>
      <c r="T793" s="1"/>
      <c r="U793" s="1"/>
      <c r="V793" s="1"/>
      <c r="W793" s="1"/>
      <c r="X793" s="1"/>
      <c r="Y793" s="1"/>
      <c r="Z793" s="1"/>
      <c r="AA793" s="1"/>
    </row>
    <row r="794" ht="15.75" customHeight="1">
      <c r="A794" s="1" t="str">
        <f>IFERROR(__xludf.DUMMYFUNCTION("""COMPUTED_VALUE"""),"The Thumper")</f>
        <v>The Thumper</v>
      </c>
      <c r="B794" s="1"/>
      <c r="C794" s="1" t="str">
        <f>IFERROR(__xludf.DUMMYFUNCTION("""COMPUTED_VALUE"""),"Firearm")</f>
        <v>Firearm</v>
      </c>
      <c r="D794" s="1" t="str">
        <f>IFERROR(__xludf.DUMMYFUNCTION("""COMPUTED_VALUE"""),"Hand")</f>
        <v>Hand</v>
      </c>
      <c r="E794" s="1">
        <f>IFERROR(__xludf.DUMMYFUNCTION("""COMPUTED_VALUE"""),200.0)</f>
        <v>200</v>
      </c>
      <c r="F794" s="1" t="str">
        <f>IFERROR(__xludf.DUMMYFUNCTION("""COMPUTED_VALUE"""),"Dmg: +5000, Physical Dmg: +5000 ++Fires 3 Grenades, +-Uses Grenades as Ammo +-Cannot Be Forged or Duplicated")</f>
        <v>Dmg: +5000, Physical Dmg: +5000 ++Fires 3 Grenades, +-Uses Grenades as Ammo +-Cannot Be Forged or Duplicated</v>
      </c>
      <c r="G794" s="1">
        <f>IFERROR(__xludf.DUMMYFUNCTION("""COMPUTED_VALUE"""),1900000.0)</f>
        <v>1900000</v>
      </c>
      <c r="H794" s="1"/>
      <c r="I794" s="1"/>
      <c r="J794" s="1"/>
      <c r="K794" s="1"/>
      <c r="L794" s="1"/>
      <c r="M794" s="1"/>
      <c r="N794" s="1"/>
      <c r="O794" s="1"/>
      <c r="P794" s="1"/>
      <c r="Q794" s="1"/>
      <c r="R794" s="1"/>
      <c r="S794" s="1"/>
      <c r="T794" s="1"/>
      <c r="U794" s="1"/>
      <c r="V794" s="1"/>
      <c r="W794" s="1"/>
      <c r="X794" s="1"/>
      <c r="Y794" s="1"/>
      <c r="Z794" s="1"/>
      <c r="AA794" s="1"/>
    </row>
    <row r="795" ht="15.75" customHeight="1">
      <c r="A795" s="1" t="str">
        <f>IFERROR(__xludf.DUMMYFUNCTION("""COMPUTED_VALUE"""),"Undead King's Sword")</f>
        <v>Undead King's Sword</v>
      </c>
      <c r="B795" s="1"/>
      <c r="C795" s="1" t="str">
        <f>IFERROR(__xludf.DUMMYFUNCTION("""COMPUTED_VALUE"""),"Sword")</f>
        <v>Sword</v>
      </c>
      <c r="D795" s="1" t="str">
        <f>IFERROR(__xludf.DUMMYFUNCTION("""COMPUTED_VALUE"""),"Hand")</f>
        <v>Hand</v>
      </c>
      <c r="E795" s="1">
        <f>IFERROR(__xludf.DUMMYFUNCTION("""COMPUTED_VALUE"""),1.0)</f>
        <v>1</v>
      </c>
      <c r="F795" s="1" t="str">
        <f>IFERROR(__xludf.DUMMYFUNCTION("""COMPUTED_VALUE"""),"")</f>
        <v/>
      </c>
      <c r="G795" s="1">
        <f>IFERROR(__xludf.DUMMYFUNCTION("""COMPUTED_VALUE"""),0.0)</f>
        <v>0</v>
      </c>
      <c r="H795" s="1"/>
      <c r="I795" s="1"/>
      <c r="J795" s="1"/>
      <c r="K795" s="1"/>
      <c r="L795" s="1"/>
      <c r="M795" s="1"/>
      <c r="N795" s="1"/>
      <c r="O795" s="1"/>
      <c r="P795" s="1"/>
      <c r="Q795" s="1"/>
      <c r="R795" s="1"/>
      <c r="S795" s="1"/>
      <c r="T795" s="1"/>
      <c r="U795" s="1"/>
      <c r="V795" s="1"/>
      <c r="W795" s="1"/>
      <c r="X795" s="1"/>
      <c r="Y795" s="1"/>
      <c r="Z795" s="1"/>
      <c r="AA795" s="1"/>
    </row>
    <row r="796" ht="15.75" customHeight="1">
      <c r="A796" s="1" t="str">
        <f>IFERROR(__xludf.DUMMYFUNCTION("""COMPUTED_VALUE"""),"Trapper's Monocle")</f>
        <v>Trapper's Monocle</v>
      </c>
      <c r="B796" s="1"/>
      <c r="C796" s="1" t="str">
        <f>IFERROR(__xludf.DUMMYFUNCTION("""COMPUTED_VALUE"""),"Item")</f>
        <v>Item</v>
      </c>
      <c r="D796" s="1" t="str">
        <f>IFERROR(__xludf.DUMMYFUNCTION("""COMPUTED_VALUE"""),"Head")</f>
        <v>Head</v>
      </c>
      <c r="E796" s="1">
        <f>IFERROR(__xludf.DUMMYFUNCTION("""COMPUTED_VALUE"""),1.0)</f>
        <v>1</v>
      </c>
      <c r="F796" s="1" t="str">
        <f>IFERROR(__xludf.DUMMYFUNCTION("""COMPUTED_VALUE""")," ++5 to any roll to disarm or avoid a trap.")</f>
        <v> ++5 to any roll to disarm or avoid a trap.</v>
      </c>
      <c r="G796" s="1">
        <f>IFERROR(__xludf.DUMMYFUNCTION("""COMPUTED_VALUE"""),0.0)</f>
        <v>0</v>
      </c>
      <c r="H796" s="1"/>
      <c r="I796" s="1"/>
      <c r="J796" s="1"/>
      <c r="K796" s="1"/>
      <c r="L796" s="1"/>
      <c r="M796" s="1"/>
      <c r="N796" s="1"/>
      <c r="O796" s="1"/>
      <c r="P796" s="1"/>
      <c r="Q796" s="1"/>
      <c r="R796" s="1"/>
      <c r="S796" s="1"/>
      <c r="T796" s="1"/>
      <c r="U796" s="1"/>
      <c r="V796" s="1"/>
      <c r="W796" s="1"/>
      <c r="X796" s="1"/>
      <c r="Y796" s="1"/>
      <c r="Z796" s="1"/>
      <c r="AA796" s="1"/>
    </row>
    <row r="797" ht="15.75" customHeight="1">
      <c r="A797" s="1" t="str">
        <f>IFERROR(__xludf.DUMMYFUNCTION("""COMPUTED_VALUE"""),"Dragon's Dogma")</f>
        <v>Dragon's Dogma</v>
      </c>
      <c r="B797" s="1"/>
      <c r="C797" s="1" t="str">
        <f>IFERROR(__xludf.DUMMYFUNCTION("""COMPUTED_VALUE"""),"Sword")</f>
        <v>Sword</v>
      </c>
      <c r="D797" s="1" t="str">
        <f>IFERROR(__xludf.DUMMYFUNCTION("""COMPUTED_VALUE"""),"Hand")</f>
        <v>Hand</v>
      </c>
      <c r="E797" s="1">
        <f>IFERROR(__xludf.DUMMYFUNCTION("""COMPUTED_VALUE"""),200.0)</f>
        <v>200</v>
      </c>
      <c r="F797" s="1" t="str">
        <f>IFERROR(__xludf.DUMMYFUNCTION("""COMPUTED_VALUE"""),"DMG: +250000, Celestial DMG: +50000 TBD")</f>
        <v>DMG: +250000, Celestial DMG: +50000 TBD</v>
      </c>
      <c r="G797" s="1">
        <f>IFERROR(__xludf.DUMMYFUNCTION("""COMPUTED_VALUE"""),1.797E9)</f>
        <v>1797000000</v>
      </c>
      <c r="H797" s="1"/>
      <c r="I797" s="1"/>
      <c r="J797" s="1"/>
      <c r="K797" s="1"/>
      <c r="L797" s="1"/>
      <c r="M797" s="1"/>
      <c r="N797" s="1"/>
      <c r="O797" s="1"/>
      <c r="P797" s="1"/>
      <c r="Q797" s="1"/>
      <c r="R797" s="1"/>
      <c r="S797" s="1"/>
      <c r="T797" s="1"/>
      <c r="U797" s="1"/>
      <c r="V797" s="1"/>
      <c r="W797" s="1"/>
      <c r="X797" s="1"/>
      <c r="Y797" s="1"/>
      <c r="Z797" s="1"/>
      <c r="AA797" s="1"/>
    </row>
    <row r="798" ht="15.75" customHeight="1">
      <c r="A798" s="1" t="str">
        <f>IFERROR(__xludf.DUMMYFUNCTION("""COMPUTED_VALUE"""),"Dragon's Dread")</f>
        <v>Dragon's Dread</v>
      </c>
      <c r="B798" s="1"/>
      <c r="C798" s="1" t="str">
        <f>IFERROR(__xludf.DUMMYFUNCTION("""COMPUTED_VALUE"""),"Bow")</f>
        <v>Bow</v>
      </c>
      <c r="D798" s="1" t="str">
        <f>IFERROR(__xludf.DUMMYFUNCTION("""COMPUTED_VALUE"""),"Hand")</f>
        <v>Hand</v>
      </c>
      <c r="E798" s="1">
        <f>IFERROR(__xludf.DUMMYFUNCTION("""COMPUTED_VALUE"""),200.0)</f>
        <v>200</v>
      </c>
      <c r="F798" s="1"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
        <f>IFERROR(__xludf.DUMMYFUNCTION("""COMPUTED_VALUE"""),7.194E9)</f>
        <v>7194000000</v>
      </c>
      <c r="H798" s="1"/>
      <c r="I798" s="1"/>
      <c r="J798" s="1"/>
      <c r="K798" s="1"/>
      <c r="L798" s="1"/>
      <c r="M798" s="1"/>
      <c r="N798" s="1"/>
      <c r="O798" s="1"/>
      <c r="P798" s="1"/>
      <c r="Q798" s="1"/>
      <c r="R798" s="1"/>
      <c r="S798" s="1"/>
      <c r="T798" s="1"/>
      <c r="U798" s="1"/>
      <c r="V798" s="1"/>
      <c r="W798" s="1"/>
      <c r="X798" s="1"/>
      <c r="Y798" s="1"/>
      <c r="Z798" s="1"/>
      <c r="AA798" s="1"/>
    </row>
    <row r="799" ht="15.75" customHeight="1">
      <c r="A799" s="1" t="str">
        <f>IFERROR(__xludf.DUMMYFUNCTION("""COMPUTED_VALUE"""),"Dragon's Dream Breaker")</f>
        <v>Dragon's Dream Breaker</v>
      </c>
      <c r="B799" s="1"/>
      <c r="C799" s="1" t="str">
        <f>IFERROR(__xludf.DUMMYFUNCTION("""COMPUTED_VALUE"""),"Claw")</f>
        <v>Claw</v>
      </c>
      <c r="D799" s="1" t="str">
        <f>IFERROR(__xludf.DUMMYFUNCTION("""COMPUTED_VALUE"""),"Hand")</f>
        <v>Hand</v>
      </c>
      <c r="E799" s="1">
        <f>IFERROR(__xludf.DUMMYFUNCTION("""COMPUTED_VALUE"""),200.0)</f>
        <v>200</v>
      </c>
      <c r="F799" s="1" t="str">
        <f>IFERROR(__xludf.DUMMYFUNCTION("""COMPUTED_VALUE"""),"DMG: +600000, Celestial DMG: +600000 TBD")</f>
        <v>DMG: +600000, Celestial DMG: +600000 TBD</v>
      </c>
      <c r="G799" s="1">
        <f>IFERROR(__xludf.DUMMYFUNCTION("""COMPUTED_VALUE"""),2.8788E10)</f>
        <v>28788000000</v>
      </c>
      <c r="H799" s="1"/>
      <c r="I799" s="1"/>
      <c r="J799" s="1"/>
      <c r="K799" s="1"/>
      <c r="L799" s="1"/>
      <c r="M799" s="1"/>
      <c r="N799" s="1"/>
      <c r="O799" s="1"/>
      <c r="P799" s="1"/>
      <c r="Q799" s="1"/>
      <c r="R799" s="1"/>
      <c r="S799" s="1"/>
      <c r="T799" s="1"/>
      <c r="U799" s="1"/>
      <c r="V799" s="1"/>
      <c r="W799" s="1"/>
      <c r="X799" s="1"/>
      <c r="Y799" s="1"/>
      <c r="Z799" s="1"/>
      <c r="AA799" s="1"/>
    </row>
    <row r="800" ht="15.75" customHeight="1">
      <c r="A800" s="1" t="str">
        <f>IFERROR(__xludf.DUMMYFUNCTION("""COMPUTED_VALUE"""),"Dragon's Draught")</f>
        <v>Dragon's Draught</v>
      </c>
      <c r="B800" s="1"/>
      <c r="C800" s="1" t="str">
        <f>IFERROR(__xludf.DUMMYFUNCTION("""COMPUTED_VALUE"""),"Staff")</f>
        <v>Staff</v>
      </c>
      <c r="D800" s="1" t="str">
        <f>IFERROR(__xludf.DUMMYFUNCTION("""COMPUTED_VALUE"""),"Hand")</f>
        <v>Hand</v>
      </c>
      <c r="E800" s="1">
        <f>IFERROR(__xludf.DUMMYFUNCTION("""COMPUTED_VALUE"""),1.0)</f>
        <v>1</v>
      </c>
      <c r="F800" s="1" t="str">
        <f>IFERROR(__xludf.DUMMYFUNCTION("""COMPUTED_VALUE""")," TBD")</f>
        <v> TBD</v>
      </c>
      <c r="G800" s="1">
        <f>IFERROR(__xludf.DUMMYFUNCTION("""COMPUTED_VALUE"""),0.0)</f>
        <v>0</v>
      </c>
      <c r="H800" s="1"/>
      <c r="I800" s="1"/>
      <c r="J800" s="1"/>
      <c r="K800" s="1"/>
      <c r="L800" s="1"/>
      <c r="M800" s="1"/>
      <c r="N800" s="1"/>
      <c r="O800" s="1"/>
      <c r="P800" s="1"/>
      <c r="Q800" s="1"/>
      <c r="R800" s="1"/>
      <c r="S800" s="1"/>
      <c r="T800" s="1"/>
      <c r="U800" s="1"/>
      <c r="V800" s="1"/>
      <c r="W800" s="1"/>
      <c r="X800" s="1"/>
      <c r="Y800" s="1"/>
      <c r="Z800" s="1"/>
      <c r="AA800" s="1"/>
    </row>
    <row r="801" ht="15.75" customHeight="1">
      <c r="A801" s="1" t="str">
        <f>IFERROR(__xludf.DUMMYFUNCTION("""COMPUTED_VALUE"""),"Dragon's Damnation")</f>
        <v>Dragon's Damnation</v>
      </c>
      <c r="B801" s="1"/>
      <c r="C801" s="1" t="str">
        <f>IFERROR(__xludf.DUMMYFUNCTION("""COMPUTED_VALUE"""),"Gauntlet")</f>
        <v>Gauntlet</v>
      </c>
      <c r="D801" s="1" t="str">
        <f>IFERROR(__xludf.DUMMYFUNCTION("""COMPUTED_VALUE"""),"Hand")</f>
        <v>Hand</v>
      </c>
      <c r="E801" s="1">
        <f>IFERROR(__xludf.DUMMYFUNCTION("""COMPUTED_VALUE"""),200.0)</f>
        <v>200</v>
      </c>
      <c r="F801" s="1"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
        <f>IFERROR(__xludf.DUMMYFUNCTION("""COMPUTED_VALUE"""),2.8788E10)</f>
        <v>28788000000</v>
      </c>
      <c r="H801" s="1"/>
      <c r="I801" s="1"/>
      <c r="J801" s="1"/>
      <c r="K801" s="1"/>
      <c r="L801" s="1"/>
      <c r="M801" s="1"/>
      <c r="N801" s="1"/>
      <c r="O801" s="1"/>
      <c r="P801" s="1"/>
      <c r="Q801" s="1"/>
      <c r="R801" s="1"/>
      <c r="S801" s="1"/>
      <c r="T801" s="1"/>
      <c r="U801" s="1"/>
      <c r="V801" s="1"/>
      <c r="W801" s="1"/>
      <c r="X801" s="1"/>
      <c r="Y801" s="1"/>
      <c r="Z801" s="1"/>
      <c r="AA801" s="1"/>
    </row>
    <row r="802" ht="15.75" customHeight="1">
      <c r="A802" s="1" t="str">
        <f>IFERROR(__xludf.DUMMYFUNCTION("""COMPUTED_VALUE"""),"Dragon's Destruction")</f>
        <v>Dragon's Destruction</v>
      </c>
      <c r="B802" s="1"/>
      <c r="C802" s="1" t="str">
        <f>IFERROR(__xludf.DUMMYFUNCTION("""COMPUTED_VALUE"""),"Spear")</f>
        <v>Spear</v>
      </c>
      <c r="D802" s="1" t="str">
        <f>IFERROR(__xludf.DUMMYFUNCTION("""COMPUTED_VALUE"""),"Hand")</f>
        <v>Hand</v>
      </c>
      <c r="E802" s="1">
        <f>IFERROR(__xludf.DUMMYFUNCTION("""COMPUTED_VALUE"""),200.0)</f>
        <v>200</v>
      </c>
      <c r="F802" s="1"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
        <f>IFERROR(__xludf.DUMMYFUNCTION("""COMPUTED_VALUE"""),2.8788E10)</f>
        <v>28788000000</v>
      </c>
      <c r="H802" s="1"/>
      <c r="I802" s="1"/>
      <c r="J802" s="1"/>
      <c r="K802" s="1"/>
      <c r="L802" s="1"/>
      <c r="M802" s="1"/>
      <c r="N802" s="1"/>
      <c r="O802" s="1"/>
      <c r="P802" s="1"/>
      <c r="Q802" s="1"/>
      <c r="R802" s="1"/>
      <c r="S802" s="1"/>
      <c r="T802" s="1"/>
      <c r="U802" s="1"/>
      <c r="V802" s="1"/>
      <c r="W802" s="1"/>
      <c r="X802" s="1"/>
      <c r="Y802" s="1"/>
      <c r="Z802" s="1"/>
      <c r="AA802" s="1"/>
    </row>
    <row r="803" ht="15.75" customHeight="1">
      <c r="A803" s="1" t="str">
        <f>IFERROR(__xludf.DUMMYFUNCTION("""COMPUTED_VALUE"""),"Confining Collar")</f>
        <v>Confining Collar</v>
      </c>
      <c r="B803" s="1"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 t="str">
        <f>IFERROR(__xludf.DUMMYFUNCTION("""COMPUTED_VALUE"""),"Item")</f>
        <v>Item</v>
      </c>
      <c r="D803" s="1" t="str">
        <f>IFERROR(__xludf.DUMMYFUNCTION("""COMPUTED_VALUE"""),"Neck")</f>
        <v>Neck</v>
      </c>
      <c r="E803" s="1">
        <f>IFERROR(__xludf.DUMMYFUNCTION("""COMPUTED_VALUE"""),100.0)</f>
        <v>100</v>
      </c>
      <c r="F803" s="1" t="str">
        <f>IFERROR(__xludf.DUMMYFUNCTION("""COMPUTED_VALUE"""),"DEF: +5000 +-5 to all rolls, +-Upon being worn can only be removed after 15 days of travel")</f>
        <v>DEF: +5000 +-5 to all rolls, +-Upon being worn can only be removed after 15 days of travel</v>
      </c>
      <c r="G803" s="1">
        <f>IFERROR(__xludf.DUMMYFUNCTION("""COMPUTED_VALUE"""),450000.0)</f>
        <v>450000</v>
      </c>
      <c r="H803" s="1"/>
      <c r="I803" s="1"/>
      <c r="J803" s="1"/>
      <c r="K803" s="1"/>
      <c r="L803" s="1"/>
      <c r="M803" s="1"/>
      <c r="N803" s="1"/>
      <c r="O803" s="1"/>
      <c r="P803" s="1"/>
      <c r="Q803" s="1"/>
      <c r="R803" s="1"/>
      <c r="S803" s="1"/>
      <c r="T803" s="1"/>
      <c r="U803" s="1"/>
      <c r="V803" s="1"/>
      <c r="W803" s="1"/>
      <c r="X803" s="1"/>
      <c r="Y803" s="1"/>
      <c r="Z803" s="1"/>
      <c r="AA803" s="1"/>
    </row>
    <row r="804" ht="15.75" customHeight="1">
      <c r="A804" s="1" t="str">
        <f>IFERROR(__xludf.DUMMYFUNCTION("""COMPUTED_VALUE"""),"Shiv")</f>
        <v>Shiv</v>
      </c>
      <c r="B804" s="1"/>
      <c r="C804" s="1" t="str">
        <f>IFERROR(__xludf.DUMMYFUNCTION("""COMPUTED_VALUE"""),"Knife")</f>
        <v>Knife</v>
      </c>
      <c r="D804" s="1" t="str">
        <f>IFERROR(__xludf.DUMMYFUNCTION("""COMPUTED_VALUE"""),"Hand")</f>
        <v>Hand</v>
      </c>
      <c r="E804" s="1">
        <f>IFERROR(__xludf.DUMMYFUNCTION("""COMPUTED_VALUE"""),4000.0)</f>
        <v>4000</v>
      </c>
      <c r="F804" s="1" t="str">
        <f>IFERROR(__xludf.DUMMYFUNCTION("""COMPUTED_VALUE"""),"DMG: +200000 ++has a 5% chance to give a random disease to any creature hit with this weapon.")</f>
        <v>DMG: +200000 ++has a 5% chance to give a random disease to any creature hit with this weapon.</v>
      </c>
      <c r="G804" s="1">
        <f>IFERROR(__xludf.DUMMYFUNCTION("""COMPUTED_VALUE"""),7.98E8)</f>
        <v>798000000</v>
      </c>
      <c r="H804" s="1"/>
      <c r="I804" s="1"/>
      <c r="J804" s="1"/>
      <c r="K804" s="1"/>
      <c r="L804" s="1"/>
      <c r="M804" s="1"/>
      <c r="N804" s="1"/>
      <c r="O804" s="1"/>
      <c r="P804" s="1"/>
      <c r="Q804" s="1"/>
      <c r="R804" s="1"/>
      <c r="S804" s="1"/>
      <c r="T804" s="1"/>
      <c r="U804" s="1"/>
      <c r="V804" s="1"/>
      <c r="W804" s="1"/>
      <c r="X804" s="1"/>
      <c r="Y804" s="1"/>
      <c r="Z804" s="1"/>
      <c r="AA804" s="1"/>
    </row>
    <row r="805" ht="15.75" customHeight="1">
      <c r="A805" s="1" t="str">
        <f>IFERROR(__xludf.DUMMYFUNCTION("""COMPUTED_VALUE"""),"Inmate's Cap")</f>
        <v>Inmate's Cap</v>
      </c>
      <c r="B805" s="1"/>
      <c r="C805" s="1" t="str">
        <f>IFERROR(__xludf.DUMMYFUNCTION("""COMPUTED_VALUE"""),"Item")</f>
        <v>Item</v>
      </c>
      <c r="D805" s="1" t="str">
        <f>IFERROR(__xludf.DUMMYFUNCTION("""COMPUTED_VALUE"""),"Head")</f>
        <v>Head</v>
      </c>
      <c r="E805" s="1">
        <f>IFERROR(__xludf.DUMMYFUNCTION("""COMPUTED_VALUE"""),2000.0)</f>
        <v>2000</v>
      </c>
      <c r="F805" s="1" t="str">
        <f>IFERROR(__xludf.DUMMYFUNCTION("""COMPUTED_VALUE"""),"DEF: +100000 ++has a 5% chance to avoid beng arrested without fail.")</f>
        <v>DEF: +100000 ++has a 5% chance to avoid beng arrested without fail.</v>
      </c>
      <c r="G805" s="1">
        <f>IFERROR(__xludf.DUMMYFUNCTION("""COMPUTED_VALUE"""),1.99E8)</f>
        <v>199000000</v>
      </c>
      <c r="H805" s="1"/>
      <c r="I805" s="1"/>
      <c r="J805" s="1"/>
      <c r="K805" s="1"/>
      <c r="L805" s="1"/>
      <c r="M805" s="1"/>
      <c r="N805" s="1"/>
      <c r="O805" s="1"/>
      <c r="P805" s="1"/>
      <c r="Q805" s="1"/>
      <c r="R805" s="1"/>
      <c r="S805" s="1"/>
      <c r="T805" s="1"/>
      <c r="U805" s="1"/>
      <c r="V805" s="1"/>
      <c r="W805" s="1"/>
      <c r="X805" s="1"/>
      <c r="Y805" s="1"/>
      <c r="Z805" s="1"/>
      <c r="AA805" s="1"/>
    </row>
    <row r="806" ht="15.75" customHeight="1">
      <c r="A806" s="1" t="str">
        <f>IFERROR(__xludf.DUMMYFUNCTION("""COMPUTED_VALUE"""),"Inmate's Shirt")</f>
        <v>Inmate's Shirt</v>
      </c>
      <c r="B806" s="1"/>
      <c r="C806" s="1" t="str">
        <f>IFERROR(__xludf.DUMMYFUNCTION("""COMPUTED_VALUE"""),"Item")</f>
        <v>Item</v>
      </c>
      <c r="D806" s="1" t="str">
        <f>IFERROR(__xludf.DUMMYFUNCTION("""COMPUTED_VALUE"""),"Torso")</f>
        <v>Torso</v>
      </c>
      <c r="E806" s="1">
        <f>IFERROR(__xludf.DUMMYFUNCTION("""COMPUTED_VALUE"""),2000.0)</f>
        <v>2000</v>
      </c>
      <c r="F806" s="1" t="str">
        <f>IFERROR(__xludf.DUMMYFUNCTION("""COMPUTED_VALUE"""),"DEF: +100000 ++has a 5% chance to avoid beng arrested without fail.")</f>
        <v>DEF: +100000 ++has a 5% chance to avoid beng arrested without fail.</v>
      </c>
      <c r="G806" s="1">
        <f>IFERROR(__xludf.DUMMYFUNCTION("""COMPUTED_VALUE"""),1.99E8)</f>
        <v>199000000</v>
      </c>
      <c r="H806" s="1"/>
      <c r="I806" s="1"/>
      <c r="J806" s="1"/>
      <c r="K806" s="1"/>
      <c r="L806" s="1"/>
      <c r="M806" s="1"/>
      <c r="N806" s="1"/>
      <c r="O806" s="1"/>
      <c r="P806" s="1"/>
      <c r="Q806" s="1"/>
      <c r="R806" s="1"/>
      <c r="S806" s="1"/>
      <c r="T806" s="1"/>
      <c r="U806" s="1"/>
      <c r="V806" s="1"/>
      <c r="W806" s="1"/>
      <c r="X806" s="1"/>
      <c r="Y806" s="1"/>
      <c r="Z806" s="1"/>
      <c r="AA806" s="1"/>
    </row>
    <row r="807" ht="15.75" customHeight="1">
      <c r="A807" s="1" t="str">
        <f>IFERROR(__xludf.DUMMYFUNCTION("""COMPUTED_VALUE"""),"Inmate's Pants")</f>
        <v>Inmate's Pants</v>
      </c>
      <c r="B807" s="1"/>
      <c r="C807" s="1" t="str">
        <f>IFERROR(__xludf.DUMMYFUNCTION("""COMPUTED_VALUE"""),"Item")</f>
        <v>Item</v>
      </c>
      <c r="D807" s="1" t="str">
        <f>IFERROR(__xludf.DUMMYFUNCTION("""COMPUTED_VALUE"""),"Legs")</f>
        <v>Legs</v>
      </c>
      <c r="E807" s="1">
        <f>IFERROR(__xludf.DUMMYFUNCTION("""COMPUTED_VALUE"""),2000.0)</f>
        <v>2000</v>
      </c>
      <c r="F807" s="1" t="str">
        <f>IFERROR(__xludf.DUMMYFUNCTION("""COMPUTED_VALUE"""),"DEF: +100000 ++has a 5% chance to avoid beng arrested without fail.")</f>
        <v>DEF: +100000 ++has a 5% chance to avoid beng arrested without fail.</v>
      </c>
      <c r="G807" s="1">
        <f>IFERROR(__xludf.DUMMYFUNCTION("""COMPUTED_VALUE"""),1.99E8)</f>
        <v>199000000</v>
      </c>
      <c r="H807" s="1"/>
      <c r="I807" s="1"/>
      <c r="J807" s="1"/>
      <c r="K807" s="1"/>
      <c r="L807" s="1"/>
      <c r="M807" s="1"/>
      <c r="N807" s="1"/>
      <c r="O807" s="1"/>
      <c r="P807" s="1"/>
      <c r="Q807" s="1"/>
      <c r="R807" s="1"/>
      <c r="S807" s="1"/>
      <c r="T807" s="1"/>
      <c r="U807" s="1"/>
      <c r="V807" s="1"/>
      <c r="W807" s="1"/>
      <c r="X807" s="1"/>
      <c r="Y807" s="1"/>
      <c r="Z807" s="1"/>
      <c r="AA807" s="1"/>
    </row>
    <row r="808" ht="15.75" customHeight="1">
      <c r="A808" s="1" t="str">
        <f>IFERROR(__xludf.DUMMYFUNCTION("""COMPUTED_VALUE"""),"Warden's Cap")</f>
        <v>Warden's Cap</v>
      </c>
      <c r="B808" s="1"/>
      <c r="C808" s="1" t="str">
        <f>IFERROR(__xludf.DUMMYFUNCTION("""COMPUTED_VALUE"""),"Item")</f>
        <v>Item</v>
      </c>
      <c r="D808" s="1" t="str">
        <f>IFERROR(__xludf.DUMMYFUNCTION("""COMPUTED_VALUE"""),"Head")</f>
        <v>Head</v>
      </c>
      <c r="E808" s="1">
        <f>IFERROR(__xludf.DUMMYFUNCTION("""COMPUTED_VALUE"""),2000.0)</f>
        <v>2000</v>
      </c>
      <c r="F808" s="1" t="str">
        <f>IFERROR(__xludf.DUMMYFUNCTION("""COMPUTED_VALUE"""),"DEF: +100000 ++X2 Damage with Clubs")</f>
        <v>DEF: +100000 ++X2 Damage with Clubs</v>
      </c>
      <c r="G808" s="1">
        <f>IFERROR(__xludf.DUMMYFUNCTION("""COMPUTED_VALUE"""),1.99E8)</f>
        <v>199000000</v>
      </c>
      <c r="H808" s="1"/>
      <c r="I808" s="1"/>
      <c r="J808" s="1"/>
      <c r="K808" s="1"/>
      <c r="L808" s="1"/>
      <c r="M808" s="1"/>
      <c r="N808" s="1"/>
      <c r="O808" s="1"/>
      <c r="P808" s="1"/>
      <c r="Q808" s="1"/>
      <c r="R808" s="1"/>
      <c r="S808" s="1"/>
      <c r="T808" s="1"/>
      <c r="U808" s="1"/>
      <c r="V808" s="1"/>
      <c r="W808" s="1"/>
      <c r="X808" s="1"/>
      <c r="Y808" s="1"/>
      <c r="Z808" s="1"/>
      <c r="AA808" s="1"/>
    </row>
    <row r="809" ht="15.75" customHeight="1">
      <c r="A809" s="1" t="str">
        <f>IFERROR(__xludf.DUMMYFUNCTION("""COMPUTED_VALUE"""),"Warden's Shirt")</f>
        <v>Warden's Shirt</v>
      </c>
      <c r="B809" s="1"/>
      <c r="C809" s="1" t="str">
        <f>IFERROR(__xludf.DUMMYFUNCTION("""COMPUTED_VALUE"""),"Item")</f>
        <v>Item</v>
      </c>
      <c r="D809" s="1" t="str">
        <f>IFERROR(__xludf.DUMMYFUNCTION("""COMPUTED_VALUE"""),"Torso")</f>
        <v>Torso</v>
      </c>
      <c r="E809" s="1">
        <f>IFERROR(__xludf.DUMMYFUNCTION("""COMPUTED_VALUE"""),2000.0)</f>
        <v>2000</v>
      </c>
      <c r="F809" s="1" t="str">
        <f>IFERROR(__xludf.DUMMYFUNCTION("""COMPUTED_VALUE"""),"DEF: +100000 ++X2 Damage with Clubs")</f>
        <v>DEF: +100000 ++X2 Damage with Clubs</v>
      </c>
      <c r="G809" s="1">
        <f>IFERROR(__xludf.DUMMYFUNCTION("""COMPUTED_VALUE"""),1.99E8)</f>
        <v>199000000</v>
      </c>
      <c r="H809" s="1"/>
      <c r="I809" s="1"/>
      <c r="J809" s="1"/>
      <c r="K809" s="1"/>
      <c r="L809" s="1"/>
      <c r="M809" s="1"/>
      <c r="N809" s="1"/>
      <c r="O809" s="1"/>
      <c r="P809" s="1"/>
      <c r="Q809" s="1"/>
      <c r="R809" s="1"/>
      <c r="S809" s="1"/>
      <c r="T809" s="1"/>
      <c r="U809" s="1"/>
      <c r="V809" s="1"/>
      <c r="W809" s="1"/>
      <c r="X809" s="1"/>
      <c r="Y809" s="1"/>
      <c r="Z809" s="1"/>
      <c r="AA809" s="1"/>
    </row>
    <row r="810" ht="15.75" customHeight="1">
      <c r="A810" s="1" t="str">
        <f>IFERROR(__xludf.DUMMYFUNCTION("""COMPUTED_VALUE"""),"Warden's Pants")</f>
        <v>Warden's Pants</v>
      </c>
      <c r="B810" s="1"/>
      <c r="C810" s="1" t="str">
        <f>IFERROR(__xludf.DUMMYFUNCTION("""COMPUTED_VALUE"""),"Item")</f>
        <v>Item</v>
      </c>
      <c r="D810" s="1" t="str">
        <f>IFERROR(__xludf.DUMMYFUNCTION("""COMPUTED_VALUE"""),"Legs")</f>
        <v>Legs</v>
      </c>
      <c r="E810" s="1">
        <f>IFERROR(__xludf.DUMMYFUNCTION("""COMPUTED_VALUE"""),2000.0)</f>
        <v>2000</v>
      </c>
      <c r="F810" s="1" t="str">
        <f>IFERROR(__xludf.DUMMYFUNCTION("""COMPUTED_VALUE"""),"DEF: +100000 ++X2 Damage with Clubs")</f>
        <v>DEF: +100000 ++X2 Damage with Clubs</v>
      </c>
      <c r="G810" s="1">
        <f>IFERROR(__xludf.DUMMYFUNCTION("""COMPUTED_VALUE"""),1.99E8)</f>
        <v>199000000</v>
      </c>
      <c r="H810" s="1"/>
      <c r="I810" s="1"/>
      <c r="J810" s="1"/>
      <c r="K810" s="1"/>
      <c r="L810" s="1"/>
      <c r="M810" s="1"/>
      <c r="N810" s="1"/>
      <c r="O810" s="1"/>
      <c r="P810" s="1"/>
      <c r="Q810" s="1"/>
      <c r="R810" s="1"/>
      <c r="S810" s="1"/>
      <c r="T810" s="1"/>
      <c r="U810" s="1"/>
      <c r="V810" s="1"/>
      <c r="W810" s="1"/>
      <c r="X810" s="1"/>
      <c r="Y810" s="1"/>
      <c r="Z810" s="1"/>
      <c r="AA810" s="1"/>
    </row>
    <row r="811" ht="15.75" customHeight="1">
      <c r="A811" s="1" t="str">
        <f>IFERROR(__xludf.DUMMYFUNCTION("""COMPUTED_VALUE"""),"Warden's Boots")</f>
        <v>Warden's Boots</v>
      </c>
      <c r="B811" s="1"/>
      <c r="C811" s="1" t="str">
        <f>IFERROR(__xludf.DUMMYFUNCTION("""COMPUTED_VALUE"""),"Item")</f>
        <v>Item</v>
      </c>
      <c r="D811" s="1" t="str">
        <f>IFERROR(__xludf.DUMMYFUNCTION("""COMPUTED_VALUE"""),"Feet")</f>
        <v>Feet</v>
      </c>
      <c r="E811" s="1">
        <f>IFERROR(__xludf.DUMMYFUNCTION("""COMPUTED_VALUE"""),2000.0)</f>
        <v>2000</v>
      </c>
      <c r="F811" s="1" t="str">
        <f>IFERROR(__xludf.DUMMYFUNCTION("""COMPUTED_VALUE"""),"DEF: +100000 ++X2 Damage with Clubs")</f>
        <v>DEF: +100000 ++X2 Damage with Clubs</v>
      </c>
      <c r="G811" s="1">
        <f>IFERROR(__xludf.DUMMYFUNCTION("""COMPUTED_VALUE"""),1.99E8)</f>
        <v>199000000</v>
      </c>
      <c r="H811" s="1"/>
      <c r="I811" s="1"/>
      <c r="J811" s="1"/>
      <c r="K811" s="1"/>
      <c r="L811" s="1"/>
      <c r="M811" s="1"/>
      <c r="N811" s="1"/>
      <c r="O811" s="1"/>
      <c r="P811" s="1"/>
      <c r="Q811" s="1"/>
      <c r="R811" s="1"/>
      <c r="S811" s="1"/>
      <c r="T811" s="1"/>
      <c r="U811" s="1"/>
      <c r="V811" s="1"/>
      <c r="W811" s="1"/>
      <c r="X811" s="1"/>
      <c r="Y811" s="1"/>
      <c r="Z811" s="1"/>
      <c r="AA811" s="1"/>
    </row>
    <row r="812" ht="15.75" customHeight="1">
      <c r="A812" s="1" t="str">
        <f>IFERROR(__xludf.DUMMYFUNCTION("""COMPUTED_VALUE"""),"Warden's Baton")</f>
        <v>Warden's Baton</v>
      </c>
      <c r="B812" s="1"/>
      <c r="C812" s="1" t="str">
        <f>IFERROR(__xludf.DUMMYFUNCTION("""COMPUTED_VALUE"""),"Club")</f>
        <v>Club</v>
      </c>
      <c r="D812" s="1" t="str">
        <f>IFERROR(__xludf.DUMMYFUNCTION("""COMPUTED_VALUE"""),"Hand")</f>
        <v>Hand</v>
      </c>
      <c r="E812" s="1">
        <f>IFERROR(__xludf.DUMMYFUNCTION("""COMPUTED_VALUE"""),4000.0)</f>
        <v>4000</v>
      </c>
      <c r="F812" s="1" t="str">
        <f>IFERROR(__xludf.DUMMYFUNCTION("""COMPUTED_VALUE"""),"DMG: +200000 ++X20 damage to any enemy wearing a confining collar.")</f>
        <v>DMG: +200000 ++X20 damage to any enemy wearing a confining collar.</v>
      </c>
      <c r="G812" s="1">
        <f>IFERROR(__xludf.DUMMYFUNCTION("""COMPUTED_VALUE"""),7.98E8)</f>
        <v>798000000</v>
      </c>
      <c r="H812" s="1"/>
      <c r="I812" s="1"/>
      <c r="J812" s="1"/>
      <c r="K812" s="1"/>
      <c r="L812" s="1"/>
      <c r="M812" s="1"/>
      <c r="N812" s="1"/>
      <c r="O812" s="1"/>
      <c r="P812" s="1"/>
      <c r="Q812" s="1"/>
      <c r="R812" s="1"/>
      <c r="S812" s="1"/>
      <c r="T812" s="1"/>
      <c r="U812" s="1"/>
      <c r="V812" s="1"/>
      <c r="W812" s="1"/>
      <c r="X812" s="1"/>
      <c r="Y812" s="1"/>
      <c r="Z812" s="1"/>
      <c r="AA812" s="1"/>
    </row>
    <row r="813" ht="15.75" customHeight="1">
      <c r="A813" s="1" t="str">
        <f>IFERROR(__xludf.DUMMYFUNCTION("""COMPUTED_VALUE"""),"Gentleman's Club")</f>
        <v>Gentleman's Club</v>
      </c>
      <c r="B813" s="1"/>
      <c r="C813" s="1" t="str">
        <f>IFERROR(__xludf.DUMMYFUNCTION("""COMPUTED_VALUE"""),"Club")</f>
        <v>Club</v>
      </c>
      <c r="D813" s="1" t="str">
        <f>IFERROR(__xludf.DUMMYFUNCTION("""COMPUTED_VALUE"""),"Hand")</f>
        <v>Hand</v>
      </c>
      <c r="E813" s="1">
        <f>IFERROR(__xludf.DUMMYFUNCTION("""COMPUTED_VALUE"""),3000.0)</f>
        <v>3000</v>
      </c>
      <c r="F813" s="1" t="str">
        <f>IFERROR(__xludf.DUMMYFUNCTION("""COMPUTED_VALUE"""),"DMG: +150000 ++Enemies hit with this weapon cannot cast spells for 2 rounds. +-Cannot be duplicated.")</f>
        <v>DMG: +150000 ++Enemies hit with this weapon cannot cast spells for 2 rounds. +-Cannot be duplicated.</v>
      </c>
      <c r="G813" s="1">
        <f>IFERROR(__xludf.DUMMYFUNCTION("""COMPUTED_VALUE"""),4.485E8)</f>
        <v>448500000</v>
      </c>
      <c r="H813" s="1"/>
      <c r="I813" s="1"/>
      <c r="J813" s="1"/>
      <c r="K813" s="1"/>
      <c r="L813" s="1"/>
      <c r="M813" s="1"/>
      <c r="N813" s="1"/>
      <c r="O813" s="1"/>
      <c r="P813" s="1"/>
      <c r="Q813" s="1"/>
      <c r="R813" s="1"/>
      <c r="S813" s="1"/>
      <c r="T813" s="1"/>
      <c r="U813" s="1"/>
      <c r="V813" s="1"/>
      <c r="W813" s="1"/>
      <c r="X813" s="1"/>
      <c r="Y813" s="1"/>
      <c r="Z813" s="1"/>
      <c r="AA813" s="1"/>
    </row>
    <row r="814" ht="15.75" customHeight="1">
      <c r="A814" s="1" t="str">
        <f>IFERROR(__xludf.DUMMYFUNCTION("""COMPUTED_VALUE"""),"Honest Shirt")</f>
        <v>Honest Shirt</v>
      </c>
      <c r="B814" s="1"/>
      <c r="C814" s="1" t="str">
        <f>IFERROR(__xludf.DUMMYFUNCTION("""COMPUTED_VALUE"""),"Item")</f>
        <v>Item</v>
      </c>
      <c r="D814" s="1" t="str">
        <f>IFERROR(__xludf.DUMMYFUNCTION("""COMPUTED_VALUE"""),"Torso")</f>
        <v>Torso</v>
      </c>
      <c r="E814" s="1">
        <f>IFERROR(__xludf.DUMMYFUNCTION("""COMPUTED_VALUE"""),2000.0)</f>
        <v>2000</v>
      </c>
      <c r="F814" s="1" t="str">
        <f>IFERROR(__xludf.DUMMYFUNCTION("""COMPUTED_VALUE"""),"DEF: +100000 ++25% chance any spell targeting the wearer fails.")</f>
        <v>DEF: +100000 ++25% chance any spell targeting the wearer fails.</v>
      </c>
      <c r="G814" s="1">
        <f>IFERROR(__xludf.DUMMYFUNCTION("""COMPUTED_VALUE"""),1.99E8)</f>
        <v>199000000</v>
      </c>
      <c r="H814" s="1"/>
      <c r="I814" s="1"/>
      <c r="J814" s="1"/>
      <c r="K814" s="1"/>
      <c r="L814" s="1"/>
      <c r="M814" s="1"/>
      <c r="N814" s="1"/>
      <c r="O814" s="1"/>
      <c r="P814" s="1"/>
      <c r="Q814" s="1"/>
      <c r="R814" s="1"/>
      <c r="S814" s="1"/>
      <c r="T814" s="1"/>
      <c r="U814" s="1"/>
      <c r="V814" s="1"/>
      <c r="W814" s="1"/>
      <c r="X814" s="1"/>
      <c r="Y814" s="1"/>
      <c r="Z814" s="1"/>
      <c r="AA814" s="1"/>
    </row>
    <row r="815" ht="15.75" customHeight="1">
      <c r="A815" s="1" t="str">
        <f>IFERROR(__xludf.DUMMYFUNCTION("""COMPUTED_VALUE"""),"Tinfoil Hat")</f>
        <v>Tinfoil Hat</v>
      </c>
      <c r="B815" s="1"/>
      <c r="C815" s="1" t="str">
        <f>IFERROR(__xludf.DUMMYFUNCTION("""COMPUTED_VALUE"""),"Item")</f>
        <v>Item</v>
      </c>
      <c r="D815" s="1" t="str">
        <f>IFERROR(__xludf.DUMMYFUNCTION("""COMPUTED_VALUE"""),"Head")</f>
        <v>Head</v>
      </c>
      <c r="E815" s="1">
        <f>IFERROR(__xludf.DUMMYFUNCTION("""COMPUTED_VALUE"""),1.0)</f>
        <v>1</v>
      </c>
      <c r="F815" s="1" t="str">
        <f>IFERROR(__xludf.DUMMYFUNCTION("""COMPUTED_VALUE""")," ++Immunity to Possession. +-Cannot be duplicated.")</f>
        <v> ++Immunity to Possession. +-Cannot be duplicated.</v>
      </c>
      <c r="G815" s="1">
        <f>IFERROR(__xludf.DUMMYFUNCTION("""COMPUTED_VALUE"""),0.0)</f>
        <v>0</v>
      </c>
      <c r="H815" s="1"/>
      <c r="I815" s="1"/>
      <c r="J815" s="1"/>
      <c r="K815" s="1"/>
      <c r="L815" s="1"/>
      <c r="M815" s="1"/>
      <c r="N815" s="1"/>
      <c r="O815" s="1"/>
      <c r="P815" s="1"/>
      <c r="Q815" s="1"/>
      <c r="R815" s="1"/>
      <c r="S815" s="1"/>
      <c r="T815" s="1"/>
      <c r="U815" s="1"/>
      <c r="V815" s="1"/>
      <c r="W815" s="1"/>
      <c r="X815" s="1"/>
      <c r="Y815" s="1"/>
      <c r="Z815" s="1"/>
      <c r="AA815" s="1"/>
    </row>
    <row r="816" ht="15.75" customHeight="1">
      <c r="A816" s="1" t="str">
        <f>IFERROR(__xludf.DUMMYFUNCTION("""COMPUTED_VALUE"""),"Anti-Magic Glasses")</f>
        <v>Anti-Magic Glasses</v>
      </c>
      <c r="B816" s="1"/>
      <c r="C816" s="1" t="str">
        <f>IFERROR(__xludf.DUMMYFUNCTION("""COMPUTED_VALUE"""),"Item")</f>
        <v>Item</v>
      </c>
      <c r="D816" s="1" t="str">
        <f>IFERROR(__xludf.DUMMYFUNCTION("""COMPUTED_VALUE"""),"Head")</f>
        <v>Head</v>
      </c>
      <c r="E816" s="1">
        <f>IFERROR(__xludf.DUMMYFUNCTION("""COMPUTED_VALUE"""),1.0)</f>
        <v>1</v>
      </c>
      <c r="F816" s="1" t="str">
        <f>IFERROR(__xludf.DUMMYFUNCTION("""COMPUTED_VALUE""")," ++Immunity to Blindness, Disorient, and Twilight. +-Cannot be duplicated")</f>
        <v> ++Immunity to Blindness, Disorient, and Twilight. +-Cannot be duplicated</v>
      </c>
      <c r="G816" s="1">
        <f>IFERROR(__xludf.DUMMYFUNCTION("""COMPUTED_VALUE"""),0.0)</f>
        <v>0</v>
      </c>
      <c r="H816" s="1"/>
      <c r="I816" s="1"/>
      <c r="J816" s="1"/>
      <c r="K816" s="1"/>
      <c r="L816" s="1"/>
      <c r="M816" s="1"/>
      <c r="N816" s="1"/>
      <c r="O816" s="1"/>
      <c r="P816" s="1"/>
      <c r="Q816" s="1"/>
      <c r="R816" s="1"/>
      <c r="S816" s="1"/>
      <c r="T816" s="1"/>
      <c r="U816" s="1"/>
      <c r="V816" s="1"/>
      <c r="W816" s="1"/>
      <c r="X816" s="1"/>
      <c r="Y816" s="1"/>
      <c r="Z816" s="1"/>
      <c r="AA816" s="1"/>
    </row>
    <row r="817" ht="15.75" customHeight="1">
      <c r="A817" s="1" t="str">
        <f>IFERROR(__xludf.DUMMYFUNCTION("""COMPUTED_VALUE"""),"Null Ring")</f>
        <v>Null Ring</v>
      </c>
      <c r="B817" s="1"/>
      <c r="C817" s="1" t="str">
        <f>IFERROR(__xludf.DUMMYFUNCTION("""COMPUTED_VALUE"""),"Item")</f>
        <v>Item</v>
      </c>
      <c r="D817" s="1" t="str">
        <f>IFERROR(__xludf.DUMMYFUNCTION("""COMPUTED_VALUE"""),"Finger")</f>
        <v>Finger</v>
      </c>
      <c r="E817" s="1">
        <f>IFERROR(__xludf.DUMMYFUNCTION("""COMPUTED_VALUE"""),1.0)</f>
        <v>1</v>
      </c>
      <c r="F817" s="1"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
        <f>IFERROR(__xludf.DUMMYFUNCTION("""COMPUTED_VALUE"""),0.0)</f>
        <v>0</v>
      </c>
      <c r="H817" s="1"/>
      <c r="I817" s="1"/>
      <c r="J817" s="1"/>
      <c r="K817" s="1"/>
      <c r="L817" s="1"/>
      <c r="M817" s="1"/>
      <c r="N817" s="1"/>
      <c r="O817" s="1"/>
      <c r="P817" s="1"/>
      <c r="Q817" s="1"/>
      <c r="R817" s="1"/>
      <c r="S817" s="1"/>
      <c r="T817" s="1"/>
      <c r="U817" s="1"/>
      <c r="V817" s="1"/>
      <c r="W817" s="1"/>
      <c r="X817" s="1"/>
      <c r="Y817" s="1"/>
      <c r="Z817" s="1"/>
      <c r="AA817" s="1"/>
    </row>
    <row r="818" ht="15.75" customHeight="1">
      <c r="A818" s="1" t="str">
        <f>IFERROR(__xludf.DUMMYFUNCTION("""COMPUTED_VALUE"""),"Quickdraw Bow")</f>
        <v>Quickdraw Bow</v>
      </c>
      <c r="B818" s="1"/>
      <c r="C818" s="1" t="str">
        <f>IFERROR(__xludf.DUMMYFUNCTION("""COMPUTED_VALUE"""),"Bow")</f>
        <v>Bow</v>
      </c>
      <c r="D818" s="1" t="str">
        <f>IFERROR(__xludf.DUMMYFUNCTION("""COMPUTED_VALUE"""),"Hand")</f>
        <v>Hand</v>
      </c>
      <c r="E818" s="1">
        <f>IFERROR(__xludf.DUMMYFUNCTION("""COMPUTED_VALUE"""),2000.0)</f>
        <v>2000</v>
      </c>
      <c r="F818" s="1" t="str">
        <f>IFERROR(__xludf.DUMMYFUNCTION("""COMPUTED_VALUE"""),"DMG: +99500, Spirit DMG: +500 ++Plus 2 to turn order roll +-Cannot be forged or duplicated")</f>
        <v>DMG: +99500, Spirit DMG: +500 ++Plus 2 to turn order roll +-Cannot be forged or duplicated</v>
      </c>
      <c r="G818" s="1">
        <f>IFERROR(__xludf.DUMMYFUNCTION("""COMPUTED_VALUE"""),1.99E8)</f>
        <v>199000000</v>
      </c>
      <c r="H818" s="1"/>
      <c r="I818" s="1"/>
      <c r="J818" s="1"/>
      <c r="K818" s="1"/>
      <c r="L818" s="1"/>
      <c r="M818" s="1"/>
      <c r="N818" s="1"/>
      <c r="O818" s="1"/>
      <c r="P818" s="1"/>
      <c r="Q818" s="1"/>
      <c r="R818" s="1"/>
      <c r="S818" s="1"/>
      <c r="T818" s="1"/>
      <c r="U818" s="1"/>
      <c r="V818" s="1"/>
      <c r="W818" s="1"/>
      <c r="X818" s="1"/>
      <c r="Y818" s="1"/>
      <c r="Z818" s="1"/>
      <c r="AA818" s="1"/>
    </row>
    <row r="819" ht="15.75" customHeight="1">
      <c r="A819" s="1" t="str">
        <f>IFERROR(__xludf.DUMMYFUNCTION("""COMPUTED_VALUE"""),"Chaos Bow")</f>
        <v>Chaos Bow</v>
      </c>
      <c r="B819" s="1"/>
      <c r="C819" s="1" t="str">
        <f>IFERROR(__xludf.DUMMYFUNCTION("""COMPUTED_VALUE"""),"Bow")</f>
        <v>Bow</v>
      </c>
      <c r="D819" s="1" t="str">
        <f>IFERROR(__xludf.DUMMYFUNCTION("""COMPUTED_VALUE"""),"Hand")</f>
        <v>Hand</v>
      </c>
      <c r="E819" s="1">
        <f>IFERROR(__xludf.DUMMYFUNCTION("""COMPUTED_VALUE"""),2600.0)</f>
        <v>2600</v>
      </c>
      <c r="F819" s="1" t="str">
        <f>IFERROR(__xludf.DUMMYFUNCTION("""COMPUTED_VALUE"""),"DMG: +50000, Chaos DMG: +80000 ++This bow targets a random enemy.")</f>
        <v>DMG: +50000, Chaos DMG: +80000 ++This bow targets a random enemy.</v>
      </c>
      <c r="G819" s="1">
        <f>IFERROR(__xludf.DUMMYFUNCTION("""COMPUTED_VALUE"""),3.367E8)</f>
        <v>336700000</v>
      </c>
      <c r="H819" s="1"/>
      <c r="I819" s="1"/>
      <c r="J819" s="1"/>
      <c r="K819" s="1"/>
      <c r="L819" s="1"/>
      <c r="M819" s="1"/>
      <c r="N819" s="1"/>
      <c r="O819" s="1"/>
      <c r="P819" s="1"/>
      <c r="Q819" s="1"/>
      <c r="R819" s="1"/>
      <c r="S819" s="1"/>
      <c r="T819" s="1"/>
      <c r="U819" s="1"/>
      <c r="V819" s="1"/>
      <c r="W819" s="1"/>
      <c r="X819" s="1"/>
      <c r="Y819" s="1"/>
      <c r="Z819" s="1"/>
      <c r="AA819" s="1"/>
    </row>
    <row r="820" ht="15.75" customHeight="1">
      <c r="A820" s="1" t="str">
        <f>IFERROR(__xludf.DUMMYFUNCTION("""COMPUTED_VALUE"""),"Crit Shot Bow")</f>
        <v>Crit Shot Bow</v>
      </c>
      <c r="B820" s="1"/>
      <c r="C820" s="1" t="str">
        <f>IFERROR(__xludf.DUMMYFUNCTION("""COMPUTED_VALUE"""),"Bow")</f>
        <v>Bow</v>
      </c>
      <c r="D820" s="1" t="str">
        <f>IFERROR(__xludf.DUMMYFUNCTION("""COMPUTED_VALUE"""),"Hand")</f>
        <v>Hand</v>
      </c>
      <c r="E820" s="1">
        <f>IFERROR(__xludf.DUMMYFUNCTION("""COMPUTED_VALUE"""),4000.0)</f>
        <v>4000</v>
      </c>
      <c r="F820" s="1" t="str">
        <f>IFERROR(__xludf.DUMMYFUNCTION("""COMPUTED_VALUE"""),"DMG: +200000 ++Deals 3x damage +-Accuracy halved")</f>
        <v>DMG: +200000 ++Deals 3x damage +-Accuracy halved</v>
      </c>
      <c r="G820" s="1">
        <f>IFERROR(__xludf.DUMMYFUNCTION("""COMPUTED_VALUE"""),7.98E8)</f>
        <v>798000000</v>
      </c>
      <c r="H820" s="1"/>
      <c r="I820" s="1"/>
      <c r="J820" s="1"/>
      <c r="K820" s="1"/>
      <c r="L820" s="1"/>
      <c r="M820" s="1"/>
      <c r="N820" s="1"/>
      <c r="O820" s="1"/>
      <c r="P820" s="1"/>
      <c r="Q820" s="1"/>
      <c r="R820" s="1"/>
      <c r="S820" s="1"/>
      <c r="T820" s="1"/>
      <c r="U820" s="1"/>
      <c r="V820" s="1"/>
      <c r="W820" s="1"/>
      <c r="X820" s="1"/>
      <c r="Y820" s="1"/>
      <c r="Z820" s="1"/>
      <c r="AA820" s="1"/>
    </row>
    <row r="821" ht="15.75" customHeight="1">
      <c r="A821" s="1" t="str">
        <f>IFERROR(__xludf.DUMMYFUNCTION("""COMPUTED_VALUE"""),"Incinerating Bow")</f>
        <v>Incinerating Bow</v>
      </c>
      <c r="B821" s="1"/>
      <c r="C821" s="1" t="str">
        <f>IFERROR(__xludf.DUMMYFUNCTION("""COMPUTED_VALUE"""),"Bow")</f>
        <v>Bow</v>
      </c>
      <c r="D821" s="1" t="str">
        <f>IFERROR(__xludf.DUMMYFUNCTION("""COMPUTED_VALUE"""),"Hand")</f>
        <v>Hand</v>
      </c>
      <c r="E821" s="1">
        <f>IFERROR(__xludf.DUMMYFUNCTION("""COMPUTED_VALUE"""),3800.0)</f>
        <v>3800</v>
      </c>
      <c r="F821" s="1"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
        <f>IFERROR(__xludf.DUMMYFUNCTION("""COMPUTED_VALUE"""),7.201E8)</f>
        <v>720100000</v>
      </c>
      <c r="H821" s="1"/>
      <c r="I821" s="1"/>
      <c r="J821" s="1"/>
      <c r="K821" s="1"/>
      <c r="L821" s="1"/>
      <c r="M821" s="1"/>
      <c r="N821" s="1"/>
      <c r="O821" s="1"/>
      <c r="P821" s="1"/>
      <c r="Q821" s="1"/>
      <c r="R821" s="1"/>
      <c r="S821" s="1"/>
      <c r="T821" s="1"/>
      <c r="U821" s="1"/>
      <c r="V821" s="1"/>
      <c r="W821" s="1"/>
      <c r="X821" s="1"/>
      <c r="Y821" s="1"/>
      <c r="Z821" s="1"/>
      <c r="AA821" s="1"/>
    </row>
    <row r="822" ht="15.75" customHeight="1">
      <c r="A822" s="1" t="str">
        <f>IFERROR(__xludf.DUMMYFUNCTION("""COMPUTED_VALUE"""),"Bone Bow")</f>
        <v>Bone Bow</v>
      </c>
      <c r="B822" s="1"/>
      <c r="C822" s="1" t="str">
        <f>IFERROR(__xludf.DUMMYFUNCTION("""COMPUTED_VALUE"""),"Bow")</f>
        <v>Bow</v>
      </c>
      <c r="D822" s="1" t="str">
        <f>IFERROR(__xludf.DUMMYFUNCTION("""COMPUTED_VALUE"""),"Hand")</f>
        <v>Hand</v>
      </c>
      <c r="E822" s="1">
        <f>IFERROR(__xludf.DUMMYFUNCTION("""COMPUTED_VALUE"""),3400.0)</f>
        <v>3400</v>
      </c>
      <c r="F822" s="1" t="str">
        <f>IFERROR(__xludf.DUMMYFUNCTION("""COMPUTED_VALUE"""),"DMG: +10000, Blood DMG: +160000 ++ 2x damage when user isundead")</f>
        <v>DMG: +10000, Blood DMG: +160000 ++ 2x damage when user isundead</v>
      </c>
      <c r="G822" s="1">
        <f>IFERROR(__xludf.DUMMYFUNCTION("""COMPUTED_VALUE"""),5.763E8)</f>
        <v>576300000</v>
      </c>
      <c r="H822" s="1"/>
      <c r="I822" s="1"/>
      <c r="J822" s="1"/>
      <c r="K822" s="1"/>
      <c r="L822" s="1"/>
      <c r="M822" s="1"/>
      <c r="N822" s="1"/>
      <c r="O822" s="1"/>
      <c r="P822" s="1"/>
      <c r="Q822" s="1"/>
      <c r="R822" s="1"/>
      <c r="S822" s="1"/>
      <c r="T822" s="1"/>
      <c r="U822" s="1"/>
      <c r="V822" s="1"/>
      <c r="W822" s="1"/>
      <c r="X822" s="1"/>
      <c r="Y822" s="1"/>
      <c r="Z822" s="1"/>
      <c r="AA822" s="1"/>
    </row>
    <row r="823" ht="15.75" customHeight="1">
      <c r="A823" s="1" t="str">
        <f>IFERROR(__xludf.DUMMYFUNCTION("""COMPUTED_VALUE"""),"Assassin's Fake Harp")</f>
        <v>Assassin's Fake Harp</v>
      </c>
      <c r="B823" s="1"/>
      <c r="C823" s="1" t="str">
        <f>IFERROR(__xludf.DUMMYFUNCTION("""COMPUTED_VALUE"""),"Bow")</f>
        <v>Bow</v>
      </c>
      <c r="D823" s="1" t="str">
        <f>IFERROR(__xludf.DUMMYFUNCTION("""COMPUTED_VALUE"""),"Hand")</f>
        <v>Hand</v>
      </c>
      <c r="E823" s="1">
        <f>IFERROR(__xludf.DUMMYFUNCTION("""COMPUTED_VALUE"""),3000.0)</f>
        <v>3000</v>
      </c>
      <c r="F823" s="1" t="str">
        <f>IFERROR(__xludf.DUMMYFUNCTION("""COMPUTED_VALUE"""),"DMG: +50000, Acoustic DMG: +100000 ++Deals X2 additional damage for the first round of battle.")</f>
        <v>DMG: +50000, Acoustic DMG: +100000 ++Deals X2 additional damage for the first round of battle.</v>
      </c>
      <c r="G823" s="1">
        <f>IFERROR(__xludf.DUMMYFUNCTION("""COMPUTED_VALUE"""),4.485E8)</f>
        <v>448500000</v>
      </c>
      <c r="H823" s="1"/>
      <c r="I823" s="1"/>
      <c r="J823" s="1"/>
      <c r="K823" s="1"/>
      <c r="L823" s="1"/>
      <c r="M823" s="1"/>
      <c r="N823" s="1"/>
      <c r="O823" s="1"/>
      <c r="P823" s="1"/>
      <c r="Q823" s="1"/>
      <c r="R823" s="1"/>
      <c r="S823" s="1"/>
      <c r="T823" s="1"/>
      <c r="U823" s="1"/>
      <c r="V823" s="1"/>
      <c r="W823" s="1"/>
      <c r="X823" s="1"/>
      <c r="Y823" s="1"/>
      <c r="Z823" s="1"/>
      <c r="AA823" s="1"/>
    </row>
    <row r="824" ht="15.75" customHeight="1">
      <c r="A824" s="1" t="str">
        <f>IFERROR(__xludf.DUMMYFUNCTION("""COMPUTED_VALUE"""),"Broken Bow")</f>
        <v>Broken Bow</v>
      </c>
      <c r="B824" s="1"/>
      <c r="C824" s="1" t="str">
        <f>IFERROR(__xludf.DUMMYFUNCTION("""COMPUTED_VALUE"""),"Club")</f>
        <v>Club</v>
      </c>
      <c r="D824" s="1" t="str">
        <f>IFERROR(__xludf.DUMMYFUNCTION("""COMPUTED_VALUE"""),"Hand")</f>
        <v>Hand</v>
      </c>
      <c r="E824" s="1">
        <f>IFERROR(__xludf.DUMMYFUNCTION("""COMPUTED_VALUE"""),20.0)</f>
        <v>20</v>
      </c>
      <c r="F824" s="1" t="str">
        <f>IFERROR(__xludf.DUMMYFUNCTION("""COMPUTED_VALUE"""),"DMG: +1000")</f>
        <v>DMG: +1000</v>
      </c>
      <c r="G824" s="1">
        <f>IFERROR(__xludf.DUMMYFUNCTION("""COMPUTED_VALUE"""),10000.0)</f>
        <v>10000</v>
      </c>
      <c r="H824" s="1"/>
      <c r="I824" s="1"/>
      <c r="J824" s="1"/>
      <c r="K824" s="1"/>
      <c r="L824" s="1"/>
      <c r="M824" s="1"/>
      <c r="N824" s="1"/>
      <c r="O824" s="1"/>
      <c r="P824" s="1"/>
      <c r="Q824" s="1"/>
      <c r="R824" s="1"/>
      <c r="S824" s="1"/>
      <c r="T824" s="1"/>
      <c r="U824" s="1"/>
      <c r="V824" s="1"/>
      <c r="W824" s="1"/>
      <c r="X824" s="1"/>
      <c r="Y824" s="1"/>
      <c r="Z824" s="1"/>
      <c r="AA824" s="1"/>
    </row>
    <row r="825" ht="15.75" customHeight="1">
      <c r="A825" s="1" t="str">
        <f>IFERROR(__xludf.DUMMYFUNCTION("""COMPUTED_VALUE"""),"Lizard Wizard Hat")</f>
        <v>Lizard Wizard Hat</v>
      </c>
      <c r="B825" s="1"/>
      <c r="C825" s="1" t="str">
        <f>IFERROR(__xludf.DUMMYFUNCTION("""COMPUTED_VALUE"""),"Item")</f>
        <v>Item</v>
      </c>
      <c r="D825" s="1" t="str">
        <f>IFERROR(__xludf.DUMMYFUNCTION("""COMPUTED_VALUE"""),"Head")</f>
        <v>Head</v>
      </c>
      <c r="E825" s="1">
        <f>IFERROR(__xludf.DUMMYFUNCTION("""COMPUTED_VALUE"""),200.0)</f>
        <v>200</v>
      </c>
      <c r="F825" s="1" t="str">
        <f>IFERROR(__xludf.DUMMYFUNCTION("""COMPUTED_VALUE"""),"DEF: +10000 ++7500 hp and sp, X2 poison damage")</f>
        <v>DEF: +10000 ++7500 hp and sp, X2 poison damage</v>
      </c>
      <c r="G825" s="1">
        <f>IFERROR(__xludf.DUMMYFUNCTION("""COMPUTED_VALUE"""),1900000.0)</f>
        <v>1900000</v>
      </c>
      <c r="H825" s="1"/>
      <c r="I825" s="1"/>
      <c r="J825" s="1"/>
      <c r="K825" s="1"/>
      <c r="L825" s="1"/>
      <c r="M825" s="1"/>
      <c r="N825" s="1"/>
      <c r="O825" s="1"/>
      <c r="P825" s="1"/>
      <c r="Q825" s="1"/>
      <c r="R825" s="1"/>
      <c r="S825" s="1"/>
      <c r="T825" s="1"/>
      <c r="U825" s="1"/>
      <c r="V825" s="1"/>
      <c r="W825" s="1"/>
      <c r="X825" s="1"/>
      <c r="Y825" s="1"/>
      <c r="Z825" s="1"/>
      <c r="AA825" s="1"/>
    </row>
    <row r="826" ht="15.75" customHeight="1">
      <c r="A826" s="1" t="str">
        <f>IFERROR(__xludf.DUMMYFUNCTION("""COMPUTED_VALUE"""),"Lizard Wizard Robes")</f>
        <v>Lizard Wizard Robes</v>
      </c>
      <c r="B826" s="1"/>
      <c r="C826" s="1" t="str">
        <f>IFERROR(__xludf.DUMMYFUNCTION("""COMPUTED_VALUE"""),"Item")</f>
        <v>Item</v>
      </c>
      <c r="D826" s="1" t="str">
        <f>IFERROR(__xludf.DUMMYFUNCTION("""COMPUTED_VALUE"""),"Torso")</f>
        <v>Torso</v>
      </c>
      <c r="E826" s="1">
        <f>IFERROR(__xludf.DUMMYFUNCTION("""COMPUTED_VALUE"""),200.0)</f>
        <v>200</v>
      </c>
      <c r="F826" s="1" t="str">
        <f>IFERROR(__xludf.DUMMYFUNCTION("""COMPUTED_VALUE"""),"DEF: +10000 ++7500 hp and sp, X2 poison damage")</f>
        <v>DEF: +10000 ++7500 hp and sp, X2 poison damage</v>
      </c>
      <c r="G826" s="1">
        <f>IFERROR(__xludf.DUMMYFUNCTION("""COMPUTED_VALUE"""),1900000.0)</f>
        <v>1900000</v>
      </c>
      <c r="H826" s="1"/>
      <c r="I826" s="1"/>
      <c r="J826" s="1"/>
      <c r="K826" s="1"/>
      <c r="L826" s="1"/>
      <c r="M826" s="1"/>
      <c r="N826" s="1"/>
      <c r="O826" s="1"/>
      <c r="P826" s="1"/>
      <c r="Q826" s="1"/>
      <c r="R826" s="1"/>
      <c r="S826" s="1"/>
      <c r="T826" s="1"/>
      <c r="U826" s="1"/>
      <c r="V826" s="1"/>
      <c r="W826" s="1"/>
      <c r="X826" s="1"/>
      <c r="Y826" s="1"/>
      <c r="Z826" s="1"/>
      <c r="AA826" s="1"/>
    </row>
    <row r="827" ht="15.75" customHeight="1">
      <c r="A827" s="1" t="str">
        <f>IFERROR(__xludf.DUMMYFUNCTION("""COMPUTED_VALUE"""),"Lizard Wizard Leggings")</f>
        <v>Lizard Wizard Leggings</v>
      </c>
      <c r="B827" s="1"/>
      <c r="C827" s="1" t="str">
        <f>IFERROR(__xludf.DUMMYFUNCTION("""COMPUTED_VALUE"""),"Item")</f>
        <v>Item</v>
      </c>
      <c r="D827" s="1" t="str">
        <f>IFERROR(__xludf.DUMMYFUNCTION("""COMPUTED_VALUE"""),"Legs")</f>
        <v>Legs</v>
      </c>
      <c r="E827" s="1">
        <f>IFERROR(__xludf.DUMMYFUNCTION("""COMPUTED_VALUE"""),200.0)</f>
        <v>200</v>
      </c>
      <c r="F827" s="1" t="str">
        <f>IFERROR(__xludf.DUMMYFUNCTION("""COMPUTED_VALUE"""),"DEF: +10000 ++7500 hp and sp, X2 poison damage")</f>
        <v>DEF: +10000 ++7500 hp and sp, X2 poison damage</v>
      </c>
      <c r="G827" s="1">
        <f>IFERROR(__xludf.DUMMYFUNCTION("""COMPUTED_VALUE"""),1900000.0)</f>
        <v>1900000</v>
      </c>
      <c r="H827" s="1"/>
      <c r="I827" s="1"/>
      <c r="J827" s="1"/>
      <c r="K827" s="1"/>
      <c r="L827" s="1"/>
      <c r="M827" s="1"/>
      <c r="N827" s="1"/>
      <c r="O827" s="1"/>
      <c r="P827" s="1"/>
      <c r="Q827" s="1"/>
      <c r="R827" s="1"/>
      <c r="S827" s="1"/>
      <c r="T827" s="1"/>
      <c r="U827" s="1"/>
      <c r="V827" s="1"/>
      <c r="W827" s="1"/>
      <c r="X827" s="1"/>
      <c r="Y827" s="1"/>
      <c r="Z827" s="1"/>
      <c r="AA827" s="1"/>
    </row>
    <row r="828" ht="15.75" customHeight="1">
      <c r="A828" s="1" t="str">
        <f>IFERROR(__xludf.DUMMYFUNCTION("""COMPUTED_VALUE"""),"Lizard Wizard Pointed Shoes")</f>
        <v>Lizard Wizard Pointed Shoes</v>
      </c>
      <c r="B828" s="1"/>
      <c r="C828" s="1" t="str">
        <f>IFERROR(__xludf.DUMMYFUNCTION("""COMPUTED_VALUE"""),"Item")</f>
        <v>Item</v>
      </c>
      <c r="D828" s="1" t="str">
        <f>IFERROR(__xludf.DUMMYFUNCTION("""COMPUTED_VALUE"""),"Feet")</f>
        <v>Feet</v>
      </c>
      <c r="E828" s="1">
        <f>IFERROR(__xludf.DUMMYFUNCTION("""COMPUTED_VALUE"""),200.0)</f>
        <v>200</v>
      </c>
      <c r="F828" s="1" t="str">
        <f>IFERROR(__xludf.DUMMYFUNCTION("""COMPUTED_VALUE"""),"DEF: +10000 ++7500 hp and sp, X2 poison damage")</f>
        <v>DEF: +10000 ++7500 hp and sp, X2 poison damage</v>
      </c>
      <c r="G828" s="1">
        <f>IFERROR(__xludf.DUMMYFUNCTION("""COMPUTED_VALUE"""),1900000.0)</f>
        <v>1900000</v>
      </c>
      <c r="H828" s="1"/>
      <c r="I828" s="1"/>
      <c r="J828" s="1"/>
      <c r="K828" s="1"/>
      <c r="L828" s="1"/>
      <c r="M828" s="1"/>
      <c r="N828" s="1"/>
      <c r="O828" s="1"/>
      <c r="P828" s="1"/>
      <c r="Q828" s="1"/>
      <c r="R828" s="1"/>
      <c r="S828" s="1"/>
      <c r="T828" s="1"/>
      <c r="U828" s="1"/>
      <c r="V828" s="1"/>
      <c r="W828" s="1"/>
      <c r="X828" s="1"/>
      <c r="Y828" s="1"/>
      <c r="Z828" s="1"/>
      <c r="AA828" s="1"/>
    </row>
    <row r="829" ht="15.75" customHeight="1">
      <c r="A829" s="1" t="str">
        <f>IFERROR(__xludf.DUMMYFUNCTION("""COMPUTED_VALUE"""),"Lizard Wizard Staff of Corroding Blizzard")</f>
        <v>Lizard Wizard Staff of Corroding Blizzard</v>
      </c>
      <c r="B829" s="1"/>
      <c r="C829" s="1" t="str">
        <f>IFERROR(__xludf.DUMMYFUNCTION("""COMPUTED_VALUE"""),"Staff")</f>
        <v>Staff</v>
      </c>
      <c r="D829" s="1" t="str">
        <f>IFERROR(__xludf.DUMMYFUNCTION("""COMPUTED_VALUE"""),"Hand")</f>
        <v>Hand</v>
      </c>
      <c r="E829" s="1">
        <f>IFERROR(__xludf.DUMMYFUNCTION("""COMPUTED_VALUE"""),3000.0)</f>
        <v>3000</v>
      </c>
      <c r="F829" s="1"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
        <f>IFERROR(__xludf.DUMMYFUNCTION("""COMPUTED_VALUE"""),4.485E8)</f>
        <v>448500000</v>
      </c>
      <c r="H829" s="1"/>
      <c r="I829" s="1"/>
      <c r="J829" s="1"/>
      <c r="K829" s="1"/>
      <c r="L829" s="1"/>
      <c r="M829" s="1"/>
      <c r="N829" s="1"/>
      <c r="O829" s="1"/>
      <c r="P829" s="1"/>
      <c r="Q829" s="1"/>
      <c r="R829" s="1"/>
      <c r="S829" s="1"/>
      <c r="T829" s="1"/>
      <c r="U829" s="1"/>
      <c r="V829" s="1"/>
      <c r="W829" s="1"/>
      <c r="X829" s="1"/>
      <c r="Y829" s="1"/>
      <c r="Z829" s="1"/>
      <c r="AA829" s="1"/>
    </row>
    <row r="830" ht="15.75" customHeight="1">
      <c r="A830" s="1" t="str">
        <f>IFERROR(__xludf.DUMMYFUNCTION("""COMPUTED_VALUE"""),"Lizard Wizard's Prized Ring")</f>
        <v>Lizard Wizard's Prized Ring</v>
      </c>
      <c r="B830" s="1" t="str">
        <f>IFERROR(__xludf.DUMMYFUNCTION("""COMPUTED_VALUE"""),"""The Most Prized shiny of all lizard wizard kind!"" ~Lizard Wizzard Gizzard")</f>
        <v>"The Most Prized shiny of all lizard wizard kind!" ~Lizard Wizzard Gizzard</v>
      </c>
      <c r="C830" s="1" t="str">
        <f>IFERROR(__xludf.DUMMYFUNCTION("""COMPUTED_VALUE"""),"Item")</f>
        <v>Item</v>
      </c>
      <c r="D830" s="1" t="str">
        <f>IFERROR(__xludf.DUMMYFUNCTION("""COMPUTED_VALUE"""),"Finger")</f>
        <v>Finger</v>
      </c>
      <c r="E830" s="1">
        <f>IFERROR(__xludf.DUMMYFUNCTION("""COMPUTED_VALUE"""),2000.0)</f>
        <v>2000</v>
      </c>
      <c r="F830" s="1" t="str">
        <f>IFERROR(__xludf.DUMMYFUNCTION("""COMPUTED_VALUE"""),"DEF: +100000 ++X5 Poison and Nature damage, +5 Wisdom for every enemy poisoned.")</f>
        <v>DEF: +100000 ++X5 Poison and Nature damage, +5 Wisdom for every enemy poisoned.</v>
      </c>
      <c r="G830" s="1">
        <f>IFERROR(__xludf.DUMMYFUNCTION("""COMPUTED_VALUE"""),1.99E8)</f>
        <v>199000000</v>
      </c>
      <c r="H830" s="1"/>
      <c r="I830" s="1"/>
      <c r="J830" s="1"/>
      <c r="K830" s="1"/>
      <c r="L830" s="1"/>
      <c r="M830" s="1"/>
      <c r="N830" s="1"/>
      <c r="O830" s="1"/>
      <c r="P830" s="1"/>
      <c r="Q830" s="1"/>
      <c r="R830" s="1"/>
      <c r="S830" s="1"/>
      <c r="T830" s="1"/>
      <c r="U830" s="1"/>
      <c r="V830" s="1"/>
      <c r="W830" s="1"/>
      <c r="X830" s="1"/>
      <c r="Y830" s="1"/>
      <c r="Z830" s="1"/>
      <c r="AA830" s="1"/>
    </row>
    <row r="831" ht="15.75" customHeight="1">
      <c r="A831" s="1" t="str">
        <f>IFERROR(__xludf.DUMMYFUNCTION("""COMPUTED_VALUE"""),"Lizard Thief's Bandana")</f>
        <v>Lizard Thief's Bandana</v>
      </c>
      <c r="B831" s="1"/>
      <c r="C831" s="1" t="str">
        <f>IFERROR(__xludf.DUMMYFUNCTION("""COMPUTED_VALUE"""),"Item")</f>
        <v>Item</v>
      </c>
      <c r="D831" s="1" t="str">
        <f>IFERROR(__xludf.DUMMYFUNCTION("""COMPUTED_VALUE"""),"Head")</f>
        <v>Head</v>
      </c>
      <c r="E831" s="1">
        <f>IFERROR(__xludf.DUMMYFUNCTION("""COMPUTED_VALUE"""),2000.0)</f>
        <v>2000</v>
      </c>
      <c r="F831" s="1" t="str">
        <f>IFERROR(__xludf.DUMMYFUNCTION("""COMPUTED_VALUE"""),"DEF: +100000 ++15000 ATK and ACC  ++X4 Knife Damage")</f>
        <v>DEF: +100000 ++15000 ATK and ACC  ++X4 Knife Damage</v>
      </c>
      <c r="G831" s="1">
        <f>IFERROR(__xludf.DUMMYFUNCTION("""COMPUTED_VALUE"""),1.99E8)</f>
        <v>199000000</v>
      </c>
      <c r="H831" s="1"/>
      <c r="I831" s="1"/>
      <c r="J831" s="1"/>
      <c r="K831" s="1"/>
      <c r="L831" s="1"/>
      <c r="M831" s="1"/>
      <c r="N831" s="1"/>
      <c r="O831" s="1"/>
      <c r="P831" s="1"/>
      <c r="Q831" s="1"/>
      <c r="R831" s="1"/>
      <c r="S831" s="1"/>
      <c r="T831" s="1"/>
      <c r="U831" s="1"/>
      <c r="V831" s="1"/>
      <c r="W831" s="1"/>
      <c r="X831" s="1"/>
      <c r="Y831" s="1"/>
      <c r="Z831" s="1"/>
      <c r="AA831" s="1"/>
    </row>
    <row r="832" ht="15.75" customHeight="1">
      <c r="A832" s="1" t="str">
        <f>IFERROR(__xludf.DUMMYFUNCTION("""COMPUTED_VALUE"""),"Lizard Thief's Leathers")</f>
        <v>Lizard Thief's Leathers</v>
      </c>
      <c r="B832" s="1"/>
      <c r="C832" s="1" t="str">
        <f>IFERROR(__xludf.DUMMYFUNCTION("""COMPUTED_VALUE"""),"Item")</f>
        <v>Item</v>
      </c>
      <c r="D832" s="1" t="str">
        <f>IFERROR(__xludf.DUMMYFUNCTION("""COMPUTED_VALUE"""),"Torso")</f>
        <v>Torso</v>
      </c>
      <c r="E832" s="1">
        <f>IFERROR(__xludf.DUMMYFUNCTION("""COMPUTED_VALUE"""),2000.0)</f>
        <v>2000</v>
      </c>
      <c r="F832" s="1" t="str">
        <f>IFERROR(__xludf.DUMMYFUNCTION("""COMPUTED_VALUE"""),"DEF: +100000 ++15000 ATK and ACC ++X4 Knife Damage")</f>
        <v>DEF: +100000 ++15000 ATK and ACC ++X4 Knife Damage</v>
      </c>
      <c r="G832" s="1">
        <f>IFERROR(__xludf.DUMMYFUNCTION("""COMPUTED_VALUE"""),1.99E8)</f>
        <v>199000000</v>
      </c>
      <c r="H832" s="1"/>
      <c r="I832" s="1"/>
      <c r="J832" s="1"/>
      <c r="K832" s="1"/>
      <c r="L832" s="1"/>
      <c r="M832" s="1"/>
      <c r="N832" s="1"/>
      <c r="O832" s="1"/>
      <c r="P832" s="1"/>
      <c r="Q832" s="1"/>
      <c r="R832" s="1"/>
      <c r="S832" s="1"/>
      <c r="T832" s="1"/>
      <c r="U832" s="1"/>
      <c r="V832" s="1"/>
      <c r="W832" s="1"/>
      <c r="X832" s="1"/>
      <c r="Y832" s="1"/>
      <c r="Z832" s="1"/>
      <c r="AA832" s="1"/>
    </row>
    <row r="833" ht="15.75" customHeight="1">
      <c r="A833" s="1" t="str">
        <f>IFERROR(__xludf.DUMMYFUNCTION("""COMPUTED_VALUE"""),"Lizard Thief's Pants")</f>
        <v>Lizard Thief's Pants</v>
      </c>
      <c r="B833" s="1"/>
      <c r="C833" s="1" t="str">
        <f>IFERROR(__xludf.DUMMYFUNCTION("""COMPUTED_VALUE"""),"Item")</f>
        <v>Item</v>
      </c>
      <c r="D833" s="1" t="str">
        <f>IFERROR(__xludf.DUMMYFUNCTION("""COMPUTED_VALUE"""),"Legs")</f>
        <v>Legs</v>
      </c>
      <c r="E833" s="1">
        <f>IFERROR(__xludf.DUMMYFUNCTION("""COMPUTED_VALUE"""),2000.0)</f>
        <v>2000</v>
      </c>
      <c r="F833" s="1" t="str">
        <f>IFERROR(__xludf.DUMMYFUNCTION("""COMPUTED_VALUE"""),"DEF: +100000 ++15000 ATK and ACC ++X4 Knife Damage")</f>
        <v>DEF: +100000 ++15000 ATK and ACC ++X4 Knife Damage</v>
      </c>
      <c r="G833" s="1">
        <f>IFERROR(__xludf.DUMMYFUNCTION("""COMPUTED_VALUE"""),1.99E8)</f>
        <v>199000000</v>
      </c>
      <c r="H833" s="1"/>
      <c r="I833" s="1"/>
      <c r="J833" s="1"/>
      <c r="K833" s="1"/>
      <c r="L833" s="1"/>
      <c r="M833" s="1"/>
      <c r="N833" s="1"/>
      <c r="O833" s="1"/>
      <c r="P833" s="1"/>
      <c r="Q833" s="1"/>
      <c r="R833" s="1"/>
      <c r="S833" s="1"/>
      <c r="T833" s="1"/>
      <c r="U833" s="1"/>
      <c r="V833" s="1"/>
      <c r="W833" s="1"/>
      <c r="X833" s="1"/>
      <c r="Y833" s="1"/>
      <c r="Z833" s="1"/>
      <c r="AA833" s="1"/>
    </row>
    <row r="834" ht="15.75" customHeight="1">
      <c r="A834" s="1" t="str">
        <f>IFERROR(__xludf.DUMMYFUNCTION("""COMPUTED_VALUE"""),"Lizard Thief's Boots")</f>
        <v>Lizard Thief's Boots</v>
      </c>
      <c r="B834" s="1"/>
      <c r="C834" s="1" t="str">
        <f>IFERROR(__xludf.DUMMYFUNCTION("""COMPUTED_VALUE"""),"Item")</f>
        <v>Item</v>
      </c>
      <c r="D834" s="1" t="str">
        <f>IFERROR(__xludf.DUMMYFUNCTION("""COMPUTED_VALUE"""),"Feet")</f>
        <v>Feet</v>
      </c>
      <c r="E834" s="1">
        <f>IFERROR(__xludf.DUMMYFUNCTION("""COMPUTED_VALUE"""),2000.0)</f>
        <v>2000</v>
      </c>
      <c r="F834" s="1" t="str">
        <f>IFERROR(__xludf.DUMMYFUNCTION("""COMPUTED_VALUE"""),"DEF: +100000 ++15000 ATK and ACC ++X4 Knife Damage")</f>
        <v>DEF: +100000 ++15000 ATK and ACC ++X4 Knife Damage</v>
      </c>
      <c r="G834" s="1">
        <f>IFERROR(__xludf.DUMMYFUNCTION("""COMPUTED_VALUE"""),1.99E8)</f>
        <v>199000000</v>
      </c>
      <c r="H834" s="1"/>
      <c r="I834" s="1"/>
      <c r="J834" s="1"/>
      <c r="K834" s="1"/>
      <c r="L834" s="1"/>
      <c r="M834" s="1"/>
      <c r="N834" s="1"/>
      <c r="O834" s="1"/>
      <c r="P834" s="1"/>
      <c r="Q834" s="1"/>
      <c r="R834" s="1"/>
      <c r="S834" s="1"/>
      <c r="T834" s="1"/>
      <c r="U834" s="1"/>
      <c r="V834" s="1"/>
      <c r="W834" s="1"/>
      <c r="X834" s="1"/>
      <c r="Y834" s="1"/>
      <c r="Z834" s="1"/>
      <c r="AA834" s="1"/>
    </row>
    <row r="835" ht="15.75" customHeight="1">
      <c r="A835" s="1" t="str">
        <f>IFERROR(__xludf.DUMMYFUNCTION("""COMPUTED_VALUE"""),"Lizard Thief's Shiny Swiper")</f>
        <v>Lizard Thief's Shiny Swiper</v>
      </c>
      <c r="B835" s="1"/>
      <c r="C835" s="1" t="str">
        <f>IFERROR(__xludf.DUMMYFUNCTION("""COMPUTED_VALUE"""),"Knife")</f>
        <v>Knife</v>
      </c>
      <c r="D835" s="1" t="str">
        <f>IFERROR(__xludf.DUMMYFUNCTION("""COMPUTED_VALUE"""),"Hand")</f>
        <v>Hand</v>
      </c>
      <c r="E835" s="1">
        <f>IFERROR(__xludf.DUMMYFUNCTION("""COMPUTED_VALUE"""),3000.0)</f>
        <v>3000</v>
      </c>
      <c r="F835" s="1"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
        <f>IFERROR(__xludf.DUMMYFUNCTION("""COMPUTED_VALUE"""),4.485E8)</f>
        <v>448500000</v>
      </c>
      <c r="H835" s="1"/>
      <c r="I835" s="1"/>
      <c r="J835" s="1"/>
      <c r="K835" s="1"/>
      <c r="L835" s="1"/>
      <c r="M835" s="1"/>
      <c r="N835" s="1"/>
      <c r="O835" s="1"/>
      <c r="P835" s="1"/>
      <c r="Q835" s="1"/>
      <c r="R835" s="1"/>
      <c r="S835" s="1"/>
      <c r="T835" s="1"/>
      <c r="U835" s="1"/>
      <c r="V835" s="1"/>
      <c r="W835" s="1"/>
      <c r="X835" s="1"/>
      <c r="Y835" s="1"/>
      <c r="Z835" s="1"/>
      <c r="AA835" s="1"/>
    </row>
    <row r="836" ht="15.75" customHeight="1">
      <c r="A836" s="1" t="str">
        <f>IFERROR(__xludf.DUMMYFUNCTION("""COMPUTED_VALUE"""),"Wyrmstone Club")</f>
        <v>Wyrmstone Club</v>
      </c>
      <c r="B836" s="1"/>
      <c r="C836" s="1" t="str">
        <f>IFERROR(__xludf.DUMMYFUNCTION("""COMPUTED_VALUE"""),"Club")</f>
        <v>Club</v>
      </c>
      <c r="D836" s="1" t="str">
        <f>IFERROR(__xludf.DUMMYFUNCTION("""COMPUTED_VALUE"""),"Hand")</f>
        <v>Hand</v>
      </c>
      <c r="E836" s="1">
        <f>IFERROR(__xludf.DUMMYFUNCTION("""COMPUTED_VALUE"""),2000.0)</f>
        <v>2000</v>
      </c>
      <c r="F836" s="1" t="str">
        <f>IFERROR(__xludf.DUMMYFUNCTION("""COMPUTED_VALUE"""),"DMG: +100000 +- Half damage against dragons")</f>
        <v>DMG: +100000 +- Half damage against dragons</v>
      </c>
      <c r="G836" s="1">
        <f>IFERROR(__xludf.DUMMYFUNCTION("""COMPUTED_VALUE"""),1.99E8)</f>
        <v>199000000</v>
      </c>
      <c r="H836" s="1"/>
      <c r="I836" s="1"/>
      <c r="J836" s="1"/>
      <c r="K836" s="1"/>
      <c r="L836" s="1"/>
      <c r="M836" s="1"/>
      <c r="N836" s="1"/>
      <c r="O836" s="1"/>
      <c r="P836" s="1"/>
      <c r="Q836" s="1"/>
      <c r="R836" s="1"/>
      <c r="S836" s="1"/>
      <c r="T836" s="1"/>
      <c r="U836" s="1"/>
      <c r="V836" s="1"/>
      <c r="W836" s="1"/>
      <c r="X836" s="1"/>
      <c r="Y836" s="1"/>
      <c r="Z836" s="1"/>
      <c r="AA836" s="1"/>
    </row>
    <row r="837" ht="15.75" customHeight="1">
      <c r="A837" s="1" t="str">
        <f>IFERROR(__xludf.DUMMYFUNCTION("""COMPUTED_VALUE"""),"Wyrmstone Mail")</f>
        <v>Wyrmstone Mail</v>
      </c>
      <c r="B837" s="1"/>
      <c r="C837" s="1" t="str">
        <f>IFERROR(__xludf.DUMMYFUNCTION("""COMPUTED_VALUE"""),"Item")</f>
        <v>Item</v>
      </c>
      <c r="D837" s="1" t="str">
        <f>IFERROR(__xludf.DUMMYFUNCTION("""COMPUTED_VALUE"""),"Torso")</f>
        <v>Torso</v>
      </c>
      <c r="E837" s="1">
        <f>IFERROR(__xludf.DUMMYFUNCTION("""COMPUTED_VALUE"""),2800.0)</f>
        <v>2800</v>
      </c>
      <c r="F837" s="1" t="str">
        <f>IFERROR(__xludf.DUMMYFUNCTION("""COMPUTED_VALUE"""),"DEF: +140000 ++Half damage received from dragons +-Cannot be forged or duplicated")</f>
        <v>DEF: +140000 ++Half damage received from dragons +-Cannot be forged or duplicated</v>
      </c>
      <c r="G837" s="1">
        <f>IFERROR(__xludf.DUMMYFUNCTION("""COMPUTED_VALUE"""),3.906E8)</f>
        <v>390600000</v>
      </c>
      <c r="H837" s="1"/>
      <c r="I837" s="1"/>
      <c r="J837" s="1"/>
      <c r="K837" s="1"/>
      <c r="L837" s="1"/>
      <c r="M837" s="1"/>
      <c r="N837" s="1"/>
      <c r="O837" s="1"/>
      <c r="P837" s="1"/>
      <c r="Q837" s="1"/>
      <c r="R837" s="1"/>
      <c r="S837" s="1"/>
      <c r="T837" s="1"/>
      <c r="U837" s="1"/>
      <c r="V837" s="1"/>
      <c r="W837" s="1"/>
      <c r="X837" s="1"/>
      <c r="Y837" s="1"/>
      <c r="Z837" s="1"/>
      <c r="AA837" s="1"/>
    </row>
    <row r="838" ht="15.75" customHeight="1">
      <c r="A838" s="1" t="str">
        <f>IFERROR(__xludf.DUMMYFUNCTION("""COMPUTED_VALUE"""),"Wyrmstone Helm")</f>
        <v>Wyrmstone Helm</v>
      </c>
      <c r="B838" s="1"/>
      <c r="C838" s="1" t="str">
        <f>IFERROR(__xludf.DUMMYFUNCTION("""COMPUTED_VALUE"""),"Item")</f>
        <v>Item</v>
      </c>
      <c r="D838" s="1" t="str">
        <f>IFERROR(__xludf.DUMMYFUNCTION("""COMPUTED_VALUE"""),"Head")</f>
        <v>Head</v>
      </c>
      <c r="E838" s="1">
        <f>IFERROR(__xludf.DUMMYFUNCTION("""COMPUTED_VALUE"""),2400.0)</f>
        <v>2400</v>
      </c>
      <c r="F838" s="1" t="str">
        <f>IFERROR(__xludf.DUMMYFUNCTION("""COMPUTED_VALUE"""),"DEF: +120000 +-Cannot be forged or duplicated")</f>
        <v>DEF: +120000 +-Cannot be forged or duplicated</v>
      </c>
      <c r="G838" s="1">
        <f>IFERROR(__xludf.DUMMYFUNCTION("""COMPUTED_VALUE"""),2.868E8)</f>
        <v>286800000</v>
      </c>
      <c r="H838" s="1"/>
      <c r="I838" s="1"/>
      <c r="J838" s="1"/>
      <c r="K838" s="1"/>
      <c r="L838" s="1"/>
      <c r="M838" s="1"/>
      <c r="N838" s="1"/>
      <c r="O838" s="1"/>
      <c r="P838" s="1"/>
      <c r="Q838" s="1"/>
      <c r="R838" s="1"/>
      <c r="S838" s="1"/>
      <c r="T838" s="1"/>
      <c r="U838" s="1"/>
      <c r="V838" s="1"/>
      <c r="W838" s="1"/>
      <c r="X838" s="1"/>
      <c r="Y838" s="1"/>
      <c r="Z838" s="1"/>
      <c r="AA838" s="1"/>
    </row>
    <row r="839" ht="15.75" customHeight="1">
      <c r="A839" s="1" t="str">
        <f>IFERROR(__xludf.DUMMYFUNCTION("""COMPUTED_VALUE"""),"Wyrmstone Buckler")</f>
        <v>Wyrmstone Buckler</v>
      </c>
      <c r="B839" s="1"/>
      <c r="C839" s="1" t="str">
        <f>IFERROR(__xludf.DUMMYFUNCTION("""COMPUTED_VALUE"""),"Buckler")</f>
        <v>Buckler</v>
      </c>
      <c r="D839" s="1" t="str">
        <f>IFERROR(__xludf.DUMMYFUNCTION("""COMPUTED_VALUE"""),"Hand")</f>
        <v>Hand</v>
      </c>
      <c r="E839" s="1">
        <f>IFERROR(__xludf.DUMMYFUNCTION("""COMPUTED_VALUE"""),3000.0)</f>
        <v>3000</v>
      </c>
      <c r="F839" s="1" t="str">
        <f>IFERROR(__xludf.DUMMYFUNCTION("""COMPUTED_VALUE"""),"DEF: +150000 ++25% chance to parry dragons' attacks +-Cannot be forged or duplicated")</f>
        <v>DEF: +150000 ++25% chance to parry dragons' attacks +-Cannot be forged or duplicated</v>
      </c>
      <c r="G839" s="1">
        <f>IFERROR(__xludf.DUMMYFUNCTION("""COMPUTED_VALUE"""),4.485E8)</f>
        <v>448500000</v>
      </c>
      <c r="H839" s="1"/>
      <c r="I839" s="1"/>
      <c r="J839" s="1"/>
      <c r="K839" s="1"/>
      <c r="L839" s="1"/>
      <c r="M839" s="1"/>
      <c r="N839" s="1"/>
      <c r="O839" s="1"/>
      <c r="P839" s="1"/>
      <c r="Q839" s="1"/>
      <c r="R839" s="1"/>
      <c r="S839" s="1"/>
      <c r="T839" s="1"/>
      <c r="U839" s="1"/>
      <c r="V839" s="1"/>
      <c r="W839" s="1"/>
      <c r="X839" s="1"/>
      <c r="Y839" s="1"/>
      <c r="Z839" s="1"/>
      <c r="AA839" s="1"/>
    </row>
    <row r="840" ht="15.75" customHeight="1">
      <c r="A840" s="1" t="str">
        <f>IFERROR(__xludf.DUMMYFUNCTION("""COMPUTED_VALUE"""),"Wyrmstone Gauntlet")</f>
        <v>Wyrmstone Gauntlet</v>
      </c>
      <c r="B840" s="1"/>
      <c r="C840" s="1" t="str">
        <f>IFERROR(__xludf.DUMMYFUNCTION("""COMPUTED_VALUE"""),"Gauntlet")</f>
        <v>Gauntlet</v>
      </c>
      <c r="D840" s="1" t="str">
        <f>IFERROR(__xludf.DUMMYFUNCTION("""COMPUTED_VALUE"""),"Hand")</f>
        <v>Hand</v>
      </c>
      <c r="E840" s="1">
        <f>IFERROR(__xludf.DUMMYFUNCTION("""COMPUTED_VALUE"""),3000.0)</f>
        <v>3000</v>
      </c>
      <c r="F840" s="1" t="str">
        <f>IFERROR(__xludf.DUMMYFUNCTION("""COMPUTED_VALUE"""),"DEF: +125000, Light DEF: +25000")</f>
        <v>DEF: +125000, Light DEF: +25000</v>
      </c>
      <c r="G840" s="1">
        <f>IFERROR(__xludf.DUMMYFUNCTION("""COMPUTED_VALUE"""),4.485E8)</f>
        <v>448500000</v>
      </c>
      <c r="H840" s="1"/>
      <c r="I840" s="1"/>
      <c r="J840" s="1"/>
      <c r="K840" s="1"/>
      <c r="L840" s="1"/>
      <c r="M840" s="1"/>
      <c r="N840" s="1"/>
      <c r="O840" s="1"/>
      <c r="P840" s="1"/>
      <c r="Q840" s="1"/>
      <c r="R840" s="1"/>
      <c r="S840" s="1"/>
      <c r="T840" s="1"/>
      <c r="U840" s="1"/>
      <c r="V840" s="1"/>
      <c r="W840" s="1"/>
      <c r="X840" s="1"/>
      <c r="Y840" s="1"/>
      <c r="Z840" s="1"/>
      <c r="AA840" s="1"/>
    </row>
    <row r="841" ht="15.75" customHeight="1">
      <c r="A841" s="1" t="str">
        <f>IFERROR(__xludf.DUMMYFUNCTION("""COMPUTED_VALUE"""),"Wyrmstone Leggings")</f>
        <v>Wyrmstone Leggings</v>
      </c>
      <c r="B841" s="1"/>
      <c r="C841" s="1" t="str">
        <f>IFERROR(__xludf.DUMMYFUNCTION("""COMPUTED_VALUE"""),"Item")</f>
        <v>Item</v>
      </c>
      <c r="D841" s="1" t="str">
        <f>IFERROR(__xludf.DUMMYFUNCTION("""COMPUTED_VALUE"""),"Legs")</f>
        <v>Legs</v>
      </c>
      <c r="E841" s="1">
        <f>IFERROR(__xludf.DUMMYFUNCTION("""COMPUTED_VALUE"""),2000.0)</f>
        <v>2000</v>
      </c>
      <c r="F841" s="1" t="str">
        <f>IFERROR(__xludf.DUMMYFUNCTION("""COMPUTED_VALUE"""),"DEF: +100000")</f>
        <v>DEF: +100000</v>
      </c>
      <c r="G841" s="1">
        <f>IFERROR(__xludf.DUMMYFUNCTION("""COMPUTED_VALUE"""),1.99E8)</f>
        <v>199000000</v>
      </c>
      <c r="H841" s="1"/>
      <c r="I841" s="1"/>
      <c r="J841" s="1"/>
      <c r="K841" s="1"/>
      <c r="L841" s="1"/>
      <c r="M841" s="1"/>
      <c r="N841" s="1"/>
      <c r="O841" s="1"/>
      <c r="P841" s="1"/>
      <c r="Q841" s="1"/>
      <c r="R841" s="1"/>
      <c r="S841" s="1"/>
      <c r="T841" s="1"/>
      <c r="U841" s="1"/>
      <c r="V841" s="1"/>
      <c r="W841" s="1"/>
      <c r="X841" s="1"/>
      <c r="Y841" s="1"/>
      <c r="Z841" s="1"/>
      <c r="AA841" s="1"/>
    </row>
    <row r="842" ht="15.75" customHeight="1">
      <c r="A842" s="1" t="str">
        <f>IFERROR(__xludf.DUMMYFUNCTION("""COMPUTED_VALUE"""),"Wyrmstone Lance")</f>
        <v>Wyrmstone Lance</v>
      </c>
      <c r="B842" s="1"/>
      <c r="C842" s="1" t="str">
        <f>IFERROR(__xludf.DUMMYFUNCTION("""COMPUTED_VALUE"""),"Spear")</f>
        <v>Spear</v>
      </c>
      <c r="D842" s="1" t="str">
        <f>IFERROR(__xludf.DUMMYFUNCTION("""COMPUTED_VALUE"""),"Hand")</f>
        <v>Hand</v>
      </c>
      <c r="E842" s="1">
        <f>IFERROR(__xludf.DUMMYFUNCTION("""COMPUTED_VALUE"""),2000.0)</f>
        <v>2000</v>
      </c>
      <c r="F842" s="1" t="str">
        <f>IFERROR(__xludf.DUMMYFUNCTION("""COMPUTED_VALUE"""),"DMG: +100000 ++Damage doubles if used two turns in a row +-Cannot be forged or duplicated")</f>
        <v>DMG: +100000 ++Damage doubles if used two turns in a row +-Cannot be forged or duplicated</v>
      </c>
      <c r="G842" s="1">
        <f>IFERROR(__xludf.DUMMYFUNCTION("""COMPUTED_VALUE"""),1.99E8)</f>
        <v>199000000</v>
      </c>
      <c r="H842" s="1"/>
      <c r="I842" s="1"/>
      <c r="J842" s="1"/>
      <c r="K842" s="1"/>
      <c r="L842" s="1"/>
      <c r="M842" s="1"/>
      <c r="N842" s="1"/>
      <c r="O842" s="1"/>
      <c r="P842" s="1"/>
      <c r="Q842" s="1"/>
      <c r="R842" s="1"/>
      <c r="S842" s="1"/>
      <c r="T842" s="1"/>
      <c r="U842" s="1"/>
      <c r="V842" s="1"/>
      <c r="W842" s="1"/>
      <c r="X842" s="1"/>
      <c r="Y842" s="1"/>
      <c r="Z842" s="1"/>
      <c r="AA842" s="1"/>
    </row>
    <row r="843" ht="15.75" customHeight="1">
      <c r="A843" s="1" t="str">
        <f>IFERROR(__xludf.DUMMYFUNCTION("""COMPUTED_VALUE"""),"Wyrmstone Nails")</f>
        <v>Wyrmstone Nails</v>
      </c>
      <c r="B843" s="1"/>
      <c r="C843" s="1" t="str">
        <f>IFERROR(__xludf.DUMMYFUNCTION("""COMPUTED_VALUE"""),"Claw")</f>
        <v>Claw</v>
      </c>
      <c r="D843" s="1" t="str">
        <f>IFERROR(__xludf.DUMMYFUNCTION("""COMPUTED_VALUE"""),"Hand")</f>
        <v>Hand</v>
      </c>
      <c r="E843" s="1">
        <f>IFERROR(__xludf.DUMMYFUNCTION("""COMPUTED_VALUE"""),2600.0)</f>
        <v>2600</v>
      </c>
      <c r="F843" s="1" t="str">
        <f>IFERROR(__xludf.DUMMYFUNCTION("""COMPUTED_VALUE"""),"DMG: +130000")</f>
        <v>DMG: +130000</v>
      </c>
      <c r="G843" s="1">
        <f>IFERROR(__xludf.DUMMYFUNCTION("""COMPUTED_VALUE"""),3.367E8)</f>
        <v>336700000</v>
      </c>
      <c r="H843" s="1"/>
      <c r="I843" s="1"/>
      <c r="J843" s="1"/>
      <c r="K843" s="1"/>
      <c r="L843" s="1"/>
      <c r="M843" s="1"/>
      <c r="N843" s="1"/>
      <c r="O843" s="1"/>
      <c r="P843" s="1"/>
      <c r="Q843" s="1"/>
      <c r="R843" s="1"/>
      <c r="S843" s="1"/>
      <c r="T843" s="1"/>
      <c r="U843" s="1"/>
      <c r="V843" s="1"/>
      <c r="W843" s="1"/>
      <c r="X843" s="1"/>
      <c r="Y843" s="1"/>
      <c r="Z843" s="1"/>
      <c r="AA843" s="1"/>
    </row>
    <row r="844" ht="15.75" customHeight="1">
      <c r="A844" s="1" t="str">
        <f>IFERROR(__xludf.DUMMYFUNCTION("""COMPUTED_VALUE"""),"Lizard Warrior's Scale Helm")</f>
        <v>Lizard Warrior's Scale Helm</v>
      </c>
      <c r="B844" s="1"/>
      <c r="C844" s="1" t="str">
        <f>IFERROR(__xludf.DUMMYFUNCTION("""COMPUTED_VALUE"""),"Item")</f>
        <v>Item</v>
      </c>
      <c r="D844" s="1" t="str">
        <f>IFERROR(__xludf.DUMMYFUNCTION("""COMPUTED_VALUE"""),"Head")</f>
        <v>Head</v>
      </c>
      <c r="E844" s="1">
        <f>IFERROR(__xludf.DUMMYFUNCTION("""COMPUTED_VALUE"""),3000.0)</f>
        <v>3000</v>
      </c>
      <c r="F844" s="1" t="str">
        <f>IFERROR(__xludf.DUMMYFUNCTION("""COMPUTED_VALUE"""),"DEF: +100000, Nature DEF: +50000")</f>
        <v>DEF: +100000, Nature DEF: +50000</v>
      </c>
      <c r="G844" s="1">
        <f>IFERROR(__xludf.DUMMYFUNCTION("""COMPUTED_VALUE"""),4.485E8)</f>
        <v>448500000</v>
      </c>
      <c r="H844" s="1"/>
      <c r="I844" s="1"/>
      <c r="J844" s="1"/>
      <c r="K844" s="1"/>
      <c r="L844" s="1"/>
      <c r="M844" s="1"/>
      <c r="N844" s="1"/>
      <c r="O844" s="1"/>
      <c r="P844" s="1"/>
      <c r="Q844" s="1"/>
      <c r="R844" s="1"/>
      <c r="S844" s="1"/>
      <c r="T844" s="1"/>
      <c r="U844" s="1"/>
      <c r="V844" s="1"/>
      <c r="W844" s="1"/>
      <c r="X844" s="1"/>
      <c r="Y844" s="1"/>
      <c r="Z844" s="1"/>
      <c r="AA844" s="1"/>
    </row>
    <row r="845" ht="15.75" customHeight="1">
      <c r="A845" s="1" t="str">
        <f>IFERROR(__xludf.DUMMYFUNCTION("""COMPUTED_VALUE"""),"Lizard Warrior's Scaled Pauldrons")</f>
        <v>Lizard Warrior's Scaled Pauldrons</v>
      </c>
      <c r="B845" s="1"/>
      <c r="C845" s="1" t="str">
        <f>IFERROR(__xludf.DUMMYFUNCTION("""COMPUTED_VALUE"""),"Item")</f>
        <v>Item</v>
      </c>
      <c r="D845" s="1" t="str">
        <f>IFERROR(__xludf.DUMMYFUNCTION("""COMPUTED_VALUE"""),"Shoulders")</f>
        <v>Shoulders</v>
      </c>
      <c r="E845" s="1">
        <f>IFERROR(__xludf.DUMMYFUNCTION("""COMPUTED_VALUE"""),3000.0)</f>
        <v>3000</v>
      </c>
      <c r="F845" s="1" t="str">
        <f>IFERROR(__xludf.DUMMYFUNCTION("""COMPUTED_VALUE"""),"DEF: +100000, Nature DEF: +50000")</f>
        <v>DEF: +100000, Nature DEF: +50000</v>
      </c>
      <c r="G845" s="1">
        <f>IFERROR(__xludf.DUMMYFUNCTION("""COMPUTED_VALUE"""),4.485E8)</f>
        <v>448500000</v>
      </c>
      <c r="H845" s="1"/>
      <c r="I845" s="1"/>
      <c r="J845" s="1"/>
      <c r="K845" s="1"/>
      <c r="L845" s="1"/>
      <c r="M845" s="1"/>
      <c r="N845" s="1"/>
      <c r="O845" s="1"/>
      <c r="P845" s="1"/>
      <c r="Q845" s="1"/>
      <c r="R845" s="1"/>
      <c r="S845" s="1"/>
      <c r="T845" s="1"/>
      <c r="U845" s="1"/>
      <c r="V845" s="1"/>
      <c r="W845" s="1"/>
      <c r="X845" s="1"/>
      <c r="Y845" s="1"/>
      <c r="Z845" s="1"/>
      <c r="AA845" s="1"/>
    </row>
    <row r="846" ht="15.75" customHeight="1">
      <c r="A846" s="1" t="str">
        <f>IFERROR(__xludf.DUMMYFUNCTION("""COMPUTED_VALUE"""),"Lizard Warrior's Scaled Chest")</f>
        <v>Lizard Warrior's Scaled Chest</v>
      </c>
      <c r="B846" s="1"/>
      <c r="C846" s="1" t="str">
        <f>IFERROR(__xludf.DUMMYFUNCTION("""COMPUTED_VALUE"""),"Item")</f>
        <v>Item</v>
      </c>
      <c r="D846" s="1" t="str">
        <f>IFERROR(__xludf.DUMMYFUNCTION("""COMPUTED_VALUE"""),"Torso")</f>
        <v>Torso</v>
      </c>
      <c r="E846" s="1">
        <f>IFERROR(__xludf.DUMMYFUNCTION("""COMPUTED_VALUE"""),3000.0)</f>
        <v>3000</v>
      </c>
      <c r="F846" s="1"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
        <f>IFERROR(__xludf.DUMMYFUNCTION("""COMPUTED_VALUE"""),4.485E8)</f>
        <v>448500000</v>
      </c>
      <c r="H846" s="1"/>
      <c r="I846" s="1"/>
      <c r="J846" s="1"/>
      <c r="K846" s="1"/>
      <c r="L846" s="1"/>
      <c r="M846" s="1"/>
      <c r="N846" s="1"/>
      <c r="O846" s="1"/>
      <c r="P846" s="1"/>
      <c r="Q846" s="1"/>
      <c r="R846" s="1"/>
      <c r="S846" s="1"/>
      <c r="T846" s="1"/>
      <c r="U846" s="1"/>
      <c r="V846" s="1"/>
      <c r="W846" s="1"/>
      <c r="X846" s="1"/>
      <c r="Y846" s="1"/>
      <c r="Z846" s="1"/>
      <c r="AA846" s="1"/>
    </row>
    <row r="847" ht="15.75" customHeight="1">
      <c r="A847" s="1" t="str">
        <f>IFERROR(__xludf.DUMMYFUNCTION("""COMPUTED_VALUE"""),"Lizard Warrior's Scaled Arms")</f>
        <v>Lizard Warrior's Scaled Arms</v>
      </c>
      <c r="B847" s="1"/>
      <c r="C847" s="1" t="str">
        <f>IFERROR(__xludf.DUMMYFUNCTION("""COMPUTED_VALUE"""),"Item")</f>
        <v>Item</v>
      </c>
      <c r="D847" s="1" t="str">
        <f>IFERROR(__xludf.DUMMYFUNCTION("""COMPUTED_VALUE"""),"Arms")</f>
        <v>Arms</v>
      </c>
      <c r="E847" s="1">
        <f>IFERROR(__xludf.DUMMYFUNCTION("""COMPUTED_VALUE"""),3000.0)</f>
        <v>3000</v>
      </c>
      <c r="F847" s="1" t="str">
        <f>IFERROR(__xludf.DUMMYFUNCTION("""COMPUTED_VALUE"""),"DEF: +100000, Nature DEF: +50000 ++7500 DEF for every enemy currently poisoned (Max 37500)")</f>
        <v>DEF: +100000, Nature DEF: +50000 ++7500 DEF for every enemy currently poisoned (Max 37500)</v>
      </c>
      <c r="G847" s="1">
        <f>IFERROR(__xludf.DUMMYFUNCTION("""COMPUTED_VALUE"""),4.485E8)</f>
        <v>448500000</v>
      </c>
      <c r="H847" s="1"/>
      <c r="I847" s="1"/>
      <c r="J847" s="1"/>
      <c r="K847" s="1"/>
      <c r="L847" s="1"/>
      <c r="M847" s="1"/>
      <c r="N847" s="1"/>
      <c r="O847" s="1"/>
      <c r="P847" s="1"/>
      <c r="Q847" s="1"/>
      <c r="R847" s="1"/>
      <c r="S847" s="1"/>
      <c r="T847" s="1"/>
      <c r="U847" s="1"/>
      <c r="V847" s="1"/>
      <c r="W847" s="1"/>
      <c r="X847" s="1"/>
      <c r="Y847" s="1"/>
      <c r="Z847" s="1"/>
      <c r="AA847" s="1"/>
    </row>
    <row r="848" ht="15.75" customHeight="1">
      <c r="A848" s="1" t="str">
        <f>IFERROR(__xludf.DUMMYFUNCTION("""COMPUTED_VALUE"""),"Lizard Warrior's Bracelets")</f>
        <v>Lizard Warrior's Bracelets</v>
      </c>
      <c r="B848" s="1"/>
      <c r="C848" s="1" t="str">
        <f>IFERROR(__xludf.DUMMYFUNCTION("""COMPUTED_VALUE"""),"Item")</f>
        <v>Item</v>
      </c>
      <c r="D848" s="1" t="str">
        <f>IFERROR(__xludf.DUMMYFUNCTION("""COMPUTED_VALUE"""),"Arms")</f>
        <v>Arms</v>
      </c>
      <c r="E848" s="1">
        <f>IFERROR(__xludf.DUMMYFUNCTION("""COMPUTED_VALUE"""),3000.0)</f>
        <v>3000</v>
      </c>
      <c r="F848" s="1" t="str">
        <f>IFERROR(__xludf.DUMMYFUNCTION("""COMPUTED_VALUE"""),"DEF: +100000, Nature DEF: +50000 ++5000 ACC for every enemy currently poisoned (Max 25000)")</f>
        <v>DEF: +100000, Nature DEF: +50000 ++5000 ACC for every enemy currently poisoned (Max 25000)</v>
      </c>
      <c r="G848" s="1">
        <f>IFERROR(__xludf.DUMMYFUNCTION("""COMPUTED_VALUE"""),4.485E8)</f>
        <v>448500000</v>
      </c>
      <c r="H848" s="1"/>
      <c r="I848" s="1"/>
      <c r="J848" s="1"/>
      <c r="K848" s="1"/>
      <c r="L848" s="1"/>
      <c r="M848" s="1"/>
      <c r="N848" s="1"/>
      <c r="O848" s="1"/>
      <c r="P848" s="1"/>
      <c r="Q848" s="1"/>
      <c r="R848" s="1"/>
      <c r="S848" s="1"/>
      <c r="T848" s="1"/>
      <c r="U848" s="1"/>
      <c r="V848" s="1"/>
      <c r="W848" s="1"/>
      <c r="X848" s="1"/>
      <c r="Y848" s="1"/>
      <c r="Z848" s="1"/>
      <c r="AA848" s="1"/>
    </row>
    <row r="849" ht="15.75" customHeight="1">
      <c r="A849" s="1" t="str">
        <f>IFERROR(__xludf.DUMMYFUNCTION("""COMPUTED_VALUE"""),"Lizard Warrior's Scaled Legs")</f>
        <v>Lizard Warrior's Scaled Legs</v>
      </c>
      <c r="B849" s="1"/>
      <c r="C849" s="1" t="str">
        <f>IFERROR(__xludf.DUMMYFUNCTION("""COMPUTED_VALUE"""),"Item")</f>
        <v>Item</v>
      </c>
      <c r="D849" s="1" t="str">
        <f>IFERROR(__xludf.DUMMYFUNCTION("""COMPUTED_VALUE"""),"Legs")</f>
        <v>Legs</v>
      </c>
      <c r="E849" s="1">
        <f>IFERROR(__xludf.DUMMYFUNCTION("""COMPUTED_VALUE"""),3000.0)</f>
        <v>3000</v>
      </c>
      <c r="F849" s="1" t="str">
        <f>IFERROR(__xludf.DUMMYFUNCTION("""COMPUTED_VALUE"""),"DEF: +100000, Nature DEF: +50000 ++5000 ATK for every enemy currently poisoned (Max 25000)")</f>
        <v>DEF: +100000, Nature DEF: +50000 ++5000 ATK for every enemy currently poisoned (Max 25000)</v>
      </c>
      <c r="G849" s="1">
        <f>IFERROR(__xludf.DUMMYFUNCTION("""COMPUTED_VALUE"""),4.485E8)</f>
        <v>448500000</v>
      </c>
      <c r="H849" s="1"/>
      <c r="I849" s="1"/>
      <c r="J849" s="1"/>
      <c r="K849" s="1"/>
      <c r="L849" s="1"/>
      <c r="M849" s="1"/>
      <c r="N849" s="1"/>
      <c r="O849" s="1"/>
      <c r="P849" s="1"/>
      <c r="Q849" s="1"/>
      <c r="R849" s="1"/>
      <c r="S849" s="1"/>
      <c r="T849" s="1"/>
      <c r="U849" s="1"/>
      <c r="V849" s="1"/>
      <c r="W849" s="1"/>
      <c r="X849" s="1"/>
      <c r="Y849" s="1"/>
      <c r="Z849" s="1"/>
      <c r="AA849" s="1"/>
    </row>
    <row r="850" ht="15.75" customHeight="1">
      <c r="A850" s="1" t="str">
        <f>IFERROR(__xludf.DUMMYFUNCTION("""COMPUTED_VALUE"""),"Lizard Warrior's Scaled Boots")</f>
        <v>Lizard Warrior's Scaled Boots</v>
      </c>
      <c r="B850" s="1"/>
      <c r="C850" s="1" t="str">
        <f>IFERROR(__xludf.DUMMYFUNCTION("""COMPUTED_VALUE"""),"Item")</f>
        <v>Item</v>
      </c>
      <c r="D850" s="1" t="str">
        <f>IFERROR(__xludf.DUMMYFUNCTION("""COMPUTED_VALUE"""),"Feet")</f>
        <v>Feet</v>
      </c>
      <c r="E850" s="1">
        <f>IFERROR(__xludf.DUMMYFUNCTION("""COMPUTED_VALUE"""),3000.0)</f>
        <v>3000</v>
      </c>
      <c r="F850" s="1" t="str">
        <f>IFERROR(__xludf.DUMMYFUNCTION("""COMPUTED_VALUE"""),"DEF: +100000, Nature DEF: +50000 ++1 Mobility for every enemy currently poisoned (Max 5)")</f>
        <v>DEF: +100000, Nature DEF: +50000 ++1 Mobility for every enemy currently poisoned (Max 5)</v>
      </c>
      <c r="G850" s="1">
        <f>IFERROR(__xludf.DUMMYFUNCTION("""COMPUTED_VALUE"""),4.485E8)</f>
        <v>448500000</v>
      </c>
      <c r="H850" s="1"/>
      <c r="I850" s="1"/>
      <c r="J850" s="1"/>
      <c r="K850" s="1"/>
      <c r="L850" s="1"/>
      <c r="M850" s="1"/>
      <c r="N850" s="1"/>
      <c r="O850" s="1"/>
      <c r="P850" s="1"/>
      <c r="Q850" s="1"/>
      <c r="R850" s="1"/>
      <c r="S850" s="1"/>
      <c r="T850" s="1"/>
      <c r="U850" s="1"/>
      <c r="V850" s="1"/>
      <c r="W850" s="1"/>
      <c r="X850" s="1"/>
      <c r="Y850" s="1"/>
      <c r="Z850" s="1"/>
      <c r="AA850" s="1"/>
    </row>
    <row r="851" ht="15.75" customHeight="1">
      <c r="A851" s="1" t="str">
        <f>IFERROR(__xludf.DUMMYFUNCTION("""COMPUTED_VALUE"""),"Lizard Warrior's Claw")</f>
        <v>Lizard Warrior's Claw</v>
      </c>
      <c r="B851" s="1"/>
      <c r="C851" s="1" t="str">
        <f>IFERROR(__xludf.DUMMYFUNCTION("""COMPUTED_VALUE"""),"Claw")</f>
        <v>Claw</v>
      </c>
      <c r="D851" s="1" t="str">
        <f>IFERROR(__xludf.DUMMYFUNCTION("""COMPUTED_VALUE"""),"Hand")</f>
        <v>Hand</v>
      </c>
      <c r="E851" s="1">
        <f>IFERROR(__xludf.DUMMYFUNCTION("""COMPUTED_VALUE"""),3000.0)</f>
        <v>3000</v>
      </c>
      <c r="F851" s="1"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
        <f>IFERROR(__xludf.DUMMYFUNCTION("""COMPUTED_VALUE"""),4.485E8)</f>
        <v>448500000</v>
      </c>
      <c r="H851" s="1"/>
      <c r="I851" s="1"/>
      <c r="J851" s="1"/>
      <c r="K851" s="1"/>
      <c r="L851" s="1"/>
      <c r="M851" s="1"/>
      <c r="N851" s="1"/>
      <c r="O851" s="1"/>
      <c r="P851" s="1"/>
      <c r="Q851" s="1"/>
      <c r="R851" s="1"/>
      <c r="S851" s="1"/>
      <c r="T851" s="1"/>
      <c r="U851" s="1"/>
      <c r="V851" s="1"/>
      <c r="W851" s="1"/>
      <c r="X851" s="1"/>
      <c r="Y851" s="1"/>
      <c r="Z851" s="1"/>
      <c r="AA851" s="1"/>
    </row>
    <row r="852" ht="15.75" customHeight="1">
      <c r="A852" s="1" t="str">
        <f>IFERROR(__xludf.DUMMYFUNCTION("""COMPUTED_VALUE"""),"Lizard Warrior Guantlet")</f>
        <v>Lizard Warrior Guantlet</v>
      </c>
      <c r="B852" s="1"/>
      <c r="C852" s="1" t="str">
        <f>IFERROR(__xludf.DUMMYFUNCTION("""COMPUTED_VALUE"""),"Gauntlet")</f>
        <v>Gauntlet</v>
      </c>
      <c r="D852" s="1" t="str">
        <f>IFERROR(__xludf.DUMMYFUNCTION("""COMPUTED_VALUE"""),"Hand")</f>
        <v>Hand</v>
      </c>
      <c r="E852" s="1">
        <f>IFERROR(__xludf.DUMMYFUNCTION("""COMPUTED_VALUE"""),3000.0)</f>
        <v>3000</v>
      </c>
      <c r="F852" s="1" t="str">
        <f>IFERROR(__xludf.DUMMYFUNCTION("""COMPUTED_VALUE"""),"DEF: +100000, Nature DEF: +50000 ++50% chance to be unaffected by a weapon attack from a poisoned enemy")</f>
        <v>DEF: +100000, Nature DEF: +50000 ++50% chance to be unaffected by a weapon attack from a poisoned enemy</v>
      </c>
      <c r="G852" s="1">
        <f>IFERROR(__xludf.DUMMYFUNCTION("""COMPUTED_VALUE"""),4.485E8)</f>
        <v>448500000</v>
      </c>
      <c r="H852" s="1"/>
      <c r="I852" s="1"/>
      <c r="J852" s="1"/>
      <c r="K852" s="1"/>
      <c r="L852" s="1"/>
      <c r="M852" s="1"/>
      <c r="N852" s="1"/>
      <c r="O852" s="1"/>
      <c r="P852" s="1"/>
      <c r="Q852" s="1"/>
      <c r="R852" s="1"/>
      <c r="S852" s="1"/>
      <c r="T852" s="1"/>
      <c r="U852" s="1"/>
      <c r="V852" s="1"/>
      <c r="W852" s="1"/>
      <c r="X852" s="1"/>
      <c r="Y852" s="1"/>
      <c r="Z852" s="1"/>
      <c r="AA852" s="1"/>
    </row>
    <row r="853" ht="15.75" customHeight="1">
      <c r="A853" s="1" t="str">
        <f>IFERROR(__xludf.DUMMYFUNCTION("""COMPUTED_VALUE"""),"Igaunian Assassin's Cowl")</f>
        <v>Igaunian Assassin's Cowl</v>
      </c>
      <c r="B853" s="1"/>
      <c r="C853" s="1" t="str">
        <f>IFERROR(__xludf.DUMMYFUNCTION("""COMPUTED_VALUE"""),"Item")</f>
        <v>Item</v>
      </c>
      <c r="D853" s="1" t="str">
        <f>IFERROR(__xludf.DUMMYFUNCTION("""COMPUTED_VALUE"""),"Head")</f>
        <v>Head</v>
      </c>
      <c r="E853" s="1">
        <f>IFERROR(__xludf.DUMMYFUNCTION("""COMPUTED_VALUE"""),2000.0)</f>
        <v>2000</v>
      </c>
      <c r="F853" s="1"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
        <f>IFERROR(__xludf.DUMMYFUNCTION("""COMPUTED_VALUE"""),1.99E8)</f>
        <v>199000000</v>
      </c>
      <c r="H853" s="1"/>
      <c r="I853" s="1"/>
      <c r="J853" s="1"/>
      <c r="K853" s="1"/>
      <c r="L853" s="1"/>
      <c r="M853" s="1"/>
      <c r="N853" s="1"/>
      <c r="O853" s="1"/>
      <c r="P853" s="1"/>
      <c r="Q853" s="1"/>
      <c r="R853" s="1"/>
      <c r="S853" s="1"/>
      <c r="T853" s="1"/>
      <c r="U853" s="1"/>
      <c r="V853" s="1"/>
      <c r="W853" s="1"/>
      <c r="X853" s="1"/>
      <c r="Y853" s="1"/>
      <c r="Z853" s="1"/>
      <c r="AA853" s="1"/>
    </row>
    <row r="854" ht="15.75" customHeight="1">
      <c r="A854" s="1" t="str">
        <f>IFERROR(__xludf.DUMMYFUNCTION("""COMPUTED_VALUE"""),"Igaunian Assassin's Cloths")</f>
        <v>Igaunian Assassin's Cloths</v>
      </c>
      <c r="B854" s="1"/>
      <c r="C854" s="1" t="str">
        <f>IFERROR(__xludf.DUMMYFUNCTION("""COMPUTED_VALUE"""),"Item")</f>
        <v>Item</v>
      </c>
      <c r="D854" s="1" t="str">
        <f>IFERROR(__xludf.DUMMYFUNCTION("""COMPUTED_VALUE"""),"Torso")</f>
        <v>Torso</v>
      </c>
      <c r="E854" s="1">
        <f>IFERROR(__xludf.DUMMYFUNCTION("""COMPUTED_VALUE"""),2000.0)</f>
        <v>2000</v>
      </c>
      <c r="F854" s="1" t="str">
        <f>IFERROR(__xludf.DUMMYFUNCTION("""COMPUTED_VALUE"""),"DEF: +75000, Nature DEF: +25000 ++15000 ATK and ACC ++X4 Knife and Boomerang damage")</f>
        <v>DEF: +75000, Nature DEF: +25000 ++15000 ATK and ACC ++X4 Knife and Boomerang damage</v>
      </c>
      <c r="G854" s="1">
        <f>IFERROR(__xludf.DUMMYFUNCTION("""COMPUTED_VALUE"""),1.99E8)</f>
        <v>199000000</v>
      </c>
      <c r="H854" s="1"/>
      <c r="I854" s="1"/>
      <c r="J854" s="1"/>
      <c r="K854" s="1"/>
      <c r="L854" s="1"/>
      <c r="M854" s="1"/>
      <c r="N854" s="1"/>
      <c r="O854" s="1"/>
      <c r="P854" s="1"/>
      <c r="Q854" s="1"/>
      <c r="R854" s="1"/>
      <c r="S854" s="1"/>
      <c r="T854" s="1"/>
      <c r="U854" s="1"/>
      <c r="V854" s="1"/>
      <c r="W854" s="1"/>
      <c r="X854" s="1"/>
      <c r="Y854" s="1"/>
      <c r="Z854" s="1"/>
      <c r="AA854" s="1"/>
    </row>
    <row r="855" ht="15.75" customHeight="1">
      <c r="A855" s="1" t="str">
        <f>IFERROR(__xludf.DUMMYFUNCTION("""COMPUTED_VALUE"""),"Iguanian Assassin's Pants")</f>
        <v>Iguanian Assassin's Pants</v>
      </c>
      <c r="B855" s="1"/>
      <c r="C855" s="1" t="str">
        <f>IFERROR(__xludf.DUMMYFUNCTION("""COMPUTED_VALUE"""),"Item")</f>
        <v>Item</v>
      </c>
      <c r="D855" s="1" t="str">
        <f>IFERROR(__xludf.DUMMYFUNCTION("""COMPUTED_VALUE"""),"Legs")</f>
        <v>Legs</v>
      </c>
      <c r="E855" s="1">
        <f>IFERROR(__xludf.DUMMYFUNCTION("""COMPUTED_VALUE"""),2000.0)</f>
        <v>2000</v>
      </c>
      <c r="F855" s="1" t="str">
        <f>IFERROR(__xludf.DUMMYFUNCTION("""COMPUTED_VALUE"""),"DEF: +75000, Nature DEF: +25000 ++15000 ATK and ACC ++X4 Knife and Boomerang damage")</f>
        <v>DEF: +75000, Nature DEF: +25000 ++15000 ATK and ACC ++X4 Knife and Boomerang damage</v>
      </c>
      <c r="G855" s="1">
        <f>IFERROR(__xludf.DUMMYFUNCTION("""COMPUTED_VALUE"""),1.99E8)</f>
        <v>199000000</v>
      </c>
      <c r="H855" s="1"/>
      <c r="I855" s="1"/>
      <c r="J855" s="1"/>
      <c r="K855" s="1"/>
      <c r="L855" s="1"/>
      <c r="M855" s="1"/>
      <c r="N855" s="1"/>
      <c r="O855" s="1"/>
      <c r="P855" s="1"/>
      <c r="Q855" s="1"/>
      <c r="R855" s="1"/>
      <c r="S855" s="1"/>
      <c r="T855" s="1"/>
      <c r="U855" s="1"/>
      <c r="V855" s="1"/>
      <c r="W855" s="1"/>
      <c r="X855" s="1"/>
      <c r="Y855" s="1"/>
      <c r="Z855" s="1"/>
      <c r="AA855" s="1"/>
    </row>
    <row r="856" ht="15.75" customHeight="1">
      <c r="A856" s="1" t="str">
        <f>IFERROR(__xludf.DUMMYFUNCTION("""COMPUTED_VALUE"""),"Iguanian Assassin's Boots")</f>
        <v>Iguanian Assassin's Boots</v>
      </c>
      <c r="B856" s="1"/>
      <c r="C856" s="1" t="str">
        <f>IFERROR(__xludf.DUMMYFUNCTION("""COMPUTED_VALUE"""),"Item")</f>
        <v>Item</v>
      </c>
      <c r="D856" s="1" t="str">
        <f>IFERROR(__xludf.DUMMYFUNCTION("""COMPUTED_VALUE"""),"Feet")</f>
        <v>Feet</v>
      </c>
      <c r="E856" s="1">
        <f>IFERROR(__xludf.DUMMYFUNCTION("""COMPUTED_VALUE"""),2000.0)</f>
        <v>2000</v>
      </c>
      <c r="F856" s="1" t="str">
        <f>IFERROR(__xludf.DUMMYFUNCTION("""COMPUTED_VALUE"""),"DEF: +75000, Nature DEF: +25000 ++15000 ATK and ACC ++X4 Knife and Boomerang damage")</f>
        <v>DEF: +75000, Nature DEF: +25000 ++15000 ATK and ACC ++X4 Knife and Boomerang damage</v>
      </c>
      <c r="G856" s="1">
        <f>IFERROR(__xludf.DUMMYFUNCTION("""COMPUTED_VALUE"""),1.99E8)</f>
        <v>199000000</v>
      </c>
      <c r="H856" s="1"/>
      <c r="I856" s="1"/>
      <c r="J856" s="1"/>
      <c r="K856" s="1"/>
      <c r="L856" s="1"/>
      <c r="M856" s="1"/>
      <c r="N856" s="1"/>
      <c r="O856" s="1"/>
      <c r="P856" s="1"/>
      <c r="Q856" s="1"/>
      <c r="R856" s="1"/>
      <c r="S856" s="1"/>
      <c r="T856" s="1"/>
      <c r="U856" s="1"/>
      <c r="V856" s="1"/>
      <c r="W856" s="1"/>
      <c r="X856" s="1"/>
      <c r="Y856" s="1"/>
      <c r="Z856" s="1"/>
      <c r="AA856" s="1"/>
    </row>
    <row r="857" ht="15.75" customHeight="1">
      <c r="A857" s="1" t="str">
        <f>IFERROR(__xludf.DUMMYFUNCTION("""COMPUTED_VALUE"""),"Iguanian Assassin's Chakram")</f>
        <v>Iguanian Assassin's Chakram</v>
      </c>
      <c r="B857" s="1"/>
      <c r="C857" s="1" t="str">
        <f>IFERROR(__xludf.DUMMYFUNCTION("""COMPUTED_VALUE"""),"Boomerang")</f>
        <v>Boomerang</v>
      </c>
      <c r="D857" s="1" t="str">
        <f>IFERROR(__xludf.DUMMYFUNCTION("""COMPUTED_VALUE"""),"Hand")</f>
        <v>Hand</v>
      </c>
      <c r="E857" s="1">
        <f>IFERROR(__xludf.DUMMYFUNCTION("""COMPUTED_VALUE"""),3000.0)</f>
        <v>3000</v>
      </c>
      <c r="F857" s="1" t="str">
        <f>IFERROR(__xludf.DUMMYFUNCTION("""COMPUTED_VALUE"""),"DMG: +100000, Nature DMG: +50000 ++Increases the weapon effect chance by 10%")</f>
        <v>DMG: +100000, Nature DMG: +50000 ++Increases the weapon effect chance by 10%</v>
      </c>
      <c r="G857" s="1">
        <f>IFERROR(__xludf.DUMMYFUNCTION("""COMPUTED_VALUE"""),4.485E8)</f>
        <v>448500000</v>
      </c>
      <c r="H857" s="1"/>
      <c r="I857" s="1"/>
      <c r="J857" s="1"/>
      <c r="K857" s="1"/>
      <c r="L857" s="1"/>
      <c r="M857" s="1"/>
      <c r="N857" s="1"/>
      <c r="O857" s="1"/>
      <c r="P857" s="1"/>
      <c r="Q857" s="1"/>
      <c r="R857" s="1"/>
      <c r="S857" s="1"/>
      <c r="T857" s="1"/>
      <c r="U857" s="1"/>
      <c r="V857" s="1"/>
      <c r="W857" s="1"/>
      <c r="X857" s="1"/>
      <c r="Y857" s="1"/>
      <c r="Z857" s="1"/>
      <c r="AA857" s="1"/>
    </row>
    <row r="858" ht="15.75" customHeight="1">
      <c r="A858" s="1" t="str">
        <f>IFERROR(__xludf.DUMMYFUNCTION("""COMPUTED_VALUE"""),"Iguanian Assassin's Slicer")</f>
        <v>Iguanian Assassin's Slicer</v>
      </c>
      <c r="B858" s="1"/>
      <c r="C858" s="1" t="str">
        <f>IFERROR(__xludf.DUMMYFUNCTION("""COMPUTED_VALUE"""),"Knife")</f>
        <v>Knife</v>
      </c>
      <c r="D858" s="1" t="str">
        <f>IFERROR(__xludf.DUMMYFUNCTION("""COMPUTED_VALUE"""),"Hand")</f>
        <v>Hand</v>
      </c>
      <c r="E858" s="1">
        <f>IFERROR(__xludf.DUMMYFUNCTION("""COMPUTED_VALUE"""),3000.0)</f>
        <v>3000</v>
      </c>
      <c r="F858" s="1"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
        <f>IFERROR(__xludf.DUMMYFUNCTION("""COMPUTED_VALUE"""),4.485E8)</f>
        <v>448500000</v>
      </c>
      <c r="H858" s="1"/>
      <c r="I858" s="1"/>
      <c r="J858" s="1"/>
      <c r="K858" s="1"/>
      <c r="L858" s="1"/>
      <c r="M858" s="1"/>
      <c r="N858" s="1"/>
      <c r="O858" s="1"/>
      <c r="P858" s="1"/>
      <c r="Q858" s="1"/>
      <c r="R858" s="1"/>
      <c r="S858" s="1"/>
      <c r="T858" s="1"/>
      <c r="U858" s="1"/>
      <c r="V858" s="1"/>
      <c r="W858" s="1"/>
      <c r="X858" s="1"/>
      <c r="Y858" s="1"/>
      <c r="Z858" s="1"/>
      <c r="AA858" s="1"/>
    </row>
    <row r="859" ht="15.75" customHeight="1">
      <c r="A859" s="1" t="str">
        <f>IFERROR(__xludf.DUMMYFUNCTION("""COMPUTED_VALUE"""),"Wyverntooth Smasher")</f>
        <v>Wyverntooth Smasher</v>
      </c>
      <c r="B859" s="1"/>
      <c r="C859" s="1" t="str">
        <f>IFERROR(__xludf.DUMMYFUNCTION("""COMPUTED_VALUE"""),"Axe")</f>
        <v>Axe</v>
      </c>
      <c r="D859" s="1" t="str">
        <f>IFERROR(__xludf.DUMMYFUNCTION("""COMPUTED_VALUE"""),"Hand")</f>
        <v>Hand</v>
      </c>
      <c r="E859" s="1">
        <f>IFERROR(__xludf.DUMMYFUNCTION("""COMPUTED_VALUE"""),2400.0)</f>
        <v>2400</v>
      </c>
      <c r="F859" s="1" t="str">
        <f>IFERROR(__xludf.DUMMYFUNCTION("""COMPUTED_VALUE"""),"DMG: +30000, Chaos DMG: +90000")</f>
        <v>DMG: +30000, Chaos DMG: +90000</v>
      </c>
      <c r="G859" s="1">
        <f>IFERROR(__xludf.DUMMYFUNCTION("""COMPUTED_VALUE"""),2.868E8)</f>
        <v>286800000</v>
      </c>
      <c r="H859" s="1"/>
      <c r="I859" s="1"/>
      <c r="J859" s="1"/>
      <c r="K859" s="1"/>
      <c r="L859" s="1"/>
      <c r="M859" s="1"/>
      <c r="N859" s="1"/>
      <c r="O859" s="1"/>
      <c r="P859" s="1"/>
      <c r="Q859" s="1"/>
      <c r="R859" s="1"/>
      <c r="S859" s="1"/>
      <c r="T859" s="1"/>
      <c r="U859" s="1"/>
      <c r="V859" s="1"/>
      <c r="W859" s="1"/>
      <c r="X859" s="1"/>
      <c r="Y859" s="1"/>
      <c r="Z859" s="1"/>
      <c r="AA859" s="1"/>
    </row>
    <row r="860" ht="15.75" customHeight="1">
      <c r="A860" s="1" t="str">
        <f>IFERROR(__xludf.DUMMYFUNCTION("""COMPUTED_VALUE"""),"Wyvernblade")</f>
        <v>Wyvernblade</v>
      </c>
      <c r="B860" s="1"/>
      <c r="C860" s="1" t="str">
        <f>IFERROR(__xludf.DUMMYFUNCTION("""COMPUTED_VALUE"""),"Knife")</f>
        <v>Knife</v>
      </c>
      <c r="D860" s="1" t="str">
        <f>IFERROR(__xludf.DUMMYFUNCTION("""COMPUTED_VALUE"""),"Hand")</f>
        <v>Hand</v>
      </c>
      <c r="E860" s="1">
        <f>IFERROR(__xludf.DUMMYFUNCTION("""COMPUTED_VALUE"""),2600.0)</f>
        <v>2600</v>
      </c>
      <c r="F860" s="1" t="str">
        <f>IFERROR(__xludf.DUMMYFUNCTION("""COMPUTED_VALUE"""),", Melee DMG: +130000")</f>
        <v>, Melee DMG: +130000</v>
      </c>
      <c r="G860" s="1">
        <f>IFERROR(__xludf.DUMMYFUNCTION("""COMPUTED_VALUE"""),3.367E8)</f>
        <v>336700000</v>
      </c>
      <c r="H860" s="1"/>
      <c r="I860" s="1"/>
      <c r="J860" s="1"/>
      <c r="K860" s="1"/>
      <c r="L860" s="1"/>
      <c r="M860" s="1"/>
      <c r="N860" s="1"/>
      <c r="O860" s="1"/>
      <c r="P860" s="1"/>
      <c r="Q860" s="1"/>
      <c r="R860" s="1"/>
      <c r="S860" s="1"/>
      <c r="T860" s="1"/>
      <c r="U860" s="1"/>
      <c r="V860" s="1"/>
      <c r="W860" s="1"/>
      <c r="X860" s="1"/>
      <c r="Y860" s="1"/>
      <c r="Z860" s="1"/>
      <c r="AA860" s="1"/>
    </row>
    <row r="861" ht="15.75" customHeight="1">
      <c r="A861" s="1" t="str">
        <f>IFERROR(__xludf.DUMMYFUNCTION("""COMPUTED_VALUE"""),"Wyvernscale Ring")</f>
        <v>Wyvernscale Ring</v>
      </c>
      <c r="B861" s="1"/>
      <c r="C861" s="1" t="str">
        <f>IFERROR(__xludf.DUMMYFUNCTION("""COMPUTED_VALUE"""),"Item")</f>
        <v>Item</v>
      </c>
      <c r="D861" s="1" t="str">
        <f>IFERROR(__xludf.DUMMYFUNCTION("""COMPUTED_VALUE"""),"Finger")</f>
        <v>Finger</v>
      </c>
      <c r="E861" s="1">
        <f>IFERROR(__xludf.DUMMYFUNCTION("""COMPUTED_VALUE"""),2000.0)</f>
        <v>2000</v>
      </c>
      <c r="F861" s="1" t="str">
        <f>IFERROR(__xludf.DUMMYFUNCTION("""COMPUTED_VALUE"""),", Melee DEF: +100000 ++50% chance to negate any damage from a wyvern +-Cannot be forged or duplicated")</f>
        <v>, Melee DEF: +100000 ++50% chance to negate any damage from a wyvern +-Cannot be forged or duplicated</v>
      </c>
      <c r="G861" s="1">
        <f>IFERROR(__xludf.DUMMYFUNCTION("""COMPUTED_VALUE"""),1.99E8)</f>
        <v>199000000</v>
      </c>
      <c r="H861" s="1"/>
      <c r="I861" s="1"/>
      <c r="J861" s="1"/>
      <c r="K861" s="1"/>
      <c r="L861" s="1"/>
      <c r="M861" s="1"/>
      <c r="N861" s="1"/>
      <c r="O861" s="1"/>
      <c r="P861" s="1"/>
      <c r="Q861" s="1"/>
      <c r="R861" s="1"/>
      <c r="S861" s="1"/>
      <c r="T861" s="1"/>
      <c r="U861" s="1"/>
      <c r="V861" s="1"/>
      <c r="W861" s="1"/>
      <c r="X861" s="1"/>
      <c r="Y861" s="1"/>
      <c r="Z861" s="1"/>
      <c r="AA861" s="1"/>
    </row>
    <row r="862" ht="15.75" customHeight="1">
      <c r="A862" s="1" t="str">
        <f>IFERROR(__xludf.DUMMYFUNCTION("""COMPUTED_VALUE"""),"Wyvern Hood")</f>
        <v>Wyvern Hood</v>
      </c>
      <c r="B862" s="1"/>
      <c r="C862" s="1" t="str">
        <f>IFERROR(__xludf.DUMMYFUNCTION("""COMPUTED_VALUE"""),"Item")</f>
        <v>Item</v>
      </c>
      <c r="D862" s="1" t="str">
        <f>IFERROR(__xludf.DUMMYFUNCTION("""COMPUTED_VALUE"""),"Head")</f>
        <v>Head</v>
      </c>
      <c r="E862" s="1">
        <f>IFERROR(__xludf.DUMMYFUNCTION("""COMPUTED_VALUE"""),1.0)</f>
        <v>1</v>
      </c>
      <c r="F862" s="1" t="str">
        <f>IFERROR(__xludf.DUMMYFUNCTION("""COMPUTED_VALUE""")," ++When in a party of 4 or more, enemy wyverns cannot target the wearer +-Cannot be forged or duplicated")</f>
        <v> ++When in a party of 4 or more, enemy wyverns cannot target the wearer +-Cannot be forged or duplicated</v>
      </c>
      <c r="G862" s="1">
        <f>IFERROR(__xludf.DUMMYFUNCTION("""COMPUTED_VALUE"""),0.0)</f>
        <v>0</v>
      </c>
      <c r="H862" s="1"/>
      <c r="I862" s="1"/>
      <c r="J862" s="1"/>
      <c r="K862" s="1"/>
      <c r="L862" s="1"/>
      <c r="M862" s="1"/>
      <c r="N862" s="1"/>
      <c r="O862" s="1"/>
      <c r="P862" s="1"/>
      <c r="Q862" s="1"/>
      <c r="R862" s="1"/>
      <c r="S862" s="1"/>
      <c r="T862" s="1"/>
      <c r="U862" s="1"/>
      <c r="V862" s="1"/>
      <c r="W862" s="1"/>
      <c r="X862" s="1"/>
      <c r="Y862" s="1"/>
      <c r="Z862" s="1"/>
      <c r="AA862" s="1"/>
    </row>
    <row r="863" ht="15.75" customHeight="1">
      <c r="A863" s="1" t="str">
        <f>IFERROR(__xludf.DUMMYFUNCTION("""COMPUTED_VALUE"""),"Wyvernarang")</f>
        <v>Wyvernarang</v>
      </c>
      <c r="B863" s="1"/>
      <c r="C863" s="1" t="str">
        <f>IFERROR(__xludf.DUMMYFUNCTION("""COMPUTED_VALUE"""),"Boomerang")</f>
        <v>Boomerang</v>
      </c>
      <c r="D863" s="1" t="str">
        <f>IFERROR(__xludf.DUMMYFUNCTION("""COMPUTED_VALUE"""),"Hand")</f>
        <v>Hand</v>
      </c>
      <c r="E863" s="1">
        <f>IFERROR(__xludf.DUMMYFUNCTION("""COMPUTED_VALUE"""),3000.0)</f>
        <v>3000</v>
      </c>
      <c r="F863" s="1" t="str">
        <f>IFERROR(__xludf.DUMMYFUNCTION("""COMPUTED_VALUE"""),"DMG: +50000, Spirit DMG: +50000, Chaos DMG: +50000")</f>
        <v>DMG: +50000, Spirit DMG: +50000, Chaos DMG: +50000</v>
      </c>
      <c r="G863" s="1">
        <f>IFERROR(__xludf.DUMMYFUNCTION("""COMPUTED_VALUE"""),4.485E8)</f>
        <v>448500000</v>
      </c>
      <c r="H863" s="1"/>
      <c r="I863" s="1"/>
      <c r="J863" s="1"/>
      <c r="K863" s="1"/>
      <c r="L863" s="1"/>
      <c r="M863" s="1"/>
      <c r="N863" s="1"/>
      <c r="O863" s="1"/>
      <c r="P863" s="1"/>
      <c r="Q863" s="1"/>
      <c r="R863" s="1"/>
      <c r="S863" s="1"/>
      <c r="T863" s="1"/>
      <c r="U863" s="1"/>
      <c r="V863" s="1"/>
      <c r="W863" s="1"/>
      <c r="X863" s="1"/>
      <c r="Y863" s="1"/>
      <c r="Z863" s="1"/>
      <c r="AA863" s="1"/>
    </row>
    <row r="864" ht="15.75" customHeight="1">
      <c r="A864" s="1" t="str">
        <f>IFERROR(__xludf.DUMMYFUNCTION("""COMPUTED_VALUE"""),"Iguanian Assassin's Memento")</f>
        <v>Iguanian Assassin's Memento</v>
      </c>
      <c r="B864" s="1" t="str">
        <f>IFERROR(__xludf.DUMMYFUNCTION("""COMPUTED_VALUE"""),"From this necklace hangs a series of teeth, each one taken from an iguanian assassin's victim.")</f>
        <v>From this necklace hangs a series of teeth, each one taken from an iguanian assassin's victim.</v>
      </c>
      <c r="C864" s="1"/>
      <c r="D864" s="1" t="str">
        <f>IFERROR(__xludf.DUMMYFUNCTION("""COMPUTED_VALUE"""),"Neck")</f>
        <v>Neck</v>
      </c>
      <c r="E864" s="1">
        <f>IFERROR(__xludf.DUMMYFUNCTION("""COMPUTED_VALUE"""),1.0)</f>
        <v>1</v>
      </c>
      <c r="F864" s="1" t="str">
        <f>IFERROR(__xludf.DUMMYFUNCTION("""COMPUTED_VALUE""")," ++For every enemy killed with this item equipped +1 permanent ATK (0/100000)")</f>
        <v> ++For every enemy killed with this item equipped +1 permanent ATK (0/100000)</v>
      </c>
      <c r="G864" s="1">
        <f>IFERROR(__xludf.DUMMYFUNCTION("""COMPUTED_VALUE"""),0.0)</f>
        <v>0</v>
      </c>
      <c r="H864" s="1"/>
      <c r="I864" s="1"/>
      <c r="J864" s="1"/>
      <c r="K864" s="1"/>
      <c r="L864" s="1"/>
      <c r="M864" s="1"/>
      <c r="N864" s="1"/>
      <c r="O864" s="1"/>
      <c r="P864" s="1"/>
      <c r="Q864" s="1"/>
      <c r="R864" s="1"/>
      <c r="S864" s="1"/>
      <c r="T864" s="1"/>
      <c r="U864" s="1"/>
      <c r="V864" s="1"/>
      <c r="W864" s="1"/>
      <c r="X864" s="1"/>
      <c r="Y864" s="1"/>
      <c r="Z864" s="1"/>
      <c r="AA864" s="1"/>
    </row>
    <row r="865" ht="15.75" customHeight="1">
      <c r="A865" s="1" t="str">
        <f>IFERROR(__xludf.DUMMYFUNCTION("""COMPUTED_VALUE"""),"Salamander Boots")</f>
        <v>Salamander Boots</v>
      </c>
      <c r="B865" s="1"/>
      <c r="C865" s="1" t="str">
        <f>IFERROR(__xludf.DUMMYFUNCTION("""COMPUTED_VALUE"""),"Item")</f>
        <v>Item</v>
      </c>
      <c r="D865" s="1" t="str">
        <f>IFERROR(__xludf.DUMMYFUNCTION("""COMPUTED_VALUE"""),"Feet")</f>
        <v>Feet</v>
      </c>
      <c r="E865" s="1">
        <f>IFERROR(__xludf.DUMMYFUNCTION("""COMPUTED_VALUE"""),2000.0)</f>
        <v>2000</v>
      </c>
      <c r="F865" s="1" t="str">
        <f>IFERROR(__xludf.DUMMYFUNCTION("""COMPUTED_VALUE"""),", Fire DEF: +100000")</f>
        <v>, Fire DEF: +100000</v>
      </c>
      <c r="G865" s="1">
        <f>IFERROR(__xludf.DUMMYFUNCTION("""COMPUTED_VALUE"""),1.99E8)</f>
        <v>199000000</v>
      </c>
      <c r="H865" s="1"/>
      <c r="I865" s="1"/>
      <c r="J865" s="1"/>
      <c r="K865" s="1"/>
      <c r="L865" s="1"/>
      <c r="M865" s="1"/>
      <c r="N865" s="1"/>
      <c r="O865" s="1"/>
      <c r="P865" s="1"/>
      <c r="Q865" s="1"/>
      <c r="R865" s="1"/>
      <c r="S865" s="1"/>
      <c r="T865" s="1"/>
      <c r="U865" s="1"/>
      <c r="V865" s="1"/>
      <c r="W865" s="1"/>
      <c r="X865" s="1"/>
      <c r="Y865" s="1"/>
      <c r="Z865" s="1"/>
      <c r="AA865" s="1"/>
    </row>
    <row r="866" ht="15.75" customHeight="1">
      <c r="A866" s="1" t="str">
        <f>IFERROR(__xludf.DUMMYFUNCTION("""COMPUTED_VALUE"""),"Salamanderscale Chainmail")</f>
        <v>Salamanderscale Chainmail</v>
      </c>
      <c r="B866" s="1"/>
      <c r="C866" s="1" t="str">
        <f>IFERROR(__xludf.DUMMYFUNCTION("""COMPUTED_VALUE"""),"Item")</f>
        <v>Item</v>
      </c>
      <c r="D866" s="1" t="str">
        <f>IFERROR(__xludf.DUMMYFUNCTION("""COMPUTED_VALUE"""),"Torso")</f>
        <v>Torso</v>
      </c>
      <c r="E866" s="1">
        <f>IFERROR(__xludf.DUMMYFUNCTION("""COMPUTED_VALUE"""),2000.0)</f>
        <v>2000</v>
      </c>
      <c r="F866" s="1" t="str">
        <f>IFERROR(__xludf.DUMMYFUNCTION("""COMPUTED_VALUE"""),", Fire DEF: +120000, Water DEF: +-10000, Storm DEF: +-10000 +-Water and Storm deal additional 20000 damage to the wearer")</f>
        <v>, Fire DEF: +120000, Water DEF: +-10000, Storm DEF: +-10000 +-Water and Storm deal additional 20000 damage to the wearer</v>
      </c>
      <c r="G866" s="1">
        <f>IFERROR(__xludf.DUMMYFUNCTION("""COMPUTED_VALUE"""),1.99E8)</f>
        <v>199000000</v>
      </c>
      <c r="H866" s="1"/>
      <c r="I866" s="1"/>
      <c r="J866" s="1"/>
      <c r="K866" s="1"/>
      <c r="L866" s="1"/>
      <c r="M866" s="1"/>
      <c r="N866" s="1"/>
      <c r="O866" s="1"/>
      <c r="P866" s="1"/>
      <c r="Q866" s="1"/>
      <c r="R866" s="1"/>
      <c r="S866" s="1"/>
      <c r="T866" s="1"/>
      <c r="U866" s="1"/>
      <c r="V866" s="1"/>
      <c r="W866" s="1"/>
      <c r="X866" s="1"/>
      <c r="Y866" s="1"/>
      <c r="Z866" s="1"/>
      <c r="AA866" s="1"/>
    </row>
    <row r="867" ht="15.75" customHeight="1">
      <c r="A867" s="1" t="str">
        <f>IFERROR(__xludf.DUMMYFUNCTION("""COMPUTED_VALUE"""),"Iguanian Brawler's Headband")</f>
        <v>Iguanian Brawler's Headband</v>
      </c>
      <c r="B867" s="1"/>
      <c r="C867" s="1" t="str">
        <f>IFERROR(__xludf.DUMMYFUNCTION("""COMPUTED_VALUE"""),"Item")</f>
        <v>Item</v>
      </c>
      <c r="D867" s="1" t="str">
        <f>IFERROR(__xludf.DUMMYFUNCTION("""COMPUTED_VALUE"""),"Head")</f>
        <v>Head</v>
      </c>
      <c r="E867" s="1">
        <f>IFERROR(__xludf.DUMMYFUNCTION("""COMPUTED_VALUE"""),3000.0)</f>
        <v>3000</v>
      </c>
      <c r="F867" s="1" t="str">
        <f>IFERROR(__xludf.DUMMYFUNCTION("""COMPUTED_VALUE"""),"DEF: +150000, Water DEF: +50000, Nature DEF: +-50000")</f>
        <v>DEF: +150000, Water DEF: +50000, Nature DEF: +-50000</v>
      </c>
      <c r="G867" s="1">
        <f>IFERROR(__xludf.DUMMYFUNCTION("""COMPUTED_VALUE"""),4.485E8)</f>
        <v>448500000</v>
      </c>
      <c r="H867" s="1"/>
      <c r="I867" s="1"/>
      <c r="J867" s="1"/>
      <c r="K867" s="1"/>
      <c r="L867" s="1"/>
      <c r="M867" s="1"/>
      <c r="N867" s="1"/>
      <c r="O867" s="1"/>
      <c r="P867" s="1"/>
      <c r="Q867" s="1"/>
      <c r="R867" s="1"/>
      <c r="S867" s="1"/>
      <c r="T867" s="1"/>
      <c r="U867" s="1"/>
      <c r="V867" s="1"/>
      <c r="W867" s="1"/>
      <c r="X867" s="1"/>
      <c r="Y867" s="1"/>
      <c r="Z867" s="1"/>
      <c r="AA867" s="1"/>
    </row>
    <row r="868" ht="15.75" customHeight="1">
      <c r="A868" s="1" t="str">
        <f>IFERROR(__xludf.DUMMYFUNCTION("""COMPUTED_VALUE"""),"Iguanian Brawler's Cape")</f>
        <v>Iguanian Brawler's Cape</v>
      </c>
      <c r="B868" s="1"/>
      <c r="C868" s="1" t="str">
        <f>IFERROR(__xludf.DUMMYFUNCTION("""COMPUTED_VALUE"""),"Item")</f>
        <v>Item</v>
      </c>
      <c r="D868" s="1" t="str">
        <f>IFERROR(__xludf.DUMMYFUNCTION("""COMPUTED_VALUE"""),"Shoulders")</f>
        <v>Shoulders</v>
      </c>
      <c r="E868" s="1">
        <f>IFERROR(__xludf.DUMMYFUNCTION("""COMPUTED_VALUE"""),3000.0)</f>
        <v>3000</v>
      </c>
      <c r="F868" s="1" t="str">
        <f>IFERROR(__xludf.DUMMYFUNCTION("""COMPUTED_VALUE"""),"DEF: +150000, Water DEF: +50000, Nature DEF: +-50000")</f>
        <v>DEF: +150000, Water DEF: +50000, Nature DEF: +-50000</v>
      </c>
      <c r="G868" s="1">
        <f>IFERROR(__xludf.DUMMYFUNCTION("""COMPUTED_VALUE"""),4.485E8)</f>
        <v>448500000</v>
      </c>
      <c r="H868" s="1"/>
      <c r="I868" s="1"/>
      <c r="J868" s="1"/>
      <c r="K868" s="1"/>
      <c r="L868" s="1"/>
      <c r="M868" s="1"/>
      <c r="N868" s="1"/>
      <c r="O868" s="1"/>
      <c r="P868" s="1"/>
      <c r="Q868" s="1"/>
      <c r="R868" s="1"/>
      <c r="S868" s="1"/>
      <c r="T868" s="1"/>
      <c r="U868" s="1"/>
      <c r="V868" s="1"/>
      <c r="W868" s="1"/>
      <c r="X868" s="1"/>
      <c r="Y868" s="1"/>
      <c r="Z868" s="1"/>
      <c r="AA868" s="1"/>
    </row>
    <row r="869" ht="15.75" customHeight="1">
      <c r="A869" s="1" t="str">
        <f>IFERROR(__xludf.DUMMYFUNCTION("""COMPUTED_VALUE"""),"Iguanian Brawler's Sash")</f>
        <v>Iguanian Brawler's Sash</v>
      </c>
      <c r="B869" s="1"/>
      <c r="C869" s="1" t="str">
        <f>IFERROR(__xludf.DUMMYFUNCTION("""COMPUTED_VALUE"""),"Item")</f>
        <v>Item</v>
      </c>
      <c r="D869" s="1" t="str">
        <f>IFERROR(__xludf.DUMMYFUNCTION("""COMPUTED_VALUE"""),"Torso")</f>
        <v>Torso</v>
      </c>
      <c r="E869" s="1">
        <f>IFERROR(__xludf.DUMMYFUNCTION("""COMPUTED_VALUE"""),3000.0)</f>
        <v>3000</v>
      </c>
      <c r="F869" s="1" t="str">
        <f>IFERROR(__xludf.DUMMYFUNCTION("""COMPUTED_VALUE"""),"DEF: +150000, Water DEF: +50000, Nature DEF: +-50000")</f>
        <v>DEF: +150000, Water DEF: +50000, Nature DEF: +-50000</v>
      </c>
      <c r="G869" s="1">
        <f>IFERROR(__xludf.DUMMYFUNCTION("""COMPUTED_VALUE"""),4.485E8)</f>
        <v>448500000</v>
      </c>
      <c r="H869" s="1"/>
      <c r="I869" s="1"/>
      <c r="J869" s="1"/>
      <c r="K869" s="1"/>
      <c r="L869" s="1"/>
      <c r="M869" s="1"/>
      <c r="N869" s="1"/>
      <c r="O869" s="1"/>
      <c r="P869" s="1"/>
      <c r="Q869" s="1"/>
      <c r="R869" s="1"/>
      <c r="S869" s="1"/>
      <c r="T869" s="1"/>
      <c r="U869" s="1"/>
      <c r="V869" s="1"/>
      <c r="W869" s="1"/>
      <c r="X869" s="1"/>
      <c r="Y869" s="1"/>
      <c r="Z869" s="1"/>
      <c r="AA869" s="1"/>
    </row>
    <row r="870" ht="15.75" customHeight="1">
      <c r="A870" s="1" t="str">
        <f>IFERROR(__xludf.DUMMYFUNCTION("""COMPUTED_VALUE"""),"Iguanian Brawler's Arm Wraps")</f>
        <v>Iguanian Brawler's Arm Wraps</v>
      </c>
      <c r="B870" s="1"/>
      <c r="C870" s="1" t="str">
        <f>IFERROR(__xludf.DUMMYFUNCTION("""COMPUTED_VALUE"""),"Item")</f>
        <v>Item</v>
      </c>
      <c r="D870" s="1" t="str">
        <f>IFERROR(__xludf.DUMMYFUNCTION("""COMPUTED_VALUE"""),"Arms")</f>
        <v>Arms</v>
      </c>
      <c r="E870" s="1">
        <f>IFERROR(__xludf.DUMMYFUNCTION("""COMPUTED_VALUE"""),3000.0)</f>
        <v>3000</v>
      </c>
      <c r="F870" s="1" t="str">
        <f>IFERROR(__xludf.DUMMYFUNCTION("""COMPUTED_VALUE"""),"DEF: +150000, Water DEF: +50000, Nature DEF: +-50000")</f>
        <v>DEF: +150000, Water DEF: +50000, Nature DEF: +-50000</v>
      </c>
      <c r="G870" s="1">
        <f>IFERROR(__xludf.DUMMYFUNCTION("""COMPUTED_VALUE"""),4.485E8)</f>
        <v>448500000</v>
      </c>
      <c r="H870" s="1"/>
      <c r="I870" s="1"/>
      <c r="J870" s="1"/>
      <c r="K870" s="1"/>
      <c r="L870" s="1"/>
      <c r="M870" s="1"/>
      <c r="N870" s="1"/>
      <c r="O870" s="1"/>
      <c r="P870" s="1"/>
      <c r="Q870" s="1"/>
      <c r="R870" s="1"/>
      <c r="S870" s="1"/>
      <c r="T870" s="1"/>
      <c r="U870" s="1"/>
      <c r="V870" s="1"/>
      <c r="W870" s="1"/>
      <c r="X870" s="1"/>
      <c r="Y870" s="1"/>
      <c r="Z870" s="1"/>
      <c r="AA870" s="1"/>
    </row>
    <row r="871" ht="15.75" customHeight="1">
      <c r="A871" s="1" t="str">
        <f>IFERROR(__xludf.DUMMYFUNCTION("""COMPUTED_VALUE"""),"Iguanian Brawler's Shorts")</f>
        <v>Iguanian Brawler's Shorts</v>
      </c>
      <c r="B871" s="1"/>
      <c r="C871" s="1" t="str">
        <f>IFERROR(__xludf.DUMMYFUNCTION("""COMPUTED_VALUE"""),"Item")</f>
        <v>Item</v>
      </c>
      <c r="D871" s="1" t="str">
        <f>IFERROR(__xludf.DUMMYFUNCTION("""COMPUTED_VALUE"""),"Legs")</f>
        <v>Legs</v>
      </c>
      <c r="E871" s="1">
        <f>IFERROR(__xludf.DUMMYFUNCTION("""COMPUTED_VALUE"""),3000.0)</f>
        <v>3000</v>
      </c>
      <c r="F871" s="1" t="str">
        <f>IFERROR(__xludf.DUMMYFUNCTION("""COMPUTED_VALUE"""),"DEF: +150000, Water DEF: +50000, Nature DEF: +-50000")</f>
        <v>DEF: +150000, Water DEF: +50000, Nature DEF: +-50000</v>
      </c>
      <c r="G871" s="1">
        <f>IFERROR(__xludf.DUMMYFUNCTION("""COMPUTED_VALUE"""),4.485E8)</f>
        <v>448500000</v>
      </c>
      <c r="H871" s="1"/>
      <c r="I871" s="1"/>
      <c r="J871" s="1"/>
      <c r="K871" s="1"/>
      <c r="L871" s="1"/>
      <c r="M871" s="1"/>
      <c r="N871" s="1"/>
      <c r="O871" s="1"/>
      <c r="P871" s="1"/>
      <c r="Q871" s="1"/>
      <c r="R871" s="1"/>
      <c r="S871" s="1"/>
      <c r="T871" s="1"/>
      <c r="U871" s="1"/>
      <c r="V871" s="1"/>
      <c r="W871" s="1"/>
      <c r="X871" s="1"/>
      <c r="Y871" s="1"/>
      <c r="Z871" s="1"/>
      <c r="AA871" s="1"/>
    </row>
    <row r="872" ht="15.75" customHeight="1">
      <c r="A872" s="1" t="str">
        <f>IFERROR(__xludf.DUMMYFUNCTION("""COMPUTED_VALUE"""),"Iguanian Brawler's Sandals")</f>
        <v>Iguanian Brawler's Sandals</v>
      </c>
      <c r="B872" s="1"/>
      <c r="C872" s="1" t="str">
        <f>IFERROR(__xludf.DUMMYFUNCTION("""COMPUTED_VALUE"""),"Item")</f>
        <v>Item</v>
      </c>
      <c r="D872" s="1" t="str">
        <f>IFERROR(__xludf.DUMMYFUNCTION("""COMPUTED_VALUE"""),"Feet")</f>
        <v>Feet</v>
      </c>
      <c r="E872" s="1">
        <f>IFERROR(__xludf.DUMMYFUNCTION("""COMPUTED_VALUE"""),3000.0)</f>
        <v>3000</v>
      </c>
      <c r="F872" s="1" t="str">
        <f>IFERROR(__xludf.DUMMYFUNCTION("""COMPUTED_VALUE"""),"DEF: +150000, Water DEF: +50000, Nature DEF: +-50000")</f>
        <v>DEF: +150000, Water DEF: +50000, Nature DEF: +-50000</v>
      </c>
      <c r="G872" s="1">
        <f>IFERROR(__xludf.DUMMYFUNCTION("""COMPUTED_VALUE"""),4.485E8)</f>
        <v>448500000</v>
      </c>
      <c r="H872" s="1"/>
      <c r="I872" s="1"/>
      <c r="J872" s="1"/>
      <c r="K872" s="1"/>
      <c r="L872" s="1"/>
      <c r="M872" s="1"/>
      <c r="N872" s="1"/>
      <c r="O872" s="1"/>
      <c r="P872" s="1"/>
      <c r="Q872" s="1"/>
      <c r="R872" s="1"/>
      <c r="S872" s="1"/>
      <c r="T872" s="1"/>
      <c r="U872" s="1"/>
      <c r="V872" s="1"/>
      <c r="W872" s="1"/>
      <c r="X872" s="1"/>
      <c r="Y872" s="1"/>
      <c r="Z872" s="1"/>
      <c r="AA872" s="1"/>
    </row>
    <row r="873" ht="15.75" customHeight="1">
      <c r="A873" s="1" t="str">
        <f>IFERROR(__xludf.DUMMYFUNCTION("""COMPUTED_VALUE"""),"Iguanian Brawler's Knuckles")</f>
        <v>Iguanian Brawler's Knuckles</v>
      </c>
      <c r="B873" s="1"/>
      <c r="C873" s="1" t="str">
        <f>IFERROR(__xludf.DUMMYFUNCTION("""COMPUTED_VALUE"""),"Gauntlet")</f>
        <v>Gauntlet</v>
      </c>
      <c r="D873" s="1" t="str">
        <f>IFERROR(__xludf.DUMMYFUNCTION("""COMPUTED_VALUE"""),"Hand")</f>
        <v>Hand</v>
      </c>
      <c r="E873" s="1">
        <f>IFERROR(__xludf.DUMMYFUNCTION("""COMPUTED_VALUE"""),3000.0)</f>
        <v>3000</v>
      </c>
      <c r="F873" s="1" t="str">
        <f>IFERROR(__xludf.DUMMYFUNCTION("""COMPUTED_VALUE"""),"DEF: +100000, Water DEF: +50000")</f>
        <v>DEF: +100000, Water DEF: +50000</v>
      </c>
      <c r="G873" s="1">
        <f>IFERROR(__xludf.DUMMYFUNCTION("""COMPUTED_VALUE"""),4.485E8)</f>
        <v>448500000</v>
      </c>
      <c r="H873" s="1"/>
      <c r="I873" s="1"/>
      <c r="J873" s="1"/>
      <c r="K873" s="1"/>
      <c r="L873" s="1"/>
      <c r="M873" s="1"/>
      <c r="N873" s="1"/>
      <c r="O873" s="1"/>
      <c r="P873" s="1"/>
      <c r="Q873" s="1"/>
      <c r="R873" s="1"/>
      <c r="S873" s="1"/>
      <c r="T873" s="1"/>
      <c r="U873" s="1"/>
      <c r="V873" s="1"/>
      <c r="W873" s="1"/>
      <c r="X873" s="1"/>
      <c r="Y873" s="1"/>
      <c r="Z873" s="1"/>
      <c r="AA873" s="1"/>
    </row>
    <row r="874" ht="15.75" customHeight="1">
      <c r="A874" s="1" t="str">
        <f>IFERROR(__xludf.DUMMYFUNCTION("""COMPUTED_VALUE"""),"Iguanian Brawler's Ring")</f>
        <v>Iguanian Brawler's Ring</v>
      </c>
      <c r="B874" s="1"/>
      <c r="C874" s="1"/>
      <c r="D874" s="1" t="str">
        <f>IFERROR(__xludf.DUMMYFUNCTION("""COMPUTED_VALUE"""),"Finger")</f>
        <v>Finger</v>
      </c>
      <c r="E874" s="1">
        <f>IFERROR(__xludf.DUMMYFUNCTION("""COMPUTED_VALUE"""),1.0)</f>
        <v>1</v>
      </c>
      <c r="F874" s="1" t="str">
        <f>IFERROR(__xludf.DUMMYFUNCTION("""COMPUTED_VALUE""")," ++X10 Natural Attack damage")</f>
        <v> ++X10 Natural Attack damage</v>
      </c>
      <c r="G874" s="1">
        <f>IFERROR(__xludf.DUMMYFUNCTION("""COMPUTED_VALUE"""),0.0)</f>
        <v>0</v>
      </c>
      <c r="H874" s="1"/>
      <c r="I874" s="1"/>
      <c r="J874" s="1"/>
      <c r="K874" s="1"/>
      <c r="L874" s="1"/>
      <c r="M874" s="1"/>
      <c r="N874" s="1"/>
      <c r="O874" s="1"/>
      <c r="P874" s="1"/>
      <c r="Q874" s="1"/>
      <c r="R874" s="1"/>
      <c r="S874" s="1"/>
      <c r="T874" s="1"/>
      <c r="U874" s="1"/>
      <c r="V874" s="1"/>
      <c r="W874" s="1"/>
      <c r="X874" s="1"/>
      <c r="Y874" s="1"/>
      <c r="Z874" s="1"/>
      <c r="AA874" s="1"/>
    </row>
    <row r="875" ht="15.75" customHeight="1">
      <c r="A875" s="1" t="str">
        <f>IFERROR(__xludf.DUMMYFUNCTION("""COMPUTED_VALUE"""),"Cursed Ring of Sudden Death")</f>
        <v>Cursed Ring of Sudden Death</v>
      </c>
      <c r="B875" s="1"/>
      <c r="C875" s="1" t="str">
        <f>IFERROR(__xludf.DUMMYFUNCTION("""COMPUTED_VALUE"""),"Item")</f>
        <v>Item</v>
      </c>
      <c r="D875" s="1" t="str">
        <f>IFERROR(__xludf.DUMMYFUNCTION("""COMPUTED_VALUE"""),"Finger")</f>
        <v>Finger</v>
      </c>
      <c r="E875" s="1">
        <f>IFERROR(__xludf.DUMMYFUNCTION("""COMPUTED_VALUE"""),1.0)</f>
        <v>1</v>
      </c>
      <c r="F875" s="1"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
        <f>IFERROR(__xludf.DUMMYFUNCTION("""COMPUTED_VALUE"""),0.0)</f>
        <v>0</v>
      </c>
      <c r="H875" s="1"/>
      <c r="I875" s="1"/>
      <c r="J875" s="1"/>
      <c r="K875" s="1"/>
      <c r="L875" s="1"/>
      <c r="M875" s="1"/>
      <c r="N875" s="1"/>
      <c r="O875" s="1"/>
      <c r="P875" s="1"/>
      <c r="Q875" s="1"/>
      <c r="R875" s="1"/>
      <c r="S875" s="1"/>
      <c r="T875" s="1"/>
      <c r="U875" s="1"/>
      <c r="V875" s="1"/>
      <c r="W875" s="1"/>
      <c r="X875" s="1"/>
      <c r="Y875" s="1"/>
      <c r="Z875" s="1"/>
      <c r="AA875" s="1"/>
    </row>
    <row r="876" ht="15.75" customHeight="1">
      <c r="A876" s="1" t="str">
        <f>IFERROR(__xludf.DUMMYFUNCTION("""COMPUTED_VALUE"""),"Ring of Action")</f>
        <v>Ring of Action</v>
      </c>
      <c r="B876" s="1"/>
      <c r="C876" s="1" t="str">
        <f>IFERROR(__xludf.DUMMYFUNCTION("""COMPUTED_VALUE"""),"Item")</f>
        <v>Item</v>
      </c>
      <c r="D876" s="1" t="str">
        <f>IFERROR(__xludf.DUMMYFUNCTION("""COMPUTED_VALUE"""),"Finger")</f>
        <v>Finger</v>
      </c>
      <c r="E876" s="1">
        <f>IFERROR(__xludf.DUMMYFUNCTION("""COMPUTED_VALUE"""),1.0)</f>
        <v>1</v>
      </c>
      <c r="F876" s="1" t="str">
        <f>IFERROR(__xludf.DUMMYFUNCTION("""COMPUTED_VALUE""")," ++10000 SP")</f>
        <v> ++10000 SP</v>
      </c>
      <c r="G876" s="1">
        <f>IFERROR(__xludf.DUMMYFUNCTION("""COMPUTED_VALUE"""),0.0)</f>
        <v>0</v>
      </c>
      <c r="H876" s="1"/>
      <c r="I876" s="1"/>
      <c r="J876" s="1"/>
      <c r="K876" s="1"/>
      <c r="L876" s="1"/>
      <c r="M876" s="1"/>
      <c r="N876" s="1"/>
      <c r="O876" s="1"/>
      <c r="P876" s="1"/>
      <c r="Q876" s="1"/>
      <c r="R876" s="1"/>
      <c r="S876" s="1"/>
      <c r="T876" s="1"/>
      <c r="U876" s="1"/>
      <c r="V876" s="1"/>
      <c r="W876" s="1"/>
      <c r="X876" s="1"/>
      <c r="Y876" s="1"/>
      <c r="Z876" s="1"/>
      <c r="AA876" s="1"/>
    </row>
    <row r="877" ht="15.75" customHeight="1">
      <c r="A877" s="1" t="str">
        <f>IFERROR(__xludf.DUMMYFUNCTION("""COMPUTED_VALUE"""),"Iguanian Mage Hat")</f>
        <v>Iguanian Mage Hat</v>
      </c>
      <c r="B877" s="1"/>
      <c r="C877" s="1" t="str">
        <f>IFERROR(__xludf.DUMMYFUNCTION("""COMPUTED_VALUE"""),"Item")</f>
        <v>Item</v>
      </c>
      <c r="D877" s="1"/>
      <c r="E877" s="1">
        <f>IFERROR(__xludf.DUMMYFUNCTION("""COMPUTED_VALUE"""),1.0)</f>
        <v>1</v>
      </c>
      <c r="F877" s="1" t="str">
        <f>IFERROR(__xludf.DUMMYFUNCTION("""COMPUTED_VALUE""")," ++10000 hp and sp")</f>
        <v> ++10000 hp and sp</v>
      </c>
      <c r="G877" s="1">
        <f>IFERROR(__xludf.DUMMYFUNCTION("""COMPUTED_VALUE"""),0.0)</f>
        <v>0</v>
      </c>
      <c r="H877" s="1"/>
      <c r="I877" s="1"/>
      <c r="J877" s="1"/>
      <c r="K877" s="1"/>
      <c r="L877" s="1"/>
      <c r="M877" s="1"/>
      <c r="N877" s="1"/>
      <c r="O877" s="1"/>
      <c r="P877" s="1"/>
      <c r="Q877" s="1"/>
      <c r="R877" s="1"/>
      <c r="S877" s="1"/>
      <c r="T877" s="1"/>
      <c r="U877" s="1"/>
      <c r="V877" s="1"/>
      <c r="W877" s="1"/>
      <c r="X877" s="1"/>
      <c r="Y877" s="1"/>
      <c r="Z877" s="1"/>
      <c r="AA877" s="1"/>
    </row>
    <row r="878" ht="15.75" customHeight="1">
      <c r="A878" s="1" t="str">
        <f>IFERROR(__xludf.DUMMYFUNCTION("""COMPUTED_VALUE"""),"Iguanian Mage Robes")</f>
        <v>Iguanian Mage Robes</v>
      </c>
      <c r="B878" s="1"/>
      <c r="C878" s="1" t="str">
        <f>IFERROR(__xludf.DUMMYFUNCTION("""COMPUTED_VALUE"""),"Item")</f>
        <v>Item</v>
      </c>
      <c r="D878" s="1"/>
      <c r="E878" s="1">
        <f>IFERROR(__xludf.DUMMYFUNCTION("""COMPUTED_VALUE"""),1.0)</f>
        <v>1</v>
      </c>
      <c r="F878" s="1" t="str">
        <f>IFERROR(__xludf.DUMMYFUNCTION("""COMPUTED_VALUE""")," ++10000 hp and sp")</f>
        <v> ++10000 hp and sp</v>
      </c>
      <c r="G878" s="1">
        <f>IFERROR(__xludf.DUMMYFUNCTION("""COMPUTED_VALUE"""),0.0)</f>
        <v>0</v>
      </c>
      <c r="H878" s="1"/>
      <c r="I878" s="1"/>
      <c r="J878" s="1"/>
      <c r="K878" s="1"/>
      <c r="L878" s="1"/>
      <c r="M878" s="1"/>
      <c r="N878" s="1"/>
      <c r="O878" s="1"/>
      <c r="P878" s="1"/>
      <c r="Q878" s="1"/>
      <c r="R878" s="1"/>
      <c r="S878" s="1"/>
      <c r="T878" s="1"/>
      <c r="U878" s="1"/>
      <c r="V878" s="1"/>
      <c r="W878" s="1"/>
      <c r="X878" s="1"/>
      <c r="Y878" s="1"/>
      <c r="Z878" s="1"/>
      <c r="AA878" s="1"/>
    </row>
    <row r="879" ht="15.75" customHeight="1">
      <c r="A879" s="1" t="str">
        <f>IFERROR(__xludf.DUMMYFUNCTION("""COMPUTED_VALUE"""),"Iguanian Mage Leggings")</f>
        <v>Iguanian Mage Leggings</v>
      </c>
      <c r="B879" s="1"/>
      <c r="C879" s="1" t="str">
        <f>IFERROR(__xludf.DUMMYFUNCTION("""COMPUTED_VALUE"""),"Item")</f>
        <v>Item</v>
      </c>
      <c r="D879" s="1"/>
      <c r="E879" s="1">
        <f>IFERROR(__xludf.DUMMYFUNCTION("""COMPUTED_VALUE"""),1.0)</f>
        <v>1</v>
      </c>
      <c r="F879" s="1" t="str">
        <f>IFERROR(__xludf.DUMMYFUNCTION("""COMPUTED_VALUE""")," ++10000 hp and sp")</f>
        <v> ++10000 hp and sp</v>
      </c>
      <c r="G879" s="1">
        <f>IFERROR(__xludf.DUMMYFUNCTION("""COMPUTED_VALUE"""),0.0)</f>
        <v>0</v>
      </c>
      <c r="H879" s="1"/>
      <c r="I879" s="1"/>
      <c r="J879" s="1"/>
      <c r="K879" s="1"/>
      <c r="L879" s="1"/>
      <c r="M879" s="1"/>
      <c r="N879" s="1"/>
      <c r="O879" s="1"/>
      <c r="P879" s="1"/>
      <c r="Q879" s="1"/>
      <c r="R879" s="1"/>
      <c r="S879" s="1"/>
      <c r="T879" s="1"/>
      <c r="U879" s="1"/>
      <c r="V879" s="1"/>
      <c r="W879" s="1"/>
      <c r="X879" s="1"/>
      <c r="Y879" s="1"/>
      <c r="Z879" s="1"/>
      <c r="AA879" s="1"/>
    </row>
    <row r="880" ht="15.75" customHeight="1">
      <c r="A880" s="1" t="str">
        <f>IFERROR(__xludf.DUMMYFUNCTION("""COMPUTED_VALUE"""),"Iguanian Mage Pointed Shoes")</f>
        <v>Iguanian Mage Pointed Shoes</v>
      </c>
      <c r="B880" s="1"/>
      <c r="C880" s="1" t="str">
        <f>IFERROR(__xludf.DUMMYFUNCTION("""COMPUTED_VALUE"""),"Item")</f>
        <v>Item</v>
      </c>
      <c r="D880" s="1"/>
      <c r="E880" s="1">
        <f>IFERROR(__xludf.DUMMYFUNCTION("""COMPUTED_VALUE"""),1.0)</f>
        <v>1</v>
      </c>
      <c r="F880" s="1" t="str">
        <f>IFERROR(__xludf.DUMMYFUNCTION("""COMPUTED_VALUE""")," ++10000 hp and sp")</f>
        <v> ++10000 hp and sp</v>
      </c>
      <c r="G880" s="1">
        <f>IFERROR(__xludf.DUMMYFUNCTION("""COMPUTED_VALUE"""),0.0)</f>
        <v>0</v>
      </c>
      <c r="H880" s="1"/>
      <c r="I880" s="1"/>
      <c r="J880" s="1"/>
      <c r="K880" s="1"/>
      <c r="L880" s="1"/>
      <c r="M880" s="1"/>
      <c r="N880" s="1"/>
      <c r="O880" s="1"/>
      <c r="P880" s="1"/>
      <c r="Q880" s="1"/>
      <c r="R880" s="1"/>
      <c r="S880" s="1"/>
      <c r="T880" s="1"/>
      <c r="U880" s="1"/>
      <c r="V880" s="1"/>
      <c r="W880" s="1"/>
      <c r="X880" s="1"/>
      <c r="Y880" s="1"/>
      <c r="Z880" s="1"/>
      <c r="AA880" s="1"/>
    </row>
    <row r="881" ht="15.75" customHeight="1">
      <c r="A881" s="1" t="str">
        <f>IFERROR(__xludf.DUMMYFUNCTION("""COMPUTED_VALUE"""),"Iguanian Mage Staff of Hail")</f>
        <v>Iguanian Mage Staff of Hail</v>
      </c>
      <c r="B881" s="1"/>
      <c r="C881" s="1" t="str">
        <f>IFERROR(__xludf.DUMMYFUNCTION("""COMPUTED_VALUE"""),"Staff")</f>
        <v>Staff</v>
      </c>
      <c r="D881" s="1"/>
      <c r="E881" s="1">
        <f>IFERROR(__xludf.DUMMYFUNCTION("""COMPUTED_VALUE"""),1.0)</f>
        <v>1</v>
      </c>
      <c r="F881" s="1"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
        <f>IFERROR(__xludf.DUMMYFUNCTION("""COMPUTED_VALUE"""),0.0)</f>
        <v>0</v>
      </c>
      <c r="H881" s="1"/>
      <c r="I881" s="1"/>
      <c r="J881" s="1"/>
      <c r="K881" s="1"/>
      <c r="L881" s="1"/>
      <c r="M881" s="1"/>
      <c r="N881" s="1"/>
      <c r="O881" s="1"/>
      <c r="P881" s="1"/>
      <c r="Q881" s="1"/>
      <c r="R881" s="1"/>
      <c r="S881" s="1"/>
      <c r="T881" s="1"/>
      <c r="U881" s="1"/>
      <c r="V881" s="1"/>
      <c r="W881" s="1"/>
      <c r="X881" s="1"/>
      <c r="Y881" s="1"/>
      <c r="Z881" s="1"/>
      <c r="AA881" s="1"/>
    </row>
    <row r="882" ht="15.75" customHeight="1">
      <c r="A882" s="1" t="str">
        <f>IFERROR(__xludf.DUMMYFUNCTION("""COMPUTED_VALUE"""),"Blood Finger Ring")</f>
        <v>Blood Finger Ring</v>
      </c>
      <c r="B882" s="1"/>
      <c r="C882" s="1" t="str">
        <f>IFERROR(__xludf.DUMMYFUNCTION("""COMPUTED_VALUE"""),"Item")</f>
        <v>Item</v>
      </c>
      <c r="D882" s="1" t="str">
        <f>IFERROR(__xludf.DUMMYFUNCTION("""COMPUTED_VALUE"""),"Finger")</f>
        <v>Finger</v>
      </c>
      <c r="E882" s="1">
        <f>IFERROR(__xludf.DUMMYFUNCTION("""COMPUTED_VALUE"""),1.0)</f>
        <v>1</v>
      </c>
      <c r="F882" s="1" t="str">
        <f>IFERROR(__xludf.DUMMYFUNCTION("""COMPUTED_VALUE""")," ++Once per battle, if HP&lt;110, heal 10000 HP +-Cannot be forged or duplicated")</f>
        <v> ++Once per battle, if HP&lt;110, heal 10000 HP +-Cannot be forged or duplicated</v>
      </c>
      <c r="G882" s="1">
        <f>IFERROR(__xludf.DUMMYFUNCTION("""COMPUTED_VALUE"""),0.0)</f>
        <v>0</v>
      </c>
      <c r="H882" s="1"/>
      <c r="I882" s="1"/>
      <c r="J882" s="1"/>
      <c r="K882" s="1"/>
      <c r="L882" s="1"/>
      <c r="M882" s="1"/>
      <c r="N882" s="1"/>
      <c r="O882" s="1"/>
      <c r="P882" s="1"/>
      <c r="Q882" s="1"/>
      <c r="R882" s="1"/>
      <c r="S882" s="1"/>
      <c r="T882" s="1"/>
      <c r="U882" s="1"/>
      <c r="V882" s="1"/>
      <c r="W882" s="1"/>
      <c r="X882" s="1"/>
      <c r="Y882" s="1"/>
      <c r="Z882" s="1"/>
      <c r="AA882" s="1"/>
    </row>
    <row r="883" ht="15.75" customHeight="1">
      <c r="A883" s="1" t="str">
        <f>IFERROR(__xludf.DUMMYFUNCTION("""COMPUTED_VALUE"""),"Finger Food Ring")</f>
        <v>Finger Food Ring</v>
      </c>
      <c r="B883" s="1"/>
      <c r="C883" s="1" t="str">
        <f>IFERROR(__xludf.DUMMYFUNCTION("""COMPUTED_VALUE"""),"Item")</f>
        <v>Item</v>
      </c>
      <c r="D883" s="1" t="str">
        <f>IFERROR(__xludf.DUMMYFUNCTION("""COMPUTED_VALUE"""),"Finger")</f>
        <v>Finger</v>
      </c>
      <c r="E883" s="1">
        <f>IFERROR(__xludf.DUMMYFUNCTION("""COMPUTED_VALUE"""),1.0)</f>
        <v>1</v>
      </c>
      <c r="F883" s="1"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
        <f>IFERROR(__xludf.DUMMYFUNCTION("""COMPUTED_VALUE"""),0.0)</f>
        <v>0</v>
      </c>
      <c r="H883" s="1"/>
      <c r="I883" s="1"/>
      <c r="J883" s="1"/>
      <c r="K883" s="1"/>
      <c r="L883" s="1"/>
      <c r="M883" s="1"/>
      <c r="N883" s="1"/>
      <c r="O883" s="1"/>
      <c r="P883" s="1"/>
      <c r="Q883" s="1"/>
      <c r="R883" s="1"/>
      <c r="S883" s="1"/>
      <c r="T883" s="1"/>
      <c r="U883" s="1"/>
      <c r="V883" s="1"/>
      <c r="W883" s="1"/>
      <c r="X883" s="1"/>
      <c r="Y883" s="1"/>
      <c r="Z883" s="1"/>
      <c r="AA883" s="1"/>
    </row>
    <row r="884" ht="15.75" customHeight="1">
      <c r="A884" s="1" t="str">
        <f>IFERROR(__xludf.DUMMYFUNCTION("""COMPUTED_VALUE"""),"Ring of Power")</f>
        <v>Ring of Power</v>
      </c>
      <c r="B884" s="1"/>
      <c r="C884" s="1" t="str">
        <f>IFERROR(__xludf.DUMMYFUNCTION("""COMPUTED_VALUE"""),"Item")</f>
        <v>Item</v>
      </c>
      <c r="D884" s="1" t="str">
        <f>IFERROR(__xludf.DUMMYFUNCTION("""COMPUTED_VALUE"""),"Finger")</f>
        <v>Finger</v>
      </c>
      <c r="E884" s="1">
        <f>IFERROR(__xludf.DUMMYFUNCTION("""COMPUTED_VALUE"""),1.0)</f>
        <v>1</v>
      </c>
      <c r="F884" s="1" t="str">
        <f>IFERROR(__xludf.DUMMYFUNCTION("""COMPUTED_VALUE""")," ++1500 ATK and ACC")</f>
        <v> ++1500 ATK and ACC</v>
      </c>
      <c r="G884" s="1">
        <f>IFERROR(__xludf.DUMMYFUNCTION("""COMPUTED_VALUE"""),0.0)</f>
        <v>0</v>
      </c>
      <c r="H884" s="1"/>
      <c r="I884" s="1"/>
      <c r="J884" s="1"/>
      <c r="K884" s="1"/>
      <c r="L884" s="1"/>
      <c r="M884" s="1"/>
      <c r="N884" s="1"/>
      <c r="O884" s="1"/>
      <c r="P884" s="1"/>
      <c r="Q884" s="1"/>
      <c r="R884" s="1"/>
      <c r="S884" s="1"/>
      <c r="T884" s="1"/>
      <c r="U884" s="1"/>
      <c r="V884" s="1"/>
      <c r="W884" s="1"/>
      <c r="X884" s="1"/>
      <c r="Y884" s="1"/>
      <c r="Z884" s="1"/>
      <c r="AA884" s="1"/>
    </row>
    <row r="885" ht="15.75" customHeight="1">
      <c r="A885" s="1" t="str">
        <f>IFERROR(__xludf.DUMMYFUNCTION("""COMPUTED_VALUE"""),"Axe of Red")</f>
        <v>Axe of Red</v>
      </c>
      <c r="B885" s="1"/>
      <c r="C885" s="1" t="str">
        <f>IFERROR(__xludf.DUMMYFUNCTION("""COMPUTED_VALUE"""),"Axe")</f>
        <v>Axe</v>
      </c>
      <c r="D885" s="1" t="str">
        <f>IFERROR(__xludf.DUMMYFUNCTION("""COMPUTED_VALUE"""),"Hand")</f>
        <v>Hand</v>
      </c>
      <c r="E885" s="1">
        <f>IFERROR(__xludf.DUMMYFUNCTION("""COMPUTED_VALUE"""),4500.0)</f>
        <v>4500</v>
      </c>
      <c r="F885" s="1" t="str">
        <f>IFERROR(__xludf.DUMMYFUNCTION("""COMPUTED_VALUE"""),", Fire DMG: +75000, Chaos DMG: +75000, Blood DMG: +75000")</f>
        <v>, Fire DMG: +75000, Chaos DMG: +75000, Blood DMG: +75000</v>
      </c>
      <c r="G885" s="1">
        <f>IFERROR(__xludf.DUMMYFUNCTION("""COMPUTED_VALUE"""),1.01025E9)</f>
        <v>1010250000</v>
      </c>
      <c r="H885" s="1"/>
      <c r="I885" s="1"/>
      <c r="J885" s="1"/>
      <c r="K885" s="1"/>
      <c r="L885" s="1"/>
      <c r="M885" s="1"/>
      <c r="N885" s="1"/>
      <c r="O885" s="1"/>
      <c r="P885" s="1"/>
      <c r="Q885" s="1"/>
      <c r="R885" s="1"/>
      <c r="S885" s="1"/>
      <c r="T885" s="1"/>
      <c r="U885" s="1"/>
      <c r="V885" s="1"/>
      <c r="W885" s="1"/>
      <c r="X885" s="1"/>
      <c r="Y885" s="1"/>
      <c r="Z885" s="1"/>
      <c r="AA885" s="1"/>
    </row>
    <row r="886" ht="15.75" customHeight="1">
      <c r="A886" s="1" t="str">
        <f>IFERROR(__xludf.DUMMYFUNCTION("""COMPUTED_VALUE"""),"Wyrmscale Staff")</f>
        <v>Wyrmscale Staff</v>
      </c>
      <c r="B886" s="1"/>
      <c r="C886" s="1" t="str">
        <f>IFERROR(__xludf.DUMMYFUNCTION("""COMPUTED_VALUE"""),"Staff")</f>
        <v>Staff</v>
      </c>
      <c r="D886" s="1" t="str">
        <f>IFERROR(__xludf.DUMMYFUNCTION("""COMPUTED_VALUE"""),"Hand")</f>
        <v>Hand</v>
      </c>
      <c r="E886" s="1">
        <f>IFERROR(__xludf.DUMMYFUNCTION("""COMPUTED_VALUE"""),1.0)</f>
        <v>1</v>
      </c>
      <c r="F886" s="1" t="str">
        <f>IFERROR(__xludf.DUMMYFUNCTION("""COMPUTED_VALUE""")," ++Spells have double effect when cast on dragons +-Cannot be forged or duplicated")</f>
        <v> ++Spells have double effect when cast on dragons +-Cannot be forged or duplicated</v>
      </c>
      <c r="G886" s="1">
        <f>IFERROR(__xludf.DUMMYFUNCTION("""COMPUTED_VALUE"""),0.0)</f>
        <v>0</v>
      </c>
      <c r="H886" s="1"/>
      <c r="I886" s="1"/>
      <c r="J886" s="1"/>
      <c r="K886" s="1"/>
      <c r="L886" s="1"/>
      <c r="M886" s="1"/>
      <c r="N886" s="1"/>
      <c r="O886" s="1"/>
      <c r="P886" s="1"/>
      <c r="Q886" s="1"/>
      <c r="R886" s="1"/>
      <c r="S886" s="1"/>
      <c r="T886" s="1"/>
      <c r="U886" s="1"/>
      <c r="V886" s="1"/>
      <c r="W886" s="1"/>
      <c r="X886" s="1"/>
      <c r="Y886" s="1"/>
      <c r="Z886" s="1"/>
      <c r="AA886" s="1"/>
    </row>
    <row r="887" ht="15.75" customHeight="1">
      <c r="A887" s="1" t="str">
        <f>IFERROR(__xludf.DUMMYFUNCTION("""COMPUTED_VALUE"""),"Wyrmscale Wand")</f>
        <v>Wyrmscale Wand</v>
      </c>
      <c r="B887" s="1"/>
      <c r="C887" s="1" t="str">
        <f>IFERROR(__xludf.DUMMYFUNCTION("""COMPUTED_VALUE"""),"Wand")</f>
        <v>Wand</v>
      </c>
      <c r="D887" s="1" t="str">
        <f>IFERROR(__xludf.DUMMYFUNCTION("""COMPUTED_VALUE"""),"Hand")</f>
        <v>Hand</v>
      </c>
      <c r="E887" s="1">
        <f>IFERROR(__xludf.DUMMYFUNCTION("""COMPUTED_VALUE"""),1.0)</f>
        <v>1</v>
      </c>
      <c r="F887" s="1" t="str">
        <f>IFERROR(__xludf.DUMMYFUNCTION("""COMPUTED_VALUE""")," ++Half the SP/HP cost of spells when in the presence of a dragon +-Cannot be forged or duplicated")</f>
        <v> ++Half the SP/HP cost of spells when in the presence of a dragon +-Cannot be forged or duplicated</v>
      </c>
      <c r="G887" s="1">
        <f>IFERROR(__xludf.DUMMYFUNCTION("""COMPUTED_VALUE"""),0.0)</f>
        <v>0</v>
      </c>
      <c r="H887" s="1"/>
      <c r="I887" s="1"/>
      <c r="J887" s="1"/>
      <c r="K887" s="1"/>
      <c r="L887" s="1"/>
      <c r="M887" s="1"/>
      <c r="N887" s="1"/>
      <c r="O887" s="1"/>
      <c r="P887" s="1"/>
      <c r="Q887" s="1"/>
      <c r="R887" s="1"/>
      <c r="S887" s="1"/>
      <c r="T887" s="1"/>
      <c r="U887" s="1"/>
      <c r="V887" s="1"/>
      <c r="W887" s="1"/>
      <c r="X887" s="1"/>
      <c r="Y887" s="1"/>
      <c r="Z887" s="1"/>
      <c r="AA887" s="1"/>
    </row>
    <row r="888" ht="15.75" customHeight="1">
      <c r="A888" s="1"/>
      <c r="B888" s="1" t="str">
        <f>IFERROR(__xludf.DUMMYFUNCTION("""COMPUTED_VALUE"""),"")</f>
        <v/>
      </c>
      <c r="C888" s="1" t="str">
        <f>IFERROR(__xludf.DUMMYFUNCTION("""COMPUTED_VALUE"""),"")</f>
        <v/>
      </c>
      <c r="D888" s="1" t="str">
        <f>IFERROR(__xludf.DUMMYFUNCTION("""COMPUTED_VALUE"""),"")</f>
        <v/>
      </c>
      <c r="E888" s="1" t="str">
        <f>IFERROR(__xludf.DUMMYFUNCTION("""COMPUTED_VALUE"""),"")</f>
        <v/>
      </c>
      <c r="F888" s="1" t="str">
        <f>IFERROR(__xludf.DUMMYFUNCTION("""COMPUTED_VALUE"""),"")</f>
        <v/>
      </c>
      <c r="G888" s="1" t="str">
        <f>IFERROR(__xludf.DUMMYFUNCTION("""COMPUTED_VALUE"""),"")</f>
        <v/>
      </c>
      <c r="H888" s="1"/>
      <c r="I888" s="1"/>
      <c r="J888" s="1"/>
      <c r="K888" s="1"/>
      <c r="L888" s="1"/>
      <c r="M888" s="1"/>
      <c r="N888" s="1"/>
      <c r="O888" s="1"/>
      <c r="P888" s="1"/>
      <c r="Q888" s="1"/>
      <c r="R888" s="1"/>
      <c r="S888" s="1"/>
      <c r="T888" s="1"/>
      <c r="U888" s="1"/>
      <c r="V888" s="1"/>
      <c r="W888" s="1"/>
      <c r="X888" s="1"/>
      <c r="Y888" s="1"/>
      <c r="Z888" s="1"/>
      <c r="AA888" s="1"/>
    </row>
    <row r="889" ht="15.75" customHeight="1">
      <c r="A889" s="1"/>
      <c r="B889" s="1" t="str">
        <f>IFERROR(__xludf.DUMMYFUNCTION("""COMPUTED_VALUE"""),"")</f>
        <v/>
      </c>
      <c r="C889" s="1" t="str">
        <f>IFERROR(__xludf.DUMMYFUNCTION("""COMPUTED_VALUE"""),"")</f>
        <v/>
      </c>
      <c r="D889" s="1" t="str">
        <f>IFERROR(__xludf.DUMMYFUNCTION("""COMPUTED_VALUE"""),"")</f>
        <v/>
      </c>
      <c r="E889" s="1" t="str">
        <f>IFERROR(__xludf.DUMMYFUNCTION("""COMPUTED_VALUE"""),"")</f>
        <v/>
      </c>
      <c r="F889" s="1" t="str">
        <f>IFERROR(__xludf.DUMMYFUNCTION("""COMPUTED_VALUE"""),"")</f>
        <v/>
      </c>
      <c r="G889" s="1" t="str">
        <f>IFERROR(__xludf.DUMMYFUNCTION("""COMPUTED_VALUE"""),"")</f>
        <v/>
      </c>
      <c r="H889" s="1"/>
      <c r="I889" s="1"/>
      <c r="J889" s="1"/>
      <c r="K889" s="1"/>
      <c r="L889" s="1"/>
      <c r="M889" s="1"/>
      <c r="N889" s="1"/>
      <c r="O889" s="1"/>
      <c r="P889" s="1"/>
      <c r="Q889" s="1"/>
      <c r="R889" s="1"/>
      <c r="S889" s="1"/>
      <c r="T889" s="1"/>
      <c r="U889" s="1"/>
      <c r="V889" s="1"/>
      <c r="W889" s="1"/>
      <c r="X889" s="1"/>
      <c r="Y889" s="1"/>
      <c r="Z889" s="1"/>
      <c r="AA889" s="1"/>
    </row>
    <row r="890" ht="15.75" customHeight="1">
      <c r="A890" s="1"/>
      <c r="B890" s="1" t="str">
        <f>IFERROR(__xludf.DUMMYFUNCTION("""COMPUTED_VALUE"""),"")</f>
        <v/>
      </c>
      <c r="C890" s="1" t="str">
        <f>IFERROR(__xludf.DUMMYFUNCTION("""COMPUTED_VALUE"""),"")</f>
        <v/>
      </c>
      <c r="D890" s="1" t="str">
        <f>IFERROR(__xludf.DUMMYFUNCTION("""COMPUTED_VALUE"""),"")</f>
        <v/>
      </c>
      <c r="E890" s="1" t="str">
        <f>IFERROR(__xludf.DUMMYFUNCTION("""COMPUTED_VALUE"""),"")</f>
        <v/>
      </c>
      <c r="F890" s="1" t="str">
        <f>IFERROR(__xludf.DUMMYFUNCTION("""COMPUTED_VALUE"""),"")</f>
        <v/>
      </c>
      <c r="G890" s="1" t="str">
        <f>IFERROR(__xludf.DUMMYFUNCTION("""COMPUTED_VALUE"""),"")</f>
        <v/>
      </c>
      <c r="H890" s="1"/>
      <c r="I890" s="1"/>
      <c r="J890" s="1"/>
      <c r="K890" s="1"/>
      <c r="L890" s="1"/>
      <c r="M890" s="1"/>
      <c r="N890" s="1"/>
      <c r="O890" s="1"/>
      <c r="P890" s="1"/>
      <c r="Q890" s="1"/>
      <c r="R890" s="1"/>
      <c r="S890" s="1"/>
      <c r="T890" s="1"/>
      <c r="U890" s="1"/>
      <c r="V890" s="1"/>
      <c r="W890" s="1"/>
      <c r="X890" s="1"/>
      <c r="Y890" s="1"/>
      <c r="Z890" s="1"/>
      <c r="AA890" s="1"/>
    </row>
    <row r="891" ht="15.75" customHeight="1">
      <c r="A891" s="1"/>
      <c r="B891" s="1" t="str">
        <f>IFERROR(__xludf.DUMMYFUNCTION("""COMPUTED_VALUE"""),"")</f>
        <v/>
      </c>
      <c r="C891" s="1" t="str">
        <f>IFERROR(__xludf.DUMMYFUNCTION("""COMPUTED_VALUE"""),"")</f>
        <v/>
      </c>
      <c r="D891" s="1" t="str">
        <f>IFERROR(__xludf.DUMMYFUNCTION("""COMPUTED_VALUE"""),"")</f>
        <v/>
      </c>
      <c r="E891" s="1" t="str">
        <f>IFERROR(__xludf.DUMMYFUNCTION("""COMPUTED_VALUE"""),"")</f>
        <v/>
      </c>
      <c r="F891" s="1" t="str">
        <f>IFERROR(__xludf.DUMMYFUNCTION("""COMPUTED_VALUE"""),"")</f>
        <v/>
      </c>
      <c r="G891" s="1" t="str">
        <f>IFERROR(__xludf.DUMMYFUNCTION("""COMPUTED_VALUE"""),"")</f>
        <v/>
      </c>
      <c r="H891" s="1"/>
      <c r="I891" s="1"/>
      <c r="J891" s="1"/>
      <c r="K891" s="1"/>
      <c r="L891" s="1"/>
      <c r="M891" s="1"/>
      <c r="N891" s="1"/>
      <c r="O891" s="1"/>
      <c r="P891" s="1"/>
      <c r="Q891" s="1"/>
      <c r="R891" s="1"/>
      <c r="S891" s="1"/>
      <c r="T891" s="1"/>
      <c r="U891" s="1"/>
      <c r="V891" s="1"/>
      <c r="W891" s="1"/>
      <c r="X891" s="1"/>
      <c r="Y891" s="1"/>
      <c r="Z891" s="1"/>
      <c r="AA891" s="1"/>
    </row>
    <row r="892" ht="15.75" customHeight="1">
      <c r="A892" s="1"/>
      <c r="B892" s="1" t="str">
        <f>IFERROR(__xludf.DUMMYFUNCTION("""COMPUTED_VALUE"""),"")</f>
        <v/>
      </c>
      <c r="C892" s="1" t="str">
        <f>IFERROR(__xludf.DUMMYFUNCTION("""COMPUTED_VALUE"""),"")</f>
        <v/>
      </c>
      <c r="D892" s="1" t="str">
        <f>IFERROR(__xludf.DUMMYFUNCTION("""COMPUTED_VALUE"""),"")</f>
        <v/>
      </c>
      <c r="E892" s="1" t="str">
        <f>IFERROR(__xludf.DUMMYFUNCTION("""COMPUTED_VALUE"""),"")</f>
        <v/>
      </c>
      <c r="F892" s="1" t="str">
        <f>IFERROR(__xludf.DUMMYFUNCTION("""COMPUTED_VALUE"""),"")</f>
        <v/>
      </c>
      <c r="G892" s="1" t="str">
        <f>IFERROR(__xludf.DUMMYFUNCTION("""COMPUTED_VALUE"""),"")</f>
        <v/>
      </c>
      <c r="H892" s="1"/>
      <c r="I892" s="1"/>
      <c r="J892" s="1"/>
      <c r="K892" s="1"/>
      <c r="L892" s="1"/>
      <c r="M892" s="1"/>
      <c r="N892" s="1"/>
      <c r="O892" s="1"/>
      <c r="P892" s="1"/>
      <c r="Q892" s="1"/>
      <c r="R892" s="1"/>
      <c r="S892" s="1"/>
      <c r="T892" s="1"/>
      <c r="U892" s="1"/>
      <c r="V892" s="1"/>
      <c r="W892" s="1"/>
      <c r="X892" s="1"/>
      <c r="Y892" s="1"/>
      <c r="Z892" s="1"/>
      <c r="AA892" s="1"/>
    </row>
    <row r="893" ht="15.75" customHeight="1">
      <c r="A893" s="1"/>
      <c r="B893" s="1" t="str">
        <f>IFERROR(__xludf.DUMMYFUNCTION("""COMPUTED_VALUE"""),"")</f>
        <v/>
      </c>
      <c r="C893" s="1" t="str">
        <f>IFERROR(__xludf.DUMMYFUNCTION("""COMPUTED_VALUE"""),"")</f>
        <v/>
      </c>
      <c r="D893" s="1" t="str">
        <f>IFERROR(__xludf.DUMMYFUNCTION("""COMPUTED_VALUE"""),"")</f>
        <v/>
      </c>
      <c r="E893" s="1" t="str">
        <f>IFERROR(__xludf.DUMMYFUNCTION("""COMPUTED_VALUE"""),"")</f>
        <v/>
      </c>
      <c r="F893" s="1" t="str">
        <f>IFERROR(__xludf.DUMMYFUNCTION("""COMPUTED_VALUE"""),"")</f>
        <v/>
      </c>
      <c r="G893" s="1" t="str">
        <f>IFERROR(__xludf.DUMMYFUNCTION("""COMPUTED_VALUE"""),"")</f>
        <v/>
      </c>
      <c r="H893" s="1"/>
      <c r="I893" s="1"/>
      <c r="J893" s="1"/>
      <c r="K893" s="1"/>
      <c r="L893" s="1"/>
      <c r="M893" s="1"/>
      <c r="N893" s="1"/>
      <c r="O893" s="1"/>
      <c r="P893" s="1"/>
      <c r="Q893" s="1"/>
      <c r="R893" s="1"/>
      <c r="S893" s="1"/>
      <c r="T893" s="1"/>
      <c r="U893" s="1"/>
      <c r="V893" s="1"/>
      <c r="W893" s="1"/>
      <c r="X893" s="1"/>
      <c r="Y893" s="1"/>
      <c r="Z893" s="1"/>
      <c r="AA893" s="1"/>
    </row>
    <row r="894" ht="15.75" customHeight="1">
      <c r="A894" s="1"/>
      <c r="B894" s="1" t="str">
        <f>IFERROR(__xludf.DUMMYFUNCTION("""COMPUTED_VALUE"""),"")</f>
        <v/>
      </c>
      <c r="C894" s="1" t="str">
        <f>IFERROR(__xludf.DUMMYFUNCTION("""COMPUTED_VALUE"""),"")</f>
        <v/>
      </c>
      <c r="D894" s="1" t="str">
        <f>IFERROR(__xludf.DUMMYFUNCTION("""COMPUTED_VALUE"""),"")</f>
        <v/>
      </c>
      <c r="E894" s="1" t="str">
        <f>IFERROR(__xludf.DUMMYFUNCTION("""COMPUTED_VALUE"""),"")</f>
        <v/>
      </c>
      <c r="F894" s="1" t="str">
        <f>IFERROR(__xludf.DUMMYFUNCTION("""COMPUTED_VALUE"""),"")</f>
        <v/>
      </c>
      <c r="G894" s="1" t="str">
        <f>IFERROR(__xludf.DUMMYFUNCTION("""COMPUTED_VALUE"""),"")</f>
        <v/>
      </c>
      <c r="H894" s="1"/>
      <c r="I894" s="1"/>
      <c r="J894" s="1"/>
      <c r="K894" s="1"/>
      <c r="L894" s="1"/>
      <c r="M894" s="1"/>
      <c r="N894" s="1"/>
      <c r="O894" s="1"/>
      <c r="P894" s="1"/>
      <c r="Q894" s="1"/>
      <c r="R894" s="1"/>
      <c r="S894" s="1"/>
      <c r="T894" s="1"/>
      <c r="U894" s="1"/>
      <c r="V894" s="1"/>
      <c r="W894" s="1"/>
      <c r="X894" s="1"/>
      <c r="Y894" s="1"/>
      <c r="Z894" s="1"/>
      <c r="AA894" s="1"/>
    </row>
    <row r="895" ht="15.75" customHeight="1">
      <c r="A895" s="1"/>
      <c r="B895" s="1" t="str">
        <f>IFERROR(__xludf.DUMMYFUNCTION("""COMPUTED_VALUE"""),"")</f>
        <v/>
      </c>
      <c r="C895" s="1" t="str">
        <f>IFERROR(__xludf.DUMMYFUNCTION("""COMPUTED_VALUE"""),"")</f>
        <v/>
      </c>
      <c r="D895" s="1" t="str">
        <f>IFERROR(__xludf.DUMMYFUNCTION("""COMPUTED_VALUE"""),"")</f>
        <v/>
      </c>
      <c r="E895" s="1" t="str">
        <f>IFERROR(__xludf.DUMMYFUNCTION("""COMPUTED_VALUE"""),"")</f>
        <v/>
      </c>
      <c r="F895" s="1" t="str">
        <f>IFERROR(__xludf.DUMMYFUNCTION("""COMPUTED_VALUE"""),"")</f>
        <v/>
      </c>
      <c r="G895" s="1" t="str">
        <f>IFERROR(__xludf.DUMMYFUNCTION("""COMPUTED_VALUE"""),"")</f>
        <v/>
      </c>
      <c r="H895" s="1"/>
      <c r="I895" s="1"/>
      <c r="J895" s="1"/>
      <c r="K895" s="1"/>
      <c r="L895" s="1"/>
      <c r="M895" s="1"/>
      <c r="N895" s="1"/>
      <c r="O895" s="1"/>
      <c r="P895" s="1"/>
      <c r="Q895" s="1"/>
      <c r="R895" s="1"/>
      <c r="S895" s="1"/>
      <c r="T895" s="1"/>
      <c r="U895" s="1"/>
      <c r="V895" s="1"/>
      <c r="W895" s="1"/>
      <c r="X895" s="1"/>
      <c r="Y895" s="1"/>
      <c r="Z895" s="1"/>
      <c r="AA895" s="1"/>
    </row>
    <row r="896" ht="15.75" customHeight="1">
      <c r="A896" s="1"/>
      <c r="B896" s="1" t="str">
        <f>IFERROR(__xludf.DUMMYFUNCTION("""COMPUTED_VALUE"""),"")</f>
        <v/>
      </c>
      <c r="C896" s="1" t="str">
        <f>IFERROR(__xludf.DUMMYFUNCTION("""COMPUTED_VALUE"""),"")</f>
        <v/>
      </c>
      <c r="D896" s="1" t="str">
        <f>IFERROR(__xludf.DUMMYFUNCTION("""COMPUTED_VALUE"""),"")</f>
        <v/>
      </c>
      <c r="E896" s="1" t="str">
        <f>IFERROR(__xludf.DUMMYFUNCTION("""COMPUTED_VALUE"""),"")</f>
        <v/>
      </c>
      <c r="F896" s="1" t="str">
        <f>IFERROR(__xludf.DUMMYFUNCTION("""COMPUTED_VALUE"""),"")</f>
        <v/>
      </c>
      <c r="G896" s="1" t="str">
        <f>IFERROR(__xludf.DUMMYFUNCTION("""COMPUTED_VALUE"""),"")</f>
        <v/>
      </c>
      <c r="H896" s="1"/>
      <c r="I896" s="1"/>
      <c r="J896" s="1"/>
      <c r="K896" s="1"/>
      <c r="L896" s="1"/>
      <c r="M896" s="1"/>
      <c r="N896" s="1"/>
      <c r="O896" s="1"/>
      <c r="P896" s="1"/>
      <c r="Q896" s="1"/>
      <c r="R896" s="1"/>
      <c r="S896" s="1"/>
      <c r="T896" s="1"/>
      <c r="U896" s="1"/>
      <c r="V896" s="1"/>
      <c r="W896" s="1"/>
      <c r="X896" s="1"/>
      <c r="Y896" s="1"/>
      <c r="Z896" s="1"/>
      <c r="AA896" s="1"/>
    </row>
    <row r="897" ht="15.75" customHeight="1">
      <c r="A897" s="1"/>
      <c r="B897" s="1" t="str">
        <f>IFERROR(__xludf.DUMMYFUNCTION("""COMPUTED_VALUE"""),"")</f>
        <v/>
      </c>
      <c r="C897" s="1" t="str">
        <f>IFERROR(__xludf.DUMMYFUNCTION("""COMPUTED_VALUE"""),"")</f>
        <v/>
      </c>
      <c r="D897" s="1" t="str">
        <f>IFERROR(__xludf.DUMMYFUNCTION("""COMPUTED_VALUE"""),"")</f>
        <v/>
      </c>
      <c r="E897" s="1" t="str">
        <f>IFERROR(__xludf.DUMMYFUNCTION("""COMPUTED_VALUE"""),"")</f>
        <v/>
      </c>
      <c r="F897" s="1" t="str">
        <f>IFERROR(__xludf.DUMMYFUNCTION("""COMPUTED_VALUE"""),"")</f>
        <v/>
      </c>
      <c r="G897" s="1" t="str">
        <f>IFERROR(__xludf.DUMMYFUNCTION("""COMPUTED_VALUE"""),"")</f>
        <v/>
      </c>
      <c r="H897" s="1"/>
      <c r="I897" s="1"/>
      <c r="J897" s="1"/>
      <c r="K897" s="1"/>
      <c r="L897" s="1"/>
      <c r="M897" s="1"/>
      <c r="N897" s="1"/>
      <c r="O897" s="1"/>
      <c r="P897" s="1"/>
      <c r="Q897" s="1"/>
      <c r="R897" s="1"/>
      <c r="S897" s="1"/>
      <c r="T897" s="1"/>
      <c r="U897" s="1"/>
      <c r="V897" s="1"/>
      <c r="W897" s="1"/>
      <c r="X897" s="1"/>
      <c r="Y897" s="1"/>
      <c r="Z897" s="1"/>
      <c r="AA897" s="1"/>
    </row>
    <row r="898" ht="15.75" customHeight="1">
      <c r="A898" s="1"/>
      <c r="B898" s="1" t="str">
        <f>IFERROR(__xludf.DUMMYFUNCTION("""COMPUTED_VALUE"""),"")</f>
        <v/>
      </c>
      <c r="C898" s="1" t="str">
        <f>IFERROR(__xludf.DUMMYFUNCTION("""COMPUTED_VALUE"""),"")</f>
        <v/>
      </c>
      <c r="D898" s="1" t="str">
        <f>IFERROR(__xludf.DUMMYFUNCTION("""COMPUTED_VALUE"""),"")</f>
        <v/>
      </c>
      <c r="E898" s="1" t="str">
        <f>IFERROR(__xludf.DUMMYFUNCTION("""COMPUTED_VALUE"""),"")</f>
        <v/>
      </c>
      <c r="F898" s="1" t="str">
        <f>IFERROR(__xludf.DUMMYFUNCTION("""COMPUTED_VALUE"""),"")</f>
        <v/>
      </c>
      <c r="G898" s="1" t="str">
        <f>IFERROR(__xludf.DUMMYFUNCTION("""COMPUTED_VALUE"""),"")</f>
        <v/>
      </c>
      <c r="H898" s="1"/>
      <c r="I898" s="1"/>
      <c r="J898" s="1"/>
      <c r="K898" s="1"/>
      <c r="L898" s="1"/>
      <c r="M898" s="1"/>
      <c r="N898" s="1"/>
      <c r="O898" s="1"/>
      <c r="P898" s="1"/>
      <c r="Q898" s="1"/>
      <c r="R898" s="1"/>
      <c r="S898" s="1"/>
      <c r="T898" s="1"/>
      <c r="U898" s="1"/>
      <c r="V898" s="1"/>
      <c r="W898" s="1"/>
      <c r="X898" s="1"/>
      <c r="Y898" s="1"/>
      <c r="Z898" s="1"/>
      <c r="AA898" s="1"/>
    </row>
    <row r="899" ht="15.75" customHeight="1">
      <c r="A899" s="1"/>
      <c r="B899" s="1" t="str">
        <f>IFERROR(__xludf.DUMMYFUNCTION("""COMPUTED_VALUE"""),"")</f>
        <v/>
      </c>
      <c r="C899" s="1" t="str">
        <f>IFERROR(__xludf.DUMMYFUNCTION("""COMPUTED_VALUE"""),"")</f>
        <v/>
      </c>
      <c r="D899" s="1" t="str">
        <f>IFERROR(__xludf.DUMMYFUNCTION("""COMPUTED_VALUE"""),"")</f>
        <v/>
      </c>
      <c r="E899" s="1" t="str">
        <f>IFERROR(__xludf.DUMMYFUNCTION("""COMPUTED_VALUE"""),"")</f>
        <v/>
      </c>
      <c r="F899" s="1" t="str">
        <f>IFERROR(__xludf.DUMMYFUNCTION("""COMPUTED_VALUE"""),"")</f>
        <v/>
      </c>
      <c r="G899" s="1" t="str">
        <f>IFERROR(__xludf.DUMMYFUNCTION("""COMPUTED_VALUE"""),"")</f>
        <v/>
      </c>
      <c r="H899" s="1"/>
      <c r="I899" s="1"/>
      <c r="J899" s="1"/>
      <c r="K899" s="1"/>
      <c r="L899" s="1"/>
      <c r="M899" s="1"/>
      <c r="N899" s="1"/>
      <c r="O899" s="1"/>
      <c r="P899" s="1"/>
      <c r="Q899" s="1"/>
      <c r="R899" s="1"/>
      <c r="S899" s="1"/>
      <c r="T899" s="1"/>
      <c r="U899" s="1"/>
      <c r="V899" s="1"/>
      <c r="W899" s="1"/>
      <c r="X899" s="1"/>
      <c r="Y899" s="1"/>
      <c r="Z899" s="1"/>
      <c r="AA899" s="1"/>
    </row>
    <row r="900" ht="15.75" customHeight="1">
      <c r="A900" s="1"/>
      <c r="B900" s="1" t="str">
        <f>IFERROR(__xludf.DUMMYFUNCTION("""COMPUTED_VALUE"""),"")</f>
        <v/>
      </c>
      <c r="C900" s="1" t="str">
        <f>IFERROR(__xludf.DUMMYFUNCTION("""COMPUTED_VALUE"""),"")</f>
        <v/>
      </c>
      <c r="D900" s="1" t="str">
        <f>IFERROR(__xludf.DUMMYFUNCTION("""COMPUTED_VALUE"""),"")</f>
        <v/>
      </c>
      <c r="E900" s="1" t="str">
        <f>IFERROR(__xludf.DUMMYFUNCTION("""COMPUTED_VALUE"""),"")</f>
        <v/>
      </c>
      <c r="F900" s="1" t="str">
        <f>IFERROR(__xludf.DUMMYFUNCTION("""COMPUTED_VALUE"""),"")</f>
        <v/>
      </c>
      <c r="G900" s="1" t="str">
        <f>IFERROR(__xludf.DUMMYFUNCTION("""COMPUTED_VALUE"""),"")</f>
        <v/>
      </c>
      <c r="H900" s="1"/>
      <c r="I900" s="1"/>
      <c r="J900" s="1"/>
      <c r="K900" s="1"/>
      <c r="L900" s="1"/>
      <c r="M900" s="1"/>
      <c r="N900" s="1"/>
      <c r="O900" s="1"/>
      <c r="P900" s="1"/>
      <c r="Q900" s="1"/>
      <c r="R900" s="1"/>
      <c r="S900" s="1"/>
      <c r="T900" s="1"/>
      <c r="U900" s="1"/>
      <c r="V900" s="1"/>
      <c r="W900" s="1"/>
      <c r="X900" s="1"/>
      <c r="Y900" s="1"/>
      <c r="Z900" s="1"/>
      <c r="AA900" s="1"/>
    </row>
    <row r="901" ht="15.75" customHeight="1">
      <c r="A901" s="1"/>
      <c r="B901" s="1" t="str">
        <f>IFERROR(__xludf.DUMMYFUNCTION("""COMPUTED_VALUE"""),"")</f>
        <v/>
      </c>
      <c r="C901" s="1" t="str">
        <f>IFERROR(__xludf.DUMMYFUNCTION("""COMPUTED_VALUE"""),"")</f>
        <v/>
      </c>
      <c r="D901" s="1" t="str">
        <f>IFERROR(__xludf.DUMMYFUNCTION("""COMPUTED_VALUE"""),"")</f>
        <v/>
      </c>
      <c r="E901" s="1" t="str">
        <f>IFERROR(__xludf.DUMMYFUNCTION("""COMPUTED_VALUE"""),"")</f>
        <v/>
      </c>
      <c r="F901" s="1" t="str">
        <f>IFERROR(__xludf.DUMMYFUNCTION("""COMPUTED_VALUE"""),"")</f>
        <v/>
      </c>
      <c r="G901" s="1" t="str">
        <f>IFERROR(__xludf.DUMMYFUNCTION("""COMPUTED_VALUE"""),"")</f>
        <v/>
      </c>
      <c r="H901" s="1"/>
      <c r="I901" s="1"/>
      <c r="J901" s="1"/>
      <c r="K901" s="1"/>
      <c r="L901" s="1"/>
      <c r="M901" s="1"/>
      <c r="N901" s="1"/>
      <c r="O901" s="1"/>
      <c r="P901" s="1"/>
      <c r="Q901" s="1"/>
      <c r="R901" s="1"/>
      <c r="S901" s="1"/>
      <c r="T901" s="1"/>
      <c r="U901" s="1"/>
      <c r="V901" s="1"/>
      <c r="W901" s="1"/>
      <c r="X901" s="1"/>
      <c r="Y901" s="1"/>
      <c r="Z901" s="1"/>
      <c r="AA901" s="1"/>
    </row>
    <row r="902" ht="15.75" customHeight="1">
      <c r="A902" s="1"/>
      <c r="B902" s="1" t="str">
        <f>IFERROR(__xludf.DUMMYFUNCTION("""COMPUTED_VALUE"""),"")</f>
        <v/>
      </c>
      <c r="C902" s="1" t="str">
        <f>IFERROR(__xludf.DUMMYFUNCTION("""COMPUTED_VALUE"""),"")</f>
        <v/>
      </c>
      <c r="D902" s="1" t="str">
        <f>IFERROR(__xludf.DUMMYFUNCTION("""COMPUTED_VALUE"""),"")</f>
        <v/>
      </c>
      <c r="E902" s="1" t="str">
        <f>IFERROR(__xludf.DUMMYFUNCTION("""COMPUTED_VALUE"""),"")</f>
        <v/>
      </c>
      <c r="F902" s="1" t="str">
        <f>IFERROR(__xludf.DUMMYFUNCTION("""COMPUTED_VALUE"""),"")</f>
        <v/>
      </c>
      <c r="G902" s="1" t="str">
        <f>IFERROR(__xludf.DUMMYFUNCTION("""COMPUTED_VALUE"""),"")</f>
        <v/>
      </c>
      <c r="H902" s="1"/>
      <c r="I902" s="1"/>
      <c r="J902" s="1"/>
      <c r="K902" s="1"/>
      <c r="L902" s="1"/>
      <c r="M902" s="1"/>
      <c r="N902" s="1"/>
      <c r="O902" s="1"/>
      <c r="P902" s="1"/>
      <c r="Q902" s="1"/>
      <c r="R902" s="1"/>
      <c r="S902" s="1"/>
      <c r="T902" s="1"/>
      <c r="U902" s="1"/>
      <c r="V902" s="1"/>
      <c r="W902" s="1"/>
      <c r="X902" s="1"/>
      <c r="Y902" s="1"/>
      <c r="Z902" s="1"/>
      <c r="AA902" s="1"/>
    </row>
    <row r="903" ht="15.75" customHeight="1">
      <c r="A903" s="1"/>
      <c r="B903" s="1" t="str">
        <f>IFERROR(__xludf.DUMMYFUNCTION("""COMPUTED_VALUE"""),"")</f>
        <v/>
      </c>
      <c r="C903" s="1" t="str">
        <f>IFERROR(__xludf.DUMMYFUNCTION("""COMPUTED_VALUE"""),"")</f>
        <v/>
      </c>
      <c r="D903" s="1" t="str">
        <f>IFERROR(__xludf.DUMMYFUNCTION("""COMPUTED_VALUE"""),"")</f>
        <v/>
      </c>
      <c r="E903" s="1" t="str">
        <f>IFERROR(__xludf.DUMMYFUNCTION("""COMPUTED_VALUE"""),"")</f>
        <v/>
      </c>
      <c r="F903" s="1" t="str">
        <f>IFERROR(__xludf.DUMMYFUNCTION("""COMPUTED_VALUE"""),"")</f>
        <v/>
      </c>
      <c r="G903" s="1" t="str">
        <f>IFERROR(__xludf.DUMMYFUNCTION("""COMPUTED_VALUE"""),"")</f>
        <v/>
      </c>
      <c r="H903" s="1"/>
      <c r="I903" s="1"/>
      <c r="J903" s="1"/>
      <c r="K903" s="1"/>
      <c r="L903" s="1"/>
      <c r="M903" s="1"/>
      <c r="N903" s="1"/>
      <c r="O903" s="1"/>
      <c r="P903" s="1"/>
      <c r="Q903" s="1"/>
      <c r="R903" s="1"/>
      <c r="S903" s="1"/>
      <c r="T903" s="1"/>
      <c r="U903" s="1"/>
      <c r="V903" s="1"/>
      <c r="W903" s="1"/>
      <c r="X903" s="1"/>
      <c r="Y903" s="1"/>
      <c r="Z903" s="1"/>
      <c r="AA903" s="1"/>
    </row>
    <row r="904" ht="15.75" customHeight="1">
      <c r="A904" s="1"/>
      <c r="B904" s="1" t="str">
        <f>IFERROR(__xludf.DUMMYFUNCTION("""COMPUTED_VALUE"""),"")</f>
        <v/>
      </c>
      <c r="C904" s="1" t="str">
        <f>IFERROR(__xludf.DUMMYFUNCTION("""COMPUTED_VALUE"""),"")</f>
        <v/>
      </c>
      <c r="D904" s="1" t="str">
        <f>IFERROR(__xludf.DUMMYFUNCTION("""COMPUTED_VALUE"""),"")</f>
        <v/>
      </c>
      <c r="E904" s="1" t="str">
        <f>IFERROR(__xludf.DUMMYFUNCTION("""COMPUTED_VALUE"""),"")</f>
        <v/>
      </c>
      <c r="F904" s="1" t="str">
        <f>IFERROR(__xludf.DUMMYFUNCTION("""COMPUTED_VALUE"""),"")</f>
        <v/>
      </c>
      <c r="G904" s="1" t="str">
        <f>IFERROR(__xludf.DUMMYFUNCTION("""COMPUTED_VALUE"""),"")</f>
        <v/>
      </c>
      <c r="H904" s="1"/>
      <c r="I904" s="1"/>
      <c r="J904" s="1"/>
      <c r="K904" s="1"/>
      <c r="L904" s="1"/>
      <c r="M904" s="1"/>
      <c r="N904" s="1"/>
      <c r="O904" s="1"/>
      <c r="P904" s="1"/>
      <c r="Q904" s="1"/>
      <c r="R904" s="1"/>
      <c r="S904" s="1"/>
      <c r="T904" s="1"/>
      <c r="U904" s="1"/>
      <c r="V904" s="1"/>
      <c r="W904" s="1"/>
      <c r="X904" s="1"/>
      <c r="Y904" s="1"/>
      <c r="Z904" s="1"/>
      <c r="AA904" s="1"/>
    </row>
    <row r="905" ht="15.75" customHeight="1">
      <c r="A905" s="1"/>
      <c r="B905" s="1" t="str">
        <f>IFERROR(__xludf.DUMMYFUNCTION("""COMPUTED_VALUE"""),"")</f>
        <v/>
      </c>
      <c r="C905" s="1" t="str">
        <f>IFERROR(__xludf.DUMMYFUNCTION("""COMPUTED_VALUE"""),"")</f>
        <v/>
      </c>
      <c r="D905" s="1" t="str">
        <f>IFERROR(__xludf.DUMMYFUNCTION("""COMPUTED_VALUE"""),"")</f>
        <v/>
      </c>
      <c r="E905" s="1" t="str">
        <f>IFERROR(__xludf.DUMMYFUNCTION("""COMPUTED_VALUE"""),"")</f>
        <v/>
      </c>
      <c r="F905" s="1" t="str">
        <f>IFERROR(__xludf.DUMMYFUNCTION("""COMPUTED_VALUE"""),"")</f>
        <v/>
      </c>
      <c r="G905" s="1" t="str">
        <f>IFERROR(__xludf.DUMMYFUNCTION("""COMPUTED_VALUE"""),"")</f>
        <v/>
      </c>
      <c r="H905" s="1"/>
      <c r="I905" s="1"/>
      <c r="J905" s="1"/>
      <c r="K905" s="1"/>
      <c r="L905" s="1"/>
      <c r="M905" s="1"/>
      <c r="N905" s="1"/>
      <c r="O905" s="1"/>
      <c r="P905" s="1"/>
      <c r="Q905" s="1"/>
      <c r="R905" s="1"/>
      <c r="S905" s="1"/>
      <c r="T905" s="1"/>
      <c r="U905" s="1"/>
      <c r="V905" s="1"/>
      <c r="W905" s="1"/>
      <c r="X905" s="1"/>
      <c r="Y905" s="1"/>
      <c r="Z905" s="1"/>
      <c r="AA905" s="1"/>
    </row>
    <row r="906" ht="15.75" customHeight="1">
      <c r="A906" s="1"/>
      <c r="B906" s="1" t="str">
        <f>IFERROR(__xludf.DUMMYFUNCTION("""COMPUTED_VALUE"""),"")</f>
        <v/>
      </c>
      <c r="C906" s="1" t="str">
        <f>IFERROR(__xludf.DUMMYFUNCTION("""COMPUTED_VALUE"""),"")</f>
        <v/>
      </c>
      <c r="D906" s="1" t="str">
        <f>IFERROR(__xludf.DUMMYFUNCTION("""COMPUTED_VALUE"""),"")</f>
        <v/>
      </c>
      <c r="E906" s="1" t="str">
        <f>IFERROR(__xludf.DUMMYFUNCTION("""COMPUTED_VALUE"""),"")</f>
        <v/>
      </c>
      <c r="F906" s="1" t="str">
        <f>IFERROR(__xludf.DUMMYFUNCTION("""COMPUTED_VALUE"""),"")</f>
        <v/>
      </c>
      <c r="G906" s="1" t="str">
        <f>IFERROR(__xludf.DUMMYFUNCTION("""COMPUTED_VALUE"""),"")</f>
        <v/>
      </c>
      <c r="H906" s="1"/>
      <c r="I906" s="1"/>
      <c r="J906" s="1"/>
      <c r="K906" s="1"/>
      <c r="L906" s="1"/>
      <c r="M906" s="1"/>
      <c r="N906" s="1"/>
      <c r="O906" s="1"/>
      <c r="P906" s="1"/>
      <c r="Q906" s="1"/>
      <c r="R906" s="1"/>
      <c r="S906" s="1"/>
      <c r="T906" s="1"/>
      <c r="U906" s="1"/>
      <c r="V906" s="1"/>
      <c r="W906" s="1"/>
      <c r="X906" s="1"/>
      <c r="Y906" s="1"/>
      <c r="Z906" s="1"/>
      <c r="AA906" s="1"/>
    </row>
    <row r="907" ht="15.75" customHeight="1">
      <c r="A907" s="1"/>
      <c r="B907" s="1" t="str">
        <f>IFERROR(__xludf.DUMMYFUNCTION("""COMPUTED_VALUE"""),"")</f>
        <v/>
      </c>
      <c r="C907" s="1" t="str">
        <f>IFERROR(__xludf.DUMMYFUNCTION("""COMPUTED_VALUE"""),"")</f>
        <v/>
      </c>
      <c r="D907" s="1" t="str">
        <f>IFERROR(__xludf.DUMMYFUNCTION("""COMPUTED_VALUE"""),"")</f>
        <v/>
      </c>
      <c r="E907" s="1" t="str">
        <f>IFERROR(__xludf.DUMMYFUNCTION("""COMPUTED_VALUE"""),"")</f>
        <v/>
      </c>
      <c r="F907" s="1" t="str">
        <f>IFERROR(__xludf.DUMMYFUNCTION("""COMPUTED_VALUE"""),"")</f>
        <v/>
      </c>
      <c r="G907" s="1" t="str">
        <f>IFERROR(__xludf.DUMMYFUNCTION("""COMPUTED_VALUE"""),"")</f>
        <v/>
      </c>
      <c r="H907" s="1"/>
      <c r="I907" s="1"/>
      <c r="J907" s="1"/>
      <c r="K907" s="1"/>
      <c r="L907" s="1"/>
      <c r="M907" s="1"/>
      <c r="N907" s="1"/>
      <c r="O907" s="1"/>
      <c r="P907" s="1"/>
      <c r="Q907" s="1"/>
      <c r="R907" s="1"/>
      <c r="S907" s="1"/>
      <c r="T907" s="1"/>
      <c r="U907" s="1"/>
      <c r="V907" s="1"/>
      <c r="W907" s="1"/>
      <c r="X907" s="1"/>
      <c r="Y907" s="1"/>
      <c r="Z907" s="1"/>
      <c r="AA907" s="1"/>
    </row>
    <row r="908" ht="15.75" customHeight="1">
      <c r="A908" s="1"/>
      <c r="B908" s="1" t="str">
        <f>IFERROR(__xludf.DUMMYFUNCTION("""COMPUTED_VALUE"""),"")</f>
        <v/>
      </c>
      <c r="C908" s="1" t="str">
        <f>IFERROR(__xludf.DUMMYFUNCTION("""COMPUTED_VALUE"""),"")</f>
        <v/>
      </c>
      <c r="D908" s="1" t="str">
        <f>IFERROR(__xludf.DUMMYFUNCTION("""COMPUTED_VALUE"""),"")</f>
        <v/>
      </c>
      <c r="E908" s="1" t="str">
        <f>IFERROR(__xludf.DUMMYFUNCTION("""COMPUTED_VALUE"""),"")</f>
        <v/>
      </c>
      <c r="F908" s="1" t="str">
        <f>IFERROR(__xludf.DUMMYFUNCTION("""COMPUTED_VALUE"""),"")</f>
        <v/>
      </c>
      <c r="G908" s="1" t="str">
        <f>IFERROR(__xludf.DUMMYFUNCTION("""COMPUTED_VALUE"""),"")</f>
        <v/>
      </c>
      <c r="H908" s="1"/>
      <c r="I908" s="1"/>
      <c r="J908" s="1"/>
      <c r="K908" s="1"/>
      <c r="L908" s="1"/>
      <c r="M908" s="1"/>
      <c r="N908" s="1"/>
      <c r="O908" s="1"/>
      <c r="P908" s="1"/>
      <c r="Q908" s="1"/>
      <c r="R908" s="1"/>
      <c r="S908" s="1"/>
      <c r="T908" s="1"/>
      <c r="U908" s="1"/>
      <c r="V908" s="1"/>
      <c r="W908" s="1"/>
      <c r="X908" s="1"/>
      <c r="Y908" s="1"/>
      <c r="Z908" s="1"/>
      <c r="AA908" s="1"/>
    </row>
    <row r="909" ht="15.75" customHeight="1">
      <c r="A909" s="1"/>
      <c r="B909" s="1" t="str">
        <f>IFERROR(__xludf.DUMMYFUNCTION("""COMPUTED_VALUE"""),"")</f>
        <v/>
      </c>
      <c r="C909" s="1" t="str">
        <f>IFERROR(__xludf.DUMMYFUNCTION("""COMPUTED_VALUE"""),"")</f>
        <v/>
      </c>
      <c r="D909" s="1" t="str">
        <f>IFERROR(__xludf.DUMMYFUNCTION("""COMPUTED_VALUE"""),"")</f>
        <v/>
      </c>
      <c r="E909" s="1" t="str">
        <f>IFERROR(__xludf.DUMMYFUNCTION("""COMPUTED_VALUE"""),"")</f>
        <v/>
      </c>
      <c r="F909" s="1" t="str">
        <f>IFERROR(__xludf.DUMMYFUNCTION("""COMPUTED_VALUE"""),"")</f>
        <v/>
      </c>
      <c r="G909" s="1" t="str">
        <f>IFERROR(__xludf.DUMMYFUNCTION("""COMPUTED_VALUE"""),"")</f>
        <v/>
      </c>
      <c r="H909" s="1"/>
      <c r="I909" s="1"/>
      <c r="J909" s="1"/>
      <c r="K909" s="1"/>
      <c r="L909" s="1"/>
      <c r="M909" s="1"/>
      <c r="N909" s="1"/>
      <c r="O909" s="1"/>
      <c r="P909" s="1"/>
      <c r="Q909" s="1"/>
      <c r="R909" s="1"/>
      <c r="S909" s="1"/>
      <c r="T909" s="1"/>
      <c r="U909" s="1"/>
      <c r="V909" s="1"/>
      <c r="W909" s="1"/>
      <c r="X909" s="1"/>
      <c r="Y909" s="1"/>
      <c r="Z909" s="1"/>
      <c r="AA909" s="1"/>
    </row>
    <row r="910" ht="15.75" customHeight="1">
      <c r="A910" s="1"/>
      <c r="B910" s="1" t="str">
        <f>IFERROR(__xludf.DUMMYFUNCTION("""COMPUTED_VALUE"""),"")</f>
        <v/>
      </c>
      <c r="C910" s="1" t="str">
        <f>IFERROR(__xludf.DUMMYFUNCTION("""COMPUTED_VALUE"""),"")</f>
        <v/>
      </c>
      <c r="D910" s="1" t="str">
        <f>IFERROR(__xludf.DUMMYFUNCTION("""COMPUTED_VALUE"""),"")</f>
        <v/>
      </c>
      <c r="E910" s="1" t="str">
        <f>IFERROR(__xludf.DUMMYFUNCTION("""COMPUTED_VALUE"""),"")</f>
        <v/>
      </c>
      <c r="F910" s="1" t="str">
        <f>IFERROR(__xludf.DUMMYFUNCTION("""COMPUTED_VALUE"""),"")</f>
        <v/>
      </c>
      <c r="G910" s="1" t="str">
        <f>IFERROR(__xludf.DUMMYFUNCTION("""COMPUTED_VALUE"""),"")</f>
        <v/>
      </c>
      <c r="H910" s="1"/>
      <c r="I910" s="1"/>
      <c r="J910" s="1"/>
      <c r="K910" s="1"/>
      <c r="L910" s="1"/>
      <c r="M910" s="1"/>
      <c r="N910" s="1"/>
      <c r="O910" s="1"/>
      <c r="P910" s="1"/>
      <c r="Q910" s="1"/>
      <c r="R910" s="1"/>
      <c r="S910" s="1"/>
      <c r="T910" s="1"/>
      <c r="U910" s="1"/>
      <c r="V910" s="1"/>
      <c r="W910" s="1"/>
      <c r="X910" s="1"/>
      <c r="Y910" s="1"/>
      <c r="Z910" s="1"/>
      <c r="AA910" s="1"/>
    </row>
    <row r="911" ht="15.75" customHeight="1">
      <c r="A911" s="1"/>
      <c r="B911" s="1" t="str">
        <f>IFERROR(__xludf.DUMMYFUNCTION("""COMPUTED_VALUE"""),"")</f>
        <v/>
      </c>
      <c r="C911" s="1" t="str">
        <f>IFERROR(__xludf.DUMMYFUNCTION("""COMPUTED_VALUE"""),"")</f>
        <v/>
      </c>
      <c r="D911" s="1" t="str">
        <f>IFERROR(__xludf.DUMMYFUNCTION("""COMPUTED_VALUE"""),"")</f>
        <v/>
      </c>
      <c r="E911" s="1" t="str">
        <f>IFERROR(__xludf.DUMMYFUNCTION("""COMPUTED_VALUE"""),"")</f>
        <v/>
      </c>
      <c r="F911" s="1" t="str">
        <f>IFERROR(__xludf.DUMMYFUNCTION("""COMPUTED_VALUE"""),"")</f>
        <v/>
      </c>
      <c r="G911" s="1" t="str">
        <f>IFERROR(__xludf.DUMMYFUNCTION("""COMPUTED_VALUE"""),"")</f>
        <v/>
      </c>
      <c r="H911" s="1"/>
      <c r="I911" s="1"/>
      <c r="J911" s="1"/>
      <c r="K911" s="1"/>
      <c r="L911" s="1"/>
      <c r="M911" s="1"/>
      <c r="N911" s="1"/>
      <c r="O911" s="1"/>
      <c r="P911" s="1"/>
      <c r="Q911" s="1"/>
      <c r="R911" s="1"/>
      <c r="S911" s="1"/>
      <c r="T911" s="1"/>
      <c r="U911" s="1"/>
      <c r="V911" s="1"/>
      <c r="W911" s="1"/>
      <c r="X911" s="1"/>
      <c r="Y911" s="1"/>
      <c r="Z911" s="1"/>
      <c r="AA911" s="1"/>
    </row>
    <row r="912" ht="15.75" customHeight="1">
      <c r="A912" s="1"/>
      <c r="B912" s="1" t="str">
        <f>IFERROR(__xludf.DUMMYFUNCTION("""COMPUTED_VALUE"""),"")</f>
        <v/>
      </c>
      <c r="C912" s="1" t="str">
        <f>IFERROR(__xludf.DUMMYFUNCTION("""COMPUTED_VALUE"""),"")</f>
        <v/>
      </c>
      <c r="D912" s="1" t="str">
        <f>IFERROR(__xludf.DUMMYFUNCTION("""COMPUTED_VALUE"""),"")</f>
        <v/>
      </c>
      <c r="E912" s="1" t="str">
        <f>IFERROR(__xludf.DUMMYFUNCTION("""COMPUTED_VALUE"""),"")</f>
        <v/>
      </c>
      <c r="F912" s="1" t="str">
        <f>IFERROR(__xludf.DUMMYFUNCTION("""COMPUTED_VALUE"""),"")</f>
        <v/>
      </c>
      <c r="G912" s="1" t="str">
        <f>IFERROR(__xludf.DUMMYFUNCTION("""COMPUTED_VALUE"""),"")</f>
        <v/>
      </c>
      <c r="H912" s="1"/>
      <c r="I912" s="1"/>
      <c r="J912" s="1"/>
      <c r="K912" s="1"/>
      <c r="L912" s="1"/>
      <c r="M912" s="1"/>
      <c r="N912" s="1"/>
      <c r="O912" s="1"/>
      <c r="P912" s="1"/>
      <c r="Q912" s="1"/>
      <c r="R912" s="1"/>
      <c r="S912" s="1"/>
      <c r="T912" s="1"/>
      <c r="U912" s="1"/>
      <c r="V912" s="1"/>
      <c r="W912" s="1"/>
      <c r="X912" s="1"/>
      <c r="Y912" s="1"/>
      <c r="Z912" s="1"/>
      <c r="AA912" s="1"/>
    </row>
    <row r="913" ht="15.75" customHeight="1">
      <c r="A913" s="1"/>
      <c r="B913" s="1" t="str">
        <f>IFERROR(__xludf.DUMMYFUNCTION("""COMPUTED_VALUE"""),"")</f>
        <v/>
      </c>
      <c r="C913" s="1" t="str">
        <f>IFERROR(__xludf.DUMMYFUNCTION("""COMPUTED_VALUE"""),"")</f>
        <v/>
      </c>
      <c r="D913" s="1" t="str">
        <f>IFERROR(__xludf.DUMMYFUNCTION("""COMPUTED_VALUE"""),"")</f>
        <v/>
      </c>
      <c r="E913" s="1" t="str">
        <f>IFERROR(__xludf.DUMMYFUNCTION("""COMPUTED_VALUE"""),"")</f>
        <v/>
      </c>
      <c r="F913" s="1" t="str">
        <f>IFERROR(__xludf.DUMMYFUNCTION("""COMPUTED_VALUE"""),"")</f>
        <v/>
      </c>
      <c r="G913" s="1" t="str">
        <f>IFERROR(__xludf.DUMMYFUNCTION("""COMPUTED_VALUE"""),"")</f>
        <v/>
      </c>
      <c r="H913" s="1"/>
      <c r="I913" s="1"/>
      <c r="J913" s="1"/>
      <c r="K913" s="1"/>
      <c r="L913" s="1"/>
      <c r="M913" s="1"/>
      <c r="N913" s="1"/>
      <c r="O913" s="1"/>
      <c r="P913" s="1"/>
      <c r="Q913" s="1"/>
      <c r="R913" s="1"/>
      <c r="S913" s="1"/>
      <c r="T913" s="1"/>
      <c r="U913" s="1"/>
      <c r="V913" s="1"/>
      <c r="W913" s="1"/>
      <c r="X913" s="1"/>
      <c r="Y913" s="1"/>
      <c r="Z913" s="1"/>
      <c r="AA913" s="1"/>
    </row>
    <row r="914" ht="15.75" customHeight="1">
      <c r="A914" s="1"/>
      <c r="B914" s="1" t="str">
        <f>IFERROR(__xludf.DUMMYFUNCTION("""COMPUTED_VALUE"""),"")</f>
        <v/>
      </c>
      <c r="C914" s="1" t="str">
        <f>IFERROR(__xludf.DUMMYFUNCTION("""COMPUTED_VALUE"""),"")</f>
        <v/>
      </c>
      <c r="D914" s="1" t="str">
        <f>IFERROR(__xludf.DUMMYFUNCTION("""COMPUTED_VALUE"""),"")</f>
        <v/>
      </c>
      <c r="E914" s="1" t="str">
        <f>IFERROR(__xludf.DUMMYFUNCTION("""COMPUTED_VALUE"""),"")</f>
        <v/>
      </c>
      <c r="F914" s="1" t="str">
        <f>IFERROR(__xludf.DUMMYFUNCTION("""COMPUTED_VALUE"""),"")</f>
        <v/>
      </c>
      <c r="G914" s="1" t="str">
        <f>IFERROR(__xludf.DUMMYFUNCTION("""COMPUTED_VALUE"""),"")</f>
        <v/>
      </c>
      <c r="H914" s="1"/>
      <c r="I914" s="1"/>
      <c r="J914" s="1"/>
      <c r="K914" s="1"/>
      <c r="L914" s="1"/>
      <c r="M914" s="1"/>
      <c r="N914" s="1"/>
      <c r="O914" s="1"/>
      <c r="P914" s="1"/>
      <c r="Q914" s="1"/>
      <c r="R914" s="1"/>
      <c r="S914" s="1"/>
      <c r="T914" s="1"/>
      <c r="U914" s="1"/>
      <c r="V914" s="1"/>
      <c r="W914" s="1"/>
      <c r="X914" s="1"/>
      <c r="Y914" s="1"/>
      <c r="Z914" s="1"/>
      <c r="AA914" s="1"/>
    </row>
    <row r="915" ht="15.75" customHeight="1">
      <c r="A915" s="1"/>
      <c r="B915" s="1" t="str">
        <f>IFERROR(__xludf.DUMMYFUNCTION("""COMPUTED_VALUE"""),"")</f>
        <v/>
      </c>
      <c r="C915" s="1" t="str">
        <f>IFERROR(__xludf.DUMMYFUNCTION("""COMPUTED_VALUE"""),"")</f>
        <v/>
      </c>
      <c r="D915" s="1" t="str">
        <f>IFERROR(__xludf.DUMMYFUNCTION("""COMPUTED_VALUE"""),"")</f>
        <v/>
      </c>
      <c r="E915" s="1" t="str">
        <f>IFERROR(__xludf.DUMMYFUNCTION("""COMPUTED_VALUE"""),"")</f>
        <v/>
      </c>
      <c r="F915" s="1" t="str">
        <f>IFERROR(__xludf.DUMMYFUNCTION("""COMPUTED_VALUE"""),"")</f>
        <v/>
      </c>
      <c r="G915" s="1" t="str">
        <f>IFERROR(__xludf.DUMMYFUNCTION("""COMPUTED_VALUE"""),"")</f>
        <v/>
      </c>
      <c r="H915" s="1"/>
      <c r="I915" s="1"/>
      <c r="J915" s="1"/>
      <c r="K915" s="1"/>
      <c r="L915" s="1"/>
      <c r="M915" s="1"/>
      <c r="N915" s="1"/>
      <c r="O915" s="1"/>
      <c r="P915" s="1"/>
      <c r="Q915" s="1"/>
      <c r="R915" s="1"/>
      <c r="S915" s="1"/>
      <c r="T915" s="1"/>
      <c r="U915" s="1"/>
      <c r="V915" s="1"/>
      <c r="W915" s="1"/>
      <c r="X915" s="1"/>
      <c r="Y915" s="1"/>
      <c r="Z915" s="1"/>
      <c r="AA915" s="1"/>
    </row>
    <row r="916" ht="15.75" customHeight="1">
      <c r="A916" s="1"/>
      <c r="B916" s="1" t="str">
        <f>IFERROR(__xludf.DUMMYFUNCTION("""COMPUTED_VALUE"""),"")</f>
        <v/>
      </c>
      <c r="C916" s="1" t="str">
        <f>IFERROR(__xludf.DUMMYFUNCTION("""COMPUTED_VALUE"""),"")</f>
        <v/>
      </c>
      <c r="D916" s="1" t="str">
        <f>IFERROR(__xludf.DUMMYFUNCTION("""COMPUTED_VALUE"""),"")</f>
        <v/>
      </c>
      <c r="E916" s="1" t="str">
        <f>IFERROR(__xludf.DUMMYFUNCTION("""COMPUTED_VALUE"""),"")</f>
        <v/>
      </c>
      <c r="F916" s="1" t="str">
        <f>IFERROR(__xludf.DUMMYFUNCTION("""COMPUTED_VALUE"""),"")</f>
        <v/>
      </c>
      <c r="G916" s="1" t="str">
        <f>IFERROR(__xludf.DUMMYFUNCTION("""COMPUTED_VALUE"""),"")</f>
        <v/>
      </c>
      <c r="H916" s="1"/>
      <c r="I916" s="1"/>
      <c r="J916" s="1"/>
      <c r="K916" s="1"/>
      <c r="L916" s="1"/>
      <c r="M916" s="1"/>
      <c r="N916" s="1"/>
      <c r="O916" s="1"/>
      <c r="P916" s="1"/>
      <c r="Q916" s="1"/>
      <c r="R916" s="1"/>
      <c r="S916" s="1"/>
      <c r="T916" s="1"/>
      <c r="U916" s="1"/>
      <c r="V916" s="1"/>
      <c r="W916" s="1"/>
      <c r="X916" s="1"/>
      <c r="Y916" s="1"/>
      <c r="Z916" s="1"/>
      <c r="AA916" s="1"/>
    </row>
    <row r="917" ht="15.75" customHeight="1">
      <c r="A917" s="1"/>
      <c r="B917" s="1" t="str">
        <f>IFERROR(__xludf.DUMMYFUNCTION("""COMPUTED_VALUE"""),"")</f>
        <v/>
      </c>
      <c r="C917" s="1" t="str">
        <f>IFERROR(__xludf.DUMMYFUNCTION("""COMPUTED_VALUE"""),"")</f>
        <v/>
      </c>
      <c r="D917" s="1" t="str">
        <f>IFERROR(__xludf.DUMMYFUNCTION("""COMPUTED_VALUE"""),"")</f>
        <v/>
      </c>
      <c r="E917" s="1" t="str">
        <f>IFERROR(__xludf.DUMMYFUNCTION("""COMPUTED_VALUE"""),"")</f>
        <v/>
      </c>
      <c r="F917" s="1" t="str">
        <f>IFERROR(__xludf.DUMMYFUNCTION("""COMPUTED_VALUE"""),"")</f>
        <v/>
      </c>
      <c r="G917" s="1" t="str">
        <f>IFERROR(__xludf.DUMMYFUNCTION("""COMPUTED_VALUE"""),"")</f>
        <v/>
      </c>
      <c r="H917" s="1"/>
      <c r="I917" s="1"/>
      <c r="J917" s="1"/>
      <c r="K917" s="1"/>
      <c r="L917" s="1"/>
      <c r="M917" s="1"/>
      <c r="N917" s="1"/>
      <c r="O917" s="1"/>
      <c r="P917" s="1"/>
      <c r="Q917" s="1"/>
      <c r="R917" s="1"/>
      <c r="S917" s="1"/>
      <c r="T917" s="1"/>
      <c r="U917" s="1"/>
      <c r="V917" s="1"/>
      <c r="W917" s="1"/>
      <c r="X917" s="1"/>
      <c r="Y917" s="1"/>
      <c r="Z917" s="1"/>
      <c r="AA917" s="1"/>
    </row>
    <row r="918" ht="15.75" customHeight="1">
      <c r="A918" s="1"/>
      <c r="B918" s="1" t="str">
        <f>IFERROR(__xludf.DUMMYFUNCTION("""COMPUTED_VALUE"""),"")</f>
        <v/>
      </c>
      <c r="C918" s="1" t="str">
        <f>IFERROR(__xludf.DUMMYFUNCTION("""COMPUTED_VALUE"""),"")</f>
        <v/>
      </c>
      <c r="D918" s="1" t="str">
        <f>IFERROR(__xludf.DUMMYFUNCTION("""COMPUTED_VALUE"""),"")</f>
        <v/>
      </c>
      <c r="E918" s="1" t="str">
        <f>IFERROR(__xludf.DUMMYFUNCTION("""COMPUTED_VALUE"""),"")</f>
        <v/>
      </c>
      <c r="F918" s="1" t="str">
        <f>IFERROR(__xludf.DUMMYFUNCTION("""COMPUTED_VALUE"""),"")</f>
        <v/>
      </c>
      <c r="G918" s="1" t="str">
        <f>IFERROR(__xludf.DUMMYFUNCTION("""COMPUTED_VALUE"""),"")</f>
        <v/>
      </c>
      <c r="H918" s="1"/>
      <c r="I918" s="1"/>
      <c r="J918" s="1"/>
      <c r="K918" s="1"/>
      <c r="L918" s="1"/>
      <c r="M918" s="1"/>
      <c r="N918" s="1"/>
      <c r="O918" s="1"/>
      <c r="P918" s="1"/>
      <c r="Q918" s="1"/>
      <c r="R918" s="1"/>
      <c r="S918" s="1"/>
      <c r="T918" s="1"/>
      <c r="U918" s="1"/>
      <c r="V918" s="1"/>
      <c r="W918" s="1"/>
      <c r="X918" s="1"/>
      <c r="Y918" s="1"/>
      <c r="Z918" s="1"/>
      <c r="AA918" s="1"/>
    </row>
    <row r="919" ht="15.75" customHeight="1">
      <c r="A919" s="1"/>
      <c r="B919" s="1" t="str">
        <f>IFERROR(__xludf.DUMMYFUNCTION("""COMPUTED_VALUE"""),"")</f>
        <v/>
      </c>
      <c r="C919" s="1" t="str">
        <f>IFERROR(__xludf.DUMMYFUNCTION("""COMPUTED_VALUE"""),"")</f>
        <v/>
      </c>
      <c r="D919" s="1" t="str">
        <f>IFERROR(__xludf.DUMMYFUNCTION("""COMPUTED_VALUE"""),"")</f>
        <v/>
      </c>
      <c r="E919" s="1" t="str">
        <f>IFERROR(__xludf.DUMMYFUNCTION("""COMPUTED_VALUE"""),"")</f>
        <v/>
      </c>
      <c r="F919" s="1" t="str">
        <f>IFERROR(__xludf.DUMMYFUNCTION("""COMPUTED_VALUE"""),"")</f>
        <v/>
      </c>
      <c r="G919" s="1" t="str">
        <f>IFERROR(__xludf.DUMMYFUNCTION("""COMPUTED_VALUE"""),"")</f>
        <v/>
      </c>
      <c r="H919" s="1"/>
      <c r="I919" s="1"/>
      <c r="J919" s="1"/>
      <c r="K919" s="1"/>
      <c r="L919" s="1"/>
      <c r="M919" s="1"/>
      <c r="N919" s="1"/>
      <c r="O919" s="1"/>
      <c r="P919" s="1"/>
      <c r="Q919" s="1"/>
      <c r="R919" s="1"/>
      <c r="S919" s="1"/>
      <c r="T919" s="1"/>
      <c r="U919" s="1"/>
      <c r="V919" s="1"/>
      <c r="W919" s="1"/>
      <c r="X919" s="1"/>
      <c r="Y919" s="1"/>
      <c r="Z919" s="1"/>
      <c r="AA919" s="1"/>
    </row>
    <row r="920" ht="15.75" customHeight="1">
      <c r="A920" s="1"/>
      <c r="B920" s="1" t="str">
        <f>IFERROR(__xludf.DUMMYFUNCTION("""COMPUTED_VALUE"""),"")</f>
        <v/>
      </c>
      <c r="C920" s="1" t="str">
        <f>IFERROR(__xludf.DUMMYFUNCTION("""COMPUTED_VALUE"""),"")</f>
        <v/>
      </c>
      <c r="D920" s="1" t="str">
        <f>IFERROR(__xludf.DUMMYFUNCTION("""COMPUTED_VALUE"""),"")</f>
        <v/>
      </c>
      <c r="E920" s="1" t="str">
        <f>IFERROR(__xludf.DUMMYFUNCTION("""COMPUTED_VALUE"""),"")</f>
        <v/>
      </c>
      <c r="F920" s="1" t="str">
        <f>IFERROR(__xludf.DUMMYFUNCTION("""COMPUTED_VALUE"""),"")</f>
        <v/>
      </c>
      <c r="G920" s="1" t="str">
        <f>IFERROR(__xludf.DUMMYFUNCTION("""COMPUTED_VALUE"""),"")</f>
        <v/>
      </c>
      <c r="H920" s="1"/>
      <c r="I920" s="1"/>
      <c r="J920" s="1"/>
      <c r="K920" s="1"/>
      <c r="L920" s="1"/>
      <c r="M920" s="1"/>
      <c r="N920" s="1"/>
      <c r="O920" s="1"/>
      <c r="P920" s="1"/>
      <c r="Q920" s="1"/>
      <c r="R920" s="1"/>
      <c r="S920" s="1"/>
      <c r="T920" s="1"/>
      <c r="U920" s="1"/>
      <c r="V920" s="1"/>
      <c r="W920" s="1"/>
      <c r="X920" s="1"/>
      <c r="Y920" s="1"/>
      <c r="Z920" s="1"/>
      <c r="AA920" s="1"/>
    </row>
    <row r="921" ht="15.75" customHeight="1">
      <c r="A921" s="1"/>
      <c r="B921" s="1" t="str">
        <f>IFERROR(__xludf.DUMMYFUNCTION("""COMPUTED_VALUE"""),"")</f>
        <v/>
      </c>
      <c r="C921" s="1" t="str">
        <f>IFERROR(__xludf.DUMMYFUNCTION("""COMPUTED_VALUE"""),"")</f>
        <v/>
      </c>
      <c r="D921" s="1" t="str">
        <f>IFERROR(__xludf.DUMMYFUNCTION("""COMPUTED_VALUE"""),"")</f>
        <v/>
      </c>
      <c r="E921" s="1" t="str">
        <f>IFERROR(__xludf.DUMMYFUNCTION("""COMPUTED_VALUE"""),"")</f>
        <v/>
      </c>
      <c r="F921" s="1" t="str">
        <f>IFERROR(__xludf.DUMMYFUNCTION("""COMPUTED_VALUE"""),"")</f>
        <v/>
      </c>
      <c r="G921" s="1" t="str">
        <f>IFERROR(__xludf.DUMMYFUNCTION("""COMPUTED_VALUE"""),"")</f>
        <v/>
      </c>
      <c r="H921" s="1"/>
      <c r="I921" s="1"/>
      <c r="J921" s="1"/>
      <c r="K921" s="1"/>
      <c r="L921" s="1"/>
      <c r="M921" s="1"/>
      <c r="N921" s="1"/>
      <c r="O921" s="1"/>
      <c r="P921" s="1"/>
      <c r="Q921" s="1"/>
      <c r="R921" s="1"/>
      <c r="S921" s="1"/>
      <c r="T921" s="1"/>
      <c r="U921" s="1"/>
      <c r="V921" s="1"/>
      <c r="W921" s="1"/>
      <c r="X921" s="1"/>
      <c r="Y921" s="1"/>
      <c r="Z921" s="1"/>
      <c r="AA921" s="1"/>
    </row>
    <row r="922" ht="15.75" customHeight="1">
      <c r="A922" s="1"/>
      <c r="B922" s="1" t="str">
        <f>IFERROR(__xludf.DUMMYFUNCTION("""COMPUTED_VALUE"""),"")</f>
        <v/>
      </c>
      <c r="C922" s="1" t="str">
        <f>IFERROR(__xludf.DUMMYFUNCTION("""COMPUTED_VALUE"""),"")</f>
        <v/>
      </c>
      <c r="D922" s="1" t="str">
        <f>IFERROR(__xludf.DUMMYFUNCTION("""COMPUTED_VALUE"""),"")</f>
        <v/>
      </c>
      <c r="E922" s="1" t="str">
        <f>IFERROR(__xludf.DUMMYFUNCTION("""COMPUTED_VALUE"""),"")</f>
        <v/>
      </c>
      <c r="F922" s="1" t="str">
        <f>IFERROR(__xludf.DUMMYFUNCTION("""COMPUTED_VALUE"""),"")</f>
        <v/>
      </c>
      <c r="G922" s="1" t="str">
        <f>IFERROR(__xludf.DUMMYFUNCTION("""COMPUTED_VALUE"""),"")</f>
        <v/>
      </c>
      <c r="H922" s="1"/>
      <c r="I922" s="1"/>
      <c r="J922" s="1"/>
      <c r="K922" s="1"/>
      <c r="L922" s="1"/>
      <c r="M922" s="1"/>
      <c r="N922" s="1"/>
      <c r="O922" s="1"/>
      <c r="P922" s="1"/>
      <c r="Q922" s="1"/>
      <c r="R922" s="1"/>
      <c r="S922" s="1"/>
      <c r="T922" s="1"/>
      <c r="U922" s="1"/>
      <c r="V922" s="1"/>
      <c r="W922" s="1"/>
      <c r="X922" s="1"/>
      <c r="Y922" s="1"/>
      <c r="Z922" s="1"/>
      <c r="AA922" s="1"/>
    </row>
    <row r="923" ht="15.75" customHeight="1">
      <c r="A923" s="1"/>
      <c r="B923" s="1" t="str">
        <f>IFERROR(__xludf.DUMMYFUNCTION("""COMPUTED_VALUE"""),"")</f>
        <v/>
      </c>
      <c r="C923" s="1" t="str">
        <f>IFERROR(__xludf.DUMMYFUNCTION("""COMPUTED_VALUE"""),"")</f>
        <v/>
      </c>
      <c r="D923" s="1" t="str">
        <f>IFERROR(__xludf.DUMMYFUNCTION("""COMPUTED_VALUE"""),"")</f>
        <v/>
      </c>
      <c r="E923" s="1" t="str">
        <f>IFERROR(__xludf.DUMMYFUNCTION("""COMPUTED_VALUE"""),"")</f>
        <v/>
      </c>
      <c r="F923" s="1" t="str">
        <f>IFERROR(__xludf.DUMMYFUNCTION("""COMPUTED_VALUE"""),"")</f>
        <v/>
      </c>
      <c r="G923" s="1" t="str">
        <f>IFERROR(__xludf.DUMMYFUNCTION("""COMPUTED_VALUE"""),"")</f>
        <v/>
      </c>
      <c r="H923" s="1"/>
      <c r="I923" s="1"/>
      <c r="J923" s="1"/>
      <c r="K923" s="1"/>
      <c r="L923" s="1"/>
      <c r="M923" s="1"/>
      <c r="N923" s="1"/>
      <c r="O923" s="1"/>
      <c r="P923" s="1"/>
      <c r="Q923" s="1"/>
      <c r="R923" s="1"/>
      <c r="S923" s="1"/>
      <c r="T923" s="1"/>
      <c r="U923" s="1"/>
      <c r="V923" s="1"/>
      <c r="W923" s="1"/>
      <c r="X923" s="1"/>
      <c r="Y923" s="1"/>
      <c r="Z923" s="1"/>
      <c r="AA923" s="1"/>
    </row>
    <row r="924" ht="15.75" customHeight="1">
      <c r="A924" s="1"/>
      <c r="B924" s="1" t="str">
        <f>IFERROR(__xludf.DUMMYFUNCTION("""COMPUTED_VALUE"""),"")</f>
        <v/>
      </c>
      <c r="C924" s="1" t="str">
        <f>IFERROR(__xludf.DUMMYFUNCTION("""COMPUTED_VALUE"""),"")</f>
        <v/>
      </c>
      <c r="D924" s="1" t="str">
        <f>IFERROR(__xludf.DUMMYFUNCTION("""COMPUTED_VALUE"""),"")</f>
        <v/>
      </c>
      <c r="E924" s="1" t="str">
        <f>IFERROR(__xludf.DUMMYFUNCTION("""COMPUTED_VALUE"""),"")</f>
        <v/>
      </c>
      <c r="F924" s="1" t="str">
        <f>IFERROR(__xludf.DUMMYFUNCTION("""COMPUTED_VALUE"""),"")</f>
        <v/>
      </c>
      <c r="G924" s="1" t="str">
        <f>IFERROR(__xludf.DUMMYFUNCTION("""COMPUTED_VALUE"""),"")</f>
        <v/>
      </c>
      <c r="H924" s="1"/>
      <c r="I924" s="1"/>
      <c r="J924" s="1"/>
      <c r="K924" s="1"/>
      <c r="L924" s="1"/>
      <c r="M924" s="1"/>
      <c r="N924" s="1"/>
      <c r="O924" s="1"/>
      <c r="P924" s="1"/>
      <c r="Q924" s="1"/>
      <c r="R924" s="1"/>
      <c r="S924" s="1"/>
      <c r="T924" s="1"/>
      <c r="U924" s="1"/>
      <c r="V924" s="1"/>
      <c r="W924" s="1"/>
      <c r="X924" s="1"/>
      <c r="Y924" s="1"/>
      <c r="Z924" s="1"/>
      <c r="AA924" s="1"/>
    </row>
    <row r="925" ht="15.75" customHeight="1">
      <c r="A925" s="1"/>
      <c r="B925" s="1" t="str">
        <f>IFERROR(__xludf.DUMMYFUNCTION("""COMPUTED_VALUE"""),"")</f>
        <v/>
      </c>
      <c r="C925" s="1" t="str">
        <f>IFERROR(__xludf.DUMMYFUNCTION("""COMPUTED_VALUE"""),"")</f>
        <v/>
      </c>
      <c r="D925" s="1" t="str">
        <f>IFERROR(__xludf.DUMMYFUNCTION("""COMPUTED_VALUE"""),"")</f>
        <v/>
      </c>
      <c r="E925" s="1" t="str">
        <f>IFERROR(__xludf.DUMMYFUNCTION("""COMPUTED_VALUE"""),"")</f>
        <v/>
      </c>
      <c r="F925" s="1" t="str">
        <f>IFERROR(__xludf.DUMMYFUNCTION("""COMPUTED_VALUE"""),"")</f>
        <v/>
      </c>
      <c r="G925" s="1" t="str">
        <f>IFERROR(__xludf.DUMMYFUNCTION("""COMPUTED_VALUE"""),"")</f>
        <v/>
      </c>
      <c r="H925" s="1"/>
      <c r="I925" s="1"/>
      <c r="J925" s="1"/>
      <c r="K925" s="1"/>
      <c r="L925" s="1"/>
      <c r="M925" s="1"/>
      <c r="N925" s="1"/>
      <c r="O925" s="1"/>
      <c r="P925" s="1"/>
      <c r="Q925" s="1"/>
      <c r="R925" s="1"/>
      <c r="S925" s="1"/>
      <c r="T925" s="1"/>
      <c r="U925" s="1"/>
      <c r="V925" s="1"/>
      <c r="W925" s="1"/>
      <c r="X925" s="1"/>
      <c r="Y925" s="1"/>
      <c r="Z925" s="1"/>
      <c r="AA925" s="1"/>
    </row>
    <row r="926" ht="15.75" customHeight="1">
      <c r="A926" s="1"/>
      <c r="B926" s="1" t="str">
        <f>IFERROR(__xludf.DUMMYFUNCTION("""COMPUTED_VALUE"""),"")</f>
        <v/>
      </c>
      <c r="C926" s="1" t="str">
        <f>IFERROR(__xludf.DUMMYFUNCTION("""COMPUTED_VALUE"""),"")</f>
        <v/>
      </c>
      <c r="D926" s="1" t="str">
        <f>IFERROR(__xludf.DUMMYFUNCTION("""COMPUTED_VALUE"""),"")</f>
        <v/>
      </c>
      <c r="E926" s="1" t="str">
        <f>IFERROR(__xludf.DUMMYFUNCTION("""COMPUTED_VALUE"""),"")</f>
        <v/>
      </c>
      <c r="F926" s="1" t="str">
        <f>IFERROR(__xludf.DUMMYFUNCTION("""COMPUTED_VALUE"""),"")</f>
        <v/>
      </c>
      <c r="G926" s="1" t="str">
        <f>IFERROR(__xludf.DUMMYFUNCTION("""COMPUTED_VALUE"""),"")</f>
        <v/>
      </c>
      <c r="H926" s="1"/>
      <c r="I926" s="1"/>
      <c r="J926" s="1"/>
      <c r="K926" s="1"/>
      <c r="L926" s="1"/>
      <c r="M926" s="1"/>
      <c r="N926" s="1"/>
      <c r="O926" s="1"/>
      <c r="P926" s="1"/>
      <c r="Q926" s="1"/>
      <c r="R926" s="1"/>
      <c r="S926" s="1"/>
      <c r="T926" s="1"/>
      <c r="U926" s="1"/>
      <c r="V926" s="1"/>
      <c r="W926" s="1"/>
      <c r="X926" s="1"/>
      <c r="Y926" s="1"/>
      <c r="Z926" s="1"/>
      <c r="AA926" s="1"/>
    </row>
    <row r="927" ht="15.75" customHeight="1">
      <c r="A927" s="1"/>
      <c r="B927" s="1" t="str">
        <f>IFERROR(__xludf.DUMMYFUNCTION("""COMPUTED_VALUE"""),"")</f>
        <v/>
      </c>
      <c r="C927" s="1" t="str">
        <f>IFERROR(__xludf.DUMMYFUNCTION("""COMPUTED_VALUE"""),"")</f>
        <v/>
      </c>
      <c r="D927" s="1" t="str">
        <f>IFERROR(__xludf.DUMMYFUNCTION("""COMPUTED_VALUE"""),"")</f>
        <v/>
      </c>
      <c r="E927" s="1" t="str">
        <f>IFERROR(__xludf.DUMMYFUNCTION("""COMPUTED_VALUE"""),"")</f>
        <v/>
      </c>
      <c r="F927" s="1" t="str">
        <f>IFERROR(__xludf.DUMMYFUNCTION("""COMPUTED_VALUE"""),"")</f>
        <v/>
      </c>
      <c r="G927" s="1" t="str">
        <f>IFERROR(__xludf.DUMMYFUNCTION("""COMPUTED_VALUE"""),"")</f>
        <v/>
      </c>
      <c r="H927" s="1"/>
      <c r="I927" s="1"/>
      <c r="J927" s="1"/>
      <c r="K927" s="1"/>
      <c r="L927" s="1"/>
      <c r="M927" s="1"/>
      <c r="N927" s="1"/>
      <c r="O927" s="1"/>
      <c r="P927" s="1"/>
      <c r="Q927" s="1"/>
      <c r="R927" s="1"/>
      <c r="S927" s="1"/>
      <c r="T927" s="1"/>
      <c r="U927" s="1"/>
      <c r="V927" s="1"/>
      <c r="W927" s="1"/>
      <c r="X927" s="1"/>
      <c r="Y927" s="1"/>
      <c r="Z927" s="1"/>
      <c r="AA927" s="1"/>
    </row>
    <row r="928" ht="15.75" customHeight="1">
      <c r="A928" s="1"/>
      <c r="B928" s="1" t="str">
        <f>IFERROR(__xludf.DUMMYFUNCTION("""COMPUTED_VALUE"""),"")</f>
        <v/>
      </c>
      <c r="C928" s="1" t="str">
        <f>IFERROR(__xludf.DUMMYFUNCTION("""COMPUTED_VALUE"""),"")</f>
        <v/>
      </c>
      <c r="D928" s="1" t="str">
        <f>IFERROR(__xludf.DUMMYFUNCTION("""COMPUTED_VALUE"""),"")</f>
        <v/>
      </c>
      <c r="E928" s="1" t="str">
        <f>IFERROR(__xludf.DUMMYFUNCTION("""COMPUTED_VALUE"""),"")</f>
        <v/>
      </c>
      <c r="F928" s="1" t="str">
        <f>IFERROR(__xludf.DUMMYFUNCTION("""COMPUTED_VALUE"""),"")</f>
        <v/>
      </c>
      <c r="G928" s="1" t="str">
        <f>IFERROR(__xludf.DUMMYFUNCTION("""COMPUTED_VALUE"""),"")</f>
        <v/>
      </c>
      <c r="H928" s="1"/>
      <c r="I928" s="1"/>
      <c r="J928" s="1"/>
      <c r="K928" s="1"/>
      <c r="L928" s="1"/>
      <c r="M928" s="1"/>
      <c r="N928" s="1"/>
      <c r="O928" s="1"/>
      <c r="P928" s="1"/>
      <c r="Q928" s="1"/>
      <c r="R928" s="1"/>
      <c r="S928" s="1"/>
      <c r="T928" s="1"/>
      <c r="U928" s="1"/>
      <c r="V928" s="1"/>
      <c r="W928" s="1"/>
      <c r="X928" s="1"/>
      <c r="Y928" s="1"/>
      <c r="Z928" s="1"/>
      <c r="AA928" s="1"/>
    </row>
    <row r="929" ht="15.75" customHeight="1">
      <c r="A929" s="1"/>
      <c r="B929" s="1" t="str">
        <f>IFERROR(__xludf.DUMMYFUNCTION("""COMPUTED_VALUE"""),"")</f>
        <v/>
      </c>
      <c r="C929" s="1" t="str">
        <f>IFERROR(__xludf.DUMMYFUNCTION("""COMPUTED_VALUE"""),"")</f>
        <v/>
      </c>
      <c r="D929" s="1" t="str">
        <f>IFERROR(__xludf.DUMMYFUNCTION("""COMPUTED_VALUE"""),"")</f>
        <v/>
      </c>
      <c r="E929" s="1" t="str">
        <f>IFERROR(__xludf.DUMMYFUNCTION("""COMPUTED_VALUE"""),"")</f>
        <v/>
      </c>
      <c r="F929" s="1" t="str">
        <f>IFERROR(__xludf.DUMMYFUNCTION("""COMPUTED_VALUE"""),"")</f>
        <v/>
      </c>
      <c r="G929" s="1" t="str">
        <f>IFERROR(__xludf.DUMMYFUNCTION("""COMPUTED_VALUE"""),"")</f>
        <v/>
      </c>
      <c r="H929" s="1"/>
      <c r="I929" s="1"/>
      <c r="J929" s="1"/>
      <c r="K929" s="1"/>
      <c r="L929" s="1"/>
      <c r="M929" s="1"/>
      <c r="N929" s="1"/>
      <c r="O929" s="1"/>
      <c r="P929" s="1"/>
      <c r="Q929" s="1"/>
      <c r="R929" s="1"/>
      <c r="S929" s="1"/>
      <c r="T929" s="1"/>
      <c r="U929" s="1"/>
      <c r="V929" s="1"/>
      <c r="W929" s="1"/>
      <c r="X929" s="1"/>
      <c r="Y929" s="1"/>
      <c r="Z929" s="1"/>
      <c r="AA929" s="1"/>
    </row>
    <row r="930" ht="15.75" customHeight="1">
      <c r="A930" s="1"/>
      <c r="B930" s="1" t="str">
        <f>IFERROR(__xludf.DUMMYFUNCTION("""COMPUTED_VALUE"""),"")</f>
        <v/>
      </c>
      <c r="C930" s="1" t="str">
        <f>IFERROR(__xludf.DUMMYFUNCTION("""COMPUTED_VALUE"""),"")</f>
        <v/>
      </c>
      <c r="D930" s="1" t="str">
        <f>IFERROR(__xludf.DUMMYFUNCTION("""COMPUTED_VALUE"""),"")</f>
        <v/>
      </c>
      <c r="E930" s="1" t="str">
        <f>IFERROR(__xludf.DUMMYFUNCTION("""COMPUTED_VALUE"""),"")</f>
        <v/>
      </c>
      <c r="F930" s="1" t="str">
        <f>IFERROR(__xludf.DUMMYFUNCTION("""COMPUTED_VALUE"""),"")</f>
        <v/>
      </c>
      <c r="G930" s="1" t="str">
        <f>IFERROR(__xludf.DUMMYFUNCTION("""COMPUTED_VALUE"""),"")</f>
        <v/>
      </c>
      <c r="H930" s="1"/>
      <c r="I930" s="1"/>
      <c r="J930" s="1"/>
      <c r="K930" s="1"/>
      <c r="L930" s="1"/>
      <c r="M930" s="1"/>
      <c r="N930" s="1"/>
      <c r="O930" s="1"/>
      <c r="P930" s="1"/>
      <c r="Q930" s="1"/>
      <c r="R930" s="1"/>
      <c r="S930" s="1"/>
      <c r="T930" s="1"/>
      <c r="U930" s="1"/>
      <c r="V930" s="1"/>
      <c r="W930" s="1"/>
      <c r="X930" s="1"/>
      <c r="Y930" s="1"/>
      <c r="Z930" s="1"/>
      <c r="AA930" s="1"/>
    </row>
    <row r="931" ht="15.75" customHeight="1">
      <c r="A931" s="1"/>
      <c r="B931" s="1" t="str">
        <f>IFERROR(__xludf.DUMMYFUNCTION("""COMPUTED_VALUE"""),"")</f>
        <v/>
      </c>
      <c r="C931" s="1" t="str">
        <f>IFERROR(__xludf.DUMMYFUNCTION("""COMPUTED_VALUE"""),"")</f>
        <v/>
      </c>
      <c r="D931" s="1" t="str">
        <f>IFERROR(__xludf.DUMMYFUNCTION("""COMPUTED_VALUE"""),"")</f>
        <v/>
      </c>
      <c r="E931" s="1" t="str">
        <f>IFERROR(__xludf.DUMMYFUNCTION("""COMPUTED_VALUE"""),"")</f>
        <v/>
      </c>
      <c r="F931" s="1" t="str">
        <f>IFERROR(__xludf.DUMMYFUNCTION("""COMPUTED_VALUE"""),"")</f>
        <v/>
      </c>
      <c r="G931" s="1" t="str">
        <f>IFERROR(__xludf.DUMMYFUNCTION("""COMPUTED_VALUE"""),"")</f>
        <v/>
      </c>
      <c r="H931" s="1"/>
      <c r="I931" s="1"/>
      <c r="J931" s="1"/>
      <c r="K931" s="1"/>
      <c r="L931" s="1"/>
      <c r="M931" s="1"/>
      <c r="N931" s="1"/>
      <c r="O931" s="1"/>
      <c r="P931" s="1"/>
      <c r="Q931" s="1"/>
      <c r="R931" s="1"/>
      <c r="S931" s="1"/>
      <c r="T931" s="1"/>
      <c r="U931" s="1"/>
      <c r="V931" s="1"/>
      <c r="W931" s="1"/>
      <c r="X931" s="1"/>
      <c r="Y931" s="1"/>
      <c r="Z931" s="1"/>
      <c r="AA931" s="1"/>
    </row>
    <row r="932" ht="15.75" customHeight="1">
      <c r="A932" s="1"/>
      <c r="B932" s="1" t="str">
        <f>IFERROR(__xludf.DUMMYFUNCTION("""COMPUTED_VALUE"""),"")</f>
        <v/>
      </c>
      <c r="C932" s="1" t="str">
        <f>IFERROR(__xludf.DUMMYFUNCTION("""COMPUTED_VALUE"""),"")</f>
        <v/>
      </c>
      <c r="D932" s="1" t="str">
        <f>IFERROR(__xludf.DUMMYFUNCTION("""COMPUTED_VALUE"""),"")</f>
        <v/>
      </c>
      <c r="E932" s="1" t="str">
        <f>IFERROR(__xludf.DUMMYFUNCTION("""COMPUTED_VALUE"""),"")</f>
        <v/>
      </c>
      <c r="F932" s="1" t="str">
        <f>IFERROR(__xludf.DUMMYFUNCTION("""COMPUTED_VALUE"""),"")</f>
        <v/>
      </c>
      <c r="G932" s="1" t="str">
        <f>IFERROR(__xludf.DUMMYFUNCTION("""COMPUTED_VALUE"""),"")</f>
        <v/>
      </c>
      <c r="H932" s="1"/>
      <c r="I932" s="1"/>
      <c r="J932" s="1"/>
      <c r="K932" s="1"/>
      <c r="L932" s="1"/>
      <c r="M932" s="1"/>
      <c r="N932" s="1"/>
      <c r="O932" s="1"/>
      <c r="P932" s="1"/>
      <c r="Q932" s="1"/>
      <c r="R932" s="1"/>
      <c r="S932" s="1"/>
      <c r="T932" s="1"/>
      <c r="U932" s="1"/>
      <c r="V932" s="1"/>
      <c r="W932" s="1"/>
      <c r="X932" s="1"/>
      <c r="Y932" s="1"/>
      <c r="Z932" s="1"/>
      <c r="AA932" s="1"/>
    </row>
    <row r="933" ht="15.75" customHeight="1">
      <c r="A933" s="1"/>
      <c r="B933" s="1" t="str">
        <f>IFERROR(__xludf.DUMMYFUNCTION("""COMPUTED_VALUE"""),"")</f>
        <v/>
      </c>
      <c r="C933" s="1" t="str">
        <f>IFERROR(__xludf.DUMMYFUNCTION("""COMPUTED_VALUE"""),"")</f>
        <v/>
      </c>
      <c r="D933" s="1" t="str">
        <f>IFERROR(__xludf.DUMMYFUNCTION("""COMPUTED_VALUE"""),"")</f>
        <v/>
      </c>
      <c r="E933" s="1" t="str">
        <f>IFERROR(__xludf.DUMMYFUNCTION("""COMPUTED_VALUE"""),"")</f>
        <v/>
      </c>
      <c r="F933" s="1" t="str">
        <f>IFERROR(__xludf.DUMMYFUNCTION("""COMPUTED_VALUE"""),"")</f>
        <v/>
      </c>
      <c r="G933" s="1" t="str">
        <f>IFERROR(__xludf.DUMMYFUNCTION("""COMPUTED_VALUE"""),"")</f>
        <v/>
      </c>
      <c r="H933" s="1"/>
      <c r="I933" s="1"/>
      <c r="J933" s="1"/>
      <c r="K933" s="1"/>
      <c r="L933" s="1"/>
      <c r="M933" s="1"/>
      <c r="N933" s="1"/>
      <c r="O933" s="1"/>
      <c r="P933" s="1"/>
      <c r="Q933" s="1"/>
      <c r="R933" s="1"/>
      <c r="S933" s="1"/>
      <c r="T933" s="1"/>
      <c r="U933" s="1"/>
      <c r="V933" s="1"/>
      <c r="W933" s="1"/>
      <c r="X933" s="1"/>
      <c r="Y933" s="1"/>
      <c r="Z933" s="1"/>
      <c r="AA933" s="1"/>
    </row>
    <row r="934" ht="15.75" customHeight="1">
      <c r="A934" s="1"/>
      <c r="B934" s="1" t="str">
        <f>IFERROR(__xludf.DUMMYFUNCTION("""COMPUTED_VALUE"""),"")</f>
        <v/>
      </c>
      <c r="C934" s="1" t="str">
        <f>IFERROR(__xludf.DUMMYFUNCTION("""COMPUTED_VALUE"""),"")</f>
        <v/>
      </c>
      <c r="D934" s="1" t="str">
        <f>IFERROR(__xludf.DUMMYFUNCTION("""COMPUTED_VALUE"""),"")</f>
        <v/>
      </c>
      <c r="E934" s="1" t="str">
        <f>IFERROR(__xludf.DUMMYFUNCTION("""COMPUTED_VALUE"""),"")</f>
        <v/>
      </c>
      <c r="F934" s="1" t="str">
        <f>IFERROR(__xludf.DUMMYFUNCTION("""COMPUTED_VALUE"""),"")</f>
        <v/>
      </c>
      <c r="G934" s="1" t="str">
        <f>IFERROR(__xludf.DUMMYFUNCTION("""COMPUTED_VALUE"""),"")</f>
        <v/>
      </c>
      <c r="H934" s="1"/>
      <c r="I934" s="1"/>
      <c r="J934" s="1"/>
      <c r="K934" s="1"/>
      <c r="L934" s="1"/>
      <c r="M934" s="1"/>
      <c r="N934" s="1"/>
      <c r="O934" s="1"/>
      <c r="P934" s="1"/>
      <c r="Q934" s="1"/>
      <c r="R934" s="1"/>
      <c r="S934" s="1"/>
      <c r="T934" s="1"/>
      <c r="U934" s="1"/>
      <c r="V934" s="1"/>
      <c r="W934" s="1"/>
      <c r="X934" s="1"/>
      <c r="Y934" s="1"/>
      <c r="Z934" s="1"/>
      <c r="AA934" s="1"/>
    </row>
    <row r="935" ht="15.75" customHeight="1">
      <c r="A935" s="1"/>
      <c r="B935" s="1" t="str">
        <f>IFERROR(__xludf.DUMMYFUNCTION("""COMPUTED_VALUE"""),"")</f>
        <v/>
      </c>
      <c r="C935" s="1" t="str">
        <f>IFERROR(__xludf.DUMMYFUNCTION("""COMPUTED_VALUE"""),"")</f>
        <v/>
      </c>
      <c r="D935" s="1" t="str">
        <f>IFERROR(__xludf.DUMMYFUNCTION("""COMPUTED_VALUE"""),"")</f>
        <v/>
      </c>
      <c r="E935" s="1" t="str">
        <f>IFERROR(__xludf.DUMMYFUNCTION("""COMPUTED_VALUE"""),"")</f>
        <v/>
      </c>
      <c r="F935" s="1" t="str">
        <f>IFERROR(__xludf.DUMMYFUNCTION("""COMPUTED_VALUE"""),"")</f>
        <v/>
      </c>
      <c r="G935" s="1" t="str">
        <f>IFERROR(__xludf.DUMMYFUNCTION("""COMPUTED_VALUE"""),"")</f>
        <v/>
      </c>
      <c r="H935" s="1"/>
      <c r="I935" s="1"/>
      <c r="J935" s="1"/>
      <c r="K935" s="1"/>
      <c r="L935" s="1"/>
      <c r="M935" s="1"/>
      <c r="N935" s="1"/>
      <c r="O935" s="1"/>
      <c r="P935" s="1"/>
      <c r="Q935" s="1"/>
      <c r="R935" s="1"/>
      <c r="S935" s="1"/>
      <c r="T935" s="1"/>
      <c r="U935" s="1"/>
      <c r="V935" s="1"/>
      <c r="W935" s="1"/>
      <c r="X935" s="1"/>
      <c r="Y935" s="1"/>
      <c r="Z935" s="1"/>
      <c r="AA935" s="1"/>
    </row>
    <row r="936" ht="15.75" customHeight="1">
      <c r="A936" s="1"/>
      <c r="B936" s="1" t="str">
        <f>IFERROR(__xludf.DUMMYFUNCTION("""COMPUTED_VALUE"""),"")</f>
        <v/>
      </c>
      <c r="C936" s="1" t="str">
        <f>IFERROR(__xludf.DUMMYFUNCTION("""COMPUTED_VALUE"""),"")</f>
        <v/>
      </c>
      <c r="D936" s="1" t="str">
        <f>IFERROR(__xludf.DUMMYFUNCTION("""COMPUTED_VALUE"""),"")</f>
        <v/>
      </c>
      <c r="E936" s="1" t="str">
        <f>IFERROR(__xludf.DUMMYFUNCTION("""COMPUTED_VALUE"""),"")</f>
        <v/>
      </c>
      <c r="F936" s="1" t="str">
        <f>IFERROR(__xludf.DUMMYFUNCTION("""COMPUTED_VALUE"""),"")</f>
        <v/>
      </c>
      <c r="G936" s="1" t="str">
        <f>IFERROR(__xludf.DUMMYFUNCTION("""COMPUTED_VALUE"""),"")</f>
        <v/>
      </c>
      <c r="H936" s="1"/>
      <c r="I936" s="1"/>
      <c r="J936" s="1"/>
      <c r="K936" s="1"/>
      <c r="L936" s="1"/>
      <c r="M936" s="1"/>
      <c r="N936" s="1"/>
      <c r="O936" s="1"/>
      <c r="P936" s="1"/>
      <c r="Q936" s="1"/>
      <c r="R936" s="1"/>
      <c r="S936" s="1"/>
      <c r="T936" s="1"/>
      <c r="U936" s="1"/>
      <c r="V936" s="1"/>
      <c r="W936" s="1"/>
      <c r="X936" s="1"/>
      <c r="Y936" s="1"/>
      <c r="Z936" s="1"/>
      <c r="AA936" s="1"/>
    </row>
    <row r="937" ht="15.75" customHeight="1">
      <c r="A937" s="1"/>
      <c r="B937" s="1" t="str">
        <f>IFERROR(__xludf.DUMMYFUNCTION("""COMPUTED_VALUE"""),"")</f>
        <v/>
      </c>
      <c r="C937" s="1" t="str">
        <f>IFERROR(__xludf.DUMMYFUNCTION("""COMPUTED_VALUE"""),"")</f>
        <v/>
      </c>
      <c r="D937" s="1" t="str">
        <f>IFERROR(__xludf.DUMMYFUNCTION("""COMPUTED_VALUE"""),"")</f>
        <v/>
      </c>
      <c r="E937" s="1" t="str">
        <f>IFERROR(__xludf.DUMMYFUNCTION("""COMPUTED_VALUE"""),"")</f>
        <v/>
      </c>
      <c r="F937" s="1" t="str">
        <f>IFERROR(__xludf.DUMMYFUNCTION("""COMPUTED_VALUE"""),"")</f>
        <v/>
      </c>
      <c r="G937" s="1" t="str">
        <f>IFERROR(__xludf.DUMMYFUNCTION("""COMPUTED_VALUE"""),"")</f>
        <v/>
      </c>
      <c r="H937" s="1"/>
      <c r="I937" s="1"/>
      <c r="J937" s="1"/>
      <c r="K937" s="1"/>
      <c r="L937" s="1"/>
      <c r="M937" s="1"/>
      <c r="N937" s="1"/>
      <c r="O937" s="1"/>
      <c r="P937" s="1"/>
      <c r="Q937" s="1"/>
      <c r="R937" s="1"/>
      <c r="S937" s="1"/>
      <c r="T937" s="1"/>
      <c r="U937" s="1"/>
      <c r="V937" s="1"/>
      <c r="W937" s="1"/>
      <c r="X937" s="1"/>
      <c r="Y937" s="1"/>
      <c r="Z937" s="1"/>
      <c r="AA937" s="1"/>
    </row>
    <row r="938" ht="15.75" customHeight="1">
      <c r="A938" s="1"/>
      <c r="B938" s="1" t="str">
        <f>IFERROR(__xludf.DUMMYFUNCTION("""COMPUTED_VALUE"""),"")</f>
        <v/>
      </c>
      <c r="C938" s="1" t="str">
        <f>IFERROR(__xludf.DUMMYFUNCTION("""COMPUTED_VALUE"""),"")</f>
        <v/>
      </c>
      <c r="D938" s="1" t="str">
        <f>IFERROR(__xludf.DUMMYFUNCTION("""COMPUTED_VALUE"""),"")</f>
        <v/>
      </c>
      <c r="E938" s="1" t="str">
        <f>IFERROR(__xludf.DUMMYFUNCTION("""COMPUTED_VALUE"""),"")</f>
        <v/>
      </c>
      <c r="F938" s="1" t="str">
        <f>IFERROR(__xludf.DUMMYFUNCTION("""COMPUTED_VALUE"""),"")</f>
        <v/>
      </c>
      <c r="G938" s="1" t="str">
        <f>IFERROR(__xludf.DUMMYFUNCTION("""COMPUTED_VALUE"""),"")</f>
        <v/>
      </c>
      <c r="H938" s="1"/>
      <c r="I938" s="1"/>
      <c r="J938" s="1"/>
      <c r="K938" s="1"/>
      <c r="L938" s="1"/>
      <c r="M938" s="1"/>
      <c r="N938" s="1"/>
      <c r="O938" s="1"/>
      <c r="P938" s="1"/>
      <c r="Q938" s="1"/>
      <c r="R938" s="1"/>
      <c r="S938" s="1"/>
      <c r="T938" s="1"/>
      <c r="U938" s="1"/>
      <c r="V938" s="1"/>
      <c r="W938" s="1"/>
      <c r="X938" s="1"/>
      <c r="Y938" s="1"/>
      <c r="Z938" s="1"/>
      <c r="AA938" s="1"/>
    </row>
    <row r="939" ht="15.75" customHeight="1">
      <c r="A939" s="1"/>
      <c r="B939" s="1" t="str">
        <f>IFERROR(__xludf.DUMMYFUNCTION("""COMPUTED_VALUE"""),"")</f>
        <v/>
      </c>
      <c r="C939" s="1" t="str">
        <f>IFERROR(__xludf.DUMMYFUNCTION("""COMPUTED_VALUE"""),"")</f>
        <v/>
      </c>
      <c r="D939" s="1" t="str">
        <f>IFERROR(__xludf.DUMMYFUNCTION("""COMPUTED_VALUE"""),"")</f>
        <v/>
      </c>
      <c r="E939" s="1" t="str">
        <f>IFERROR(__xludf.DUMMYFUNCTION("""COMPUTED_VALUE"""),"")</f>
        <v/>
      </c>
      <c r="F939" s="1" t="str">
        <f>IFERROR(__xludf.DUMMYFUNCTION("""COMPUTED_VALUE"""),"")</f>
        <v/>
      </c>
      <c r="G939" s="1" t="str">
        <f>IFERROR(__xludf.DUMMYFUNCTION("""COMPUTED_VALUE"""),"")</f>
        <v/>
      </c>
      <c r="H939" s="1"/>
      <c r="I939" s="1"/>
      <c r="J939" s="1"/>
      <c r="K939" s="1"/>
      <c r="L939" s="1"/>
      <c r="M939" s="1"/>
      <c r="N939" s="1"/>
      <c r="O939" s="1"/>
      <c r="P939" s="1"/>
      <c r="Q939" s="1"/>
      <c r="R939" s="1"/>
      <c r="S939" s="1"/>
      <c r="T939" s="1"/>
      <c r="U939" s="1"/>
      <c r="V939" s="1"/>
      <c r="W939" s="1"/>
      <c r="X939" s="1"/>
      <c r="Y939" s="1"/>
      <c r="Z939" s="1"/>
      <c r="AA939" s="1"/>
    </row>
    <row r="940" ht="15.75" customHeight="1">
      <c r="A940" s="1"/>
      <c r="B940" s="1" t="str">
        <f>IFERROR(__xludf.DUMMYFUNCTION("""COMPUTED_VALUE"""),"")</f>
        <v/>
      </c>
      <c r="C940" s="1" t="str">
        <f>IFERROR(__xludf.DUMMYFUNCTION("""COMPUTED_VALUE"""),"")</f>
        <v/>
      </c>
      <c r="D940" s="1" t="str">
        <f>IFERROR(__xludf.DUMMYFUNCTION("""COMPUTED_VALUE"""),"")</f>
        <v/>
      </c>
      <c r="E940" s="1" t="str">
        <f>IFERROR(__xludf.DUMMYFUNCTION("""COMPUTED_VALUE"""),"")</f>
        <v/>
      </c>
      <c r="F940" s="1" t="str">
        <f>IFERROR(__xludf.DUMMYFUNCTION("""COMPUTED_VALUE"""),"")</f>
        <v/>
      </c>
      <c r="G940" s="1" t="str">
        <f>IFERROR(__xludf.DUMMYFUNCTION("""COMPUTED_VALUE"""),"")</f>
        <v/>
      </c>
      <c r="H940" s="1"/>
      <c r="I940" s="1"/>
      <c r="J940" s="1"/>
      <c r="K940" s="1"/>
      <c r="L940" s="1"/>
      <c r="M940" s="1"/>
      <c r="N940" s="1"/>
      <c r="O940" s="1"/>
      <c r="P940" s="1"/>
      <c r="Q940" s="1"/>
      <c r="R940" s="1"/>
      <c r="S940" s="1"/>
      <c r="T940" s="1"/>
      <c r="U940" s="1"/>
      <c r="V940" s="1"/>
      <c r="W940" s="1"/>
      <c r="X940" s="1"/>
      <c r="Y940" s="1"/>
      <c r="Z940" s="1"/>
      <c r="AA940" s="1"/>
    </row>
    <row r="941" ht="15.75" customHeight="1">
      <c r="A941" s="1"/>
      <c r="B941" s="1" t="str">
        <f>IFERROR(__xludf.DUMMYFUNCTION("""COMPUTED_VALUE"""),"")</f>
        <v/>
      </c>
      <c r="C941" s="1" t="str">
        <f>IFERROR(__xludf.DUMMYFUNCTION("""COMPUTED_VALUE"""),"")</f>
        <v/>
      </c>
      <c r="D941" s="1" t="str">
        <f>IFERROR(__xludf.DUMMYFUNCTION("""COMPUTED_VALUE"""),"")</f>
        <v/>
      </c>
      <c r="E941" s="1" t="str">
        <f>IFERROR(__xludf.DUMMYFUNCTION("""COMPUTED_VALUE"""),"")</f>
        <v/>
      </c>
      <c r="F941" s="1" t="str">
        <f>IFERROR(__xludf.DUMMYFUNCTION("""COMPUTED_VALUE"""),"")</f>
        <v/>
      </c>
      <c r="G941" s="1" t="str">
        <f>IFERROR(__xludf.DUMMYFUNCTION("""COMPUTED_VALUE"""),"")</f>
        <v/>
      </c>
      <c r="H941" s="1"/>
      <c r="I941" s="1"/>
      <c r="J941" s="1"/>
      <c r="K941" s="1"/>
      <c r="L941" s="1"/>
      <c r="M941" s="1"/>
      <c r="N941" s="1"/>
      <c r="O941" s="1"/>
      <c r="P941" s="1"/>
      <c r="Q941" s="1"/>
      <c r="R941" s="1"/>
      <c r="S941" s="1"/>
      <c r="T941" s="1"/>
      <c r="U941" s="1"/>
      <c r="V941" s="1"/>
      <c r="W941" s="1"/>
      <c r="X941" s="1"/>
      <c r="Y941" s="1"/>
      <c r="Z941" s="1"/>
      <c r="AA941" s="1"/>
    </row>
    <row r="942" ht="15.75" customHeight="1">
      <c r="A942" s="1"/>
      <c r="B942" s="1" t="str">
        <f>IFERROR(__xludf.DUMMYFUNCTION("""COMPUTED_VALUE"""),"")</f>
        <v/>
      </c>
      <c r="C942" s="1" t="str">
        <f>IFERROR(__xludf.DUMMYFUNCTION("""COMPUTED_VALUE"""),"")</f>
        <v/>
      </c>
      <c r="D942" s="1" t="str">
        <f>IFERROR(__xludf.DUMMYFUNCTION("""COMPUTED_VALUE"""),"")</f>
        <v/>
      </c>
      <c r="E942" s="1" t="str">
        <f>IFERROR(__xludf.DUMMYFUNCTION("""COMPUTED_VALUE"""),"")</f>
        <v/>
      </c>
      <c r="F942" s="1" t="str">
        <f>IFERROR(__xludf.DUMMYFUNCTION("""COMPUTED_VALUE"""),"")</f>
        <v/>
      </c>
      <c r="G942" s="1" t="str">
        <f>IFERROR(__xludf.DUMMYFUNCTION("""COMPUTED_VALUE"""),"")</f>
        <v/>
      </c>
      <c r="H942" s="1"/>
      <c r="I942" s="1"/>
      <c r="J942" s="1"/>
      <c r="K942" s="1"/>
      <c r="L942" s="1"/>
      <c r="M942" s="1"/>
      <c r="N942" s="1"/>
      <c r="O942" s="1"/>
      <c r="P942" s="1"/>
      <c r="Q942" s="1"/>
      <c r="R942" s="1"/>
      <c r="S942" s="1"/>
      <c r="T942" s="1"/>
      <c r="U942" s="1"/>
      <c r="V942" s="1"/>
      <c r="W942" s="1"/>
      <c r="X942" s="1"/>
      <c r="Y942" s="1"/>
      <c r="Z942" s="1"/>
      <c r="AA942" s="1"/>
    </row>
    <row r="943" ht="15.75" customHeight="1">
      <c r="A943" s="1"/>
      <c r="B943" s="1" t="str">
        <f>IFERROR(__xludf.DUMMYFUNCTION("""COMPUTED_VALUE"""),"")</f>
        <v/>
      </c>
      <c r="C943" s="1" t="str">
        <f>IFERROR(__xludf.DUMMYFUNCTION("""COMPUTED_VALUE"""),"")</f>
        <v/>
      </c>
      <c r="D943" s="1" t="str">
        <f>IFERROR(__xludf.DUMMYFUNCTION("""COMPUTED_VALUE"""),"")</f>
        <v/>
      </c>
      <c r="E943" s="1" t="str">
        <f>IFERROR(__xludf.DUMMYFUNCTION("""COMPUTED_VALUE"""),"")</f>
        <v/>
      </c>
      <c r="F943" s="1" t="str">
        <f>IFERROR(__xludf.DUMMYFUNCTION("""COMPUTED_VALUE"""),"")</f>
        <v/>
      </c>
      <c r="G943" s="1" t="str">
        <f>IFERROR(__xludf.DUMMYFUNCTION("""COMPUTED_VALUE"""),"")</f>
        <v/>
      </c>
      <c r="H943" s="1"/>
      <c r="I943" s="1"/>
      <c r="J943" s="1"/>
      <c r="K943" s="1"/>
      <c r="L943" s="1"/>
      <c r="M943" s="1"/>
      <c r="N943" s="1"/>
      <c r="O943" s="1"/>
      <c r="P943" s="1"/>
      <c r="Q943" s="1"/>
      <c r="R943" s="1"/>
      <c r="S943" s="1"/>
      <c r="T943" s="1"/>
      <c r="U943" s="1"/>
      <c r="V943" s="1"/>
      <c r="W943" s="1"/>
      <c r="X943" s="1"/>
      <c r="Y943" s="1"/>
      <c r="Z943" s="1"/>
      <c r="AA943" s="1"/>
    </row>
    <row r="944" ht="15.75" customHeight="1">
      <c r="A944" s="1"/>
      <c r="B944" s="1" t="str">
        <f>IFERROR(__xludf.DUMMYFUNCTION("""COMPUTED_VALUE"""),"")</f>
        <v/>
      </c>
      <c r="C944" s="1" t="str">
        <f>IFERROR(__xludf.DUMMYFUNCTION("""COMPUTED_VALUE"""),"")</f>
        <v/>
      </c>
      <c r="D944" s="1" t="str">
        <f>IFERROR(__xludf.DUMMYFUNCTION("""COMPUTED_VALUE"""),"")</f>
        <v/>
      </c>
      <c r="E944" s="1" t="str">
        <f>IFERROR(__xludf.DUMMYFUNCTION("""COMPUTED_VALUE"""),"")</f>
        <v/>
      </c>
      <c r="F944" s="1" t="str">
        <f>IFERROR(__xludf.DUMMYFUNCTION("""COMPUTED_VALUE"""),"")</f>
        <v/>
      </c>
      <c r="G944" s="1" t="str">
        <f>IFERROR(__xludf.DUMMYFUNCTION("""COMPUTED_VALUE"""),"")</f>
        <v/>
      </c>
      <c r="H944" s="1"/>
      <c r="I944" s="1"/>
      <c r="J944" s="1"/>
      <c r="K944" s="1"/>
      <c r="L944" s="1"/>
      <c r="M944" s="1"/>
      <c r="N944" s="1"/>
      <c r="O944" s="1"/>
      <c r="P944" s="1"/>
      <c r="Q944" s="1"/>
      <c r="R944" s="1"/>
      <c r="S944" s="1"/>
      <c r="T944" s="1"/>
      <c r="U944" s="1"/>
      <c r="V944" s="1"/>
      <c r="W944" s="1"/>
      <c r="X944" s="1"/>
      <c r="Y944" s="1"/>
      <c r="Z944" s="1"/>
      <c r="AA944" s="1"/>
    </row>
    <row r="945" ht="15.75" customHeight="1">
      <c r="A945" s="1"/>
      <c r="B945" s="1" t="str">
        <f>IFERROR(__xludf.DUMMYFUNCTION("""COMPUTED_VALUE"""),"")</f>
        <v/>
      </c>
      <c r="C945" s="1" t="str">
        <f>IFERROR(__xludf.DUMMYFUNCTION("""COMPUTED_VALUE"""),"")</f>
        <v/>
      </c>
      <c r="D945" s="1" t="str">
        <f>IFERROR(__xludf.DUMMYFUNCTION("""COMPUTED_VALUE"""),"")</f>
        <v/>
      </c>
      <c r="E945" s="1" t="str">
        <f>IFERROR(__xludf.DUMMYFUNCTION("""COMPUTED_VALUE"""),"")</f>
        <v/>
      </c>
      <c r="F945" s="1" t="str">
        <f>IFERROR(__xludf.DUMMYFUNCTION("""COMPUTED_VALUE"""),"")</f>
        <v/>
      </c>
      <c r="G945" s="1" t="str">
        <f>IFERROR(__xludf.DUMMYFUNCTION("""COMPUTED_VALUE"""),"")</f>
        <v/>
      </c>
      <c r="H945" s="1"/>
      <c r="I945" s="1"/>
      <c r="J945" s="1"/>
      <c r="K945" s="1"/>
      <c r="L945" s="1"/>
      <c r="M945" s="1"/>
      <c r="N945" s="1"/>
      <c r="O945" s="1"/>
      <c r="P945" s="1"/>
      <c r="Q945" s="1"/>
      <c r="R945" s="1"/>
      <c r="S945" s="1"/>
      <c r="T945" s="1"/>
      <c r="U945" s="1"/>
      <c r="V945" s="1"/>
      <c r="W945" s="1"/>
      <c r="X945" s="1"/>
      <c r="Y945" s="1"/>
      <c r="Z945" s="1"/>
      <c r="AA945" s="1"/>
    </row>
    <row r="946" ht="15.75" customHeight="1">
      <c r="A946" s="1"/>
      <c r="B946" s="1" t="str">
        <f>IFERROR(__xludf.DUMMYFUNCTION("""COMPUTED_VALUE"""),"")</f>
        <v/>
      </c>
      <c r="C946" s="1" t="str">
        <f>IFERROR(__xludf.DUMMYFUNCTION("""COMPUTED_VALUE"""),"")</f>
        <v/>
      </c>
      <c r="D946" s="1" t="str">
        <f>IFERROR(__xludf.DUMMYFUNCTION("""COMPUTED_VALUE"""),"")</f>
        <v/>
      </c>
      <c r="E946" s="1" t="str">
        <f>IFERROR(__xludf.DUMMYFUNCTION("""COMPUTED_VALUE"""),"")</f>
        <v/>
      </c>
      <c r="F946" s="1" t="str">
        <f>IFERROR(__xludf.DUMMYFUNCTION("""COMPUTED_VALUE"""),"")</f>
        <v/>
      </c>
      <c r="G946" s="1" t="str">
        <f>IFERROR(__xludf.DUMMYFUNCTION("""COMPUTED_VALUE"""),"")</f>
        <v/>
      </c>
      <c r="H946" s="1"/>
      <c r="I946" s="1"/>
      <c r="J946" s="1"/>
      <c r="K946" s="1"/>
      <c r="L946" s="1"/>
      <c r="M946" s="1"/>
      <c r="N946" s="1"/>
      <c r="O946" s="1"/>
      <c r="P946" s="1"/>
      <c r="Q946" s="1"/>
      <c r="R946" s="1"/>
      <c r="S946" s="1"/>
      <c r="T946" s="1"/>
      <c r="U946" s="1"/>
      <c r="V946" s="1"/>
      <c r="W946" s="1"/>
      <c r="X946" s="1"/>
      <c r="Y946" s="1"/>
      <c r="Z946" s="1"/>
      <c r="AA946" s="1"/>
    </row>
    <row r="947" ht="15.75" customHeight="1">
      <c r="A947" s="1"/>
      <c r="B947" s="1" t="str">
        <f>IFERROR(__xludf.DUMMYFUNCTION("""COMPUTED_VALUE"""),"")</f>
        <v/>
      </c>
      <c r="C947" s="1" t="str">
        <f>IFERROR(__xludf.DUMMYFUNCTION("""COMPUTED_VALUE"""),"")</f>
        <v/>
      </c>
      <c r="D947" s="1" t="str">
        <f>IFERROR(__xludf.DUMMYFUNCTION("""COMPUTED_VALUE"""),"")</f>
        <v/>
      </c>
      <c r="E947" s="1" t="str">
        <f>IFERROR(__xludf.DUMMYFUNCTION("""COMPUTED_VALUE"""),"")</f>
        <v/>
      </c>
      <c r="F947" s="1" t="str">
        <f>IFERROR(__xludf.DUMMYFUNCTION("""COMPUTED_VALUE"""),"")</f>
        <v/>
      </c>
      <c r="G947" s="1" t="str">
        <f>IFERROR(__xludf.DUMMYFUNCTION("""COMPUTED_VALUE"""),"")</f>
        <v/>
      </c>
      <c r="H947" s="1"/>
      <c r="I947" s="1"/>
      <c r="J947" s="1"/>
      <c r="K947" s="1"/>
      <c r="L947" s="1"/>
      <c r="M947" s="1"/>
      <c r="N947" s="1"/>
      <c r="O947" s="1"/>
      <c r="P947" s="1"/>
      <c r="Q947" s="1"/>
      <c r="R947" s="1"/>
      <c r="S947" s="1"/>
      <c r="T947" s="1"/>
      <c r="U947" s="1"/>
      <c r="V947" s="1"/>
      <c r="W947" s="1"/>
      <c r="X947" s="1"/>
      <c r="Y947" s="1"/>
      <c r="Z947" s="1"/>
      <c r="AA947" s="1"/>
    </row>
    <row r="948" ht="15.75" customHeight="1">
      <c r="A948" s="1"/>
      <c r="B948" s="1" t="str">
        <f>IFERROR(__xludf.DUMMYFUNCTION("""COMPUTED_VALUE"""),"")</f>
        <v/>
      </c>
      <c r="C948" s="1" t="str">
        <f>IFERROR(__xludf.DUMMYFUNCTION("""COMPUTED_VALUE"""),"")</f>
        <v/>
      </c>
      <c r="D948" s="1" t="str">
        <f>IFERROR(__xludf.DUMMYFUNCTION("""COMPUTED_VALUE"""),"")</f>
        <v/>
      </c>
      <c r="E948" s="1" t="str">
        <f>IFERROR(__xludf.DUMMYFUNCTION("""COMPUTED_VALUE"""),"")</f>
        <v/>
      </c>
      <c r="F948" s="1" t="str">
        <f>IFERROR(__xludf.DUMMYFUNCTION("""COMPUTED_VALUE"""),"")</f>
        <v/>
      </c>
      <c r="G948" s="1" t="str">
        <f>IFERROR(__xludf.DUMMYFUNCTION("""COMPUTED_VALUE"""),"")</f>
        <v/>
      </c>
      <c r="H948" s="1"/>
      <c r="I948" s="1"/>
      <c r="J948" s="1"/>
      <c r="K948" s="1"/>
      <c r="L948" s="1"/>
      <c r="M948" s="1"/>
      <c r="N948" s="1"/>
      <c r="O948" s="1"/>
      <c r="P948" s="1"/>
      <c r="Q948" s="1"/>
      <c r="R948" s="1"/>
      <c r="S948" s="1"/>
      <c r="T948" s="1"/>
      <c r="U948" s="1"/>
      <c r="V948" s="1"/>
      <c r="W948" s="1"/>
      <c r="X948" s="1"/>
      <c r="Y948" s="1"/>
      <c r="Z948" s="1"/>
      <c r="AA948" s="1"/>
    </row>
    <row r="949" ht="15.75" customHeight="1">
      <c r="A949" s="1"/>
      <c r="B949" s="1" t="str">
        <f>IFERROR(__xludf.DUMMYFUNCTION("""COMPUTED_VALUE"""),"")</f>
        <v/>
      </c>
      <c r="C949" s="1" t="str">
        <f>IFERROR(__xludf.DUMMYFUNCTION("""COMPUTED_VALUE"""),"")</f>
        <v/>
      </c>
      <c r="D949" s="1" t="str">
        <f>IFERROR(__xludf.DUMMYFUNCTION("""COMPUTED_VALUE"""),"")</f>
        <v/>
      </c>
      <c r="E949" s="1" t="str">
        <f>IFERROR(__xludf.DUMMYFUNCTION("""COMPUTED_VALUE"""),"")</f>
        <v/>
      </c>
      <c r="F949" s="1" t="str">
        <f>IFERROR(__xludf.DUMMYFUNCTION("""COMPUTED_VALUE"""),"")</f>
        <v/>
      </c>
      <c r="G949" s="1" t="str">
        <f>IFERROR(__xludf.DUMMYFUNCTION("""COMPUTED_VALUE"""),"")</f>
        <v/>
      </c>
      <c r="H949" s="1"/>
      <c r="I949" s="1"/>
      <c r="J949" s="1"/>
      <c r="K949" s="1"/>
      <c r="L949" s="1"/>
      <c r="M949" s="1"/>
      <c r="N949" s="1"/>
      <c r="O949" s="1"/>
      <c r="P949" s="1"/>
      <c r="Q949" s="1"/>
      <c r="R949" s="1"/>
      <c r="S949" s="1"/>
      <c r="T949" s="1"/>
      <c r="U949" s="1"/>
      <c r="V949" s="1"/>
      <c r="W949" s="1"/>
      <c r="X949" s="1"/>
      <c r="Y949" s="1"/>
      <c r="Z949" s="1"/>
      <c r="AA949" s="1"/>
    </row>
    <row r="950" ht="15.75" customHeight="1">
      <c r="A950" s="1"/>
      <c r="B950" s="1" t="str">
        <f>IFERROR(__xludf.DUMMYFUNCTION("""COMPUTED_VALUE"""),"")</f>
        <v/>
      </c>
      <c r="C950" s="1" t="str">
        <f>IFERROR(__xludf.DUMMYFUNCTION("""COMPUTED_VALUE"""),"")</f>
        <v/>
      </c>
      <c r="D950" s="1" t="str">
        <f>IFERROR(__xludf.DUMMYFUNCTION("""COMPUTED_VALUE"""),"")</f>
        <v/>
      </c>
      <c r="E950" s="1" t="str">
        <f>IFERROR(__xludf.DUMMYFUNCTION("""COMPUTED_VALUE"""),"")</f>
        <v/>
      </c>
      <c r="F950" s="1" t="str">
        <f>IFERROR(__xludf.DUMMYFUNCTION("""COMPUTED_VALUE"""),"")</f>
        <v/>
      </c>
      <c r="G950" s="1" t="str">
        <f>IFERROR(__xludf.DUMMYFUNCTION("""COMPUTED_VALUE"""),"")</f>
        <v/>
      </c>
      <c r="H950" s="1"/>
      <c r="I950" s="1"/>
      <c r="J950" s="1"/>
      <c r="K950" s="1"/>
      <c r="L950" s="1"/>
      <c r="M950" s="1"/>
      <c r="N950" s="1"/>
      <c r="O950" s="1"/>
      <c r="P950" s="1"/>
      <c r="Q950" s="1"/>
      <c r="R950" s="1"/>
      <c r="S950" s="1"/>
      <c r="T950" s="1"/>
      <c r="U950" s="1"/>
      <c r="V950" s="1"/>
      <c r="W950" s="1"/>
      <c r="X950" s="1"/>
      <c r="Y950" s="1"/>
      <c r="Z950" s="1"/>
      <c r="AA950" s="1"/>
    </row>
    <row r="951" ht="15.75" customHeight="1">
      <c r="A951" s="1"/>
      <c r="B951" s="1" t="str">
        <f>IFERROR(__xludf.DUMMYFUNCTION("""COMPUTED_VALUE"""),"")</f>
        <v/>
      </c>
      <c r="C951" s="1" t="str">
        <f>IFERROR(__xludf.DUMMYFUNCTION("""COMPUTED_VALUE"""),"")</f>
        <v/>
      </c>
      <c r="D951" s="1" t="str">
        <f>IFERROR(__xludf.DUMMYFUNCTION("""COMPUTED_VALUE"""),"")</f>
        <v/>
      </c>
      <c r="E951" s="1" t="str">
        <f>IFERROR(__xludf.DUMMYFUNCTION("""COMPUTED_VALUE"""),"")</f>
        <v/>
      </c>
      <c r="F951" s="1" t="str">
        <f>IFERROR(__xludf.DUMMYFUNCTION("""COMPUTED_VALUE"""),"")</f>
        <v/>
      </c>
      <c r="G951" s="1" t="str">
        <f>IFERROR(__xludf.DUMMYFUNCTION("""COMPUTED_VALUE"""),"")</f>
        <v/>
      </c>
      <c r="H951" s="1"/>
      <c r="I951" s="1"/>
      <c r="J951" s="1"/>
      <c r="K951" s="1"/>
      <c r="L951" s="1"/>
      <c r="M951" s="1"/>
      <c r="N951" s="1"/>
      <c r="O951" s="1"/>
      <c r="P951" s="1"/>
      <c r="Q951" s="1"/>
      <c r="R951" s="1"/>
      <c r="S951" s="1"/>
      <c r="T951" s="1"/>
      <c r="U951" s="1"/>
      <c r="V951" s="1"/>
      <c r="W951" s="1"/>
      <c r="X951" s="1"/>
      <c r="Y951" s="1"/>
      <c r="Z951" s="1"/>
      <c r="AA951" s="1"/>
    </row>
    <row r="952" ht="15.75" customHeight="1">
      <c r="A952" s="1"/>
      <c r="B952" s="1" t="str">
        <f>IFERROR(__xludf.DUMMYFUNCTION("""COMPUTED_VALUE"""),"")</f>
        <v/>
      </c>
      <c r="C952" s="1" t="str">
        <f>IFERROR(__xludf.DUMMYFUNCTION("""COMPUTED_VALUE"""),"")</f>
        <v/>
      </c>
      <c r="D952" s="1" t="str">
        <f>IFERROR(__xludf.DUMMYFUNCTION("""COMPUTED_VALUE"""),"")</f>
        <v/>
      </c>
      <c r="E952" s="1" t="str">
        <f>IFERROR(__xludf.DUMMYFUNCTION("""COMPUTED_VALUE"""),"")</f>
        <v/>
      </c>
      <c r="F952" s="1" t="str">
        <f>IFERROR(__xludf.DUMMYFUNCTION("""COMPUTED_VALUE"""),"")</f>
        <v/>
      </c>
      <c r="G952" s="1" t="str">
        <f>IFERROR(__xludf.DUMMYFUNCTION("""COMPUTED_VALUE"""),"")</f>
        <v/>
      </c>
      <c r="H952" s="1"/>
      <c r="I952" s="1"/>
      <c r="J952" s="1"/>
      <c r="K952" s="1"/>
      <c r="L952" s="1"/>
      <c r="M952" s="1"/>
      <c r="N952" s="1"/>
      <c r="O952" s="1"/>
      <c r="P952" s="1"/>
      <c r="Q952" s="1"/>
      <c r="R952" s="1"/>
      <c r="S952" s="1"/>
      <c r="T952" s="1"/>
      <c r="U952" s="1"/>
      <c r="V952" s="1"/>
      <c r="W952" s="1"/>
      <c r="X952" s="1"/>
      <c r="Y952" s="1"/>
      <c r="Z952" s="1"/>
      <c r="AA952" s="1"/>
    </row>
    <row r="953" ht="15.75" customHeight="1">
      <c r="A953" s="1"/>
      <c r="B953" s="1" t="str">
        <f>IFERROR(__xludf.DUMMYFUNCTION("""COMPUTED_VALUE"""),"")</f>
        <v/>
      </c>
      <c r="C953" s="1" t="str">
        <f>IFERROR(__xludf.DUMMYFUNCTION("""COMPUTED_VALUE"""),"")</f>
        <v/>
      </c>
      <c r="D953" s="1" t="str">
        <f>IFERROR(__xludf.DUMMYFUNCTION("""COMPUTED_VALUE"""),"")</f>
        <v/>
      </c>
      <c r="E953" s="1" t="str">
        <f>IFERROR(__xludf.DUMMYFUNCTION("""COMPUTED_VALUE"""),"")</f>
        <v/>
      </c>
      <c r="F953" s="1" t="str">
        <f>IFERROR(__xludf.DUMMYFUNCTION("""COMPUTED_VALUE"""),"")</f>
        <v/>
      </c>
      <c r="G953" s="1" t="str">
        <f>IFERROR(__xludf.DUMMYFUNCTION("""COMPUTED_VALUE"""),"")</f>
        <v/>
      </c>
      <c r="H953" s="1"/>
      <c r="I953" s="1"/>
      <c r="J953" s="1"/>
      <c r="K953" s="1"/>
      <c r="L953" s="1"/>
      <c r="M953" s="1"/>
      <c r="N953" s="1"/>
      <c r="O953" s="1"/>
      <c r="P953" s="1"/>
      <c r="Q953" s="1"/>
      <c r="R953" s="1"/>
      <c r="S953" s="1"/>
      <c r="T953" s="1"/>
      <c r="U953" s="1"/>
      <c r="V953" s="1"/>
      <c r="W953" s="1"/>
      <c r="X953" s="1"/>
      <c r="Y953" s="1"/>
      <c r="Z953" s="1"/>
      <c r="AA953" s="1"/>
    </row>
    <row r="954" ht="15.75" customHeight="1">
      <c r="A954" s="1"/>
      <c r="B954" s="1" t="str">
        <f>IFERROR(__xludf.DUMMYFUNCTION("""COMPUTED_VALUE"""),"")</f>
        <v/>
      </c>
      <c r="C954" s="1" t="str">
        <f>IFERROR(__xludf.DUMMYFUNCTION("""COMPUTED_VALUE"""),"")</f>
        <v/>
      </c>
      <c r="D954" s="1" t="str">
        <f>IFERROR(__xludf.DUMMYFUNCTION("""COMPUTED_VALUE"""),"")</f>
        <v/>
      </c>
      <c r="E954" s="1" t="str">
        <f>IFERROR(__xludf.DUMMYFUNCTION("""COMPUTED_VALUE"""),"")</f>
        <v/>
      </c>
      <c r="F954" s="1" t="str">
        <f>IFERROR(__xludf.DUMMYFUNCTION("""COMPUTED_VALUE"""),"")</f>
        <v/>
      </c>
      <c r="G954" s="1" t="str">
        <f>IFERROR(__xludf.DUMMYFUNCTION("""COMPUTED_VALUE"""),"")</f>
        <v/>
      </c>
      <c r="H954" s="1"/>
      <c r="I954" s="1"/>
      <c r="J954" s="1"/>
      <c r="K954" s="1"/>
      <c r="L954" s="1"/>
      <c r="M954" s="1"/>
      <c r="N954" s="1"/>
      <c r="O954" s="1"/>
      <c r="P954" s="1"/>
      <c r="Q954" s="1"/>
      <c r="R954" s="1"/>
      <c r="S954" s="1"/>
      <c r="T954" s="1"/>
      <c r="U954" s="1"/>
      <c r="V954" s="1"/>
      <c r="W954" s="1"/>
      <c r="X954" s="1"/>
      <c r="Y954" s="1"/>
      <c r="Z954" s="1"/>
      <c r="AA954" s="1"/>
    </row>
    <row r="955" ht="15.75" customHeight="1">
      <c r="A955" s="1"/>
      <c r="B955" s="1" t="str">
        <f>IFERROR(__xludf.DUMMYFUNCTION("""COMPUTED_VALUE"""),"")</f>
        <v/>
      </c>
      <c r="C955" s="1" t="str">
        <f>IFERROR(__xludf.DUMMYFUNCTION("""COMPUTED_VALUE"""),"")</f>
        <v/>
      </c>
      <c r="D955" s="1" t="str">
        <f>IFERROR(__xludf.DUMMYFUNCTION("""COMPUTED_VALUE"""),"")</f>
        <v/>
      </c>
      <c r="E955" s="1" t="str">
        <f>IFERROR(__xludf.DUMMYFUNCTION("""COMPUTED_VALUE"""),"")</f>
        <v/>
      </c>
      <c r="F955" s="1" t="str">
        <f>IFERROR(__xludf.DUMMYFUNCTION("""COMPUTED_VALUE"""),"")</f>
        <v/>
      </c>
      <c r="G955" s="1" t="str">
        <f>IFERROR(__xludf.DUMMYFUNCTION("""COMPUTED_VALUE"""),"")</f>
        <v/>
      </c>
      <c r="H955" s="1"/>
      <c r="I955" s="1"/>
      <c r="J955" s="1"/>
      <c r="K955" s="1"/>
      <c r="L955" s="1"/>
      <c r="M955" s="1"/>
      <c r="N955" s="1"/>
      <c r="O955" s="1"/>
      <c r="P955" s="1"/>
      <c r="Q955" s="1"/>
      <c r="R955" s="1"/>
      <c r="S955" s="1"/>
      <c r="T955" s="1"/>
      <c r="U955" s="1"/>
      <c r="V955" s="1"/>
      <c r="W955" s="1"/>
      <c r="X955" s="1"/>
      <c r="Y955" s="1"/>
      <c r="Z955" s="1"/>
      <c r="AA955" s="1"/>
    </row>
    <row r="956" ht="15.75" customHeight="1">
      <c r="A956" s="1"/>
      <c r="B956" s="1" t="str">
        <f>IFERROR(__xludf.DUMMYFUNCTION("""COMPUTED_VALUE"""),"")</f>
        <v/>
      </c>
      <c r="C956" s="1" t="str">
        <f>IFERROR(__xludf.DUMMYFUNCTION("""COMPUTED_VALUE"""),"")</f>
        <v/>
      </c>
      <c r="D956" s="1" t="str">
        <f>IFERROR(__xludf.DUMMYFUNCTION("""COMPUTED_VALUE"""),"")</f>
        <v/>
      </c>
      <c r="E956" s="1" t="str">
        <f>IFERROR(__xludf.DUMMYFUNCTION("""COMPUTED_VALUE"""),"")</f>
        <v/>
      </c>
      <c r="F956" s="1" t="str">
        <f>IFERROR(__xludf.DUMMYFUNCTION("""COMPUTED_VALUE"""),"")</f>
        <v/>
      </c>
      <c r="G956" s="1" t="str">
        <f>IFERROR(__xludf.DUMMYFUNCTION("""COMPUTED_VALUE"""),"")</f>
        <v/>
      </c>
      <c r="H956" s="1"/>
      <c r="I956" s="1"/>
      <c r="J956" s="1"/>
      <c r="K956" s="1"/>
      <c r="L956" s="1"/>
      <c r="M956" s="1"/>
      <c r="N956" s="1"/>
      <c r="O956" s="1"/>
      <c r="P956" s="1"/>
      <c r="Q956" s="1"/>
      <c r="R956" s="1"/>
      <c r="S956" s="1"/>
      <c r="T956" s="1"/>
      <c r="U956" s="1"/>
      <c r="V956" s="1"/>
      <c r="W956" s="1"/>
      <c r="X956" s="1"/>
      <c r="Y956" s="1"/>
      <c r="Z956" s="1"/>
      <c r="AA956" s="1"/>
    </row>
    <row r="957" ht="15.75" customHeight="1">
      <c r="A957" s="1"/>
      <c r="B957" s="1" t="str">
        <f>IFERROR(__xludf.DUMMYFUNCTION("""COMPUTED_VALUE"""),"")</f>
        <v/>
      </c>
      <c r="C957" s="1" t="str">
        <f>IFERROR(__xludf.DUMMYFUNCTION("""COMPUTED_VALUE"""),"")</f>
        <v/>
      </c>
      <c r="D957" s="1" t="str">
        <f>IFERROR(__xludf.DUMMYFUNCTION("""COMPUTED_VALUE"""),"")</f>
        <v/>
      </c>
      <c r="E957" s="1" t="str">
        <f>IFERROR(__xludf.DUMMYFUNCTION("""COMPUTED_VALUE"""),"")</f>
        <v/>
      </c>
      <c r="F957" s="1" t="str">
        <f>IFERROR(__xludf.DUMMYFUNCTION("""COMPUTED_VALUE"""),"")</f>
        <v/>
      </c>
      <c r="G957" s="1" t="str">
        <f>IFERROR(__xludf.DUMMYFUNCTION("""COMPUTED_VALUE"""),"")</f>
        <v/>
      </c>
      <c r="H957" s="1"/>
      <c r="I957" s="1"/>
      <c r="J957" s="1"/>
      <c r="K957" s="1"/>
      <c r="L957" s="1"/>
      <c r="M957" s="1"/>
      <c r="N957" s="1"/>
      <c r="O957" s="1"/>
      <c r="P957" s="1"/>
      <c r="Q957" s="1"/>
      <c r="R957" s="1"/>
      <c r="S957" s="1"/>
      <c r="T957" s="1"/>
      <c r="U957" s="1"/>
      <c r="V957" s="1"/>
      <c r="W957" s="1"/>
      <c r="X957" s="1"/>
      <c r="Y957" s="1"/>
      <c r="Z957" s="1"/>
      <c r="AA957" s="1"/>
    </row>
    <row r="958" ht="15.75" customHeight="1">
      <c r="A958" s="1"/>
      <c r="B958" s="1" t="str">
        <f>IFERROR(__xludf.DUMMYFUNCTION("""COMPUTED_VALUE"""),"")</f>
        <v/>
      </c>
      <c r="C958" s="1" t="str">
        <f>IFERROR(__xludf.DUMMYFUNCTION("""COMPUTED_VALUE"""),"")</f>
        <v/>
      </c>
      <c r="D958" s="1" t="str">
        <f>IFERROR(__xludf.DUMMYFUNCTION("""COMPUTED_VALUE"""),"")</f>
        <v/>
      </c>
      <c r="E958" s="1" t="str">
        <f>IFERROR(__xludf.DUMMYFUNCTION("""COMPUTED_VALUE"""),"")</f>
        <v/>
      </c>
      <c r="F958" s="1" t="str">
        <f>IFERROR(__xludf.DUMMYFUNCTION("""COMPUTED_VALUE"""),"")</f>
        <v/>
      </c>
      <c r="G958" s="1" t="str">
        <f>IFERROR(__xludf.DUMMYFUNCTION("""COMPUTED_VALUE"""),"")</f>
        <v/>
      </c>
      <c r="H958" s="1"/>
      <c r="I958" s="1"/>
      <c r="J958" s="1"/>
      <c r="K958" s="1"/>
      <c r="L958" s="1"/>
      <c r="M958" s="1"/>
      <c r="N958" s="1"/>
      <c r="O958" s="1"/>
      <c r="P958" s="1"/>
      <c r="Q958" s="1"/>
      <c r="R958" s="1"/>
      <c r="S958" s="1"/>
      <c r="T958" s="1"/>
      <c r="U958" s="1"/>
      <c r="V958" s="1"/>
      <c r="W958" s="1"/>
      <c r="X958" s="1"/>
      <c r="Y958" s="1"/>
      <c r="Z958" s="1"/>
      <c r="AA958" s="1"/>
    </row>
    <row r="959" ht="15.75" customHeight="1">
      <c r="A959" s="1"/>
      <c r="B959" s="1" t="str">
        <f>IFERROR(__xludf.DUMMYFUNCTION("""COMPUTED_VALUE"""),"")</f>
        <v/>
      </c>
      <c r="C959" s="1" t="str">
        <f>IFERROR(__xludf.DUMMYFUNCTION("""COMPUTED_VALUE"""),"")</f>
        <v/>
      </c>
      <c r="D959" s="1" t="str">
        <f>IFERROR(__xludf.DUMMYFUNCTION("""COMPUTED_VALUE"""),"")</f>
        <v/>
      </c>
      <c r="E959" s="1" t="str">
        <f>IFERROR(__xludf.DUMMYFUNCTION("""COMPUTED_VALUE"""),"")</f>
        <v/>
      </c>
      <c r="F959" s="1" t="str">
        <f>IFERROR(__xludf.DUMMYFUNCTION("""COMPUTED_VALUE"""),"")</f>
        <v/>
      </c>
      <c r="G959" s="1" t="str">
        <f>IFERROR(__xludf.DUMMYFUNCTION("""COMPUTED_VALUE"""),"")</f>
        <v/>
      </c>
      <c r="H959" s="1"/>
      <c r="I959" s="1"/>
      <c r="J959" s="1"/>
      <c r="K959" s="1"/>
      <c r="L959" s="1"/>
      <c r="M959" s="1"/>
      <c r="N959" s="1"/>
      <c r="O959" s="1"/>
      <c r="P959" s="1"/>
      <c r="Q959" s="1"/>
      <c r="R959" s="1"/>
      <c r="S959" s="1"/>
      <c r="T959" s="1"/>
      <c r="U959" s="1"/>
      <c r="V959" s="1"/>
      <c r="W959" s="1"/>
      <c r="X959" s="1"/>
      <c r="Y959" s="1"/>
      <c r="Z959" s="1"/>
      <c r="AA959" s="1"/>
    </row>
    <row r="960" ht="15.75" customHeight="1">
      <c r="A960" s="1"/>
      <c r="B960" s="1" t="str">
        <f>IFERROR(__xludf.DUMMYFUNCTION("""COMPUTED_VALUE"""),"")</f>
        <v/>
      </c>
      <c r="C960" s="1" t="str">
        <f>IFERROR(__xludf.DUMMYFUNCTION("""COMPUTED_VALUE"""),"")</f>
        <v/>
      </c>
      <c r="D960" s="1" t="str">
        <f>IFERROR(__xludf.DUMMYFUNCTION("""COMPUTED_VALUE"""),"")</f>
        <v/>
      </c>
      <c r="E960" s="1" t="str">
        <f>IFERROR(__xludf.DUMMYFUNCTION("""COMPUTED_VALUE"""),"")</f>
        <v/>
      </c>
      <c r="F960" s="1" t="str">
        <f>IFERROR(__xludf.DUMMYFUNCTION("""COMPUTED_VALUE"""),"")</f>
        <v/>
      </c>
      <c r="G960" s="1" t="str">
        <f>IFERROR(__xludf.DUMMYFUNCTION("""COMPUTED_VALUE"""),"")</f>
        <v/>
      </c>
      <c r="H960" s="1"/>
      <c r="I960" s="1"/>
      <c r="J960" s="1"/>
      <c r="K960" s="1"/>
      <c r="L960" s="1"/>
      <c r="M960" s="1"/>
      <c r="N960" s="1"/>
      <c r="O960" s="1"/>
      <c r="P960" s="1"/>
      <c r="Q960" s="1"/>
      <c r="R960" s="1"/>
      <c r="S960" s="1"/>
      <c r="T960" s="1"/>
      <c r="U960" s="1"/>
      <c r="V960" s="1"/>
      <c r="W960" s="1"/>
      <c r="X960" s="1"/>
      <c r="Y960" s="1"/>
      <c r="Z960" s="1"/>
      <c r="AA960" s="1"/>
    </row>
    <row r="961" ht="15.75" customHeight="1">
      <c r="A961" s="1"/>
      <c r="B961" s="1" t="str">
        <f>IFERROR(__xludf.DUMMYFUNCTION("""COMPUTED_VALUE"""),"")</f>
        <v/>
      </c>
      <c r="C961" s="1" t="str">
        <f>IFERROR(__xludf.DUMMYFUNCTION("""COMPUTED_VALUE"""),"")</f>
        <v/>
      </c>
      <c r="D961" s="1" t="str">
        <f>IFERROR(__xludf.DUMMYFUNCTION("""COMPUTED_VALUE"""),"")</f>
        <v/>
      </c>
      <c r="E961" s="1" t="str">
        <f>IFERROR(__xludf.DUMMYFUNCTION("""COMPUTED_VALUE"""),"")</f>
        <v/>
      </c>
      <c r="F961" s="1" t="str">
        <f>IFERROR(__xludf.DUMMYFUNCTION("""COMPUTED_VALUE"""),"")</f>
        <v/>
      </c>
      <c r="G961" s="1" t="str">
        <f>IFERROR(__xludf.DUMMYFUNCTION("""COMPUTED_VALUE"""),"")</f>
        <v/>
      </c>
      <c r="H961" s="1"/>
      <c r="I961" s="1"/>
      <c r="J961" s="1"/>
      <c r="K961" s="1"/>
      <c r="L961" s="1"/>
      <c r="M961" s="1"/>
      <c r="N961" s="1"/>
      <c r="O961" s="1"/>
      <c r="P961" s="1"/>
      <c r="Q961" s="1"/>
      <c r="R961" s="1"/>
      <c r="S961" s="1"/>
      <c r="T961" s="1"/>
      <c r="U961" s="1"/>
      <c r="V961" s="1"/>
      <c r="W961" s="1"/>
      <c r="X961" s="1"/>
      <c r="Y961" s="1"/>
      <c r="Z961" s="1"/>
      <c r="AA961" s="1"/>
    </row>
    <row r="962" ht="15.75" customHeight="1">
      <c r="A962" s="1"/>
      <c r="B962" s="1" t="str">
        <f>IFERROR(__xludf.DUMMYFUNCTION("""COMPUTED_VALUE"""),"")</f>
        <v/>
      </c>
      <c r="C962" s="1" t="str">
        <f>IFERROR(__xludf.DUMMYFUNCTION("""COMPUTED_VALUE"""),"")</f>
        <v/>
      </c>
      <c r="D962" s="1" t="str">
        <f>IFERROR(__xludf.DUMMYFUNCTION("""COMPUTED_VALUE"""),"")</f>
        <v/>
      </c>
      <c r="E962" s="1" t="str">
        <f>IFERROR(__xludf.DUMMYFUNCTION("""COMPUTED_VALUE"""),"")</f>
        <v/>
      </c>
      <c r="F962" s="1" t="str">
        <f>IFERROR(__xludf.DUMMYFUNCTION("""COMPUTED_VALUE"""),"")</f>
        <v/>
      </c>
      <c r="G962" s="1" t="str">
        <f>IFERROR(__xludf.DUMMYFUNCTION("""COMPUTED_VALUE"""),"")</f>
        <v/>
      </c>
      <c r="H962" s="1"/>
      <c r="I962" s="1"/>
      <c r="J962" s="1"/>
      <c r="K962" s="1"/>
      <c r="L962" s="1"/>
      <c r="M962" s="1"/>
      <c r="N962" s="1"/>
      <c r="O962" s="1"/>
      <c r="P962" s="1"/>
      <c r="Q962" s="1"/>
      <c r="R962" s="1"/>
      <c r="S962" s="1"/>
      <c r="T962" s="1"/>
      <c r="U962" s="1"/>
      <c r="V962" s="1"/>
      <c r="W962" s="1"/>
      <c r="X962" s="1"/>
      <c r="Y962" s="1"/>
      <c r="Z962" s="1"/>
      <c r="AA962" s="1"/>
    </row>
    <row r="963" ht="15.75" customHeight="1">
      <c r="A963" s="1"/>
      <c r="B963" s="1" t="str">
        <f>IFERROR(__xludf.DUMMYFUNCTION("""COMPUTED_VALUE"""),"")</f>
        <v/>
      </c>
      <c r="C963" s="1" t="str">
        <f>IFERROR(__xludf.DUMMYFUNCTION("""COMPUTED_VALUE"""),"")</f>
        <v/>
      </c>
      <c r="D963" s="1" t="str">
        <f>IFERROR(__xludf.DUMMYFUNCTION("""COMPUTED_VALUE"""),"")</f>
        <v/>
      </c>
      <c r="E963" s="1" t="str">
        <f>IFERROR(__xludf.DUMMYFUNCTION("""COMPUTED_VALUE"""),"")</f>
        <v/>
      </c>
      <c r="F963" s="1" t="str">
        <f>IFERROR(__xludf.DUMMYFUNCTION("""COMPUTED_VALUE"""),"")</f>
        <v/>
      </c>
      <c r="G963" s="1" t="str">
        <f>IFERROR(__xludf.DUMMYFUNCTION("""COMPUTED_VALUE"""),"")</f>
        <v/>
      </c>
      <c r="H963" s="1"/>
      <c r="I963" s="1"/>
      <c r="J963" s="1"/>
      <c r="K963" s="1"/>
      <c r="L963" s="1"/>
      <c r="M963" s="1"/>
      <c r="N963" s="1"/>
      <c r="O963" s="1"/>
      <c r="P963" s="1"/>
      <c r="Q963" s="1"/>
      <c r="R963" s="1"/>
      <c r="S963" s="1"/>
      <c r="T963" s="1"/>
      <c r="U963" s="1"/>
      <c r="V963" s="1"/>
      <c r="W963" s="1"/>
      <c r="X963" s="1"/>
      <c r="Y963" s="1"/>
      <c r="Z963" s="1"/>
      <c r="AA963" s="1"/>
    </row>
    <row r="964" ht="15.75" customHeight="1">
      <c r="A964" s="1"/>
      <c r="B964" s="1" t="str">
        <f>IFERROR(__xludf.DUMMYFUNCTION("""COMPUTED_VALUE"""),"")</f>
        <v/>
      </c>
      <c r="C964" s="1" t="str">
        <f>IFERROR(__xludf.DUMMYFUNCTION("""COMPUTED_VALUE"""),"")</f>
        <v/>
      </c>
      <c r="D964" s="1" t="str">
        <f>IFERROR(__xludf.DUMMYFUNCTION("""COMPUTED_VALUE"""),"")</f>
        <v/>
      </c>
      <c r="E964" s="1" t="str">
        <f>IFERROR(__xludf.DUMMYFUNCTION("""COMPUTED_VALUE"""),"")</f>
        <v/>
      </c>
      <c r="F964" s="1" t="str">
        <f>IFERROR(__xludf.DUMMYFUNCTION("""COMPUTED_VALUE"""),"")</f>
        <v/>
      </c>
      <c r="G964" s="1" t="str">
        <f>IFERROR(__xludf.DUMMYFUNCTION("""COMPUTED_VALUE"""),"")</f>
        <v/>
      </c>
      <c r="H964" s="1"/>
      <c r="I964" s="1"/>
      <c r="J964" s="1"/>
      <c r="K964" s="1"/>
      <c r="L964" s="1"/>
      <c r="M964" s="1"/>
      <c r="N964" s="1"/>
      <c r="O964" s="1"/>
      <c r="P964" s="1"/>
      <c r="Q964" s="1"/>
      <c r="R964" s="1"/>
      <c r="S964" s="1"/>
      <c r="T964" s="1"/>
      <c r="U964" s="1"/>
      <c r="V964" s="1"/>
      <c r="W964" s="1"/>
      <c r="X964" s="1"/>
      <c r="Y964" s="1"/>
      <c r="Z964" s="1"/>
      <c r="AA964" s="1"/>
    </row>
    <row r="965" ht="15.75" customHeight="1">
      <c r="A965" s="1"/>
      <c r="B965" s="1" t="str">
        <f>IFERROR(__xludf.DUMMYFUNCTION("""COMPUTED_VALUE"""),"")</f>
        <v/>
      </c>
      <c r="C965" s="1" t="str">
        <f>IFERROR(__xludf.DUMMYFUNCTION("""COMPUTED_VALUE"""),"")</f>
        <v/>
      </c>
      <c r="D965" s="1" t="str">
        <f>IFERROR(__xludf.DUMMYFUNCTION("""COMPUTED_VALUE"""),"")</f>
        <v/>
      </c>
      <c r="E965" s="1" t="str">
        <f>IFERROR(__xludf.DUMMYFUNCTION("""COMPUTED_VALUE"""),"")</f>
        <v/>
      </c>
      <c r="F965" s="1" t="str">
        <f>IFERROR(__xludf.DUMMYFUNCTION("""COMPUTED_VALUE"""),"")</f>
        <v/>
      </c>
      <c r="G965" s="1" t="str">
        <f>IFERROR(__xludf.DUMMYFUNCTION("""COMPUTED_VALUE"""),"")</f>
        <v/>
      </c>
      <c r="H965" s="1"/>
      <c r="I965" s="1"/>
      <c r="J965" s="1"/>
      <c r="K965" s="1"/>
      <c r="L965" s="1"/>
      <c r="M965" s="1"/>
      <c r="N965" s="1"/>
      <c r="O965" s="1"/>
      <c r="P965" s="1"/>
      <c r="Q965" s="1"/>
      <c r="R965" s="1"/>
      <c r="S965" s="1"/>
      <c r="T965" s="1"/>
      <c r="U965" s="1"/>
      <c r="V965" s="1"/>
      <c r="W965" s="1"/>
      <c r="X965" s="1"/>
      <c r="Y965" s="1"/>
      <c r="Z965" s="1"/>
      <c r="AA965" s="1"/>
    </row>
    <row r="966" ht="15.75" customHeight="1">
      <c r="A966" s="1"/>
      <c r="B966" s="1" t="str">
        <f>IFERROR(__xludf.DUMMYFUNCTION("""COMPUTED_VALUE"""),"")</f>
        <v/>
      </c>
      <c r="C966" s="1" t="str">
        <f>IFERROR(__xludf.DUMMYFUNCTION("""COMPUTED_VALUE"""),"")</f>
        <v/>
      </c>
      <c r="D966" s="1" t="str">
        <f>IFERROR(__xludf.DUMMYFUNCTION("""COMPUTED_VALUE"""),"")</f>
        <v/>
      </c>
      <c r="E966" s="1" t="str">
        <f>IFERROR(__xludf.DUMMYFUNCTION("""COMPUTED_VALUE"""),"")</f>
        <v/>
      </c>
      <c r="F966" s="1" t="str">
        <f>IFERROR(__xludf.DUMMYFUNCTION("""COMPUTED_VALUE"""),"")</f>
        <v/>
      </c>
      <c r="G966" s="1" t="str">
        <f>IFERROR(__xludf.DUMMYFUNCTION("""COMPUTED_VALUE"""),"")</f>
        <v/>
      </c>
      <c r="H966" s="1"/>
      <c r="I966" s="1"/>
      <c r="J966" s="1"/>
      <c r="K966" s="1"/>
      <c r="L966" s="1"/>
      <c r="M966" s="1"/>
      <c r="N966" s="1"/>
      <c r="O966" s="1"/>
      <c r="P966" s="1"/>
      <c r="Q966" s="1"/>
      <c r="R966" s="1"/>
      <c r="S966" s="1"/>
      <c r="T966" s="1"/>
      <c r="U966" s="1"/>
      <c r="V966" s="1"/>
      <c r="W966" s="1"/>
      <c r="X966" s="1"/>
      <c r="Y966" s="1"/>
      <c r="Z966" s="1"/>
      <c r="AA966" s="1"/>
    </row>
    <row r="967" ht="15.75" customHeight="1">
      <c r="A967" s="1"/>
      <c r="B967" s="1" t="str">
        <f>IFERROR(__xludf.DUMMYFUNCTION("""COMPUTED_VALUE"""),"")</f>
        <v/>
      </c>
      <c r="C967" s="1" t="str">
        <f>IFERROR(__xludf.DUMMYFUNCTION("""COMPUTED_VALUE"""),"")</f>
        <v/>
      </c>
      <c r="D967" s="1" t="str">
        <f>IFERROR(__xludf.DUMMYFUNCTION("""COMPUTED_VALUE"""),"")</f>
        <v/>
      </c>
      <c r="E967" s="1" t="str">
        <f>IFERROR(__xludf.DUMMYFUNCTION("""COMPUTED_VALUE"""),"")</f>
        <v/>
      </c>
      <c r="F967" s="1" t="str">
        <f>IFERROR(__xludf.DUMMYFUNCTION("""COMPUTED_VALUE"""),"")</f>
        <v/>
      </c>
      <c r="G967" s="1" t="str">
        <f>IFERROR(__xludf.DUMMYFUNCTION("""COMPUTED_VALUE"""),"")</f>
        <v/>
      </c>
      <c r="H967" s="1"/>
      <c r="I967" s="1"/>
      <c r="J967" s="1"/>
      <c r="K967" s="1"/>
      <c r="L967" s="1"/>
      <c r="M967" s="1"/>
      <c r="N967" s="1"/>
      <c r="O967" s="1"/>
      <c r="P967" s="1"/>
      <c r="Q967" s="1"/>
      <c r="R967" s="1"/>
      <c r="S967" s="1"/>
      <c r="T967" s="1"/>
      <c r="U967" s="1"/>
      <c r="V967" s="1"/>
      <c r="W967" s="1"/>
      <c r="X967" s="1"/>
      <c r="Y967" s="1"/>
      <c r="Z967" s="1"/>
      <c r="AA967" s="1"/>
    </row>
    <row r="968" ht="15.75" customHeight="1">
      <c r="A968" s="1"/>
      <c r="B968" s="1" t="str">
        <f>IFERROR(__xludf.DUMMYFUNCTION("""COMPUTED_VALUE"""),"")</f>
        <v/>
      </c>
      <c r="C968" s="1" t="str">
        <f>IFERROR(__xludf.DUMMYFUNCTION("""COMPUTED_VALUE"""),"")</f>
        <v/>
      </c>
      <c r="D968" s="1" t="str">
        <f>IFERROR(__xludf.DUMMYFUNCTION("""COMPUTED_VALUE"""),"")</f>
        <v/>
      </c>
      <c r="E968" s="1" t="str">
        <f>IFERROR(__xludf.DUMMYFUNCTION("""COMPUTED_VALUE"""),"")</f>
        <v/>
      </c>
      <c r="F968" s="1" t="str">
        <f>IFERROR(__xludf.DUMMYFUNCTION("""COMPUTED_VALUE"""),"")</f>
        <v/>
      </c>
      <c r="G968" s="1" t="str">
        <f>IFERROR(__xludf.DUMMYFUNCTION("""COMPUTED_VALUE"""),"")</f>
        <v/>
      </c>
      <c r="H968" s="1"/>
      <c r="I968" s="1"/>
      <c r="J968" s="1"/>
      <c r="K968" s="1"/>
      <c r="L968" s="1"/>
      <c r="M968" s="1"/>
      <c r="N968" s="1"/>
      <c r="O968" s="1"/>
      <c r="P968" s="1"/>
      <c r="Q968" s="1"/>
      <c r="R968" s="1"/>
      <c r="S968" s="1"/>
      <c r="T968" s="1"/>
      <c r="U968" s="1"/>
      <c r="V968" s="1"/>
      <c r="W968" s="1"/>
      <c r="X968" s="1"/>
      <c r="Y968" s="1"/>
      <c r="Z968" s="1"/>
      <c r="AA968" s="1"/>
    </row>
    <row r="969" ht="15.75" customHeight="1">
      <c r="A969" s="1"/>
      <c r="B969" s="1" t="str">
        <f>IFERROR(__xludf.DUMMYFUNCTION("""COMPUTED_VALUE"""),"")</f>
        <v/>
      </c>
      <c r="C969" s="1" t="str">
        <f>IFERROR(__xludf.DUMMYFUNCTION("""COMPUTED_VALUE"""),"")</f>
        <v/>
      </c>
      <c r="D969" s="1" t="str">
        <f>IFERROR(__xludf.DUMMYFUNCTION("""COMPUTED_VALUE"""),"")</f>
        <v/>
      </c>
      <c r="E969" s="1" t="str">
        <f>IFERROR(__xludf.DUMMYFUNCTION("""COMPUTED_VALUE"""),"")</f>
        <v/>
      </c>
      <c r="F969" s="1" t="str">
        <f>IFERROR(__xludf.DUMMYFUNCTION("""COMPUTED_VALUE"""),"")</f>
        <v/>
      </c>
      <c r="G969" s="1" t="str">
        <f>IFERROR(__xludf.DUMMYFUNCTION("""COMPUTED_VALUE"""),"")</f>
        <v/>
      </c>
      <c r="H969" s="1"/>
      <c r="I969" s="1"/>
      <c r="J969" s="1"/>
      <c r="K969" s="1"/>
      <c r="L969" s="1"/>
      <c r="M969" s="1"/>
      <c r="N969" s="1"/>
      <c r="O969" s="1"/>
      <c r="P969" s="1"/>
      <c r="Q969" s="1"/>
      <c r="R969" s="1"/>
      <c r="S969" s="1"/>
      <c r="T969" s="1"/>
      <c r="U969" s="1"/>
      <c r="V969" s="1"/>
      <c r="W969" s="1"/>
      <c r="X969" s="1"/>
      <c r="Y969" s="1"/>
      <c r="Z969" s="1"/>
      <c r="AA969" s="1"/>
    </row>
    <row r="970" ht="15.75" customHeight="1">
      <c r="A970" s="1"/>
      <c r="B970" s="1" t="str">
        <f>IFERROR(__xludf.DUMMYFUNCTION("""COMPUTED_VALUE"""),"")</f>
        <v/>
      </c>
      <c r="C970" s="1" t="str">
        <f>IFERROR(__xludf.DUMMYFUNCTION("""COMPUTED_VALUE"""),"")</f>
        <v/>
      </c>
      <c r="D970" s="1" t="str">
        <f>IFERROR(__xludf.DUMMYFUNCTION("""COMPUTED_VALUE"""),"")</f>
        <v/>
      </c>
      <c r="E970" s="1" t="str">
        <f>IFERROR(__xludf.DUMMYFUNCTION("""COMPUTED_VALUE"""),"")</f>
        <v/>
      </c>
      <c r="F970" s="1" t="str">
        <f>IFERROR(__xludf.DUMMYFUNCTION("""COMPUTED_VALUE"""),"")</f>
        <v/>
      </c>
      <c r="G970" s="1" t="str">
        <f>IFERROR(__xludf.DUMMYFUNCTION("""COMPUTED_VALUE"""),"")</f>
        <v/>
      </c>
      <c r="H970" s="1"/>
      <c r="I970" s="1"/>
      <c r="J970" s="1"/>
      <c r="K970" s="1"/>
      <c r="L970" s="1"/>
      <c r="M970" s="1"/>
      <c r="N970" s="1"/>
      <c r="O970" s="1"/>
      <c r="P970" s="1"/>
      <c r="Q970" s="1"/>
      <c r="R970" s="1"/>
      <c r="S970" s="1"/>
      <c r="T970" s="1"/>
      <c r="U970" s="1"/>
      <c r="V970" s="1"/>
      <c r="W970" s="1"/>
      <c r="X970" s="1"/>
      <c r="Y970" s="1"/>
      <c r="Z970" s="1"/>
      <c r="AA970" s="1"/>
    </row>
    <row r="971" ht="15.75" customHeight="1">
      <c r="A971" s="1"/>
      <c r="B971" s="1" t="str">
        <f>IFERROR(__xludf.DUMMYFUNCTION("""COMPUTED_VALUE"""),"")</f>
        <v/>
      </c>
      <c r="C971" s="1" t="str">
        <f>IFERROR(__xludf.DUMMYFUNCTION("""COMPUTED_VALUE"""),"")</f>
        <v/>
      </c>
      <c r="D971" s="1" t="str">
        <f>IFERROR(__xludf.DUMMYFUNCTION("""COMPUTED_VALUE"""),"")</f>
        <v/>
      </c>
      <c r="E971" s="1" t="str">
        <f>IFERROR(__xludf.DUMMYFUNCTION("""COMPUTED_VALUE"""),"")</f>
        <v/>
      </c>
      <c r="F971" s="1" t="str">
        <f>IFERROR(__xludf.DUMMYFUNCTION("""COMPUTED_VALUE"""),"")</f>
        <v/>
      </c>
      <c r="G971" s="1" t="str">
        <f>IFERROR(__xludf.DUMMYFUNCTION("""COMPUTED_VALUE"""),"")</f>
        <v/>
      </c>
      <c r="H971" s="1"/>
      <c r="I971" s="1"/>
      <c r="J971" s="1"/>
      <c r="K971" s="1"/>
      <c r="L971" s="1"/>
      <c r="M971" s="1"/>
      <c r="N971" s="1"/>
      <c r="O971" s="1"/>
      <c r="P971" s="1"/>
      <c r="Q971" s="1"/>
      <c r="R971" s="1"/>
      <c r="S971" s="1"/>
      <c r="T971" s="1"/>
      <c r="U971" s="1"/>
      <c r="V971" s="1"/>
      <c r="W971" s="1"/>
      <c r="X971" s="1"/>
      <c r="Y971" s="1"/>
      <c r="Z971" s="1"/>
      <c r="AA971" s="1"/>
    </row>
    <row r="972" ht="15.75" customHeight="1">
      <c r="A972" s="1"/>
      <c r="B972" s="1" t="str">
        <f>IFERROR(__xludf.DUMMYFUNCTION("""COMPUTED_VALUE"""),"")</f>
        <v/>
      </c>
      <c r="C972" s="1" t="str">
        <f>IFERROR(__xludf.DUMMYFUNCTION("""COMPUTED_VALUE"""),"")</f>
        <v/>
      </c>
      <c r="D972" s="1" t="str">
        <f>IFERROR(__xludf.DUMMYFUNCTION("""COMPUTED_VALUE"""),"")</f>
        <v/>
      </c>
      <c r="E972" s="1" t="str">
        <f>IFERROR(__xludf.DUMMYFUNCTION("""COMPUTED_VALUE"""),"")</f>
        <v/>
      </c>
      <c r="F972" s="1" t="str">
        <f>IFERROR(__xludf.DUMMYFUNCTION("""COMPUTED_VALUE"""),"")</f>
        <v/>
      </c>
      <c r="G972" s="1" t="str">
        <f>IFERROR(__xludf.DUMMYFUNCTION("""COMPUTED_VALUE"""),"")</f>
        <v/>
      </c>
      <c r="H972" s="1"/>
      <c r="I972" s="1"/>
      <c r="J972" s="1"/>
      <c r="K972" s="1"/>
      <c r="L972" s="1"/>
      <c r="M972" s="1"/>
      <c r="N972" s="1"/>
      <c r="O972" s="1"/>
      <c r="P972" s="1"/>
      <c r="Q972" s="1"/>
      <c r="R972" s="1"/>
      <c r="S972" s="1"/>
      <c r="T972" s="1"/>
      <c r="U972" s="1"/>
      <c r="V972" s="1"/>
      <c r="W972" s="1"/>
      <c r="X972" s="1"/>
      <c r="Y972" s="1"/>
      <c r="Z972" s="1"/>
      <c r="AA972" s="1"/>
    </row>
    <row r="973" ht="15.75" customHeight="1">
      <c r="A973" s="1"/>
      <c r="B973" s="1" t="str">
        <f>IFERROR(__xludf.DUMMYFUNCTION("""COMPUTED_VALUE"""),"")</f>
        <v/>
      </c>
      <c r="C973" s="1" t="str">
        <f>IFERROR(__xludf.DUMMYFUNCTION("""COMPUTED_VALUE"""),"")</f>
        <v/>
      </c>
      <c r="D973" s="1" t="str">
        <f>IFERROR(__xludf.DUMMYFUNCTION("""COMPUTED_VALUE"""),"")</f>
        <v/>
      </c>
      <c r="E973" s="1" t="str">
        <f>IFERROR(__xludf.DUMMYFUNCTION("""COMPUTED_VALUE"""),"")</f>
        <v/>
      </c>
      <c r="F973" s="1" t="str">
        <f>IFERROR(__xludf.DUMMYFUNCTION("""COMPUTED_VALUE"""),"")</f>
        <v/>
      </c>
      <c r="G973" s="1" t="str">
        <f>IFERROR(__xludf.DUMMYFUNCTION("""COMPUTED_VALUE"""),"")</f>
        <v/>
      </c>
      <c r="H973" s="1"/>
      <c r="I973" s="1"/>
      <c r="J973" s="1"/>
      <c r="K973" s="1"/>
      <c r="L973" s="1"/>
      <c r="M973" s="1"/>
      <c r="N973" s="1"/>
      <c r="O973" s="1"/>
      <c r="P973" s="1"/>
      <c r="Q973" s="1"/>
      <c r="R973" s="1"/>
      <c r="S973" s="1"/>
      <c r="T973" s="1"/>
      <c r="U973" s="1"/>
      <c r="V973" s="1"/>
      <c r="W973" s="1"/>
      <c r="X973" s="1"/>
      <c r="Y973" s="1"/>
      <c r="Z973" s="1"/>
      <c r="AA973" s="1"/>
    </row>
    <row r="974" ht="15.75" customHeight="1">
      <c r="A974" s="1"/>
      <c r="B974" s="1" t="str">
        <f>IFERROR(__xludf.DUMMYFUNCTION("""COMPUTED_VALUE"""),"")</f>
        <v/>
      </c>
      <c r="C974" s="1" t="str">
        <f>IFERROR(__xludf.DUMMYFUNCTION("""COMPUTED_VALUE"""),"")</f>
        <v/>
      </c>
      <c r="D974" s="1" t="str">
        <f>IFERROR(__xludf.DUMMYFUNCTION("""COMPUTED_VALUE"""),"")</f>
        <v/>
      </c>
      <c r="E974" s="1" t="str">
        <f>IFERROR(__xludf.DUMMYFUNCTION("""COMPUTED_VALUE"""),"")</f>
        <v/>
      </c>
      <c r="F974" s="1" t="str">
        <f>IFERROR(__xludf.DUMMYFUNCTION("""COMPUTED_VALUE"""),"")</f>
        <v/>
      </c>
      <c r="G974" s="1" t="str">
        <f>IFERROR(__xludf.DUMMYFUNCTION("""COMPUTED_VALUE"""),"")</f>
        <v/>
      </c>
      <c r="H974" s="1"/>
      <c r="I974" s="1"/>
      <c r="J974" s="1"/>
      <c r="K974" s="1"/>
      <c r="L974" s="1"/>
      <c r="M974" s="1"/>
      <c r="N974" s="1"/>
      <c r="O974" s="1"/>
      <c r="P974" s="1"/>
      <c r="Q974" s="1"/>
      <c r="R974" s="1"/>
      <c r="S974" s="1"/>
      <c r="T974" s="1"/>
      <c r="U974" s="1"/>
      <c r="V974" s="1"/>
      <c r="W974" s="1"/>
      <c r="X974" s="1"/>
      <c r="Y974" s="1"/>
      <c r="Z974" s="1"/>
      <c r="AA974" s="1"/>
    </row>
    <row r="975" ht="15.75" customHeight="1">
      <c r="A975" s="1"/>
      <c r="B975" s="1" t="str">
        <f>IFERROR(__xludf.DUMMYFUNCTION("""COMPUTED_VALUE"""),"")</f>
        <v/>
      </c>
      <c r="C975" s="1" t="str">
        <f>IFERROR(__xludf.DUMMYFUNCTION("""COMPUTED_VALUE"""),"")</f>
        <v/>
      </c>
      <c r="D975" s="1" t="str">
        <f>IFERROR(__xludf.DUMMYFUNCTION("""COMPUTED_VALUE"""),"")</f>
        <v/>
      </c>
      <c r="E975" s="1" t="str">
        <f>IFERROR(__xludf.DUMMYFUNCTION("""COMPUTED_VALUE"""),"")</f>
        <v/>
      </c>
      <c r="F975" s="1" t="str">
        <f>IFERROR(__xludf.DUMMYFUNCTION("""COMPUTED_VALUE"""),"")</f>
        <v/>
      </c>
      <c r="G975" s="1" t="str">
        <f>IFERROR(__xludf.DUMMYFUNCTION("""COMPUTED_VALUE"""),"")</f>
        <v/>
      </c>
      <c r="H975" s="1"/>
      <c r="I975" s="1"/>
      <c r="J975" s="1"/>
      <c r="K975" s="1"/>
      <c r="L975" s="1"/>
      <c r="M975" s="1"/>
      <c r="N975" s="1"/>
      <c r="O975" s="1"/>
      <c r="P975" s="1"/>
      <c r="Q975" s="1"/>
      <c r="R975" s="1"/>
      <c r="S975" s="1"/>
      <c r="T975" s="1"/>
      <c r="U975" s="1"/>
      <c r="V975" s="1"/>
      <c r="W975" s="1"/>
      <c r="X975" s="1"/>
      <c r="Y975" s="1"/>
      <c r="Z975" s="1"/>
      <c r="AA975" s="1"/>
    </row>
    <row r="976" ht="15.75" customHeight="1">
      <c r="A976" s="1"/>
      <c r="B976" s="1" t="str">
        <f>IFERROR(__xludf.DUMMYFUNCTION("""COMPUTED_VALUE"""),"")</f>
        <v/>
      </c>
      <c r="C976" s="1" t="str">
        <f>IFERROR(__xludf.DUMMYFUNCTION("""COMPUTED_VALUE"""),"")</f>
        <v/>
      </c>
      <c r="D976" s="1" t="str">
        <f>IFERROR(__xludf.DUMMYFUNCTION("""COMPUTED_VALUE"""),"")</f>
        <v/>
      </c>
      <c r="E976" s="1" t="str">
        <f>IFERROR(__xludf.DUMMYFUNCTION("""COMPUTED_VALUE"""),"")</f>
        <v/>
      </c>
      <c r="F976" s="1" t="str">
        <f>IFERROR(__xludf.DUMMYFUNCTION("""COMPUTED_VALUE"""),"")</f>
        <v/>
      </c>
      <c r="G976" s="1" t="str">
        <f>IFERROR(__xludf.DUMMYFUNCTION("""COMPUTED_VALUE"""),"")</f>
        <v/>
      </c>
      <c r="H976" s="1"/>
      <c r="I976" s="1"/>
      <c r="J976" s="1"/>
      <c r="K976" s="1"/>
      <c r="L976" s="1"/>
      <c r="M976" s="1"/>
      <c r="N976" s="1"/>
      <c r="O976" s="1"/>
      <c r="P976" s="1"/>
      <c r="Q976" s="1"/>
      <c r="R976" s="1"/>
      <c r="S976" s="1"/>
      <c r="T976" s="1"/>
      <c r="U976" s="1"/>
      <c r="V976" s="1"/>
      <c r="W976" s="1"/>
      <c r="X976" s="1"/>
      <c r="Y976" s="1"/>
      <c r="Z976" s="1"/>
      <c r="AA976" s="1"/>
    </row>
    <row r="977" ht="15.75" customHeight="1">
      <c r="A977" s="1"/>
      <c r="B977" s="1" t="str">
        <f>IFERROR(__xludf.DUMMYFUNCTION("""COMPUTED_VALUE"""),"")</f>
        <v/>
      </c>
      <c r="C977" s="1" t="str">
        <f>IFERROR(__xludf.DUMMYFUNCTION("""COMPUTED_VALUE"""),"")</f>
        <v/>
      </c>
      <c r="D977" s="1" t="str">
        <f>IFERROR(__xludf.DUMMYFUNCTION("""COMPUTED_VALUE"""),"")</f>
        <v/>
      </c>
      <c r="E977" s="1" t="str">
        <f>IFERROR(__xludf.DUMMYFUNCTION("""COMPUTED_VALUE"""),"")</f>
        <v/>
      </c>
      <c r="F977" s="1" t="str">
        <f>IFERROR(__xludf.DUMMYFUNCTION("""COMPUTED_VALUE"""),"")</f>
        <v/>
      </c>
      <c r="G977" s="1" t="str">
        <f>IFERROR(__xludf.DUMMYFUNCTION("""COMPUTED_VALUE"""),"")</f>
        <v/>
      </c>
      <c r="H977" s="1"/>
      <c r="I977" s="1"/>
      <c r="J977" s="1"/>
      <c r="K977" s="1"/>
      <c r="L977" s="1"/>
      <c r="M977" s="1"/>
      <c r="N977" s="1"/>
      <c r="O977" s="1"/>
      <c r="P977" s="1"/>
      <c r="Q977" s="1"/>
      <c r="R977" s="1"/>
      <c r="S977" s="1"/>
      <c r="T977" s="1"/>
      <c r="U977" s="1"/>
      <c r="V977" s="1"/>
      <c r="W977" s="1"/>
      <c r="X977" s="1"/>
      <c r="Y977" s="1"/>
      <c r="Z977" s="1"/>
      <c r="AA977" s="1"/>
    </row>
    <row r="978" ht="15.75" customHeight="1">
      <c r="A978" s="1"/>
      <c r="B978" s="1" t="str">
        <f>IFERROR(__xludf.DUMMYFUNCTION("""COMPUTED_VALUE"""),"")</f>
        <v/>
      </c>
      <c r="C978" s="1" t="str">
        <f>IFERROR(__xludf.DUMMYFUNCTION("""COMPUTED_VALUE"""),"")</f>
        <v/>
      </c>
      <c r="D978" s="1" t="str">
        <f>IFERROR(__xludf.DUMMYFUNCTION("""COMPUTED_VALUE"""),"")</f>
        <v/>
      </c>
      <c r="E978" s="1" t="str">
        <f>IFERROR(__xludf.DUMMYFUNCTION("""COMPUTED_VALUE"""),"")</f>
        <v/>
      </c>
      <c r="F978" s="1" t="str">
        <f>IFERROR(__xludf.DUMMYFUNCTION("""COMPUTED_VALUE"""),"")</f>
        <v/>
      </c>
      <c r="G978" s="1" t="str">
        <f>IFERROR(__xludf.DUMMYFUNCTION("""COMPUTED_VALUE"""),"")</f>
        <v/>
      </c>
      <c r="H978" s="1"/>
      <c r="I978" s="1"/>
      <c r="J978" s="1"/>
      <c r="K978" s="1"/>
      <c r="L978" s="1"/>
      <c r="M978" s="1"/>
      <c r="N978" s="1"/>
      <c r="O978" s="1"/>
      <c r="P978" s="1"/>
      <c r="Q978" s="1"/>
      <c r="R978" s="1"/>
      <c r="S978" s="1"/>
      <c r="T978" s="1"/>
      <c r="U978" s="1"/>
      <c r="V978" s="1"/>
      <c r="W978" s="1"/>
      <c r="X978" s="1"/>
      <c r="Y978" s="1"/>
      <c r="Z978" s="1"/>
      <c r="AA978" s="1"/>
    </row>
    <row r="979" ht="15.75" customHeight="1">
      <c r="A979" s="1"/>
      <c r="B979" s="1" t="str">
        <f>IFERROR(__xludf.DUMMYFUNCTION("""COMPUTED_VALUE"""),"")</f>
        <v/>
      </c>
      <c r="C979" s="1" t="str">
        <f>IFERROR(__xludf.DUMMYFUNCTION("""COMPUTED_VALUE"""),"")</f>
        <v/>
      </c>
      <c r="D979" s="1" t="str">
        <f>IFERROR(__xludf.DUMMYFUNCTION("""COMPUTED_VALUE"""),"")</f>
        <v/>
      </c>
      <c r="E979" s="1" t="str">
        <f>IFERROR(__xludf.DUMMYFUNCTION("""COMPUTED_VALUE"""),"")</f>
        <v/>
      </c>
      <c r="F979" s="1" t="str">
        <f>IFERROR(__xludf.DUMMYFUNCTION("""COMPUTED_VALUE"""),"")</f>
        <v/>
      </c>
      <c r="G979" s="1" t="str">
        <f>IFERROR(__xludf.DUMMYFUNCTION("""COMPUTED_VALUE"""),"")</f>
        <v/>
      </c>
      <c r="H979" s="1"/>
      <c r="I979" s="1"/>
      <c r="J979" s="1"/>
      <c r="K979" s="1"/>
      <c r="L979" s="1"/>
      <c r="M979" s="1"/>
      <c r="N979" s="1"/>
      <c r="O979" s="1"/>
      <c r="P979" s="1"/>
      <c r="Q979" s="1"/>
      <c r="R979" s="1"/>
      <c r="S979" s="1"/>
      <c r="T979" s="1"/>
      <c r="U979" s="1"/>
      <c r="V979" s="1"/>
      <c r="W979" s="1"/>
      <c r="X979" s="1"/>
      <c r="Y979" s="1"/>
      <c r="Z979" s="1"/>
      <c r="AA979" s="1"/>
    </row>
    <row r="980" ht="15.75" customHeight="1">
      <c r="A980" s="1"/>
      <c r="B980" s="1" t="str">
        <f>IFERROR(__xludf.DUMMYFUNCTION("""COMPUTED_VALUE"""),"")</f>
        <v/>
      </c>
      <c r="C980" s="1" t="str">
        <f>IFERROR(__xludf.DUMMYFUNCTION("""COMPUTED_VALUE"""),"")</f>
        <v/>
      </c>
      <c r="D980" s="1" t="str">
        <f>IFERROR(__xludf.DUMMYFUNCTION("""COMPUTED_VALUE"""),"")</f>
        <v/>
      </c>
      <c r="E980" s="1" t="str">
        <f>IFERROR(__xludf.DUMMYFUNCTION("""COMPUTED_VALUE"""),"")</f>
        <v/>
      </c>
      <c r="F980" s="1" t="str">
        <f>IFERROR(__xludf.DUMMYFUNCTION("""COMPUTED_VALUE"""),"")</f>
        <v/>
      </c>
      <c r="G980" s="1" t="str">
        <f>IFERROR(__xludf.DUMMYFUNCTION("""COMPUTED_VALUE"""),"")</f>
        <v/>
      </c>
      <c r="H980" s="1"/>
      <c r="I980" s="1"/>
      <c r="J980" s="1"/>
      <c r="K980" s="1"/>
      <c r="L980" s="1"/>
      <c r="M980" s="1"/>
      <c r="N980" s="1"/>
      <c r="O980" s="1"/>
      <c r="P980" s="1"/>
      <c r="Q980" s="1"/>
      <c r="R980" s="1"/>
      <c r="S980" s="1"/>
      <c r="T980" s="1"/>
      <c r="U980" s="1"/>
      <c r="V980" s="1"/>
      <c r="W980" s="1"/>
      <c r="X980" s="1"/>
      <c r="Y980" s="1"/>
      <c r="Z980" s="1"/>
      <c r="AA980" s="1"/>
    </row>
    <row r="981" ht="15.75" customHeight="1">
      <c r="A981" s="1"/>
      <c r="B981" s="1" t="str">
        <f>IFERROR(__xludf.DUMMYFUNCTION("""COMPUTED_VALUE"""),"")</f>
        <v/>
      </c>
      <c r="C981" s="1" t="str">
        <f>IFERROR(__xludf.DUMMYFUNCTION("""COMPUTED_VALUE"""),"")</f>
        <v/>
      </c>
      <c r="D981" s="1" t="str">
        <f>IFERROR(__xludf.DUMMYFUNCTION("""COMPUTED_VALUE"""),"")</f>
        <v/>
      </c>
      <c r="E981" s="1" t="str">
        <f>IFERROR(__xludf.DUMMYFUNCTION("""COMPUTED_VALUE"""),"")</f>
        <v/>
      </c>
      <c r="F981" s="1" t="str">
        <f>IFERROR(__xludf.DUMMYFUNCTION("""COMPUTED_VALUE"""),"")</f>
        <v/>
      </c>
      <c r="G981" s="1" t="str">
        <f>IFERROR(__xludf.DUMMYFUNCTION("""COMPUTED_VALUE"""),"")</f>
        <v/>
      </c>
      <c r="H981" s="1"/>
      <c r="I981" s="1"/>
      <c r="J981" s="1"/>
      <c r="K981" s="1"/>
      <c r="L981" s="1"/>
      <c r="M981" s="1"/>
      <c r="N981" s="1"/>
      <c r="O981" s="1"/>
      <c r="P981" s="1"/>
      <c r="Q981" s="1"/>
      <c r="R981" s="1"/>
      <c r="S981" s="1"/>
      <c r="T981" s="1"/>
      <c r="U981" s="1"/>
      <c r="V981" s="1"/>
      <c r="W981" s="1"/>
      <c r="X981" s="1"/>
      <c r="Y981" s="1"/>
      <c r="Z981" s="1"/>
      <c r="AA981" s="1"/>
    </row>
    <row r="982" ht="15.75" customHeight="1">
      <c r="A982" s="1"/>
      <c r="B982" s="1" t="str">
        <f>IFERROR(__xludf.DUMMYFUNCTION("""COMPUTED_VALUE"""),"")</f>
        <v/>
      </c>
      <c r="C982" s="1" t="str">
        <f>IFERROR(__xludf.DUMMYFUNCTION("""COMPUTED_VALUE"""),"")</f>
        <v/>
      </c>
      <c r="D982" s="1" t="str">
        <f>IFERROR(__xludf.DUMMYFUNCTION("""COMPUTED_VALUE"""),"")</f>
        <v/>
      </c>
      <c r="E982" s="1" t="str">
        <f>IFERROR(__xludf.DUMMYFUNCTION("""COMPUTED_VALUE"""),"")</f>
        <v/>
      </c>
      <c r="F982" s="1" t="str">
        <f>IFERROR(__xludf.DUMMYFUNCTION("""COMPUTED_VALUE"""),"")</f>
        <v/>
      </c>
      <c r="G982" s="1" t="str">
        <f>IFERROR(__xludf.DUMMYFUNCTION("""COMPUTED_VALUE"""),"")</f>
        <v/>
      </c>
      <c r="H982" s="1"/>
      <c r="I982" s="1"/>
      <c r="J982" s="1"/>
      <c r="K982" s="1"/>
      <c r="L982" s="1"/>
      <c r="M982" s="1"/>
      <c r="N982" s="1"/>
      <c r="O982" s="1"/>
      <c r="P982" s="1"/>
      <c r="Q982" s="1"/>
      <c r="R982" s="1"/>
      <c r="S982" s="1"/>
      <c r="T982" s="1"/>
      <c r="U982" s="1"/>
      <c r="V982" s="1"/>
      <c r="W982" s="1"/>
      <c r="X982" s="1"/>
      <c r="Y982" s="1"/>
      <c r="Z982" s="1"/>
      <c r="AA982" s="1"/>
    </row>
    <row r="983" ht="15.75" customHeight="1">
      <c r="A983" s="1"/>
      <c r="B983" s="1" t="str">
        <f>IFERROR(__xludf.DUMMYFUNCTION("""COMPUTED_VALUE"""),"")</f>
        <v/>
      </c>
      <c r="C983" s="1" t="str">
        <f>IFERROR(__xludf.DUMMYFUNCTION("""COMPUTED_VALUE"""),"")</f>
        <v/>
      </c>
      <c r="D983" s="1" t="str">
        <f>IFERROR(__xludf.DUMMYFUNCTION("""COMPUTED_VALUE"""),"")</f>
        <v/>
      </c>
      <c r="E983" s="1" t="str">
        <f>IFERROR(__xludf.DUMMYFUNCTION("""COMPUTED_VALUE"""),"")</f>
        <v/>
      </c>
      <c r="F983" s="1" t="str">
        <f>IFERROR(__xludf.DUMMYFUNCTION("""COMPUTED_VALUE"""),"")</f>
        <v/>
      </c>
      <c r="G983" s="1" t="str">
        <f>IFERROR(__xludf.DUMMYFUNCTION("""COMPUTED_VALUE"""),"")</f>
        <v/>
      </c>
      <c r="H983" s="1"/>
      <c r="I983" s="1"/>
      <c r="J983" s="1"/>
      <c r="K983" s="1"/>
      <c r="L983" s="1"/>
      <c r="M983" s="1"/>
      <c r="N983" s="1"/>
      <c r="O983" s="1"/>
      <c r="P983" s="1"/>
      <c r="Q983" s="1"/>
      <c r="R983" s="1"/>
      <c r="S983" s="1"/>
      <c r="T983" s="1"/>
      <c r="U983" s="1"/>
      <c r="V983" s="1"/>
      <c r="W983" s="1"/>
      <c r="X983" s="1"/>
      <c r="Y983" s="1"/>
      <c r="Z983" s="1"/>
      <c r="AA983" s="1"/>
    </row>
    <row r="984" ht="15.75" customHeight="1">
      <c r="A984" s="1"/>
      <c r="B984" s="1" t="str">
        <f>IFERROR(__xludf.DUMMYFUNCTION("""COMPUTED_VALUE"""),"")</f>
        <v/>
      </c>
      <c r="C984" s="1" t="str">
        <f>IFERROR(__xludf.DUMMYFUNCTION("""COMPUTED_VALUE"""),"")</f>
        <v/>
      </c>
      <c r="D984" s="1" t="str">
        <f>IFERROR(__xludf.DUMMYFUNCTION("""COMPUTED_VALUE"""),"")</f>
        <v/>
      </c>
      <c r="E984" s="1" t="str">
        <f>IFERROR(__xludf.DUMMYFUNCTION("""COMPUTED_VALUE"""),"")</f>
        <v/>
      </c>
      <c r="F984" s="1" t="str">
        <f>IFERROR(__xludf.DUMMYFUNCTION("""COMPUTED_VALUE"""),"")</f>
        <v/>
      </c>
      <c r="G984" s="1" t="str">
        <f>IFERROR(__xludf.DUMMYFUNCTION("""COMPUTED_VALUE"""),"")</f>
        <v/>
      </c>
      <c r="H984" s="1"/>
      <c r="I984" s="1"/>
      <c r="J984" s="1"/>
      <c r="K984" s="1"/>
      <c r="L984" s="1"/>
      <c r="M984" s="1"/>
      <c r="N984" s="1"/>
      <c r="O984" s="1"/>
      <c r="P984" s="1"/>
      <c r="Q984" s="1"/>
      <c r="R984" s="1"/>
      <c r="S984" s="1"/>
      <c r="T984" s="1"/>
      <c r="U984" s="1"/>
      <c r="V984" s="1"/>
      <c r="W984" s="1"/>
      <c r="X984" s="1"/>
      <c r="Y984" s="1"/>
      <c r="Z984" s="1"/>
      <c r="AA984" s="1"/>
    </row>
    <row r="985" ht="15.75" customHeight="1">
      <c r="A985" s="1"/>
      <c r="B985" s="1" t="str">
        <f>IFERROR(__xludf.DUMMYFUNCTION("""COMPUTED_VALUE"""),"")</f>
        <v/>
      </c>
      <c r="C985" s="1" t="str">
        <f>IFERROR(__xludf.DUMMYFUNCTION("""COMPUTED_VALUE"""),"")</f>
        <v/>
      </c>
      <c r="D985" s="1" t="str">
        <f>IFERROR(__xludf.DUMMYFUNCTION("""COMPUTED_VALUE"""),"")</f>
        <v/>
      </c>
      <c r="E985" s="1" t="str">
        <f>IFERROR(__xludf.DUMMYFUNCTION("""COMPUTED_VALUE"""),"")</f>
        <v/>
      </c>
      <c r="F985" s="1" t="str">
        <f>IFERROR(__xludf.DUMMYFUNCTION("""COMPUTED_VALUE"""),"")</f>
        <v/>
      </c>
      <c r="G985" s="1" t="str">
        <f>IFERROR(__xludf.DUMMYFUNCTION("""COMPUTED_VALUE"""),"")</f>
        <v/>
      </c>
      <c r="H985" s="1"/>
      <c r="I985" s="1"/>
      <c r="J985" s="1"/>
      <c r="K985" s="1"/>
      <c r="L985" s="1"/>
      <c r="M985" s="1"/>
      <c r="N985" s="1"/>
      <c r="O985" s="1"/>
      <c r="P985" s="1"/>
      <c r="Q985" s="1"/>
      <c r="R985" s="1"/>
      <c r="S985" s="1"/>
      <c r="T985" s="1"/>
      <c r="U985" s="1"/>
      <c r="V985" s="1"/>
      <c r="W985" s="1"/>
      <c r="X985" s="1"/>
      <c r="Y985" s="1"/>
      <c r="Z985" s="1"/>
      <c r="AA985" s="1"/>
    </row>
    <row r="986" ht="15.75" customHeight="1">
      <c r="A986" s="1"/>
      <c r="B986" s="1" t="str">
        <f>IFERROR(__xludf.DUMMYFUNCTION("""COMPUTED_VALUE"""),"")</f>
        <v/>
      </c>
      <c r="C986" s="1" t="str">
        <f>IFERROR(__xludf.DUMMYFUNCTION("""COMPUTED_VALUE"""),"")</f>
        <v/>
      </c>
      <c r="D986" s="1" t="str">
        <f>IFERROR(__xludf.DUMMYFUNCTION("""COMPUTED_VALUE"""),"")</f>
        <v/>
      </c>
      <c r="E986" s="1" t="str">
        <f>IFERROR(__xludf.DUMMYFUNCTION("""COMPUTED_VALUE"""),"")</f>
        <v/>
      </c>
      <c r="F986" s="1" t="str">
        <f>IFERROR(__xludf.DUMMYFUNCTION("""COMPUTED_VALUE"""),"")</f>
        <v/>
      </c>
      <c r="G986" s="1" t="str">
        <f>IFERROR(__xludf.DUMMYFUNCTION("""COMPUTED_VALUE"""),"")</f>
        <v/>
      </c>
      <c r="H986" s="1"/>
      <c r="I986" s="1"/>
      <c r="J986" s="1"/>
      <c r="K986" s="1"/>
      <c r="L986" s="1"/>
      <c r="M986" s="1"/>
      <c r="N986" s="1"/>
      <c r="O986" s="1"/>
      <c r="P986" s="1"/>
      <c r="Q986" s="1"/>
      <c r="R986" s="1"/>
      <c r="S986" s="1"/>
      <c r="T986" s="1"/>
      <c r="U986" s="1"/>
      <c r="V986" s="1"/>
      <c r="W986" s="1"/>
      <c r="X986" s="1"/>
      <c r="Y986" s="1"/>
      <c r="Z986" s="1"/>
      <c r="AA986" s="1"/>
    </row>
    <row r="987" ht="15.75" customHeight="1">
      <c r="A987" s="1"/>
      <c r="B987" s="1" t="str">
        <f>IFERROR(__xludf.DUMMYFUNCTION("""COMPUTED_VALUE"""),"")</f>
        <v/>
      </c>
      <c r="C987" s="1" t="str">
        <f>IFERROR(__xludf.DUMMYFUNCTION("""COMPUTED_VALUE"""),"")</f>
        <v/>
      </c>
      <c r="D987" s="1" t="str">
        <f>IFERROR(__xludf.DUMMYFUNCTION("""COMPUTED_VALUE"""),"")</f>
        <v/>
      </c>
      <c r="E987" s="1" t="str">
        <f>IFERROR(__xludf.DUMMYFUNCTION("""COMPUTED_VALUE"""),"")</f>
        <v/>
      </c>
      <c r="F987" s="1" t="str">
        <f>IFERROR(__xludf.DUMMYFUNCTION("""COMPUTED_VALUE"""),"")</f>
        <v/>
      </c>
      <c r="G987" s="1" t="str">
        <f>IFERROR(__xludf.DUMMYFUNCTION("""COMPUTED_VALUE"""),"")</f>
        <v/>
      </c>
      <c r="H987" s="1"/>
      <c r="I987" s="1"/>
      <c r="J987" s="1"/>
      <c r="K987" s="1"/>
      <c r="L987" s="1"/>
      <c r="M987" s="1"/>
      <c r="N987" s="1"/>
      <c r="O987" s="1"/>
      <c r="P987" s="1"/>
      <c r="Q987" s="1"/>
      <c r="R987" s="1"/>
      <c r="S987" s="1"/>
      <c r="T987" s="1"/>
      <c r="U987" s="1"/>
      <c r="V987" s="1"/>
      <c r="W987" s="1"/>
      <c r="X987" s="1"/>
      <c r="Y987" s="1"/>
      <c r="Z987" s="1"/>
      <c r="AA987" s="1"/>
    </row>
    <row r="988" ht="15.75" customHeight="1">
      <c r="A988" s="1"/>
      <c r="B988" s="1" t="str">
        <f>IFERROR(__xludf.DUMMYFUNCTION("""COMPUTED_VALUE"""),"")</f>
        <v/>
      </c>
      <c r="C988" s="1" t="str">
        <f>IFERROR(__xludf.DUMMYFUNCTION("""COMPUTED_VALUE"""),"")</f>
        <v/>
      </c>
      <c r="D988" s="1" t="str">
        <f>IFERROR(__xludf.DUMMYFUNCTION("""COMPUTED_VALUE"""),"")</f>
        <v/>
      </c>
      <c r="E988" s="1" t="str">
        <f>IFERROR(__xludf.DUMMYFUNCTION("""COMPUTED_VALUE"""),"")</f>
        <v/>
      </c>
      <c r="F988" s="1" t="str">
        <f>IFERROR(__xludf.DUMMYFUNCTION("""COMPUTED_VALUE"""),"")</f>
        <v/>
      </c>
      <c r="G988" s="1" t="str">
        <f>IFERROR(__xludf.DUMMYFUNCTION("""COMPUTED_VALUE"""),"")</f>
        <v/>
      </c>
      <c r="H988" s="1"/>
      <c r="I988" s="1"/>
      <c r="J988" s="1"/>
      <c r="K988" s="1"/>
      <c r="L988" s="1"/>
      <c r="M988" s="1"/>
      <c r="N988" s="1"/>
      <c r="O988" s="1"/>
      <c r="P988" s="1"/>
      <c r="Q988" s="1"/>
      <c r="R988" s="1"/>
      <c r="S988" s="1"/>
      <c r="T988" s="1"/>
      <c r="U988" s="1"/>
      <c r="V988" s="1"/>
      <c r="W988" s="1"/>
      <c r="X988" s="1"/>
      <c r="Y988" s="1"/>
      <c r="Z988" s="1"/>
      <c r="AA988" s="1"/>
    </row>
    <row r="989" ht="15.75" customHeight="1">
      <c r="A989" s="1"/>
      <c r="B989" s="1" t="str">
        <f>IFERROR(__xludf.DUMMYFUNCTION("""COMPUTED_VALUE"""),"")</f>
        <v/>
      </c>
      <c r="C989" s="1" t="str">
        <f>IFERROR(__xludf.DUMMYFUNCTION("""COMPUTED_VALUE"""),"")</f>
        <v/>
      </c>
      <c r="D989" s="1" t="str">
        <f>IFERROR(__xludf.DUMMYFUNCTION("""COMPUTED_VALUE"""),"")</f>
        <v/>
      </c>
      <c r="E989" s="1" t="str">
        <f>IFERROR(__xludf.DUMMYFUNCTION("""COMPUTED_VALUE"""),"")</f>
        <v/>
      </c>
      <c r="F989" s="1" t="str">
        <f>IFERROR(__xludf.DUMMYFUNCTION("""COMPUTED_VALUE"""),"")</f>
        <v/>
      </c>
      <c r="G989" s="1" t="str">
        <f>IFERROR(__xludf.DUMMYFUNCTION("""COMPUTED_VALUE"""),"")</f>
        <v/>
      </c>
      <c r="H989" s="1"/>
      <c r="I989" s="1"/>
      <c r="J989" s="1"/>
      <c r="K989" s="1"/>
      <c r="L989" s="1"/>
      <c r="M989" s="1"/>
      <c r="N989" s="1"/>
      <c r="O989" s="1"/>
      <c r="P989" s="1"/>
      <c r="Q989" s="1"/>
      <c r="R989" s="1"/>
      <c r="S989" s="1"/>
      <c r="T989" s="1"/>
      <c r="U989" s="1"/>
      <c r="V989" s="1"/>
      <c r="W989" s="1"/>
      <c r="X989" s="1"/>
      <c r="Y989" s="1"/>
      <c r="Z989" s="1"/>
      <c r="AA989" s="1"/>
    </row>
    <row r="990" ht="15.75" customHeight="1">
      <c r="A990" s="1"/>
      <c r="B990" s="1" t="str">
        <f>IFERROR(__xludf.DUMMYFUNCTION("""COMPUTED_VALUE"""),"")</f>
        <v/>
      </c>
      <c r="C990" s="1" t="str">
        <f>IFERROR(__xludf.DUMMYFUNCTION("""COMPUTED_VALUE"""),"")</f>
        <v/>
      </c>
      <c r="D990" s="1" t="str">
        <f>IFERROR(__xludf.DUMMYFUNCTION("""COMPUTED_VALUE"""),"")</f>
        <v/>
      </c>
      <c r="E990" s="1" t="str">
        <f>IFERROR(__xludf.DUMMYFUNCTION("""COMPUTED_VALUE"""),"")</f>
        <v/>
      </c>
      <c r="F990" s="1" t="str">
        <f>IFERROR(__xludf.DUMMYFUNCTION("""COMPUTED_VALUE"""),"")</f>
        <v/>
      </c>
      <c r="G990" s="1" t="str">
        <f>IFERROR(__xludf.DUMMYFUNCTION("""COMPUTED_VALUE"""),"")</f>
        <v/>
      </c>
      <c r="H990" s="1"/>
      <c r="I990" s="1"/>
      <c r="J990" s="1"/>
      <c r="K990" s="1"/>
      <c r="L990" s="1"/>
      <c r="M990" s="1"/>
      <c r="N990" s="1"/>
      <c r="O990" s="1"/>
      <c r="P990" s="1"/>
      <c r="Q990" s="1"/>
      <c r="R990" s="1"/>
      <c r="S990" s="1"/>
      <c r="T990" s="1"/>
      <c r="U990" s="1"/>
      <c r="V990" s="1"/>
      <c r="W990" s="1"/>
      <c r="X990" s="1"/>
      <c r="Y990" s="1"/>
      <c r="Z990" s="1"/>
      <c r="AA990" s="1"/>
    </row>
    <row r="991" ht="15.75" customHeight="1">
      <c r="A991" s="1"/>
      <c r="B991" s="1" t="str">
        <f>IFERROR(__xludf.DUMMYFUNCTION("""COMPUTED_VALUE"""),"")</f>
        <v/>
      </c>
      <c r="C991" s="1" t="str">
        <f>IFERROR(__xludf.DUMMYFUNCTION("""COMPUTED_VALUE"""),"")</f>
        <v/>
      </c>
      <c r="D991" s="1" t="str">
        <f>IFERROR(__xludf.DUMMYFUNCTION("""COMPUTED_VALUE"""),"")</f>
        <v/>
      </c>
      <c r="E991" s="1" t="str">
        <f>IFERROR(__xludf.DUMMYFUNCTION("""COMPUTED_VALUE"""),"")</f>
        <v/>
      </c>
      <c r="F991" s="1" t="str">
        <f>IFERROR(__xludf.DUMMYFUNCTION("""COMPUTED_VALUE"""),"")</f>
        <v/>
      </c>
      <c r="G991" s="1" t="str">
        <f>IFERROR(__xludf.DUMMYFUNCTION("""COMPUTED_VALUE"""),"")</f>
        <v/>
      </c>
      <c r="H991" s="1"/>
      <c r="I991" s="1"/>
      <c r="J991" s="1"/>
      <c r="K991" s="1"/>
      <c r="L991" s="1"/>
      <c r="M991" s="1"/>
      <c r="N991" s="1"/>
      <c r="O991" s="1"/>
      <c r="P991" s="1"/>
      <c r="Q991" s="1"/>
      <c r="R991" s="1"/>
      <c r="S991" s="1"/>
      <c r="T991" s="1"/>
      <c r="U991" s="1"/>
      <c r="V991" s="1"/>
      <c r="W991" s="1"/>
      <c r="X991" s="1"/>
      <c r="Y991" s="1"/>
      <c r="Z991" s="1"/>
      <c r="AA991" s="1"/>
    </row>
    <row r="992" ht="15.75" customHeight="1">
      <c r="A992" s="1"/>
      <c r="B992" s="1" t="str">
        <f>IFERROR(__xludf.DUMMYFUNCTION("""COMPUTED_VALUE"""),"")</f>
        <v/>
      </c>
      <c r="C992" s="1" t="str">
        <f>IFERROR(__xludf.DUMMYFUNCTION("""COMPUTED_VALUE"""),"")</f>
        <v/>
      </c>
      <c r="D992" s="1" t="str">
        <f>IFERROR(__xludf.DUMMYFUNCTION("""COMPUTED_VALUE"""),"")</f>
        <v/>
      </c>
      <c r="E992" s="1" t="str">
        <f>IFERROR(__xludf.DUMMYFUNCTION("""COMPUTED_VALUE"""),"")</f>
        <v/>
      </c>
      <c r="F992" s="1" t="str">
        <f>IFERROR(__xludf.DUMMYFUNCTION("""COMPUTED_VALUE"""),"")</f>
        <v/>
      </c>
      <c r="G992" s="1" t="str">
        <f>IFERROR(__xludf.DUMMYFUNCTION("""COMPUTED_VALUE"""),"")</f>
        <v/>
      </c>
      <c r="H992" s="1"/>
      <c r="I992" s="1"/>
      <c r="J992" s="1"/>
      <c r="K992" s="1"/>
      <c r="L992" s="1"/>
      <c r="M992" s="1"/>
      <c r="N992" s="1"/>
      <c r="O992" s="1"/>
      <c r="P992" s="1"/>
      <c r="Q992" s="1"/>
      <c r="R992" s="1"/>
      <c r="S992" s="1"/>
      <c r="T992" s="1"/>
      <c r="U992" s="1"/>
      <c r="V992" s="1"/>
      <c r="W992" s="1"/>
      <c r="X992" s="1"/>
      <c r="Y992" s="1"/>
      <c r="Z992" s="1"/>
      <c r="AA992" s="1"/>
    </row>
    <row r="993" ht="15.75" customHeight="1">
      <c r="A993" s="1"/>
      <c r="B993" s="1" t="str">
        <f>IFERROR(__xludf.DUMMYFUNCTION("""COMPUTED_VALUE"""),"")</f>
        <v/>
      </c>
      <c r="C993" s="1" t="str">
        <f>IFERROR(__xludf.DUMMYFUNCTION("""COMPUTED_VALUE"""),"")</f>
        <v/>
      </c>
      <c r="D993" s="1" t="str">
        <f>IFERROR(__xludf.DUMMYFUNCTION("""COMPUTED_VALUE"""),"")</f>
        <v/>
      </c>
      <c r="E993" s="1" t="str">
        <f>IFERROR(__xludf.DUMMYFUNCTION("""COMPUTED_VALUE"""),"")</f>
        <v/>
      </c>
      <c r="F993" s="1" t="str">
        <f>IFERROR(__xludf.DUMMYFUNCTION("""COMPUTED_VALUE"""),"")</f>
        <v/>
      </c>
      <c r="G993" s="1" t="str">
        <f>IFERROR(__xludf.DUMMYFUNCTION("""COMPUTED_VALUE"""),"")</f>
        <v/>
      </c>
      <c r="H993" s="1"/>
      <c r="I993" s="1"/>
      <c r="J993" s="1"/>
      <c r="K993" s="1"/>
      <c r="L993" s="1"/>
      <c r="M993" s="1"/>
      <c r="N993" s="1"/>
      <c r="O993" s="1"/>
      <c r="P993" s="1"/>
      <c r="Q993" s="1"/>
      <c r="R993" s="1"/>
      <c r="S993" s="1"/>
      <c r="T993" s="1"/>
      <c r="U993" s="1"/>
      <c r="V993" s="1"/>
      <c r="W993" s="1"/>
      <c r="X993" s="1"/>
      <c r="Y993" s="1"/>
      <c r="Z993" s="1"/>
      <c r="AA993" s="1"/>
    </row>
    <row r="994" ht="15.75" customHeight="1">
      <c r="A994" s="1"/>
      <c r="B994" s="1" t="str">
        <f>IFERROR(__xludf.DUMMYFUNCTION("""COMPUTED_VALUE"""),"")</f>
        <v/>
      </c>
      <c r="C994" s="1" t="str">
        <f>IFERROR(__xludf.DUMMYFUNCTION("""COMPUTED_VALUE"""),"")</f>
        <v/>
      </c>
      <c r="D994" s="1" t="str">
        <f>IFERROR(__xludf.DUMMYFUNCTION("""COMPUTED_VALUE"""),"")</f>
        <v/>
      </c>
      <c r="E994" s="1" t="str">
        <f>IFERROR(__xludf.DUMMYFUNCTION("""COMPUTED_VALUE"""),"")</f>
        <v/>
      </c>
      <c r="F994" s="1" t="str">
        <f>IFERROR(__xludf.DUMMYFUNCTION("""COMPUTED_VALUE"""),"")</f>
        <v/>
      </c>
      <c r="G994" s="1" t="str">
        <f>IFERROR(__xludf.DUMMYFUNCTION("""COMPUTED_VALUE"""),"")</f>
        <v/>
      </c>
      <c r="H994" s="1"/>
      <c r="I994" s="1"/>
      <c r="J994" s="1"/>
      <c r="K994" s="1"/>
      <c r="L994" s="1"/>
      <c r="M994" s="1"/>
      <c r="N994" s="1"/>
      <c r="O994" s="1"/>
      <c r="P994" s="1"/>
      <c r="Q994" s="1"/>
      <c r="R994" s="1"/>
      <c r="S994" s="1"/>
      <c r="T994" s="1"/>
      <c r="U994" s="1"/>
      <c r="V994" s="1"/>
      <c r="W994" s="1"/>
      <c r="X994" s="1"/>
      <c r="Y994" s="1"/>
      <c r="Z994" s="1"/>
      <c r="AA994" s="1"/>
    </row>
    <row r="995" ht="15.75" customHeight="1">
      <c r="A995" s="1"/>
      <c r="B995" s="1" t="str">
        <f>IFERROR(__xludf.DUMMYFUNCTION("""COMPUTED_VALUE"""),"")</f>
        <v/>
      </c>
      <c r="C995" s="1" t="str">
        <f>IFERROR(__xludf.DUMMYFUNCTION("""COMPUTED_VALUE"""),"")</f>
        <v/>
      </c>
      <c r="D995" s="1" t="str">
        <f>IFERROR(__xludf.DUMMYFUNCTION("""COMPUTED_VALUE"""),"")</f>
        <v/>
      </c>
      <c r="E995" s="1" t="str">
        <f>IFERROR(__xludf.DUMMYFUNCTION("""COMPUTED_VALUE"""),"")</f>
        <v/>
      </c>
      <c r="F995" s="1" t="str">
        <f>IFERROR(__xludf.DUMMYFUNCTION("""COMPUTED_VALUE"""),"")</f>
        <v/>
      </c>
      <c r="G995" s="1" t="str">
        <f>IFERROR(__xludf.DUMMYFUNCTION("""COMPUTED_VALUE"""),"")</f>
        <v/>
      </c>
      <c r="H995" s="1"/>
      <c r="I995" s="1"/>
      <c r="J995" s="1"/>
      <c r="K995" s="1"/>
      <c r="L995" s="1"/>
      <c r="M995" s="1"/>
      <c r="N995" s="1"/>
      <c r="O995" s="1"/>
      <c r="P995" s="1"/>
      <c r="Q995" s="1"/>
      <c r="R995" s="1"/>
      <c r="S995" s="1"/>
      <c r="T995" s="1"/>
      <c r="U995" s="1"/>
      <c r="V995" s="1"/>
      <c r="W995" s="1"/>
      <c r="X995" s="1"/>
      <c r="Y995" s="1"/>
      <c r="Z995" s="1"/>
      <c r="AA995" s="1"/>
    </row>
    <row r="996" ht="15.75" customHeight="1">
      <c r="A996" s="1"/>
      <c r="B996" s="1" t="str">
        <f>IFERROR(__xludf.DUMMYFUNCTION("""COMPUTED_VALUE"""),"")</f>
        <v/>
      </c>
      <c r="C996" s="1" t="str">
        <f>IFERROR(__xludf.DUMMYFUNCTION("""COMPUTED_VALUE"""),"")</f>
        <v/>
      </c>
      <c r="D996" s="1" t="str">
        <f>IFERROR(__xludf.DUMMYFUNCTION("""COMPUTED_VALUE"""),"")</f>
        <v/>
      </c>
      <c r="E996" s="1" t="str">
        <f>IFERROR(__xludf.DUMMYFUNCTION("""COMPUTED_VALUE"""),"")</f>
        <v/>
      </c>
      <c r="F996" s="1" t="str">
        <f>IFERROR(__xludf.DUMMYFUNCTION("""COMPUTED_VALUE"""),"")</f>
        <v/>
      </c>
      <c r="G996" s="1" t="str">
        <f>IFERROR(__xludf.DUMMYFUNCTION("""COMPUTED_VALUE"""),"")</f>
        <v/>
      </c>
      <c r="H996" s="1"/>
      <c r="I996" s="1"/>
      <c r="J996" s="1"/>
      <c r="K996" s="1"/>
      <c r="L996" s="1"/>
      <c r="M996" s="1"/>
      <c r="N996" s="1"/>
      <c r="O996" s="1"/>
      <c r="P996" s="1"/>
      <c r="Q996" s="1"/>
      <c r="R996" s="1"/>
      <c r="S996" s="1"/>
      <c r="T996" s="1"/>
      <c r="U996" s="1"/>
      <c r="V996" s="1"/>
      <c r="W996" s="1"/>
      <c r="X996" s="1"/>
      <c r="Y996" s="1"/>
      <c r="Z996" s="1"/>
      <c r="AA996" s="1"/>
    </row>
    <row r="997" ht="15.75" customHeight="1">
      <c r="A997" s="1"/>
      <c r="B997" s="1" t="str">
        <f>IFERROR(__xludf.DUMMYFUNCTION("""COMPUTED_VALUE"""),"")</f>
        <v/>
      </c>
      <c r="C997" s="1" t="str">
        <f>IFERROR(__xludf.DUMMYFUNCTION("""COMPUTED_VALUE"""),"")</f>
        <v/>
      </c>
      <c r="D997" s="1" t="str">
        <f>IFERROR(__xludf.DUMMYFUNCTION("""COMPUTED_VALUE"""),"")</f>
        <v/>
      </c>
      <c r="E997" s="1" t="str">
        <f>IFERROR(__xludf.DUMMYFUNCTION("""COMPUTED_VALUE"""),"")</f>
        <v/>
      </c>
      <c r="F997" s="1" t="str">
        <f>IFERROR(__xludf.DUMMYFUNCTION("""COMPUTED_VALUE"""),"")</f>
        <v/>
      </c>
      <c r="G997" s="1" t="str">
        <f>IFERROR(__xludf.DUMMYFUNCTION("""COMPUTED_VALUE"""),"")</f>
        <v/>
      </c>
      <c r="H997" s="1"/>
      <c r="I997" s="1"/>
      <c r="J997" s="1"/>
      <c r="K997" s="1"/>
      <c r="L997" s="1"/>
      <c r="M997" s="1"/>
      <c r="N997" s="1"/>
      <c r="O997" s="1"/>
      <c r="P997" s="1"/>
      <c r="Q997" s="1"/>
      <c r="R997" s="1"/>
      <c r="S997" s="1"/>
      <c r="T997" s="1"/>
      <c r="U997" s="1"/>
      <c r="V997" s="1"/>
      <c r="W997" s="1"/>
      <c r="X997" s="1"/>
      <c r="Y997" s="1"/>
      <c r="Z997" s="1"/>
      <c r="AA997" s="1"/>
    </row>
    <row r="998" ht="15.75" customHeight="1">
      <c r="A998" s="1"/>
      <c r="B998" s="1" t="str">
        <f>IFERROR(__xludf.DUMMYFUNCTION("""COMPUTED_VALUE"""),"")</f>
        <v/>
      </c>
      <c r="C998" s="1" t="str">
        <f>IFERROR(__xludf.DUMMYFUNCTION("""COMPUTED_VALUE"""),"")</f>
        <v/>
      </c>
      <c r="D998" s="1" t="str">
        <f>IFERROR(__xludf.DUMMYFUNCTION("""COMPUTED_VALUE"""),"")</f>
        <v/>
      </c>
      <c r="E998" s="1" t="str">
        <f>IFERROR(__xludf.DUMMYFUNCTION("""COMPUTED_VALUE"""),"")</f>
        <v/>
      </c>
      <c r="F998" s="1" t="str">
        <f>IFERROR(__xludf.DUMMYFUNCTION("""COMPUTED_VALUE"""),"")</f>
        <v/>
      </c>
      <c r="G998" s="1" t="str">
        <f>IFERROR(__xludf.DUMMYFUNCTION("""COMPUTED_VALUE"""),"")</f>
        <v/>
      </c>
      <c r="H998" s="1"/>
      <c r="I998" s="1"/>
      <c r="J998" s="1"/>
      <c r="K998" s="1"/>
      <c r="L998" s="1"/>
      <c r="M998" s="1"/>
      <c r="N998" s="1"/>
      <c r="O998" s="1"/>
      <c r="P998" s="1"/>
      <c r="Q998" s="1"/>
      <c r="R998" s="1"/>
      <c r="S998" s="1"/>
      <c r="T998" s="1"/>
      <c r="U998" s="1"/>
      <c r="V998" s="1"/>
      <c r="W998" s="1"/>
      <c r="X998" s="1"/>
      <c r="Y998" s="1"/>
      <c r="Z998" s="1"/>
      <c r="AA998" s="1"/>
    </row>
    <row r="999" ht="15.75" customHeight="1">
      <c r="A999" s="1"/>
      <c r="B999" s="1" t="str">
        <f>IFERROR(__xludf.DUMMYFUNCTION("""COMPUTED_VALUE"""),"")</f>
        <v/>
      </c>
      <c r="C999" s="1" t="str">
        <f>IFERROR(__xludf.DUMMYFUNCTION("""COMPUTED_VALUE"""),"")</f>
        <v/>
      </c>
      <c r="D999" s="1" t="str">
        <f>IFERROR(__xludf.DUMMYFUNCTION("""COMPUTED_VALUE"""),"")</f>
        <v/>
      </c>
      <c r="E999" s="1" t="str">
        <f>IFERROR(__xludf.DUMMYFUNCTION("""COMPUTED_VALUE"""),"")</f>
        <v/>
      </c>
      <c r="F999" s="1" t="str">
        <f>IFERROR(__xludf.DUMMYFUNCTION("""COMPUTED_VALUE"""),"")</f>
        <v/>
      </c>
      <c r="G999" s="1" t="str">
        <f>IFERROR(__xludf.DUMMYFUNCTION("""COMPUTED_VALUE"""),"")</f>
        <v/>
      </c>
      <c r="H999" s="1"/>
      <c r="I999" s="1"/>
      <c r="J999" s="1"/>
      <c r="K999" s="1"/>
      <c r="L999" s="1"/>
      <c r="M999" s="1"/>
      <c r="N999" s="1"/>
      <c r="O999" s="1"/>
      <c r="P999" s="1"/>
      <c r="Q999" s="1"/>
      <c r="R999" s="1"/>
      <c r="S999" s="1"/>
      <c r="T999" s="1"/>
      <c r="U999" s="1"/>
      <c r="V999" s="1"/>
      <c r="W999" s="1"/>
      <c r="X999" s="1"/>
      <c r="Y999" s="1"/>
      <c r="Z999" s="1"/>
      <c r="AA999" s="1"/>
    </row>
    <row r="1000" ht="15.75" customHeight="1">
      <c r="A1000" s="1"/>
      <c r="B1000" s="1" t="str">
        <f>IFERROR(__xludf.DUMMYFUNCTION("""COMPUTED_VALUE"""),"")</f>
        <v/>
      </c>
      <c r="C1000" s="1" t="str">
        <f>IFERROR(__xludf.DUMMYFUNCTION("""COMPUTED_VALUE"""),"")</f>
        <v/>
      </c>
      <c r="D1000" s="1" t="str">
        <f>IFERROR(__xludf.DUMMYFUNCTION("""COMPUTED_VALUE"""),"")</f>
        <v/>
      </c>
      <c r="E1000" s="1" t="str">
        <f>IFERROR(__xludf.DUMMYFUNCTION("""COMPUTED_VALUE"""),"")</f>
        <v/>
      </c>
      <c r="F1000" s="1" t="str">
        <f>IFERROR(__xludf.DUMMYFUNCTION("""COMPUTED_VALUE"""),"")</f>
        <v/>
      </c>
      <c r="G1000" s="1" t="str">
        <f>IFERROR(__xludf.DUMMYFUNCTION("""COMPUTED_VALUE"""),"")</f>
        <v/>
      </c>
      <c r="H1000" s="1"/>
      <c r="I1000" s="1"/>
      <c r="J1000" s="1"/>
      <c r="K1000" s="1"/>
      <c r="L1000" s="1"/>
      <c r="M1000" s="1"/>
      <c r="N1000" s="1"/>
      <c r="O1000" s="1"/>
      <c r="P1000" s="1"/>
      <c r="Q1000" s="1"/>
      <c r="R1000" s="1"/>
      <c r="S1000" s="1"/>
      <c r="T1000" s="1"/>
      <c r="U1000" s="1"/>
      <c r="V1000" s="1"/>
      <c r="W1000" s="1"/>
      <c r="X1000" s="1"/>
      <c r="Y1000" s="1"/>
      <c r="Z1000" s="1"/>
      <c r="AA1000" s="1"/>
    </row>
    <row r="1001" ht="15.75" customHeight="1">
      <c r="A1001" s="1"/>
      <c r="B1001" s="1" t="str">
        <f>IFERROR(__xludf.DUMMYFUNCTION("""COMPUTED_VALUE"""),"")</f>
        <v/>
      </c>
      <c r="C1001" s="1" t="str">
        <f>IFERROR(__xludf.DUMMYFUNCTION("""COMPUTED_VALUE"""),"")</f>
        <v/>
      </c>
      <c r="D1001" s="1" t="str">
        <f>IFERROR(__xludf.DUMMYFUNCTION("""COMPUTED_VALUE"""),"")</f>
        <v/>
      </c>
      <c r="E1001" s="1" t="str">
        <f>IFERROR(__xludf.DUMMYFUNCTION("""COMPUTED_VALUE"""),"")</f>
        <v/>
      </c>
      <c r="F1001" s="1" t="str">
        <f>IFERROR(__xludf.DUMMYFUNCTION("""COMPUTED_VALUE"""),"")</f>
        <v/>
      </c>
      <c r="G1001" s="1" t="str">
        <f>IFERROR(__xludf.DUMMYFUNCTION("""COMPUTED_VALUE"""),"")</f>
        <v/>
      </c>
      <c r="H1001" s="1"/>
      <c r="I1001" s="1"/>
      <c r="J1001" s="1"/>
      <c r="K1001" s="1"/>
      <c r="L1001" s="1"/>
      <c r="M1001" s="1"/>
      <c r="N1001" s="1"/>
      <c r="O1001" s="1"/>
      <c r="P1001" s="1"/>
      <c r="Q1001" s="1"/>
      <c r="R1001" s="1"/>
      <c r="S1001" s="1"/>
      <c r="T1001" s="1"/>
      <c r="U1001" s="1"/>
      <c r="V1001" s="1"/>
      <c r="W1001" s="1"/>
      <c r="X1001" s="1"/>
      <c r="Y1001" s="1"/>
      <c r="Z1001" s="1"/>
      <c r="AA1001" s="1"/>
    </row>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sheetData>
  <drawing r:id="rId1"/>
</worksheet>
</file>